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480" yWindow="780" windowWidth="18195" windowHeight="6645" tabRatio="848" activeTab="4"/>
  </bookViews>
  <sheets>
    <sheet name="SUPP SCH B-1.1 B" sheetId="59" r:id="rId1"/>
    <sheet name="SUPP SCH B-1.1 F" sheetId="58" r:id="rId2"/>
    <sheet name="&lt;&lt;&lt;EXPORT" sheetId="71" r:id="rId3"/>
    <sheet name="Rate Case Constants" sheetId="3" r:id="rId4"/>
    <sheet name="Index B" sheetId="37" r:id="rId5"/>
    <sheet name="SCH B-1" sheetId="16" r:id="rId6"/>
    <sheet name="SCH B-2" sheetId="15" r:id="rId7"/>
    <sheet name="SCH B-2.1 B" sheetId="12" r:id="rId8"/>
    <sheet name="SCH B-2.1 F" sheetId="14" r:id="rId9"/>
    <sheet name="SCH B-2.2" sheetId="11" r:id="rId10"/>
    <sheet name="SCH B-2.3 B" sheetId="4" r:id="rId11"/>
    <sheet name="SCH B-2.3 F" sheetId="5" r:id="rId12"/>
    <sheet name="SCH B-2.4" sheetId="7" r:id="rId13"/>
    <sheet name="SCH B-2.5" sheetId="8" r:id="rId14"/>
    <sheet name="SCH B-2.6" sheetId="9" r:id="rId15"/>
    <sheet name="SCH B-2.7" sheetId="10" r:id="rId16"/>
    <sheet name="SCH B-3 B" sheetId="17" r:id="rId17"/>
    <sheet name="SCH B-3 F" sheetId="19" r:id="rId18"/>
    <sheet name="SCH B-3.1" sheetId="18" r:id="rId19"/>
    <sheet name="SCH B-3.2 B" sheetId="23" r:id="rId20"/>
    <sheet name="SCH B-3.2 F" sheetId="47" r:id="rId21"/>
    <sheet name="SCH B-4" sheetId="20" r:id="rId22"/>
    <sheet name="SCH B-4.1" sheetId="40" r:id="rId23"/>
    <sheet name="SCH B-4.2 B" sheetId="63" r:id="rId24"/>
    <sheet name="SCH B-4.2 F" sheetId="64" r:id="rId25"/>
    <sheet name="SCH B-5" sheetId="25" r:id="rId26"/>
    <sheet name="SCH B-5.1" sheetId="26" r:id="rId27"/>
    <sheet name="SCH B-5.2" sheetId="27" r:id="rId28"/>
    <sheet name="SCH B-6" sheetId="28" r:id="rId29"/>
    <sheet name="SCH B-7 B" sheetId="69" r:id="rId30"/>
    <sheet name="SCH B-7 F" sheetId="30" r:id="rId31"/>
    <sheet name="SCH B-7.1 B" sheetId="68" r:id="rId32"/>
    <sheet name="SCH B-7.1 F" sheetId="67" r:id="rId33"/>
    <sheet name="SCH B-7.2" sheetId="33" r:id="rId34"/>
    <sheet name="SCH B-8 TC" sheetId="31" r:id="rId35"/>
    <sheet name="SCH B-8 KY" sheetId="66" r:id="rId36"/>
    <sheet name="DATA&gt;&gt;&gt;" sheetId="6" r:id="rId37"/>
    <sheet name="JURISSEP B" sheetId="13" r:id="rId38"/>
    <sheet name="JURISSEP F" sheetId="48" r:id="rId39"/>
    <sheet name="PIS B" sheetId="1" r:id="rId40"/>
    <sheet name="FCPIS B" sheetId="42" r:id="rId41"/>
    <sheet name="FC CWIP &amp; RWIP B" sheetId="44" r:id="rId42"/>
    <sheet name="PIS F" sheetId="41" r:id="rId43"/>
    <sheet name="FCPIS F" sheetId="43" r:id="rId44"/>
    <sheet name="FC CWIP &amp; RWIP F" sheetId="45" r:id="rId45"/>
    <sheet name="BS" sheetId="72" r:id="rId46"/>
    <sheet name="ECR Exclusions" sheetId="62" r:id="rId47"/>
    <sheet name="ECR COR" sheetId="75" r:id="rId48"/>
    <sheet name="ECR CCR" sheetId="73" r:id="rId49"/>
    <sheet name="ECR EXP B" sheetId="50" r:id="rId50"/>
    <sheet name="ECR EXP F" sheetId="51" r:id="rId51"/>
    <sheet name="ECR DEFTAX" sheetId="55" r:id="rId52"/>
    <sheet name="DSM DEFTAX" sheetId="56" r:id="rId53"/>
    <sheet name="ECR ALLOW" sheetId="65" r:id="rId54"/>
    <sheet name="KU Depr Rates" sheetId="46" r:id="rId55"/>
    <sheet name="KU Proposed Depr Rates" sheetId="74" r:id="rId56"/>
  </sheets>
  <definedNames>
    <definedName name="_xlnm.Print_Area" localSheetId="49">'ECR EXP B'!$B$1:$O$25</definedName>
    <definedName name="_xlnm.Print_Area" localSheetId="50">'ECR EXP F'!$A$1:$N$24</definedName>
    <definedName name="_xlnm.Print_Area" localSheetId="4">'Index B'!$A$1:$C$42</definedName>
    <definedName name="_xlnm.Print_Area" localSheetId="37">'JURISSEP B'!$E$12:$Q$1343</definedName>
    <definedName name="_xlnm.Print_Area" localSheetId="38">'JURISSEP F'!$E$12:$Q$1346</definedName>
    <definedName name="_xlnm.Print_Area" localSheetId="54">'KU Depr Rates'!$A$1:$R$379</definedName>
    <definedName name="_xlnm.Print_Area" localSheetId="5">'SCH B-1'!$A$1:$G$30</definedName>
    <definedName name="_xlnm.Print_Area" localSheetId="6">'SCH B-2'!$A$1:$H$56</definedName>
    <definedName name="_xlnm.Print_Area" localSheetId="7">'SCH B-2.1 B'!$A$1:$I$113</definedName>
    <definedName name="_xlnm.Print_Area" localSheetId="8">'SCH B-2.1 F'!$A$1:$I$113</definedName>
    <definedName name="_xlnm.Print_Area" localSheetId="9">'SCH B-2.2'!$A$1:$I$60</definedName>
    <definedName name="_xlnm.Print_Area" localSheetId="10">'SCH B-2.3 B'!$A$1:$I$113</definedName>
    <definedName name="_xlnm.Print_Area" localSheetId="11">'SCH B-2.3 F'!$A$1:$J$114</definedName>
    <definedName name="_xlnm.Print_Area" localSheetId="12">'SCH B-2.4'!$A$1:$J$26</definedName>
    <definedName name="_xlnm.Print_Area" localSheetId="13">'SCH B-2.5'!$A$1:$I$26</definedName>
    <definedName name="_xlnm.Print_Area" localSheetId="14">'SCH B-2.6'!$A$1:$O$32</definedName>
    <definedName name="_xlnm.Print_Area" localSheetId="15">'SCH B-2.7'!$A$1:$L$84</definedName>
    <definedName name="_xlnm.Print_Area" localSheetId="16">'SCH B-3 B'!$A$1:$J$116</definedName>
    <definedName name="_xlnm.Print_Area" localSheetId="17">'SCH B-3 F'!$A$1:$J$116</definedName>
    <definedName name="_xlnm.Print_Area" localSheetId="18">'SCH B-3.1'!$A$1:$I$58</definedName>
    <definedName name="_xlnm.Print_Area" localSheetId="19">'SCH B-3.2 B'!$A$1:$K$110</definedName>
    <definedName name="_xlnm.Print_Area" localSheetId="20">'SCH B-3.2 F'!$A$1:$K$110</definedName>
    <definedName name="_xlnm.Print_Area" localSheetId="21">'SCH B-4'!$A$1:$K$50</definedName>
    <definedName name="_xlnm.Print_Area" localSheetId="22">'SCH B-4.1'!$A$1:$H$36</definedName>
    <definedName name="_xlnm.Print_Area" localSheetId="23">'SCH B-4.2 B'!$A$1:$J$201</definedName>
    <definedName name="_xlnm.Print_Area" localSheetId="24">'SCH B-4.2 F'!$A$1:$J$274</definedName>
    <definedName name="_xlnm.Print_Area" localSheetId="25">'SCH B-5'!$A$1:$H$52</definedName>
    <definedName name="_xlnm.Print_Area" localSheetId="26">'SCH B-5.1'!$A$1:$F$50</definedName>
    <definedName name="_xlnm.Print_Area" localSheetId="27">'SCH B-5.2'!$A$1:$F$42</definedName>
    <definedName name="_xlnm.Print_Area" localSheetId="28">'SCH B-6'!$A$1:$I$43</definedName>
    <definedName name="_xlnm.Print_Area" localSheetId="29">'SCH B-7 B'!$A$1:$F$203</definedName>
    <definedName name="_xlnm.Print_Area" localSheetId="30">'SCH B-7 F'!$A$1:$F$203</definedName>
    <definedName name="_xlnm.Print_Area" localSheetId="31">'SCH B-7.1 B'!$A$1:$H$28</definedName>
    <definedName name="_xlnm.Print_Area" localSheetId="32">'SCH B-7.1 F'!$A$1:$H$28</definedName>
    <definedName name="_xlnm.Print_Area" localSheetId="33">'SCH B-7.2'!$A$1:$F$14</definedName>
    <definedName name="_xlnm.Print_Area" localSheetId="35">'SCH B-8 KY'!$A$1:$P$121</definedName>
    <definedName name="_xlnm.Print_Area" localSheetId="34">'SCH B-8 TC'!$A$1:$P$119</definedName>
    <definedName name="_xlnm.Print_Area" localSheetId="0">'SUPP SCH B-1.1 B'!$A$1:$R$84</definedName>
    <definedName name="_xlnm.Print_Area" localSheetId="1">'SUPP SCH B-1.1 F'!$A$1:$R$84</definedName>
    <definedName name="Print_Area_MI" localSheetId="4">'Index B'!$A$1:$N$42</definedName>
    <definedName name="_xlnm.Print_Titles" localSheetId="40">'FCPIS B'!$1:$3</definedName>
    <definedName name="_xlnm.Print_Titles" localSheetId="37">'JURISSEP B'!$A:$D,'JURISSEP B'!$2:$11</definedName>
    <definedName name="_xlnm.Print_Titles" localSheetId="38">'JURISSEP F'!$A:$D,'JURISSEP F'!$2:$11</definedName>
    <definedName name="_xlnm.Print_Titles" localSheetId="55">'KU Proposed Depr Rates'!$1:$10</definedName>
    <definedName name="_xlnm.Print_Titles" localSheetId="39">'PIS B'!$1:$8</definedName>
    <definedName name="_xlnm.Print_Titles" localSheetId="42">'PIS F'!$1:$8</definedName>
  </definedNames>
  <calcPr calcId="152511"/>
</workbook>
</file>

<file path=xl/calcChain.xml><?xml version="1.0" encoding="utf-8"?>
<calcChain xmlns="http://schemas.openxmlformats.org/spreadsheetml/2006/main">
  <c r="O274" i="64" l="1"/>
  <c r="M274" i="64"/>
  <c r="P274" i="64" s="1"/>
  <c r="F274" i="64" s="1"/>
  <c r="J274" i="64"/>
  <c r="O200" i="63"/>
  <c r="M200" i="63"/>
  <c r="J200" i="63"/>
  <c r="O199" i="63"/>
  <c r="M199" i="63"/>
  <c r="P199" i="63" s="1"/>
  <c r="F199" i="63" s="1"/>
  <c r="J199" i="63"/>
  <c r="P200" i="63" l="1"/>
  <c r="F200" i="63" s="1"/>
  <c r="I81" i="66"/>
  <c r="K81" i="66"/>
  <c r="D116" i="66" l="1"/>
  <c r="D115" i="66"/>
  <c r="D114" i="66"/>
  <c r="D113" i="66"/>
  <c r="D112" i="66"/>
  <c r="D111" i="66"/>
  <c r="D110" i="66"/>
  <c r="D106" i="66"/>
  <c r="D105" i="66"/>
  <c r="D104" i="66"/>
  <c r="D103" i="66"/>
  <c r="D102" i="66"/>
  <c r="D101" i="66"/>
  <c r="D100" i="66"/>
  <c r="D99" i="66"/>
  <c r="D98" i="66"/>
  <c r="D94" i="66"/>
  <c r="D93" i="66"/>
  <c r="D95" i="66" s="1"/>
  <c r="D89" i="66"/>
  <c r="D88" i="66"/>
  <c r="D87" i="66"/>
  <c r="D83" i="66"/>
  <c r="D82" i="66"/>
  <c r="D81" i="66"/>
  <c r="D80" i="66"/>
  <c r="D79" i="66"/>
  <c r="D78" i="66"/>
  <c r="D56" i="66"/>
  <c r="D55" i="66"/>
  <c r="D54" i="66"/>
  <c r="D53" i="66"/>
  <c r="D52" i="66"/>
  <c r="D51" i="66"/>
  <c r="D50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27" i="66"/>
  <c r="D26" i="66"/>
  <c r="D25" i="66"/>
  <c r="D24" i="66"/>
  <c r="D20" i="66"/>
  <c r="D18" i="66"/>
  <c r="D17" i="66"/>
  <c r="F116" i="66"/>
  <c r="F115" i="66"/>
  <c r="F114" i="66"/>
  <c r="F113" i="66"/>
  <c r="F112" i="66"/>
  <c r="F111" i="66"/>
  <c r="F110" i="66"/>
  <c r="F106" i="66"/>
  <c r="F105" i="66"/>
  <c r="F104" i="66"/>
  <c r="F103" i="66"/>
  <c r="F102" i="66"/>
  <c r="F101" i="66"/>
  <c r="F100" i="66"/>
  <c r="F99" i="66"/>
  <c r="F98" i="66"/>
  <c r="F94" i="66"/>
  <c r="F93" i="66"/>
  <c r="F89" i="66"/>
  <c r="F88" i="66"/>
  <c r="F87" i="66"/>
  <c r="F83" i="66"/>
  <c r="F82" i="66"/>
  <c r="F81" i="66"/>
  <c r="G81" i="66" s="1"/>
  <c r="F80" i="66"/>
  <c r="F79" i="66"/>
  <c r="F78" i="66"/>
  <c r="F56" i="66"/>
  <c r="F55" i="66"/>
  <c r="F54" i="66"/>
  <c r="F53" i="66"/>
  <c r="F52" i="66"/>
  <c r="F51" i="66"/>
  <c r="F50" i="66"/>
  <c r="F46" i="66"/>
  <c r="F45" i="66"/>
  <c r="F44" i="66"/>
  <c r="F43" i="66"/>
  <c r="F42" i="66"/>
  <c r="F41" i="66"/>
  <c r="F40" i="66"/>
  <c r="F39" i="66"/>
  <c r="F38" i="66"/>
  <c r="F37" i="66"/>
  <c r="F36" i="66"/>
  <c r="F35" i="66"/>
  <c r="F34" i="66"/>
  <c r="F33" i="66"/>
  <c r="F32" i="66"/>
  <c r="F31" i="66"/>
  <c r="F27" i="66"/>
  <c r="F26" i="66"/>
  <c r="F25" i="66"/>
  <c r="F24" i="66"/>
  <c r="F20" i="66"/>
  <c r="F18" i="66"/>
  <c r="F17" i="66"/>
  <c r="D90" i="66" l="1"/>
  <c r="D117" i="66"/>
  <c r="D84" i="66"/>
  <c r="F84" i="66"/>
  <c r="D19" i="66"/>
  <c r="D107" i="66"/>
  <c r="F57" i="66"/>
  <c r="F90" i="66"/>
  <c r="F19" i="66"/>
  <c r="F21" i="66" s="1"/>
  <c r="F47" i="66"/>
  <c r="F95" i="66"/>
  <c r="D47" i="66"/>
  <c r="F117" i="66"/>
  <c r="E53" i="66"/>
  <c r="E34" i="66"/>
  <c r="F107" i="66"/>
  <c r="D28" i="66"/>
  <c r="E81" i="66"/>
  <c r="F28" i="66"/>
  <c r="D57" i="66"/>
  <c r="D21" i="66"/>
  <c r="H2" i="55" l="1"/>
  <c r="T18" i="73" l="1"/>
  <c r="AE8" i="73"/>
  <c r="AE16" i="73" s="1"/>
  <c r="AE12" i="73" s="1"/>
  <c r="AD8" i="73"/>
  <c r="AD16" i="73" s="1"/>
  <c r="AD12" i="73" s="1"/>
  <c r="AC8" i="73"/>
  <c r="AC16" i="73" s="1"/>
  <c r="AC12" i="73" s="1"/>
  <c r="AB8" i="73"/>
  <c r="AB16" i="73" s="1"/>
  <c r="AB12" i="73" s="1"/>
  <c r="AA8" i="73"/>
  <c r="AA16" i="73" s="1"/>
  <c r="AA12" i="73" s="1"/>
  <c r="Z8" i="73"/>
  <c r="Z16" i="73" s="1"/>
  <c r="Z12" i="73" s="1"/>
  <c r="Y8" i="73"/>
  <c r="Y16" i="73" s="1"/>
  <c r="Y12" i="73" s="1"/>
  <c r="X8" i="73"/>
  <c r="X16" i="73" s="1"/>
  <c r="X12" i="73" s="1"/>
  <c r="W8" i="73"/>
  <c r="W16" i="73" s="1"/>
  <c r="W12" i="73" s="1"/>
  <c r="V8" i="73"/>
  <c r="V16" i="73" s="1"/>
  <c r="V12" i="73" s="1"/>
  <c r="U8" i="73"/>
  <c r="U16" i="73" s="1"/>
  <c r="U12" i="73" s="1"/>
  <c r="T8" i="73"/>
  <c r="T16" i="73" s="1"/>
  <c r="T12" i="73" s="1"/>
  <c r="S8" i="73"/>
  <c r="S16" i="73" s="1"/>
  <c r="S12" i="73" s="1"/>
  <c r="R8" i="73"/>
  <c r="R16" i="73" s="1"/>
  <c r="R12" i="73" s="1"/>
  <c r="Q8" i="73"/>
  <c r="Q16" i="73" s="1"/>
  <c r="Q12" i="73" s="1"/>
  <c r="P8" i="73"/>
  <c r="P16" i="73" s="1"/>
  <c r="P12" i="73" s="1"/>
  <c r="O8" i="73"/>
  <c r="O16" i="73" s="1"/>
  <c r="O12" i="73" s="1"/>
  <c r="N8" i="73"/>
  <c r="N16" i="73" s="1"/>
  <c r="N12" i="73" s="1"/>
  <c r="M8" i="73"/>
  <c r="M16" i="73" s="1"/>
  <c r="M12" i="73" s="1"/>
  <c r="L8" i="73"/>
  <c r="L16" i="73" s="1"/>
  <c r="L12" i="73" s="1"/>
  <c r="K8" i="73"/>
  <c r="K16" i="73" s="1"/>
  <c r="J8" i="73"/>
  <c r="J16" i="73" s="1"/>
  <c r="J12" i="73" s="1"/>
  <c r="I8" i="73"/>
  <c r="I16" i="73" s="1"/>
  <c r="I12" i="73" s="1"/>
  <c r="H8" i="73"/>
  <c r="H16" i="73" s="1"/>
  <c r="H12" i="73" l="1"/>
  <c r="K114" i="19"/>
  <c r="Y2" i="55"/>
  <c r="K29" i="50" l="1"/>
  <c r="G60" i="50" l="1"/>
  <c r="F60" i="50"/>
  <c r="E60" i="50"/>
  <c r="D60" i="50"/>
  <c r="C60" i="50"/>
  <c r="H60" i="50"/>
  <c r="A56" i="50"/>
  <c r="A55" i="50"/>
  <c r="A54" i="50"/>
  <c r="A53" i="50"/>
  <c r="A52" i="50"/>
  <c r="A51" i="50"/>
  <c r="A50" i="50"/>
  <c r="A49" i="50"/>
  <c r="A48" i="50"/>
  <c r="H5" i="50" l="1"/>
  <c r="G5" i="50"/>
  <c r="F5" i="50"/>
  <c r="E5" i="50"/>
  <c r="D5" i="50"/>
  <c r="C5" i="50"/>
  <c r="O14" i="50" l="1"/>
  <c r="O5" i="50"/>
  <c r="N22" i="50"/>
  <c r="M22" i="50"/>
  <c r="L22" i="50"/>
  <c r="K22" i="50"/>
  <c r="J22" i="50"/>
  <c r="I22" i="50"/>
  <c r="N21" i="50"/>
  <c r="M21" i="50"/>
  <c r="L21" i="50"/>
  <c r="K21" i="50"/>
  <c r="J21" i="50"/>
  <c r="I21" i="50"/>
  <c r="N20" i="50"/>
  <c r="M20" i="50"/>
  <c r="L20" i="50"/>
  <c r="K20" i="50"/>
  <c r="J20" i="50"/>
  <c r="I20" i="50"/>
  <c r="N19" i="50"/>
  <c r="M19" i="50"/>
  <c r="L19" i="50"/>
  <c r="K19" i="50"/>
  <c r="K24" i="50" s="1"/>
  <c r="J19" i="50"/>
  <c r="I19" i="50"/>
  <c r="N14" i="51"/>
  <c r="N13" i="51"/>
  <c r="N12" i="51"/>
  <c r="N11" i="51"/>
  <c r="N10" i="51"/>
  <c r="N9" i="51"/>
  <c r="N8" i="51"/>
  <c r="N7" i="51"/>
  <c r="N6" i="51"/>
  <c r="N5" i="51"/>
  <c r="M21" i="51"/>
  <c r="L21" i="51"/>
  <c r="K21" i="51"/>
  <c r="J21" i="51"/>
  <c r="I21" i="51"/>
  <c r="H21" i="51"/>
  <c r="G21" i="51"/>
  <c r="F21" i="51"/>
  <c r="E21" i="51"/>
  <c r="D21" i="51"/>
  <c r="C21" i="51"/>
  <c r="B21" i="51"/>
  <c r="M20" i="51"/>
  <c r="L20" i="51"/>
  <c r="K20" i="51"/>
  <c r="J20" i="51"/>
  <c r="I20" i="51"/>
  <c r="H20" i="51"/>
  <c r="G20" i="51"/>
  <c r="F20" i="51"/>
  <c r="E20" i="51"/>
  <c r="D20" i="51"/>
  <c r="C20" i="51"/>
  <c r="B20" i="51"/>
  <c r="M19" i="51"/>
  <c r="L19" i="51"/>
  <c r="K19" i="51"/>
  <c r="J19" i="51"/>
  <c r="I19" i="51"/>
  <c r="H19" i="51"/>
  <c r="G19" i="51"/>
  <c r="F19" i="51"/>
  <c r="E19" i="51"/>
  <c r="D19" i="51"/>
  <c r="C19" i="51"/>
  <c r="B19" i="51"/>
  <c r="M18" i="51"/>
  <c r="M23" i="51" s="1"/>
  <c r="L18" i="51"/>
  <c r="L23" i="51" s="1"/>
  <c r="K18" i="51"/>
  <c r="K23" i="51" s="1"/>
  <c r="J18" i="51"/>
  <c r="J23" i="51" s="1"/>
  <c r="I18" i="51"/>
  <c r="I23" i="51" s="1"/>
  <c r="H18" i="51"/>
  <c r="H23" i="51" s="1"/>
  <c r="G18" i="51"/>
  <c r="G23" i="51" s="1"/>
  <c r="F18" i="51"/>
  <c r="F23" i="51" s="1"/>
  <c r="E18" i="51"/>
  <c r="E23" i="51" s="1"/>
  <c r="D18" i="51"/>
  <c r="D23" i="51" s="1"/>
  <c r="C18" i="51"/>
  <c r="C23" i="51" s="1"/>
  <c r="B18" i="51"/>
  <c r="B23" i="51" s="1"/>
  <c r="A58" i="50"/>
  <c r="A57" i="50"/>
  <c r="A47" i="50"/>
  <c r="A46" i="50"/>
  <c r="A45" i="50"/>
  <c r="A44" i="50"/>
  <c r="A43" i="50"/>
  <c r="A42" i="50"/>
  <c r="A41" i="50"/>
  <c r="A40" i="50"/>
  <c r="A38" i="50"/>
  <c r="A37" i="50"/>
  <c r="A36" i="50"/>
  <c r="A35" i="50"/>
  <c r="A34" i="50"/>
  <c r="A33" i="50"/>
  <c r="A32" i="50"/>
  <c r="A31" i="50"/>
  <c r="A30" i="50"/>
  <c r="Y8" i="55"/>
  <c r="Y3" i="55"/>
  <c r="H3" i="55"/>
  <c r="AF11" i="56"/>
  <c r="AF10" i="56"/>
  <c r="O10" i="56"/>
  <c r="AF2" i="56"/>
  <c r="O2" i="56"/>
  <c r="N19" i="51" l="1"/>
  <c r="N21" i="51"/>
  <c r="N20" i="51"/>
  <c r="J24" i="50"/>
  <c r="N24" i="50"/>
  <c r="E65" i="50"/>
  <c r="E6" i="50" s="1"/>
  <c r="L24" i="50"/>
  <c r="I24" i="50"/>
  <c r="M24" i="50"/>
  <c r="F65" i="50"/>
  <c r="F6" i="50" s="1"/>
  <c r="H73" i="50"/>
  <c r="H15" i="50" s="1"/>
  <c r="G66" i="50"/>
  <c r="G7" i="50" s="1"/>
  <c r="C68" i="50"/>
  <c r="C9" i="50" s="1"/>
  <c r="C19" i="50" s="1"/>
  <c r="E69" i="50"/>
  <c r="E10" i="50" s="1"/>
  <c r="E20" i="50" s="1"/>
  <c r="G70" i="50"/>
  <c r="G11" i="50" s="1"/>
  <c r="G21" i="50" s="1"/>
  <c r="C72" i="50"/>
  <c r="C13" i="50" s="1"/>
  <c r="C22" i="50" s="1"/>
  <c r="E73" i="50"/>
  <c r="E15" i="50" s="1"/>
  <c r="H66" i="50"/>
  <c r="H7" i="50" s="1"/>
  <c r="F67" i="50"/>
  <c r="F8" i="50" s="1"/>
  <c r="H68" i="50"/>
  <c r="H9" i="50" s="1"/>
  <c r="H19" i="50" s="1"/>
  <c r="D70" i="50"/>
  <c r="D11" i="50" s="1"/>
  <c r="D21" i="50" s="1"/>
  <c r="D72" i="50"/>
  <c r="D13" i="50" s="1"/>
  <c r="D22" i="50" s="1"/>
  <c r="H72" i="50"/>
  <c r="H13" i="50" s="1"/>
  <c r="H22" i="50" s="1"/>
  <c r="C65" i="50"/>
  <c r="C6" i="50" s="1"/>
  <c r="G65" i="50"/>
  <c r="G6" i="50" s="1"/>
  <c r="E66" i="50"/>
  <c r="E7" i="50" s="1"/>
  <c r="C67" i="50"/>
  <c r="C8" i="50" s="1"/>
  <c r="G67" i="50"/>
  <c r="G8" i="50" s="1"/>
  <c r="E68" i="50"/>
  <c r="E9" i="50" s="1"/>
  <c r="E19" i="50" s="1"/>
  <c r="C69" i="50"/>
  <c r="C10" i="50" s="1"/>
  <c r="C20" i="50" s="1"/>
  <c r="G69" i="50"/>
  <c r="G10" i="50" s="1"/>
  <c r="G20" i="50" s="1"/>
  <c r="E70" i="50"/>
  <c r="E11" i="50" s="1"/>
  <c r="E21" i="50" s="1"/>
  <c r="C71" i="50"/>
  <c r="G71" i="50"/>
  <c r="E72" i="50"/>
  <c r="E13" i="50" s="1"/>
  <c r="E22" i="50" s="1"/>
  <c r="C73" i="50"/>
  <c r="C15" i="50" s="1"/>
  <c r="G73" i="50"/>
  <c r="G15" i="50" s="1"/>
  <c r="C66" i="50"/>
  <c r="C7" i="50" s="1"/>
  <c r="E67" i="50"/>
  <c r="E8" i="50" s="1"/>
  <c r="G68" i="50"/>
  <c r="G9" i="50" s="1"/>
  <c r="G19" i="50" s="1"/>
  <c r="C70" i="50"/>
  <c r="C11" i="50" s="1"/>
  <c r="C21" i="50" s="1"/>
  <c r="E71" i="50"/>
  <c r="G72" i="50"/>
  <c r="G13" i="50" s="1"/>
  <c r="G22" i="50" s="1"/>
  <c r="D66" i="50"/>
  <c r="D7" i="50" s="1"/>
  <c r="D68" i="50"/>
  <c r="D9" i="50" s="1"/>
  <c r="D19" i="50" s="1"/>
  <c r="F69" i="50"/>
  <c r="F10" i="50" s="1"/>
  <c r="F20" i="50" s="1"/>
  <c r="H70" i="50"/>
  <c r="H11" i="50" s="1"/>
  <c r="H21" i="50" s="1"/>
  <c r="F71" i="50"/>
  <c r="F73" i="50"/>
  <c r="F15" i="50" s="1"/>
  <c r="D65" i="50"/>
  <c r="D6" i="50" s="1"/>
  <c r="H65" i="50"/>
  <c r="H6" i="50" s="1"/>
  <c r="F66" i="50"/>
  <c r="F7" i="50" s="1"/>
  <c r="D67" i="50"/>
  <c r="D8" i="50" s="1"/>
  <c r="H67" i="50"/>
  <c r="H8" i="50" s="1"/>
  <c r="F68" i="50"/>
  <c r="F9" i="50" s="1"/>
  <c r="F19" i="50" s="1"/>
  <c r="D69" i="50"/>
  <c r="D10" i="50" s="1"/>
  <c r="D20" i="50" s="1"/>
  <c r="H69" i="50"/>
  <c r="H10" i="50" s="1"/>
  <c r="H20" i="50" s="1"/>
  <c r="F70" i="50"/>
  <c r="F11" i="50" s="1"/>
  <c r="F21" i="50" s="1"/>
  <c r="D71" i="50"/>
  <c r="H71" i="50"/>
  <c r="F72" i="50"/>
  <c r="F13" i="50" s="1"/>
  <c r="F22" i="50" s="1"/>
  <c r="D73" i="50"/>
  <c r="D15" i="50" s="1"/>
  <c r="N18" i="51"/>
  <c r="N23" i="51"/>
  <c r="C34" i="27" s="1"/>
  <c r="N15" i="51"/>
  <c r="C12" i="50" l="1"/>
  <c r="C16" i="50" s="1"/>
  <c r="C75" i="50"/>
  <c r="F12" i="50"/>
  <c r="F16" i="50" s="1"/>
  <c r="F75" i="50"/>
  <c r="D12" i="50"/>
  <c r="D16" i="50" s="1"/>
  <c r="D75" i="50"/>
  <c r="E12" i="50"/>
  <c r="E16" i="50" s="1"/>
  <c r="E75" i="50"/>
  <c r="G12" i="50"/>
  <c r="G16" i="50" s="1"/>
  <c r="G75" i="50"/>
  <c r="H12" i="50"/>
  <c r="H16" i="50" s="1"/>
  <c r="H75" i="50"/>
  <c r="E24" i="50"/>
  <c r="O8" i="50"/>
  <c r="O19" i="50"/>
  <c r="H24" i="50"/>
  <c r="O10" i="50"/>
  <c r="F24" i="50"/>
  <c r="G24" i="50"/>
  <c r="O21" i="50"/>
  <c r="G74" i="50"/>
  <c r="O15" i="50"/>
  <c r="O7" i="50"/>
  <c r="D74" i="50"/>
  <c r="C74" i="50"/>
  <c r="O11" i="50"/>
  <c r="F74" i="50"/>
  <c r="E74" i="50"/>
  <c r="O6" i="50"/>
  <c r="O13" i="50"/>
  <c r="H74" i="50"/>
  <c r="O22" i="50"/>
  <c r="D24" i="50"/>
  <c r="O9" i="50"/>
  <c r="O20" i="50"/>
  <c r="C24" i="50"/>
  <c r="O12" i="50" l="1"/>
  <c r="O16" i="50" s="1"/>
  <c r="O24" i="50"/>
  <c r="C13" i="27" s="1"/>
  <c r="T395" i="43" l="1"/>
  <c r="E395" i="43"/>
  <c r="C395" i="43"/>
  <c r="B395" i="43"/>
  <c r="A395" i="43"/>
  <c r="T294" i="43"/>
  <c r="E294" i="43"/>
  <c r="C294" i="43"/>
  <c r="B294" i="43"/>
  <c r="A294" i="43"/>
  <c r="T292" i="43"/>
  <c r="E292" i="43"/>
  <c r="C292" i="43"/>
  <c r="B292" i="43"/>
  <c r="A292" i="43"/>
  <c r="E405" i="42"/>
  <c r="C405" i="42"/>
  <c r="B405" i="42"/>
  <c r="A405" i="42"/>
  <c r="E304" i="42"/>
  <c r="C304" i="42"/>
  <c r="B304" i="42"/>
  <c r="A304" i="42"/>
  <c r="E302" i="42"/>
  <c r="C302" i="42"/>
  <c r="B302" i="42"/>
  <c r="A302" i="42"/>
  <c r="R72" i="58" l="1"/>
  <c r="D72" i="58"/>
  <c r="D72" i="59"/>
  <c r="R72" i="59"/>
  <c r="B45" i="41" l="1"/>
  <c r="C521" i="43"/>
  <c r="C403" i="43"/>
  <c r="C131" i="43"/>
  <c r="C134" i="43"/>
  <c r="C222" i="43"/>
  <c r="J102" i="47" l="1"/>
  <c r="I102" i="47"/>
  <c r="H102" i="47"/>
  <c r="J101" i="47"/>
  <c r="I101" i="47"/>
  <c r="H101" i="47"/>
  <c r="F101" i="47"/>
  <c r="J99" i="47"/>
  <c r="I99" i="47"/>
  <c r="H99" i="47"/>
  <c r="F99" i="47"/>
  <c r="J98" i="47"/>
  <c r="I98" i="47"/>
  <c r="H98" i="47"/>
  <c r="F98" i="47"/>
  <c r="J97" i="47"/>
  <c r="I97" i="47"/>
  <c r="H97" i="47"/>
  <c r="J96" i="47"/>
  <c r="I96" i="47"/>
  <c r="H96" i="47"/>
  <c r="J95" i="47"/>
  <c r="I95" i="47"/>
  <c r="H95" i="47"/>
  <c r="J89" i="47"/>
  <c r="I89" i="47"/>
  <c r="H89" i="47"/>
  <c r="F89" i="47"/>
  <c r="J88" i="47"/>
  <c r="I88" i="47"/>
  <c r="H88" i="47"/>
  <c r="F88" i="47"/>
  <c r="J87" i="47"/>
  <c r="I87" i="47"/>
  <c r="H87" i="47"/>
  <c r="J86" i="47"/>
  <c r="I86" i="47"/>
  <c r="H86" i="47"/>
  <c r="F86" i="47"/>
  <c r="J85" i="47"/>
  <c r="I85" i="47"/>
  <c r="H85" i="47"/>
  <c r="F85" i="47"/>
  <c r="J84" i="47"/>
  <c r="I84" i="47"/>
  <c r="H84" i="47"/>
  <c r="F84" i="47"/>
  <c r="J83" i="47"/>
  <c r="I83" i="47"/>
  <c r="H83" i="47"/>
  <c r="F83" i="47"/>
  <c r="J82" i="47"/>
  <c r="I82" i="47"/>
  <c r="H82" i="47"/>
  <c r="F82" i="47"/>
  <c r="J81" i="47"/>
  <c r="I81" i="47"/>
  <c r="H81" i="47"/>
  <c r="F81" i="47"/>
  <c r="J80" i="47"/>
  <c r="I80" i="47"/>
  <c r="H80" i="47"/>
  <c r="F80" i="47"/>
  <c r="J79" i="47"/>
  <c r="I79" i="47"/>
  <c r="H79" i="47"/>
  <c r="F79" i="47"/>
  <c r="J61" i="47"/>
  <c r="I61" i="47"/>
  <c r="H61" i="47"/>
  <c r="F61" i="47"/>
  <c r="J60" i="47"/>
  <c r="I60" i="47"/>
  <c r="H60" i="47"/>
  <c r="F60" i="47"/>
  <c r="J59" i="47"/>
  <c r="I59" i="47"/>
  <c r="H59" i="47"/>
  <c r="F59" i="47"/>
  <c r="J58" i="47"/>
  <c r="I58" i="47"/>
  <c r="H58" i="47"/>
  <c r="F58" i="47"/>
  <c r="J57" i="47"/>
  <c r="I57" i="47"/>
  <c r="H57" i="47"/>
  <c r="F57" i="47"/>
  <c r="J56" i="47"/>
  <c r="I56" i="47"/>
  <c r="H56" i="47"/>
  <c r="F56" i="47"/>
  <c r="J55" i="47"/>
  <c r="I55" i="47"/>
  <c r="H55" i="47"/>
  <c r="I49" i="47"/>
  <c r="H49" i="47"/>
  <c r="F49" i="47"/>
  <c r="I48" i="47"/>
  <c r="H48" i="47"/>
  <c r="F48" i="47"/>
  <c r="I47" i="47"/>
  <c r="H47" i="47"/>
  <c r="F47" i="47"/>
  <c r="I46" i="47"/>
  <c r="H46" i="47"/>
  <c r="F46" i="47"/>
  <c r="I45" i="47"/>
  <c r="H45" i="47"/>
  <c r="F45" i="47"/>
  <c r="I44" i="47"/>
  <c r="H44" i="47"/>
  <c r="F44" i="47"/>
  <c r="I43" i="47"/>
  <c r="H43" i="47"/>
  <c r="F43" i="47"/>
  <c r="I38" i="47"/>
  <c r="H38" i="47"/>
  <c r="F38" i="47"/>
  <c r="I37" i="47"/>
  <c r="H37" i="47"/>
  <c r="F37" i="47"/>
  <c r="I36" i="47"/>
  <c r="H36" i="47"/>
  <c r="F36" i="47"/>
  <c r="I35" i="47"/>
  <c r="H35" i="47"/>
  <c r="F35" i="47"/>
  <c r="I34" i="47"/>
  <c r="H34" i="47"/>
  <c r="F34" i="47"/>
  <c r="I33" i="47"/>
  <c r="H33" i="47"/>
  <c r="F33" i="47"/>
  <c r="I32" i="47"/>
  <c r="H32" i="47"/>
  <c r="F32" i="47"/>
  <c r="I27" i="47"/>
  <c r="H27" i="47"/>
  <c r="F27" i="47"/>
  <c r="I26" i="47"/>
  <c r="H26" i="47"/>
  <c r="F26" i="47"/>
  <c r="I25" i="47"/>
  <c r="H25" i="47"/>
  <c r="F25" i="47"/>
  <c r="I23" i="47"/>
  <c r="H23" i="47"/>
  <c r="F23" i="47"/>
  <c r="I22" i="47"/>
  <c r="H22" i="47"/>
  <c r="F22" i="47"/>
  <c r="H17" i="47"/>
  <c r="H16" i="47"/>
  <c r="J17" i="47"/>
  <c r="I17" i="47"/>
  <c r="R21" i="74"/>
  <c r="I16" i="47" s="1"/>
  <c r="P21" i="74"/>
  <c r="J16" i="47" s="1"/>
  <c r="P338" i="74"/>
  <c r="J49" i="47" s="1"/>
  <c r="P319" i="74"/>
  <c r="J48" i="47" s="1"/>
  <c r="P299" i="74"/>
  <c r="J47" i="47" s="1"/>
  <c r="P279" i="74"/>
  <c r="J46" i="47" s="1"/>
  <c r="P260" i="74"/>
  <c r="J45" i="47" s="1"/>
  <c r="P237" i="74"/>
  <c r="J44" i="47" s="1"/>
  <c r="P217" i="74"/>
  <c r="J43" i="47" s="1"/>
  <c r="P208" i="74"/>
  <c r="J38" i="47" s="1"/>
  <c r="P203" i="74"/>
  <c r="J37" i="47" s="1"/>
  <c r="P198" i="74"/>
  <c r="J36" i="47" s="1"/>
  <c r="P193" i="74"/>
  <c r="J35" i="47" s="1"/>
  <c r="P188" i="74"/>
  <c r="J34" i="47" s="1"/>
  <c r="P183" i="74"/>
  <c r="J33" i="47" s="1"/>
  <c r="P178" i="74"/>
  <c r="J32" i="47" s="1"/>
  <c r="P161" i="74"/>
  <c r="J27" i="47" s="1"/>
  <c r="P140" i="74"/>
  <c r="J26" i="47" s="1"/>
  <c r="P114" i="74"/>
  <c r="J25" i="47" s="1"/>
  <c r="P78" i="74" l="1"/>
  <c r="J23" i="47" s="1"/>
  <c r="P42" i="74"/>
  <c r="J22" i="47" s="1"/>
  <c r="H21" i="74"/>
  <c r="F16" i="47" s="1"/>
  <c r="H423" i="74"/>
  <c r="F102" i="47" s="1"/>
  <c r="H418" i="74"/>
  <c r="F97" i="47" s="1"/>
  <c r="H414" i="74"/>
  <c r="F96" i="47" s="1"/>
  <c r="H409" i="74"/>
  <c r="F95" i="47" s="1"/>
  <c r="H385" i="74"/>
  <c r="F87" i="47" s="1"/>
  <c r="H358" i="74"/>
  <c r="F55" i="47" s="1"/>
  <c r="H22" i="74"/>
  <c r="F17" i="47" s="1"/>
  <c r="C18" i="26" l="1"/>
  <c r="C43" i="26" l="1"/>
  <c r="D203" i="69" l="1"/>
  <c r="D201" i="69"/>
  <c r="D199" i="69"/>
  <c r="D177" i="69"/>
  <c r="D176" i="69"/>
  <c r="D174" i="69"/>
  <c r="D173" i="69"/>
  <c r="D169" i="69"/>
  <c r="D196" i="69" s="1"/>
  <c r="D167" i="69"/>
  <c r="D194" i="69" s="1"/>
  <c r="D165" i="69"/>
  <c r="D181" i="69" s="1"/>
  <c r="D164" i="69"/>
  <c r="D180" i="69" s="1"/>
  <c r="D160" i="69"/>
  <c r="D158" i="69"/>
  <c r="D157" i="69"/>
  <c r="D156" i="69"/>
  <c r="D155" i="69"/>
  <c r="D154" i="69"/>
  <c r="D153" i="69"/>
  <c r="D152" i="69"/>
  <c r="D151" i="69"/>
  <c r="D147" i="69"/>
  <c r="D146" i="69"/>
  <c r="D144" i="69"/>
  <c r="D143" i="69"/>
  <c r="D142" i="69"/>
  <c r="D141" i="69"/>
  <c r="D140" i="69"/>
  <c r="D139" i="69"/>
  <c r="D98" i="69"/>
  <c r="D97" i="69"/>
  <c r="D96" i="69"/>
  <c r="D95" i="69"/>
  <c r="D94" i="69"/>
  <c r="D93" i="69"/>
  <c r="D92" i="69"/>
  <c r="D91" i="69"/>
  <c r="D90" i="69"/>
  <c r="D89" i="69"/>
  <c r="D88" i="69"/>
  <c r="D87" i="69"/>
  <c r="D86" i="69"/>
  <c r="D145" i="69" l="1"/>
  <c r="D148" i="69"/>
  <c r="D53" i="69"/>
  <c r="D60" i="69" s="1"/>
  <c r="D19" i="69"/>
  <c r="D14" i="69"/>
  <c r="D16" i="69" s="1"/>
  <c r="D203" i="30"/>
  <c r="D153" i="30"/>
  <c r="D201" i="30"/>
  <c r="D199" i="30"/>
  <c r="D177" i="30"/>
  <c r="D176" i="30"/>
  <c r="D174" i="30"/>
  <c r="D173" i="30"/>
  <c r="D169" i="30"/>
  <c r="D196" i="30" s="1"/>
  <c r="D167" i="30"/>
  <c r="D194" i="30" s="1"/>
  <c r="D165" i="30"/>
  <c r="D181" i="30" s="1"/>
  <c r="D164" i="30"/>
  <c r="D180" i="30" s="1"/>
  <c r="D160" i="30"/>
  <c r="D158" i="30"/>
  <c r="D157" i="30"/>
  <c r="D156" i="30"/>
  <c r="D155" i="30"/>
  <c r="D154" i="30"/>
  <c r="D152" i="30"/>
  <c r="D151" i="30"/>
  <c r="D146" i="30"/>
  <c r="D144" i="30"/>
  <c r="D143" i="30"/>
  <c r="D142" i="30"/>
  <c r="D141" i="30"/>
  <c r="D140" i="30"/>
  <c r="D139" i="30"/>
  <c r="D98" i="30"/>
  <c r="D97" i="30"/>
  <c r="D96" i="30"/>
  <c r="D95" i="30"/>
  <c r="D94" i="30"/>
  <c r="D92" i="30"/>
  <c r="D91" i="30"/>
  <c r="D90" i="30"/>
  <c r="D89" i="30"/>
  <c r="D88" i="30"/>
  <c r="D87" i="30"/>
  <c r="D86" i="30"/>
  <c r="D53" i="30"/>
  <c r="D19" i="30"/>
  <c r="D14" i="30"/>
  <c r="L41" i="59"/>
  <c r="J41" i="59"/>
  <c r="H41" i="59"/>
  <c r="L41" i="58"/>
  <c r="J41" i="58"/>
  <c r="H41" i="58"/>
  <c r="E18" i="28"/>
  <c r="E40" i="28"/>
  <c r="C20" i="73"/>
  <c r="D20" i="73" s="1"/>
  <c r="E20" i="73" s="1"/>
  <c r="F20" i="73" s="1"/>
  <c r="G20" i="73" s="1"/>
  <c r="H20" i="73" s="1"/>
  <c r="I20" i="73" s="1"/>
  <c r="J20" i="73" s="1"/>
  <c r="K20" i="73" s="1"/>
  <c r="L20" i="73" s="1"/>
  <c r="M20" i="73" s="1"/>
  <c r="N20" i="73" s="1"/>
  <c r="O20" i="73" s="1"/>
  <c r="P20" i="73" s="1"/>
  <c r="Q20" i="73" s="1"/>
  <c r="R20" i="73" s="1"/>
  <c r="S20" i="73" s="1"/>
  <c r="T20" i="73" s="1"/>
  <c r="U20" i="73" s="1"/>
  <c r="V20" i="73" s="1"/>
  <c r="W20" i="73" s="1"/>
  <c r="X20" i="73" s="1"/>
  <c r="Y20" i="73" s="1"/>
  <c r="Z20" i="73" s="1"/>
  <c r="AA20" i="73" s="1"/>
  <c r="AB20" i="73" s="1"/>
  <c r="AC20" i="73" s="1"/>
  <c r="AD20" i="73" s="1"/>
  <c r="AE20" i="73" s="1"/>
  <c r="B19" i="73"/>
  <c r="C15" i="73" s="1"/>
  <c r="C19" i="73" s="1"/>
  <c r="C10" i="73"/>
  <c r="D10" i="73" s="1"/>
  <c r="E10" i="73" s="1"/>
  <c r="F10" i="73" s="1"/>
  <c r="G10" i="73" s="1"/>
  <c r="H10" i="73" s="1"/>
  <c r="I10" i="73" s="1"/>
  <c r="J10" i="73" s="1"/>
  <c r="K10" i="73" s="1"/>
  <c r="L10" i="73" s="1"/>
  <c r="M10" i="73" s="1"/>
  <c r="N10" i="73" s="1"/>
  <c r="O10" i="73" s="1"/>
  <c r="P10" i="73" s="1"/>
  <c r="Q10" i="73" s="1"/>
  <c r="R10" i="73" s="1"/>
  <c r="S10" i="73" s="1"/>
  <c r="T10" i="73" s="1"/>
  <c r="U10" i="73" s="1"/>
  <c r="V10" i="73" s="1"/>
  <c r="W10" i="73" s="1"/>
  <c r="X10" i="73" s="1"/>
  <c r="Y10" i="73" s="1"/>
  <c r="Z10" i="73" s="1"/>
  <c r="AA10" i="73" s="1"/>
  <c r="AB10" i="73" s="1"/>
  <c r="AC10" i="73" s="1"/>
  <c r="AD10" i="73" s="1"/>
  <c r="AE10" i="73" s="1"/>
  <c r="G8" i="73"/>
  <c r="F8" i="73"/>
  <c r="E8" i="73"/>
  <c r="D8" i="73"/>
  <c r="C8" i="73"/>
  <c r="B8" i="73"/>
  <c r="D145" i="30" l="1"/>
  <c r="D148" i="30"/>
  <c r="B21" i="73"/>
  <c r="D48" i="69"/>
  <c r="D175" i="69"/>
  <c r="D20" i="69"/>
  <c r="D54" i="69"/>
  <c r="D21" i="69"/>
  <c r="D25" i="69"/>
  <c r="D32" i="69"/>
  <c r="D36" i="69"/>
  <c r="D43" i="69"/>
  <c r="D47" i="69"/>
  <c r="D55" i="69"/>
  <c r="D59" i="69"/>
  <c r="D23" i="69"/>
  <c r="D30" i="69"/>
  <c r="D34" i="69"/>
  <c r="D41" i="69"/>
  <c r="D45" i="69"/>
  <c r="D57" i="69"/>
  <c r="D24" i="69"/>
  <c r="D31" i="69"/>
  <c r="D35" i="69"/>
  <c r="D42" i="69"/>
  <c r="D46" i="69"/>
  <c r="D58" i="69"/>
  <c r="D22" i="69"/>
  <c r="D26" i="69"/>
  <c r="D33" i="69"/>
  <c r="D37" i="69"/>
  <c r="D44" i="69"/>
  <c r="D56" i="69"/>
  <c r="C21" i="73"/>
  <c r="D15" i="73"/>
  <c r="D19" i="73" s="1"/>
  <c r="D21" i="73" l="1"/>
  <c r="E15" i="73"/>
  <c r="E19" i="73" s="1"/>
  <c r="E21" i="73" l="1"/>
  <c r="F15" i="73"/>
  <c r="F19" i="73" s="1"/>
  <c r="G15" i="73" l="1"/>
  <c r="G19" i="73" s="1"/>
  <c r="H15" i="73" s="1"/>
  <c r="H19" i="73" s="1"/>
  <c r="F21" i="73"/>
  <c r="H21" i="73" l="1"/>
  <c r="I15" i="73"/>
  <c r="I19" i="73" s="1"/>
  <c r="G21" i="73"/>
  <c r="I21" i="73" l="1"/>
  <c r="J15" i="73"/>
  <c r="J19" i="73" s="1"/>
  <c r="J21" i="73" l="1"/>
  <c r="K15" i="73"/>
  <c r="K19" i="73" s="1"/>
  <c r="K21" i="73" l="1"/>
  <c r="L15" i="73"/>
  <c r="L19" i="73" s="1"/>
  <c r="L21" i="73" l="1"/>
  <c r="M15" i="73"/>
  <c r="M19" i="73" s="1"/>
  <c r="M21" i="73" l="1"/>
  <c r="N15" i="73"/>
  <c r="N19" i="73" s="1"/>
  <c r="N21" i="73" l="1"/>
  <c r="O15" i="73"/>
  <c r="O19" i="73" s="1"/>
  <c r="P15" i="73" l="1"/>
  <c r="P19" i="73" s="1"/>
  <c r="O21" i="73"/>
  <c r="D18" i="28"/>
  <c r="K98" i="31"/>
  <c r="F18" i="28" l="1"/>
  <c r="C25" i="68"/>
  <c r="D25" i="68" s="1"/>
  <c r="R39" i="59"/>
  <c r="P21" i="73"/>
  <c r="Q15" i="73"/>
  <c r="Q19" i="73" s="1"/>
  <c r="J17" i="31"/>
  <c r="J19" i="31" s="1"/>
  <c r="J21" i="31" s="1"/>
  <c r="Q21" i="73" l="1"/>
  <c r="R15" i="73"/>
  <c r="R19" i="73" s="1"/>
  <c r="D39" i="59"/>
  <c r="G18" i="28"/>
  <c r="F39" i="59" s="1"/>
  <c r="H17" i="31"/>
  <c r="H19" i="31" s="1"/>
  <c r="H21" i="31" s="1"/>
  <c r="H28" i="31"/>
  <c r="H47" i="31"/>
  <c r="H57" i="31"/>
  <c r="P39" i="59" l="1"/>
  <c r="N39" i="59"/>
  <c r="R21" i="73"/>
  <c r="S15" i="73"/>
  <c r="S19" i="73" s="1"/>
  <c r="H18" i="28"/>
  <c r="D26" i="16" s="1"/>
  <c r="H59" i="31"/>
  <c r="S21" i="73" l="1"/>
  <c r="T15" i="73"/>
  <c r="T19" i="73" s="1"/>
  <c r="A4" i="67"/>
  <c r="A22" i="40"/>
  <c r="A29" i="20"/>
  <c r="A4" i="25"/>
  <c r="A25" i="28"/>
  <c r="A4" i="26"/>
  <c r="A30" i="25"/>
  <c r="A4" i="27"/>
  <c r="A25" i="27"/>
  <c r="A29" i="26"/>
  <c r="D39" i="20"/>
  <c r="C39" i="20"/>
  <c r="D14" i="20"/>
  <c r="C14" i="20"/>
  <c r="T21" i="73" l="1"/>
  <c r="U15" i="73"/>
  <c r="U19" i="73" s="1"/>
  <c r="A7" i="66"/>
  <c r="M98" i="31"/>
  <c r="O89" i="31"/>
  <c r="O81" i="31"/>
  <c r="L107" i="31"/>
  <c r="L95" i="31"/>
  <c r="L90" i="31"/>
  <c r="L84" i="31"/>
  <c r="L57" i="31"/>
  <c r="L47" i="31"/>
  <c r="L28" i="31"/>
  <c r="L17" i="31"/>
  <c r="L19" i="31" s="1"/>
  <c r="L21" i="31" s="1"/>
  <c r="N117" i="31"/>
  <c r="N107" i="31"/>
  <c r="N95" i="31"/>
  <c r="N90" i="31"/>
  <c r="N84" i="31"/>
  <c r="N57" i="31"/>
  <c r="N47" i="31"/>
  <c r="N28" i="31"/>
  <c r="N17" i="31"/>
  <c r="N19" i="31" s="1"/>
  <c r="N21" i="31" s="1"/>
  <c r="P117" i="31"/>
  <c r="P107" i="31"/>
  <c r="P95" i="31"/>
  <c r="P90" i="31"/>
  <c r="P84" i="31"/>
  <c r="P57" i="31"/>
  <c r="P47" i="31"/>
  <c r="P28" i="31"/>
  <c r="P19" i="31"/>
  <c r="P21" i="31" s="1"/>
  <c r="F116" i="31"/>
  <c r="F114" i="31"/>
  <c r="F113" i="31"/>
  <c r="F112" i="31"/>
  <c r="F111" i="31"/>
  <c r="F110" i="31"/>
  <c r="F106" i="31"/>
  <c r="F105" i="31"/>
  <c r="F104" i="31"/>
  <c r="F103" i="31"/>
  <c r="F102" i="31"/>
  <c r="F101" i="31"/>
  <c r="F100" i="31"/>
  <c r="F99" i="31"/>
  <c r="F98" i="31"/>
  <c r="F94" i="31"/>
  <c r="F93" i="31"/>
  <c r="U21" i="73" l="1"/>
  <c r="V15" i="73"/>
  <c r="V19" i="73" s="1"/>
  <c r="F89" i="31"/>
  <c r="F87" i="31"/>
  <c r="F82" i="31"/>
  <c r="F81" i="31"/>
  <c r="F80" i="31"/>
  <c r="F79" i="31"/>
  <c r="F78" i="31"/>
  <c r="F51" i="31"/>
  <c r="F52" i="31"/>
  <c r="F53" i="31"/>
  <c r="F54" i="31"/>
  <c r="F56" i="31"/>
  <c r="F55" i="31"/>
  <c r="F50" i="31" s="1"/>
  <c r="F46" i="31"/>
  <c r="F45" i="31"/>
  <c r="F44" i="31"/>
  <c r="F43" i="31"/>
  <c r="F42" i="31"/>
  <c r="F41" i="31"/>
  <c r="F40" i="31"/>
  <c r="F39" i="31"/>
  <c r="F36" i="31"/>
  <c r="F37" i="31"/>
  <c r="F38" i="31"/>
  <c r="F35" i="31"/>
  <c r="F34" i="31"/>
  <c r="F26" i="31"/>
  <c r="F24" i="31"/>
  <c r="F20" i="31"/>
  <c r="F33" i="31"/>
  <c r="F31" i="31"/>
  <c r="AG6" i="65"/>
  <c r="P6" i="65"/>
  <c r="D34" i="27"/>
  <c r="D13" i="27"/>
  <c r="E36" i="27"/>
  <c r="C36" i="27"/>
  <c r="E15" i="27"/>
  <c r="C15" i="27"/>
  <c r="C14" i="68"/>
  <c r="C14" i="67"/>
  <c r="B476" i="13"/>
  <c r="V21" i="73" l="1"/>
  <c r="W15" i="73"/>
  <c r="W19" i="73" s="1"/>
  <c r="G29" i="9"/>
  <c r="G13" i="9"/>
  <c r="G30" i="9"/>
  <c r="F30" i="9" s="1"/>
  <c r="F31" i="9"/>
  <c r="F15" i="9"/>
  <c r="G14" i="9"/>
  <c r="F14" i="9" s="1"/>
  <c r="W21" i="73" l="1"/>
  <c r="X15" i="73"/>
  <c r="X19" i="73" s="1"/>
  <c r="F14" i="68"/>
  <c r="F29" i="9"/>
  <c r="F14" i="67"/>
  <c r="D15" i="16"/>
  <c r="F15" i="16"/>
  <c r="F13" i="9"/>
  <c r="X21" i="73" l="1"/>
  <c r="Y15" i="73"/>
  <c r="Y19" i="73" s="1"/>
  <c r="C47" i="18"/>
  <c r="B47" i="18"/>
  <c r="C18" i="18"/>
  <c r="B18" i="18"/>
  <c r="C49" i="11"/>
  <c r="B49" i="11"/>
  <c r="C19" i="11"/>
  <c r="B19" i="11"/>
  <c r="B57" i="11"/>
  <c r="B56" i="11"/>
  <c r="B54" i="11"/>
  <c r="B53" i="11"/>
  <c r="B52" i="11"/>
  <c r="B51" i="11"/>
  <c r="B46" i="11"/>
  <c r="B45" i="11"/>
  <c r="B44" i="11"/>
  <c r="B43" i="11"/>
  <c r="B42" i="11"/>
  <c r="B23" i="18"/>
  <c r="B22" i="18"/>
  <c r="B21" i="18"/>
  <c r="B50" i="18" s="1"/>
  <c r="B20" i="18"/>
  <c r="B15" i="18"/>
  <c r="Y21" i="73" l="1"/>
  <c r="Z15" i="73"/>
  <c r="Z19" i="73" s="1"/>
  <c r="B44" i="18"/>
  <c r="B49" i="18"/>
  <c r="B51" i="18"/>
  <c r="B52" i="18"/>
  <c r="Z21" i="73" l="1"/>
  <c r="AA15" i="73"/>
  <c r="AA19" i="73" s="1"/>
  <c r="C48" i="3"/>
  <c r="C47" i="3"/>
  <c r="C46" i="3"/>
  <c r="C45" i="3"/>
  <c r="C44" i="3"/>
  <c r="C43" i="3"/>
  <c r="C42" i="3"/>
  <c r="C41" i="3"/>
  <c r="C40" i="3"/>
  <c r="C39" i="3"/>
  <c r="C38" i="3"/>
  <c r="C37" i="3"/>
  <c r="C36" i="3"/>
  <c r="R2" i="58" l="1"/>
  <c r="R2" i="59"/>
  <c r="AA21" i="73"/>
  <c r="AB15" i="73"/>
  <c r="AB19" i="73" s="1"/>
  <c r="B26" i="18"/>
  <c r="B55" i="18" s="1"/>
  <c r="B25" i="18"/>
  <c r="B54" i="18" s="1"/>
  <c r="B14" i="18"/>
  <c r="B13" i="18"/>
  <c r="B12" i="18"/>
  <c r="B41" i="18" s="1"/>
  <c r="C16" i="20"/>
  <c r="C18" i="20"/>
  <c r="C20" i="20"/>
  <c r="P274" i="72"/>
  <c r="P273" i="72"/>
  <c r="P272" i="72"/>
  <c r="P271" i="72"/>
  <c r="P270" i="72"/>
  <c r="P269" i="72"/>
  <c r="P268" i="72"/>
  <c r="P267" i="72"/>
  <c r="P266" i="72"/>
  <c r="P265" i="72"/>
  <c r="P264" i="72"/>
  <c r="P263" i="72"/>
  <c r="P262" i="72"/>
  <c r="P261" i="72"/>
  <c r="P260" i="72"/>
  <c r="P259" i="72"/>
  <c r="P258" i="72"/>
  <c r="P257" i="72"/>
  <c r="P256" i="72"/>
  <c r="P255" i="72"/>
  <c r="P254" i="72"/>
  <c r="P253" i="72"/>
  <c r="P252" i="72"/>
  <c r="P251" i="72"/>
  <c r="P250" i="72"/>
  <c r="P249" i="72"/>
  <c r="P248" i="72"/>
  <c r="P247" i="72"/>
  <c r="P246" i="72"/>
  <c r="P245" i="72"/>
  <c r="P244" i="72"/>
  <c r="P243" i="72"/>
  <c r="P242" i="72"/>
  <c r="P241" i="72"/>
  <c r="P240" i="72"/>
  <c r="P239" i="72"/>
  <c r="P238" i="72"/>
  <c r="P237" i="72"/>
  <c r="P236" i="72"/>
  <c r="P235" i="72"/>
  <c r="P234" i="72"/>
  <c r="P233" i="72"/>
  <c r="P232" i="72"/>
  <c r="P231" i="72"/>
  <c r="P230" i="72"/>
  <c r="P229" i="72"/>
  <c r="P228" i="72"/>
  <c r="P227" i="72"/>
  <c r="P226" i="72"/>
  <c r="P225" i="72"/>
  <c r="P224" i="72"/>
  <c r="P223" i="72"/>
  <c r="P222" i="72"/>
  <c r="P221" i="72"/>
  <c r="P220" i="72"/>
  <c r="P219" i="72"/>
  <c r="P218" i="72"/>
  <c r="P217" i="72"/>
  <c r="P216" i="72"/>
  <c r="P215" i="72"/>
  <c r="P214" i="72"/>
  <c r="P213" i="72"/>
  <c r="P212" i="72"/>
  <c r="P211" i="72"/>
  <c r="P210" i="72"/>
  <c r="P209" i="72"/>
  <c r="P208" i="72"/>
  <c r="P207" i="72"/>
  <c r="P206" i="72"/>
  <c r="P205" i="72"/>
  <c r="P204" i="72"/>
  <c r="P203" i="72"/>
  <c r="P202" i="72"/>
  <c r="P201" i="72"/>
  <c r="P200" i="72"/>
  <c r="P199" i="72"/>
  <c r="P198" i="72"/>
  <c r="P197" i="72"/>
  <c r="P196" i="72"/>
  <c r="P195" i="72"/>
  <c r="P194" i="72"/>
  <c r="P193" i="72"/>
  <c r="P192" i="72"/>
  <c r="P191" i="72"/>
  <c r="P190" i="72"/>
  <c r="P189" i="72"/>
  <c r="P188" i="72"/>
  <c r="P187" i="72"/>
  <c r="P186" i="72"/>
  <c r="P185" i="72"/>
  <c r="P184" i="72"/>
  <c r="P183" i="72"/>
  <c r="P182" i="72"/>
  <c r="P181" i="72"/>
  <c r="P180" i="72"/>
  <c r="P179" i="72"/>
  <c r="P178" i="72"/>
  <c r="P177" i="72"/>
  <c r="P176" i="72"/>
  <c r="P175" i="72"/>
  <c r="P174" i="72"/>
  <c r="P173" i="72"/>
  <c r="P172" i="72"/>
  <c r="P171" i="72"/>
  <c r="P170" i="72"/>
  <c r="P169" i="72"/>
  <c r="P168" i="72"/>
  <c r="P167" i="72"/>
  <c r="P166" i="72"/>
  <c r="P165" i="72"/>
  <c r="P164" i="72"/>
  <c r="P163" i="72"/>
  <c r="P162" i="72"/>
  <c r="P161" i="72"/>
  <c r="P160" i="72"/>
  <c r="P159" i="72"/>
  <c r="P158" i="72"/>
  <c r="P157" i="72"/>
  <c r="P156" i="72"/>
  <c r="P155" i="72"/>
  <c r="P154" i="72"/>
  <c r="P153" i="72"/>
  <c r="P152" i="72"/>
  <c r="P151" i="72"/>
  <c r="P150" i="72"/>
  <c r="P149" i="72"/>
  <c r="P148" i="72"/>
  <c r="P147" i="72"/>
  <c r="P146" i="72"/>
  <c r="P145" i="72"/>
  <c r="P144" i="72"/>
  <c r="P143" i="72"/>
  <c r="P142" i="72"/>
  <c r="P141" i="72"/>
  <c r="P140" i="72"/>
  <c r="P139" i="72"/>
  <c r="P138" i="72"/>
  <c r="P137" i="72"/>
  <c r="P136" i="72"/>
  <c r="P135" i="72"/>
  <c r="P134" i="72"/>
  <c r="P133" i="72"/>
  <c r="P132" i="72"/>
  <c r="P131" i="72"/>
  <c r="P130" i="72"/>
  <c r="P129" i="72"/>
  <c r="P128" i="72"/>
  <c r="P127" i="72"/>
  <c r="P126" i="72"/>
  <c r="P125" i="72"/>
  <c r="P124" i="72"/>
  <c r="P123" i="72"/>
  <c r="P122" i="72"/>
  <c r="P121" i="72"/>
  <c r="P120" i="72"/>
  <c r="P119" i="72"/>
  <c r="P118" i="72"/>
  <c r="P117" i="72"/>
  <c r="P116" i="72"/>
  <c r="P115" i="72"/>
  <c r="P114" i="72"/>
  <c r="P113" i="72"/>
  <c r="P112" i="72"/>
  <c r="P111" i="72"/>
  <c r="P110" i="72"/>
  <c r="P109" i="72"/>
  <c r="P108" i="72"/>
  <c r="P107" i="72"/>
  <c r="P106" i="72"/>
  <c r="P105" i="72"/>
  <c r="P104" i="72"/>
  <c r="P103" i="72"/>
  <c r="P102" i="72"/>
  <c r="P101" i="72"/>
  <c r="P100" i="72"/>
  <c r="P99" i="72"/>
  <c r="P98" i="72"/>
  <c r="P97" i="72"/>
  <c r="P96" i="72"/>
  <c r="P95" i="72"/>
  <c r="P94" i="72"/>
  <c r="P93" i="72"/>
  <c r="P92" i="72"/>
  <c r="P91" i="72"/>
  <c r="P90" i="72"/>
  <c r="P89" i="72"/>
  <c r="P88" i="72"/>
  <c r="P87" i="72"/>
  <c r="P86" i="72"/>
  <c r="P85" i="72"/>
  <c r="P84" i="72"/>
  <c r="P83" i="72"/>
  <c r="P82" i="72"/>
  <c r="P81" i="72"/>
  <c r="P80" i="72"/>
  <c r="P79" i="72"/>
  <c r="P78" i="72"/>
  <c r="P77" i="72"/>
  <c r="P76" i="72"/>
  <c r="P75" i="72"/>
  <c r="P74" i="72"/>
  <c r="P73" i="72"/>
  <c r="P72" i="72"/>
  <c r="P71" i="72"/>
  <c r="P70" i="72"/>
  <c r="P69" i="72"/>
  <c r="P68" i="72"/>
  <c r="P67" i="72"/>
  <c r="P66" i="72"/>
  <c r="P65" i="72"/>
  <c r="P64" i="72"/>
  <c r="P63" i="72"/>
  <c r="P62" i="72"/>
  <c r="P61" i="72"/>
  <c r="P60" i="72"/>
  <c r="P59" i="72"/>
  <c r="P58" i="72"/>
  <c r="P57" i="72"/>
  <c r="P56" i="72"/>
  <c r="P55" i="72"/>
  <c r="P54" i="72"/>
  <c r="P53" i="72"/>
  <c r="P52" i="72"/>
  <c r="P51" i="72"/>
  <c r="P50" i="72"/>
  <c r="P49" i="72"/>
  <c r="P48" i="72"/>
  <c r="P47" i="72"/>
  <c r="P46" i="72"/>
  <c r="P45" i="72"/>
  <c r="P44" i="72"/>
  <c r="P43" i="72"/>
  <c r="P42" i="72"/>
  <c r="P41" i="72"/>
  <c r="P40" i="72"/>
  <c r="P39" i="72"/>
  <c r="P38" i="72"/>
  <c r="P37" i="72"/>
  <c r="P36" i="72"/>
  <c r="P35" i="72"/>
  <c r="P34" i="72"/>
  <c r="P33" i="72"/>
  <c r="P32" i="72"/>
  <c r="P31" i="72"/>
  <c r="P30" i="72"/>
  <c r="P29" i="72"/>
  <c r="P28" i="72"/>
  <c r="P27" i="72"/>
  <c r="P26" i="72"/>
  <c r="P25" i="72"/>
  <c r="P24" i="72"/>
  <c r="P23" i="72"/>
  <c r="P22" i="72"/>
  <c r="P21" i="72"/>
  <c r="P20" i="72"/>
  <c r="P19" i="72"/>
  <c r="P18" i="72"/>
  <c r="P17" i="72"/>
  <c r="P16" i="72"/>
  <c r="P15" i="72"/>
  <c r="P14" i="72"/>
  <c r="P13" i="72"/>
  <c r="P12" i="72"/>
  <c r="P11" i="72"/>
  <c r="P10" i="72"/>
  <c r="AG274" i="72"/>
  <c r="AG273" i="72"/>
  <c r="AG272" i="72"/>
  <c r="AG271" i="72"/>
  <c r="AG270" i="72"/>
  <c r="AG269" i="72"/>
  <c r="D94" i="31" s="1"/>
  <c r="AG268" i="72"/>
  <c r="AG267" i="72"/>
  <c r="AG266" i="72"/>
  <c r="AG265" i="72"/>
  <c r="AG264" i="72"/>
  <c r="AG263" i="72"/>
  <c r="AG262" i="72"/>
  <c r="AG261" i="72"/>
  <c r="D93" i="31" s="1"/>
  <c r="AG260" i="72"/>
  <c r="AG259" i="72"/>
  <c r="AG258" i="72"/>
  <c r="AG257" i="72"/>
  <c r="AG256" i="72"/>
  <c r="D112" i="31" s="1"/>
  <c r="AG255" i="72"/>
  <c r="AG254" i="72"/>
  <c r="AG253" i="72"/>
  <c r="AG252" i="72"/>
  <c r="AG251" i="72"/>
  <c r="AG250" i="72"/>
  <c r="D114" i="31" s="1"/>
  <c r="AG249" i="72"/>
  <c r="AG248" i="72"/>
  <c r="AG247" i="72"/>
  <c r="AG246" i="72"/>
  <c r="AG245" i="72"/>
  <c r="D110" i="31" s="1"/>
  <c r="AG244" i="72"/>
  <c r="AG243" i="72"/>
  <c r="AG242" i="72"/>
  <c r="AG241" i="72"/>
  <c r="AG240" i="72"/>
  <c r="D113" i="31" s="1"/>
  <c r="AG239" i="72"/>
  <c r="AG238" i="72"/>
  <c r="AG237" i="72"/>
  <c r="AG236" i="72"/>
  <c r="AG235" i="72"/>
  <c r="AG234" i="72"/>
  <c r="AG233" i="72"/>
  <c r="AG232" i="72"/>
  <c r="D111" i="31" s="1"/>
  <c r="AG231" i="72"/>
  <c r="AG230" i="72"/>
  <c r="AG229" i="72"/>
  <c r="AG228" i="72"/>
  <c r="AG227" i="72"/>
  <c r="D116" i="31" s="1"/>
  <c r="AG226" i="72"/>
  <c r="AG225" i="72"/>
  <c r="AG224" i="72"/>
  <c r="AG223" i="72"/>
  <c r="AG222" i="72"/>
  <c r="AG221" i="72"/>
  <c r="AG220" i="72"/>
  <c r="AG219" i="72"/>
  <c r="AG218" i="72"/>
  <c r="AG217" i="72"/>
  <c r="AG216" i="72"/>
  <c r="AG215" i="72"/>
  <c r="AG214" i="72"/>
  <c r="AG213" i="72"/>
  <c r="AG212" i="72"/>
  <c r="AG211" i="72"/>
  <c r="AG210" i="72"/>
  <c r="AG209" i="72"/>
  <c r="AG208" i="72"/>
  <c r="AG207" i="72"/>
  <c r="AG206" i="72"/>
  <c r="AG205" i="72"/>
  <c r="AG204" i="72"/>
  <c r="AG203" i="72"/>
  <c r="D104" i="31" s="1"/>
  <c r="AG202" i="72"/>
  <c r="AG201" i="72"/>
  <c r="AG200" i="72"/>
  <c r="AG199" i="72"/>
  <c r="AG198" i="72"/>
  <c r="D103" i="31" s="1"/>
  <c r="AG197" i="72"/>
  <c r="AG196" i="72"/>
  <c r="D102" i="31" s="1"/>
  <c r="AG195" i="72"/>
  <c r="AG194" i="72"/>
  <c r="D101" i="31" s="1"/>
  <c r="AG193" i="72"/>
  <c r="AG192" i="72"/>
  <c r="AG191" i="72"/>
  <c r="AG190" i="72"/>
  <c r="AG189" i="72"/>
  <c r="D99" i="31" s="1"/>
  <c r="AG188" i="72"/>
  <c r="AG187" i="72"/>
  <c r="AG186" i="72"/>
  <c r="AG185" i="72"/>
  <c r="AG184" i="72"/>
  <c r="AG183" i="72"/>
  <c r="AG182" i="72"/>
  <c r="AG181" i="72"/>
  <c r="D98" i="31" s="1"/>
  <c r="AG180" i="72"/>
  <c r="AG179" i="72"/>
  <c r="AG178" i="72"/>
  <c r="AG177" i="72"/>
  <c r="D100" i="31" s="1"/>
  <c r="AG176" i="72"/>
  <c r="AG175" i="72"/>
  <c r="AG174" i="72"/>
  <c r="AG173" i="72"/>
  <c r="AG172" i="72"/>
  <c r="AG171" i="72"/>
  <c r="AG170" i="72"/>
  <c r="AG169" i="72"/>
  <c r="AG168" i="72"/>
  <c r="AG167" i="72"/>
  <c r="D89" i="31" s="1"/>
  <c r="AG166" i="72"/>
  <c r="AG165" i="72"/>
  <c r="AG164" i="72"/>
  <c r="AG163" i="72"/>
  <c r="AG162" i="72"/>
  <c r="AG161" i="72"/>
  <c r="AG160" i="72"/>
  <c r="AG159" i="72"/>
  <c r="AG158" i="72"/>
  <c r="D81" i="31" s="1"/>
  <c r="AG157" i="72"/>
  <c r="AG156" i="72"/>
  <c r="AG155" i="72"/>
  <c r="AG154" i="72"/>
  <c r="AG153" i="72"/>
  <c r="D82" i="31" s="1"/>
  <c r="AG152" i="72"/>
  <c r="AG151" i="72"/>
  <c r="AG150" i="72"/>
  <c r="AG149" i="72"/>
  <c r="D79" i="31" s="1"/>
  <c r="AG148" i="72"/>
  <c r="AG147" i="72"/>
  <c r="AG146" i="72"/>
  <c r="AG145" i="72"/>
  <c r="D80" i="31" s="1"/>
  <c r="AG144" i="72"/>
  <c r="AG143" i="72"/>
  <c r="AG142" i="72"/>
  <c r="AG141" i="72"/>
  <c r="D78" i="31" s="1"/>
  <c r="AG140" i="72"/>
  <c r="AG139" i="72"/>
  <c r="AG138" i="72"/>
  <c r="AG137" i="72"/>
  <c r="AG136" i="72"/>
  <c r="AG135" i="72"/>
  <c r="AG134" i="72"/>
  <c r="AG133" i="72"/>
  <c r="AG132" i="72"/>
  <c r="AG131" i="72"/>
  <c r="AG130" i="72"/>
  <c r="AG129" i="72"/>
  <c r="AG128" i="72"/>
  <c r="AG127" i="72"/>
  <c r="AG126" i="72"/>
  <c r="AG125" i="72"/>
  <c r="AG124" i="72"/>
  <c r="AG123" i="72"/>
  <c r="AG122" i="72"/>
  <c r="AG121" i="72"/>
  <c r="AG120" i="72"/>
  <c r="AG119" i="72"/>
  <c r="AG118" i="72"/>
  <c r="AG117" i="72"/>
  <c r="AG116" i="72"/>
  <c r="AG115" i="72"/>
  <c r="D51" i="31" s="1"/>
  <c r="AG114" i="72"/>
  <c r="AG113" i="72"/>
  <c r="AG112" i="72"/>
  <c r="AG111" i="72"/>
  <c r="AG110" i="72"/>
  <c r="AG109" i="72"/>
  <c r="AG108" i="72"/>
  <c r="AG107" i="72"/>
  <c r="AG106" i="72"/>
  <c r="AG105" i="72"/>
  <c r="D56" i="31" s="1"/>
  <c r="AG104" i="72"/>
  <c r="AG103" i="72"/>
  <c r="AG102" i="72"/>
  <c r="AG101" i="72"/>
  <c r="AG100" i="72"/>
  <c r="AG99" i="72"/>
  <c r="AG98" i="72"/>
  <c r="AG97" i="72"/>
  <c r="D55" i="31" s="1"/>
  <c r="AG96" i="72"/>
  <c r="AG95" i="72"/>
  <c r="AG94" i="72"/>
  <c r="AG93" i="72"/>
  <c r="AG92" i="72"/>
  <c r="AG91" i="72"/>
  <c r="AG90" i="72"/>
  <c r="AG89" i="72"/>
  <c r="D46" i="31" s="1"/>
  <c r="AG88" i="72"/>
  <c r="AG87" i="72"/>
  <c r="AG86" i="72"/>
  <c r="AG85" i="72"/>
  <c r="AG84" i="72"/>
  <c r="D43" i="31" s="1"/>
  <c r="AG83" i="72"/>
  <c r="AG82" i="72"/>
  <c r="AG81" i="72"/>
  <c r="AG80" i="72"/>
  <c r="AG79" i="72"/>
  <c r="AG78" i="72"/>
  <c r="AG77" i="72"/>
  <c r="D42" i="31" s="1"/>
  <c r="AG76" i="72"/>
  <c r="D41" i="31" s="1"/>
  <c r="AG75" i="72"/>
  <c r="D40" i="31" s="1"/>
  <c r="AG74" i="72"/>
  <c r="D39" i="31" s="1"/>
  <c r="AG73" i="72"/>
  <c r="AG72" i="72"/>
  <c r="AG71" i="72"/>
  <c r="D38" i="31" s="1"/>
  <c r="AG70" i="72"/>
  <c r="AG69" i="72"/>
  <c r="AG68" i="72"/>
  <c r="AG67" i="72"/>
  <c r="AG66" i="72"/>
  <c r="AG65" i="72"/>
  <c r="AG64" i="72"/>
  <c r="AG63" i="72"/>
  <c r="D45" i="31" s="1"/>
  <c r="AG62" i="72"/>
  <c r="AG61" i="72"/>
  <c r="AG60" i="72"/>
  <c r="AG59" i="72"/>
  <c r="AG58" i="72"/>
  <c r="AG57" i="72"/>
  <c r="AG56" i="72"/>
  <c r="AG55" i="72"/>
  <c r="AG54" i="72"/>
  <c r="D35" i="31" s="1"/>
  <c r="AG53" i="72"/>
  <c r="AG52" i="72"/>
  <c r="AG51" i="72"/>
  <c r="AG50" i="72"/>
  <c r="D34" i="31" s="1"/>
  <c r="AG49" i="72"/>
  <c r="AG48" i="72"/>
  <c r="AG47" i="72"/>
  <c r="AG46" i="72"/>
  <c r="D33" i="31" s="1"/>
  <c r="AG45" i="72"/>
  <c r="D31" i="31" s="1"/>
  <c r="AG44" i="72"/>
  <c r="AG43" i="72"/>
  <c r="AG42" i="72"/>
  <c r="AG41" i="72"/>
  <c r="AG40" i="72"/>
  <c r="AG39" i="72"/>
  <c r="AG38" i="72"/>
  <c r="AG37" i="72"/>
  <c r="D24" i="31" s="1"/>
  <c r="AG36" i="72"/>
  <c r="AG35" i="72"/>
  <c r="AG34" i="72"/>
  <c r="AG33" i="72"/>
  <c r="D26" i="31" s="1"/>
  <c r="AG32" i="72"/>
  <c r="AG31" i="72"/>
  <c r="AG30" i="72"/>
  <c r="AG29" i="72"/>
  <c r="AG28" i="72"/>
  <c r="AG27" i="72"/>
  <c r="AG26" i="72"/>
  <c r="D20" i="31" s="1"/>
  <c r="AG25" i="72"/>
  <c r="AG24" i="72"/>
  <c r="AG23" i="72"/>
  <c r="AG22" i="72"/>
  <c r="AG21" i="72"/>
  <c r="AG20" i="72"/>
  <c r="AG19" i="72"/>
  <c r="AG18" i="72"/>
  <c r="AG17" i="72"/>
  <c r="AG16" i="72"/>
  <c r="AG15" i="72"/>
  <c r="AG14" i="72"/>
  <c r="AG13" i="72"/>
  <c r="AG12" i="72"/>
  <c r="AG11" i="72"/>
  <c r="AG10" i="72"/>
  <c r="A44" i="45"/>
  <c r="A43" i="45"/>
  <c r="A42" i="45"/>
  <c r="A41" i="45"/>
  <c r="A40" i="45"/>
  <c r="A39" i="45"/>
  <c r="A38" i="45"/>
  <c r="A37" i="45"/>
  <c r="A36" i="45"/>
  <c r="A35" i="45"/>
  <c r="A34" i="45"/>
  <c r="A33" i="45"/>
  <c r="A32" i="45"/>
  <c r="A31" i="45"/>
  <c r="A30" i="45"/>
  <c r="A29" i="45"/>
  <c r="A28" i="45"/>
  <c r="A27" i="45"/>
  <c r="A26" i="45"/>
  <c r="A25" i="45"/>
  <c r="A24" i="45"/>
  <c r="A23" i="45"/>
  <c r="A22" i="45"/>
  <c r="A21" i="45"/>
  <c r="A20" i="45"/>
  <c r="A19" i="45"/>
  <c r="A18" i="45"/>
  <c r="A17" i="45"/>
  <c r="A16" i="45"/>
  <c r="A15" i="45"/>
  <c r="A14" i="45"/>
  <c r="A13" i="45"/>
  <c r="A12" i="45"/>
  <c r="A11" i="45"/>
  <c r="A10" i="45"/>
  <c r="A9" i="45"/>
  <c r="A8" i="45"/>
  <c r="A7" i="45"/>
  <c r="A6" i="45"/>
  <c r="C45" i="45"/>
  <c r="C44" i="45"/>
  <c r="C43" i="45"/>
  <c r="C42" i="45"/>
  <c r="C41" i="45"/>
  <c r="C40" i="45"/>
  <c r="C39" i="45"/>
  <c r="C38" i="45"/>
  <c r="C37" i="45"/>
  <c r="C36" i="45"/>
  <c r="C35" i="45"/>
  <c r="C34" i="45"/>
  <c r="C33" i="45"/>
  <c r="C32" i="45"/>
  <c r="C31" i="45"/>
  <c r="C30" i="45"/>
  <c r="C29" i="45"/>
  <c r="C28" i="45"/>
  <c r="C27" i="45"/>
  <c r="C26" i="45"/>
  <c r="C25" i="45"/>
  <c r="C24" i="45"/>
  <c r="C23" i="45"/>
  <c r="C22" i="45"/>
  <c r="C21" i="45"/>
  <c r="C20" i="45"/>
  <c r="C19" i="45"/>
  <c r="C18" i="45"/>
  <c r="C17" i="45"/>
  <c r="C16" i="45"/>
  <c r="C15" i="45"/>
  <c r="C14" i="45"/>
  <c r="C13" i="45"/>
  <c r="C12" i="45"/>
  <c r="C11" i="45"/>
  <c r="C10" i="45"/>
  <c r="C9" i="45"/>
  <c r="C8" i="45"/>
  <c r="C7" i="45"/>
  <c r="C6" i="45"/>
  <c r="Q45" i="45"/>
  <c r="Q44" i="45"/>
  <c r="Q43" i="45"/>
  <c r="Q42" i="45"/>
  <c r="Q41" i="45"/>
  <c r="Q40" i="45"/>
  <c r="Q39" i="45"/>
  <c r="Q38" i="45"/>
  <c r="Q37" i="45"/>
  <c r="Q36" i="45"/>
  <c r="Q35" i="45"/>
  <c r="Q34" i="45"/>
  <c r="Q33" i="45"/>
  <c r="Q32" i="45"/>
  <c r="Q31" i="45"/>
  <c r="Q30" i="45"/>
  <c r="Q29" i="45"/>
  <c r="Q28" i="45"/>
  <c r="Q27" i="45"/>
  <c r="Q26" i="45"/>
  <c r="Q25" i="45"/>
  <c r="Q24" i="45"/>
  <c r="Q23" i="45"/>
  <c r="Q22" i="45"/>
  <c r="Q21" i="45"/>
  <c r="Q20" i="45"/>
  <c r="Q19" i="45"/>
  <c r="Q18" i="45"/>
  <c r="Q17" i="45"/>
  <c r="Q16" i="45"/>
  <c r="Q15" i="45"/>
  <c r="Q14" i="45"/>
  <c r="Q13" i="45"/>
  <c r="Q12" i="45"/>
  <c r="Q11" i="45"/>
  <c r="Q10" i="45"/>
  <c r="Q9" i="45"/>
  <c r="Q8" i="45"/>
  <c r="Q7" i="45"/>
  <c r="Q6" i="45"/>
  <c r="C44" i="44"/>
  <c r="C43" i="44"/>
  <c r="C42" i="44"/>
  <c r="C41" i="44"/>
  <c r="C40" i="44"/>
  <c r="C39" i="44"/>
  <c r="C38" i="44"/>
  <c r="C37" i="44"/>
  <c r="C36" i="44"/>
  <c r="C35" i="44"/>
  <c r="C34" i="44"/>
  <c r="C33" i="44"/>
  <c r="C32" i="44"/>
  <c r="C31" i="44"/>
  <c r="C30" i="44"/>
  <c r="C29" i="44"/>
  <c r="C28" i="44"/>
  <c r="C27" i="44"/>
  <c r="C26" i="44"/>
  <c r="C25" i="44"/>
  <c r="C24" i="44"/>
  <c r="C23" i="44"/>
  <c r="C22" i="44"/>
  <c r="C21" i="44"/>
  <c r="C20" i="44"/>
  <c r="C19" i="44"/>
  <c r="C18" i="44"/>
  <c r="C17" i="44"/>
  <c r="C16" i="44"/>
  <c r="C15" i="44"/>
  <c r="C14" i="44"/>
  <c r="C13" i="44"/>
  <c r="C12" i="44"/>
  <c r="C11" i="44"/>
  <c r="C10" i="44"/>
  <c r="C9" i="44"/>
  <c r="C8" i="44"/>
  <c r="C7" i="44"/>
  <c r="C6" i="44"/>
  <c r="A44" i="44"/>
  <c r="A43" i="44"/>
  <c r="A42" i="44"/>
  <c r="A41" i="44"/>
  <c r="A40" i="44"/>
  <c r="A39" i="44"/>
  <c r="A38" i="44"/>
  <c r="A37" i="44"/>
  <c r="A36" i="44"/>
  <c r="A35" i="44"/>
  <c r="A34" i="44"/>
  <c r="A33" i="44"/>
  <c r="A32" i="44"/>
  <c r="A31" i="44"/>
  <c r="A30" i="44"/>
  <c r="A29" i="44"/>
  <c r="A28" i="44"/>
  <c r="A27" i="44"/>
  <c r="A26" i="44"/>
  <c r="A25" i="44"/>
  <c r="A24" i="44"/>
  <c r="A23" i="44"/>
  <c r="A22" i="44"/>
  <c r="A21" i="44"/>
  <c r="A20" i="44"/>
  <c r="A19" i="44"/>
  <c r="A18" i="44"/>
  <c r="A17" i="44"/>
  <c r="A16" i="44"/>
  <c r="A15" i="44"/>
  <c r="A14" i="44"/>
  <c r="A13" i="44"/>
  <c r="A12" i="44"/>
  <c r="A11" i="44"/>
  <c r="A10" i="44"/>
  <c r="A9" i="44"/>
  <c r="A8" i="44"/>
  <c r="A7" i="44"/>
  <c r="A6" i="44"/>
  <c r="D105" i="31" l="1"/>
  <c r="AB21" i="73"/>
  <c r="AC15" i="73"/>
  <c r="AC19" i="73" s="1"/>
  <c r="D44" i="31"/>
  <c r="D87" i="31"/>
  <c r="D52" i="31"/>
  <c r="C12" i="40"/>
  <c r="D106" i="31"/>
  <c r="D54" i="31"/>
  <c r="C30" i="40"/>
  <c r="D36" i="31"/>
  <c r="D37" i="31"/>
  <c r="D53" i="31"/>
  <c r="D50" i="31"/>
  <c r="B43" i="18"/>
  <c r="B42" i="18"/>
  <c r="AD15" i="73" l="1"/>
  <c r="AD19" i="73" s="1"/>
  <c r="AC21" i="73"/>
  <c r="C351" i="1"/>
  <c r="C317" i="1"/>
  <c r="B306" i="1"/>
  <c r="B305" i="1"/>
  <c r="B304" i="1"/>
  <c r="B300" i="1"/>
  <c r="B299" i="1"/>
  <c r="B298" i="1"/>
  <c r="B297" i="1"/>
  <c r="B296" i="1"/>
  <c r="B295" i="1"/>
  <c r="B294" i="1"/>
  <c r="B293" i="1"/>
  <c r="B292" i="1"/>
  <c r="B291" i="1"/>
  <c r="B289" i="1"/>
  <c r="C280" i="1"/>
  <c r="B241" i="1"/>
  <c r="B240" i="1"/>
  <c r="B239" i="1"/>
  <c r="B238" i="1"/>
  <c r="B237" i="1"/>
  <c r="B236" i="1"/>
  <c r="B235" i="1"/>
  <c r="B233" i="1"/>
  <c r="B229" i="1"/>
  <c r="B225" i="1"/>
  <c r="B223" i="1"/>
  <c r="B222" i="1"/>
  <c r="B221" i="1"/>
  <c r="B220" i="1"/>
  <c r="B219" i="1"/>
  <c r="B218" i="1"/>
  <c r="B216" i="1"/>
  <c r="B214" i="1"/>
  <c r="B213" i="1"/>
  <c r="B209" i="1"/>
  <c r="B208" i="1"/>
  <c r="B207" i="1"/>
  <c r="B206" i="1"/>
  <c r="B205" i="1"/>
  <c r="B204" i="1"/>
  <c r="B203" i="1"/>
  <c r="B202" i="1"/>
  <c r="B201" i="1"/>
  <c r="B200" i="1"/>
  <c r="B199" i="1"/>
  <c r="B197" i="1"/>
  <c r="C189" i="1"/>
  <c r="B108" i="1"/>
  <c r="B107" i="1"/>
  <c r="B106" i="1"/>
  <c r="B105" i="1"/>
  <c r="B104" i="1"/>
  <c r="B103" i="1"/>
  <c r="B100" i="1"/>
  <c r="B98" i="1"/>
  <c r="B96" i="1"/>
  <c r="B92" i="1"/>
  <c r="B91" i="1"/>
  <c r="B89" i="1"/>
  <c r="B87" i="1"/>
  <c r="B85" i="1"/>
  <c r="B83" i="1"/>
  <c r="B82" i="1"/>
  <c r="B78" i="1"/>
  <c r="B77" i="1"/>
  <c r="B75" i="1"/>
  <c r="B74" i="1"/>
  <c r="B73" i="1"/>
  <c r="B71" i="1"/>
  <c r="B70" i="1"/>
  <c r="B68" i="1"/>
  <c r="B63" i="1"/>
  <c r="B62" i="1"/>
  <c r="B61" i="1"/>
  <c r="B57" i="1"/>
  <c r="B56" i="1"/>
  <c r="B55" i="1"/>
  <c r="B54" i="1"/>
  <c r="B53" i="1"/>
  <c r="B52" i="1"/>
  <c r="B51" i="1"/>
  <c r="B50" i="1"/>
  <c r="B46" i="1"/>
  <c r="B43" i="1"/>
  <c r="B42" i="1"/>
  <c r="B41" i="1"/>
  <c r="B40" i="1"/>
  <c r="B39" i="1"/>
  <c r="B37" i="1"/>
  <c r="B33" i="1"/>
  <c r="B31" i="1"/>
  <c r="B30" i="1"/>
  <c r="B25" i="1"/>
  <c r="B24" i="1"/>
  <c r="B23" i="1"/>
  <c r="B21" i="1"/>
  <c r="B20" i="1"/>
  <c r="B19" i="1"/>
  <c r="B18" i="1"/>
  <c r="B17" i="1"/>
  <c r="B16" i="1"/>
  <c r="B15" i="1"/>
  <c r="B14" i="1"/>
  <c r="B13" i="1"/>
  <c r="B11" i="1"/>
  <c r="AD21" i="73" l="1"/>
  <c r="AE15" i="73"/>
  <c r="AE19" i="73" s="1"/>
  <c r="D116" i="4"/>
  <c r="AE21" i="73" l="1"/>
  <c r="AF19" i="73"/>
  <c r="D40" i="28" s="1"/>
  <c r="H116" i="4"/>
  <c r="R39" i="58" l="1"/>
  <c r="F40" i="28"/>
  <c r="C25" i="67"/>
  <c r="D25" i="67" s="1"/>
  <c r="C351" i="41"/>
  <c r="C317" i="41"/>
  <c r="B306" i="41"/>
  <c r="B305" i="41"/>
  <c r="B304" i="41"/>
  <c r="B300" i="41"/>
  <c r="B299" i="41"/>
  <c r="B298" i="41"/>
  <c r="B297" i="41"/>
  <c r="B296" i="41"/>
  <c r="B295" i="41"/>
  <c r="B294" i="41"/>
  <c r="B293" i="41"/>
  <c r="B292" i="41"/>
  <c r="B291" i="41"/>
  <c r="B289" i="41"/>
  <c r="C280" i="41"/>
  <c r="B241" i="41"/>
  <c r="B240" i="41"/>
  <c r="B239" i="41"/>
  <c r="B238" i="41"/>
  <c r="B237" i="41"/>
  <c r="B236" i="41"/>
  <c r="B235" i="41"/>
  <c r="B233" i="41"/>
  <c r="B229" i="41"/>
  <c r="B225" i="41"/>
  <c r="B223" i="41"/>
  <c r="B222" i="41"/>
  <c r="B221" i="41"/>
  <c r="B220" i="41"/>
  <c r="B219" i="41"/>
  <c r="B218" i="41"/>
  <c r="B216" i="41"/>
  <c r="B214" i="41"/>
  <c r="B213" i="41"/>
  <c r="B209" i="41"/>
  <c r="B208" i="41"/>
  <c r="B207" i="41"/>
  <c r="B206" i="41"/>
  <c r="B205" i="41"/>
  <c r="B204" i="41"/>
  <c r="B203" i="41"/>
  <c r="B202" i="41"/>
  <c r="B201" i="41"/>
  <c r="B200" i="41"/>
  <c r="B199" i="41"/>
  <c r="B197" i="41"/>
  <c r="C189" i="41"/>
  <c r="B108" i="41"/>
  <c r="B107" i="41"/>
  <c r="B106" i="41"/>
  <c r="B105" i="41"/>
  <c r="B104" i="41"/>
  <c r="B103" i="41"/>
  <c r="B100" i="41"/>
  <c r="B98" i="41"/>
  <c r="B96" i="41"/>
  <c r="B92" i="41"/>
  <c r="B91" i="41"/>
  <c r="B89" i="41"/>
  <c r="B87" i="41"/>
  <c r="B85" i="41"/>
  <c r="B83" i="41"/>
  <c r="B82" i="41"/>
  <c r="B78" i="41"/>
  <c r="B77" i="41"/>
  <c r="B75" i="41"/>
  <c r="B74" i="41"/>
  <c r="B73" i="41"/>
  <c r="B71" i="41"/>
  <c r="B70" i="41"/>
  <c r="B68" i="41"/>
  <c r="B63" i="41"/>
  <c r="B62" i="41"/>
  <c r="B61" i="41"/>
  <c r="B57" i="41"/>
  <c r="B56" i="41"/>
  <c r="B55" i="41"/>
  <c r="B54" i="41"/>
  <c r="B53" i="41"/>
  <c r="B52" i="41"/>
  <c r="B51" i="41"/>
  <c r="B50" i="41"/>
  <c r="B46" i="41"/>
  <c r="B43" i="41"/>
  <c r="B42" i="41"/>
  <c r="B41" i="41"/>
  <c r="B40" i="41"/>
  <c r="B39" i="41"/>
  <c r="B37" i="41"/>
  <c r="B33" i="41"/>
  <c r="B31" i="41"/>
  <c r="B30" i="41"/>
  <c r="B25" i="41"/>
  <c r="B24" i="41"/>
  <c r="B23" i="41"/>
  <c r="B21" i="41"/>
  <c r="B20" i="41"/>
  <c r="B19" i="41"/>
  <c r="B18" i="41"/>
  <c r="B17" i="41"/>
  <c r="B16" i="41"/>
  <c r="B15" i="41"/>
  <c r="B14" i="41"/>
  <c r="B13" i="41"/>
  <c r="B11" i="41"/>
  <c r="S562" i="43"/>
  <c r="S561" i="43"/>
  <c r="E561" i="43"/>
  <c r="C561" i="43"/>
  <c r="B561" i="43"/>
  <c r="A561" i="43"/>
  <c r="S560" i="43"/>
  <c r="E560" i="43"/>
  <c r="C560" i="43"/>
  <c r="B560" i="43"/>
  <c r="A560" i="43"/>
  <c r="S559" i="43"/>
  <c r="E559" i="43"/>
  <c r="C559" i="43"/>
  <c r="B559" i="43"/>
  <c r="A559" i="43"/>
  <c r="S558" i="43"/>
  <c r="E558" i="43"/>
  <c r="C558" i="43"/>
  <c r="B558" i="43"/>
  <c r="A558" i="43"/>
  <c r="S557" i="43"/>
  <c r="E557" i="43"/>
  <c r="C557" i="43"/>
  <c r="B557" i="43"/>
  <c r="A557" i="43"/>
  <c r="S556" i="43"/>
  <c r="E556" i="43"/>
  <c r="C556" i="43"/>
  <c r="B556" i="43"/>
  <c r="A556" i="43"/>
  <c r="S555" i="43"/>
  <c r="E555" i="43"/>
  <c r="C555" i="43"/>
  <c r="B555" i="43"/>
  <c r="A555" i="43"/>
  <c r="S554" i="43"/>
  <c r="E554" i="43"/>
  <c r="C554" i="43"/>
  <c r="B554" i="43"/>
  <c r="A554" i="43"/>
  <c r="S553" i="43"/>
  <c r="E553" i="43"/>
  <c r="C553" i="43"/>
  <c r="B553" i="43"/>
  <c r="A553" i="43"/>
  <c r="S552" i="43"/>
  <c r="E552" i="43"/>
  <c r="C552" i="43"/>
  <c r="B552" i="43"/>
  <c r="A552" i="43"/>
  <c r="S551" i="43"/>
  <c r="E551" i="43"/>
  <c r="B551" i="43"/>
  <c r="A551" i="43"/>
  <c r="S550" i="43"/>
  <c r="E550" i="43"/>
  <c r="C550" i="43"/>
  <c r="B550" i="43"/>
  <c r="A550" i="43"/>
  <c r="S549" i="43"/>
  <c r="E549" i="43"/>
  <c r="C549" i="43"/>
  <c r="B549" i="43"/>
  <c r="A549" i="43"/>
  <c r="S548" i="43"/>
  <c r="E548" i="43"/>
  <c r="C548" i="43"/>
  <c r="B548" i="43"/>
  <c r="A548" i="43"/>
  <c r="S547" i="43"/>
  <c r="E547" i="43"/>
  <c r="C547" i="43"/>
  <c r="B547" i="43"/>
  <c r="A547" i="43"/>
  <c r="S546" i="43"/>
  <c r="E546" i="43"/>
  <c r="C546" i="43"/>
  <c r="B546" i="43"/>
  <c r="A546" i="43"/>
  <c r="S545" i="43"/>
  <c r="E545" i="43"/>
  <c r="C545" i="43"/>
  <c r="B545" i="43"/>
  <c r="A545" i="43"/>
  <c r="S544" i="43"/>
  <c r="E544" i="43"/>
  <c r="C544" i="43"/>
  <c r="B544" i="43"/>
  <c r="A544" i="43"/>
  <c r="S543" i="43"/>
  <c r="E543" i="43"/>
  <c r="C543" i="43"/>
  <c r="B543" i="43"/>
  <c r="A543" i="43"/>
  <c r="S542" i="43"/>
  <c r="E542" i="43"/>
  <c r="C542" i="43"/>
  <c r="B542" i="43"/>
  <c r="A542" i="43"/>
  <c r="S541" i="43"/>
  <c r="E541" i="43"/>
  <c r="C541" i="43"/>
  <c r="B541" i="43"/>
  <c r="A541" i="43"/>
  <c r="E540" i="43"/>
  <c r="E539" i="43"/>
  <c r="E538" i="43"/>
  <c r="S537" i="43"/>
  <c r="E537" i="43"/>
  <c r="E536" i="43"/>
  <c r="R535" i="43"/>
  <c r="Q535" i="43"/>
  <c r="P535" i="43"/>
  <c r="O535" i="43"/>
  <c r="N535" i="43"/>
  <c r="M535" i="43"/>
  <c r="L535" i="43"/>
  <c r="K535" i="43"/>
  <c r="J535" i="43"/>
  <c r="F535" i="43"/>
  <c r="E535" i="43"/>
  <c r="C535" i="43"/>
  <c r="B535" i="43"/>
  <c r="A535" i="43"/>
  <c r="R534" i="43"/>
  <c r="Q534" i="43"/>
  <c r="P534" i="43"/>
  <c r="O534" i="43"/>
  <c r="N534" i="43"/>
  <c r="M534" i="43"/>
  <c r="L534" i="43"/>
  <c r="K534" i="43"/>
  <c r="J534" i="43"/>
  <c r="I534" i="43"/>
  <c r="H534" i="43"/>
  <c r="G534" i="43"/>
  <c r="F534" i="43"/>
  <c r="E534" i="43"/>
  <c r="C534" i="43"/>
  <c r="B534" i="43"/>
  <c r="A534" i="43"/>
  <c r="R533" i="43"/>
  <c r="Q533" i="43"/>
  <c r="P533" i="43"/>
  <c r="O533" i="43"/>
  <c r="N533" i="43"/>
  <c r="M533" i="43"/>
  <c r="L533" i="43"/>
  <c r="K533" i="43"/>
  <c r="J533" i="43"/>
  <c r="I533" i="43"/>
  <c r="H533" i="43"/>
  <c r="G533" i="43"/>
  <c r="F533" i="43"/>
  <c r="E533" i="43"/>
  <c r="C533" i="43"/>
  <c r="B533" i="43"/>
  <c r="A533" i="43"/>
  <c r="R532" i="43"/>
  <c r="Q532" i="43"/>
  <c r="P532" i="43"/>
  <c r="O532" i="43"/>
  <c r="N532" i="43"/>
  <c r="M532" i="43"/>
  <c r="L532" i="43"/>
  <c r="K532" i="43"/>
  <c r="J532" i="43"/>
  <c r="I532" i="43"/>
  <c r="H532" i="43"/>
  <c r="G532" i="43"/>
  <c r="F532" i="43"/>
  <c r="C532" i="43"/>
  <c r="B532" i="43"/>
  <c r="A532" i="43"/>
  <c r="R531" i="43"/>
  <c r="Q531" i="43"/>
  <c r="P531" i="43"/>
  <c r="O531" i="43"/>
  <c r="N531" i="43"/>
  <c r="M531" i="43"/>
  <c r="L531" i="43"/>
  <c r="K531" i="43"/>
  <c r="J531" i="43"/>
  <c r="I531" i="43"/>
  <c r="H531" i="43"/>
  <c r="G531" i="43"/>
  <c r="F531" i="43"/>
  <c r="C531" i="43"/>
  <c r="B531" i="43"/>
  <c r="A531" i="43"/>
  <c r="R530" i="43"/>
  <c r="Q530" i="43"/>
  <c r="P530" i="43"/>
  <c r="O530" i="43"/>
  <c r="N530" i="43"/>
  <c r="M530" i="43"/>
  <c r="L530" i="43"/>
  <c r="K530" i="43"/>
  <c r="J530" i="43"/>
  <c r="I530" i="43"/>
  <c r="H530" i="43"/>
  <c r="G530" i="43"/>
  <c r="F530" i="43"/>
  <c r="E530" i="43"/>
  <c r="C530" i="43"/>
  <c r="B530" i="43"/>
  <c r="A530" i="43"/>
  <c r="R529" i="43"/>
  <c r="Q529" i="43"/>
  <c r="P529" i="43"/>
  <c r="O529" i="43"/>
  <c r="N529" i="43"/>
  <c r="M529" i="43"/>
  <c r="L529" i="43"/>
  <c r="K529" i="43"/>
  <c r="J529" i="43"/>
  <c r="I529" i="43"/>
  <c r="H529" i="43"/>
  <c r="G529" i="43"/>
  <c r="F529" i="43"/>
  <c r="E529" i="43"/>
  <c r="C529" i="43"/>
  <c r="B529" i="43"/>
  <c r="A529" i="43"/>
  <c r="R528" i="43"/>
  <c r="Q528" i="43"/>
  <c r="P528" i="43"/>
  <c r="O528" i="43"/>
  <c r="N528" i="43"/>
  <c r="M528" i="43"/>
  <c r="L528" i="43"/>
  <c r="K528" i="43"/>
  <c r="J528" i="43"/>
  <c r="I528" i="43"/>
  <c r="H528" i="43"/>
  <c r="G528" i="43"/>
  <c r="F528" i="43"/>
  <c r="E528" i="43"/>
  <c r="C528" i="43"/>
  <c r="B528" i="43"/>
  <c r="A528" i="43"/>
  <c r="R527" i="43"/>
  <c r="Q527" i="43"/>
  <c r="P527" i="43"/>
  <c r="O527" i="43"/>
  <c r="N527" i="43"/>
  <c r="M527" i="43"/>
  <c r="L527" i="43"/>
  <c r="K527" i="43"/>
  <c r="J527" i="43"/>
  <c r="I527" i="43"/>
  <c r="H527" i="43"/>
  <c r="G527" i="43"/>
  <c r="F527" i="43"/>
  <c r="E527" i="43"/>
  <c r="C527" i="43"/>
  <c r="B527" i="43"/>
  <c r="A527" i="43"/>
  <c r="E526" i="43"/>
  <c r="R525" i="43"/>
  <c r="Q525" i="43"/>
  <c r="P525" i="43"/>
  <c r="O525" i="43"/>
  <c r="N525" i="43"/>
  <c r="M525" i="43"/>
  <c r="L525" i="43"/>
  <c r="K525" i="43"/>
  <c r="J525" i="43"/>
  <c r="I525" i="43"/>
  <c r="H525" i="43"/>
  <c r="G525" i="43"/>
  <c r="F525" i="43"/>
  <c r="E525" i="43"/>
  <c r="S523" i="43"/>
  <c r="E523" i="43"/>
  <c r="C523" i="43"/>
  <c r="B523" i="43"/>
  <c r="A523" i="43"/>
  <c r="S522" i="43"/>
  <c r="E522" i="43"/>
  <c r="C522" i="43"/>
  <c r="B522" i="43"/>
  <c r="A522" i="43"/>
  <c r="S521" i="43"/>
  <c r="E521" i="43"/>
  <c r="B521" i="43"/>
  <c r="A521" i="43"/>
  <c r="S520" i="43"/>
  <c r="E520" i="43"/>
  <c r="C520" i="43"/>
  <c r="B520" i="43"/>
  <c r="A520" i="43"/>
  <c r="S519" i="43"/>
  <c r="E519" i="43"/>
  <c r="C519" i="43"/>
  <c r="B519" i="43"/>
  <c r="A519" i="43"/>
  <c r="S518" i="43"/>
  <c r="E518" i="43"/>
  <c r="C518" i="43"/>
  <c r="B518" i="43"/>
  <c r="A518" i="43"/>
  <c r="S517" i="43"/>
  <c r="E517" i="43"/>
  <c r="C517" i="43"/>
  <c r="B517" i="43"/>
  <c r="A517" i="43"/>
  <c r="S516" i="43"/>
  <c r="E516" i="43"/>
  <c r="C516" i="43"/>
  <c r="B516" i="43"/>
  <c r="A516" i="43"/>
  <c r="S515" i="43"/>
  <c r="E515" i="43"/>
  <c r="C515" i="43"/>
  <c r="B515" i="43"/>
  <c r="A515" i="43"/>
  <c r="S514" i="43"/>
  <c r="E514" i="43"/>
  <c r="C514" i="43"/>
  <c r="B514" i="43"/>
  <c r="A514" i="43"/>
  <c r="S513" i="43"/>
  <c r="E513" i="43"/>
  <c r="C513" i="43"/>
  <c r="B513" i="43"/>
  <c r="A513" i="43"/>
  <c r="S512" i="43"/>
  <c r="E512" i="43"/>
  <c r="C512" i="43"/>
  <c r="B512" i="43"/>
  <c r="A512" i="43"/>
  <c r="S511" i="43"/>
  <c r="E511" i="43"/>
  <c r="C511" i="43"/>
  <c r="B511" i="43"/>
  <c r="A511" i="43"/>
  <c r="S510" i="43"/>
  <c r="E510" i="43"/>
  <c r="C510" i="43"/>
  <c r="B510" i="43"/>
  <c r="A510" i="43"/>
  <c r="S509" i="43"/>
  <c r="E509" i="43"/>
  <c r="C509" i="43"/>
  <c r="B509" i="43"/>
  <c r="A509" i="43"/>
  <c r="S508" i="43"/>
  <c r="E508" i="43"/>
  <c r="C508" i="43"/>
  <c r="B508" i="43"/>
  <c r="A508" i="43"/>
  <c r="S507" i="43"/>
  <c r="E507" i="43"/>
  <c r="C507" i="43"/>
  <c r="B507" i="43"/>
  <c r="A507" i="43"/>
  <c r="S506" i="43"/>
  <c r="E506" i="43"/>
  <c r="C506" i="43"/>
  <c r="B506" i="43"/>
  <c r="A506" i="43"/>
  <c r="S505" i="43"/>
  <c r="E505" i="43"/>
  <c r="C505" i="43"/>
  <c r="B505" i="43"/>
  <c r="A505" i="43"/>
  <c r="S504" i="43"/>
  <c r="E504" i="43"/>
  <c r="C504" i="43"/>
  <c r="B504" i="43"/>
  <c r="A504" i="43"/>
  <c r="S503" i="43"/>
  <c r="E503" i="43"/>
  <c r="C503" i="43"/>
  <c r="B503" i="43"/>
  <c r="A503" i="43"/>
  <c r="S502" i="43"/>
  <c r="E502" i="43"/>
  <c r="C502" i="43"/>
  <c r="B502" i="43"/>
  <c r="A502" i="43"/>
  <c r="S501" i="43"/>
  <c r="E501" i="43"/>
  <c r="C501" i="43"/>
  <c r="B501" i="43"/>
  <c r="A501" i="43"/>
  <c r="S500" i="43"/>
  <c r="E500" i="43"/>
  <c r="C500" i="43"/>
  <c r="B500" i="43"/>
  <c r="A500" i="43"/>
  <c r="S499" i="43"/>
  <c r="E499" i="43"/>
  <c r="C499" i="43"/>
  <c r="B499" i="43"/>
  <c r="A499" i="43"/>
  <c r="S498" i="43"/>
  <c r="E498" i="43"/>
  <c r="C498" i="43"/>
  <c r="B498" i="43"/>
  <c r="A498" i="43"/>
  <c r="S497" i="43"/>
  <c r="E497" i="43"/>
  <c r="C497" i="43"/>
  <c r="B497" i="43"/>
  <c r="A497" i="43"/>
  <c r="S496" i="43"/>
  <c r="E496" i="43"/>
  <c r="C496" i="43"/>
  <c r="B496" i="43"/>
  <c r="A496" i="43"/>
  <c r="S495" i="43"/>
  <c r="E495" i="43"/>
  <c r="C495" i="43"/>
  <c r="B495" i="43"/>
  <c r="A495" i="43"/>
  <c r="S494" i="43"/>
  <c r="E494" i="43"/>
  <c r="C494" i="43"/>
  <c r="B494" i="43"/>
  <c r="A494" i="43"/>
  <c r="S493" i="43"/>
  <c r="E493" i="43"/>
  <c r="C493" i="43"/>
  <c r="B493" i="43"/>
  <c r="A493" i="43"/>
  <c r="S492" i="43"/>
  <c r="E492" i="43"/>
  <c r="C492" i="43"/>
  <c r="B492" i="43"/>
  <c r="A492" i="43"/>
  <c r="S491" i="43"/>
  <c r="E491" i="43"/>
  <c r="C491" i="43"/>
  <c r="B491" i="43"/>
  <c r="A491" i="43"/>
  <c r="S490" i="43"/>
  <c r="E490" i="43"/>
  <c r="C490" i="43"/>
  <c r="B490" i="43"/>
  <c r="A490" i="43"/>
  <c r="S489" i="43"/>
  <c r="E489" i="43"/>
  <c r="C489" i="43"/>
  <c r="B489" i="43"/>
  <c r="A489" i="43"/>
  <c r="S488" i="43"/>
  <c r="E488" i="43"/>
  <c r="C488" i="43"/>
  <c r="B488" i="43"/>
  <c r="A488" i="43"/>
  <c r="S487" i="43"/>
  <c r="E487" i="43"/>
  <c r="C487" i="43"/>
  <c r="B487" i="43"/>
  <c r="A487" i="43"/>
  <c r="S486" i="43"/>
  <c r="E486" i="43"/>
  <c r="C486" i="43"/>
  <c r="B486" i="43"/>
  <c r="A486" i="43"/>
  <c r="S485" i="43"/>
  <c r="E485" i="43"/>
  <c r="C485" i="43"/>
  <c r="B485" i="43"/>
  <c r="A485" i="43"/>
  <c r="S484" i="43"/>
  <c r="E484" i="43"/>
  <c r="C484" i="43"/>
  <c r="B484" i="43"/>
  <c r="A484" i="43"/>
  <c r="S483" i="43"/>
  <c r="E483" i="43"/>
  <c r="C483" i="43"/>
  <c r="B483" i="43"/>
  <c r="A483" i="43"/>
  <c r="S482" i="43"/>
  <c r="E482" i="43"/>
  <c r="C482" i="43"/>
  <c r="B482" i="43"/>
  <c r="A482" i="43"/>
  <c r="S481" i="43"/>
  <c r="E481" i="43"/>
  <c r="C481" i="43"/>
  <c r="B481" i="43"/>
  <c r="A481" i="43"/>
  <c r="S480" i="43"/>
  <c r="E480" i="43"/>
  <c r="C480" i="43"/>
  <c r="B480" i="43"/>
  <c r="A480" i="43"/>
  <c r="S479" i="43"/>
  <c r="E479" i="43"/>
  <c r="C479" i="43"/>
  <c r="B479" i="43"/>
  <c r="A479" i="43"/>
  <c r="S478" i="43"/>
  <c r="E478" i="43"/>
  <c r="C478" i="43"/>
  <c r="B478" i="43"/>
  <c r="A478" i="43"/>
  <c r="S477" i="43"/>
  <c r="E477" i="43"/>
  <c r="C477" i="43"/>
  <c r="B477" i="43"/>
  <c r="A477" i="43"/>
  <c r="S476" i="43"/>
  <c r="E476" i="43"/>
  <c r="C476" i="43"/>
  <c r="B476" i="43"/>
  <c r="A476" i="43"/>
  <c r="S475" i="43"/>
  <c r="E475" i="43"/>
  <c r="C475" i="43"/>
  <c r="B475" i="43"/>
  <c r="A475" i="43"/>
  <c r="S474" i="43"/>
  <c r="E474" i="43"/>
  <c r="C474" i="43"/>
  <c r="B474" i="43"/>
  <c r="A474" i="43"/>
  <c r="S473" i="43"/>
  <c r="E473" i="43"/>
  <c r="C473" i="43"/>
  <c r="B473" i="43"/>
  <c r="A473" i="43"/>
  <c r="S472" i="43"/>
  <c r="E472" i="43"/>
  <c r="C472" i="43"/>
  <c r="B472" i="43"/>
  <c r="A472" i="43"/>
  <c r="S471" i="43"/>
  <c r="E471" i="43"/>
  <c r="C471" i="43"/>
  <c r="B471" i="43"/>
  <c r="A471" i="43"/>
  <c r="S470" i="43"/>
  <c r="E470" i="43"/>
  <c r="C470" i="43"/>
  <c r="B470" i="43"/>
  <c r="A470" i="43"/>
  <c r="S469" i="43"/>
  <c r="E469" i="43"/>
  <c r="C469" i="43"/>
  <c r="B469" i="43"/>
  <c r="A469" i="43"/>
  <c r="S468" i="43"/>
  <c r="E468" i="43"/>
  <c r="C468" i="43"/>
  <c r="B468" i="43"/>
  <c r="A468" i="43"/>
  <c r="S467" i="43"/>
  <c r="E467" i="43"/>
  <c r="C467" i="43"/>
  <c r="B467" i="43"/>
  <c r="A467" i="43"/>
  <c r="S466" i="43"/>
  <c r="E466" i="43"/>
  <c r="C466" i="43"/>
  <c r="B466" i="43"/>
  <c r="A466" i="43"/>
  <c r="S465" i="43"/>
  <c r="E465" i="43"/>
  <c r="C465" i="43"/>
  <c r="B465" i="43"/>
  <c r="A465" i="43"/>
  <c r="S464" i="43"/>
  <c r="E464" i="43"/>
  <c r="C464" i="43"/>
  <c r="B464" i="43"/>
  <c r="A464" i="43"/>
  <c r="S463" i="43"/>
  <c r="E463" i="43"/>
  <c r="C463" i="43"/>
  <c r="B463" i="43"/>
  <c r="A463" i="43"/>
  <c r="S462" i="43"/>
  <c r="E462" i="43"/>
  <c r="C462" i="43"/>
  <c r="B462" i="43"/>
  <c r="A462" i="43"/>
  <c r="S461" i="43"/>
  <c r="E461" i="43"/>
  <c r="C461" i="43"/>
  <c r="B461" i="43"/>
  <c r="A461" i="43"/>
  <c r="S460" i="43"/>
  <c r="E460" i="43"/>
  <c r="C460" i="43"/>
  <c r="B460" i="43"/>
  <c r="A460" i="43"/>
  <c r="S459" i="43"/>
  <c r="E459" i="43"/>
  <c r="C459" i="43"/>
  <c r="B459" i="43"/>
  <c r="A459" i="43"/>
  <c r="S458" i="43"/>
  <c r="E458" i="43"/>
  <c r="C458" i="43"/>
  <c r="B458" i="43"/>
  <c r="A458" i="43"/>
  <c r="S457" i="43"/>
  <c r="E457" i="43"/>
  <c r="C457" i="43"/>
  <c r="B457" i="43"/>
  <c r="A457" i="43"/>
  <c r="S456" i="43"/>
  <c r="E456" i="43"/>
  <c r="C456" i="43"/>
  <c r="B456" i="43"/>
  <c r="A456" i="43"/>
  <c r="S455" i="43"/>
  <c r="E455" i="43"/>
  <c r="C455" i="43"/>
  <c r="B455" i="43"/>
  <c r="A455" i="43"/>
  <c r="S454" i="43"/>
  <c r="E454" i="43"/>
  <c r="C454" i="43"/>
  <c r="B454" i="43"/>
  <c r="A454" i="43"/>
  <c r="S453" i="43"/>
  <c r="E453" i="43"/>
  <c r="C453" i="43"/>
  <c r="B453" i="43"/>
  <c r="A453" i="43"/>
  <c r="S452" i="43"/>
  <c r="E452" i="43"/>
  <c r="C452" i="43"/>
  <c r="B452" i="43"/>
  <c r="A452" i="43"/>
  <c r="S451" i="43"/>
  <c r="E451" i="43"/>
  <c r="C451" i="43"/>
  <c r="B451" i="43"/>
  <c r="A451" i="43"/>
  <c r="S450" i="43"/>
  <c r="E450" i="43"/>
  <c r="C450" i="43"/>
  <c r="B450" i="43"/>
  <c r="A450" i="43"/>
  <c r="S449" i="43"/>
  <c r="E449" i="43"/>
  <c r="C449" i="43"/>
  <c r="B449" i="43"/>
  <c r="A449" i="43"/>
  <c r="S448" i="43"/>
  <c r="E448" i="43"/>
  <c r="C448" i="43"/>
  <c r="B448" i="43"/>
  <c r="A448" i="43"/>
  <c r="S447" i="43"/>
  <c r="E447" i="43"/>
  <c r="C447" i="43"/>
  <c r="B447" i="43"/>
  <c r="A447" i="43"/>
  <c r="S446" i="43"/>
  <c r="E446" i="43"/>
  <c r="C446" i="43"/>
  <c r="B446" i="43"/>
  <c r="A446" i="43"/>
  <c r="S445" i="43"/>
  <c r="E445" i="43"/>
  <c r="C445" i="43"/>
  <c r="B445" i="43"/>
  <c r="A445" i="43"/>
  <c r="S444" i="43"/>
  <c r="E444" i="43"/>
  <c r="C444" i="43"/>
  <c r="B444" i="43"/>
  <c r="A444" i="43"/>
  <c r="S443" i="43"/>
  <c r="E443" i="43"/>
  <c r="C443" i="43"/>
  <c r="B443" i="43"/>
  <c r="A443" i="43"/>
  <c r="S442" i="43"/>
  <c r="E442" i="43"/>
  <c r="C442" i="43"/>
  <c r="B442" i="43"/>
  <c r="A442" i="43"/>
  <c r="S441" i="43"/>
  <c r="E441" i="43"/>
  <c r="C441" i="43"/>
  <c r="B441" i="43"/>
  <c r="A441" i="43"/>
  <c r="S440" i="43"/>
  <c r="E440" i="43"/>
  <c r="C440" i="43"/>
  <c r="B440" i="43"/>
  <c r="A440" i="43"/>
  <c r="S439" i="43"/>
  <c r="E439" i="43"/>
  <c r="C439" i="43"/>
  <c r="B439" i="43"/>
  <c r="A439" i="43"/>
  <c r="S438" i="43"/>
  <c r="E438" i="43"/>
  <c r="C438" i="43"/>
  <c r="B438" i="43"/>
  <c r="A438" i="43"/>
  <c r="S437" i="43"/>
  <c r="E437" i="43"/>
  <c r="C437" i="43"/>
  <c r="B437" i="43"/>
  <c r="A437" i="43"/>
  <c r="S436" i="43"/>
  <c r="E436" i="43"/>
  <c r="C436" i="43"/>
  <c r="B436" i="43"/>
  <c r="A436" i="43"/>
  <c r="S435" i="43"/>
  <c r="E435" i="43"/>
  <c r="C435" i="43"/>
  <c r="B435" i="43"/>
  <c r="A435" i="43"/>
  <c r="S434" i="43"/>
  <c r="E434" i="43"/>
  <c r="C434" i="43"/>
  <c r="B434" i="43"/>
  <c r="A434" i="43"/>
  <c r="S433" i="43"/>
  <c r="E433" i="43"/>
  <c r="C433" i="43"/>
  <c r="B433" i="43"/>
  <c r="A433" i="43"/>
  <c r="S432" i="43"/>
  <c r="E432" i="43"/>
  <c r="C432" i="43"/>
  <c r="B432" i="43"/>
  <c r="A432" i="43"/>
  <c r="S431" i="43"/>
  <c r="E431" i="43"/>
  <c r="C431" i="43"/>
  <c r="B431" i="43"/>
  <c r="A431" i="43"/>
  <c r="S430" i="43"/>
  <c r="E430" i="43"/>
  <c r="C430" i="43"/>
  <c r="B430" i="43"/>
  <c r="A430" i="43"/>
  <c r="S429" i="43"/>
  <c r="E429" i="43"/>
  <c r="C429" i="43"/>
  <c r="B429" i="43"/>
  <c r="A429" i="43"/>
  <c r="S428" i="43"/>
  <c r="E428" i="43"/>
  <c r="C428" i="43"/>
  <c r="B428" i="43"/>
  <c r="A428" i="43"/>
  <c r="S427" i="43"/>
  <c r="E427" i="43"/>
  <c r="C427" i="43"/>
  <c r="B427" i="43"/>
  <c r="A427" i="43"/>
  <c r="S426" i="43"/>
  <c r="E426" i="43"/>
  <c r="C426" i="43"/>
  <c r="B426" i="43"/>
  <c r="A426" i="43"/>
  <c r="S425" i="43"/>
  <c r="E425" i="43"/>
  <c r="C425" i="43"/>
  <c r="B425" i="43"/>
  <c r="A425" i="43"/>
  <c r="S424" i="43"/>
  <c r="E424" i="43"/>
  <c r="C424" i="43"/>
  <c r="B424" i="43"/>
  <c r="A424" i="43"/>
  <c r="S423" i="43"/>
  <c r="E423" i="43"/>
  <c r="C423" i="43"/>
  <c r="B423" i="43"/>
  <c r="A423" i="43"/>
  <c r="S422" i="43"/>
  <c r="E422" i="43"/>
  <c r="C422" i="43"/>
  <c r="B422" i="43"/>
  <c r="A422" i="43"/>
  <c r="S421" i="43"/>
  <c r="E421" i="43"/>
  <c r="C421" i="43"/>
  <c r="B421" i="43"/>
  <c r="A421" i="43"/>
  <c r="S420" i="43"/>
  <c r="E420" i="43"/>
  <c r="C420" i="43"/>
  <c r="B420" i="43"/>
  <c r="A420" i="43"/>
  <c r="S419" i="43"/>
  <c r="E419" i="43"/>
  <c r="C419" i="43"/>
  <c r="B419" i="43"/>
  <c r="A419" i="43"/>
  <c r="S418" i="43"/>
  <c r="E418" i="43"/>
  <c r="C418" i="43"/>
  <c r="B418" i="43"/>
  <c r="A418" i="43"/>
  <c r="S417" i="43"/>
  <c r="E417" i="43"/>
  <c r="C417" i="43"/>
  <c r="B417" i="43"/>
  <c r="A417" i="43"/>
  <c r="S416" i="43"/>
  <c r="E416" i="43"/>
  <c r="C416" i="43"/>
  <c r="B416" i="43"/>
  <c r="A416" i="43"/>
  <c r="S415" i="43"/>
  <c r="E415" i="43"/>
  <c r="C415" i="43"/>
  <c r="B415" i="43"/>
  <c r="A415" i="43"/>
  <c r="S414" i="43"/>
  <c r="E414" i="43"/>
  <c r="C414" i="43"/>
  <c r="B414" i="43"/>
  <c r="A414" i="43"/>
  <c r="S413" i="43"/>
  <c r="E413" i="43"/>
  <c r="C413" i="43"/>
  <c r="B413" i="43"/>
  <c r="A413" i="43"/>
  <c r="S412" i="43"/>
  <c r="E412" i="43"/>
  <c r="C412" i="43"/>
  <c r="B412" i="43"/>
  <c r="A412" i="43"/>
  <c r="S411" i="43"/>
  <c r="E411" i="43"/>
  <c r="C411" i="43"/>
  <c r="B411" i="43"/>
  <c r="A411" i="43"/>
  <c r="S410" i="43"/>
  <c r="E410" i="43"/>
  <c r="C410" i="43"/>
  <c r="B410" i="43"/>
  <c r="A410" i="43"/>
  <c r="S409" i="43"/>
  <c r="E409" i="43"/>
  <c r="C409" i="43"/>
  <c r="B409" i="43"/>
  <c r="A409" i="43"/>
  <c r="S408" i="43"/>
  <c r="E408" i="43"/>
  <c r="C408" i="43"/>
  <c r="B408" i="43"/>
  <c r="A408" i="43"/>
  <c r="E407" i="43"/>
  <c r="E406" i="43"/>
  <c r="T405" i="43"/>
  <c r="E405" i="43"/>
  <c r="C405" i="43"/>
  <c r="B405" i="43"/>
  <c r="A405" i="43"/>
  <c r="T404" i="43"/>
  <c r="E404" i="43"/>
  <c r="C404" i="43"/>
  <c r="B404" i="43"/>
  <c r="A404" i="43"/>
  <c r="T403" i="43"/>
  <c r="E403" i="43"/>
  <c r="B403" i="43"/>
  <c r="A403" i="43"/>
  <c r="T402" i="43"/>
  <c r="E402" i="43"/>
  <c r="C402" i="43"/>
  <c r="B402" i="43"/>
  <c r="A402" i="43"/>
  <c r="T401" i="43"/>
  <c r="E401" i="43"/>
  <c r="C401" i="43"/>
  <c r="B401" i="43"/>
  <c r="A401" i="43"/>
  <c r="T400" i="43"/>
  <c r="E400" i="43"/>
  <c r="C400" i="43"/>
  <c r="B400" i="43"/>
  <c r="A400" i="43"/>
  <c r="T399" i="43"/>
  <c r="E399" i="43"/>
  <c r="C399" i="43"/>
  <c r="B399" i="43"/>
  <c r="A399" i="43"/>
  <c r="T398" i="43"/>
  <c r="E398" i="43"/>
  <c r="C398" i="43"/>
  <c r="B398" i="43"/>
  <c r="A398" i="43"/>
  <c r="T397" i="43"/>
  <c r="E397" i="43"/>
  <c r="C397" i="43"/>
  <c r="B397" i="43"/>
  <c r="A397" i="43"/>
  <c r="T396" i="43"/>
  <c r="E396" i="43"/>
  <c r="C396" i="43"/>
  <c r="B396" i="43"/>
  <c r="A396" i="43"/>
  <c r="T394" i="43"/>
  <c r="E394" i="43"/>
  <c r="C394" i="43"/>
  <c r="B394" i="43"/>
  <c r="A394" i="43"/>
  <c r="T393" i="43"/>
  <c r="E393" i="43"/>
  <c r="C393" i="43"/>
  <c r="B393" i="43"/>
  <c r="A393" i="43"/>
  <c r="T392" i="43"/>
  <c r="E392" i="43"/>
  <c r="C392" i="43"/>
  <c r="B392" i="43"/>
  <c r="A392" i="43"/>
  <c r="T391" i="43"/>
  <c r="E391" i="43"/>
  <c r="C391" i="43"/>
  <c r="B391" i="43"/>
  <c r="A391" i="43"/>
  <c r="T390" i="43"/>
  <c r="E390" i="43"/>
  <c r="C390" i="43"/>
  <c r="B390" i="43"/>
  <c r="A390" i="43"/>
  <c r="T389" i="43"/>
  <c r="E389" i="43"/>
  <c r="C389" i="43"/>
  <c r="B389" i="43"/>
  <c r="A389" i="43"/>
  <c r="T388" i="43"/>
  <c r="E388" i="43"/>
  <c r="C388" i="43"/>
  <c r="B388" i="43"/>
  <c r="A388" i="43"/>
  <c r="T387" i="43"/>
  <c r="E387" i="43"/>
  <c r="C387" i="43"/>
  <c r="B387" i="43"/>
  <c r="A387" i="43"/>
  <c r="T386" i="43"/>
  <c r="E386" i="43"/>
  <c r="C386" i="43"/>
  <c r="B386" i="43"/>
  <c r="A386" i="43"/>
  <c r="T385" i="43"/>
  <c r="E385" i="43"/>
  <c r="C385" i="43"/>
  <c r="B385" i="43"/>
  <c r="A385" i="43"/>
  <c r="T384" i="43"/>
  <c r="E384" i="43"/>
  <c r="C384" i="43"/>
  <c r="B384" i="43"/>
  <c r="A384" i="43"/>
  <c r="T383" i="43"/>
  <c r="E383" i="43"/>
  <c r="C383" i="43"/>
  <c r="B383" i="43"/>
  <c r="A383" i="43"/>
  <c r="T382" i="43"/>
  <c r="E382" i="43"/>
  <c r="C382" i="43"/>
  <c r="B382" i="43"/>
  <c r="A382" i="43"/>
  <c r="T381" i="43"/>
  <c r="E381" i="43"/>
  <c r="C381" i="43"/>
  <c r="B381" i="43"/>
  <c r="A381" i="43"/>
  <c r="T380" i="43"/>
  <c r="E380" i="43"/>
  <c r="C380" i="43"/>
  <c r="B380" i="43"/>
  <c r="A380" i="43"/>
  <c r="T379" i="43"/>
  <c r="E379" i="43"/>
  <c r="C379" i="43"/>
  <c r="B379" i="43"/>
  <c r="A379" i="43"/>
  <c r="T378" i="43"/>
  <c r="E378" i="43"/>
  <c r="C378" i="43"/>
  <c r="B378" i="43"/>
  <c r="A378" i="43"/>
  <c r="T377" i="43"/>
  <c r="E377" i="43"/>
  <c r="C377" i="43"/>
  <c r="B377" i="43"/>
  <c r="A377" i="43"/>
  <c r="T376" i="43"/>
  <c r="E376" i="43"/>
  <c r="C376" i="43"/>
  <c r="B376" i="43"/>
  <c r="A376" i="43"/>
  <c r="T375" i="43"/>
  <c r="E375" i="43"/>
  <c r="C375" i="43"/>
  <c r="B375" i="43"/>
  <c r="A375" i="43"/>
  <c r="T374" i="43"/>
  <c r="E374" i="43"/>
  <c r="C374" i="43"/>
  <c r="B374" i="43"/>
  <c r="A374" i="43"/>
  <c r="T373" i="43"/>
  <c r="E373" i="43"/>
  <c r="C373" i="43"/>
  <c r="B373" i="43"/>
  <c r="A373" i="43"/>
  <c r="T372" i="43"/>
  <c r="E372" i="43"/>
  <c r="C372" i="43"/>
  <c r="B372" i="43"/>
  <c r="A372" i="43"/>
  <c r="T371" i="43"/>
  <c r="E371" i="43"/>
  <c r="C371" i="43"/>
  <c r="B371" i="43"/>
  <c r="A371" i="43"/>
  <c r="T370" i="43"/>
  <c r="E370" i="43"/>
  <c r="C370" i="43"/>
  <c r="B370" i="43"/>
  <c r="A370" i="43"/>
  <c r="T369" i="43"/>
  <c r="E369" i="43"/>
  <c r="C369" i="43"/>
  <c r="B369" i="43"/>
  <c r="A369" i="43"/>
  <c r="T368" i="43"/>
  <c r="E368" i="43"/>
  <c r="C368" i="43"/>
  <c r="B368" i="43"/>
  <c r="A368" i="43"/>
  <c r="T367" i="43"/>
  <c r="E367" i="43"/>
  <c r="C367" i="43"/>
  <c r="B367" i="43"/>
  <c r="A367" i="43"/>
  <c r="T366" i="43"/>
  <c r="E366" i="43"/>
  <c r="C366" i="43"/>
  <c r="B366" i="43"/>
  <c r="A366" i="43"/>
  <c r="T365" i="43"/>
  <c r="E365" i="43"/>
  <c r="C365" i="43"/>
  <c r="B365" i="43"/>
  <c r="A365" i="43"/>
  <c r="T364" i="43"/>
  <c r="E364" i="43"/>
  <c r="C364" i="43"/>
  <c r="B364" i="43"/>
  <c r="A364" i="43"/>
  <c r="T363" i="43"/>
  <c r="E363" i="43"/>
  <c r="C363" i="43"/>
  <c r="B363" i="43"/>
  <c r="A363" i="43"/>
  <c r="T362" i="43"/>
  <c r="E362" i="43"/>
  <c r="C362" i="43"/>
  <c r="B362" i="43"/>
  <c r="A362" i="43"/>
  <c r="T361" i="43"/>
  <c r="E361" i="43"/>
  <c r="C361" i="43"/>
  <c r="B361" i="43"/>
  <c r="A361" i="43"/>
  <c r="T360" i="43"/>
  <c r="E360" i="43"/>
  <c r="C360" i="43"/>
  <c r="B360" i="43"/>
  <c r="A360" i="43"/>
  <c r="T359" i="43"/>
  <c r="E359" i="43"/>
  <c r="C359" i="43"/>
  <c r="B359" i="43"/>
  <c r="A359" i="43"/>
  <c r="T358" i="43"/>
  <c r="E358" i="43"/>
  <c r="C358" i="43"/>
  <c r="B358" i="43"/>
  <c r="A358" i="43"/>
  <c r="T357" i="43"/>
  <c r="E357" i="43"/>
  <c r="C357" i="43"/>
  <c r="B357" i="43"/>
  <c r="A357" i="43"/>
  <c r="T356" i="43"/>
  <c r="E356" i="43"/>
  <c r="C356" i="43"/>
  <c r="B356" i="43"/>
  <c r="A356" i="43"/>
  <c r="T355" i="43"/>
  <c r="E355" i="43"/>
  <c r="C355" i="43"/>
  <c r="B355" i="43"/>
  <c r="A355" i="43"/>
  <c r="T354" i="43"/>
  <c r="E354" i="43"/>
  <c r="C354" i="43"/>
  <c r="B354" i="43"/>
  <c r="A354" i="43"/>
  <c r="T353" i="43"/>
  <c r="E353" i="43"/>
  <c r="C353" i="43"/>
  <c r="B353" i="43"/>
  <c r="A353" i="43"/>
  <c r="T352" i="43"/>
  <c r="E352" i="43"/>
  <c r="C352" i="43"/>
  <c r="B352" i="43"/>
  <c r="A352" i="43"/>
  <c r="T351" i="43"/>
  <c r="E351" i="43"/>
  <c r="C351" i="43"/>
  <c r="B351" i="43"/>
  <c r="A351" i="43"/>
  <c r="T350" i="43"/>
  <c r="E350" i="43"/>
  <c r="C350" i="43"/>
  <c r="B350" i="43"/>
  <c r="A350" i="43"/>
  <c r="T349" i="43"/>
  <c r="E349" i="43"/>
  <c r="C349" i="43"/>
  <c r="B349" i="43"/>
  <c r="A349" i="43"/>
  <c r="T348" i="43"/>
  <c r="E348" i="43"/>
  <c r="C348" i="43"/>
  <c r="B348" i="43"/>
  <c r="A348" i="43"/>
  <c r="T347" i="43"/>
  <c r="E347" i="43"/>
  <c r="C347" i="43"/>
  <c r="B347" i="43"/>
  <c r="A347" i="43"/>
  <c r="T346" i="43"/>
  <c r="E346" i="43"/>
  <c r="C346" i="43"/>
  <c r="B346" i="43"/>
  <c r="A346" i="43"/>
  <c r="T345" i="43"/>
  <c r="E345" i="43"/>
  <c r="C345" i="43"/>
  <c r="B345" i="43"/>
  <c r="A345" i="43"/>
  <c r="T344" i="43"/>
  <c r="E344" i="43"/>
  <c r="C344" i="43"/>
  <c r="B344" i="43"/>
  <c r="A344" i="43"/>
  <c r="T343" i="43"/>
  <c r="E343" i="43"/>
  <c r="C343" i="43"/>
  <c r="B343" i="43"/>
  <c r="A343" i="43"/>
  <c r="T342" i="43"/>
  <c r="E342" i="43"/>
  <c r="C342" i="43"/>
  <c r="B342" i="43"/>
  <c r="A342" i="43"/>
  <c r="T341" i="43"/>
  <c r="E341" i="43"/>
  <c r="C341" i="43"/>
  <c r="B341" i="43"/>
  <c r="A341" i="43"/>
  <c r="T340" i="43"/>
  <c r="E340" i="43"/>
  <c r="C340" i="43"/>
  <c r="B340" i="43"/>
  <c r="A340" i="43"/>
  <c r="T339" i="43"/>
  <c r="E339" i="43"/>
  <c r="C339" i="43"/>
  <c r="B339" i="43"/>
  <c r="A339" i="43"/>
  <c r="T338" i="43"/>
  <c r="E338" i="43"/>
  <c r="C338" i="43"/>
  <c r="A338" i="43"/>
  <c r="T337" i="43"/>
  <c r="E337" i="43"/>
  <c r="C337" i="43"/>
  <c r="B337" i="43"/>
  <c r="A337" i="43"/>
  <c r="T336" i="43"/>
  <c r="E336" i="43"/>
  <c r="C336" i="43"/>
  <c r="B336" i="43"/>
  <c r="A336" i="43"/>
  <c r="T335" i="43"/>
  <c r="E335" i="43"/>
  <c r="C335" i="43"/>
  <c r="B335" i="43"/>
  <c r="A335" i="43"/>
  <c r="T334" i="43"/>
  <c r="E334" i="43"/>
  <c r="C334" i="43"/>
  <c r="B334" i="43"/>
  <c r="A334" i="43"/>
  <c r="T333" i="43"/>
  <c r="E333" i="43"/>
  <c r="C333" i="43"/>
  <c r="B333" i="43"/>
  <c r="A333" i="43"/>
  <c r="T332" i="43"/>
  <c r="E332" i="43"/>
  <c r="C332" i="43"/>
  <c r="B332" i="43"/>
  <c r="A332" i="43"/>
  <c r="T331" i="43"/>
  <c r="E331" i="43"/>
  <c r="C331" i="43"/>
  <c r="B331" i="43"/>
  <c r="A331" i="43"/>
  <c r="T330" i="43"/>
  <c r="E330" i="43"/>
  <c r="C330" i="43"/>
  <c r="B330" i="43"/>
  <c r="A330" i="43"/>
  <c r="T329" i="43"/>
  <c r="E329" i="43"/>
  <c r="C329" i="43"/>
  <c r="B329" i="43"/>
  <c r="A329" i="43"/>
  <c r="T328" i="43"/>
  <c r="E328" i="43"/>
  <c r="C328" i="43"/>
  <c r="B328" i="43"/>
  <c r="A328" i="43"/>
  <c r="T327" i="43"/>
  <c r="E327" i="43"/>
  <c r="C327" i="43"/>
  <c r="B327" i="43"/>
  <c r="A327" i="43"/>
  <c r="T326" i="43"/>
  <c r="E326" i="43"/>
  <c r="C326" i="43"/>
  <c r="B326" i="43"/>
  <c r="A326" i="43"/>
  <c r="T325" i="43"/>
  <c r="E325" i="43"/>
  <c r="C325" i="43"/>
  <c r="B325" i="43"/>
  <c r="A325" i="43"/>
  <c r="T324" i="43"/>
  <c r="E324" i="43"/>
  <c r="C324" i="43"/>
  <c r="B324" i="43"/>
  <c r="A324" i="43"/>
  <c r="T323" i="43"/>
  <c r="E323" i="43"/>
  <c r="C323" i="43"/>
  <c r="B323" i="43"/>
  <c r="A323" i="43"/>
  <c r="T322" i="43"/>
  <c r="E322" i="43"/>
  <c r="C322" i="43"/>
  <c r="B322" i="43"/>
  <c r="A322" i="43"/>
  <c r="T321" i="43"/>
  <c r="E321" i="43"/>
  <c r="C321" i="43"/>
  <c r="B321" i="43"/>
  <c r="A321" i="43"/>
  <c r="T320" i="43"/>
  <c r="E320" i="43"/>
  <c r="C320" i="43"/>
  <c r="B320" i="43"/>
  <c r="A320" i="43"/>
  <c r="T319" i="43"/>
  <c r="E319" i="43"/>
  <c r="C319" i="43"/>
  <c r="B319" i="43"/>
  <c r="A319" i="43"/>
  <c r="T318" i="43"/>
  <c r="E318" i="43"/>
  <c r="C318" i="43"/>
  <c r="B318" i="43"/>
  <c r="A318" i="43"/>
  <c r="T317" i="43"/>
  <c r="E317" i="43"/>
  <c r="C317" i="43"/>
  <c r="B317" i="43"/>
  <c r="A317" i="43"/>
  <c r="T316" i="43"/>
  <c r="E316" i="43"/>
  <c r="C316" i="43"/>
  <c r="B316" i="43"/>
  <c r="A316" i="43"/>
  <c r="T315" i="43"/>
  <c r="E315" i="43"/>
  <c r="C315" i="43"/>
  <c r="B315" i="43"/>
  <c r="A315" i="43"/>
  <c r="T314" i="43"/>
  <c r="E314" i="43"/>
  <c r="C314" i="43"/>
  <c r="B314" i="43"/>
  <c r="A314" i="43"/>
  <c r="T313" i="43"/>
  <c r="E313" i="43"/>
  <c r="C313" i="43"/>
  <c r="B313" i="43"/>
  <c r="A313" i="43"/>
  <c r="T312" i="43"/>
  <c r="E312" i="43"/>
  <c r="C312" i="43"/>
  <c r="B312" i="43"/>
  <c r="A312" i="43"/>
  <c r="T311" i="43"/>
  <c r="E311" i="43"/>
  <c r="C311" i="43"/>
  <c r="B311" i="43"/>
  <c r="A311" i="43"/>
  <c r="T310" i="43"/>
  <c r="E310" i="43"/>
  <c r="C310" i="43"/>
  <c r="B310" i="43"/>
  <c r="A310" i="43"/>
  <c r="T309" i="43"/>
  <c r="E309" i="43"/>
  <c r="C309" i="43"/>
  <c r="B309" i="43"/>
  <c r="A309" i="43"/>
  <c r="T308" i="43"/>
  <c r="E308" i="43"/>
  <c r="C308" i="43"/>
  <c r="B308" i="43"/>
  <c r="A308" i="43"/>
  <c r="T307" i="43"/>
  <c r="E307" i="43"/>
  <c r="C307" i="43"/>
  <c r="B307" i="43"/>
  <c r="A307" i="43"/>
  <c r="T306" i="43"/>
  <c r="E306" i="43"/>
  <c r="C306" i="43"/>
  <c r="B306" i="43"/>
  <c r="A306" i="43"/>
  <c r="T305" i="43"/>
  <c r="E305" i="43"/>
  <c r="C305" i="43"/>
  <c r="B305" i="43"/>
  <c r="A305" i="43"/>
  <c r="T304" i="43"/>
  <c r="E304" i="43"/>
  <c r="C304" i="43"/>
  <c r="B304" i="43"/>
  <c r="A304" i="43"/>
  <c r="T303" i="43"/>
  <c r="E303" i="43"/>
  <c r="C303" i="43"/>
  <c r="B303" i="43"/>
  <c r="A303" i="43"/>
  <c r="T302" i="43"/>
  <c r="E302" i="43"/>
  <c r="C302" i="43"/>
  <c r="B302" i="43"/>
  <c r="A302" i="43"/>
  <c r="T301" i="43"/>
  <c r="E301" i="43"/>
  <c r="C301" i="43"/>
  <c r="B301" i="43"/>
  <c r="A301" i="43"/>
  <c r="T300" i="43"/>
  <c r="E300" i="43"/>
  <c r="C300" i="43"/>
  <c r="B300" i="43"/>
  <c r="A300" i="43"/>
  <c r="T299" i="43"/>
  <c r="E299" i="43"/>
  <c r="C299" i="43"/>
  <c r="B299" i="43"/>
  <c r="A299" i="43"/>
  <c r="T298" i="43"/>
  <c r="E298" i="43"/>
  <c r="C298" i="43"/>
  <c r="B298" i="43"/>
  <c r="A298" i="43"/>
  <c r="T297" i="43"/>
  <c r="E297" i="43"/>
  <c r="C297" i="43"/>
  <c r="B297" i="43"/>
  <c r="A297" i="43"/>
  <c r="T296" i="43"/>
  <c r="E296" i="43"/>
  <c r="C296" i="43"/>
  <c r="B296" i="43"/>
  <c r="A296" i="43"/>
  <c r="T295" i="43"/>
  <c r="E295" i="43"/>
  <c r="C295" i="43"/>
  <c r="B295" i="43"/>
  <c r="A295" i="43"/>
  <c r="T293" i="43"/>
  <c r="E293" i="43"/>
  <c r="C293" i="43"/>
  <c r="B293" i="43"/>
  <c r="A293" i="43"/>
  <c r="T291" i="43"/>
  <c r="E291" i="43"/>
  <c r="C291" i="43"/>
  <c r="B291" i="43"/>
  <c r="A291" i="43"/>
  <c r="T290" i="43"/>
  <c r="E290" i="43"/>
  <c r="C290" i="43"/>
  <c r="B290" i="43"/>
  <c r="A290" i="43"/>
  <c r="T289" i="43"/>
  <c r="E289" i="43"/>
  <c r="C289" i="43"/>
  <c r="B289" i="43"/>
  <c r="A289" i="43"/>
  <c r="T288" i="43"/>
  <c r="E288" i="43"/>
  <c r="C288" i="43"/>
  <c r="B288" i="43"/>
  <c r="A288" i="43"/>
  <c r="T287" i="43"/>
  <c r="E287" i="43"/>
  <c r="C287" i="43"/>
  <c r="B287" i="43"/>
  <c r="A287" i="43"/>
  <c r="T286" i="43"/>
  <c r="E286" i="43"/>
  <c r="C286" i="43"/>
  <c r="B286" i="43"/>
  <c r="A286" i="43"/>
  <c r="T285" i="43"/>
  <c r="E285" i="43"/>
  <c r="C285" i="43"/>
  <c r="B285" i="43"/>
  <c r="A285" i="43"/>
  <c r="T284" i="43"/>
  <c r="E284" i="43"/>
  <c r="C284" i="43"/>
  <c r="B284" i="43"/>
  <c r="A284" i="43"/>
  <c r="E283" i="43"/>
  <c r="E282" i="43"/>
  <c r="S281" i="43"/>
  <c r="E281" i="43"/>
  <c r="C281" i="43"/>
  <c r="B281" i="43"/>
  <c r="A281" i="43"/>
  <c r="S280" i="43"/>
  <c r="E280" i="43"/>
  <c r="C280" i="43"/>
  <c r="B280" i="43"/>
  <c r="A280" i="43"/>
  <c r="S279" i="43"/>
  <c r="E279" i="43"/>
  <c r="C279" i="43"/>
  <c r="B279" i="43"/>
  <c r="A279" i="43"/>
  <c r="S278" i="43"/>
  <c r="E278" i="43"/>
  <c r="C278" i="43"/>
  <c r="B278" i="43"/>
  <c r="A278" i="43"/>
  <c r="S277" i="43"/>
  <c r="E277" i="43"/>
  <c r="C277" i="43"/>
  <c r="B277" i="43"/>
  <c r="A277" i="43"/>
  <c r="S276" i="43"/>
  <c r="E276" i="43"/>
  <c r="C276" i="43"/>
  <c r="B276" i="43"/>
  <c r="A276" i="43"/>
  <c r="S275" i="43"/>
  <c r="E275" i="43"/>
  <c r="C275" i="43"/>
  <c r="B275" i="43"/>
  <c r="A275" i="43"/>
  <c r="S274" i="43"/>
  <c r="E274" i="43"/>
  <c r="C274" i="43"/>
  <c r="B274" i="43"/>
  <c r="A274" i="43"/>
  <c r="S273" i="43"/>
  <c r="E273" i="43"/>
  <c r="C273" i="43"/>
  <c r="B273" i="43"/>
  <c r="A273" i="43"/>
  <c r="S272" i="43"/>
  <c r="E272" i="43"/>
  <c r="C272" i="43"/>
  <c r="B272" i="43"/>
  <c r="A272" i="43"/>
  <c r="S271" i="43"/>
  <c r="E271" i="43"/>
  <c r="C271" i="43"/>
  <c r="B271" i="43"/>
  <c r="A271" i="43"/>
  <c r="S270" i="43"/>
  <c r="E270" i="43"/>
  <c r="C270" i="43"/>
  <c r="B270" i="43"/>
  <c r="A270" i="43"/>
  <c r="S269" i="43"/>
  <c r="E269" i="43"/>
  <c r="C269" i="43"/>
  <c r="B269" i="43"/>
  <c r="A269" i="43"/>
  <c r="S268" i="43"/>
  <c r="E268" i="43"/>
  <c r="C268" i="43"/>
  <c r="B268" i="43"/>
  <c r="A268" i="43"/>
  <c r="S267" i="43"/>
  <c r="E267" i="43"/>
  <c r="C267" i="43"/>
  <c r="B267" i="43"/>
  <c r="A267" i="43"/>
  <c r="S266" i="43"/>
  <c r="E266" i="43"/>
  <c r="C266" i="43"/>
  <c r="B266" i="43"/>
  <c r="A266" i="43"/>
  <c r="S265" i="43"/>
  <c r="E265" i="43"/>
  <c r="C265" i="43"/>
  <c r="B265" i="43"/>
  <c r="A265" i="43"/>
  <c r="S264" i="43"/>
  <c r="E264" i="43"/>
  <c r="C264" i="43"/>
  <c r="B264" i="43"/>
  <c r="A264" i="43"/>
  <c r="S263" i="43"/>
  <c r="E263" i="43"/>
  <c r="C263" i="43"/>
  <c r="B263" i="43"/>
  <c r="A263" i="43"/>
  <c r="S262" i="43"/>
  <c r="E262" i="43"/>
  <c r="C262" i="43"/>
  <c r="B262" i="43"/>
  <c r="A262" i="43"/>
  <c r="S261" i="43"/>
  <c r="E261" i="43"/>
  <c r="C261" i="43"/>
  <c r="B261" i="43"/>
  <c r="A261" i="43"/>
  <c r="S260" i="43"/>
  <c r="E260" i="43"/>
  <c r="C260" i="43"/>
  <c r="B260" i="43"/>
  <c r="A260" i="43"/>
  <c r="S259" i="43"/>
  <c r="E259" i="43"/>
  <c r="C259" i="43"/>
  <c r="B259" i="43"/>
  <c r="A259" i="43"/>
  <c r="S258" i="43"/>
  <c r="E258" i="43"/>
  <c r="C258" i="43"/>
  <c r="B258" i="43"/>
  <c r="A258" i="43"/>
  <c r="S257" i="43"/>
  <c r="E257" i="43"/>
  <c r="C257" i="43"/>
  <c r="B257" i="43"/>
  <c r="A257" i="43"/>
  <c r="S256" i="43"/>
  <c r="E256" i="43"/>
  <c r="C256" i="43"/>
  <c r="B256" i="43"/>
  <c r="A256" i="43"/>
  <c r="S255" i="43"/>
  <c r="E255" i="43"/>
  <c r="C255" i="43"/>
  <c r="B255" i="43"/>
  <c r="A255" i="43"/>
  <c r="S254" i="43"/>
  <c r="E254" i="43"/>
  <c r="C254" i="43"/>
  <c r="B254" i="43"/>
  <c r="A254" i="43"/>
  <c r="S253" i="43"/>
  <c r="E253" i="43"/>
  <c r="C253" i="43"/>
  <c r="B253" i="43"/>
  <c r="A253" i="43"/>
  <c r="S252" i="43"/>
  <c r="E252" i="43"/>
  <c r="C252" i="43"/>
  <c r="B252" i="43"/>
  <c r="A252" i="43"/>
  <c r="S251" i="43"/>
  <c r="E251" i="43"/>
  <c r="C251" i="43"/>
  <c r="B251" i="43"/>
  <c r="A251" i="43"/>
  <c r="S250" i="43"/>
  <c r="E250" i="43"/>
  <c r="C250" i="43"/>
  <c r="B250" i="43"/>
  <c r="A250" i="43"/>
  <c r="S249" i="43"/>
  <c r="E249" i="43"/>
  <c r="C249" i="43"/>
  <c r="B249" i="43"/>
  <c r="A249" i="43"/>
  <c r="S248" i="43"/>
  <c r="E248" i="43"/>
  <c r="C248" i="43"/>
  <c r="B248" i="43"/>
  <c r="A248" i="43"/>
  <c r="S247" i="43"/>
  <c r="E247" i="43"/>
  <c r="C247" i="43"/>
  <c r="B247" i="43"/>
  <c r="A247" i="43"/>
  <c r="S246" i="43"/>
  <c r="E246" i="43"/>
  <c r="C246" i="43"/>
  <c r="B246" i="43"/>
  <c r="A246" i="43"/>
  <c r="S245" i="43"/>
  <c r="E245" i="43"/>
  <c r="C245" i="43"/>
  <c r="B245" i="43"/>
  <c r="A245" i="43"/>
  <c r="S244" i="43"/>
  <c r="E244" i="43"/>
  <c r="C244" i="43"/>
  <c r="B244" i="43"/>
  <c r="A244" i="43"/>
  <c r="S243" i="43"/>
  <c r="E243" i="43"/>
  <c r="C243" i="43"/>
  <c r="A243" i="43"/>
  <c r="S242" i="43"/>
  <c r="E242" i="43"/>
  <c r="C242" i="43"/>
  <c r="B242" i="43"/>
  <c r="A242" i="43"/>
  <c r="S241" i="43"/>
  <c r="E241" i="43"/>
  <c r="C241" i="43"/>
  <c r="B241" i="43"/>
  <c r="A241" i="43"/>
  <c r="S240" i="43"/>
  <c r="E240" i="43"/>
  <c r="C240" i="43"/>
  <c r="B240" i="43"/>
  <c r="A240" i="43"/>
  <c r="S239" i="43"/>
  <c r="E239" i="43"/>
  <c r="C239" i="43"/>
  <c r="B239" i="43"/>
  <c r="A239" i="43"/>
  <c r="S238" i="43"/>
  <c r="E238" i="43"/>
  <c r="C238" i="43"/>
  <c r="B238" i="43"/>
  <c r="A238" i="43"/>
  <c r="S237" i="43"/>
  <c r="E237" i="43"/>
  <c r="C237" i="43"/>
  <c r="B237" i="43"/>
  <c r="A237" i="43"/>
  <c r="S236" i="43"/>
  <c r="E236" i="43"/>
  <c r="C236" i="43"/>
  <c r="B236" i="43"/>
  <c r="A236" i="43"/>
  <c r="S235" i="43"/>
  <c r="E235" i="43"/>
  <c r="C235" i="43"/>
  <c r="B235" i="43"/>
  <c r="A235" i="43"/>
  <c r="S234" i="43"/>
  <c r="E234" i="43"/>
  <c r="C234" i="43"/>
  <c r="B234" i="43"/>
  <c r="A234" i="43"/>
  <c r="S233" i="43"/>
  <c r="E233" i="43"/>
  <c r="C233" i="43"/>
  <c r="B233" i="43"/>
  <c r="A233" i="43"/>
  <c r="S232" i="43"/>
  <c r="E232" i="43"/>
  <c r="C232" i="43"/>
  <c r="B232" i="43"/>
  <c r="A232" i="43"/>
  <c r="S231" i="43"/>
  <c r="E231" i="43"/>
  <c r="C231" i="43"/>
  <c r="B231" i="43"/>
  <c r="A231" i="43"/>
  <c r="S230" i="43"/>
  <c r="E230" i="43"/>
  <c r="C230" i="43"/>
  <c r="B230" i="43"/>
  <c r="A230" i="43"/>
  <c r="S229" i="43"/>
  <c r="E229" i="43"/>
  <c r="C229" i="43"/>
  <c r="B229" i="43"/>
  <c r="A229" i="43"/>
  <c r="S228" i="43"/>
  <c r="E228" i="43"/>
  <c r="C228" i="43"/>
  <c r="B228" i="43"/>
  <c r="A228" i="43"/>
  <c r="S227" i="43"/>
  <c r="E227" i="43"/>
  <c r="C227" i="43"/>
  <c r="B227" i="43"/>
  <c r="A227" i="43"/>
  <c r="S226" i="43"/>
  <c r="E226" i="43"/>
  <c r="C226" i="43"/>
  <c r="B226" i="43"/>
  <c r="A226" i="43"/>
  <c r="S225" i="43"/>
  <c r="E225" i="43"/>
  <c r="C225" i="43"/>
  <c r="B225" i="43"/>
  <c r="A225" i="43"/>
  <c r="S224" i="43"/>
  <c r="E224" i="43"/>
  <c r="E223" i="43"/>
  <c r="S222" i="43"/>
  <c r="E222" i="43"/>
  <c r="B222" i="43"/>
  <c r="A222" i="43"/>
  <c r="S221" i="43"/>
  <c r="E221" i="43"/>
  <c r="C221" i="43"/>
  <c r="B221" i="43"/>
  <c r="A221" i="43"/>
  <c r="S220" i="43"/>
  <c r="E220" i="43"/>
  <c r="B220" i="43"/>
  <c r="A220" i="43"/>
  <c r="S219" i="43"/>
  <c r="E219" i="43"/>
  <c r="C219" i="43"/>
  <c r="B219" i="43"/>
  <c r="A219" i="43"/>
  <c r="S218" i="43"/>
  <c r="E218" i="43"/>
  <c r="C218" i="43"/>
  <c r="B218" i="43"/>
  <c r="A218" i="43"/>
  <c r="S217" i="43"/>
  <c r="E217" i="43"/>
  <c r="C217" i="43"/>
  <c r="B217" i="43"/>
  <c r="A217" i="43"/>
  <c r="S216" i="43"/>
  <c r="E216" i="43"/>
  <c r="C216" i="43"/>
  <c r="B216" i="43"/>
  <c r="A216" i="43"/>
  <c r="S215" i="43"/>
  <c r="E215" i="43"/>
  <c r="C215" i="43"/>
  <c r="B215" i="43"/>
  <c r="A215" i="43"/>
  <c r="S214" i="43"/>
  <c r="E214" i="43"/>
  <c r="C214" i="43"/>
  <c r="B214" i="43"/>
  <c r="A214" i="43"/>
  <c r="S213" i="43"/>
  <c r="E213" i="43"/>
  <c r="C213" i="43"/>
  <c r="B213" i="43"/>
  <c r="A213" i="43"/>
  <c r="S212" i="43"/>
  <c r="E212" i="43"/>
  <c r="C212" i="43"/>
  <c r="B212" i="43"/>
  <c r="A212" i="43"/>
  <c r="S211" i="43"/>
  <c r="E211" i="43"/>
  <c r="C211" i="43"/>
  <c r="B211" i="43"/>
  <c r="A211" i="43"/>
  <c r="S210" i="43"/>
  <c r="E210" i="43"/>
  <c r="C210" i="43"/>
  <c r="B210" i="43"/>
  <c r="A210" i="43"/>
  <c r="S209" i="43"/>
  <c r="E209" i="43"/>
  <c r="C209" i="43"/>
  <c r="B209" i="43"/>
  <c r="A209" i="43"/>
  <c r="S208" i="43"/>
  <c r="E208" i="43"/>
  <c r="C208" i="43"/>
  <c r="B208" i="43"/>
  <c r="A208" i="43"/>
  <c r="S207" i="43"/>
  <c r="E207" i="43"/>
  <c r="C207" i="43"/>
  <c r="B207" i="43"/>
  <c r="A207" i="43"/>
  <c r="S206" i="43"/>
  <c r="E206" i="43"/>
  <c r="C206" i="43"/>
  <c r="B206" i="43"/>
  <c r="A206" i="43"/>
  <c r="S205" i="43"/>
  <c r="E205" i="43"/>
  <c r="C205" i="43"/>
  <c r="B205" i="43"/>
  <c r="A205" i="43"/>
  <c r="S204" i="43"/>
  <c r="E204" i="43"/>
  <c r="C204" i="43"/>
  <c r="B204" i="43"/>
  <c r="A204" i="43"/>
  <c r="S203" i="43"/>
  <c r="E203" i="43"/>
  <c r="C203" i="43"/>
  <c r="B203" i="43"/>
  <c r="A203" i="43"/>
  <c r="S202" i="43"/>
  <c r="E202" i="43"/>
  <c r="C202" i="43"/>
  <c r="B202" i="43"/>
  <c r="A202" i="43"/>
  <c r="S201" i="43"/>
  <c r="E201" i="43"/>
  <c r="C201" i="43"/>
  <c r="B201" i="43"/>
  <c r="A201" i="43"/>
  <c r="S200" i="43"/>
  <c r="E200" i="43"/>
  <c r="C200" i="43"/>
  <c r="B200" i="43"/>
  <c r="A200" i="43"/>
  <c r="S199" i="43"/>
  <c r="E199" i="43"/>
  <c r="C199" i="43"/>
  <c r="B199" i="43"/>
  <c r="A199" i="43"/>
  <c r="S198" i="43"/>
  <c r="E198" i="43"/>
  <c r="C198" i="43"/>
  <c r="B198" i="43"/>
  <c r="A198" i="43"/>
  <c r="S197" i="43"/>
  <c r="E197" i="43"/>
  <c r="C197" i="43"/>
  <c r="B197" i="43"/>
  <c r="A197" i="43"/>
  <c r="S196" i="43"/>
  <c r="E196" i="43"/>
  <c r="C196" i="43"/>
  <c r="B196" i="43"/>
  <c r="A196" i="43"/>
  <c r="S195" i="43"/>
  <c r="E195" i="43"/>
  <c r="C195" i="43"/>
  <c r="B195" i="43"/>
  <c r="A195" i="43"/>
  <c r="S194" i="43"/>
  <c r="E194" i="43"/>
  <c r="C194" i="43"/>
  <c r="B194" i="43"/>
  <c r="A194" i="43"/>
  <c r="S193" i="43"/>
  <c r="E193" i="43"/>
  <c r="C193" i="43"/>
  <c r="B193" i="43"/>
  <c r="A193" i="43"/>
  <c r="S192" i="43"/>
  <c r="E192" i="43"/>
  <c r="C192" i="43"/>
  <c r="B192" i="43"/>
  <c r="A192" i="43"/>
  <c r="S191" i="43"/>
  <c r="E191" i="43"/>
  <c r="C191" i="43"/>
  <c r="B191" i="43"/>
  <c r="A191" i="43"/>
  <c r="S190" i="43"/>
  <c r="E190" i="43"/>
  <c r="C190" i="43"/>
  <c r="B190" i="43"/>
  <c r="A190" i="43"/>
  <c r="S189" i="43"/>
  <c r="E189" i="43"/>
  <c r="C189" i="43"/>
  <c r="B189" i="43"/>
  <c r="A189" i="43"/>
  <c r="S188" i="43"/>
  <c r="E188" i="43"/>
  <c r="C188" i="43"/>
  <c r="B188" i="43"/>
  <c r="A188" i="43"/>
  <c r="S187" i="43"/>
  <c r="E187" i="43"/>
  <c r="C187" i="43"/>
  <c r="B187" i="43"/>
  <c r="A187" i="43"/>
  <c r="S186" i="43"/>
  <c r="E186" i="43"/>
  <c r="C186" i="43"/>
  <c r="B186" i="43"/>
  <c r="A186" i="43"/>
  <c r="S185" i="43"/>
  <c r="E185" i="43"/>
  <c r="C185" i="43"/>
  <c r="B185" i="43"/>
  <c r="A185" i="43"/>
  <c r="S184" i="43"/>
  <c r="E184" i="43"/>
  <c r="C184" i="43"/>
  <c r="B184" i="43"/>
  <c r="A184" i="43"/>
  <c r="S183" i="43"/>
  <c r="E183" i="43"/>
  <c r="C183" i="43"/>
  <c r="B183" i="43"/>
  <c r="A183" i="43"/>
  <c r="S182" i="43"/>
  <c r="E182" i="43"/>
  <c r="C182" i="43"/>
  <c r="B182" i="43"/>
  <c r="A182" i="43"/>
  <c r="S181" i="43"/>
  <c r="E181" i="43"/>
  <c r="C181" i="43"/>
  <c r="B181" i="43"/>
  <c r="A181" i="43"/>
  <c r="S180" i="43"/>
  <c r="E180" i="43"/>
  <c r="C180" i="43"/>
  <c r="B180" i="43"/>
  <c r="A180" i="43"/>
  <c r="S179" i="43"/>
  <c r="E179" i="43"/>
  <c r="C179" i="43"/>
  <c r="B179" i="43"/>
  <c r="A179" i="43"/>
  <c r="S178" i="43"/>
  <c r="E178" i="43"/>
  <c r="C178" i="43"/>
  <c r="B178" i="43"/>
  <c r="A178" i="43"/>
  <c r="S177" i="43"/>
  <c r="E177" i="43"/>
  <c r="C177" i="43"/>
  <c r="A177" i="43"/>
  <c r="S176" i="43"/>
  <c r="E176" i="43"/>
  <c r="C176" i="43"/>
  <c r="B176" i="43"/>
  <c r="A176" i="43"/>
  <c r="S175" i="43"/>
  <c r="E175" i="43"/>
  <c r="C175" i="43"/>
  <c r="B175" i="43"/>
  <c r="A175" i="43"/>
  <c r="S174" i="43"/>
  <c r="E174" i="43"/>
  <c r="C174" i="43"/>
  <c r="B174" i="43"/>
  <c r="A174" i="43"/>
  <c r="S173" i="43"/>
  <c r="E173" i="43"/>
  <c r="C173" i="43"/>
  <c r="B173" i="43"/>
  <c r="A173" i="43"/>
  <c r="S172" i="43"/>
  <c r="E172" i="43"/>
  <c r="C172" i="43"/>
  <c r="B172" i="43"/>
  <c r="A172" i="43"/>
  <c r="S171" i="43"/>
  <c r="E171" i="43"/>
  <c r="C171" i="43"/>
  <c r="B171" i="43"/>
  <c r="A171" i="43"/>
  <c r="S170" i="43"/>
  <c r="E170" i="43"/>
  <c r="C170" i="43"/>
  <c r="B170" i="43"/>
  <c r="A170" i="43"/>
  <c r="S169" i="43"/>
  <c r="E169" i="43"/>
  <c r="C169" i="43"/>
  <c r="B169" i="43"/>
  <c r="A169" i="43"/>
  <c r="S168" i="43"/>
  <c r="E168" i="43"/>
  <c r="C168" i="43"/>
  <c r="B168" i="43"/>
  <c r="A168" i="43"/>
  <c r="S167" i="43"/>
  <c r="E167" i="43"/>
  <c r="C167" i="43"/>
  <c r="B167" i="43"/>
  <c r="A167" i="43"/>
  <c r="S166" i="43"/>
  <c r="E166" i="43"/>
  <c r="C166" i="43"/>
  <c r="B166" i="43"/>
  <c r="A166" i="43"/>
  <c r="S165" i="43"/>
  <c r="E165" i="43"/>
  <c r="C165" i="43"/>
  <c r="B165" i="43"/>
  <c r="A165" i="43"/>
  <c r="S164" i="43"/>
  <c r="E164" i="43"/>
  <c r="C164" i="43"/>
  <c r="B164" i="43"/>
  <c r="A164" i="43"/>
  <c r="S163" i="43"/>
  <c r="E163" i="43"/>
  <c r="C163" i="43"/>
  <c r="B163" i="43"/>
  <c r="A163" i="43"/>
  <c r="S162" i="43"/>
  <c r="E162" i="43"/>
  <c r="C162" i="43"/>
  <c r="B162" i="43"/>
  <c r="A162" i="43"/>
  <c r="S161" i="43"/>
  <c r="E161" i="43"/>
  <c r="C161" i="43"/>
  <c r="B161" i="43"/>
  <c r="A161" i="43"/>
  <c r="S160" i="43"/>
  <c r="E160" i="43"/>
  <c r="C160" i="43"/>
  <c r="B160" i="43"/>
  <c r="A160" i="43"/>
  <c r="S159" i="43"/>
  <c r="E159" i="43"/>
  <c r="C159" i="43"/>
  <c r="B159" i="43"/>
  <c r="A159" i="43"/>
  <c r="S158" i="43"/>
  <c r="E158" i="43"/>
  <c r="C158" i="43"/>
  <c r="B158" i="43"/>
  <c r="A158" i="43"/>
  <c r="S157" i="43"/>
  <c r="E157" i="43"/>
  <c r="C157" i="43"/>
  <c r="B157" i="43"/>
  <c r="A157" i="43"/>
  <c r="S156" i="43"/>
  <c r="E156" i="43"/>
  <c r="C156" i="43"/>
  <c r="B156" i="43"/>
  <c r="A156" i="43"/>
  <c r="S155" i="43"/>
  <c r="E155" i="43"/>
  <c r="C155" i="43"/>
  <c r="B155" i="43"/>
  <c r="A155" i="43"/>
  <c r="S154" i="43"/>
  <c r="E154" i="43"/>
  <c r="C154" i="43"/>
  <c r="B154" i="43"/>
  <c r="A154" i="43"/>
  <c r="S153" i="43"/>
  <c r="E153" i="43"/>
  <c r="C153" i="43"/>
  <c r="B153" i="43"/>
  <c r="A153" i="43"/>
  <c r="S152" i="43"/>
  <c r="E152" i="43"/>
  <c r="C152" i="43"/>
  <c r="B152" i="43"/>
  <c r="A152" i="43"/>
  <c r="S151" i="43"/>
  <c r="E151" i="43"/>
  <c r="C151" i="43"/>
  <c r="B151" i="43"/>
  <c r="A151" i="43"/>
  <c r="S150" i="43"/>
  <c r="E150" i="43"/>
  <c r="C150" i="43"/>
  <c r="B150" i="43"/>
  <c r="A150" i="43"/>
  <c r="S149" i="43"/>
  <c r="E149" i="43"/>
  <c r="C149" i="43"/>
  <c r="B149" i="43"/>
  <c r="A149" i="43"/>
  <c r="S148" i="43"/>
  <c r="E148" i="43"/>
  <c r="C148" i="43"/>
  <c r="B148" i="43"/>
  <c r="A148" i="43"/>
  <c r="S147" i="43"/>
  <c r="E147" i="43"/>
  <c r="C147" i="43"/>
  <c r="B147" i="43"/>
  <c r="A147" i="43"/>
  <c r="S146" i="43"/>
  <c r="E146" i="43"/>
  <c r="C146" i="43"/>
  <c r="B146" i="43"/>
  <c r="A146" i="43"/>
  <c r="S145" i="43"/>
  <c r="E145" i="43"/>
  <c r="C145" i="43"/>
  <c r="B145" i="43"/>
  <c r="A145" i="43"/>
  <c r="S144" i="43"/>
  <c r="E144" i="43"/>
  <c r="C144" i="43"/>
  <c r="B144" i="43"/>
  <c r="A144" i="43"/>
  <c r="S143" i="43"/>
  <c r="E143" i="43"/>
  <c r="C143" i="43"/>
  <c r="B143" i="43"/>
  <c r="A143" i="43"/>
  <c r="S142" i="43"/>
  <c r="E142" i="43"/>
  <c r="C142" i="43"/>
  <c r="B142" i="43"/>
  <c r="A142" i="43"/>
  <c r="S141" i="43"/>
  <c r="E141" i="43"/>
  <c r="C141" i="43"/>
  <c r="B141" i="43"/>
  <c r="A141" i="43"/>
  <c r="S140" i="43"/>
  <c r="E140" i="43"/>
  <c r="C140" i="43"/>
  <c r="B140" i="43"/>
  <c r="A140" i="43"/>
  <c r="S139" i="43"/>
  <c r="E139" i="43"/>
  <c r="C139" i="43"/>
  <c r="B139" i="43"/>
  <c r="A139" i="43"/>
  <c r="S138" i="43"/>
  <c r="E138" i="43"/>
  <c r="C138" i="43"/>
  <c r="B138" i="43"/>
  <c r="A138" i="43"/>
  <c r="E137" i="43"/>
  <c r="E136" i="43"/>
  <c r="C136" i="43"/>
  <c r="B136" i="43"/>
  <c r="A136" i="43"/>
  <c r="T135" i="43"/>
  <c r="E135" i="43"/>
  <c r="C135" i="43"/>
  <c r="B135" i="43"/>
  <c r="A135" i="43"/>
  <c r="T134" i="43"/>
  <c r="E134" i="43"/>
  <c r="B134" i="43"/>
  <c r="A134" i="43"/>
  <c r="T133" i="43"/>
  <c r="E133" i="43"/>
  <c r="C133" i="43"/>
  <c r="B133" i="43"/>
  <c r="A133" i="43"/>
  <c r="T132" i="43"/>
  <c r="E132" i="43"/>
  <c r="C132" i="43"/>
  <c r="B132" i="43"/>
  <c r="A132" i="43"/>
  <c r="T131" i="43"/>
  <c r="E131" i="43"/>
  <c r="B131" i="43"/>
  <c r="A131" i="43"/>
  <c r="T130" i="43"/>
  <c r="E130" i="43"/>
  <c r="C130" i="43"/>
  <c r="B130" i="43"/>
  <c r="A130" i="43"/>
  <c r="T129" i="43"/>
  <c r="E129" i="43"/>
  <c r="C129" i="43"/>
  <c r="B129" i="43"/>
  <c r="A129" i="43"/>
  <c r="T128" i="43"/>
  <c r="E128" i="43"/>
  <c r="C128" i="43"/>
  <c r="B128" i="43"/>
  <c r="A128" i="43"/>
  <c r="T127" i="43"/>
  <c r="E127" i="43"/>
  <c r="C127" i="43"/>
  <c r="B127" i="43"/>
  <c r="A127" i="43"/>
  <c r="T126" i="43"/>
  <c r="E126" i="43"/>
  <c r="C126" i="43"/>
  <c r="B126" i="43"/>
  <c r="A126" i="43"/>
  <c r="T125" i="43"/>
  <c r="E125" i="43"/>
  <c r="C125" i="43"/>
  <c r="B125" i="43"/>
  <c r="A125" i="43"/>
  <c r="T124" i="43"/>
  <c r="E124" i="43"/>
  <c r="C124" i="43"/>
  <c r="B124" i="43"/>
  <c r="A124" i="43"/>
  <c r="T123" i="43"/>
  <c r="E123" i="43"/>
  <c r="C123" i="43"/>
  <c r="B123" i="43"/>
  <c r="A123" i="43"/>
  <c r="T122" i="43"/>
  <c r="E122" i="43"/>
  <c r="C122" i="43"/>
  <c r="B122" i="43"/>
  <c r="A122" i="43"/>
  <c r="T121" i="43"/>
  <c r="E121" i="43"/>
  <c r="C121" i="43"/>
  <c r="B121" i="43"/>
  <c r="A121" i="43"/>
  <c r="T120" i="43"/>
  <c r="E120" i="43"/>
  <c r="C120" i="43"/>
  <c r="B120" i="43"/>
  <c r="A120" i="43"/>
  <c r="T119" i="43"/>
  <c r="E119" i="43"/>
  <c r="C119" i="43"/>
  <c r="B119" i="43"/>
  <c r="A119" i="43"/>
  <c r="T118" i="43"/>
  <c r="E118" i="43"/>
  <c r="C118" i="43"/>
  <c r="B118" i="43"/>
  <c r="A118" i="43"/>
  <c r="T117" i="43"/>
  <c r="E117" i="43"/>
  <c r="C117" i="43"/>
  <c r="B117" i="43"/>
  <c r="A117" i="43"/>
  <c r="T116" i="43"/>
  <c r="E116" i="43"/>
  <c r="C116" i="43"/>
  <c r="B116" i="43"/>
  <c r="A116" i="43"/>
  <c r="T115" i="43"/>
  <c r="E115" i="43"/>
  <c r="C115" i="43"/>
  <c r="B115" i="43"/>
  <c r="A115" i="43"/>
  <c r="T114" i="43"/>
  <c r="E114" i="43"/>
  <c r="C114" i="43"/>
  <c r="B114" i="43"/>
  <c r="A114" i="43"/>
  <c r="T113" i="43"/>
  <c r="E113" i="43"/>
  <c r="C113" i="43"/>
  <c r="B113" i="43"/>
  <c r="A113" i="43"/>
  <c r="T112" i="43"/>
  <c r="E112" i="43"/>
  <c r="C112" i="43"/>
  <c r="B112" i="43"/>
  <c r="A112" i="43"/>
  <c r="T111" i="43"/>
  <c r="E111" i="43"/>
  <c r="C111" i="43"/>
  <c r="B111" i="43"/>
  <c r="A111" i="43"/>
  <c r="T110" i="43"/>
  <c r="E110" i="43"/>
  <c r="C110" i="43"/>
  <c r="B110" i="43"/>
  <c r="A110" i="43"/>
  <c r="T109" i="43"/>
  <c r="E109" i="43"/>
  <c r="C109" i="43"/>
  <c r="B109" i="43"/>
  <c r="A109" i="43"/>
  <c r="T108" i="43"/>
  <c r="E108" i="43"/>
  <c r="C108" i="43"/>
  <c r="B108" i="43"/>
  <c r="A108" i="43"/>
  <c r="T107" i="43"/>
  <c r="E107" i="43"/>
  <c r="C107" i="43"/>
  <c r="B107" i="43"/>
  <c r="A107" i="43"/>
  <c r="T106" i="43"/>
  <c r="E106" i="43"/>
  <c r="C106" i="43"/>
  <c r="B106" i="43"/>
  <c r="A106" i="43"/>
  <c r="T105" i="43"/>
  <c r="E105" i="43"/>
  <c r="C105" i="43"/>
  <c r="B105" i="43"/>
  <c r="A105" i="43"/>
  <c r="T104" i="43"/>
  <c r="E104" i="43"/>
  <c r="C104" i="43"/>
  <c r="B104" i="43"/>
  <c r="A104" i="43"/>
  <c r="T103" i="43"/>
  <c r="E103" i="43"/>
  <c r="C103" i="43"/>
  <c r="B103" i="43"/>
  <c r="A103" i="43"/>
  <c r="T102" i="43"/>
  <c r="E102" i="43"/>
  <c r="C102" i="43"/>
  <c r="B102" i="43"/>
  <c r="A102" i="43"/>
  <c r="T101" i="43"/>
  <c r="E101" i="43"/>
  <c r="C101" i="43"/>
  <c r="B101" i="43"/>
  <c r="A101" i="43"/>
  <c r="T100" i="43"/>
  <c r="E100" i="43"/>
  <c r="C100" i="43"/>
  <c r="B100" i="43"/>
  <c r="A100" i="43"/>
  <c r="T99" i="43"/>
  <c r="E99" i="43"/>
  <c r="C99" i="43"/>
  <c r="B99" i="43"/>
  <c r="A99" i="43"/>
  <c r="T98" i="43"/>
  <c r="E98" i="43"/>
  <c r="C98" i="43"/>
  <c r="B98" i="43"/>
  <c r="A98" i="43"/>
  <c r="T97" i="43"/>
  <c r="E97" i="43"/>
  <c r="C97" i="43"/>
  <c r="B97" i="43"/>
  <c r="A97" i="43"/>
  <c r="T96" i="43"/>
  <c r="E96" i="43"/>
  <c r="C96" i="43"/>
  <c r="B96" i="43"/>
  <c r="A96" i="43"/>
  <c r="T95" i="43"/>
  <c r="E95" i="43"/>
  <c r="C95" i="43"/>
  <c r="B95" i="43"/>
  <c r="A95" i="43"/>
  <c r="T94" i="43"/>
  <c r="E94" i="43"/>
  <c r="C94" i="43"/>
  <c r="B94" i="43"/>
  <c r="A94" i="43"/>
  <c r="T93" i="43"/>
  <c r="E93" i="43"/>
  <c r="C93" i="43"/>
  <c r="B93" i="43"/>
  <c r="A93" i="43"/>
  <c r="T92" i="43"/>
  <c r="E92" i="43"/>
  <c r="C92" i="43"/>
  <c r="B92" i="43"/>
  <c r="A92" i="43"/>
  <c r="T91" i="43"/>
  <c r="E91" i="43"/>
  <c r="C91" i="43"/>
  <c r="B91" i="43"/>
  <c r="A91" i="43"/>
  <c r="T90" i="43"/>
  <c r="E90" i="43"/>
  <c r="C90" i="43"/>
  <c r="B90" i="43"/>
  <c r="A90" i="43"/>
  <c r="T89" i="43"/>
  <c r="E89" i="43"/>
  <c r="C89" i="43"/>
  <c r="B89" i="43"/>
  <c r="A89" i="43"/>
  <c r="T88" i="43"/>
  <c r="E88" i="43"/>
  <c r="C88" i="43"/>
  <c r="B88" i="43"/>
  <c r="A88" i="43"/>
  <c r="T87" i="43"/>
  <c r="E87" i="43"/>
  <c r="C87" i="43"/>
  <c r="B87" i="43"/>
  <c r="A87" i="43"/>
  <c r="T86" i="43"/>
  <c r="E86" i="43"/>
  <c r="C86" i="43"/>
  <c r="B86" i="43"/>
  <c r="A86" i="43"/>
  <c r="T85" i="43"/>
  <c r="E85" i="43"/>
  <c r="C85" i="43"/>
  <c r="B85" i="43"/>
  <c r="A85" i="43"/>
  <c r="T84" i="43"/>
  <c r="E84" i="43"/>
  <c r="C84" i="43"/>
  <c r="B84" i="43"/>
  <c r="A84" i="43"/>
  <c r="T83" i="43"/>
  <c r="E83" i="43"/>
  <c r="C83" i="43"/>
  <c r="B83" i="43"/>
  <c r="A83" i="43"/>
  <c r="T82" i="43"/>
  <c r="E82" i="43"/>
  <c r="C82" i="43"/>
  <c r="B82" i="43"/>
  <c r="A82" i="43"/>
  <c r="T81" i="43"/>
  <c r="E81" i="43"/>
  <c r="C81" i="43"/>
  <c r="B81" i="43"/>
  <c r="A81" i="43"/>
  <c r="T80" i="43"/>
  <c r="E80" i="43"/>
  <c r="C80" i="43"/>
  <c r="B80" i="43"/>
  <c r="A80" i="43"/>
  <c r="T79" i="43"/>
  <c r="E79" i="43"/>
  <c r="C79" i="43"/>
  <c r="B79" i="43"/>
  <c r="A79" i="43"/>
  <c r="T78" i="43"/>
  <c r="E78" i="43"/>
  <c r="C78" i="43"/>
  <c r="A78" i="43"/>
  <c r="T77" i="43"/>
  <c r="E77" i="43"/>
  <c r="C77" i="43"/>
  <c r="B77" i="43"/>
  <c r="A77" i="43"/>
  <c r="T76" i="43"/>
  <c r="E76" i="43"/>
  <c r="C76" i="43"/>
  <c r="B76" i="43"/>
  <c r="A76" i="43"/>
  <c r="T75" i="43"/>
  <c r="E75" i="43"/>
  <c r="C75" i="43"/>
  <c r="B75" i="43"/>
  <c r="A75" i="43"/>
  <c r="T74" i="43"/>
  <c r="E74" i="43"/>
  <c r="C74" i="43"/>
  <c r="B74" i="43"/>
  <c r="A74" i="43"/>
  <c r="T73" i="43"/>
  <c r="E73" i="43"/>
  <c r="C73" i="43"/>
  <c r="B73" i="43"/>
  <c r="A73" i="43"/>
  <c r="T72" i="43"/>
  <c r="E72" i="43"/>
  <c r="C72" i="43"/>
  <c r="B72" i="43"/>
  <c r="A72" i="43"/>
  <c r="T71" i="43"/>
  <c r="E71" i="43"/>
  <c r="C71" i="43"/>
  <c r="B71" i="43"/>
  <c r="A71" i="43"/>
  <c r="T70" i="43"/>
  <c r="E70" i="43"/>
  <c r="C70" i="43"/>
  <c r="B70" i="43"/>
  <c r="A70" i="43"/>
  <c r="T69" i="43"/>
  <c r="E69" i="43"/>
  <c r="C69" i="43"/>
  <c r="B69" i="43"/>
  <c r="A69" i="43"/>
  <c r="T68" i="43"/>
  <c r="E68" i="43"/>
  <c r="C68" i="43"/>
  <c r="B68" i="43"/>
  <c r="A68" i="43"/>
  <c r="T67" i="43"/>
  <c r="E67" i="43"/>
  <c r="C67" i="43"/>
  <c r="B67" i="43"/>
  <c r="A67" i="43"/>
  <c r="T66" i="43"/>
  <c r="E66" i="43"/>
  <c r="C66" i="43"/>
  <c r="B66" i="43"/>
  <c r="A66" i="43"/>
  <c r="T65" i="43"/>
  <c r="E65" i="43"/>
  <c r="C65" i="43"/>
  <c r="A65" i="43"/>
  <c r="T64" i="43"/>
  <c r="E64" i="43"/>
  <c r="C64" i="43"/>
  <c r="B64" i="43"/>
  <c r="A64" i="43"/>
  <c r="T63" i="43"/>
  <c r="E63" i="43"/>
  <c r="C63" i="43"/>
  <c r="B63" i="43"/>
  <c r="A63" i="43"/>
  <c r="T62" i="43"/>
  <c r="E62" i="43"/>
  <c r="C62" i="43"/>
  <c r="B62" i="43"/>
  <c r="A62" i="43"/>
  <c r="T61" i="43"/>
  <c r="E61" i="43"/>
  <c r="C61" i="43"/>
  <c r="B61" i="43"/>
  <c r="A61" i="43"/>
  <c r="T60" i="43"/>
  <c r="E60" i="43"/>
  <c r="C60" i="43"/>
  <c r="B60" i="43"/>
  <c r="A60" i="43"/>
  <c r="T59" i="43"/>
  <c r="E59" i="43"/>
  <c r="C59" i="43"/>
  <c r="B59" i="43"/>
  <c r="A59" i="43"/>
  <c r="T58" i="43"/>
  <c r="E58" i="43"/>
  <c r="C58" i="43"/>
  <c r="B58" i="43"/>
  <c r="A58" i="43"/>
  <c r="T57" i="43"/>
  <c r="E57" i="43"/>
  <c r="C57" i="43"/>
  <c r="B57" i="43"/>
  <c r="A57" i="43"/>
  <c r="T56" i="43"/>
  <c r="E56" i="43"/>
  <c r="C56" i="43"/>
  <c r="B56" i="43"/>
  <c r="A56" i="43"/>
  <c r="T55" i="43"/>
  <c r="E55" i="43"/>
  <c r="C55" i="43"/>
  <c r="B55" i="43"/>
  <c r="A55" i="43"/>
  <c r="T54" i="43"/>
  <c r="E54" i="43"/>
  <c r="C54" i="43"/>
  <c r="B54" i="43"/>
  <c r="A54" i="43"/>
  <c r="T53" i="43"/>
  <c r="E53" i="43"/>
  <c r="C53" i="43"/>
  <c r="B53" i="43"/>
  <c r="A53" i="43"/>
  <c r="T52" i="43"/>
  <c r="E52" i="43"/>
  <c r="C52" i="43"/>
  <c r="B52" i="43"/>
  <c r="A52" i="43"/>
  <c r="T51" i="43"/>
  <c r="E51" i="43"/>
  <c r="C51" i="43"/>
  <c r="B51" i="43"/>
  <c r="A51" i="43"/>
  <c r="T50" i="43"/>
  <c r="E50" i="43"/>
  <c r="C50" i="43"/>
  <c r="B50" i="43"/>
  <c r="A50" i="43"/>
  <c r="T49" i="43"/>
  <c r="E49" i="43"/>
  <c r="C49" i="43"/>
  <c r="B49" i="43"/>
  <c r="A49" i="43"/>
  <c r="T48" i="43"/>
  <c r="E48" i="43"/>
  <c r="C48" i="43"/>
  <c r="B48" i="43"/>
  <c r="A48" i="43"/>
  <c r="T47" i="43"/>
  <c r="E47" i="43"/>
  <c r="C47" i="43"/>
  <c r="B47" i="43"/>
  <c r="A47" i="43"/>
  <c r="T46" i="43"/>
  <c r="E46" i="43"/>
  <c r="C46" i="43"/>
  <c r="B46" i="43"/>
  <c r="A46" i="43"/>
  <c r="T45" i="43"/>
  <c r="E45" i="43"/>
  <c r="C45" i="43"/>
  <c r="B45" i="43"/>
  <c r="A45" i="43"/>
  <c r="T44" i="43"/>
  <c r="E44" i="43"/>
  <c r="C44" i="43"/>
  <c r="B44" i="43"/>
  <c r="A44" i="43"/>
  <c r="T43" i="43"/>
  <c r="E43" i="43"/>
  <c r="C43" i="43"/>
  <c r="B43" i="43"/>
  <c r="A43" i="43"/>
  <c r="T42" i="43"/>
  <c r="E42" i="43"/>
  <c r="C42" i="43"/>
  <c r="B42" i="43"/>
  <c r="A42" i="43"/>
  <c r="T41" i="43"/>
  <c r="E41" i="43"/>
  <c r="C41" i="43"/>
  <c r="B41" i="43"/>
  <c r="A41" i="43"/>
  <c r="T40" i="43"/>
  <c r="E40" i="43"/>
  <c r="C40" i="43"/>
  <c r="B40" i="43"/>
  <c r="A40" i="43"/>
  <c r="T39" i="43"/>
  <c r="E39" i="43"/>
  <c r="C39" i="43"/>
  <c r="B39" i="43"/>
  <c r="A39" i="43"/>
  <c r="T38" i="43"/>
  <c r="E38" i="43"/>
  <c r="C38" i="43"/>
  <c r="B38" i="43"/>
  <c r="A38" i="43"/>
  <c r="T37" i="43"/>
  <c r="E37" i="43"/>
  <c r="C37" i="43"/>
  <c r="B37" i="43"/>
  <c r="A37" i="43"/>
  <c r="T36" i="43"/>
  <c r="E36" i="43"/>
  <c r="C36" i="43"/>
  <c r="B36" i="43"/>
  <c r="A36" i="43"/>
  <c r="T35" i="43"/>
  <c r="E35" i="43"/>
  <c r="C35" i="43"/>
  <c r="B35" i="43"/>
  <c r="A35" i="43"/>
  <c r="T34" i="43"/>
  <c r="E34" i="43"/>
  <c r="C34" i="43"/>
  <c r="B34" i="43"/>
  <c r="A34" i="43"/>
  <c r="T33" i="43"/>
  <c r="E33" i="43"/>
  <c r="C33" i="43"/>
  <c r="B33" i="43"/>
  <c r="A33" i="43"/>
  <c r="T32" i="43"/>
  <c r="E32" i="43"/>
  <c r="C32" i="43"/>
  <c r="B32" i="43"/>
  <c r="A32" i="43"/>
  <c r="T31" i="43"/>
  <c r="E31" i="43"/>
  <c r="C31" i="43"/>
  <c r="B31" i="43"/>
  <c r="A31" i="43"/>
  <c r="T30" i="43"/>
  <c r="E30" i="43"/>
  <c r="C30" i="43"/>
  <c r="B30" i="43"/>
  <c r="A30" i="43"/>
  <c r="T29" i="43"/>
  <c r="E29" i="43"/>
  <c r="C29" i="43"/>
  <c r="B29" i="43"/>
  <c r="A29" i="43"/>
  <c r="T28" i="43"/>
  <c r="E28" i="43"/>
  <c r="C28" i="43"/>
  <c r="B28" i="43"/>
  <c r="A28" i="43"/>
  <c r="T27" i="43"/>
  <c r="E27" i="43"/>
  <c r="C27" i="43"/>
  <c r="B27" i="43"/>
  <c r="A27" i="43"/>
  <c r="T26" i="43"/>
  <c r="E26" i="43"/>
  <c r="C26" i="43"/>
  <c r="B26" i="43"/>
  <c r="A26" i="43"/>
  <c r="T25" i="43"/>
  <c r="E25" i="43"/>
  <c r="C25" i="43"/>
  <c r="B25" i="43"/>
  <c r="A25" i="43"/>
  <c r="T24" i="43"/>
  <c r="E24" i="43"/>
  <c r="C24" i="43"/>
  <c r="B24" i="43"/>
  <c r="A24" i="43"/>
  <c r="T23" i="43"/>
  <c r="E23" i="43"/>
  <c r="C23" i="43"/>
  <c r="B23" i="43"/>
  <c r="A23" i="43"/>
  <c r="T22" i="43"/>
  <c r="E22" i="43"/>
  <c r="C22" i="43"/>
  <c r="B22" i="43"/>
  <c r="A22" i="43"/>
  <c r="T21" i="43"/>
  <c r="E21" i="43"/>
  <c r="C21" i="43"/>
  <c r="B21" i="43"/>
  <c r="A21" i="43"/>
  <c r="T20" i="43"/>
  <c r="E20" i="43"/>
  <c r="C20" i="43"/>
  <c r="B20" i="43"/>
  <c r="A20" i="43"/>
  <c r="T19" i="43"/>
  <c r="E19" i="43"/>
  <c r="C19" i="43"/>
  <c r="B19" i="43"/>
  <c r="A19" i="43"/>
  <c r="T18" i="43"/>
  <c r="E18" i="43"/>
  <c r="C18" i="43"/>
  <c r="B18" i="43"/>
  <c r="A18" i="43"/>
  <c r="T17" i="43"/>
  <c r="E17" i="43"/>
  <c r="C17" i="43"/>
  <c r="B17" i="43"/>
  <c r="A17" i="43"/>
  <c r="T16" i="43"/>
  <c r="E16" i="43"/>
  <c r="C16" i="43"/>
  <c r="B16" i="43"/>
  <c r="A16" i="43"/>
  <c r="T15" i="43"/>
  <c r="E15" i="43"/>
  <c r="C15" i="43"/>
  <c r="B15" i="43"/>
  <c r="A15" i="43"/>
  <c r="T14" i="43"/>
  <c r="E14" i="43"/>
  <c r="C14" i="43"/>
  <c r="B14" i="43"/>
  <c r="A14" i="43"/>
  <c r="T13" i="43"/>
  <c r="E13" i="43"/>
  <c r="C13" i="43"/>
  <c r="B13" i="43"/>
  <c r="A13" i="43"/>
  <c r="T12" i="43"/>
  <c r="E12" i="43"/>
  <c r="C12" i="43"/>
  <c r="B12" i="43"/>
  <c r="A12" i="43"/>
  <c r="T11" i="43"/>
  <c r="E11" i="43"/>
  <c r="C11" i="43"/>
  <c r="B11" i="43"/>
  <c r="A11" i="43"/>
  <c r="T10" i="43"/>
  <c r="E10" i="43"/>
  <c r="C10" i="43"/>
  <c r="B10" i="43"/>
  <c r="A10" i="43"/>
  <c r="T9" i="43"/>
  <c r="E9" i="43"/>
  <c r="C9" i="43"/>
  <c r="B9" i="43"/>
  <c r="A9" i="43"/>
  <c r="T8" i="43"/>
  <c r="E8" i="43"/>
  <c r="C8" i="43"/>
  <c r="B8" i="43"/>
  <c r="A8" i="43"/>
  <c r="T7" i="43"/>
  <c r="E7" i="43"/>
  <c r="C7" i="43"/>
  <c r="B7" i="43"/>
  <c r="A7" i="43"/>
  <c r="T6" i="43"/>
  <c r="E6" i="43"/>
  <c r="C6" i="43"/>
  <c r="B6" i="43"/>
  <c r="A6" i="43"/>
  <c r="G40" i="28" l="1"/>
  <c r="F39" i="58" s="1"/>
  <c r="D39" i="58"/>
  <c r="D42" i="11"/>
  <c r="D43" i="11"/>
  <c r="D53" i="11"/>
  <c r="D52" i="11"/>
  <c r="D46" i="11"/>
  <c r="D51" i="11"/>
  <c r="D45" i="11"/>
  <c r="D57" i="11"/>
  <c r="D54" i="11"/>
  <c r="D56" i="11"/>
  <c r="S525" i="43"/>
  <c r="I536" i="43"/>
  <c r="I538" i="43" s="1"/>
  <c r="M536" i="43"/>
  <c r="M538" i="43" s="1"/>
  <c r="Q536" i="43"/>
  <c r="Q538" i="43" s="1"/>
  <c r="S529" i="43"/>
  <c r="S535" i="43"/>
  <c r="D44" i="18"/>
  <c r="D50" i="18"/>
  <c r="D49" i="18"/>
  <c r="D52" i="18"/>
  <c r="D51" i="18"/>
  <c r="D41" i="18"/>
  <c r="D55" i="18"/>
  <c r="D54" i="18"/>
  <c r="D43" i="18"/>
  <c r="S526" i="43"/>
  <c r="H536" i="43"/>
  <c r="H538" i="43" s="1"/>
  <c r="L536" i="43"/>
  <c r="L538" i="43" s="1"/>
  <c r="P536" i="43"/>
  <c r="P538" i="43" s="1"/>
  <c r="S530" i="43"/>
  <c r="S531" i="43"/>
  <c r="S532" i="43"/>
  <c r="S527" i="43"/>
  <c r="S533" i="43"/>
  <c r="F536" i="43"/>
  <c r="J536" i="43"/>
  <c r="J538" i="43" s="1"/>
  <c r="N536" i="43"/>
  <c r="N538" i="43" s="1"/>
  <c r="R536" i="43"/>
  <c r="R538" i="43" s="1"/>
  <c r="G536" i="43"/>
  <c r="G538" i="43" s="1"/>
  <c r="K536" i="43"/>
  <c r="K538" i="43" s="1"/>
  <c r="O536" i="43"/>
  <c r="O538" i="43" s="1"/>
  <c r="S534" i="43"/>
  <c r="S528" i="43"/>
  <c r="H40" i="28" l="1"/>
  <c r="F26" i="16" s="1"/>
  <c r="P39" i="58"/>
  <c r="N39" i="58"/>
  <c r="S538" i="43"/>
  <c r="S536" i="43"/>
  <c r="D116" i="5" l="1"/>
  <c r="H116" i="5" l="1"/>
  <c r="I116" i="5"/>
  <c r="T572" i="42" l="1"/>
  <c r="E572" i="42"/>
  <c r="C572" i="42"/>
  <c r="B572" i="42"/>
  <c r="A572" i="42"/>
  <c r="T571" i="42"/>
  <c r="E571" i="42"/>
  <c r="C571" i="42"/>
  <c r="B571" i="42"/>
  <c r="A571" i="42"/>
  <c r="T570" i="42"/>
  <c r="E570" i="42"/>
  <c r="C570" i="42"/>
  <c r="B570" i="42"/>
  <c r="A570" i="42"/>
  <c r="T569" i="42"/>
  <c r="E569" i="42"/>
  <c r="C569" i="42"/>
  <c r="B569" i="42"/>
  <c r="A569" i="42"/>
  <c r="T568" i="42"/>
  <c r="E568" i="42"/>
  <c r="C568" i="42"/>
  <c r="B568" i="42"/>
  <c r="A568" i="42"/>
  <c r="T567" i="42"/>
  <c r="E567" i="42"/>
  <c r="C567" i="42"/>
  <c r="B567" i="42"/>
  <c r="A567" i="42"/>
  <c r="T566" i="42"/>
  <c r="E566" i="42"/>
  <c r="C566" i="42"/>
  <c r="B566" i="42"/>
  <c r="A566" i="42"/>
  <c r="T565" i="42"/>
  <c r="E565" i="42"/>
  <c r="C565" i="42"/>
  <c r="B565" i="42"/>
  <c r="A565" i="42"/>
  <c r="T564" i="42"/>
  <c r="E564" i="42"/>
  <c r="C564" i="42"/>
  <c r="B564" i="42"/>
  <c r="A564" i="42"/>
  <c r="T563" i="42"/>
  <c r="E563" i="42"/>
  <c r="C563" i="42"/>
  <c r="B563" i="42"/>
  <c r="A563" i="42"/>
  <c r="T562" i="42"/>
  <c r="E562" i="42"/>
  <c r="B562" i="42"/>
  <c r="A562" i="42"/>
  <c r="T561" i="42"/>
  <c r="E561" i="42"/>
  <c r="C561" i="42"/>
  <c r="B561" i="42"/>
  <c r="A561" i="42"/>
  <c r="T560" i="42"/>
  <c r="E560" i="42"/>
  <c r="C560" i="42"/>
  <c r="B560" i="42"/>
  <c r="A560" i="42"/>
  <c r="T559" i="42"/>
  <c r="E559" i="42"/>
  <c r="C559" i="42"/>
  <c r="B559" i="42"/>
  <c r="A559" i="42"/>
  <c r="T558" i="42"/>
  <c r="E558" i="42"/>
  <c r="C558" i="42"/>
  <c r="B558" i="42"/>
  <c r="A558" i="42"/>
  <c r="T557" i="42"/>
  <c r="E557" i="42"/>
  <c r="C557" i="42"/>
  <c r="B557" i="42"/>
  <c r="A557" i="42"/>
  <c r="T556" i="42"/>
  <c r="E556" i="42"/>
  <c r="C556" i="42"/>
  <c r="B556" i="42"/>
  <c r="A556" i="42"/>
  <c r="T555" i="42"/>
  <c r="E555" i="42"/>
  <c r="C555" i="42"/>
  <c r="B555" i="42"/>
  <c r="A555" i="42"/>
  <c r="T554" i="42"/>
  <c r="E554" i="42"/>
  <c r="C554" i="42"/>
  <c r="B554" i="42"/>
  <c r="A554" i="42"/>
  <c r="T553" i="42"/>
  <c r="E553" i="42"/>
  <c r="C553" i="42"/>
  <c r="B553" i="42"/>
  <c r="A553" i="42"/>
  <c r="T552" i="42"/>
  <c r="E552" i="42"/>
  <c r="C552" i="42"/>
  <c r="B552" i="42"/>
  <c r="A552" i="42"/>
  <c r="E547" i="42"/>
  <c r="S546" i="42"/>
  <c r="R546" i="42"/>
  <c r="Q546" i="42"/>
  <c r="P546" i="42"/>
  <c r="O546" i="42"/>
  <c r="N546" i="42"/>
  <c r="M546" i="42"/>
  <c r="L546" i="42"/>
  <c r="K546" i="42"/>
  <c r="J546" i="42"/>
  <c r="I546" i="42"/>
  <c r="H546" i="42"/>
  <c r="G546" i="42"/>
  <c r="G547" i="42" s="1"/>
  <c r="F546" i="42"/>
  <c r="F547" i="42" s="1"/>
  <c r="E546" i="42"/>
  <c r="C546" i="42"/>
  <c r="B546" i="42"/>
  <c r="A546" i="42"/>
  <c r="T545" i="42"/>
  <c r="E545" i="42"/>
  <c r="C545" i="42"/>
  <c r="B545" i="42"/>
  <c r="A545" i="42"/>
  <c r="T544" i="42"/>
  <c r="E544" i="42"/>
  <c r="C544" i="42"/>
  <c r="B544" i="42"/>
  <c r="A544" i="42"/>
  <c r="T543" i="42"/>
  <c r="C543" i="42"/>
  <c r="B543" i="42"/>
  <c r="A543" i="42"/>
  <c r="T542" i="42"/>
  <c r="C542" i="42"/>
  <c r="B542" i="42"/>
  <c r="A542" i="42"/>
  <c r="T541" i="42"/>
  <c r="E541" i="42"/>
  <c r="C541" i="42"/>
  <c r="B541" i="42"/>
  <c r="A541" i="42"/>
  <c r="T540" i="42"/>
  <c r="E540" i="42"/>
  <c r="C540" i="42"/>
  <c r="B540" i="42"/>
  <c r="A540" i="42"/>
  <c r="T539" i="42"/>
  <c r="E539" i="42"/>
  <c r="C539" i="42"/>
  <c r="B539" i="42"/>
  <c r="A539" i="42"/>
  <c r="T538" i="42"/>
  <c r="E538" i="42"/>
  <c r="C538" i="42"/>
  <c r="B538" i="42"/>
  <c r="A538" i="42"/>
  <c r="E537" i="42"/>
  <c r="S536" i="42"/>
  <c r="R536" i="42"/>
  <c r="Q536" i="42"/>
  <c r="P536" i="42"/>
  <c r="O536" i="42"/>
  <c r="N536" i="42"/>
  <c r="M536" i="42"/>
  <c r="L536" i="42"/>
  <c r="J536" i="42"/>
  <c r="I536" i="42"/>
  <c r="H536" i="42"/>
  <c r="H547" i="42" s="1"/>
  <c r="E536" i="42"/>
  <c r="T534" i="42"/>
  <c r="E534" i="42"/>
  <c r="C534" i="42"/>
  <c r="B534" i="42"/>
  <c r="A534" i="42"/>
  <c r="T533" i="42"/>
  <c r="E533" i="42"/>
  <c r="C533" i="42"/>
  <c r="B533" i="42"/>
  <c r="A533" i="42"/>
  <c r="T532" i="42"/>
  <c r="E532" i="42"/>
  <c r="B532" i="42"/>
  <c r="A532" i="42"/>
  <c r="T531" i="42"/>
  <c r="E531" i="42"/>
  <c r="C531" i="42"/>
  <c r="B531" i="42"/>
  <c r="A531" i="42"/>
  <c r="T530" i="42"/>
  <c r="E530" i="42"/>
  <c r="C530" i="42"/>
  <c r="B530" i="42"/>
  <c r="A530" i="42"/>
  <c r="T529" i="42"/>
  <c r="E529" i="42"/>
  <c r="C529" i="42"/>
  <c r="B529" i="42"/>
  <c r="A529" i="42"/>
  <c r="T528" i="42"/>
  <c r="E528" i="42"/>
  <c r="C528" i="42"/>
  <c r="B528" i="42"/>
  <c r="A528" i="42"/>
  <c r="T527" i="42"/>
  <c r="E527" i="42"/>
  <c r="C527" i="42"/>
  <c r="B527" i="42"/>
  <c r="A527" i="42"/>
  <c r="T526" i="42"/>
  <c r="E526" i="42"/>
  <c r="C526" i="42"/>
  <c r="B526" i="42"/>
  <c r="A526" i="42"/>
  <c r="T525" i="42"/>
  <c r="E525" i="42"/>
  <c r="C525" i="42"/>
  <c r="B525" i="42"/>
  <c r="A525" i="42"/>
  <c r="K524" i="42"/>
  <c r="K536" i="42" s="1"/>
  <c r="E524" i="42"/>
  <c r="C524" i="42"/>
  <c r="B524" i="42"/>
  <c r="A524" i="42"/>
  <c r="T523" i="42"/>
  <c r="E523" i="42"/>
  <c r="C523" i="42"/>
  <c r="B523" i="42"/>
  <c r="A523" i="42"/>
  <c r="T522" i="42"/>
  <c r="E522" i="42"/>
  <c r="C522" i="42"/>
  <c r="B522" i="42"/>
  <c r="A522" i="42"/>
  <c r="T521" i="42"/>
  <c r="E521" i="42"/>
  <c r="C521" i="42"/>
  <c r="B521" i="42"/>
  <c r="A521" i="42"/>
  <c r="T520" i="42"/>
  <c r="E520" i="42"/>
  <c r="C520" i="42"/>
  <c r="B520" i="42"/>
  <c r="A520" i="42"/>
  <c r="T519" i="42"/>
  <c r="E519" i="42"/>
  <c r="C519" i="42"/>
  <c r="B519" i="42"/>
  <c r="A519" i="42"/>
  <c r="T518" i="42"/>
  <c r="E518" i="42"/>
  <c r="C518" i="42"/>
  <c r="B518" i="42"/>
  <c r="A518" i="42"/>
  <c r="T517" i="42"/>
  <c r="E517" i="42"/>
  <c r="C517" i="42"/>
  <c r="B517" i="42"/>
  <c r="A517" i="42"/>
  <c r="T516" i="42"/>
  <c r="E516" i="42"/>
  <c r="C516" i="42"/>
  <c r="B516" i="42"/>
  <c r="A516" i="42"/>
  <c r="T515" i="42"/>
  <c r="E515" i="42"/>
  <c r="C515" i="42"/>
  <c r="B515" i="42"/>
  <c r="A515" i="42"/>
  <c r="T514" i="42"/>
  <c r="E514" i="42"/>
  <c r="C514" i="42"/>
  <c r="B514" i="42"/>
  <c r="A514" i="42"/>
  <c r="T513" i="42"/>
  <c r="E513" i="42"/>
  <c r="C513" i="42"/>
  <c r="B513" i="42"/>
  <c r="A513" i="42"/>
  <c r="T512" i="42"/>
  <c r="E512" i="42"/>
  <c r="C512" i="42"/>
  <c r="B512" i="42"/>
  <c r="A512" i="42"/>
  <c r="T511" i="42"/>
  <c r="E511" i="42"/>
  <c r="C511" i="42"/>
  <c r="B511" i="42"/>
  <c r="A511" i="42"/>
  <c r="T510" i="42"/>
  <c r="E510" i="42"/>
  <c r="C510" i="42"/>
  <c r="B510" i="42"/>
  <c r="A510" i="42"/>
  <c r="T509" i="42"/>
  <c r="E509" i="42"/>
  <c r="C509" i="42"/>
  <c r="B509" i="42"/>
  <c r="A509" i="42"/>
  <c r="T508" i="42"/>
  <c r="E508" i="42"/>
  <c r="C508" i="42"/>
  <c r="B508" i="42"/>
  <c r="A508" i="42"/>
  <c r="T507" i="42"/>
  <c r="E507" i="42"/>
  <c r="C507" i="42"/>
  <c r="B507" i="42"/>
  <c r="A507" i="42"/>
  <c r="T506" i="42"/>
  <c r="E506" i="42"/>
  <c r="C506" i="42"/>
  <c r="B506" i="42"/>
  <c r="A506" i="42"/>
  <c r="T505" i="42"/>
  <c r="E505" i="42"/>
  <c r="C505" i="42"/>
  <c r="B505" i="42"/>
  <c r="A505" i="42"/>
  <c r="T504" i="42"/>
  <c r="E504" i="42"/>
  <c r="C504" i="42"/>
  <c r="B504" i="42"/>
  <c r="A504" i="42"/>
  <c r="T503" i="42"/>
  <c r="E503" i="42"/>
  <c r="C503" i="42"/>
  <c r="B503" i="42"/>
  <c r="A503" i="42"/>
  <c r="T502" i="42"/>
  <c r="E502" i="42"/>
  <c r="C502" i="42"/>
  <c r="B502" i="42"/>
  <c r="A502" i="42"/>
  <c r="T501" i="42"/>
  <c r="E501" i="42"/>
  <c r="C501" i="42"/>
  <c r="B501" i="42"/>
  <c r="A501" i="42"/>
  <c r="T500" i="42"/>
  <c r="E500" i="42"/>
  <c r="C500" i="42"/>
  <c r="B500" i="42"/>
  <c r="A500" i="42"/>
  <c r="T499" i="42"/>
  <c r="E499" i="42"/>
  <c r="C499" i="42"/>
  <c r="B499" i="42"/>
  <c r="A499" i="42"/>
  <c r="T498" i="42"/>
  <c r="E498" i="42"/>
  <c r="C498" i="42"/>
  <c r="B498" i="42"/>
  <c r="A498" i="42"/>
  <c r="T497" i="42"/>
  <c r="E497" i="42"/>
  <c r="C497" i="42"/>
  <c r="B497" i="42"/>
  <c r="A497" i="42"/>
  <c r="T496" i="42"/>
  <c r="E496" i="42"/>
  <c r="C496" i="42"/>
  <c r="B496" i="42"/>
  <c r="A496" i="42"/>
  <c r="T495" i="42"/>
  <c r="E495" i="42"/>
  <c r="C495" i="42"/>
  <c r="B495" i="42"/>
  <c r="A495" i="42"/>
  <c r="T494" i="42"/>
  <c r="E494" i="42"/>
  <c r="C494" i="42"/>
  <c r="B494" i="42"/>
  <c r="A494" i="42"/>
  <c r="T493" i="42"/>
  <c r="E493" i="42"/>
  <c r="C493" i="42"/>
  <c r="B493" i="42"/>
  <c r="A493" i="42"/>
  <c r="T492" i="42"/>
  <c r="E492" i="42"/>
  <c r="C492" i="42"/>
  <c r="B492" i="42"/>
  <c r="A492" i="42"/>
  <c r="T491" i="42"/>
  <c r="E491" i="42"/>
  <c r="C491" i="42"/>
  <c r="B491" i="42"/>
  <c r="A491" i="42"/>
  <c r="T490" i="42"/>
  <c r="E490" i="42"/>
  <c r="C490" i="42"/>
  <c r="B490" i="42"/>
  <c r="A490" i="42"/>
  <c r="T489" i="42"/>
  <c r="E489" i="42"/>
  <c r="C489" i="42"/>
  <c r="B489" i="42"/>
  <c r="A489" i="42"/>
  <c r="T488" i="42"/>
  <c r="E488" i="42"/>
  <c r="C488" i="42"/>
  <c r="B488" i="42"/>
  <c r="A488" i="42"/>
  <c r="T487" i="42"/>
  <c r="E487" i="42"/>
  <c r="C487" i="42"/>
  <c r="B487" i="42"/>
  <c r="A487" i="42"/>
  <c r="T486" i="42"/>
  <c r="E486" i="42"/>
  <c r="C486" i="42"/>
  <c r="B486" i="42"/>
  <c r="A486" i="42"/>
  <c r="T485" i="42"/>
  <c r="E485" i="42"/>
  <c r="C485" i="42"/>
  <c r="B485" i="42"/>
  <c r="A485" i="42"/>
  <c r="T484" i="42"/>
  <c r="E484" i="42"/>
  <c r="C484" i="42"/>
  <c r="B484" i="42"/>
  <c r="A484" i="42"/>
  <c r="T483" i="42"/>
  <c r="E483" i="42"/>
  <c r="C483" i="42"/>
  <c r="B483" i="42"/>
  <c r="A483" i="42"/>
  <c r="T482" i="42"/>
  <c r="E482" i="42"/>
  <c r="C482" i="42"/>
  <c r="B482" i="42"/>
  <c r="A482" i="42"/>
  <c r="T481" i="42"/>
  <c r="E481" i="42"/>
  <c r="C481" i="42"/>
  <c r="B481" i="42"/>
  <c r="A481" i="42"/>
  <c r="T480" i="42"/>
  <c r="E480" i="42"/>
  <c r="C480" i="42"/>
  <c r="B480" i="42"/>
  <c r="A480" i="42"/>
  <c r="T479" i="42"/>
  <c r="E479" i="42"/>
  <c r="C479" i="42"/>
  <c r="B479" i="42"/>
  <c r="A479" i="42"/>
  <c r="T478" i="42"/>
  <c r="E478" i="42"/>
  <c r="C478" i="42"/>
  <c r="B478" i="42"/>
  <c r="A478" i="42"/>
  <c r="T477" i="42"/>
  <c r="E477" i="42"/>
  <c r="C477" i="42"/>
  <c r="B477" i="42"/>
  <c r="A477" i="42"/>
  <c r="T476" i="42"/>
  <c r="E476" i="42"/>
  <c r="C476" i="42"/>
  <c r="B476" i="42"/>
  <c r="A476" i="42"/>
  <c r="T475" i="42"/>
  <c r="E475" i="42"/>
  <c r="C475" i="42"/>
  <c r="B475" i="42"/>
  <c r="A475" i="42"/>
  <c r="T474" i="42"/>
  <c r="E474" i="42"/>
  <c r="C474" i="42"/>
  <c r="B474" i="42"/>
  <c r="A474" i="42"/>
  <c r="T473" i="42"/>
  <c r="E473" i="42"/>
  <c r="C473" i="42"/>
  <c r="B473" i="42"/>
  <c r="A473" i="42"/>
  <c r="T472" i="42"/>
  <c r="E472" i="42"/>
  <c r="C472" i="42"/>
  <c r="B472" i="42"/>
  <c r="A472" i="42"/>
  <c r="T471" i="42"/>
  <c r="E471" i="42"/>
  <c r="C471" i="42"/>
  <c r="B471" i="42"/>
  <c r="A471" i="42"/>
  <c r="T470" i="42"/>
  <c r="E470" i="42"/>
  <c r="C470" i="42"/>
  <c r="B470" i="42"/>
  <c r="A470" i="42"/>
  <c r="T469" i="42"/>
  <c r="E469" i="42"/>
  <c r="C469" i="42"/>
  <c r="B469" i="42"/>
  <c r="A469" i="42"/>
  <c r="T468" i="42"/>
  <c r="E468" i="42"/>
  <c r="C468" i="42"/>
  <c r="B468" i="42"/>
  <c r="A468" i="42"/>
  <c r="T467" i="42"/>
  <c r="E467" i="42"/>
  <c r="C467" i="42"/>
  <c r="B467" i="42"/>
  <c r="A467" i="42"/>
  <c r="T466" i="42"/>
  <c r="E466" i="42"/>
  <c r="C466" i="42"/>
  <c r="B466" i="42"/>
  <c r="A466" i="42"/>
  <c r="T465" i="42"/>
  <c r="E465" i="42"/>
  <c r="C465" i="42"/>
  <c r="B465" i="42"/>
  <c r="A465" i="42"/>
  <c r="T464" i="42"/>
  <c r="E464" i="42"/>
  <c r="C464" i="42"/>
  <c r="B464" i="42"/>
  <c r="A464" i="42"/>
  <c r="T463" i="42"/>
  <c r="E463" i="42"/>
  <c r="C463" i="42"/>
  <c r="B463" i="42"/>
  <c r="A463" i="42"/>
  <c r="T462" i="42"/>
  <c r="E462" i="42"/>
  <c r="C462" i="42"/>
  <c r="B462" i="42"/>
  <c r="A462" i="42"/>
  <c r="T461" i="42"/>
  <c r="E461" i="42"/>
  <c r="C461" i="42"/>
  <c r="B461" i="42"/>
  <c r="A461" i="42"/>
  <c r="T460" i="42"/>
  <c r="E460" i="42"/>
  <c r="C460" i="42"/>
  <c r="B460" i="42"/>
  <c r="A460" i="42"/>
  <c r="T459" i="42"/>
  <c r="E459" i="42"/>
  <c r="C459" i="42"/>
  <c r="B459" i="42"/>
  <c r="A459" i="42"/>
  <c r="T458" i="42"/>
  <c r="E458" i="42"/>
  <c r="C458" i="42"/>
  <c r="B458" i="42"/>
  <c r="A458" i="42"/>
  <c r="T457" i="42"/>
  <c r="E457" i="42"/>
  <c r="C457" i="42"/>
  <c r="B457" i="42"/>
  <c r="A457" i="42"/>
  <c r="T456" i="42"/>
  <c r="E456" i="42"/>
  <c r="C456" i="42"/>
  <c r="B456" i="42"/>
  <c r="A456" i="42"/>
  <c r="T455" i="42"/>
  <c r="E455" i="42"/>
  <c r="C455" i="42"/>
  <c r="B455" i="42"/>
  <c r="A455" i="42"/>
  <c r="T454" i="42"/>
  <c r="E454" i="42"/>
  <c r="C454" i="42"/>
  <c r="B454" i="42"/>
  <c r="A454" i="42"/>
  <c r="T453" i="42"/>
  <c r="E453" i="42"/>
  <c r="C453" i="42"/>
  <c r="B453" i="42"/>
  <c r="A453" i="42"/>
  <c r="T452" i="42"/>
  <c r="E452" i="42"/>
  <c r="C452" i="42"/>
  <c r="B452" i="42"/>
  <c r="A452" i="42"/>
  <c r="T451" i="42"/>
  <c r="E451" i="42"/>
  <c r="C451" i="42"/>
  <c r="B451" i="42"/>
  <c r="A451" i="42"/>
  <c r="T450" i="42"/>
  <c r="E450" i="42"/>
  <c r="C450" i="42"/>
  <c r="B450" i="42"/>
  <c r="A450" i="42"/>
  <c r="T449" i="42"/>
  <c r="E449" i="42"/>
  <c r="C449" i="42"/>
  <c r="B449" i="42"/>
  <c r="A449" i="42"/>
  <c r="T448" i="42"/>
  <c r="E448" i="42"/>
  <c r="C448" i="42"/>
  <c r="B448" i="42"/>
  <c r="A448" i="42"/>
  <c r="T447" i="42"/>
  <c r="E447" i="42"/>
  <c r="C447" i="42"/>
  <c r="B447" i="42"/>
  <c r="A447" i="42"/>
  <c r="T446" i="42"/>
  <c r="E446" i="42"/>
  <c r="C446" i="42"/>
  <c r="B446" i="42"/>
  <c r="A446" i="42"/>
  <c r="T445" i="42"/>
  <c r="E445" i="42"/>
  <c r="C445" i="42"/>
  <c r="B445" i="42"/>
  <c r="A445" i="42"/>
  <c r="T444" i="42"/>
  <c r="E444" i="42"/>
  <c r="C444" i="42"/>
  <c r="B444" i="42"/>
  <c r="A444" i="42"/>
  <c r="T443" i="42"/>
  <c r="E443" i="42"/>
  <c r="C443" i="42"/>
  <c r="B443" i="42"/>
  <c r="A443" i="42"/>
  <c r="T442" i="42"/>
  <c r="E442" i="42"/>
  <c r="C442" i="42"/>
  <c r="B442" i="42"/>
  <c r="A442" i="42"/>
  <c r="T441" i="42"/>
  <c r="E441" i="42"/>
  <c r="C441" i="42"/>
  <c r="B441" i="42"/>
  <c r="A441" i="42"/>
  <c r="T440" i="42"/>
  <c r="E440" i="42"/>
  <c r="C440" i="42"/>
  <c r="B440" i="42"/>
  <c r="A440" i="42"/>
  <c r="T439" i="42"/>
  <c r="E439" i="42"/>
  <c r="C439" i="42"/>
  <c r="B439" i="42"/>
  <c r="A439" i="42"/>
  <c r="T438" i="42"/>
  <c r="E438" i="42"/>
  <c r="C438" i="42"/>
  <c r="B438" i="42"/>
  <c r="A438" i="42"/>
  <c r="T437" i="42"/>
  <c r="E437" i="42"/>
  <c r="C437" i="42"/>
  <c r="B437" i="42"/>
  <c r="A437" i="42"/>
  <c r="T436" i="42"/>
  <c r="E436" i="42"/>
  <c r="C436" i="42"/>
  <c r="B436" i="42"/>
  <c r="A436" i="42"/>
  <c r="T435" i="42"/>
  <c r="E435" i="42"/>
  <c r="C435" i="42"/>
  <c r="B435" i="42"/>
  <c r="A435" i="42"/>
  <c r="T434" i="42"/>
  <c r="E434" i="42"/>
  <c r="C434" i="42"/>
  <c r="B434" i="42"/>
  <c r="A434" i="42"/>
  <c r="T433" i="42"/>
  <c r="E433" i="42"/>
  <c r="C433" i="42"/>
  <c r="B433" i="42"/>
  <c r="A433" i="42"/>
  <c r="T432" i="42"/>
  <c r="E432" i="42"/>
  <c r="C432" i="42"/>
  <c r="B432" i="42"/>
  <c r="A432" i="42"/>
  <c r="T431" i="42"/>
  <c r="E431" i="42"/>
  <c r="C431" i="42"/>
  <c r="B431" i="42"/>
  <c r="A431" i="42"/>
  <c r="T430" i="42"/>
  <c r="E430" i="42"/>
  <c r="C430" i="42"/>
  <c r="B430" i="42"/>
  <c r="A430" i="42"/>
  <c r="T429" i="42"/>
  <c r="E429" i="42"/>
  <c r="C429" i="42"/>
  <c r="B429" i="42"/>
  <c r="A429" i="42"/>
  <c r="T428" i="42"/>
  <c r="E428" i="42"/>
  <c r="C428" i="42"/>
  <c r="B428" i="42"/>
  <c r="A428" i="42"/>
  <c r="T427" i="42"/>
  <c r="E427" i="42"/>
  <c r="C427" i="42"/>
  <c r="B427" i="42"/>
  <c r="A427" i="42"/>
  <c r="T426" i="42"/>
  <c r="E426" i="42"/>
  <c r="C426" i="42"/>
  <c r="B426" i="42"/>
  <c r="A426" i="42"/>
  <c r="T425" i="42"/>
  <c r="E425" i="42"/>
  <c r="C425" i="42"/>
  <c r="B425" i="42"/>
  <c r="A425" i="42"/>
  <c r="T424" i="42"/>
  <c r="E424" i="42"/>
  <c r="C424" i="42"/>
  <c r="B424" i="42"/>
  <c r="A424" i="42"/>
  <c r="T423" i="42"/>
  <c r="E423" i="42"/>
  <c r="C423" i="42"/>
  <c r="B423" i="42"/>
  <c r="A423" i="42"/>
  <c r="T422" i="42"/>
  <c r="E422" i="42"/>
  <c r="C422" i="42"/>
  <c r="B422" i="42"/>
  <c r="A422" i="42"/>
  <c r="T421" i="42"/>
  <c r="E421" i="42"/>
  <c r="C421" i="42"/>
  <c r="B421" i="42"/>
  <c r="A421" i="42"/>
  <c r="T420" i="42"/>
  <c r="E420" i="42"/>
  <c r="C420" i="42"/>
  <c r="B420" i="42"/>
  <c r="A420" i="42"/>
  <c r="T419" i="42"/>
  <c r="E419" i="42"/>
  <c r="C419" i="42"/>
  <c r="B419" i="42"/>
  <c r="A419" i="42"/>
  <c r="E415" i="42"/>
  <c r="C415" i="42"/>
  <c r="B415" i="42"/>
  <c r="A415" i="42"/>
  <c r="E414" i="42"/>
  <c r="C414" i="42"/>
  <c r="B414" i="42"/>
  <c r="A414" i="42"/>
  <c r="E413" i="42"/>
  <c r="B413" i="42"/>
  <c r="A413" i="42"/>
  <c r="E412" i="42"/>
  <c r="C412" i="42"/>
  <c r="B412" i="42"/>
  <c r="A412" i="42"/>
  <c r="E411" i="42"/>
  <c r="C411" i="42"/>
  <c r="B411" i="42"/>
  <c r="A411" i="42"/>
  <c r="E410" i="42"/>
  <c r="C410" i="42"/>
  <c r="B410" i="42"/>
  <c r="A410" i="42"/>
  <c r="E409" i="42"/>
  <c r="C409" i="42"/>
  <c r="B409" i="42"/>
  <c r="A409" i="42"/>
  <c r="E408" i="42"/>
  <c r="C408" i="42"/>
  <c r="B408" i="42"/>
  <c r="A408" i="42"/>
  <c r="E407" i="42"/>
  <c r="C407" i="42"/>
  <c r="B407" i="42"/>
  <c r="A407" i="42"/>
  <c r="E406" i="42"/>
  <c r="C406" i="42"/>
  <c r="B406" i="42"/>
  <c r="A406" i="42"/>
  <c r="E404" i="42"/>
  <c r="C404" i="42"/>
  <c r="B404" i="42"/>
  <c r="A404" i="42"/>
  <c r="E403" i="42"/>
  <c r="C403" i="42"/>
  <c r="B403" i="42"/>
  <c r="A403" i="42"/>
  <c r="E402" i="42"/>
  <c r="C402" i="42"/>
  <c r="B402" i="42"/>
  <c r="A402" i="42"/>
  <c r="E401" i="42"/>
  <c r="C401" i="42"/>
  <c r="B401" i="42"/>
  <c r="A401" i="42"/>
  <c r="E400" i="42"/>
  <c r="C400" i="42"/>
  <c r="B400" i="42"/>
  <c r="A400" i="42"/>
  <c r="E399" i="42"/>
  <c r="C399" i="42"/>
  <c r="B399" i="42"/>
  <c r="A399" i="42"/>
  <c r="E398" i="42"/>
  <c r="C398" i="42"/>
  <c r="B398" i="42"/>
  <c r="A398" i="42"/>
  <c r="E397" i="42"/>
  <c r="C397" i="42"/>
  <c r="B397" i="42"/>
  <c r="A397" i="42"/>
  <c r="E396" i="42"/>
  <c r="C396" i="42"/>
  <c r="B396" i="42"/>
  <c r="A396" i="42"/>
  <c r="E395" i="42"/>
  <c r="C395" i="42"/>
  <c r="B395" i="42"/>
  <c r="A395" i="42"/>
  <c r="E394" i="42"/>
  <c r="C394" i="42"/>
  <c r="B394" i="42"/>
  <c r="A394" i="42"/>
  <c r="E393" i="42"/>
  <c r="C393" i="42"/>
  <c r="B393" i="42"/>
  <c r="A393" i="42"/>
  <c r="E392" i="42"/>
  <c r="C392" i="42"/>
  <c r="B392" i="42"/>
  <c r="A392" i="42"/>
  <c r="E391" i="42"/>
  <c r="C391" i="42"/>
  <c r="B391" i="42"/>
  <c r="A391" i="42"/>
  <c r="E390" i="42"/>
  <c r="C390" i="42"/>
  <c r="B390" i="42"/>
  <c r="A390" i="42"/>
  <c r="E389" i="42"/>
  <c r="C389" i="42"/>
  <c r="B389" i="42"/>
  <c r="A389" i="42"/>
  <c r="E388" i="42"/>
  <c r="C388" i="42"/>
  <c r="B388" i="42"/>
  <c r="A388" i="42"/>
  <c r="E387" i="42"/>
  <c r="C387" i="42"/>
  <c r="B387" i="42"/>
  <c r="A387" i="42"/>
  <c r="E386" i="42"/>
  <c r="C386" i="42"/>
  <c r="B386" i="42"/>
  <c r="A386" i="42"/>
  <c r="E385" i="42"/>
  <c r="C385" i="42"/>
  <c r="B385" i="42"/>
  <c r="A385" i="42"/>
  <c r="E384" i="42"/>
  <c r="C384" i="42"/>
  <c r="B384" i="42"/>
  <c r="A384" i="42"/>
  <c r="E383" i="42"/>
  <c r="C383" i="42"/>
  <c r="B383" i="42"/>
  <c r="A383" i="42"/>
  <c r="E382" i="42"/>
  <c r="C382" i="42"/>
  <c r="B382" i="42"/>
  <c r="A382" i="42"/>
  <c r="E381" i="42"/>
  <c r="C381" i="42"/>
  <c r="B381" i="42"/>
  <c r="A381" i="42"/>
  <c r="E380" i="42"/>
  <c r="C380" i="42"/>
  <c r="B380" i="42"/>
  <c r="A380" i="42"/>
  <c r="E379" i="42"/>
  <c r="C379" i="42"/>
  <c r="B379" i="42"/>
  <c r="A379" i="42"/>
  <c r="E378" i="42"/>
  <c r="C378" i="42"/>
  <c r="B378" i="42"/>
  <c r="A378" i="42"/>
  <c r="E377" i="42"/>
  <c r="C377" i="42"/>
  <c r="B377" i="42"/>
  <c r="A377" i="42"/>
  <c r="E376" i="42"/>
  <c r="C376" i="42"/>
  <c r="B376" i="42"/>
  <c r="A376" i="42"/>
  <c r="E375" i="42"/>
  <c r="C375" i="42"/>
  <c r="B375" i="42"/>
  <c r="A375" i="42"/>
  <c r="E374" i="42"/>
  <c r="C374" i="42"/>
  <c r="B374" i="42"/>
  <c r="A374" i="42"/>
  <c r="E373" i="42"/>
  <c r="C373" i="42"/>
  <c r="B373" i="42"/>
  <c r="A373" i="42"/>
  <c r="E372" i="42"/>
  <c r="C372" i="42"/>
  <c r="B372" i="42"/>
  <c r="A372" i="42"/>
  <c r="E371" i="42"/>
  <c r="C371" i="42"/>
  <c r="B371" i="42"/>
  <c r="A371" i="42"/>
  <c r="E370" i="42"/>
  <c r="C370" i="42"/>
  <c r="B370" i="42"/>
  <c r="A370" i="42"/>
  <c r="E369" i="42"/>
  <c r="C369" i="42"/>
  <c r="B369" i="42"/>
  <c r="A369" i="42"/>
  <c r="E368" i="42"/>
  <c r="C368" i="42"/>
  <c r="B368" i="42"/>
  <c r="A368" i="42"/>
  <c r="E367" i="42"/>
  <c r="C367" i="42"/>
  <c r="B367" i="42"/>
  <c r="A367" i="42"/>
  <c r="E366" i="42"/>
  <c r="C366" i="42"/>
  <c r="B366" i="42"/>
  <c r="A366" i="42"/>
  <c r="E365" i="42"/>
  <c r="C365" i="42"/>
  <c r="B365" i="42"/>
  <c r="A365" i="42"/>
  <c r="E364" i="42"/>
  <c r="C364" i="42"/>
  <c r="B364" i="42"/>
  <c r="A364" i="42"/>
  <c r="E363" i="42"/>
  <c r="C363" i="42"/>
  <c r="B363" i="42"/>
  <c r="A363" i="42"/>
  <c r="E362" i="42"/>
  <c r="C362" i="42"/>
  <c r="B362" i="42"/>
  <c r="A362" i="42"/>
  <c r="E361" i="42"/>
  <c r="C361" i="42"/>
  <c r="B361" i="42"/>
  <c r="A361" i="42"/>
  <c r="E360" i="42"/>
  <c r="C360" i="42"/>
  <c r="B360" i="42"/>
  <c r="A360" i="42"/>
  <c r="E359" i="42"/>
  <c r="C359" i="42"/>
  <c r="B359" i="42"/>
  <c r="A359" i="42"/>
  <c r="E358" i="42"/>
  <c r="C358" i="42"/>
  <c r="B358" i="42"/>
  <c r="A358" i="42"/>
  <c r="E357" i="42"/>
  <c r="C357" i="42"/>
  <c r="B357" i="42"/>
  <c r="A357" i="42"/>
  <c r="E356" i="42"/>
  <c r="C356" i="42"/>
  <c r="B356" i="42"/>
  <c r="A356" i="42"/>
  <c r="E355" i="42"/>
  <c r="C355" i="42"/>
  <c r="B355" i="42"/>
  <c r="A355" i="42"/>
  <c r="E354" i="42"/>
  <c r="C354" i="42"/>
  <c r="B354" i="42"/>
  <c r="A354" i="42"/>
  <c r="E353" i="42"/>
  <c r="C353" i="42"/>
  <c r="B353" i="42"/>
  <c r="A353" i="42"/>
  <c r="E352" i="42"/>
  <c r="C352" i="42"/>
  <c r="B352" i="42"/>
  <c r="A352" i="42"/>
  <c r="E351" i="42"/>
  <c r="C351" i="42"/>
  <c r="B351" i="42"/>
  <c r="A351" i="42"/>
  <c r="E350" i="42"/>
  <c r="C350" i="42"/>
  <c r="B350" i="42"/>
  <c r="A350" i="42"/>
  <c r="E349" i="42"/>
  <c r="C349" i="42"/>
  <c r="B349" i="42"/>
  <c r="A349" i="42"/>
  <c r="E348" i="42"/>
  <c r="C348" i="42"/>
  <c r="A348" i="42"/>
  <c r="E347" i="42"/>
  <c r="C347" i="42"/>
  <c r="B347" i="42"/>
  <c r="A347" i="42"/>
  <c r="E346" i="42"/>
  <c r="C346" i="42"/>
  <c r="B346" i="42"/>
  <c r="A346" i="42"/>
  <c r="E345" i="42"/>
  <c r="C345" i="42"/>
  <c r="B345" i="42"/>
  <c r="A345" i="42"/>
  <c r="E344" i="42"/>
  <c r="C344" i="42"/>
  <c r="B344" i="42"/>
  <c r="A344" i="42"/>
  <c r="E343" i="42"/>
  <c r="C343" i="42"/>
  <c r="B343" i="42"/>
  <c r="A343" i="42"/>
  <c r="E342" i="42"/>
  <c r="C342" i="42"/>
  <c r="B342" i="42"/>
  <c r="A342" i="42"/>
  <c r="E341" i="42"/>
  <c r="C341" i="42"/>
  <c r="B341" i="42"/>
  <c r="A341" i="42"/>
  <c r="E340" i="42"/>
  <c r="C340" i="42"/>
  <c r="B340" i="42"/>
  <c r="A340" i="42"/>
  <c r="E339" i="42"/>
  <c r="C339" i="42"/>
  <c r="B339" i="42"/>
  <c r="A339" i="42"/>
  <c r="E338" i="42"/>
  <c r="C338" i="42"/>
  <c r="B338" i="42"/>
  <c r="A338" i="42"/>
  <c r="E337" i="42"/>
  <c r="C337" i="42"/>
  <c r="B337" i="42"/>
  <c r="A337" i="42"/>
  <c r="E336" i="42"/>
  <c r="C336" i="42"/>
  <c r="B336" i="42"/>
  <c r="A336" i="42"/>
  <c r="E335" i="42"/>
  <c r="C335" i="42"/>
  <c r="B335" i="42"/>
  <c r="A335" i="42"/>
  <c r="E334" i="42"/>
  <c r="C334" i="42"/>
  <c r="B334" i="42"/>
  <c r="A334" i="42"/>
  <c r="E333" i="42"/>
  <c r="C333" i="42"/>
  <c r="B333" i="42"/>
  <c r="A333" i="42"/>
  <c r="E332" i="42"/>
  <c r="C332" i="42"/>
  <c r="B332" i="42"/>
  <c r="A332" i="42"/>
  <c r="E331" i="42"/>
  <c r="C331" i="42"/>
  <c r="B331" i="42"/>
  <c r="A331" i="42"/>
  <c r="E330" i="42"/>
  <c r="C330" i="42"/>
  <c r="B330" i="42"/>
  <c r="A330" i="42"/>
  <c r="E329" i="42"/>
  <c r="C329" i="42"/>
  <c r="B329" i="42"/>
  <c r="A329" i="42"/>
  <c r="E328" i="42"/>
  <c r="C328" i="42"/>
  <c r="B328" i="42"/>
  <c r="A328" i="42"/>
  <c r="E327" i="42"/>
  <c r="C327" i="42"/>
  <c r="B327" i="42"/>
  <c r="A327" i="42"/>
  <c r="E326" i="42"/>
  <c r="C326" i="42"/>
  <c r="B326" i="42"/>
  <c r="A326" i="42"/>
  <c r="E325" i="42"/>
  <c r="C325" i="42"/>
  <c r="B325" i="42"/>
  <c r="A325" i="42"/>
  <c r="E324" i="42"/>
  <c r="C324" i="42"/>
  <c r="B324" i="42"/>
  <c r="A324" i="42"/>
  <c r="E323" i="42"/>
  <c r="C323" i="42"/>
  <c r="B323" i="42"/>
  <c r="A323" i="42"/>
  <c r="E322" i="42"/>
  <c r="C322" i="42"/>
  <c r="B322" i="42"/>
  <c r="A322" i="42"/>
  <c r="E321" i="42"/>
  <c r="C321" i="42"/>
  <c r="B321" i="42"/>
  <c r="A321" i="42"/>
  <c r="E320" i="42"/>
  <c r="C320" i="42"/>
  <c r="B320" i="42"/>
  <c r="A320" i="42"/>
  <c r="E319" i="42"/>
  <c r="C319" i="42"/>
  <c r="B319" i="42"/>
  <c r="A319" i="42"/>
  <c r="E318" i="42"/>
  <c r="C318" i="42"/>
  <c r="B318" i="42"/>
  <c r="A318" i="42"/>
  <c r="E317" i="42"/>
  <c r="C317" i="42"/>
  <c r="B317" i="42"/>
  <c r="A317" i="42"/>
  <c r="E316" i="42"/>
  <c r="C316" i="42"/>
  <c r="B316" i="42"/>
  <c r="A316" i="42"/>
  <c r="E315" i="42"/>
  <c r="C315" i="42"/>
  <c r="B315" i="42"/>
  <c r="A315" i="42"/>
  <c r="E314" i="42"/>
  <c r="C314" i="42"/>
  <c r="B314" i="42"/>
  <c r="A314" i="42"/>
  <c r="E313" i="42"/>
  <c r="C313" i="42"/>
  <c r="B313" i="42"/>
  <c r="A313" i="42"/>
  <c r="E312" i="42"/>
  <c r="C312" i="42"/>
  <c r="B312" i="42"/>
  <c r="A312" i="42"/>
  <c r="E311" i="42"/>
  <c r="C311" i="42"/>
  <c r="B311" i="42"/>
  <c r="A311" i="42"/>
  <c r="E310" i="42"/>
  <c r="C310" i="42"/>
  <c r="B310" i="42"/>
  <c r="A310" i="42"/>
  <c r="E309" i="42"/>
  <c r="C309" i="42"/>
  <c r="B309" i="42"/>
  <c r="A309" i="42"/>
  <c r="E308" i="42"/>
  <c r="C308" i="42"/>
  <c r="B308" i="42"/>
  <c r="A308" i="42"/>
  <c r="E307" i="42"/>
  <c r="C307" i="42"/>
  <c r="B307" i="42"/>
  <c r="A307" i="42"/>
  <c r="E306" i="42"/>
  <c r="C306" i="42"/>
  <c r="B306" i="42"/>
  <c r="A306" i="42"/>
  <c r="E305" i="42"/>
  <c r="C305" i="42"/>
  <c r="B305" i="42"/>
  <c r="A305" i="42"/>
  <c r="E303" i="42"/>
  <c r="C303" i="42"/>
  <c r="B303" i="42"/>
  <c r="A303" i="42"/>
  <c r="E301" i="42"/>
  <c r="C301" i="42"/>
  <c r="B301" i="42"/>
  <c r="A301" i="42"/>
  <c r="E300" i="42"/>
  <c r="C300" i="42"/>
  <c r="B300" i="42"/>
  <c r="A300" i="42"/>
  <c r="E299" i="42"/>
  <c r="C299" i="42"/>
  <c r="B299" i="42"/>
  <c r="A299" i="42"/>
  <c r="E298" i="42"/>
  <c r="C298" i="42"/>
  <c r="B298" i="42"/>
  <c r="A298" i="42"/>
  <c r="E297" i="42"/>
  <c r="C297" i="42"/>
  <c r="B297" i="42"/>
  <c r="A297" i="42"/>
  <c r="E296" i="42"/>
  <c r="C296" i="42"/>
  <c r="B296" i="42"/>
  <c r="A296" i="42"/>
  <c r="E295" i="42"/>
  <c r="C295" i="42"/>
  <c r="B295" i="42"/>
  <c r="A295" i="42"/>
  <c r="E294" i="42"/>
  <c r="C294" i="42"/>
  <c r="B294" i="42"/>
  <c r="A294" i="42"/>
  <c r="T290" i="42"/>
  <c r="E290" i="42"/>
  <c r="C290" i="42"/>
  <c r="B290" i="42"/>
  <c r="A290" i="42"/>
  <c r="T289" i="42"/>
  <c r="E289" i="42"/>
  <c r="C289" i="42"/>
  <c r="B289" i="42"/>
  <c r="A289" i="42"/>
  <c r="T288" i="42"/>
  <c r="E288" i="42"/>
  <c r="C288" i="42"/>
  <c r="B288" i="42"/>
  <c r="A288" i="42"/>
  <c r="T287" i="42"/>
  <c r="E287" i="42"/>
  <c r="C287" i="42"/>
  <c r="B287" i="42"/>
  <c r="A287" i="42"/>
  <c r="T286" i="42"/>
  <c r="E286" i="42"/>
  <c r="C286" i="42"/>
  <c r="B286" i="42"/>
  <c r="A286" i="42"/>
  <c r="T285" i="42"/>
  <c r="E285" i="42"/>
  <c r="C285" i="42"/>
  <c r="B285" i="42"/>
  <c r="A285" i="42"/>
  <c r="T284" i="42"/>
  <c r="E284" i="42"/>
  <c r="C284" i="42"/>
  <c r="B284" i="42"/>
  <c r="A284" i="42"/>
  <c r="T283" i="42"/>
  <c r="E283" i="42"/>
  <c r="C283" i="42"/>
  <c r="B283" i="42"/>
  <c r="A283" i="42"/>
  <c r="T282" i="42"/>
  <c r="E282" i="42"/>
  <c r="C282" i="42"/>
  <c r="B282" i="42"/>
  <c r="A282" i="42"/>
  <c r="T281" i="42"/>
  <c r="E281" i="42"/>
  <c r="C281" i="42"/>
  <c r="B281" i="42"/>
  <c r="A281" i="42"/>
  <c r="T280" i="42"/>
  <c r="E280" i="42"/>
  <c r="C280" i="42"/>
  <c r="B280" i="42"/>
  <c r="A280" i="42"/>
  <c r="T279" i="42"/>
  <c r="E279" i="42"/>
  <c r="C279" i="42"/>
  <c r="B279" i="42"/>
  <c r="A279" i="42"/>
  <c r="T278" i="42"/>
  <c r="E278" i="42"/>
  <c r="C278" i="42"/>
  <c r="B278" i="42"/>
  <c r="A278" i="42"/>
  <c r="T277" i="42"/>
  <c r="E277" i="42"/>
  <c r="C277" i="42"/>
  <c r="B277" i="42"/>
  <c r="A277" i="42"/>
  <c r="T276" i="42"/>
  <c r="E276" i="42"/>
  <c r="C276" i="42"/>
  <c r="B276" i="42"/>
  <c r="A276" i="42"/>
  <c r="T275" i="42"/>
  <c r="E275" i="42"/>
  <c r="C275" i="42"/>
  <c r="B275" i="42"/>
  <c r="A275" i="42"/>
  <c r="T274" i="42"/>
  <c r="E274" i="42"/>
  <c r="C274" i="42"/>
  <c r="B274" i="42"/>
  <c r="A274" i="42"/>
  <c r="T273" i="42"/>
  <c r="E273" i="42"/>
  <c r="C273" i="42"/>
  <c r="B273" i="42"/>
  <c r="A273" i="42"/>
  <c r="T272" i="42"/>
  <c r="E272" i="42"/>
  <c r="C272" i="42"/>
  <c r="B272" i="42"/>
  <c r="A272" i="42"/>
  <c r="T271" i="42"/>
  <c r="E271" i="42"/>
  <c r="C271" i="42"/>
  <c r="B271" i="42"/>
  <c r="A271" i="42"/>
  <c r="T270" i="42"/>
  <c r="E270" i="42"/>
  <c r="C270" i="42"/>
  <c r="B270" i="42"/>
  <c r="A270" i="42"/>
  <c r="T269" i="42"/>
  <c r="E269" i="42"/>
  <c r="C269" i="42"/>
  <c r="B269" i="42"/>
  <c r="A269" i="42"/>
  <c r="T268" i="42"/>
  <c r="E268" i="42"/>
  <c r="C268" i="42"/>
  <c r="B268" i="42"/>
  <c r="A268" i="42"/>
  <c r="T267" i="42"/>
  <c r="E267" i="42"/>
  <c r="C267" i="42"/>
  <c r="B267" i="42"/>
  <c r="A267" i="42"/>
  <c r="T266" i="42"/>
  <c r="E266" i="42"/>
  <c r="C266" i="42"/>
  <c r="B266" i="42"/>
  <c r="A266" i="42"/>
  <c r="T265" i="42"/>
  <c r="E265" i="42"/>
  <c r="C265" i="42"/>
  <c r="B265" i="42"/>
  <c r="A265" i="42"/>
  <c r="T264" i="42"/>
  <c r="E264" i="42"/>
  <c r="C264" i="42"/>
  <c r="B264" i="42"/>
  <c r="A264" i="42"/>
  <c r="T263" i="42"/>
  <c r="E263" i="42"/>
  <c r="C263" i="42"/>
  <c r="B263" i="42"/>
  <c r="A263" i="42"/>
  <c r="T262" i="42"/>
  <c r="E262" i="42"/>
  <c r="C262" i="42"/>
  <c r="B262" i="42"/>
  <c r="A262" i="42"/>
  <c r="T261" i="42"/>
  <c r="E261" i="42"/>
  <c r="C261" i="42"/>
  <c r="B261" i="42"/>
  <c r="A261" i="42"/>
  <c r="T260" i="42"/>
  <c r="E260" i="42"/>
  <c r="C260" i="42"/>
  <c r="B260" i="42"/>
  <c r="A260" i="42"/>
  <c r="T259" i="42"/>
  <c r="E259" i="42"/>
  <c r="C259" i="42"/>
  <c r="B259" i="42"/>
  <c r="A259" i="42"/>
  <c r="T258" i="42"/>
  <c r="E258" i="42"/>
  <c r="C258" i="42"/>
  <c r="B258" i="42"/>
  <c r="A258" i="42"/>
  <c r="T257" i="42"/>
  <c r="E257" i="42"/>
  <c r="C257" i="42"/>
  <c r="B257" i="42"/>
  <c r="A257" i="42"/>
  <c r="T256" i="42"/>
  <c r="E256" i="42"/>
  <c r="C256" i="42"/>
  <c r="B256" i="42"/>
  <c r="A256" i="42"/>
  <c r="T255" i="42"/>
  <c r="E255" i="42"/>
  <c r="C255" i="42"/>
  <c r="B255" i="42"/>
  <c r="A255" i="42"/>
  <c r="T254" i="42"/>
  <c r="E254" i="42"/>
  <c r="C254" i="42"/>
  <c r="B254" i="42"/>
  <c r="A254" i="42"/>
  <c r="T253" i="42"/>
  <c r="E253" i="42"/>
  <c r="C253" i="42"/>
  <c r="B253" i="42"/>
  <c r="A253" i="42"/>
  <c r="T252" i="42"/>
  <c r="E252" i="42"/>
  <c r="C252" i="42"/>
  <c r="A252" i="42"/>
  <c r="T251" i="42"/>
  <c r="E251" i="42"/>
  <c r="C251" i="42"/>
  <c r="B251" i="42"/>
  <c r="A251" i="42"/>
  <c r="T250" i="42"/>
  <c r="E250" i="42"/>
  <c r="C250" i="42"/>
  <c r="B250" i="42"/>
  <c r="A250" i="42"/>
  <c r="T249" i="42"/>
  <c r="E249" i="42"/>
  <c r="C249" i="42"/>
  <c r="B249" i="42"/>
  <c r="A249" i="42"/>
  <c r="T248" i="42"/>
  <c r="E248" i="42"/>
  <c r="C248" i="42"/>
  <c r="B248" i="42"/>
  <c r="A248" i="42"/>
  <c r="T247" i="42"/>
  <c r="E247" i="42"/>
  <c r="C247" i="42"/>
  <c r="B247" i="42"/>
  <c r="A247" i="42"/>
  <c r="T246" i="42"/>
  <c r="E246" i="42"/>
  <c r="C246" i="42"/>
  <c r="B246" i="42"/>
  <c r="A246" i="42"/>
  <c r="T245" i="42"/>
  <c r="E245" i="42"/>
  <c r="C245" i="42"/>
  <c r="B245" i="42"/>
  <c r="A245" i="42"/>
  <c r="T244" i="42"/>
  <c r="E244" i="42"/>
  <c r="C244" i="42"/>
  <c r="B244" i="42"/>
  <c r="A244" i="42"/>
  <c r="T243" i="42"/>
  <c r="E243" i="42"/>
  <c r="C243" i="42"/>
  <c r="B243" i="42"/>
  <c r="A243" i="42"/>
  <c r="T242" i="42"/>
  <c r="E242" i="42"/>
  <c r="C242" i="42"/>
  <c r="B242" i="42"/>
  <c r="A242" i="42"/>
  <c r="T241" i="42"/>
  <c r="E241" i="42"/>
  <c r="C241" i="42"/>
  <c r="B241" i="42"/>
  <c r="A241" i="42"/>
  <c r="T240" i="42"/>
  <c r="E240" i="42"/>
  <c r="C240" i="42"/>
  <c r="B240" i="42"/>
  <c r="A240" i="42"/>
  <c r="T239" i="42"/>
  <c r="E239" i="42"/>
  <c r="C239" i="42"/>
  <c r="B239" i="42"/>
  <c r="A239" i="42"/>
  <c r="T238" i="42"/>
  <c r="E238" i="42"/>
  <c r="C238" i="42"/>
  <c r="B238" i="42"/>
  <c r="A238" i="42"/>
  <c r="T237" i="42"/>
  <c r="E237" i="42"/>
  <c r="C237" i="42"/>
  <c r="B237" i="42"/>
  <c r="A237" i="42"/>
  <c r="T236" i="42"/>
  <c r="E236" i="42"/>
  <c r="C236" i="42"/>
  <c r="B236" i="42"/>
  <c r="A236" i="42"/>
  <c r="T235" i="42"/>
  <c r="E235" i="42"/>
  <c r="C235" i="42"/>
  <c r="B235" i="42"/>
  <c r="A235" i="42"/>
  <c r="T234" i="42"/>
  <c r="E234" i="42"/>
  <c r="C234" i="42"/>
  <c r="B234" i="42"/>
  <c r="A234" i="42"/>
  <c r="T228" i="42"/>
  <c r="E228" i="42"/>
  <c r="C228" i="42"/>
  <c r="B228" i="42"/>
  <c r="A228" i="42"/>
  <c r="T227" i="42"/>
  <c r="E227" i="42"/>
  <c r="C227" i="42"/>
  <c r="B227" i="42"/>
  <c r="A227" i="42"/>
  <c r="T226" i="42"/>
  <c r="E226" i="42"/>
  <c r="B226" i="42"/>
  <c r="A226" i="42"/>
  <c r="T225" i="42"/>
  <c r="E225" i="42"/>
  <c r="C225" i="42"/>
  <c r="B225" i="42"/>
  <c r="A225" i="42"/>
  <c r="T224" i="42"/>
  <c r="E224" i="42"/>
  <c r="C224" i="42"/>
  <c r="B224" i="42"/>
  <c r="A224" i="42"/>
  <c r="T223" i="42"/>
  <c r="E223" i="42"/>
  <c r="C223" i="42"/>
  <c r="B223" i="42"/>
  <c r="A223" i="42"/>
  <c r="T222" i="42"/>
  <c r="E222" i="42"/>
  <c r="C222" i="42"/>
  <c r="B222" i="42"/>
  <c r="A222" i="42"/>
  <c r="T221" i="42"/>
  <c r="E221" i="42"/>
  <c r="C221" i="42"/>
  <c r="B221" i="42"/>
  <c r="A221" i="42"/>
  <c r="T220" i="42"/>
  <c r="E220" i="42"/>
  <c r="C220" i="42"/>
  <c r="B220" i="42"/>
  <c r="A220" i="42"/>
  <c r="T219" i="42"/>
  <c r="E219" i="42"/>
  <c r="C219" i="42"/>
  <c r="B219" i="42"/>
  <c r="A219" i="42"/>
  <c r="T218" i="42"/>
  <c r="E218" i="42"/>
  <c r="C218" i="42"/>
  <c r="B218" i="42"/>
  <c r="A218" i="42"/>
  <c r="T217" i="42"/>
  <c r="E217" i="42"/>
  <c r="C217" i="42"/>
  <c r="B217" i="42"/>
  <c r="A217" i="42"/>
  <c r="T216" i="42"/>
  <c r="E216" i="42"/>
  <c r="C216" i="42"/>
  <c r="B216" i="42"/>
  <c r="A216" i="42"/>
  <c r="T215" i="42"/>
  <c r="E215" i="42"/>
  <c r="C215" i="42"/>
  <c r="B215" i="42"/>
  <c r="A215" i="42"/>
  <c r="T214" i="42"/>
  <c r="E214" i="42"/>
  <c r="C214" i="42"/>
  <c r="B214" i="42"/>
  <c r="A214" i="42"/>
  <c r="T213" i="42"/>
  <c r="E213" i="42"/>
  <c r="C213" i="42"/>
  <c r="B213" i="42"/>
  <c r="A213" i="42"/>
  <c r="T212" i="42"/>
  <c r="E212" i="42"/>
  <c r="C212" i="42"/>
  <c r="B212" i="42"/>
  <c r="A212" i="42"/>
  <c r="T211" i="42"/>
  <c r="E211" i="42"/>
  <c r="C211" i="42"/>
  <c r="B211" i="42"/>
  <c r="A211" i="42"/>
  <c r="T210" i="42"/>
  <c r="E210" i="42"/>
  <c r="C210" i="42"/>
  <c r="B210" i="42"/>
  <c r="A210" i="42"/>
  <c r="T209" i="42"/>
  <c r="E209" i="42"/>
  <c r="C209" i="42"/>
  <c r="B209" i="42"/>
  <c r="A209" i="42"/>
  <c r="T208" i="42"/>
  <c r="E208" i="42"/>
  <c r="C208" i="42"/>
  <c r="B208" i="42"/>
  <c r="A208" i="42"/>
  <c r="T207" i="42"/>
  <c r="E207" i="42"/>
  <c r="C207" i="42"/>
  <c r="B207" i="42"/>
  <c r="A207" i="42"/>
  <c r="T206" i="42"/>
  <c r="E206" i="42"/>
  <c r="C206" i="42"/>
  <c r="B206" i="42"/>
  <c r="A206" i="42"/>
  <c r="T205" i="42"/>
  <c r="E205" i="42"/>
  <c r="C205" i="42"/>
  <c r="B205" i="42"/>
  <c r="A205" i="42"/>
  <c r="T204" i="42"/>
  <c r="E204" i="42"/>
  <c r="C204" i="42"/>
  <c r="B204" i="42"/>
  <c r="A204" i="42"/>
  <c r="T203" i="42"/>
  <c r="E203" i="42"/>
  <c r="C203" i="42"/>
  <c r="B203" i="42"/>
  <c r="A203" i="42"/>
  <c r="T202" i="42"/>
  <c r="E202" i="42"/>
  <c r="C202" i="42"/>
  <c r="B202" i="42"/>
  <c r="A202" i="42"/>
  <c r="T201" i="42"/>
  <c r="E201" i="42"/>
  <c r="C201" i="42"/>
  <c r="B201" i="42"/>
  <c r="A201" i="42"/>
  <c r="T200" i="42"/>
  <c r="E200" i="42"/>
  <c r="C200" i="42"/>
  <c r="B200" i="42"/>
  <c r="A200" i="42"/>
  <c r="T199" i="42"/>
  <c r="E199" i="42"/>
  <c r="C199" i="42"/>
  <c r="B199" i="42"/>
  <c r="A199" i="42"/>
  <c r="T198" i="42"/>
  <c r="E198" i="42"/>
  <c r="C198" i="42"/>
  <c r="B198" i="42"/>
  <c r="A198" i="42"/>
  <c r="T197" i="42"/>
  <c r="E197" i="42"/>
  <c r="C197" i="42"/>
  <c r="B197" i="42"/>
  <c r="A197" i="42"/>
  <c r="T196" i="42"/>
  <c r="E196" i="42"/>
  <c r="C196" i="42"/>
  <c r="B196" i="42"/>
  <c r="A196" i="42"/>
  <c r="T195" i="42"/>
  <c r="E195" i="42"/>
  <c r="C195" i="42"/>
  <c r="B195" i="42"/>
  <c r="A195" i="42"/>
  <c r="T194" i="42"/>
  <c r="E194" i="42"/>
  <c r="C194" i="42"/>
  <c r="B194" i="42"/>
  <c r="A194" i="42"/>
  <c r="T193" i="42"/>
  <c r="E193" i="42"/>
  <c r="C193" i="42"/>
  <c r="B193" i="42"/>
  <c r="A193" i="42"/>
  <c r="T192" i="42"/>
  <c r="E192" i="42"/>
  <c r="C192" i="42"/>
  <c r="B192" i="42"/>
  <c r="A192" i="42"/>
  <c r="T191" i="42"/>
  <c r="E191" i="42"/>
  <c r="C191" i="42"/>
  <c r="B191" i="42"/>
  <c r="A191" i="42"/>
  <c r="T190" i="42"/>
  <c r="E190" i="42"/>
  <c r="C190" i="42"/>
  <c r="B190" i="42"/>
  <c r="A190" i="42"/>
  <c r="T189" i="42"/>
  <c r="E189" i="42"/>
  <c r="C189" i="42"/>
  <c r="B189" i="42"/>
  <c r="A189" i="42"/>
  <c r="T188" i="42"/>
  <c r="E188" i="42"/>
  <c r="C188" i="42"/>
  <c r="B188" i="42"/>
  <c r="A188" i="42"/>
  <c r="T187" i="42"/>
  <c r="E187" i="42"/>
  <c r="C187" i="42"/>
  <c r="B187" i="42"/>
  <c r="A187" i="42"/>
  <c r="T186" i="42"/>
  <c r="E186" i="42"/>
  <c r="C186" i="42"/>
  <c r="B186" i="42"/>
  <c r="A186" i="42"/>
  <c r="T185" i="42"/>
  <c r="E185" i="42"/>
  <c r="C185" i="42"/>
  <c r="B185" i="42"/>
  <c r="A185" i="42"/>
  <c r="T184" i="42"/>
  <c r="E184" i="42"/>
  <c r="C184" i="42"/>
  <c r="B184" i="42"/>
  <c r="A184" i="42"/>
  <c r="T183" i="42"/>
  <c r="E183" i="42"/>
  <c r="C183" i="42"/>
  <c r="A183" i="42"/>
  <c r="T182" i="42"/>
  <c r="E182" i="42"/>
  <c r="C182" i="42"/>
  <c r="B182" i="42"/>
  <c r="A182" i="42"/>
  <c r="T181" i="42"/>
  <c r="E181" i="42"/>
  <c r="C181" i="42"/>
  <c r="B181" i="42"/>
  <c r="A181" i="42"/>
  <c r="T180" i="42"/>
  <c r="E180" i="42"/>
  <c r="C180" i="42"/>
  <c r="B180" i="42"/>
  <c r="A180" i="42"/>
  <c r="T179" i="42"/>
  <c r="E179" i="42"/>
  <c r="C179" i="42"/>
  <c r="B179" i="42"/>
  <c r="A179" i="42"/>
  <c r="T178" i="42"/>
  <c r="E178" i="42"/>
  <c r="C178" i="42"/>
  <c r="B178" i="42"/>
  <c r="A178" i="42"/>
  <c r="T177" i="42"/>
  <c r="E177" i="42"/>
  <c r="C177" i="42"/>
  <c r="B177" i="42"/>
  <c r="A177" i="42"/>
  <c r="T176" i="42"/>
  <c r="E176" i="42"/>
  <c r="C176" i="42"/>
  <c r="B176" i="42"/>
  <c r="A176" i="42"/>
  <c r="T175" i="42"/>
  <c r="E175" i="42"/>
  <c r="C175" i="42"/>
  <c r="B175" i="42"/>
  <c r="A175" i="42"/>
  <c r="T174" i="42"/>
  <c r="E174" i="42"/>
  <c r="C174" i="42"/>
  <c r="B174" i="42"/>
  <c r="A174" i="42"/>
  <c r="T173" i="42"/>
  <c r="E173" i="42"/>
  <c r="C173" i="42"/>
  <c r="B173" i="42"/>
  <c r="A173" i="42"/>
  <c r="T172" i="42"/>
  <c r="E172" i="42"/>
  <c r="C172" i="42"/>
  <c r="B172" i="42"/>
  <c r="A172" i="42"/>
  <c r="T171" i="42"/>
  <c r="E171" i="42"/>
  <c r="C171" i="42"/>
  <c r="B171" i="42"/>
  <c r="A171" i="42"/>
  <c r="T170" i="42"/>
  <c r="E170" i="42"/>
  <c r="C170" i="42"/>
  <c r="B170" i="42"/>
  <c r="A170" i="42"/>
  <c r="T169" i="42"/>
  <c r="E169" i="42"/>
  <c r="C169" i="42"/>
  <c r="B169" i="42"/>
  <c r="A169" i="42"/>
  <c r="T168" i="42"/>
  <c r="E168" i="42"/>
  <c r="C168" i="42"/>
  <c r="B168" i="42"/>
  <c r="A168" i="42"/>
  <c r="T167" i="42"/>
  <c r="E167" i="42"/>
  <c r="C167" i="42"/>
  <c r="B167" i="42"/>
  <c r="A167" i="42"/>
  <c r="T166" i="42"/>
  <c r="E166" i="42"/>
  <c r="C166" i="42"/>
  <c r="B166" i="42"/>
  <c r="A166" i="42"/>
  <c r="T165" i="42"/>
  <c r="E165" i="42"/>
  <c r="C165" i="42"/>
  <c r="B165" i="42"/>
  <c r="A165" i="42"/>
  <c r="T164" i="42"/>
  <c r="E164" i="42"/>
  <c r="C164" i="42"/>
  <c r="B164" i="42"/>
  <c r="A164" i="42"/>
  <c r="T163" i="42"/>
  <c r="E163" i="42"/>
  <c r="C163" i="42"/>
  <c r="B163" i="42"/>
  <c r="A163" i="42"/>
  <c r="T162" i="42"/>
  <c r="E162" i="42"/>
  <c r="C162" i="42"/>
  <c r="B162" i="42"/>
  <c r="A162" i="42"/>
  <c r="T161" i="42"/>
  <c r="E161" i="42"/>
  <c r="C161" i="42"/>
  <c r="B161" i="42"/>
  <c r="A161" i="42"/>
  <c r="T160" i="42"/>
  <c r="E160" i="42"/>
  <c r="C160" i="42"/>
  <c r="B160" i="42"/>
  <c r="A160" i="42"/>
  <c r="T159" i="42"/>
  <c r="E159" i="42"/>
  <c r="C159" i="42"/>
  <c r="B159" i="42"/>
  <c r="A159" i="42"/>
  <c r="T158" i="42"/>
  <c r="E158" i="42"/>
  <c r="C158" i="42"/>
  <c r="B158" i="42"/>
  <c r="A158" i="42"/>
  <c r="T157" i="42"/>
  <c r="E157" i="42"/>
  <c r="C157" i="42"/>
  <c r="B157" i="42"/>
  <c r="A157" i="42"/>
  <c r="T156" i="42"/>
  <c r="E156" i="42"/>
  <c r="C156" i="42"/>
  <c r="B156" i="42"/>
  <c r="A156" i="42"/>
  <c r="T155" i="42"/>
  <c r="E155" i="42"/>
  <c r="C155" i="42"/>
  <c r="B155" i="42"/>
  <c r="A155" i="42"/>
  <c r="T154" i="42"/>
  <c r="E154" i="42"/>
  <c r="C154" i="42"/>
  <c r="B154" i="42"/>
  <c r="A154" i="42"/>
  <c r="T153" i="42"/>
  <c r="E153" i="42"/>
  <c r="C153" i="42"/>
  <c r="B153" i="42"/>
  <c r="A153" i="42"/>
  <c r="T152" i="42"/>
  <c r="E152" i="42"/>
  <c r="C152" i="42"/>
  <c r="B152" i="42"/>
  <c r="A152" i="42"/>
  <c r="T151" i="42"/>
  <c r="E151" i="42"/>
  <c r="C151" i="42"/>
  <c r="B151" i="42"/>
  <c r="A151" i="42"/>
  <c r="T150" i="42"/>
  <c r="E150" i="42"/>
  <c r="C150" i="42"/>
  <c r="B150" i="42"/>
  <c r="A150" i="42"/>
  <c r="T149" i="42"/>
  <c r="E149" i="42"/>
  <c r="C149" i="42"/>
  <c r="B149" i="42"/>
  <c r="A149" i="42"/>
  <c r="T148" i="42"/>
  <c r="E148" i="42"/>
  <c r="C148" i="42"/>
  <c r="B148" i="42"/>
  <c r="A148" i="42"/>
  <c r="T147" i="42"/>
  <c r="E147" i="42"/>
  <c r="C147" i="42"/>
  <c r="B147" i="42"/>
  <c r="A147" i="42"/>
  <c r="T146" i="42"/>
  <c r="E146" i="42"/>
  <c r="C146" i="42"/>
  <c r="B146" i="42"/>
  <c r="A146" i="42"/>
  <c r="T145" i="42"/>
  <c r="E145" i="42"/>
  <c r="C145" i="42"/>
  <c r="B145" i="42"/>
  <c r="A145" i="42"/>
  <c r="T144" i="42"/>
  <c r="E144" i="42"/>
  <c r="C144" i="42"/>
  <c r="B144" i="42"/>
  <c r="A144" i="42"/>
  <c r="E135" i="42"/>
  <c r="C135" i="42"/>
  <c r="B135" i="42"/>
  <c r="A135" i="42"/>
  <c r="E134" i="42"/>
  <c r="C134" i="42"/>
  <c r="B134" i="42"/>
  <c r="A134" i="42"/>
  <c r="E133" i="42"/>
  <c r="C133" i="42"/>
  <c r="B133" i="42"/>
  <c r="A133" i="42"/>
  <c r="E132" i="42"/>
  <c r="C132" i="42"/>
  <c r="B132" i="42"/>
  <c r="A132" i="42"/>
  <c r="E131" i="42"/>
  <c r="B131" i="42"/>
  <c r="A131" i="42"/>
  <c r="E130" i="42"/>
  <c r="C130" i="42"/>
  <c r="B130" i="42"/>
  <c r="A130" i="42"/>
  <c r="E129" i="42"/>
  <c r="C129" i="42"/>
  <c r="B129" i="42"/>
  <c r="A129" i="42"/>
  <c r="E128" i="42"/>
  <c r="C128" i="42"/>
  <c r="B128" i="42"/>
  <c r="A128" i="42"/>
  <c r="E127" i="42"/>
  <c r="C127" i="42"/>
  <c r="B127" i="42"/>
  <c r="A127" i="42"/>
  <c r="E126" i="42"/>
  <c r="C126" i="42"/>
  <c r="B126" i="42"/>
  <c r="A126" i="42"/>
  <c r="E125" i="42"/>
  <c r="C125" i="42"/>
  <c r="B125" i="42"/>
  <c r="A125" i="42"/>
  <c r="E124" i="42"/>
  <c r="C124" i="42"/>
  <c r="B124" i="42"/>
  <c r="A124" i="42"/>
  <c r="E123" i="42"/>
  <c r="C123" i="42"/>
  <c r="B123" i="42"/>
  <c r="A123" i="42"/>
  <c r="E122" i="42"/>
  <c r="C122" i="42"/>
  <c r="B122" i="42"/>
  <c r="A122" i="42"/>
  <c r="E121" i="42"/>
  <c r="C121" i="42"/>
  <c r="B121" i="42"/>
  <c r="A121" i="42"/>
  <c r="E120" i="42"/>
  <c r="C120" i="42"/>
  <c r="B120" i="42"/>
  <c r="A120" i="42"/>
  <c r="E119" i="42"/>
  <c r="C119" i="42"/>
  <c r="B119" i="42"/>
  <c r="A119" i="42"/>
  <c r="E118" i="42"/>
  <c r="C118" i="42"/>
  <c r="B118" i="42"/>
  <c r="A118" i="42"/>
  <c r="E117" i="42"/>
  <c r="C117" i="42"/>
  <c r="B117" i="42"/>
  <c r="A117" i="42"/>
  <c r="E116" i="42"/>
  <c r="C116" i="42"/>
  <c r="B116" i="42"/>
  <c r="A116" i="42"/>
  <c r="E115" i="42"/>
  <c r="C115" i="42"/>
  <c r="B115" i="42"/>
  <c r="A115" i="42"/>
  <c r="E114" i="42"/>
  <c r="C114" i="42"/>
  <c r="B114" i="42"/>
  <c r="A114" i="42"/>
  <c r="E113" i="42"/>
  <c r="C113" i="42"/>
  <c r="B113" i="42"/>
  <c r="A113" i="42"/>
  <c r="E112" i="42"/>
  <c r="C112" i="42"/>
  <c r="B112" i="42"/>
  <c r="A112" i="42"/>
  <c r="E111" i="42"/>
  <c r="C111" i="42"/>
  <c r="B111" i="42"/>
  <c r="A111" i="42"/>
  <c r="E110" i="42"/>
  <c r="C110" i="42"/>
  <c r="B110" i="42"/>
  <c r="A110" i="42"/>
  <c r="E109" i="42"/>
  <c r="C109" i="42"/>
  <c r="B109" i="42"/>
  <c r="A109" i="42"/>
  <c r="E108" i="42"/>
  <c r="C108" i="42"/>
  <c r="B108" i="42"/>
  <c r="A108" i="42"/>
  <c r="E107" i="42"/>
  <c r="C107" i="42"/>
  <c r="B107" i="42"/>
  <c r="A107" i="42"/>
  <c r="E106" i="42"/>
  <c r="C106" i="42"/>
  <c r="B106" i="42"/>
  <c r="A106" i="42"/>
  <c r="E105" i="42"/>
  <c r="C105" i="42"/>
  <c r="B105" i="42"/>
  <c r="A105" i="42"/>
  <c r="E104" i="42"/>
  <c r="C104" i="42"/>
  <c r="B104" i="42"/>
  <c r="A104" i="42"/>
  <c r="E103" i="42"/>
  <c r="C103" i="42"/>
  <c r="B103" i="42"/>
  <c r="A103" i="42"/>
  <c r="E102" i="42"/>
  <c r="C102" i="42"/>
  <c r="B102" i="42"/>
  <c r="A102" i="42"/>
  <c r="E101" i="42"/>
  <c r="C101" i="42"/>
  <c r="B101" i="42"/>
  <c r="A101" i="42"/>
  <c r="E100" i="42"/>
  <c r="C100" i="42"/>
  <c r="B100" i="42"/>
  <c r="A100" i="42"/>
  <c r="E99" i="42"/>
  <c r="C99" i="42"/>
  <c r="B99" i="42"/>
  <c r="A99" i="42"/>
  <c r="E98" i="42"/>
  <c r="C98" i="42"/>
  <c r="B98" i="42"/>
  <c r="A98" i="42"/>
  <c r="E97" i="42"/>
  <c r="C97" i="42"/>
  <c r="B97" i="42"/>
  <c r="A97" i="42"/>
  <c r="E96" i="42"/>
  <c r="C96" i="42"/>
  <c r="B96" i="42"/>
  <c r="A96" i="42"/>
  <c r="E95" i="42"/>
  <c r="C95" i="42"/>
  <c r="B95" i="42"/>
  <c r="A95" i="42"/>
  <c r="E94" i="42"/>
  <c r="C94" i="42"/>
  <c r="B94" i="42"/>
  <c r="A94" i="42"/>
  <c r="E93" i="42"/>
  <c r="C93" i="42"/>
  <c r="B93" i="42"/>
  <c r="A93" i="42"/>
  <c r="E92" i="42"/>
  <c r="C92" i="42"/>
  <c r="B92" i="42"/>
  <c r="A92" i="42"/>
  <c r="E91" i="42"/>
  <c r="C91" i="42"/>
  <c r="B91" i="42"/>
  <c r="A91" i="42"/>
  <c r="E90" i="42"/>
  <c r="C90" i="42"/>
  <c r="B90" i="42"/>
  <c r="A90" i="42"/>
  <c r="E89" i="42"/>
  <c r="C89" i="42"/>
  <c r="B89" i="42"/>
  <c r="A89" i="42"/>
  <c r="E88" i="42"/>
  <c r="C88" i="42"/>
  <c r="B88" i="42"/>
  <c r="A88" i="42"/>
  <c r="E87" i="42"/>
  <c r="C87" i="42"/>
  <c r="B87" i="42"/>
  <c r="A87" i="42"/>
  <c r="E86" i="42"/>
  <c r="C86" i="42"/>
  <c r="B86" i="42"/>
  <c r="A86" i="42"/>
  <c r="E85" i="42"/>
  <c r="C85" i="42"/>
  <c r="B85" i="42"/>
  <c r="A85" i="42"/>
  <c r="E84" i="42"/>
  <c r="C84" i="42"/>
  <c r="B84" i="42"/>
  <c r="A84" i="42"/>
  <c r="E83" i="42"/>
  <c r="C83" i="42"/>
  <c r="B83" i="42"/>
  <c r="A83" i="42"/>
  <c r="E82" i="42"/>
  <c r="C82" i="42"/>
  <c r="B82" i="42"/>
  <c r="A82" i="42"/>
  <c r="E81" i="42"/>
  <c r="C81" i="42"/>
  <c r="B81" i="42"/>
  <c r="A81" i="42"/>
  <c r="E80" i="42"/>
  <c r="C80" i="42"/>
  <c r="B80" i="42"/>
  <c r="A80" i="42"/>
  <c r="E79" i="42"/>
  <c r="C79" i="42"/>
  <c r="B79" i="42"/>
  <c r="A79" i="42"/>
  <c r="E78" i="42"/>
  <c r="C78" i="42"/>
  <c r="A78" i="42"/>
  <c r="E77" i="42"/>
  <c r="C77" i="42"/>
  <c r="B77" i="42"/>
  <c r="A77" i="42"/>
  <c r="E76" i="42"/>
  <c r="C76" i="42"/>
  <c r="B76" i="42"/>
  <c r="A76" i="42"/>
  <c r="E75" i="42"/>
  <c r="C75" i="42"/>
  <c r="B75" i="42"/>
  <c r="A75" i="42"/>
  <c r="E74" i="42"/>
  <c r="C74" i="42"/>
  <c r="B74" i="42"/>
  <c r="A74" i="42"/>
  <c r="E73" i="42"/>
  <c r="C73" i="42"/>
  <c r="B73" i="42"/>
  <c r="A73" i="42"/>
  <c r="E72" i="42"/>
  <c r="C72" i="42"/>
  <c r="B72" i="42"/>
  <c r="A72" i="42"/>
  <c r="E71" i="42"/>
  <c r="C71" i="42"/>
  <c r="B71" i="42"/>
  <c r="A71" i="42"/>
  <c r="E70" i="42"/>
  <c r="C70" i="42"/>
  <c r="B70" i="42"/>
  <c r="A70" i="42"/>
  <c r="E69" i="42"/>
  <c r="C69" i="42"/>
  <c r="B69" i="42"/>
  <c r="A69" i="42"/>
  <c r="E68" i="42"/>
  <c r="C68" i="42"/>
  <c r="B68" i="42"/>
  <c r="A68" i="42"/>
  <c r="E67" i="42"/>
  <c r="C67" i="42"/>
  <c r="B67" i="42"/>
  <c r="A67" i="42"/>
  <c r="E66" i="42"/>
  <c r="C66" i="42"/>
  <c r="B66" i="42"/>
  <c r="A66" i="42"/>
  <c r="E65" i="42"/>
  <c r="C65" i="42"/>
  <c r="A65" i="42"/>
  <c r="E64" i="42"/>
  <c r="C64" i="42"/>
  <c r="B64" i="42"/>
  <c r="A64" i="42"/>
  <c r="E63" i="42"/>
  <c r="C63" i="42"/>
  <c r="B63" i="42"/>
  <c r="A63" i="42"/>
  <c r="E62" i="42"/>
  <c r="C62" i="42"/>
  <c r="B62" i="42"/>
  <c r="A62" i="42"/>
  <c r="E61" i="42"/>
  <c r="C61" i="42"/>
  <c r="B61" i="42"/>
  <c r="A61" i="42"/>
  <c r="E60" i="42"/>
  <c r="C60" i="42"/>
  <c r="B60" i="42"/>
  <c r="A60" i="42"/>
  <c r="E59" i="42"/>
  <c r="C59" i="42"/>
  <c r="B59" i="42"/>
  <c r="A59" i="42"/>
  <c r="E58" i="42"/>
  <c r="C58" i="42"/>
  <c r="B58" i="42"/>
  <c r="A58" i="42"/>
  <c r="E57" i="42"/>
  <c r="C57" i="42"/>
  <c r="B57" i="42"/>
  <c r="A57" i="42"/>
  <c r="E56" i="42"/>
  <c r="C56" i="42"/>
  <c r="B56" i="42"/>
  <c r="A56" i="42"/>
  <c r="E55" i="42"/>
  <c r="C55" i="42"/>
  <c r="B55" i="42"/>
  <c r="A55" i="42"/>
  <c r="E54" i="42"/>
  <c r="C54" i="42"/>
  <c r="B54" i="42"/>
  <c r="A54" i="42"/>
  <c r="E53" i="42"/>
  <c r="C53" i="42"/>
  <c r="B53" i="42"/>
  <c r="A53" i="42"/>
  <c r="E52" i="42"/>
  <c r="C52" i="42"/>
  <c r="B52" i="42"/>
  <c r="A52" i="42"/>
  <c r="E51" i="42"/>
  <c r="C51" i="42"/>
  <c r="B51" i="42"/>
  <c r="A51" i="42"/>
  <c r="E50" i="42"/>
  <c r="C50" i="42"/>
  <c r="B50" i="42"/>
  <c r="A50" i="42"/>
  <c r="E49" i="42"/>
  <c r="C49" i="42"/>
  <c r="B49" i="42"/>
  <c r="A49" i="42"/>
  <c r="E48" i="42"/>
  <c r="C48" i="42"/>
  <c r="B48" i="42"/>
  <c r="A48" i="42"/>
  <c r="E47" i="42"/>
  <c r="C47" i="42"/>
  <c r="B47" i="42"/>
  <c r="A47" i="42"/>
  <c r="E46" i="42"/>
  <c r="C46" i="42"/>
  <c r="B46" i="42"/>
  <c r="A46" i="42"/>
  <c r="E45" i="42"/>
  <c r="C45" i="42"/>
  <c r="B45" i="42"/>
  <c r="A45" i="42"/>
  <c r="E44" i="42"/>
  <c r="C44" i="42"/>
  <c r="B44" i="42"/>
  <c r="A44" i="42"/>
  <c r="E43" i="42"/>
  <c r="C43" i="42"/>
  <c r="B43" i="42"/>
  <c r="A43" i="42"/>
  <c r="E42" i="42"/>
  <c r="C42" i="42"/>
  <c r="B42" i="42"/>
  <c r="A42" i="42"/>
  <c r="E41" i="42"/>
  <c r="C41" i="42"/>
  <c r="B41" i="42"/>
  <c r="A41" i="42"/>
  <c r="E40" i="42"/>
  <c r="C40" i="42"/>
  <c r="B40" i="42"/>
  <c r="A40" i="42"/>
  <c r="E39" i="42"/>
  <c r="C39" i="42"/>
  <c r="B39" i="42"/>
  <c r="A39" i="42"/>
  <c r="E38" i="42"/>
  <c r="C38" i="42"/>
  <c r="B38" i="42"/>
  <c r="A38" i="42"/>
  <c r="E37" i="42"/>
  <c r="C37" i="42"/>
  <c r="B37" i="42"/>
  <c r="A37" i="42"/>
  <c r="E36" i="42"/>
  <c r="C36" i="42"/>
  <c r="B36" i="42"/>
  <c r="A36" i="42"/>
  <c r="E35" i="42"/>
  <c r="C35" i="42"/>
  <c r="B35" i="42"/>
  <c r="A35" i="42"/>
  <c r="E34" i="42"/>
  <c r="C34" i="42"/>
  <c r="B34" i="42"/>
  <c r="A34" i="42"/>
  <c r="E33" i="42"/>
  <c r="C33" i="42"/>
  <c r="B33" i="42"/>
  <c r="A33" i="42"/>
  <c r="E32" i="42"/>
  <c r="C32" i="42"/>
  <c r="B32" i="42"/>
  <c r="A32" i="42"/>
  <c r="E31" i="42"/>
  <c r="C31" i="42"/>
  <c r="B31" i="42"/>
  <c r="A31" i="42"/>
  <c r="E30" i="42"/>
  <c r="C30" i="42"/>
  <c r="B30" i="42"/>
  <c r="A30" i="42"/>
  <c r="E29" i="42"/>
  <c r="C29" i="42"/>
  <c r="B29" i="42"/>
  <c r="A29" i="42"/>
  <c r="E28" i="42"/>
  <c r="C28" i="42"/>
  <c r="B28" i="42"/>
  <c r="A28" i="42"/>
  <c r="E27" i="42"/>
  <c r="C27" i="42"/>
  <c r="B27" i="42"/>
  <c r="A27" i="42"/>
  <c r="E26" i="42"/>
  <c r="C26" i="42"/>
  <c r="B26" i="42"/>
  <c r="A26" i="42"/>
  <c r="E25" i="42"/>
  <c r="C25" i="42"/>
  <c r="B25" i="42"/>
  <c r="A25" i="42"/>
  <c r="E24" i="42"/>
  <c r="C24" i="42"/>
  <c r="B24" i="42"/>
  <c r="A24" i="42"/>
  <c r="E23" i="42"/>
  <c r="C23" i="42"/>
  <c r="B23" i="42"/>
  <c r="A23" i="42"/>
  <c r="E22" i="42"/>
  <c r="C22" i="42"/>
  <c r="B22" i="42"/>
  <c r="A22" i="42"/>
  <c r="E21" i="42"/>
  <c r="C21" i="42"/>
  <c r="B21" i="42"/>
  <c r="A21" i="42"/>
  <c r="E20" i="42"/>
  <c r="C20" i="42"/>
  <c r="B20" i="42"/>
  <c r="A20" i="42"/>
  <c r="E19" i="42"/>
  <c r="C19" i="42"/>
  <c r="B19" i="42"/>
  <c r="A19" i="42"/>
  <c r="E18" i="42"/>
  <c r="C18" i="42"/>
  <c r="B18" i="42"/>
  <c r="A18" i="42"/>
  <c r="E17" i="42"/>
  <c r="C17" i="42"/>
  <c r="B17" i="42"/>
  <c r="A17" i="42"/>
  <c r="E16" i="42"/>
  <c r="C16" i="42"/>
  <c r="B16" i="42"/>
  <c r="A16" i="42"/>
  <c r="E15" i="42"/>
  <c r="C15" i="42"/>
  <c r="B15" i="42"/>
  <c r="A15" i="42"/>
  <c r="E14" i="42"/>
  <c r="C14" i="42"/>
  <c r="B14" i="42"/>
  <c r="A14" i="42"/>
  <c r="E13" i="42"/>
  <c r="C13" i="42"/>
  <c r="B13" i="42"/>
  <c r="A13" i="42"/>
  <c r="E12" i="42"/>
  <c r="C12" i="42"/>
  <c r="B12" i="42"/>
  <c r="A12" i="42"/>
  <c r="E11" i="42"/>
  <c r="C11" i="42"/>
  <c r="B11" i="42"/>
  <c r="A11" i="42"/>
  <c r="E10" i="42"/>
  <c r="C10" i="42"/>
  <c r="B10" i="42"/>
  <c r="A10" i="42"/>
  <c r="E9" i="42"/>
  <c r="C9" i="42"/>
  <c r="B9" i="42"/>
  <c r="A9" i="42"/>
  <c r="E8" i="42"/>
  <c r="C8" i="42"/>
  <c r="B8" i="42"/>
  <c r="A8" i="42"/>
  <c r="E7" i="42"/>
  <c r="C7" i="42"/>
  <c r="B7" i="42"/>
  <c r="A7" i="42"/>
  <c r="E6" i="42"/>
  <c r="C6" i="42"/>
  <c r="B6" i="42"/>
  <c r="A6" i="42"/>
  <c r="D20" i="18" l="1"/>
  <c r="D21" i="18"/>
  <c r="D22" i="18"/>
  <c r="D15" i="18"/>
  <c r="D23" i="18"/>
  <c r="D25" i="18"/>
  <c r="D14" i="18"/>
  <c r="D26" i="18"/>
  <c r="D12" i="18"/>
  <c r="D24" i="11"/>
  <c r="D16" i="11"/>
  <c r="D12" i="11"/>
  <c r="D23" i="11"/>
  <c r="D15" i="11"/>
  <c r="D13" i="11"/>
  <c r="D27" i="11"/>
  <c r="D22" i="11"/>
  <c r="D26" i="11"/>
  <c r="D21" i="11"/>
  <c r="L547" i="42"/>
  <c r="P547" i="42"/>
  <c r="I547" i="42"/>
  <c r="Q547" i="42"/>
  <c r="N547" i="42"/>
  <c r="R547" i="42"/>
  <c r="O547" i="42"/>
  <c r="S547" i="42"/>
  <c r="M547" i="42"/>
  <c r="J547" i="42"/>
  <c r="K547" i="42"/>
  <c r="T546" i="42"/>
  <c r="T524" i="42"/>
  <c r="T537" i="42" s="1"/>
  <c r="T536" i="42"/>
  <c r="T547" i="42" l="1"/>
  <c r="I96" i="19" l="1"/>
  <c r="I51" i="19"/>
  <c r="I96" i="17"/>
  <c r="I51" i="17"/>
  <c r="I105" i="5"/>
  <c r="I56" i="5"/>
  <c r="H94" i="4"/>
  <c r="H50" i="4"/>
  <c r="A190" i="30" l="1"/>
  <c r="A188" i="30"/>
  <c r="A129" i="30"/>
  <c r="A127" i="30"/>
  <c r="A68" i="30"/>
  <c r="A66" i="30"/>
  <c r="A190" i="69"/>
  <c r="A188" i="69"/>
  <c r="A129" i="69"/>
  <c r="A127" i="69"/>
  <c r="A68" i="69"/>
  <c r="A66" i="69"/>
  <c r="D72" i="69"/>
  <c r="A13" i="69"/>
  <c r="A14" i="69" s="1"/>
  <c r="A15" i="69" s="1"/>
  <c r="A16" i="69" s="1"/>
  <c r="A18" i="69" s="1"/>
  <c r="A19" i="69" s="1"/>
  <c r="A20" i="69" s="1"/>
  <c r="A7" i="69"/>
  <c r="A128" i="69" s="1"/>
  <c r="A4" i="69"/>
  <c r="A125" i="69" s="1"/>
  <c r="A2" i="69"/>
  <c r="A62" i="69" s="1"/>
  <c r="A1" i="69"/>
  <c r="A61" i="69" s="1"/>
  <c r="A184" i="69" l="1"/>
  <c r="A183" i="69"/>
  <c r="A189" i="69"/>
  <c r="A64" i="69"/>
  <c r="A186" i="69"/>
  <c r="A122" i="69"/>
  <c r="A67" i="69"/>
  <c r="A123" i="69"/>
  <c r="A22" i="69"/>
  <c r="A21" i="69"/>
  <c r="A23" i="69" s="1"/>
  <c r="A24" i="69" s="1"/>
  <c r="A25" i="69" s="1"/>
  <c r="A26" i="69" s="1"/>
  <c r="A27" i="69" s="1"/>
  <c r="A29" i="69" s="1"/>
  <c r="A30" i="69" s="1"/>
  <c r="A31" i="69" s="1"/>
  <c r="A32" i="69" s="1"/>
  <c r="A33" i="69" s="1"/>
  <c r="A34" i="69" s="1"/>
  <c r="A35" i="69" s="1"/>
  <c r="A36" i="69" s="1"/>
  <c r="A37" i="69" s="1"/>
  <c r="A38" i="69" s="1"/>
  <c r="A40" i="69" s="1"/>
  <c r="A41" i="69" s="1"/>
  <c r="A42" i="69" s="1"/>
  <c r="A43" i="69" s="1"/>
  <c r="A44" i="69" s="1"/>
  <c r="A45" i="69" s="1"/>
  <c r="A46" i="69" s="1"/>
  <c r="A47" i="69" s="1"/>
  <c r="A48" i="69" s="1"/>
  <c r="A49" i="69" s="1"/>
  <c r="A51" i="69" s="1"/>
  <c r="A52" i="69" s="1"/>
  <c r="A53" i="69" s="1"/>
  <c r="A54" i="69" s="1"/>
  <c r="A55" i="69" s="1"/>
  <c r="A56" i="69" s="1"/>
  <c r="A57" i="69" s="1"/>
  <c r="A58" i="69" s="1"/>
  <c r="A59" i="69" s="1"/>
  <c r="A60" i="69" s="1"/>
  <c r="A72" i="69" s="1"/>
  <c r="A73" i="69" s="1"/>
  <c r="D175" i="30"/>
  <c r="A84" i="69" l="1"/>
  <c r="A85" i="69" s="1"/>
  <c r="A86" i="69" s="1"/>
  <c r="A87" i="69" s="1"/>
  <c r="A88" i="69" s="1"/>
  <c r="A89" i="69" s="1"/>
  <c r="A90" i="69" s="1"/>
  <c r="A91" i="69" s="1"/>
  <c r="A92" i="69" s="1"/>
  <c r="A93" i="69" s="1"/>
  <c r="A94" i="69" s="1"/>
  <c r="A95" i="69" s="1"/>
  <c r="A96" i="69" s="1"/>
  <c r="A97" i="69" s="1"/>
  <c r="A98" i="69" s="1"/>
  <c r="A100" i="69" s="1"/>
  <c r="A101" i="69" s="1"/>
  <c r="A102" i="69" s="1"/>
  <c r="A103" i="69" s="1"/>
  <c r="A104" i="69" s="1"/>
  <c r="A105" i="69" s="1"/>
  <c r="A106" i="69" s="1"/>
  <c r="A107" i="69" s="1"/>
  <c r="A108" i="69" s="1"/>
  <c r="A109" i="69" s="1"/>
  <c r="A110" i="69" s="1"/>
  <c r="A111" i="69" s="1"/>
  <c r="A112" i="69" s="1"/>
  <c r="A114" i="69" s="1"/>
  <c r="A115" i="69" s="1"/>
  <c r="A116" i="69" s="1"/>
  <c r="A117" i="69" s="1"/>
  <c r="A118" i="69" s="1"/>
  <c r="A119" i="69" s="1"/>
  <c r="A120" i="69" s="1"/>
  <c r="A121" i="69" s="1"/>
  <c r="A133" i="69" s="1"/>
  <c r="A134" i="69" s="1"/>
  <c r="A135" i="69" s="1"/>
  <c r="A136" i="69" s="1"/>
  <c r="A138" i="69" s="1"/>
  <c r="A139" i="69" s="1"/>
  <c r="A140" i="69" s="1"/>
  <c r="A141" i="69" s="1"/>
  <c r="A142" i="69" s="1"/>
  <c r="A143" i="69" s="1"/>
  <c r="A144" i="69" s="1"/>
  <c r="A145" i="69" s="1"/>
  <c r="A146" i="69" s="1"/>
  <c r="A147" i="69" s="1"/>
  <c r="A148" i="69" s="1"/>
  <c r="A150" i="69" s="1"/>
  <c r="A151" i="69" s="1"/>
  <c r="A152" i="69" s="1"/>
  <c r="A153" i="69" s="1"/>
  <c r="A154" i="69" s="1"/>
  <c r="A155" i="69" s="1"/>
  <c r="A156" i="69" s="1"/>
  <c r="A157" i="69" s="1"/>
  <c r="A158" i="69" s="1"/>
  <c r="A159" i="69" s="1"/>
  <c r="A160" i="69" s="1"/>
  <c r="A161" i="69" s="1"/>
  <c r="A163" i="69" s="1"/>
  <c r="A164" i="69" s="1"/>
  <c r="A165" i="69" s="1"/>
  <c r="A166" i="69" s="1"/>
  <c r="A167" i="69" s="1"/>
  <c r="A168" i="69" s="1"/>
  <c r="A169" i="69" s="1"/>
  <c r="A170" i="69" s="1"/>
  <c r="A172" i="69" s="1"/>
  <c r="A173" i="69" s="1"/>
  <c r="A174" i="69" s="1"/>
  <c r="A175" i="69" s="1"/>
  <c r="A176" i="69" s="1"/>
  <c r="A177" i="69" s="1"/>
  <c r="A179" i="69" s="1"/>
  <c r="A180" i="69" s="1"/>
  <c r="A181" i="69" s="1"/>
  <c r="A182" i="69" s="1"/>
  <c r="A194" i="69" s="1"/>
  <c r="A195" i="69" s="1"/>
  <c r="A196" i="69" s="1"/>
  <c r="A197" i="69" s="1"/>
  <c r="A199" i="69" s="1"/>
  <c r="A201" i="69" s="1"/>
  <c r="A203" i="69" s="1"/>
  <c r="A75" i="69"/>
  <c r="A76" i="69" s="1"/>
  <c r="A77" i="69" s="1"/>
  <c r="A78" i="69" s="1"/>
  <c r="A79" i="69" s="1"/>
  <c r="A80" i="69" s="1"/>
  <c r="A81" i="69" s="1"/>
  <c r="A82" i="69" s="1"/>
  <c r="D147" i="30"/>
  <c r="A13" i="30"/>
  <c r="D93" i="30" l="1"/>
  <c r="D72" i="30"/>
  <c r="D60" i="30"/>
  <c r="D59" i="30"/>
  <c r="D58" i="30"/>
  <c r="D57" i="30"/>
  <c r="D56" i="30"/>
  <c r="D55" i="30"/>
  <c r="D54" i="30"/>
  <c r="D48" i="30" l="1"/>
  <c r="D47" i="30"/>
  <c r="D46" i="30"/>
  <c r="D45" i="30"/>
  <c r="D44" i="30"/>
  <c r="D43" i="30"/>
  <c r="D42" i="30"/>
  <c r="D41" i="30"/>
  <c r="D37" i="30"/>
  <c r="D36" i="30"/>
  <c r="D35" i="30"/>
  <c r="D34" i="30"/>
  <c r="D33" i="30"/>
  <c r="D32" i="30"/>
  <c r="D31" i="30"/>
  <c r="D30" i="30"/>
  <c r="D26" i="30"/>
  <c r="D25" i="30"/>
  <c r="D24" i="30"/>
  <c r="D23" i="30"/>
  <c r="D22" i="30"/>
  <c r="D21" i="30"/>
  <c r="D20" i="30"/>
  <c r="D16" i="30"/>
  <c r="A14" i="30" l="1"/>
  <c r="A15" i="30" s="1"/>
  <c r="A16" i="30" s="1"/>
  <c r="D21" i="68"/>
  <c r="A18" i="30" l="1"/>
  <c r="A19" i="30" s="1"/>
  <c r="A20" i="30" s="1"/>
  <c r="A4" i="68"/>
  <c r="F25" i="68"/>
  <c r="E25" i="68"/>
  <c r="E14" i="68"/>
  <c r="A7" i="68"/>
  <c r="A2" i="68"/>
  <c r="A1" i="68"/>
  <c r="F25" i="67"/>
  <c r="E25" i="67"/>
  <c r="E14" i="67"/>
  <c r="A2" i="67"/>
  <c r="A1" i="67"/>
  <c r="A21" i="30" l="1"/>
  <c r="A23" i="30" s="1"/>
  <c r="A24" i="30" s="1"/>
  <c r="A22" i="30"/>
  <c r="G14" i="68"/>
  <c r="G14" i="67"/>
  <c r="B54" i="58"/>
  <c r="B55" i="58"/>
  <c r="B54" i="59"/>
  <c r="B2" i="59"/>
  <c r="B55" i="59" s="1"/>
  <c r="A25" i="30" l="1"/>
  <c r="A26" i="30" s="1"/>
  <c r="A27" i="30" s="1"/>
  <c r="A29" i="30" s="1"/>
  <c r="P116" i="66"/>
  <c r="P115" i="66"/>
  <c r="P114" i="66"/>
  <c r="P113" i="66"/>
  <c r="P112" i="66"/>
  <c r="P111" i="66"/>
  <c r="P110" i="66"/>
  <c r="P106" i="66"/>
  <c r="P105" i="66"/>
  <c r="P104" i="66"/>
  <c r="P103" i="66"/>
  <c r="P102" i="66"/>
  <c r="P101" i="66"/>
  <c r="P100" i="66"/>
  <c r="P99" i="66"/>
  <c r="P98" i="66"/>
  <c r="P94" i="66"/>
  <c r="P93" i="66"/>
  <c r="P89" i="66"/>
  <c r="P88" i="66"/>
  <c r="P87" i="66"/>
  <c r="P83" i="66"/>
  <c r="P82" i="66"/>
  <c r="P81" i="66"/>
  <c r="P80" i="66"/>
  <c r="P79" i="66"/>
  <c r="P78" i="66"/>
  <c r="P56" i="66"/>
  <c r="P55" i="66"/>
  <c r="P54" i="66"/>
  <c r="P53" i="66"/>
  <c r="P52" i="66"/>
  <c r="P51" i="66"/>
  <c r="P50" i="66"/>
  <c r="P46" i="66"/>
  <c r="P45" i="66"/>
  <c r="P44" i="66"/>
  <c r="P43" i="66"/>
  <c r="P42" i="66"/>
  <c r="P41" i="66"/>
  <c r="P40" i="66"/>
  <c r="P39" i="66"/>
  <c r="P38" i="66"/>
  <c r="P37" i="66"/>
  <c r="P36" i="66"/>
  <c r="P35" i="66"/>
  <c r="P34" i="66"/>
  <c r="P33" i="66"/>
  <c r="P32" i="66"/>
  <c r="P31" i="66"/>
  <c r="P27" i="66"/>
  <c r="P26" i="66"/>
  <c r="P25" i="66"/>
  <c r="P24" i="66"/>
  <c r="P20" i="66"/>
  <c r="P18" i="66"/>
  <c r="P17" i="66"/>
  <c r="A30" i="30" l="1"/>
  <c r="A31" i="30" s="1"/>
  <c r="A32" i="30" s="1"/>
  <c r="A33" i="30" s="1"/>
  <c r="A34" i="30" s="1"/>
  <c r="A35" i="30" s="1"/>
  <c r="A36" i="30" s="1"/>
  <c r="A37" i="30" s="1"/>
  <c r="A38" i="30" s="1"/>
  <c r="N116" i="66"/>
  <c r="N115" i="66"/>
  <c r="N114" i="66"/>
  <c r="N113" i="66"/>
  <c r="N112" i="66"/>
  <c r="N111" i="66"/>
  <c r="N110" i="66"/>
  <c r="N106" i="66"/>
  <c r="N105" i="66"/>
  <c r="N104" i="66"/>
  <c r="N103" i="66"/>
  <c r="N102" i="66"/>
  <c r="N101" i="66"/>
  <c r="N100" i="66"/>
  <c r="N99" i="66"/>
  <c r="N98" i="66"/>
  <c r="N94" i="66"/>
  <c r="N93" i="66"/>
  <c r="N89" i="66"/>
  <c r="O89" i="66" s="1"/>
  <c r="N88" i="66"/>
  <c r="N87" i="66"/>
  <c r="N83" i="66"/>
  <c r="N82" i="66"/>
  <c r="N81" i="66"/>
  <c r="N80" i="66"/>
  <c r="N79" i="66"/>
  <c r="N78" i="66"/>
  <c r="N56" i="66"/>
  <c r="N55" i="66"/>
  <c r="N54" i="66"/>
  <c r="N53" i="66"/>
  <c r="N52" i="66"/>
  <c r="N51" i="66"/>
  <c r="N50" i="66"/>
  <c r="N46" i="66"/>
  <c r="N45" i="66"/>
  <c r="N44" i="66"/>
  <c r="N43" i="66"/>
  <c r="N42" i="66"/>
  <c r="N41" i="66"/>
  <c r="N40" i="66"/>
  <c r="N39" i="66"/>
  <c r="N38" i="66"/>
  <c r="N37" i="66"/>
  <c r="N36" i="66"/>
  <c r="N35" i="66"/>
  <c r="N34" i="66"/>
  <c r="N33" i="66"/>
  <c r="N32" i="66"/>
  <c r="N31" i="66"/>
  <c r="N27" i="66"/>
  <c r="N26" i="66"/>
  <c r="N25" i="66"/>
  <c r="N24" i="66"/>
  <c r="N20" i="66"/>
  <c r="N18" i="66"/>
  <c r="N17" i="66"/>
  <c r="A40" i="30" l="1"/>
  <c r="A41" i="30" s="1"/>
  <c r="A42" i="30" s="1"/>
  <c r="A43" i="30" s="1"/>
  <c r="A44" i="30" s="1"/>
  <c r="A45" i="30" s="1"/>
  <c r="A46" i="30" s="1"/>
  <c r="A47" i="30" s="1"/>
  <c r="A48" i="30" s="1"/>
  <c r="A49" i="30" s="1"/>
  <c r="A51" i="30" s="1"/>
  <c r="L116" i="66"/>
  <c r="L115" i="66"/>
  <c r="L114" i="66"/>
  <c r="L113" i="66"/>
  <c r="L112" i="66"/>
  <c r="L111" i="66"/>
  <c r="L110" i="66"/>
  <c r="L106" i="66"/>
  <c r="L105" i="66"/>
  <c r="L104" i="66"/>
  <c r="L103" i="66"/>
  <c r="L102" i="66"/>
  <c r="L101" i="66"/>
  <c r="L100" i="66"/>
  <c r="L99" i="66"/>
  <c r="L98" i="66"/>
  <c r="M98" i="66" s="1"/>
  <c r="L94" i="66"/>
  <c r="L93" i="66"/>
  <c r="L89" i="66"/>
  <c r="L88" i="66"/>
  <c r="L87" i="66"/>
  <c r="L83" i="66"/>
  <c r="L82" i="66"/>
  <c r="L80" i="66"/>
  <c r="L79" i="66"/>
  <c r="L78" i="66"/>
  <c r="L56" i="66"/>
  <c r="L55" i="66"/>
  <c r="L54" i="66"/>
  <c r="L53" i="66"/>
  <c r="L52" i="66"/>
  <c r="L51" i="66"/>
  <c r="L50" i="66"/>
  <c r="L46" i="66"/>
  <c r="L45" i="66"/>
  <c r="L44" i="66"/>
  <c r="L43" i="66"/>
  <c r="L42" i="66"/>
  <c r="L41" i="66"/>
  <c r="L40" i="66"/>
  <c r="L39" i="66"/>
  <c r="L38" i="66"/>
  <c r="L37" i="66"/>
  <c r="L36" i="66"/>
  <c r="L35" i="66"/>
  <c r="L34" i="66"/>
  <c r="L33" i="66"/>
  <c r="L32" i="66"/>
  <c r="L31" i="66"/>
  <c r="L27" i="66"/>
  <c r="L26" i="66"/>
  <c r="L25" i="66"/>
  <c r="L24" i="66"/>
  <c r="L20" i="66"/>
  <c r="L18" i="66"/>
  <c r="L17" i="66"/>
  <c r="A52" i="30" l="1"/>
  <c r="A53" i="30" s="1"/>
  <c r="A54" i="30" s="1"/>
  <c r="A55" i="30" s="1"/>
  <c r="A56" i="30" s="1"/>
  <c r="A57" i="30" s="1"/>
  <c r="A58" i="30" s="1"/>
  <c r="A59" i="30" s="1"/>
  <c r="A60" i="30" s="1"/>
  <c r="A72" i="30" s="1"/>
  <c r="A73" i="30" s="1"/>
  <c r="J116" i="66"/>
  <c r="J115" i="66"/>
  <c r="J114" i="66"/>
  <c r="J113" i="66"/>
  <c r="J112" i="66"/>
  <c r="J111" i="66"/>
  <c r="J110" i="66"/>
  <c r="J106" i="66"/>
  <c r="J105" i="66"/>
  <c r="J104" i="66"/>
  <c r="J103" i="66"/>
  <c r="J102" i="66"/>
  <c r="J101" i="66"/>
  <c r="J100" i="66"/>
  <c r="J99" i="66"/>
  <c r="J98" i="66"/>
  <c r="K98" i="66" s="1"/>
  <c r="J94" i="66"/>
  <c r="J93" i="66"/>
  <c r="J89" i="66"/>
  <c r="J88" i="66"/>
  <c r="J87" i="66"/>
  <c r="J83" i="66"/>
  <c r="J82" i="66"/>
  <c r="J80" i="66"/>
  <c r="J79" i="66"/>
  <c r="J78" i="66"/>
  <c r="J56" i="66"/>
  <c r="J55" i="66"/>
  <c r="J54" i="66"/>
  <c r="J53" i="66"/>
  <c r="J52" i="66"/>
  <c r="J51" i="66"/>
  <c r="J50" i="66"/>
  <c r="J46" i="66"/>
  <c r="J45" i="66"/>
  <c r="J44" i="66"/>
  <c r="J43" i="66"/>
  <c r="J42" i="66"/>
  <c r="J41" i="66"/>
  <c r="J40" i="66"/>
  <c r="J39" i="66"/>
  <c r="J38" i="66"/>
  <c r="J37" i="66"/>
  <c r="J36" i="66"/>
  <c r="J35" i="66"/>
  <c r="J34" i="66"/>
  <c r="J33" i="66"/>
  <c r="J32" i="66"/>
  <c r="J31" i="66"/>
  <c r="J27" i="66"/>
  <c r="J26" i="66"/>
  <c r="J25" i="66"/>
  <c r="J24" i="66"/>
  <c r="J20" i="66"/>
  <c r="J18" i="66"/>
  <c r="J17" i="66"/>
  <c r="A84" i="30" l="1"/>
  <c r="A75" i="30"/>
  <c r="A76" i="30" s="1"/>
  <c r="A77" i="30" s="1"/>
  <c r="A78" i="30" s="1"/>
  <c r="A79" i="30" s="1"/>
  <c r="A80" i="30" s="1"/>
  <c r="A81" i="30" s="1"/>
  <c r="A82" i="30" s="1"/>
  <c r="H116" i="66"/>
  <c r="H115" i="66"/>
  <c r="H114" i="66"/>
  <c r="H113" i="66"/>
  <c r="H112" i="66"/>
  <c r="H111" i="66"/>
  <c r="H110" i="66"/>
  <c r="H106" i="66"/>
  <c r="H105" i="66"/>
  <c r="H104" i="66"/>
  <c r="H103" i="66"/>
  <c r="H102" i="66"/>
  <c r="H101" i="66"/>
  <c r="H100" i="66"/>
  <c r="H99" i="66"/>
  <c r="H98" i="66"/>
  <c r="H94" i="66"/>
  <c r="H93" i="66"/>
  <c r="H89" i="66"/>
  <c r="H88" i="66"/>
  <c r="H87" i="66"/>
  <c r="H83" i="66"/>
  <c r="H82" i="66"/>
  <c r="H80" i="66"/>
  <c r="H79" i="66"/>
  <c r="H78" i="66"/>
  <c r="H56" i="66"/>
  <c r="H55" i="66"/>
  <c r="H54" i="66"/>
  <c r="H53" i="66"/>
  <c r="H52" i="66"/>
  <c r="H51" i="66"/>
  <c r="H50" i="66"/>
  <c r="H46" i="66"/>
  <c r="H45" i="66"/>
  <c r="H44" i="66"/>
  <c r="H43" i="66"/>
  <c r="H42" i="66"/>
  <c r="H41" i="66"/>
  <c r="H40" i="66"/>
  <c r="H39" i="66"/>
  <c r="H38" i="66"/>
  <c r="H37" i="66"/>
  <c r="H36" i="66"/>
  <c r="H35" i="66"/>
  <c r="H34" i="66"/>
  <c r="H33" i="66"/>
  <c r="H32" i="66"/>
  <c r="H31" i="66"/>
  <c r="H27" i="66"/>
  <c r="H26" i="66"/>
  <c r="H25" i="66"/>
  <c r="H24" i="66"/>
  <c r="H20" i="66"/>
  <c r="H18" i="66"/>
  <c r="H17" i="66"/>
  <c r="A85" i="30" l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E113" i="66"/>
  <c r="E105" i="66"/>
  <c r="E99" i="66"/>
  <c r="E56" i="66"/>
  <c r="E54" i="66"/>
  <c r="E52" i="66"/>
  <c r="E51" i="66"/>
  <c r="E55" i="66"/>
  <c r="E50" i="66"/>
  <c r="E42" i="66"/>
  <c r="E33" i="66"/>
  <c r="E20" i="66"/>
  <c r="P117" i="66"/>
  <c r="N117" i="66"/>
  <c r="L117" i="66"/>
  <c r="J117" i="66"/>
  <c r="H117" i="66"/>
  <c r="O116" i="66"/>
  <c r="M116" i="66"/>
  <c r="K116" i="66"/>
  <c r="I116" i="66"/>
  <c r="G116" i="66"/>
  <c r="E116" i="66"/>
  <c r="O114" i="66"/>
  <c r="M114" i="66"/>
  <c r="K114" i="66"/>
  <c r="I114" i="66"/>
  <c r="G114" i="66"/>
  <c r="E114" i="66"/>
  <c r="O113" i="66"/>
  <c r="M113" i="66"/>
  <c r="K113" i="66"/>
  <c r="I113" i="66"/>
  <c r="G113" i="66"/>
  <c r="O112" i="66"/>
  <c r="M112" i="66"/>
  <c r="K112" i="66"/>
  <c r="I112" i="66"/>
  <c r="G112" i="66"/>
  <c r="E112" i="66"/>
  <c r="O111" i="66"/>
  <c r="M111" i="66"/>
  <c r="K111" i="66"/>
  <c r="I111" i="66"/>
  <c r="G111" i="66"/>
  <c r="E111" i="66"/>
  <c r="O110" i="66"/>
  <c r="M110" i="66"/>
  <c r="K110" i="66"/>
  <c r="I110" i="66"/>
  <c r="G110" i="66"/>
  <c r="E110" i="66"/>
  <c r="P107" i="66"/>
  <c r="N107" i="66"/>
  <c r="L107" i="66"/>
  <c r="J107" i="66"/>
  <c r="H107" i="66"/>
  <c r="G107" i="66" s="1"/>
  <c r="O106" i="66"/>
  <c r="M106" i="66"/>
  <c r="K106" i="66"/>
  <c r="I106" i="66"/>
  <c r="G106" i="66"/>
  <c r="E106" i="66"/>
  <c r="O105" i="66"/>
  <c r="M105" i="66"/>
  <c r="K105" i="66"/>
  <c r="I105" i="66"/>
  <c r="G105" i="66"/>
  <c r="O104" i="66"/>
  <c r="M104" i="66"/>
  <c r="K104" i="66"/>
  <c r="I104" i="66"/>
  <c r="G104" i="66"/>
  <c r="E104" i="66"/>
  <c r="O103" i="66"/>
  <c r="M103" i="66"/>
  <c r="K103" i="66"/>
  <c r="I103" i="66"/>
  <c r="G103" i="66"/>
  <c r="E103" i="66"/>
  <c r="O102" i="66"/>
  <c r="M102" i="66"/>
  <c r="K102" i="66"/>
  <c r="I102" i="66"/>
  <c r="G102" i="66"/>
  <c r="E102" i="66"/>
  <c r="O99" i="66"/>
  <c r="M99" i="66"/>
  <c r="K99" i="66"/>
  <c r="I99" i="66"/>
  <c r="G99" i="66"/>
  <c r="I98" i="66"/>
  <c r="G98" i="66"/>
  <c r="P95" i="66"/>
  <c r="N95" i="66"/>
  <c r="L95" i="66"/>
  <c r="J95" i="66"/>
  <c r="H95" i="66"/>
  <c r="G95" i="66" s="1"/>
  <c r="O94" i="66"/>
  <c r="M94" i="66"/>
  <c r="K94" i="66"/>
  <c r="I94" i="66"/>
  <c r="G94" i="66"/>
  <c r="E94" i="66"/>
  <c r="O93" i="66"/>
  <c r="M93" i="66"/>
  <c r="K93" i="66"/>
  <c r="I93" i="66"/>
  <c r="G93" i="66"/>
  <c r="E93" i="66"/>
  <c r="P90" i="66"/>
  <c r="N90" i="66"/>
  <c r="L90" i="66"/>
  <c r="J90" i="66"/>
  <c r="H90" i="66"/>
  <c r="M89" i="66"/>
  <c r="K89" i="66"/>
  <c r="I89" i="66"/>
  <c r="G89" i="66"/>
  <c r="E89" i="66"/>
  <c r="O87" i="66"/>
  <c r="M87" i="66"/>
  <c r="K87" i="66"/>
  <c r="I87" i="66"/>
  <c r="P84" i="66"/>
  <c r="N84" i="66"/>
  <c r="L84" i="66"/>
  <c r="J84" i="66"/>
  <c r="H84" i="66"/>
  <c r="O82" i="66"/>
  <c r="M82" i="66"/>
  <c r="K82" i="66"/>
  <c r="I82" i="66"/>
  <c r="G82" i="66"/>
  <c r="E82" i="66"/>
  <c r="O80" i="66"/>
  <c r="M80" i="66"/>
  <c r="K80" i="66"/>
  <c r="I80" i="66"/>
  <c r="O79" i="66"/>
  <c r="M79" i="66"/>
  <c r="K79" i="66"/>
  <c r="I79" i="66"/>
  <c r="G79" i="66"/>
  <c r="E79" i="66"/>
  <c r="O78" i="66"/>
  <c r="M78" i="66"/>
  <c r="K78" i="66"/>
  <c r="I78" i="66"/>
  <c r="G78" i="66"/>
  <c r="E78" i="66"/>
  <c r="A77" i="66"/>
  <c r="A78" i="66" s="1"/>
  <c r="A79" i="66" s="1"/>
  <c r="A80" i="66" s="1"/>
  <c r="A81" i="66" s="1"/>
  <c r="A82" i="66" s="1"/>
  <c r="A83" i="66" s="1"/>
  <c r="A84" i="66" s="1"/>
  <c r="A86" i="66" s="1"/>
  <c r="A87" i="66" s="1"/>
  <c r="A88" i="66" s="1"/>
  <c r="A89" i="66" s="1"/>
  <c r="A90" i="66" s="1"/>
  <c r="A92" i="66" s="1"/>
  <c r="A93" i="66" s="1"/>
  <c r="A94" i="66" s="1"/>
  <c r="A95" i="66" s="1"/>
  <c r="A97" i="66" s="1"/>
  <c r="A98" i="66" s="1"/>
  <c r="A99" i="66" s="1"/>
  <c r="A100" i="66" s="1"/>
  <c r="A101" i="66" s="1"/>
  <c r="A102" i="66" s="1"/>
  <c r="A103" i="66" s="1"/>
  <c r="A104" i="66" s="1"/>
  <c r="A105" i="66" s="1"/>
  <c r="A106" i="66" s="1"/>
  <c r="A107" i="66" s="1"/>
  <c r="A109" i="66" s="1"/>
  <c r="A110" i="66" s="1"/>
  <c r="A111" i="66" s="1"/>
  <c r="A112" i="66" s="1"/>
  <c r="A113" i="66" s="1"/>
  <c r="A114" i="66" s="1"/>
  <c r="A115" i="66" s="1"/>
  <c r="A116" i="66" s="1"/>
  <c r="A117" i="66" s="1"/>
  <c r="A119" i="66" s="1"/>
  <c r="A121" i="66" s="1"/>
  <c r="P73" i="66"/>
  <c r="N73" i="66"/>
  <c r="L73" i="66"/>
  <c r="J73" i="66"/>
  <c r="H73" i="66"/>
  <c r="A69" i="66"/>
  <c r="A67" i="66"/>
  <c r="A65" i="66"/>
  <c r="A64" i="66"/>
  <c r="P57" i="66"/>
  <c r="N57" i="66"/>
  <c r="L57" i="66"/>
  <c r="J57" i="66"/>
  <c r="H57" i="66"/>
  <c r="O56" i="66"/>
  <c r="M56" i="66"/>
  <c r="K56" i="66"/>
  <c r="I56" i="66"/>
  <c r="G56" i="66"/>
  <c r="O55" i="66"/>
  <c r="M55" i="66"/>
  <c r="K55" i="66"/>
  <c r="I55" i="66"/>
  <c r="G55" i="66"/>
  <c r="O54" i="66"/>
  <c r="M54" i="66"/>
  <c r="K54" i="66"/>
  <c r="I54" i="66"/>
  <c r="G54" i="66"/>
  <c r="O52" i="66"/>
  <c r="M52" i="66"/>
  <c r="K52" i="66"/>
  <c r="I52" i="66"/>
  <c r="G52" i="66"/>
  <c r="O51" i="66"/>
  <c r="M51" i="66"/>
  <c r="K51" i="66"/>
  <c r="I51" i="66"/>
  <c r="G51" i="66"/>
  <c r="O50" i="66"/>
  <c r="M50" i="66"/>
  <c r="K50" i="66"/>
  <c r="I50" i="66"/>
  <c r="G50" i="66"/>
  <c r="P47" i="66"/>
  <c r="N47" i="66"/>
  <c r="L47" i="66"/>
  <c r="J47" i="66"/>
  <c r="H47" i="66"/>
  <c r="M46" i="66"/>
  <c r="O45" i="66"/>
  <c r="M45" i="66"/>
  <c r="K45" i="66"/>
  <c r="I45" i="66"/>
  <c r="G45" i="66"/>
  <c r="O44" i="66"/>
  <c r="M44" i="66"/>
  <c r="K44" i="66"/>
  <c r="I44" i="66"/>
  <c r="G44" i="66"/>
  <c r="E44" i="66"/>
  <c r="O43" i="66"/>
  <c r="M43" i="66"/>
  <c r="K43" i="66"/>
  <c r="I43" i="66"/>
  <c r="G43" i="66"/>
  <c r="E43" i="66"/>
  <c r="O42" i="66"/>
  <c r="M42" i="66"/>
  <c r="K42" i="66"/>
  <c r="I42" i="66"/>
  <c r="G42" i="66"/>
  <c r="O41" i="66"/>
  <c r="M41" i="66"/>
  <c r="K41" i="66"/>
  <c r="I41" i="66"/>
  <c r="G41" i="66"/>
  <c r="O40" i="66"/>
  <c r="M40" i="66"/>
  <c r="K40" i="66"/>
  <c r="I40" i="66"/>
  <c r="G40" i="66"/>
  <c r="E40" i="66"/>
  <c r="O39" i="66"/>
  <c r="M39" i="66"/>
  <c r="K39" i="66"/>
  <c r="I39" i="66"/>
  <c r="G39" i="66"/>
  <c r="E39" i="66"/>
  <c r="O38" i="66"/>
  <c r="M38" i="66"/>
  <c r="K38" i="66"/>
  <c r="I38" i="66"/>
  <c r="G38" i="66"/>
  <c r="E38" i="66"/>
  <c r="O37" i="66"/>
  <c r="M37" i="66"/>
  <c r="K37" i="66"/>
  <c r="I37" i="66"/>
  <c r="G37" i="66"/>
  <c r="O36" i="66"/>
  <c r="M36" i="66"/>
  <c r="K36" i="66"/>
  <c r="I36" i="66"/>
  <c r="G36" i="66"/>
  <c r="E36" i="66"/>
  <c r="O35" i="66"/>
  <c r="M35" i="66"/>
  <c r="K35" i="66"/>
  <c r="I35" i="66"/>
  <c r="G35" i="66"/>
  <c r="E35" i="66"/>
  <c r="O34" i="66"/>
  <c r="M34" i="66"/>
  <c r="K34" i="66"/>
  <c r="I34" i="66"/>
  <c r="G34" i="66"/>
  <c r="O33" i="66"/>
  <c r="M33" i="66"/>
  <c r="K33" i="66"/>
  <c r="I33" i="66"/>
  <c r="G33" i="66"/>
  <c r="O31" i="66"/>
  <c r="M31" i="66"/>
  <c r="K31" i="66"/>
  <c r="I31" i="66"/>
  <c r="G31" i="66"/>
  <c r="E31" i="66"/>
  <c r="P28" i="66"/>
  <c r="N28" i="66"/>
  <c r="L28" i="66"/>
  <c r="J28" i="66"/>
  <c r="H28" i="66"/>
  <c r="O20" i="66"/>
  <c r="M20" i="66"/>
  <c r="K20" i="66"/>
  <c r="I20" i="66"/>
  <c r="G20" i="66"/>
  <c r="P19" i="66"/>
  <c r="P21" i="66" s="1"/>
  <c r="N19" i="66"/>
  <c r="N21" i="66" s="1"/>
  <c r="L19" i="66"/>
  <c r="L21" i="66" s="1"/>
  <c r="O18" i="66"/>
  <c r="M18" i="66"/>
  <c r="K18" i="66"/>
  <c r="I18" i="66"/>
  <c r="O17" i="66"/>
  <c r="M17" i="66"/>
  <c r="K17" i="66"/>
  <c r="J19" i="66"/>
  <c r="I17" i="66"/>
  <c r="H19" i="66"/>
  <c r="H21" i="66" s="1"/>
  <c r="A16" i="66"/>
  <c r="A17" i="66" s="1"/>
  <c r="A18" i="66" s="1"/>
  <c r="A19" i="66" s="1"/>
  <c r="A20" i="66" s="1"/>
  <c r="A21" i="66" s="1"/>
  <c r="A23" i="66" s="1"/>
  <c r="A24" i="66" s="1"/>
  <c r="A25" i="66" s="1"/>
  <c r="A26" i="66" s="1"/>
  <c r="A27" i="66" s="1"/>
  <c r="A28" i="66" s="1"/>
  <c r="A30" i="66" s="1"/>
  <c r="A31" i="66" s="1"/>
  <c r="A32" i="66" s="1"/>
  <c r="A33" i="66" s="1"/>
  <c r="A34" i="66" s="1"/>
  <c r="A35" i="66" s="1"/>
  <c r="A36" i="66" s="1"/>
  <c r="A37" i="66" s="1"/>
  <c r="A38" i="66" s="1"/>
  <c r="A39" i="66" s="1"/>
  <c r="A40" i="66" s="1"/>
  <c r="A41" i="66" s="1"/>
  <c r="A42" i="66" s="1"/>
  <c r="A43" i="66" s="1"/>
  <c r="A44" i="66" s="1"/>
  <c r="A45" i="66" s="1"/>
  <c r="A46" i="66" s="1"/>
  <c r="A47" i="66" s="1"/>
  <c r="A49" i="66" s="1"/>
  <c r="A50" i="66" s="1"/>
  <c r="A51" i="66" s="1"/>
  <c r="A52" i="66" s="1"/>
  <c r="A53" i="66" s="1"/>
  <c r="A54" i="66" s="1"/>
  <c r="A55" i="66" s="1"/>
  <c r="A56" i="66" s="1"/>
  <c r="A57" i="66" s="1"/>
  <c r="A59" i="66" s="1"/>
  <c r="A68" i="66"/>
  <c r="A2" i="66"/>
  <c r="A63" i="66" s="1"/>
  <c r="A1" i="66"/>
  <c r="A62" i="66" s="1"/>
  <c r="I117" i="66" l="1"/>
  <c r="I90" i="66"/>
  <c r="G57" i="66"/>
  <c r="O57" i="66"/>
  <c r="K84" i="66"/>
  <c r="I107" i="66"/>
  <c r="M84" i="66"/>
  <c r="O90" i="66"/>
  <c r="K107" i="66"/>
  <c r="P59" i="66"/>
  <c r="K57" i="66"/>
  <c r="M117" i="66"/>
  <c r="A100" i="30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4" i="30" s="1"/>
  <c r="O107" i="66"/>
  <c r="M107" i="66"/>
  <c r="O117" i="66"/>
  <c r="P119" i="66"/>
  <c r="O84" i="66"/>
  <c r="M90" i="66"/>
  <c r="M47" i="66"/>
  <c r="N59" i="66"/>
  <c r="O19" i="66"/>
  <c r="M21" i="66"/>
  <c r="K117" i="66"/>
  <c r="K90" i="66"/>
  <c r="M19" i="66"/>
  <c r="K19" i="66"/>
  <c r="I84" i="66"/>
  <c r="I47" i="66"/>
  <c r="I19" i="66"/>
  <c r="L59" i="66"/>
  <c r="G80" i="66"/>
  <c r="G90" i="66"/>
  <c r="G87" i="66"/>
  <c r="N119" i="66"/>
  <c r="O95" i="66"/>
  <c r="E18" i="66"/>
  <c r="J21" i="66"/>
  <c r="I21" i="66" s="1"/>
  <c r="E37" i="66"/>
  <c r="E45" i="66"/>
  <c r="K47" i="66"/>
  <c r="E57" i="66"/>
  <c r="M57" i="66"/>
  <c r="I95" i="66"/>
  <c r="H119" i="66"/>
  <c r="G18" i="66"/>
  <c r="H59" i="66"/>
  <c r="J119" i="66"/>
  <c r="K95" i="66"/>
  <c r="O21" i="66"/>
  <c r="E41" i="66"/>
  <c r="G47" i="66"/>
  <c r="O47" i="66"/>
  <c r="I57" i="66"/>
  <c r="E80" i="66"/>
  <c r="E87" i="66"/>
  <c r="E90" i="66"/>
  <c r="E95" i="66"/>
  <c r="M95" i="66"/>
  <c r="L119" i="66"/>
  <c r="E107" i="66"/>
  <c r="G117" i="66"/>
  <c r="O59" i="66" l="1"/>
  <c r="P121" i="66"/>
  <c r="A115" i="30"/>
  <c r="A116" i="30" s="1"/>
  <c r="A117" i="30" s="1"/>
  <c r="A118" i="30" s="1"/>
  <c r="A119" i="30" s="1"/>
  <c r="A120" i="30" s="1"/>
  <c r="A121" i="30" s="1"/>
  <c r="A133" i="30" s="1"/>
  <c r="A134" i="30" s="1"/>
  <c r="A135" i="30" s="1"/>
  <c r="A136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3" i="30" s="1"/>
  <c r="A164" i="30" s="1"/>
  <c r="A165" i="30" s="1"/>
  <c r="A166" i="30" s="1"/>
  <c r="A167" i="30" s="1"/>
  <c r="A168" i="30" s="1"/>
  <c r="A169" i="30" s="1"/>
  <c r="A170" i="30" s="1"/>
  <c r="A172" i="30" s="1"/>
  <c r="A173" i="30" s="1"/>
  <c r="A174" i="30" s="1"/>
  <c r="A175" i="30" s="1"/>
  <c r="A176" i="30" s="1"/>
  <c r="A177" i="30" s="1"/>
  <c r="A179" i="30" s="1"/>
  <c r="A180" i="30" s="1"/>
  <c r="A181" i="30" s="1"/>
  <c r="A182" i="30" s="1"/>
  <c r="A194" i="30" s="1"/>
  <c r="A195" i="30" s="1"/>
  <c r="A196" i="30" s="1"/>
  <c r="A197" i="30" s="1"/>
  <c r="A199" i="30" s="1"/>
  <c r="A201" i="30" s="1"/>
  <c r="A203" i="30" s="1"/>
  <c r="O119" i="66"/>
  <c r="I119" i="66"/>
  <c r="E117" i="66"/>
  <c r="H121" i="66"/>
  <c r="M119" i="66"/>
  <c r="E47" i="66"/>
  <c r="F119" i="66"/>
  <c r="G119" i="66" s="1"/>
  <c r="G84" i="66"/>
  <c r="G17" i="66"/>
  <c r="K21" i="66"/>
  <c r="J59" i="66"/>
  <c r="I59" i="66" s="1"/>
  <c r="D119" i="66"/>
  <c r="E84" i="66"/>
  <c r="K119" i="66"/>
  <c r="E17" i="66"/>
  <c r="M59" i="66"/>
  <c r="L121" i="66"/>
  <c r="N121" i="66"/>
  <c r="E119" i="66" l="1"/>
  <c r="G19" i="66"/>
  <c r="E19" i="66"/>
  <c r="K59" i="66"/>
  <c r="J121" i="66"/>
  <c r="R37" i="58"/>
  <c r="R37" i="59"/>
  <c r="E21" i="66" l="1"/>
  <c r="D59" i="66"/>
  <c r="G21" i="66"/>
  <c r="F59" i="66"/>
  <c r="P5" i="65"/>
  <c r="C20" i="26" s="1"/>
  <c r="AG5" i="65"/>
  <c r="D21" i="67" s="1"/>
  <c r="P7" i="65" l="1"/>
  <c r="F37" i="59" s="1"/>
  <c r="C45" i="26"/>
  <c r="AG7" i="65"/>
  <c r="F37" i="58" s="1"/>
  <c r="F121" i="66"/>
  <c r="G59" i="66"/>
  <c r="E59" i="66"/>
  <c r="D121" i="66"/>
  <c r="A232" i="64"/>
  <c r="A230" i="64"/>
  <c r="A176" i="64"/>
  <c r="A174" i="64"/>
  <c r="A120" i="64"/>
  <c r="A118" i="64"/>
  <c r="A64" i="64"/>
  <c r="A62" i="64"/>
  <c r="A7" i="64"/>
  <c r="A63" i="64" s="1"/>
  <c r="A2" i="64"/>
  <c r="A58" i="64" s="1"/>
  <c r="A1" i="64"/>
  <c r="A113" i="64" s="1"/>
  <c r="A4" i="64"/>
  <c r="A60" i="64" s="1"/>
  <c r="O273" i="64"/>
  <c r="M273" i="64"/>
  <c r="J273" i="64"/>
  <c r="O272" i="64"/>
  <c r="M272" i="64"/>
  <c r="J272" i="64"/>
  <c r="O271" i="64"/>
  <c r="M271" i="64"/>
  <c r="J271" i="64"/>
  <c r="O270" i="64"/>
  <c r="M270" i="64"/>
  <c r="J270" i="64"/>
  <c r="O269" i="64"/>
  <c r="M269" i="64"/>
  <c r="J269" i="64"/>
  <c r="O268" i="64"/>
  <c r="M268" i="64"/>
  <c r="J268" i="64"/>
  <c r="O267" i="64"/>
  <c r="M267" i="64"/>
  <c r="J267" i="64"/>
  <c r="O266" i="64"/>
  <c r="M266" i="64"/>
  <c r="J266" i="64"/>
  <c r="O265" i="64"/>
  <c r="M265" i="64"/>
  <c r="J265" i="64"/>
  <c r="O264" i="64"/>
  <c r="M264" i="64"/>
  <c r="J264" i="64"/>
  <c r="O263" i="64"/>
  <c r="M263" i="64"/>
  <c r="J263" i="64"/>
  <c r="O262" i="64"/>
  <c r="M262" i="64"/>
  <c r="J262" i="64"/>
  <c r="O261" i="64"/>
  <c r="M261" i="64"/>
  <c r="J261" i="64"/>
  <c r="O260" i="64"/>
  <c r="M260" i="64"/>
  <c r="J260" i="64"/>
  <c r="O259" i="64"/>
  <c r="M259" i="64"/>
  <c r="J259" i="64"/>
  <c r="O258" i="64"/>
  <c r="M258" i="64"/>
  <c r="J258" i="64"/>
  <c r="O257" i="64"/>
  <c r="M257" i="64"/>
  <c r="J257" i="64"/>
  <c r="O256" i="64"/>
  <c r="M256" i="64"/>
  <c r="J256" i="64"/>
  <c r="O255" i="64"/>
  <c r="M255" i="64"/>
  <c r="J255" i="64"/>
  <c r="O254" i="64"/>
  <c r="M254" i="64"/>
  <c r="J254" i="64"/>
  <c r="O253" i="64"/>
  <c r="M253" i="64"/>
  <c r="J253" i="64"/>
  <c r="O252" i="64"/>
  <c r="M252" i="64"/>
  <c r="J252" i="64"/>
  <c r="O251" i="64"/>
  <c r="M251" i="64"/>
  <c r="J251" i="64"/>
  <c r="O250" i="64"/>
  <c r="M250" i="64"/>
  <c r="J250" i="64"/>
  <c r="O249" i="64"/>
  <c r="M249" i="64"/>
  <c r="J249" i="64"/>
  <c r="O248" i="64"/>
  <c r="M248" i="64"/>
  <c r="J248" i="64"/>
  <c r="O247" i="64"/>
  <c r="M247" i="64"/>
  <c r="J247" i="64"/>
  <c r="O246" i="64"/>
  <c r="M246" i="64"/>
  <c r="J246" i="64"/>
  <c r="O245" i="64"/>
  <c r="M245" i="64"/>
  <c r="J245" i="64"/>
  <c r="O244" i="64"/>
  <c r="M244" i="64"/>
  <c r="J244" i="64"/>
  <c r="O243" i="64"/>
  <c r="M243" i="64"/>
  <c r="J243" i="64"/>
  <c r="O242" i="64"/>
  <c r="M242" i="64"/>
  <c r="J242" i="64"/>
  <c r="O241" i="64"/>
  <c r="M241" i="64"/>
  <c r="J241" i="64"/>
  <c r="O240" i="64"/>
  <c r="M240" i="64"/>
  <c r="J240" i="64"/>
  <c r="O239" i="64"/>
  <c r="M239" i="64"/>
  <c r="J239" i="64"/>
  <c r="O238" i="64"/>
  <c r="M238" i="64"/>
  <c r="J238" i="64"/>
  <c r="O237" i="64"/>
  <c r="M237" i="64"/>
  <c r="J237" i="64"/>
  <c r="O224" i="64"/>
  <c r="M224" i="64"/>
  <c r="J224" i="64"/>
  <c r="O223" i="64"/>
  <c r="M223" i="64"/>
  <c r="J223" i="64"/>
  <c r="O222" i="64"/>
  <c r="M222" i="64"/>
  <c r="J222" i="64"/>
  <c r="O221" i="64"/>
  <c r="M221" i="64"/>
  <c r="J221" i="64"/>
  <c r="O220" i="64"/>
  <c r="M220" i="64"/>
  <c r="J220" i="64"/>
  <c r="O219" i="64"/>
  <c r="M219" i="64"/>
  <c r="J219" i="64"/>
  <c r="O218" i="64"/>
  <c r="M218" i="64"/>
  <c r="J218" i="64"/>
  <c r="O217" i="64"/>
  <c r="M217" i="64"/>
  <c r="J217" i="64"/>
  <c r="O216" i="64"/>
  <c r="M216" i="64"/>
  <c r="J216" i="64"/>
  <c r="O215" i="64"/>
  <c r="M215" i="64"/>
  <c r="J215" i="64"/>
  <c r="O214" i="64"/>
  <c r="M214" i="64"/>
  <c r="J214" i="64"/>
  <c r="O213" i="64"/>
  <c r="M213" i="64"/>
  <c r="J213" i="64"/>
  <c r="O212" i="64"/>
  <c r="M212" i="64"/>
  <c r="J212" i="64"/>
  <c r="O211" i="64"/>
  <c r="M211" i="64"/>
  <c r="J211" i="64"/>
  <c r="O210" i="64"/>
  <c r="M210" i="64"/>
  <c r="J210" i="64"/>
  <c r="O209" i="64"/>
  <c r="M209" i="64"/>
  <c r="J209" i="64"/>
  <c r="O208" i="64"/>
  <c r="M208" i="64"/>
  <c r="J208" i="64"/>
  <c r="O207" i="64"/>
  <c r="M207" i="64"/>
  <c r="J207" i="64"/>
  <c r="O206" i="64"/>
  <c r="M206" i="64"/>
  <c r="J206" i="64"/>
  <c r="O205" i="64"/>
  <c r="M205" i="64"/>
  <c r="J205" i="64"/>
  <c r="O204" i="64"/>
  <c r="M204" i="64"/>
  <c r="J204" i="64"/>
  <c r="O203" i="64"/>
  <c r="M203" i="64"/>
  <c r="J203" i="64"/>
  <c r="O202" i="64"/>
  <c r="M202" i="64"/>
  <c r="J202" i="64"/>
  <c r="O201" i="64"/>
  <c r="M201" i="64"/>
  <c r="J201" i="64"/>
  <c r="O200" i="64"/>
  <c r="M200" i="64"/>
  <c r="J200" i="64"/>
  <c r="O199" i="64"/>
  <c r="M199" i="64"/>
  <c r="J199" i="64"/>
  <c r="O198" i="64"/>
  <c r="M198" i="64"/>
  <c r="J198" i="64"/>
  <c r="O197" i="64"/>
  <c r="M197" i="64"/>
  <c r="J197" i="64"/>
  <c r="O196" i="64"/>
  <c r="M196" i="64"/>
  <c r="J196" i="64"/>
  <c r="O195" i="64"/>
  <c r="M195" i="64"/>
  <c r="J195" i="64"/>
  <c r="O194" i="64"/>
  <c r="M194" i="64"/>
  <c r="J194" i="64"/>
  <c r="O193" i="64"/>
  <c r="M193" i="64"/>
  <c r="J193" i="64"/>
  <c r="O192" i="64"/>
  <c r="M192" i="64"/>
  <c r="J192" i="64"/>
  <c r="O191" i="64"/>
  <c r="M191" i="64"/>
  <c r="J191" i="64"/>
  <c r="O190" i="64"/>
  <c r="M190" i="64"/>
  <c r="J190" i="64"/>
  <c r="O189" i="64"/>
  <c r="M189" i="64"/>
  <c r="J189" i="64"/>
  <c r="O188" i="64"/>
  <c r="M188" i="64"/>
  <c r="J188" i="64"/>
  <c r="O187" i="64"/>
  <c r="M187" i="64"/>
  <c r="J187" i="64"/>
  <c r="O186" i="64"/>
  <c r="M186" i="64"/>
  <c r="J186" i="64"/>
  <c r="O185" i="64"/>
  <c r="M185" i="64"/>
  <c r="J185" i="64"/>
  <c r="O184" i="64"/>
  <c r="M184" i="64"/>
  <c r="J184" i="64"/>
  <c r="O183" i="64"/>
  <c r="M183" i="64"/>
  <c r="J183" i="64"/>
  <c r="O182" i="64"/>
  <c r="M182" i="64"/>
  <c r="J182" i="64"/>
  <c r="O181" i="64"/>
  <c r="M181" i="64"/>
  <c r="J181" i="64"/>
  <c r="O168" i="64"/>
  <c r="M168" i="64"/>
  <c r="J168" i="64"/>
  <c r="O167" i="64"/>
  <c r="M167" i="64"/>
  <c r="J167" i="64"/>
  <c r="O166" i="64"/>
  <c r="M166" i="64"/>
  <c r="J166" i="64"/>
  <c r="O165" i="64"/>
  <c r="M165" i="64"/>
  <c r="J165" i="64"/>
  <c r="O164" i="64"/>
  <c r="M164" i="64"/>
  <c r="J164" i="64"/>
  <c r="O163" i="64"/>
  <c r="M163" i="64"/>
  <c r="J163" i="64"/>
  <c r="O162" i="64"/>
  <c r="M162" i="64"/>
  <c r="J162" i="64"/>
  <c r="O161" i="64"/>
  <c r="M161" i="64"/>
  <c r="J161" i="64"/>
  <c r="O160" i="64"/>
  <c r="M160" i="64"/>
  <c r="J160" i="64"/>
  <c r="O159" i="64"/>
  <c r="M159" i="64"/>
  <c r="J159" i="64"/>
  <c r="O158" i="64"/>
  <c r="M158" i="64"/>
  <c r="J158" i="64"/>
  <c r="O157" i="64"/>
  <c r="M157" i="64"/>
  <c r="J157" i="64"/>
  <c r="O156" i="64"/>
  <c r="M156" i="64"/>
  <c r="J156" i="64"/>
  <c r="O155" i="64"/>
  <c r="M155" i="64"/>
  <c r="J155" i="64"/>
  <c r="O154" i="64"/>
  <c r="M154" i="64"/>
  <c r="J154" i="64"/>
  <c r="O153" i="64"/>
  <c r="M153" i="64"/>
  <c r="J153" i="64"/>
  <c r="O152" i="64"/>
  <c r="M152" i="64"/>
  <c r="J152" i="64"/>
  <c r="O151" i="64"/>
  <c r="M151" i="64"/>
  <c r="J151" i="64"/>
  <c r="O150" i="64"/>
  <c r="M150" i="64"/>
  <c r="J150" i="64"/>
  <c r="O149" i="64"/>
  <c r="M149" i="64"/>
  <c r="J149" i="64"/>
  <c r="O148" i="64"/>
  <c r="M148" i="64"/>
  <c r="J148" i="64"/>
  <c r="O147" i="64"/>
  <c r="M147" i="64"/>
  <c r="J147" i="64"/>
  <c r="O146" i="64"/>
  <c r="M146" i="64"/>
  <c r="J146" i="64"/>
  <c r="O145" i="64"/>
  <c r="M145" i="64"/>
  <c r="J145" i="64"/>
  <c r="O144" i="64"/>
  <c r="M144" i="64"/>
  <c r="J144" i="64"/>
  <c r="O143" i="64"/>
  <c r="M143" i="64"/>
  <c r="J143" i="64"/>
  <c r="O142" i="64"/>
  <c r="M142" i="64"/>
  <c r="J142" i="64"/>
  <c r="O141" i="64"/>
  <c r="M141" i="64"/>
  <c r="J141" i="64"/>
  <c r="O140" i="64"/>
  <c r="M140" i="64"/>
  <c r="J140" i="64"/>
  <c r="O139" i="64"/>
  <c r="M139" i="64"/>
  <c r="J139" i="64"/>
  <c r="O138" i="64"/>
  <c r="M138" i="64"/>
  <c r="J138" i="64"/>
  <c r="O137" i="64"/>
  <c r="M137" i="64"/>
  <c r="J137" i="64"/>
  <c r="O136" i="64"/>
  <c r="M136" i="64"/>
  <c r="J136" i="64"/>
  <c r="O135" i="64"/>
  <c r="M135" i="64"/>
  <c r="J135" i="64"/>
  <c r="O134" i="64"/>
  <c r="M134" i="64"/>
  <c r="J134" i="64"/>
  <c r="O133" i="64"/>
  <c r="M133" i="64"/>
  <c r="J133" i="64"/>
  <c r="O132" i="64"/>
  <c r="M132" i="64"/>
  <c r="J132" i="64"/>
  <c r="O131" i="64"/>
  <c r="M131" i="64"/>
  <c r="J131" i="64"/>
  <c r="O130" i="64"/>
  <c r="M130" i="64"/>
  <c r="J130" i="64"/>
  <c r="O129" i="64"/>
  <c r="M129" i="64"/>
  <c r="J129" i="64"/>
  <c r="O128" i="64"/>
  <c r="M128" i="64"/>
  <c r="J128" i="64"/>
  <c r="O127" i="64"/>
  <c r="M127" i="64"/>
  <c r="J127" i="64"/>
  <c r="O126" i="64"/>
  <c r="M126" i="64"/>
  <c r="J126" i="64"/>
  <c r="O125" i="64"/>
  <c r="M125" i="64"/>
  <c r="J125" i="64"/>
  <c r="O112" i="64"/>
  <c r="M112" i="64"/>
  <c r="J112" i="64"/>
  <c r="O111" i="64"/>
  <c r="M111" i="64"/>
  <c r="J111" i="64"/>
  <c r="O110" i="64"/>
  <c r="M110" i="64"/>
  <c r="J110" i="64"/>
  <c r="O109" i="64"/>
  <c r="M109" i="64"/>
  <c r="J109" i="64"/>
  <c r="O108" i="64"/>
  <c r="M108" i="64"/>
  <c r="J108" i="64"/>
  <c r="O107" i="64"/>
  <c r="M107" i="64"/>
  <c r="J107" i="64"/>
  <c r="O106" i="64"/>
  <c r="M106" i="64"/>
  <c r="J106" i="64"/>
  <c r="O105" i="64"/>
  <c r="M105" i="64"/>
  <c r="J105" i="64"/>
  <c r="O104" i="64"/>
  <c r="M104" i="64"/>
  <c r="J104" i="64"/>
  <c r="O103" i="64"/>
  <c r="M103" i="64"/>
  <c r="J103" i="64"/>
  <c r="O102" i="64"/>
  <c r="M102" i="64"/>
  <c r="J102" i="64"/>
  <c r="O101" i="64"/>
  <c r="M101" i="64"/>
  <c r="J101" i="64"/>
  <c r="O100" i="64"/>
  <c r="M100" i="64"/>
  <c r="J100" i="64"/>
  <c r="O99" i="64"/>
  <c r="M99" i="64"/>
  <c r="J99" i="64"/>
  <c r="O98" i="64"/>
  <c r="M98" i="64"/>
  <c r="J98" i="64"/>
  <c r="O97" i="64"/>
  <c r="M97" i="64"/>
  <c r="J97" i="64"/>
  <c r="O96" i="64"/>
  <c r="M96" i="64"/>
  <c r="J96" i="64"/>
  <c r="O95" i="64"/>
  <c r="M95" i="64"/>
  <c r="J95" i="64"/>
  <c r="O94" i="64"/>
  <c r="M94" i="64"/>
  <c r="J94" i="64"/>
  <c r="O93" i="64"/>
  <c r="M93" i="64"/>
  <c r="J93" i="64"/>
  <c r="O92" i="64"/>
  <c r="M92" i="64"/>
  <c r="J92" i="64"/>
  <c r="O91" i="64"/>
  <c r="M91" i="64"/>
  <c r="J91" i="64"/>
  <c r="O90" i="64"/>
  <c r="M90" i="64"/>
  <c r="J90" i="64"/>
  <c r="O89" i="64"/>
  <c r="M89" i="64"/>
  <c r="J89" i="64"/>
  <c r="O88" i="64"/>
  <c r="M88" i="64"/>
  <c r="J88" i="64"/>
  <c r="O87" i="64"/>
  <c r="M87" i="64"/>
  <c r="J87" i="64"/>
  <c r="O86" i="64"/>
  <c r="M86" i="64"/>
  <c r="J86" i="64"/>
  <c r="O85" i="64"/>
  <c r="M85" i="64"/>
  <c r="J85" i="64"/>
  <c r="O84" i="64"/>
  <c r="M84" i="64"/>
  <c r="J84" i="64"/>
  <c r="O83" i="64"/>
  <c r="M83" i="64"/>
  <c r="J83" i="64"/>
  <c r="O82" i="64"/>
  <c r="M82" i="64"/>
  <c r="J82" i="64"/>
  <c r="O81" i="64"/>
  <c r="M81" i="64"/>
  <c r="J81" i="64"/>
  <c r="O80" i="64"/>
  <c r="M80" i="64"/>
  <c r="J80" i="64"/>
  <c r="O79" i="64"/>
  <c r="M79" i="64"/>
  <c r="J79" i="64"/>
  <c r="O78" i="64"/>
  <c r="M78" i="64"/>
  <c r="J78" i="64"/>
  <c r="O77" i="64"/>
  <c r="M77" i="64"/>
  <c r="J77" i="64"/>
  <c r="O76" i="64"/>
  <c r="M76" i="64"/>
  <c r="J76" i="64"/>
  <c r="O75" i="64"/>
  <c r="M75" i="64"/>
  <c r="J75" i="64"/>
  <c r="O74" i="64"/>
  <c r="M74" i="64"/>
  <c r="J74" i="64"/>
  <c r="O73" i="64"/>
  <c r="M73" i="64"/>
  <c r="J73" i="64"/>
  <c r="O72" i="64"/>
  <c r="M72" i="64"/>
  <c r="J72" i="64"/>
  <c r="O71" i="64"/>
  <c r="M71" i="64"/>
  <c r="J71" i="64"/>
  <c r="O70" i="64"/>
  <c r="M70" i="64"/>
  <c r="J70" i="64"/>
  <c r="O69" i="64"/>
  <c r="M69" i="64"/>
  <c r="J69" i="64"/>
  <c r="O56" i="64"/>
  <c r="M56" i="64"/>
  <c r="J56" i="64"/>
  <c r="O55" i="64"/>
  <c r="M55" i="64"/>
  <c r="J55" i="64"/>
  <c r="O54" i="64"/>
  <c r="M54" i="64"/>
  <c r="J54" i="64"/>
  <c r="O53" i="64"/>
  <c r="M53" i="64"/>
  <c r="J53" i="64"/>
  <c r="O52" i="64"/>
  <c r="M52" i="64"/>
  <c r="J52" i="64"/>
  <c r="O51" i="64"/>
  <c r="M51" i="64"/>
  <c r="J51" i="64"/>
  <c r="O50" i="64"/>
  <c r="M50" i="64"/>
  <c r="J50" i="64"/>
  <c r="O49" i="64"/>
  <c r="M49" i="64"/>
  <c r="J49" i="64"/>
  <c r="O48" i="64"/>
  <c r="M48" i="64"/>
  <c r="J48" i="64"/>
  <c r="O47" i="64"/>
  <c r="M47" i="64"/>
  <c r="J47" i="64"/>
  <c r="O46" i="64"/>
  <c r="M46" i="64"/>
  <c r="J46" i="64"/>
  <c r="O45" i="64"/>
  <c r="M45" i="64"/>
  <c r="J45" i="64"/>
  <c r="O44" i="64"/>
  <c r="M44" i="64"/>
  <c r="J44" i="64"/>
  <c r="O43" i="64"/>
  <c r="M43" i="64"/>
  <c r="J43" i="64"/>
  <c r="O42" i="64"/>
  <c r="M42" i="64"/>
  <c r="J42" i="64"/>
  <c r="O41" i="64"/>
  <c r="M41" i="64"/>
  <c r="J41" i="64"/>
  <c r="O40" i="64"/>
  <c r="M40" i="64"/>
  <c r="J40" i="64"/>
  <c r="O39" i="64"/>
  <c r="M39" i="64"/>
  <c r="J39" i="64"/>
  <c r="O38" i="64"/>
  <c r="M38" i="64"/>
  <c r="J38" i="64"/>
  <c r="O37" i="64"/>
  <c r="M37" i="64"/>
  <c r="J37" i="64"/>
  <c r="O36" i="64"/>
  <c r="M36" i="64"/>
  <c r="J36" i="64"/>
  <c r="O35" i="64"/>
  <c r="M35" i="64"/>
  <c r="J35" i="64"/>
  <c r="O34" i="64"/>
  <c r="M34" i="64"/>
  <c r="J34" i="64"/>
  <c r="O33" i="64"/>
  <c r="M33" i="64"/>
  <c r="J33" i="64"/>
  <c r="O32" i="64"/>
  <c r="M32" i="64"/>
  <c r="J32" i="64"/>
  <c r="O31" i="64"/>
  <c r="M31" i="64"/>
  <c r="J31" i="64"/>
  <c r="O30" i="64"/>
  <c r="M30" i="64"/>
  <c r="J30" i="64"/>
  <c r="O29" i="64"/>
  <c r="M29" i="64"/>
  <c r="J29" i="64"/>
  <c r="O28" i="64"/>
  <c r="M28" i="64"/>
  <c r="J28" i="64"/>
  <c r="O27" i="64"/>
  <c r="M27" i="64"/>
  <c r="J27" i="64"/>
  <c r="O26" i="64"/>
  <c r="M26" i="64"/>
  <c r="J26" i="64"/>
  <c r="O25" i="64"/>
  <c r="M25" i="64"/>
  <c r="J25" i="64"/>
  <c r="O24" i="64"/>
  <c r="M24" i="64"/>
  <c r="J24" i="64"/>
  <c r="O23" i="64"/>
  <c r="M23" i="64"/>
  <c r="J23" i="64"/>
  <c r="O22" i="64"/>
  <c r="M22" i="64"/>
  <c r="J22" i="64"/>
  <c r="O21" i="64"/>
  <c r="M21" i="64"/>
  <c r="J21" i="64"/>
  <c r="O20" i="64"/>
  <c r="M20" i="64"/>
  <c r="J20" i="64"/>
  <c r="O19" i="64"/>
  <c r="M19" i="64"/>
  <c r="J19" i="64"/>
  <c r="O18" i="64"/>
  <c r="M18" i="64"/>
  <c r="J18" i="64"/>
  <c r="O17" i="64"/>
  <c r="M17" i="64"/>
  <c r="J17" i="64"/>
  <c r="O16" i="64"/>
  <c r="M16" i="64"/>
  <c r="J16" i="64"/>
  <c r="O15" i="64"/>
  <c r="M15" i="64"/>
  <c r="J15" i="64"/>
  <c r="O14" i="64"/>
  <c r="M14" i="64"/>
  <c r="J14" i="64"/>
  <c r="A14" i="64"/>
  <c r="A15" i="64" s="1"/>
  <c r="A16" i="64" s="1"/>
  <c r="A17" i="64" s="1"/>
  <c r="A18" i="64" s="1"/>
  <c r="A19" i="64" s="1"/>
  <c r="A20" i="64" s="1"/>
  <c r="A21" i="64" s="1"/>
  <c r="A22" i="64" s="1"/>
  <c r="A23" i="64" s="1"/>
  <c r="A24" i="64" s="1"/>
  <c r="A25" i="64" s="1"/>
  <c r="A26" i="64" s="1"/>
  <c r="A27" i="64" s="1"/>
  <c r="A28" i="64" s="1"/>
  <c r="A29" i="64" s="1"/>
  <c r="A30" i="64" s="1"/>
  <c r="A31" i="64" s="1"/>
  <c r="A32" i="64" s="1"/>
  <c r="A33" i="64" s="1"/>
  <c r="A34" i="64" s="1"/>
  <c r="A35" i="64" s="1"/>
  <c r="A36" i="64" s="1"/>
  <c r="A37" i="64" s="1"/>
  <c r="A38" i="64" s="1"/>
  <c r="A39" i="64" s="1"/>
  <c r="A40" i="64" s="1"/>
  <c r="A41" i="64" s="1"/>
  <c r="A42" i="64" s="1"/>
  <c r="A43" i="64" s="1"/>
  <c r="A44" i="64" s="1"/>
  <c r="A45" i="64" s="1"/>
  <c r="A46" i="64" s="1"/>
  <c r="A47" i="64" s="1"/>
  <c r="A48" i="64" s="1"/>
  <c r="A49" i="64" s="1"/>
  <c r="A50" i="64" s="1"/>
  <c r="A51" i="64" s="1"/>
  <c r="A52" i="64" s="1"/>
  <c r="A53" i="64" s="1"/>
  <c r="A54" i="64" s="1"/>
  <c r="A55" i="64" s="1"/>
  <c r="A56" i="64" s="1"/>
  <c r="A69" i="64" s="1"/>
  <c r="A70" i="64" s="1"/>
  <c r="A71" i="64" s="1"/>
  <c r="A72" i="64" s="1"/>
  <c r="A73" i="64" s="1"/>
  <c r="A74" i="64" s="1"/>
  <c r="A75" i="64" s="1"/>
  <c r="A76" i="64" s="1"/>
  <c r="A77" i="64" s="1"/>
  <c r="A78" i="64" s="1"/>
  <c r="A79" i="64" s="1"/>
  <c r="A80" i="64" s="1"/>
  <c r="A81" i="64" s="1"/>
  <c r="A82" i="64" s="1"/>
  <c r="A83" i="64" s="1"/>
  <c r="A84" i="64" s="1"/>
  <c r="A85" i="64" s="1"/>
  <c r="A86" i="64" s="1"/>
  <c r="A87" i="64" s="1"/>
  <c r="A88" i="64" s="1"/>
  <c r="A89" i="64" s="1"/>
  <c r="A90" i="64" s="1"/>
  <c r="A91" i="64" s="1"/>
  <c r="A92" i="64" s="1"/>
  <c r="A93" i="64" s="1"/>
  <c r="A94" i="64" s="1"/>
  <c r="A95" i="64" s="1"/>
  <c r="A96" i="64" s="1"/>
  <c r="A97" i="64" s="1"/>
  <c r="A98" i="64" s="1"/>
  <c r="A99" i="64" s="1"/>
  <c r="A100" i="64" s="1"/>
  <c r="A101" i="64" s="1"/>
  <c r="A102" i="64" s="1"/>
  <c r="A103" i="64" s="1"/>
  <c r="A104" i="64" s="1"/>
  <c r="A105" i="64" s="1"/>
  <c r="A106" i="64" s="1"/>
  <c r="A107" i="64" s="1"/>
  <c r="A108" i="64" s="1"/>
  <c r="A109" i="64" s="1"/>
  <c r="A110" i="64" s="1"/>
  <c r="A111" i="64" s="1"/>
  <c r="A112" i="64" s="1"/>
  <c r="A125" i="64" s="1"/>
  <c r="A126" i="64" s="1"/>
  <c r="A127" i="64" s="1"/>
  <c r="A128" i="64" s="1"/>
  <c r="A129" i="64" s="1"/>
  <c r="A130" i="64" s="1"/>
  <c r="A131" i="64" s="1"/>
  <c r="A132" i="64" s="1"/>
  <c r="A133" i="64" s="1"/>
  <c r="A134" i="64" s="1"/>
  <c r="A135" i="64" s="1"/>
  <c r="A136" i="64" s="1"/>
  <c r="A137" i="64" s="1"/>
  <c r="A138" i="64" s="1"/>
  <c r="A139" i="64" s="1"/>
  <c r="A140" i="64" s="1"/>
  <c r="A141" i="64" s="1"/>
  <c r="A142" i="64" s="1"/>
  <c r="A143" i="64" s="1"/>
  <c r="A144" i="64" s="1"/>
  <c r="A145" i="64" s="1"/>
  <c r="A146" i="64" s="1"/>
  <c r="A147" i="64" s="1"/>
  <c r="A148" i="64" s="1"/>
  <c r="A149" i="64" s="1"/>
  <c r="A150" i="64" s="1"/>
  <c r="A151" i="64" s="1"/>
  <c r="A152" i="64" s="1"/>
  <c r="A153" i="64" s="1"/>
  <c r="A154" i="64" s="1"/>
  <c r="A155" i="64" s="1"/>
  <c r="A156" i="64" s="1"/>
  <c r="A157" i="64" s="1"/>
  <c r="A158" i="64" s="1"/>
  <c r="A159" i="64" s="1"/>
  <c r="A160" i="64" s="1"/>
  <c r="A161" i="64" s="1"/>
  <c r="A162" i="64" s="1"/>
  <c r="A163" i="64" s="1"/>
  <c r="A164" i="64" s="1"/>
  <c r="A165" i="64" s="1"/>
  <c r="A166" i="64" s="1"/>
  <c r="A167" i="64" s="1"/>
  <c r="A168" i="64" s="1"/>
  <c r="A181" i="64" s="1"/>
  <c r="A182" i="64" s="1"/>
  <c r="A183" i="64" s="1"/>
  <c r="A184" i="64" s="1"/>
  <c r="A185" i="64" s="1"/>
  <c r="A186" i="64" s="1"/>
  <c r="A187" i="64" s="1"/>
  <c r="A188" i="64" s="1"/>
  <c r="A189" i="64" s="1"/>
  <c r="A190" i="64" s="1"/>
  <c r="A191" i="64" s="1"/>
  <c r="A192" i="64" s="1"/>
  <c r="A193" i="64" s="1"/>
  <c r="A194" i="64" s="1"/>
  <c r="A195" i="64" s="1"/>
  <c r="A196" i="64" s="1"/>
  <c r="A197" i="64" s="1"/>
  <c r="A198" i="64" s="1"/>
  <c r="A199" i="64" s="1"/>
  <c r="A200" i="64" s="1"/>
  <c r="A201" i="64" s="1"/>
  <c r="A202" i="64" s="1"/>
  <c r="A203" i="64" s="1"/>
  <c r="A204" i="64" s="1"/>
  <c r="A205" i="64" s="1"/>
  <c r="A206" i="64" s="1"/>
  <c r="A207" i="64" s="1"/>
  <c r="A208" i="64" s="1"/>
  <c r="A209" i="64" s="1"/>
  <c r="A210" i="64" s="1"/>
  <c r="A211" i="64" s="1"/>
  <c r="A212" i="64" s="1"/>
  <c r="A213" i="64" s="1"/>
  <c r="A214" i="64" s="1"/>
  <c r="A215" i="64" s="1"/>
  <c r="A216" i="64" s="1"/>
  <c r="A217" i="64" s="1"/>
  <c r="A218" i="64" s="1"/>
  <c r="A219" i="64" s="1"/>
  <c r="A220" i="64" s="1"/>
  <c r="A221" i="64" s="1"/>
  <c r="A222" i="64" s="1"/>
  <c r="A223" i="64" s="1"/>
  <c r="A224" i="64" s="1"/>
  <c r="A237" i="64" s="1"/>
  <c r="A238" i="64" s="1"/>
  <c r="A239" i="64" s="1"/>
  <c r="A240" i="64" s="1"/>
  <c r="A241" i="64" s="1"/>
  <c r="A242" i="64" s="1"/>
  <c r="A243" i="64" s="1"/>
  <c r="A244" i="64" s="1"/>
  <c r="A245" i="64" s="1"/>
  <c r="A246" i="64" s="1"/>
  <c r="A247" i="64" s="1"/>
  <c r="A248" i="64" s="1"/>
  <c r="A249" i="64" s="1"/>
  <c r="A250" i="64" s="1"/>
  <c r="A251" i="64" s="1"/>
  <c r="A252" i="64" s="1"/>
  <c r="A253" i="64" s="1"/>
  <c r="A254" i="64" s="1"/>
  <c r="A255" i="64" s="1"/>
  <c r="A256" i="64" s="1"/>
  <c r="A257" i="64" s="1"/>
  <c r="A258" i="64" s="1"/>
  <c r="A259" i="64" s="1"/>
  <c r="A260" i="64" s="1"/>
  <c r="A261" i="64" s="1"/>
  <c r="A262" i="64" s="1"/>
  <c r="A263" i="64" s="1"/>
  <c r="A264" i="64" s="1"/>
  <c r="A265" i="64" s="1"/>
  <c r="A266" i="64" s="1"/>
  <c r="A267" i="64" s="1"/>
  <c r="A268" i="64" s="1"/>
  <c r="A269" i="64" s="1"/>
  <c r="A270" i="64" s="1"/>
  <c r="A271" i="64" s="1"/>
  <c r="A272" i="64" s="1"/>
  <c r="A273" i="64" s="1"/>
  <c r="A274" i="64" s="1"/>
  <c r="O13" i="64"/>
  <c r="M13" i="64"/>
  <c r="J13" i="64"/>
  <c r="A176" i="63"/>
  <c r="A174" i="63"/>
  <c r="A120" i="63"/>
  <c r="A118" i="63"/>
  <c r="A64" i="63"/>
  <c r="A62" i="63"/>
  <c r="A7" i="63"/>
  <c r="A63" i="63" s="1"/>
  <c r="A4" i="63"/>
  <c r="A60" i="63" s="1"/>
  <c r="A2" i="63"/>
  <c r="A114" i="63" s="1"/>
  <c r="A1" i="63"/>
  <c r="A57" i="63" s="1"/>
  <c r="O201" i="63"/>
  <c r="M201" i="63"/>
  <c r="J201" i="63"/>
  <c r="O198" i="63"/>
  <c r="M198" i="63"/>
  <c r="J198" i="63"/>
  <c r="O197" i="63"/>
  <c r="M197" i="63"/>
  <c r="J197" i="63"/>
  <c r="O196" i="63"/>
  <c r="M196" i="63"/>
  <c r="J196" i="63"/>
  <c r="O195" i="63"/>
  <c r="M195" i="63"/>
  <c r="J195" i="63"/>
  <c r="O194" i="63"/>
  <c r="M194" i="63"/>
  <c r="J194" i="63"/>
  <c r="O193" i="63"/>
  <c r="M193" i="63"/>
  <c r="J193" i="63"/>
  <c r="O192" i="63"/>
  <c r="M192" i="63"/>
  <c r="J192" i="63"/>
  <c r="O191" i="63"/>
  <c r="M191" i="63"/>
  <c r="J191" i="63"/>
  <c r="O190" i="63"/>
  <c r="M190" i="63"/>
  <c r="J190" i="63"/>
  <c r="O189" i="63"/>
  <c r="M189" i="63"/>
  <c r="J189" i="63"/>
  <c r="O188" i="63"/>
  <c r="M188" i="63"/>
  <c r="J188" i="63"/>
  <c r="O187" i="63"/>
  <c r="M187" i="63"/>
  <c r="J187" i="63"/>
  <c r="O186" i="63"/>
  <c r="M186" i="63"/>
  <c r="J186" i="63"/>
  <c r="O185" i="63"/>
  <c r="M185" i="63"/>
  <c r="J185" i="63"/>
  <c r="O184" i="63"/>
  <c r="M184" i="63"/>
  <c r="J184" i="63"/>
  <c r="O183" i="63"/>
  <c r="M183" i="63"/>
  <c r="J183" i="63"/>
  <c r="O182" i="63"/>
  <c r="M182" i="63"/>
  <c r="J182" i="63"/>
  <c r="O181" i="63"/>
  <c r="M181" i="63"/>
  <c r="J181" i="63"/>
  <c r="O168" i="63"/>
  <c r="M168" i="63"/>
  <c r="J168" i="63"/>
  <c r="O167" i="63"/>
  <c r="M167" i="63"/>
  <c r="J167" i="63"/>
  <c r="O166" i="63"/>
  <c r="M166" i="63"/>
  <c r="J166" i="63"/>
  <c r="O165" i="63"/>
  <c r="M165" i="63"/>
  <c r="J165" i="63"/>
  <c r="O164" i="63"/>
  <c r="M164" i="63"/>
  <c r="J164" i="63"/>
  <c r="O163" i="63"/>
  <c r="M163" i="63"/>
  <c r="J163" i="63"/>
  <c r="O162" i="63"/>
  <c r="M162" i="63"/>
  <c r="J162" i="63"/>
  <c r="O161" i="63"/>
  <c r="M161" i="63"/>
  <c r="J161" i="63"/>
  <c r="O160" i="63"/>
  <c r="M160" i="63"/>
  <c r="J160" i="63"/>
  <c r="O159" i="63"/>
  <c r="M159" i="63"/>
  <c r="J159" i="63"/>
  <c r="O158" i="63"/>
  <c r="M158" i="63"/>
  <c r="J158" i="63"/>
  <c r="O157" i="63"/>
  <c r="M157" i="63"/>
  <c r="J157" i="63"/>
  <c r="O156" i="63"/>
  <c r="M156" i="63"/>
  <c r="J156" i="63"/>
  <c r="O155" i="63"/>
  <c r="M155" i="63"/>
  <c r="J155" i="63"/>
  <c r="O154" i="63"/>
  <c r="M154" i="63"/>
  <c r="J154" i="63"/>
  <c r="O153" i="63"/>
  <c r="M153" i="63"/>
  <c r="J153" i="63"/>
  <c r="O152" i="63"/>
  <c r="M152" i="63"/>
  <c r="J152" i="63"/>
  <c r="O151" i="63"/>
  <c r="M151" i="63"/>
  <c r="J151" i="63"/>
  <c r="O150" i="63"/>
  <c r="M150" i="63"/>
  <c r="J150" i="63"/>
  <c r="O149" i="63"/>
  <c r="M149" i="63"/>
  <c r="J149" i="63"/>
  <c r="O148" i="63"/>
  <c r="M148" i="63"/>
  <c r="J148" i="63"/>
  <c r="O147" i="63"/>
  <c r="M147" i="63"/>
  <c r="J147" i="63"/>
  <c r="O146" i="63"/>
  <c r="M146" i="63"/>
  <c r="J146" i="63"/>
  <c r="O145" i="63"/>
  <c r="M145" i="63"/>
  <c r="J145" i="63"/>
  <c r="O144" i="63"/>
  <c r="M144" i="63"/>
  <c r="J144" i="63"/>
  <c r="O143" i="63"/>
  <c r="M143" i="63"/>
  <c r="J143" i="63"/>
  <c r="O142" i="63"/>
  <c r="M142" i="63"/>
  <c r="J142" i="63"/>
  <c r="O141" i="63"/>
  <c r="M141" i="63"/>
  <c r="J141" i="63"/>
  <c r="O140" i="63"/>
  <c r="M140" i="63"/>
  <c r="J140" i="63"/>
  <c r="O139" i="63"/>
  <c r="M139" i="63"/>
  <c r="J139" i="63"/>
  <c r="O138" i="63"/>
  <c r="M138" i="63"/>
  <c r="J138" i="63"/>
  <c r="O137" i="63"/>
  <c r="M137" i="63"/>
  <c r="J137" i="63"/>
  <c r="O136" i="63"/>
  <c r="M136" i="63"/>
  <c r="J136" i="63"/>
  <c r="O135" i="63"/>
  <c r="M135" i="63"/>
  <c r="J135" i="63"/>
  <c r="O134" i="63"/>
  <c r="M134" i="63"/>
  <c r="J134" i="63"/>
  <c r="O133" i="63"/>
  <c r="M133" i="63"/>
  <c r="J133" i="63"/>
  <c r="O132" i="63"/>
  <c r="M132" i="63"/>
  <c r="J132" i="63"/>
  <c r="O131" i="63"/>
  <c r="M131" i="63"/>
  <c r="J131" i="63"/>
  <c r="O130" i="63"/>
  <c r="M130" i="63"/>
  <c r="J130" i="63"/>
  <c r="O129" i="63"/>
  <c r="M129" i="63"/>
  <c r="J129" i="63"/>
  <c r="O128" i="63"/>
  <c r="M128" i="63"/>
  <c r="J128" i="63"/>
  <c r="O127" i="63"/>
  <c r="M127" i="63"/>
  <c r="J127" i="63"/>
  <c r="O126" i="63"/>
  <c r="M126" i="63"/>
  <c r="J126" i="63"/>
  <c r="O125" i="63"/>
  <c r="M125" i="63"/>
  <c r="J125" i="63"/>
  <c r="O112" i="63"/>
  <c r="M112" i="63"/>
  <c r="J112" i="63"/>
  <c r="O111" i="63"/>
  <c r="M111" i="63"/>
  <c r="J111" i="63"/>
  <c r="O110" i="63"/>
  <c r="M110" i="63"/>
  <c r="J110" i="63"/>
  <c r="O109" i="63"/>
  <c r="M109" i="63"/>
  <c r="J109" i="63"/>
  <c r="O108" i="63"/>
  <c r="M108" i="63"/>
  <c r="J108" i="63"/>
  <c r="O107" i="63"/>
  <c r="M107" i="63"/>
  <c r="J107" i="63"/>
  <c r="O106" i="63"/>
  <c r="M106" i="63"/>
  <c r="J106" i="63"/>
  <c r="O105" i="63"/>
  <c r="M105" i="63"/>
  <c r="J105" i="63"/>
  <c r="O104" i="63"/>
  <c r="M104" i="63"/>
  <c r="J104" i="63"/>
  <c r="O103" i="63"/>
  <c r="M103" i="63"/>
  <c r="J103" i="63"/>
  <c r="O102" i="63"/>
  <c r="M102" i="63"/>
  <c r="J102" i="63"/>
  <c r="O101" i="63"/>
  <c r="M101" i="63"/>
  <c r="J101" i="63"/>
  <c r="O100" i="63"/>
  <c r="M100" i="63"/>
  <c r="J100" i="63"/>
  <c r="O99" i="63"/>
  <c r="M99" i="63"/>
  <c r="J99" i="63"/>
  <c r="O98" i="63"/>
  <c r="M98" i="63"/>
  <c r="J98" i="63"/>
  <c r="O97" i="63"/>
  <c r="M97" i="63"/>
  <c r="J97" i="63"/>
  <c r="O96" i="63"/>
  <c r="M96" i="63"/>
  <c r="J96" i="63"/>
  <c r="O95" i="63"/>
  <c r="M95" i="63"/>
  <c r="J95" i="63"/>
  <c r="O94" i="63"/>
  <c r="M94" i="63"/>
  <c r="J94" i="63"/>
  <c r="O93" i="63"/>
  <c r="M93" i="63"/>
  <c r="J93" i="63"/>
  <c r="O92" i="63"/>
  <c r="M92" i="63"/>
  <c r="J92" i="63"/>
  <c r="O91" i="63"/>
  <c r="M91" i="63"/>
  <c r="J91" i="63"/>
  <c r="O90" i="63"/>
  <c r="M90" i="63"/>
  <c r="J90" i="63"/>
  <c r="O89" i="63"/>
  <c r="M89" i="63"/>
  <c r="J89" i="63"/>
  <c r="O88" i="63"/>
  <c r="M88" i="63"/>
  <c r="J88" i="63"/>
  <c r="O87" i="63"/>
  <c r="M87" i="63"/>
  <c r="J87" i="63"/>
  <c r="O86" i="63"/>
  <c r="M86" i="63"/>
  <c r="J86" i="63"/>
  <c r="O85" i="63"/>
  <c r="M85" i="63"/>
  <c r="J85" i="63"/>
  <c r="O84" i="63"/>
  <c r="M84" i="63"/>
  <c r="J84" i="63"/>
  <c r="O83" i="63"/>
  <c r="M83" i="63"/>
  <c r="J83" i="63"/>
  <c r="O82" i="63"/>
  <c r="M82" i="63"/>
  <c r="J82" i="63"/>
  <c r="O81" i="63"/>
  <c r="M81" i="63"/>
  <c r="J81" i="63"/>
  <c r="O80" i="63"/>
  <c r="M80" i="63"/>
  <c r="J80" i="63"/>
  <c r="O79" i="63"/>
  <c r="M79" i="63"/>
  <c r="J79" i="63"/>
  <c r="O78" i="63"/>
  <c r="M78" i="63"/>
  <c r="J78" i="63"/>
  <c r="O77" i="63"/>
  <c r="M77" i="63"/>
  <c r="J77" i="63"/>
  <c r="O76" i="63"/>
  <c r="M76" i="63"/>
  <c r="J76" i="63"/>
  <c r="O75" i="63"/>
  <c r="M75" i="63"/>
  <c r="J75" i="63"/>
  <c r="O74" i="63"/>
  <c r="M74" i="63"/>
  <c r="J74" i="63"/>
  <c r="O73" i="63"/>
  <c r="M73" i="63"/>
  <c r="J73" i="63"/>
  <c r="O72" i="63"/>
  <c r="M72" i="63"/>
  <c r="J72" i="63"/>
  <c r="O71" i="63"/>
  <c r="M71" i="63"/>
  <c r="J71" i="63"/>
  <c r="O70" i="63"/>
  <c r="M70" i="63"/>
  <c r="J70" i="63"/>
  <c r="O69" i="63"/>
  <c r="M69" i="63"/>
  <c r="J69" i="63"/>
  <c r="O56" i="63"/>
  <c r="M56" i="63"/>
  <c r="J56" i="63"/>
  <c r="O55" i="63"/>
  <c r="M55" i="63"/>
  <c r="J55" i="63"/>
  <c r="O54" i="63"/>
  <c r="M54" i="63"/>
  <c r="J54" i="63"/>
  <c r="O53" i="63"/>
  <c r="M53" i="63"/>
  <c r="J53" i="63"/>
  <c r="O52" i="63"/>
  <c r="M52" i="63"/>
  <c r="J52" i="63"/>
  <c r="O51" i="63"/>
  <c r="M51" i="63"/>
  <c r="J51" i="63"/>
  <c r="O50" i="63"/>
  <c r="M50" i="63"/>
  <c r="J50" i="63"/>
  <c r="O49" i="63"/>
  <c r="M49" i="63"/>
  <c r="J49" i="63"/>
  <c r="O48" i="63"/>
  <c r="M48" i="63"/>
  <c r="J48" i="63"/>
  <c r="O47" i="63"/>
  <c r="M47" i="63"/>
  <c r="J47" i="63"/>
  <c r="O46" i="63"/>
  <c r="M46" i="63"/>
  <c r="J46" i="63"/>
  <c r="O45" i="63"/>
  <c r="M45" i="63"/>
  <c r="J45" i="63"/>
  <c r="O44" i="63"/>
  <c r="M44" i="63"/>
  <c r="J44" i="63"/>
  <c r="O43" i="63"/>
  <c r="M43" i="63"/>
  <c r="J43" i="63"/>
  <c r="O42" i="63"/>
  <c r="M42" i="63"/>
  <c r="J42" i="63"/>
  <c r="O41" i="63"/>
  <c r="M41" i="63"/>
  <c r="J41" i="63"/>
  <c r="O40" i="63"/>
  <c r="M40" i="63"/>
  <c r="J40" i="63"/>
  <c r="O39" i="63"/>
  <c r="M39" i="63"/>
  <c r="J39" i="63"/>
  <c r="O38" i="63"/>
  <c r="M38" i="63"/>
  <c r="J38" i="63"/>
  <c r="O37" i="63"/>
  <c r="M37" i="63"/>
  <c r="J37" i="63"/>
  <c r="O36" i="63"/>
  <c r="M36" i="63"/>
  <c r="J36" i="63"/>
  <c r="O35" i="63"/>
  <c r="M35" i="63"/>
  <c r="J35" i="63"/>
  <c r="O34" i="63"/>
  <c r="M34" i="63"/>
  <c r="J34" i="63"/>
  <c r="O33" i="63"/>
  <c r="M33" i="63"/>
  <c r="J33" i="63"/>
  <c r="O32" i="63"/>
  <c r="M32" i="63"/>
  <c r="J32" i="63"/>
  <c r="O31" i="63"/>
  <c r="M31" i="63"/>
  <c r="J31" i="63"/>
  <c r="O30" i="63"/>
  <c r="M30" i="63"/>
  <c r="J30" i="63"/>
  <c r="O29" i="63"/>
  <c r="M29" i="63"/>
  <c r="J29" i="63"/>
  <c r="O28" i="63"/>
  <c r="M28" i="63"/>
  <c r="J28" i="63"/>
  <c r="O27" i="63"/>
  <c r="M27" i="63"/>
  <c r="J27" i="63"/>
  <c r="O26" i="63"/>
  <c r="M26" i="63"/>
  <c r="J26" i="63"/>
  <c r="O25" i="63"/>
  <c r="M25" i="63"/>
  <c r="J25" i="63"/>
  <c r="O24" i="63"/>
  <c r="M24" i="63"/>
  <c r="J24" i="63"/>
  <c r="O23" i="63"/>
  <c r="M23" i="63"/>
  <c r="J23" i="63"/>
  <c r="O22" i="63"/>
  <c r="M22" i="63"/>
  <c r="J22" i="63"/>
  <c r="O21" i="63"/>
  <c r="M21" i="63"/>
  <c r="J21" i="63"/>
  <c r="O20" i="63"/>
  <c r="M20" i="63"/>
  <c r="J20" i="63"/>
  <c r="O19" i="63"/>
  <c r="M19" i="63"/>
  <c r="J19" i="63"/>
  <c r="O18" i="63"/>
  <c r="M18" i="63"/>
  <c r="J18" i="63"/>
  <c r="O17" i="63"/>
  <c r="M17" i="63"/>
  <c r="J17" i="63"/>
  <c r="O16" i="63"/>
  <c r="M16" i="63"/>
  <c r="J16" i="63"/>
  <c r="O15" i="63"/>
  <c r="M15" i="63"/>
  <c r="J15" i="63"/>
  <c r="O14" i="63"/>
  <c r="M14" i="63"/>
  <c r="J14" i="63"/>
  <c r="A14" i="63"/>
  <c r="A15" i="63" s="1"/>
  <c r="A16" i="63" s="1"/>
  <c r="A17" i="63" s="1"/>
  <c r="A18" i="63" s="1"/>
  <c r="A19" i="63" s="1"/>
  <c r="A20" i="63" s="1"/>
  <c r="A21" i="63" s="1"/>
  <c r="A22" i="63" s="1"/>
  <c r="A23" i="63" s="1"/>
  <c r="A24" i="63" s="1"/>
  <c r="A25" i="63" s="1"/>
  <c r="A26" i="63" s="1"/>
  <c r="A27" i="63" s="1"/>
  <c r="A28" i="63" s="1"/>
  <c r="A29" i="63" s="1"/>
  <c r="A30" i="63" s="1"/>
  <c r="A31" i="63" s="1"/>
  <c r="A32" i="63" s="1"/>
  <c r="A33" i="63" s="1"/>
  <c r="A34" i="63" s="1"/>
  <c r="A35" i="63" s="1"/>
  <c r="A36" i="63" s="1"/>
  <c r="A37" i="63" s="1"/>
  <c r="A38" i="63" s="1"/>
  <c r="A39" i="63" s="1"/>
  <c r="A40" i="63" s="1"/>
  <c r="A41" i="63" s="1"/>
  <c r="A42" i="63" s="1"/>
  <c r="A43" i="63" s="1"/>
  <c r="A44" i="63" s="1"/>
  <c r="A45" i="63" s="1"/>
  <c r="A46" i="63" s="1"/>
  <c r="A47" i="63" s="1"/>
  <c r="A48" i="63" s="1"/>
  <c r="A49" i="63" s="1"/>
  <c r="A50" i="63" s="1"/>
  <c r="A51" i="63" s="1"/>
  <c r="A52" i="63" s="1"/>
  <c r="A53" i="63" s="1"/>
  <c r="A54" i="63" s="1"/>
  <c r="A55" i="63" s="1"/>
  <c r="A56" i="63" s="1"/>
  <c r="A69" i="63" s="1"/>
  <c r="A70" i="63" s="1"/>
  <c r="A71" i="63" s="1"/>
  <c r="A72" i="63" s="1"/>
  <c r="A73" i="63" s="1"/>
  <c r="A74" i="63" s="1"/>
  <c r="A75" i="63" s="1"/>
  <c r="A76" i="63" s="1"/>
  <c r="A77" i="63" s="1"/>
  <c r="A78" i="63" s="1"/>
  <c r="A79" i="63" s="1"/>
  <c r="A80" i="63" s="1"/>
  <c r="A81" i="63" s="1"/>
  <c r="A82" i="63" s="1"/>
  <c r="A83" i="63" s="1"/>
  <c r="A84" i="63" s="1"/>
  <c r="A85" i="63" s="1"/>
  <c r="A86" i="63" s="1"/>
  <c r="A87" i="63" s="1"/>
  <c r="A88" i="63" s="1"/>
  <c r="A89" i="63" s="1"/>
  <c r="A90" i="63" s="1"/>
  <c r="A91" i="63" s="1"/>
  <c r="A92" i="63" s="1"/>
  <c r="A93" i="63" s="1"/>
  <c r="A94" i="63" s="1"/>
  <c r="A95" i="63" s="1"/>
  <c r="A96" i="63" s="1"/>
  <c r="A97" i="63" s="1"/>
  <c r="A98" i="63" s="1"/>
  <c r="A99" i="63" s="1"/>
  <c r="A100" i="63" s="1"/>
  <c r="A101" i="63" s="1"/>
  <c r="A102" i="63" s="1"/>
  <c r="A103" i="63" s="1"/>
  <c r="A104" i="63" s="1"/>
  <c r="A105" i="63" s="1"/>
  <c r="A106" i="63" s="1"/>
  <c r="A107" i="63" s="1"/>
  <c r="A108" i="63" s="1"/>
  <c r="A109" i="63" s="1"/>
  <c r="A110" i="63" s="1"/>
  <c r="A111" i="63" s="1"/>
  <c r="A112" i="63" s="1"/>
  <c r="A125" i="63" s="1"/>
  <c r="A126" i="63" s="1"/>
  <c r="A127" i="63" s="1"/>
  <c r="A128" i="63" s="1"/>
  <c r="A129" i="63" s="1"/>
  <c r="A130" i="63" s="1"/>
  <c r="A131" i="63" s="1"/>
  <c r="A132" i="63" s="1"/>
  <c r="A133" i="63" s="1"/>
  <c r="A134" i="63" s="1"/>
  <c r="A135" i="63" s="1"/>
  <c r="A136" i="63" s="1"/>
  <c r="A137" i="63" s="1"/>
  <c r="A138" i="63" s="1"/>
  <c r="A139" i="63" s="1"/>
  <c r="A140" i="63" s="1"/>
  <c r="A141" i="63" s="1"/>
  <c r="A142" i="63" s="1"/>
  <c r="A143" i="63" s="1"/>
  <c r="A144" i="63" s="1"/>
  <c r="A145" i="63" s="1"/>
  <c r="A146" i="63" s="1"/>
  <c r="A147" i="63" s="1"/>
  <c r="A148" i="63" s="1"/>
  <c r="A149" i="63" s="1"/>
  <c r="A150" i="63" s="1"/>
  <c r="A151" i="63" s="1"/>
  <c r="A152" i="63" s="1"/>
  <c r="A153" i="63" s="1"/>
  <c r="A154" i="63" s="1"/>
  <c r="A155" i="63" s="1"/>
  <c r="A156" i="63" s="1"/>
  <c r="A157" i="63" s="1"/>
  <c r="A158" i="63" s="1"/>
  <c r="A159" i="63" s="1"/>
  <c r="A160" i="63" s="1"/>
  <c r="A161" i="63" s="1"/>
  <c r="A162" i="63" s="1"/>
  <c r="A163" i="63" s="1"/>
  <c r="A164" i="63" s="1"/>
  <c r="A165" i="63" s="1"/>
  <c r="A166" i="63" s="1"/>
  <c r="A167" i="63" s="1"/>
  <c r="A168" i="63" s="1"/>
  <c r="A181" i="63" s="1"/>
  <c r="A182" i="63" s="1"/>
  <c r="A183" i="63" s="1"/>
  <c r="A184" i="63" s="1"/>
  <c r="A185" i="63" s="1"/>
  <c r="A186" i="63" s="1"/>
  <c r="A187" i="63" s="1"/>
  <c r="A188" i="63" s="1"/>
  <c r="A189" i="63" s="1"/>
  <c r="A190" i="63" s="1"/>
  <c r="A191" i="63" s="1"/>
  <c r="A192" i="63" s="1"/>
  <c r="A193" i="63" s="1"/>
  <c r="A194" i="63" s="1"/>
  <c r="A195" i="63" s="1"/>
  <c r="A196" i="63" s="1"/>
  <c r="A197" i="63" s="1"/>
  <c r="O13" i="63"/>
  <c r="M13" i="63"/>
  <c r="J13" i="63"/>
  <c r="A198" i="63" l="1"/>
  <c r="A199" i="63" s="1"/>
  <c r="A200" i="63" s="1"/>
  <c r="A201" i="63" s="1"/>
  <c r="P43" i="64"/>
  <c r="F43" i="64" s="1"/>
  <c r="P47" i="64"/>
  <c r="F47" i="64" s="1"/>
  <c r="P51" i="64"/>
  <c r="F51" i="64" s="1"/>
  <c r="P71" i="64"/>
  <c r="F71" i="64" s="1"/>
  <c r="P75" i="64"/>
  <c r="F75" i="64" s="1"/>
  <c r="P79" i="64"/>
  <c r="F79" i="64" s="1"/>
  <c r="P83" i="64"/>
  <c r="F83" i="64" s="1"/>
  <c r="P87" i="64"/>
  <c r="F87" i="64" s="1"/>
  <c r="P91" i="64"/>
  <c r="F91" i="64" s="1"/>
  <c r="P103" i="64"/>
  <c r="F103" i="64" s="1"/>
  <c r="P195" i="64"/>
  <c r="F195" i="64" s="1"/>
  <c r="P203" i="64"/>
  <c r="F203" i="64" s="1"/>
  <c r="P211" i="64"/>
  <c r="F211" i="64" s="1"/>
  <c r="P107" i="64"/>
  <c r="F107" i="64" s="1"/>
  <c r="P183" i="63"/>
  <c r="F183" i="63" s="1"/>
  <c r="P25" i="63"/>
  <c r="F25" i="63" s="1"/>
  <c r="P33" i="63"/>
  <c r="F33" i="63" s="1"/>
  <c r="P49" i="63"/>
  <c r="F49" i="63" s="1"/>
  <c r="P81" i="63"/>
  <c r="P85" i="63"/>
  <c r="P89" i="63"/>
  <c r="P93" i="63"/>
  <c r="P97" i="63"/>
  <c r="P109" i="63"/>
  <c r="P125" i="63"/>
  <c r="F125" i="63" s="1"/>
  <c r="P194" i="63"/>
  <c r="F194" i="63" s="1"/>
  <c r="P198" i="63"/>
  <c r="F198" i="63" s="1"/>
  <c r="P132" i="63"/>
  <c r="F132" i="63" s="1"/>
  <c r="P135" i="63"/>
  <c r="F135" i="63" s="1"/>
  <c r="P139" i="63"/>
  <c r="F139" i="63" s="1"/>
  <c r="P143" i="63"/>
  <c r="F143" i="63" s="1"/>
  <c r="P147" i="63"/>
  <c r="F147" i="63" s="1"/>
  <c r="P167" i="63"/>
  <c r="F167" i="63" s="1"/>
  <c r="P134" i="63"/>
  <c r="F134" i="63" s="1"/>
  <c r="P138" i="63"/>
  <c r="F138" i="63" s="1"/>
  <c r="P129" i="63"/>
  <c r="F129" i="63" s="1"/>
  <c r="E20" i="26"/>
  <c r="P13" i="64"/>
  <c r="F13" i="64" s="1"/>
  <c r="P18" i="64"/>
  <c r="F18" i="64" s="1"/>
  <c r="P22" i="64"/>
  <c r="F22" i="64" s="1"/>
  <c r="P125" i="64"/>
  <c r="F125" i="64" s="1"/>
  <c r="P152" i="64"/>
  <c r="F152" i="64" s="1"/>
  <c r="P201" i="64"/>
  <c r="F201" i="64" s="1"/>
  <c r="P209" i="64"/>
  <c r="F209" i="64" s="1"/>
  <c r="P103" i="63"/>
  <c r="P112" i="63"/>
  <c r="P153" i="63"/>
  <c r="F153" i="63" s="1"/>
  <c r="P157" i="63"/>
  <c r="F157" i="63" s="1"/>
  <c r="P161" i="63"/>
  <c r="F161" i="63" s="1"/>
  <c r="P41" i="64"/>
  <c r="F41" i="64" s="1"/>
  <c r="P69" i="64"/>
  <c r="F69" i="64" s="1"/>
  <c r="P77" i="64"/>
  <c r="F77" i="64" s="1"/>
  <c r="P156" i="64"/>
  <c r="F156" i="64" s="1"/>
  <c r="P168" i="64"/>
  <c r="F168" i="64" s="1"/>
  <c r="P15" i="64"/>
  <c r="F15" i="64" s="1"/>
  <c r="P111" i="64"/>
  <c r="F111" i="64" s="1"/>
  <c r="P128" i="63"/>
  <c r="F128" i="63" s="1"/>
  <c r="P185" i="63"/>
  <c r="F185" i="63" s="1"/>
  <c r="P189" i="63"/>
  <c r="F189" i="63" s="1"/>
  <c r="P164" i="63"/>
  <c r="F164" i="63" s="1"/>
  <c r="P184" i="63"/>
  <c r="F184" i="63" s="1"/>
  <c r="P188" i="63"/>
  <c r="F188" i="63" s="1"/>
  <c r="P192" i="63"/>
  <c r="F192" i="63" s="1"/>
  <c r="P214" i="64"/>
  <c r="F214" i="64" s="1"/>
  <c r="P222" i="64"/>
  <c r="F222" i="64" s="1"/>
  <c r="P242" i="64"/>
  <c r="F242" i="64" s="1"/>
  <c r="P250" i="64"/>
  <c r="F250" i="64" s="1"/>
  <c r="A172" i="63"/>
  <c r="P148" i="63"/>
  <c r="F148" i="63" s="1"/>
  <c r="P156" i="63"/>
  <c r="F156" i="63" s="1"/>
  <c r="P160" i="63"/>
  <c r="F160" i="63" s="1"/>
  <c r="P166" i="63"/>
  <c r="F166" i="63" s="1"/>
  <c r="P182" i="63"/>
  <c r="F182" i="63" s="1"/>
  <c r="P195" i="63"/>
  <c r="F195" i="63" s="1"/>
  <c r="P201" i="63"/>
  <c r="F201" i="63" s="1"/>
  <c r="P101" i="63"/>
  <c r="P255" i="64"/>
  <c r="F255" i="64" s="1"/>
  <c r="P259" i="64"/>
  <c r="F259" i="64" s="1"/>
  <c r="P263" i="64"/>
  <c r="F263" i="64" s="1"/>
  <c r="P267" i="64"/>
  <c r="F267" i="64" s="1"/>
  <c r="P271" i="64"/>
  <c r="F271" i="64" s="1"/>
  <c r="P27" i="63"/>
  <c r="F27" i="63" s="1"/>
  <c r="P35" i="63"/>
  <c r="F35" i="63" s="1"/>
  <c r="P43" i="63"/>
  <c r="F43" i="63" s="1"/>
  <c r="P51" i="63"/>
  <c r="F51" i="63" s="1"/>
  <c r="P71" i="63"/>
  <c r="P75" i="63"/>
  <c r="P79" i="63"/>
  <c r="P92" i="63"/>
  <c r="P99" i="63"/>
  <c r="P104" i="63"/>
  <c r="P107" i="63"/>
  <c r="P111" i="63"/>
  <c r="P127" i="63"/>
  <c r="F127" i="63" s="1"/>
  <c r="P131" i="63"/>
  <c r="F131" i="63" s="1"/>
  <c r="P133" i="63"/>
  <c r="F133" i="63" s="1"/>
  <c r="P137" i="63"/>
  <c r="F137" i="63" s="1"/>
  <c r="P141" i="63"/>
  <c r="F141" i="63" s="1"/>
  <c r="P145" i="63"/>
  <c r="F145" i="63" s="1"/>
  <c r="P151" i="63"/>
  <c r="F151" i="63" s="1"/>
  <c r="P155" i="63"/>
  <c r="F155" i="63" s="1"/>
  <c r="P159" i="63"/>
  <c r="F159" i="63" s="1"/>
  <c r="P163" i="63"/>
  <c r="F163" i="63" s="1"/>
  <c r="P165" i="63"/>
  <c r="F165" i="63" s="1"/>
  <c r="P181" i="63"/>
  <c r="F181" i="63" s="1"/>
  <c r="P187" i="63"/>
  <c r="F187" i="63" s="1"/>
  <c r="P191" i="63"/>
  <c r="F191" i="63" s="1"/>
  <c r="P193" i="63"/>
  <c r="F193" i="63" s="1"/>
  <c r="P197" i="63"/>
  <c r="F197" i="63" s="1"/>
  <c r="P81" i="64"/>
  <c r="F81" i="64" s="1"/>
  <c r="P85" i="64"/>
  <c r="F85" i="64" s="1"/>
  <c r="P89" i="64"/>
  <c r="F89" i="64" s="1"/>
  <c r="P99" i="64"/>
  <c r="F99" i="64" s="1"/>
  <c r="P158" i="64"/>
  <c r="F158" i="64" s="1"/>
  <c r="P162" i="64"/>
  <c r="F162" i="64" s="1"/>
  <c r="P182" i="64"/>
  <c r="F182" i="64" s="1"/>
  <c r="P183" i="64"/>
  <c r="F183" i="64" s="1"/>
  <c r="P190" i="64"/>
  <c r="F190" i="64" s="1"/>
  <c r="P198" i="64"/>
  <c r="F198" i="64" s="1"/>
  <c r="P206" i="64"/>
  <c r="F206" i="64" s="1"/>
  <c r="P245" i="64"/>
  <c r="F245" i="64" s="1"/>
  <c r="P253" i="64"/>
  <c r="F253" i="64" s="1"/>
  <c r="E45" i="26"/>
  <c r="P18" i="63"/>
  <c r="F18" i="63" s="1"/>
  <c r="P22" i="63"/>
  <c r="F22" i="63" s="1"/>
  <c r="P30" i="63"/>
  <c r="F30" i="63" s="1"/>
  <c r="P38" i="63"/>
  <c r="F38" i="63" s="1"/>
  <c r="P42" i="63"/>
  <c r="F42" i="63" s="1"/>
  <c r="P50" i="63"/>
  <c r="F50" i="63" s="1"/>
  <c r="P86" i="63"/>
  <c r="P90" i="63"/>
  <c r="P94" i="63"/>
  <c r="P106" i="63"/>
  <c r="P110" i="63"/>
  <c r="P140" i="63"/>
  <c r="F140" i="63" s="1"/>
  <c r="P144" i="63"/>
  <c r="F144" i="63" s="1"/>
  <c r="P150" i="63"/>
  <c r="F150" i="63" s="1"/>
  <c r="P154" i="63"/>
  <c r="F154" i="63" s="1"/>
  <c r="P168" i="63"/>
  <c r="F168" i="63" s="1"/>
  <c r="P186" i="63"/>
  <c r="F186" i="63" s="1"/>
  <c r="P190" i="63"/>
  <c r="F190" i="63" s="1"/>
  <c r="P196" i="63"/>
  <c r="F196" i="63" s="1"/>
  <c r="P93" i="64"/>
  <c r="F93" i="64" s="1"/>
  <c r="P97" i="64"/>
  <c r="F97" i="64" s="1"/>
  <c r="P101" i="64"/>
  <c r="F101" i="64" s="1"/>
  <c r="P105" i="64"/>
  <c r="F105" i="64" s="1"/>
  <c r="P165" i="64"/>
  <c r="F165" i="64" s="1"/>
  <c r="P185" i="64"/>
  <c r="F185" i="64" s="1"/>
  <c r="P239" i="64"/>
  <c r="F239" i="64" s="1"/>
  <c r="P247" i="64"/>
  <c r="F247" i="64" s="1"/>
  <c r="P272" i="64"/>
  <c r="F272" i="64" s="1"/>
  <c r="P257" i="64"/>
  <c r="F257" i="64" s="1"/>
  <c r="P261" i="64"/>
  <c r="F261" i="64" s="1"/>
  <c r="P265" i="64"/>
  <c r="F265" i="64" s="1"/>
  <c r="P269" i="64"/>
  <c r="F269" i="64" s="1"/>
  <c r="P273" i="64"/>
  <c r="F273" i="64" s="1"/>
  <c r="P23" i="64"/>
  <c r="F23" i="64" s="1"/>
  <c r="P27" i="64"/>
  <c r="F27" i="64" s="1"/>
  <c r="P127" i="64"/>
  <c r="F127" i="64" s="1"/>
  <c r="P159" i="64"/>
  <c r="F159" i="64" s="1"/>
  <c r="P163" i="64"/>
  <c r="F163" i="64" s="1"/>
  <c r="P193" i="64"/>
  <c r="F193" i="64" s="1"/>
  <c r="P217" i="64"/>
  <c r="F217" i="64" s="1"/>
  <c r="P237" i="64"/>
  <c r="F237" i="64" s="1"/>
  <c r="P254" i="64"/>
  <c r="F254" i="64" s="1"/>
  <c r="P45" i="64"/>
  <c r="F45" i="64" s="1"/>
  <c r="P73" i="64"/>
  <c r="F73" i="64" s="1"/>
  <c r="P95" i="64"/>
  <c r="F95" i="64" s="1"/>
  <c r="P109" i="64"/>
  <c r="F109" i="64" s="1"/>
  <c r="P133" i="64"/>
  <c r="F133" i="64" s="1"/>
  <c r="P141" i="64"/>
  <c r="F141" i="64" s="1"/>
  <c r="P145" i="64"/>
  <c r="F145" i="64" s="1"/>
  <c r="P149" i="64"/>
  <c r="F149" i="64" s="1"/>
  <c r="P187" i="64"/>
  <c r="F187" i="64" s="1"/>
  <c r="P219" i="64"/>
  <c r="F219" i="64" s="1"/>
  <c r="P29" i="64"/>
  <c r="F29" i="64" s="1"/>
  <c r="P33" i="64"/>
  <c r="F33" i="64" s="1"/>
  <c r="P37" i="64"/>
  <c r="F37" i="64" s="1"/>
  <c r="P55" i="64"/>
  <c r="F55" i="64" s="1"/>
  <c r="P130" i="64"/>
  <c r="F130" i="64" s="1"/>
  <c r="P136" i="64"/>
  <c r="F136" i="64" s="1"/>
  <c r="P140" i="64"/>
  <c r="F140" i="64" s="1"/>
  <c r="P157" i="64"/>
  <c r="F157" i="64" s="1"/>
  <c r="P161" i="64"/>
  <c r="F161" i="64" s="1"/>
  <c r="P191" i="64"/>
  <c r="F191" i="64" s="1"/>
  <c r="P207" i="64"/>
  <c r="F207" i="64" s="1"/>
  <c r="P223" i="64"/>
  <c r="F223" i="64" s="1"/>
  <c r="P251" i="64"/>
  <c r="F251" i="64" s="1"/>
  <c r="A169" i="64"/>
  <c r="A225" i="64"/>
  <c r="A231" i="64"/>
  <c r="A226" i="64"/>
  <c r="P39" i="64"/>
  <c r="F39" i="64" s="1"/>
  <c r="P49" i="64"/>
  <c r="F49" i="64" s="1"/>
  <c r="P53" i="64"/>
  <c r="F53" i="64" s="1"/>
  <c r="P142" i="64"/>
  <c r="F142" i="64" s="1"/>
  <c r="P143" i="64"/>
  <c r="F143" i="64" s="1"/>
  <c r="P146" i="64"/>
  <c r="F146" i="64" s="1"/>
  <c r="P147" i="64"/>
  <c r="F147" i="64" s="1"/>
  <c r="P181" i="64"/>
  <c r="F181" i="64" s="1"/>
  <c r="P199" i="64"/>
  <c r="F199" i="64" s="1"/>
  <c r="P215" i="64"/>
  <c r="F215" i="64" s="1"/>
  <c r="P243" i="64"/>
  <c r="F243" i="64" s="1"/>
  <c r="A175" i="64"/>
  <c r="A228" i="64"/>
  <c r="P20" i="64"/>
  <c r="F20" i="64" s="1"/>
  <c r="P25" i="64"/>
  <c r="F25" i="64" s="1"/>
  <c r="P90" i="64"/>
  <c r="F90" i="64" s="1"/>
  <c r="P92" i="64"/>
  <c r="F92" i="64" s="1"/>
  <c r="P94" i="64"/>
  <c r="F94" i="64" s="1"/>
  <c r="P96" i="64"/>
  <c r="F96" i="64" s="1"/>
  <c r="P98" i="64"/>
  <c r="F98" i="64" s="1"/>
  <c r="P100" i="64"/>
  <c r="F100" i="64" s="1"/>
  <c r="P102" i="64"/>
  <c r="F102" i="64" s="1"/>
  <c r="P104" i="64"/>
  <c r="F104" i="64" s="1"/>
  <c r="P106" i="64"/>
  <c r="F106" i="64" s="1"/>
  <c r="P108" i="64"/>
  <c r="F108" i="64" s="1"/>
  <c r="P110" i="64"/>
  <c r="F110" i="64" s="1"/>
  <c r="P112" i="64"/>
  <c r="F112" i="64" s="1"/>
  <c r="P126" i="64"/>
  <c r="F126" i="64" s="1"/>
  <c r="P128" i="64"/>
  <c r="F128" i="64" s="1"/>
  <c r="P132" i="64"/>
  <c r="F132" i="64" s="1"/>
  <c r="P134" i="64"/>
  <c r="F134" i="64" s="1"/>
  <c r="P135" i="64"/>
  <c r="F135" i="64" s="1"/>
  <c r="P138" i="64"/>
  <c r="F138" i="64" s="1"/>
  <c r="P139" i="64"/>
  <c r="F139" i="64" s="1"/>
  <c r="P144" i="64"/>
  <c r="F144" i="64" s="1"/>
  <c r="P148" i="64"/>
  <c r="F148" i="64" s="1"/>
  <c r="P150" i="64"/>
  <c r="F150" i="64" s="1"/>
  <c r="P151" i="64"/>
  <c r="F151" i="64" s="1"/>
  <c r="P154" i="64"/>
  <c r="F154" i="64" s="1"/>
  <c r="P155" i="64"/>
  <c r="F155" i="64" s="1"/>
  <c r="P160" i="64"/>
  <c r="F160" i="64" s="1"/>
  <c r="P164" i="64"/>
  <c r="F164" i="64" s="1"/>
  <c r="P166" i="64"/>
  <c r="F166" i="64" s="1"/>
  <c r="P167" i="64"/>
  <c r="F167" i="64" s="1"/>
  <c r="P184" i="64"/>
  <c r="F184" i="64" s="1"/>
  <c r="P186" i="64"/>
  <c r="F186" i="64" s="1"/>
  <c r="P189" i="64"/>
  <c r="F189" i="64" s="1"/>
  <c r="P194" i="64"/>
  <c r="F194" i="64" s="1"/>
  <c r="P197" i="64"/>
  <c r="F197" i="64" s="1"/>
  <c r="P202" i="64"/>
  <c r="F202" i="64" s="1"/>
  <c r="P205" i="64"/>
  <c r="F205" i="64" s="1"/>
  <c r="P210" i="64"/>
  <c r="F210" i="64" s="1"/>
  <c r="P213" i="64"/>
  <c r="F213" i="64" s="1"/>
  <c r="P218" i="64"/>
  <c r="F218" i="64" s="1"/>
  <c r="P221" i="64"/>
  <c r="F221" i="64" s="1"/>
  <c r="P238" i="64"/>
  <c r="F238" i="64" s="1"/>
  <c r="P241" i="64"/>
  <c r="F241" i="64" s="1"/>
  <c r="P246" i="64"/>
  <c r="F246" i="64" s="1"/>
  <c r="P249" i="64"/>
  <c r="F249" i="64" s="1"/>
  <c r="A170" i="64"/>
  <c r="P31" i="64"/>
  <c r="F31" i="64" s="1"/>
  <c r="P137" i="64"/>
  <c r="F137" i="64" s="1"/>
  <c r="P153" i="64"/>
  <c r="F153" i="64" s="1"/>
  <c r="A172" i="64"/>
  <c r="P17" i="64"/>
  <c r="F17" i="64" s="1"/>
  <c r="P21" i="64"/>
  <c r="F21" i="64" s="1"/>
  <c r="P30" i="64"/>
  <c r="F30" i="64" s="1"/>
  <c r="P34" i="64"/>
  <c r="F34" i="64" s="1"/>
  <c r="P35" i="64"/>
  <c r="F35" i="64" s="1"/>
  <c r="A57" i="64"/>
  <c r="A119" i="64"/>
  <c r="A114" i="64"/>
  <c r="P19" i="64"/>
  <c r="F19" i="64" s="1"/>
  <c r="P32" i="64"/>
  <c r="F32" i="64" s="1"/>
  <c r="P129" i="64"/>
  <c r="F129" i="64" s="1"/>
  <c r="P131" i="64"/>
  <c r="F131" i="64" s="1"/>
  <c r="A116" i="64"/>
  <c r="P16" i="64"/>
  <c r="F16" i="64" s="1"/>
  <c r="P28" i="64"/>
  <c r="F28" i="64" s="1"/>
  <c r="P38" i="64"/>
  <c r="F38" i="64" s="1"/>
  <c r="P40" i="64"/>
  <c r="F40" i="64" s="1"/>
  <c r="P42" i="64"/>
  <c r="F42" i="64" s="1"/>
  <c r="P44" i="64"/>
  <c r="F44" i="64" s="1"/>
  <c r="P46" i="64"/>
  <c r="F46" i="64" s="1"/>
  <c r="P48" i="64"/>
  <c r="F48" i="64" s="1"/>
  <c r="P50" i="64"/>
  <c r="F50" i="64" s="1"/>
  <c r="P52" i="64"/>
  <c r="F52" i="64" s="1"/>
  <c r="P54" i="64"/>
  <c r="F54" i="64" s="1"/>
  <c r="P56" i="64"/>
  <c r="F56" i="64" s="1"/>
  <c r="P70" i="64"/>
  <c r="F70" i="64" s="1"/>
  <c r="P72" i="64"/>
  <c r="F72" i="64" s="1"/>
  <c r="P74" i="64"/>
  <c r="F74" i="64" s="1"/>
  <c r="P76" i="64"/>
  <c r="F76" i="64" s="1"/>
  <c r="P78" i="64"/>
  <c r="F78" i="64" s="1"/>
  <c r="P80" i="64"/>
  <c r="F80" i="64" s="1"/>
  <c r="P82" i="64"/>
  <c r="F82" i="64" s="1"/>
  <c r="P84" i="64"/>
  <c r="F84" i="64" s="1"/>
  <c r="P86" i="64"/>
  <c r="F86" i="64" s="1"/>
  <c r="P88" i="64"/>
  <c r="F88" i="64" s="1"/>
  <c r="P14" i="64"/>
  <c r="F14" i="64" s="1"/>
  <c r="P24" i="64"/>
  <c r="F24" i="64" s="1"/>
  <c r="P26" i="64"/>
  <c r="F26" i="64" s="1"/>
  <c r="P36" i="64"/>
  <c r="F36" i="64" s="1"/>
  <c r="P256" i="64"/>
  <c r="F256" i="64" s="1"/>
  <c r="P258" i="64"/>
  <c r="F258" i="64" s="1"/>
  <c r="P260" i="64"/>
  <c r="F260" i="64" s="1"/>
  <c r="P262" i="64"/>
  <c r="F262" i="64" s="1"/>
  <c r="P264" i="64"/>
  <c r="F264" i="64" s="1"/>
  <c r="P266" i="64"/>
  <c r="F266" i="64" s="1"/>
  <c r="P268" i="64"/>
  <c r="F268" i="64" s="1"/>
  <c r="P270" i="64"/>
  <c r="F270" i="64" s="1"/>
  <c r="P188" i="64"/>
  <c r="F188" i="64" s="1"/>
  <c r="P192" i="64"/>
  <c r="F192" i="64" s="1"/>
  <c r="P196" i="64"/>
  <c r="F196" i="64" s="1"/>
  <c r="P200" i="64"/>
  <c r="F200" i="64" s="1"/>
  <c r="P204" i="64"/>
  <c r="F204" i="64" s="1"/>
  <c r="P208" i="64"/>
  <c r="F208" i="64" s="1"/>
  <c r="P212" i="64"/>
  <c r="F212" i="64" s="1"/>
  <c r="P216" i="64"/>
  <c r="F216" i="64" s="1"/>
  <c r="P220" i="64"/>
  <c r="F220" i="64" s="1"/>
  <c r="P224" i="64"/>
  <c r="F224" i="64" s="1"/>
  <c r="P240" i="64"/>
  <c r="F240" i="64" s="1"/>
  <c r="P244" i="64"/>
  <c r="F244" i="64" s="1"/>
  <c r="P248" i="64"/>
  <c r="F248" i="64" s="1"/>
  <c r="P252" i="64"/>
  <c r="F252" i="64" s="1"/>
  <c r="P14" i="63"/>
  <c r="F14" i="63" s="1"/>
  <c r="P19" i="63"/>
  <c r="F19" i="63" s="1"/>
  <c r="P95" i="63"/>
  <c r="A169" i="63"/>
  <c r="A175" i="63"/>
  <c r="P36" i="63"/>
  <c r="F36" i="63" s="1"/>
  <c r="P40" i="63"/>
  <c r="F40" i="63" s="1"/>
  <c r="P48" i="63"/>
  <c r="F48" i="63" s="1"/>
  <c r="P52" i="63"/>
  <c r="F52" i="63" s="1"/>
  <c r="P56" i="63"/>
  <c r="F56" i="63" s="1"/>
  <c r="P72" i="63"/>
  <c r="P76" i="63"/>
  <c r="P80" i="63"/>
  <c r="P84" i="63"/>
  <c r="P88" i="63"/>
  <c r="P96" i="63"/>
  <c r="P100" i="63"/>
  <c r="P102" i="63"/>
  <c r="P108" i="63"/>
  <c r="P126" i="63"/>
  <c r="F126" i="63" s="1"/>
  <c r="P130" i="63"/>
  <c r="F130" i="63" s="1"/>
  <c r="P136" i="63"/>
  <c r="F136" i="63" s="1"/>
  <c r="P142" i="63"/>
  <c r="F142" i="63" s="1"/>
  <c r="P146" i="63"/>
  <c r="F146" i="63" s="1"/>
  <c r="P152" i="63"/>
  <c r="F152" i="63" s="1"/>
  <c r="P158" i="63"/>
  <c r="F158" i="63" s="1"/>
  <c r="P162" i="63"/>
  <c r="F162" i="63" s="1"/>
  <c r="A170" i="63"/>
  <c r="P44" i="63"/>
  <c r="F44" i="63" s="1"/>
  <c r="A119" i="63"/>
  <c r="P17" i="63"/>
  <c r="F17" i="63" s="1"/>
  <c r="P46" i="63"/>
  <c r="F46" i="63" s="1"/>
  <c r="P54" i="63"/>
  <c r="F54" i="63" s="1"/>
  <c r="P70" i="63"/>
  <c r="P149" i="63"/>
  <c r="F149" i="63" s="1"/>
  <c r="A58" i="63"/>
  <c r="A113" i="63"/>
  <c r="P15" i="63"/>
  <c r="F15" i="63" s="1"/>
  <c r="P20" i="63"/>
  <c r="F20" i="63" s="1"/>
  <c r="P24" i="63"/>
  <c r="F24" i="63" s="1"/>
  <c r="P28" i="63"/>
  <c r="F28" i="63" s="1"/>
  <c r="P32" i="63"/>
  <c r="F32" i="63" s="1"/>
  <c r="P41" i="63"/>
  <c r="F41" i="63" s="1"/>
  <c r="P69" i="63"/>
  <c r="P73" i="63"/>
  <c r="P77" i="63"/>
  <c r="P83" i="63"/>
  <c r="P87" i="63"/>
  <c r="P91" i="63"/>
  <c r="P98" i="63"/>
  <c r="P105" i="63"/>
  <c r="A116" i="63"/>
  <c r="P23" i="63"/>
  <c r="F23" i="63" s="1"/>
  <c r="P26" i="63"/>
  <c r="F26" i="63" s="1"/>
  <c r="P29" i="63"/>
  <c r="F29" i="63" s="1"/>
  <c r="P39" i="63"/>
  <c r="F39" i="63" s="1"/>
  <c r="P45" i="63"/>
  <c r="F45" i="63" s="1"/>
  <c r="P55" i="63"/>
  <c r="F55" i="63" s="1"/>
  <c r="P78" i="63"/>
  <c r="P82" i="63"/>
  <c r="P16" i="63"/>
  <c r="F16" i="63" s="1"/>
  <c r="P21" i="63"/>
  <c r="F21" i="63" s="1"/>
  <c r="P31" i="63"/>
  <c r="F31" i="63" s="1"/>
  <c r="P34" i="63"/>
  <c r="F34" i="63" s="1"/>
  <c r="P37" i="63"/>
  <c r="F37" i="63" s="1"/>
  <c r="P47" i="63"/>
  <c r="F47" i="63" s="1"/>
  <c r="P53" i="63"/>
  <c r="F53" i="63" s="1"/>
  <c r="P74" i="63"/>
  <c r="P13" i="63"/>
  <c r="F13" i="63" s="1"/>
  <c r="F21" i="62" l="1"/>
  <c r="B21" i="62"/>
  <c r="E20" i="62"/>
  <c r="G20" i="62" s="1"/>
  <c r="E19" i="62"/>
  <c r="F13" i="62"/>
  <c r="G12" i="62"/>
  <c r="K12" i="62" s="1"/>
  <c r="L12" i="62" s="1"/>
  <c r="M12" i="62" s="1"/>
  <c r="N12" i="62" s="1"/>
  <c r="O12" i="62" s="1"/>
  <c r="P12" i="62" s="1"/>
  <c r="Q12" i="62" s="1"/>
  <c r="R12" i="62" s="1"/>
  <c r="S12" i="62" s="1"/>
  <c r="T12" i="62" s="1"/>
  <c r="U12" i="62" s="1"/>
  <c r="V12" i="62" s="1"/>
  <c r="W12" i="62" s="1"/>
  <c r="X12" i="62" s="1"/>
  <c r="Y12" i="62" s="1"/>
  <c r="Z12" i="62" s="1"/>
  <c r="AA12" i="62" s="1"/>
  <c r="AB12" i="62" s="1"/>
  <c r="AC12" i="62" s="1"/>
  <c r="AD12" i="62" s="1"/>
  <c r="AE12" i="62" s="1"/>
  <c r="AF12" i="62" s="1"/>
  <c r="AG12" i="62" s="1"/>
  <c r="AH12" i="62" s="1"/>
  <c r="AI12" i="62" s="1"/>
  <c r="AJ12" i="62" s="1"/>
  <c r="AK12" i="62" s="1"/>
  <c r="AL12" i="62" s="1"/>
  <c r="AM12" i="62" s="1"/>
  <c r="AN12" i="62" s="1"/>
  <c r="AO12" i="62" s="1"/>
  <c r="AP12" i="62" s="1"/>
  <c r="AQ12" i="62" s="1"/>
  <c r="AR12" i="62" s="1"/>
  <c r="AS12" i="62" s="1"/>
  <c r="AT12" i="62" s="1"/>
  <c r="AU12" i="62" s="1"/>
  <c r="AV12" i="62" s="1"/>
  <c r="AW12" i="62" s="1"/>
  <c r="AX12" i="62" s="1"/>
  <c r="AY12" i="62" s="1"/>
  <c r="AZ12" i="62" s="1"/>
  <c r="BA12" i="62" s="1"/>
  <c r="BB12" i="62" s="1"/>
  <c r="BC12" i="62" s="1"/>
  <c r="BD12" i="62" s="1"/>
  <c r="BE12" i="62" s="1"/>
  <c r="B12" i="62"/>
  <c r="G11" i="62"/>
  <c r="K11" i="62" s="1"/>
  <c r="L11" i="62" s="1"/>
  <c r="M11" i="62" s="1"/>
  <c r="N11" i="62" s="1"/>
  <c r="O11" i="62" s="1"/>
  <c r="P11" i="62" s="1"/>
  <c r="Q11" i="62" s="1"/>
  <c r="R11" i="62" s="1"/>
  <c r="S11" i="62" s="1"/>
  <c r="T11" i="62" s="1"/>
  <c r="U11" i="62" s="1"/>
  <c r="V11" i="62" s="1"/>
  <c r="W11" i="62" s="1"/>
  <c r="X11" i="62" s="1"/>
  <c r="Y11" i="62" s="1"/>
  <c r="Z11" i="62" s="1"/>
  <c r="AA11" i="62" s="1"/>
  <c r="AB11" i="62" s="1"/>
  <c r="AC11" i="62" s="1"/>
  <c r="AD11" i="62" s="1"/>
  <c r="AE11" i="62" s="1"/>
  <c r="AF11" i="62" s="1"/>
  <c r="AG11" i="62" s="1"/>
  <c r="AH11" i="62" s="1"/>
  <c r="AI11" i="62" s="1"/>
  <c r="AJ11" i="62" s="1"/>
  <c r="AK11" i="62" s="1"/>
  <c r="AL11" i="62" s="1"/>
  <c r="AM11" i="62" s="1"/>
  <c r="AN11" i="62" s="1"/>
  <c r="AO11" i="62" s="1"/>
  <c r="AP11" i="62" s="1"/>
  <c r="AQ11" i="62" s="1"/>
  <c r="AR11" i="62" s="1"/>
  <c r="AS11" i="62" s="1"/>
  <c r="AT11" i="62" s="1"/>
  <c r="AU11" i="62" s="1"/>
  <c r="AV11" i="62" s="1"/>
  <c r="AW11" i="62" s="1"/>
  <c r="AX11" i="62" s="1"/>
  <c r="AY11" i="62" s="1"/>
  <c r="AZ11" i="62" s="1"/>
  <c r="BA11" i="62" s="1"/>
  <c r="BB11" i="62" s="1"/>
  <c r="BC11" i="62" s="1"/>
  <c r="BD11" i="62" s="1"/>
  <c r="BE11" i="62" s="1"/>
  <c r="E10" i="62"/>
  <c r="G10" i="62" s="1"/>
  <c r="K10" i="62" s="1"/>
  <c r="L10" i="62" s="1"/>
  <c r="M10" i="62" s="1"/>
  <c r="N10" i="62" s="1"/>
  <c r="O10" i="62" s="1"/>
  <c r="P10" i="62" s="1"/>
  <c r="Q10" i="62" s="1"/>
  <c r="R10" i="62" s="1"/>
  <c r="S10" i="62" s="1"/>
  <c r="T10" i="62" s="1"/>
  <c r="U10" i="62" s="1"/>
  <c r="V10" i="62" s="1"/>
  <c r="W10" i="62" s="1"/>
  <c r="X10" i="62" s="1"/>
  <c r="Y10" i="62" s="1"/>
  <c r="Z10" i="62" s="1"/>
  <c r="AA10" i="62" s="1"/>
  <c r="AB10" i="62" s="1"/>
  <c r="AC10" i="62" s="1"/>
  <c r="AD10" i="62" s="1"/>
  <c r="AE10" i="62" s="1"/>
  <c r="AF10" i="62" s="1"/>
  <c r="AG10" i="62" s="1"/>
  <c r="AH10" i="62" s="1"/>
  <c r="AI10" i="62" s="1"/>
  <c r="AJ10" i="62" s="1"/>
  <c r="AK10" i="62" s="1"/>
  <c r="AL10" i="62" s="1"/>
  <c r="AM10" i="62" s="1"/>
  <c r="AN10" i="62" s="1"/>
  <c r="AO10" i="62" s="1"/>
  <c r="AP10" i="62" s="1"/>
  <c r="AQ10" i="62" s="1"/>
  <c r="AR10" i="62" s="1"/>
  <c r="AS10" i="62" s="1"/>
  <c r="AT10" i="62" s="1"/>
  <c r="AU10" i="62" s="1"/>
  <c r="AV10" i="62" s="1"/>
  <c r="AW10" i="62" s="1"/>
  <c r="AX10" i="62" s="1"/>
  <c r="AY10" i="62" s="1"/>
  <c r="AZ10" i="62" s="1"/>
  <c r="BA10" i="62" s="1"/>
  <c r="BB10" i="62" s="1"/>
  <c r="BC10" i="62" s="1"/>
  <c r="BD10" i="62" s="1"/>
  <c r="BE10" i="62" s="1"/>
  <c r="G9" i="62"/>
  <c r="K9" i="62" s="1"/>
  <c r="L9" i="62" s="1"/>
  <c r="M9" i="62" s="1"/>
  <c r="N9" i="62" s="1"/>
  <c r="O9" i="62" s="1"/>
  <c r="P9" i="62" s="1"/>
  <c r="Q9" i="62" s="1"/>
  <c r="R9" i="62" s="1"/>
  <c r="S9" i="62" s="1"/>
  <c r="T9" i="62" s="1"/>
  <c r="U9" i="62" s="1"/>
  <c r="V9" i="62" s="1"/>
  <c r="W9" i="62" s="1"/>
  <c r="X9" i="62" s="1"/>
  <c r="Y9" i="62" s="1"/>
  <c r="Z9" i="62" s="1"/>
  <c r="AA9" i="62" s="1"/>
  <c r="AB9" i="62" s="1"/>
  <c r="AC9" i="62" s="1"/>
  <c r="AD9" i="62" s="1"/>
  <c r="AE9" i="62" s="1"/>
  <c r="AF9" i="62" s="1"/>
  <c r="AG9" i="62" s="1"/>
  <c r="AH9" i="62" s="1"/>
  <c r="AI9" i="62" s="1"/>
  <c r="AJ9" i="62" s="1"/>
  <c r="AK9" i="62" s="1"/>
  <c r="AL9" i="62" s="1"/>
  <c r="AM9" i="62" s="1"/>
  <c r="AN9" i="62" s="1"/>
  <c r="AO9" i="62" s="1"/>
  <c r="AP9" i="62" s="1"/>
  <c r="AQ9" i="62" s="1"/>
  <c r="AR9" i="62" s="1"/>
  <c r="AS9" i="62" s="1"/>
  <c r="AT9" i="62" s="1"/>
  <c r="AU9" i="62" s="1"/>
  <c r="AV9" i="62" s="1"/>
  <c r="AW9" i="62" s="1"/>
  <c r="AX9" i="62" s="1"/>
  <c r="AY9" i="62" s="1"/>
  <c r="AZ9" i="62" s="1"/>
  <c r="BA9" i="62" s="1"/>
  <c r="BB9" i="62" s="1"/>
  <c r="BC9" i="62" s="1"/>
  <c r="BD9" i="62" s="1"/>
  <c r="BE9" i="62" s="1"/>
  <c r="E8" i="62"/>
  <c r="G8" i="62" s="1"/>
  <c r="M6" i="62"/>
  <c r="N6" i="62" s="1"/>
  <c r="O6" i="62" s="1"/>
  <c r="P6" i="62" s="1"/>
  <c r="Q6" i="62" s="1"/>
  <c r="R6" i="62" s="1"/>
  <c r="S6" i="62" s="1"/>
  <c r="T6" i="62" s="1"/>
  <c r="U6" i="62" s="1"/>
  <c r="V6" i="62" s="1"/>
  <c r="W6" i="62" s="1"/>
  <c r="X6" i="62" s="1"/>
  <c r="Y6" i="62" s="1"/>
  <c r="Z6" i="62" s="1"/>
  <c r="AA6" i="62" s="1"/>
  <c r="AB6" i="62" s="1"/>
  <c r="AC6" i="62" s="1"/>
  <c r="AD6" i="62" s="1"/>
  <c r="AE6" i="62" s="1"/>
  <c r="AF6" i="62" s="1"/>
  <c r="AG6" i="62" s="1"/>
  <c r="AH6" i="62" s="1"/>
  <c r="AI6" i="62" s="1"/>
  <c r="AJ6" i="62" s="1"/>
  <c r="AK6" i="62" s="1"/>
  <c r="AL6" i="62" s="1"/>
  <c r="AM6" i="62" s="1"/>
  <c r="AN6" i="62" s="1"/>
  <c r="AO6" i="62" s="1"/>
  <c r="F6" i="62"/>
  <c r="E5" i="62"/>
  <c r="G5" i="62" s="1"/>
  <c r="E4" i="62"/>
  <c r="E21" i="62" l="1"/>
  <c r="AP6" i="62"/>
  <c r="AO20" i="62"/>
  <c r="E6" i="62"/>
  <c r="G4" i="62"/>
  <c r="G6" i="62" s="1"/>
  <c r="K8" i="62"/>
  <c r="L8" i="62" s="1"/>
  <c r="M8" i="62" s="1"/>
  <c r="N8" i="62" s="1"/>
  <c r="O8" i="62" s="1"/>
  <c r="P8" i="62" s="1"/>
  <c r="Q8" i="62" s="1"/>
  <c r="R8" i="62" s="1"/>
  <c r="S8" i="62" s="1"/>
  <c r="T8" i="62" s="1"/>
  <c r="U8" i="62" s="1"/>
  <c r="V8" i="62" s="1"/>
  <c r="W8" i="62" s="1"/>
  <c r="X8" i="62" s="1"/>
  <c r="Y8" i="62" s="1"/>
  <c r="Z8" i="62" s="1"/>
  <c r="AA8" i="62" s="1"/>
  <c r="AB8" i="62" s="1"/>
  <c r="AC8" i="62" s="1"/>
  <c r="AD8" i="62" s="1"/>
  <c r="AE8" i="62" s="1"/>
  <c r="AF8" i="62" s="1"/>
  <c r="AG8" i="62" s="1"/>
  <c r="AH8" i="62" s="1"/>
  <c r="G13" i="62"/>
  <c r="E13" i="62"/>
  <c r="G19" i="62"/>
  <c r="D44" i="11" l="1"/>
  <c r="D14" i="11"/>
  <c r="AI8" i="62"/>
  <c r="AJ8" i="62" s="1"/>
  <c r="AK8" i="62" s="1"/>
  <c r="AL8" i="62" s="1"/>
  <c r="AM8" i="62" s="1"/>
  <c r="AN8" i="62" s="1"/>
  <c r="AO8" i="62" s="1"/>
  <c r="AP8" i="62" s="1"/>
  <c r="AQ8" i="62" s="1"/>
  <c r="AR8" i="62" s="1"/>
  <c r="AS8" i="62" s="1"/>
  <c r="AT8" i="62" s="1"/>
  <c r="AU8" i="62" s="1"/>
  <c r="AV8" i="62" s="1"/>
  <c r="AW8" i="62" s="1"/>
  <c r="AX8" i="62" s="1"/>
  <c r="AY8" i="62" s="1"/>
  <c r="AZ8" i="62" s="1"/>
  <c r="BA8" i="62" s="1"/>
  <c r="BB8" i="62" s="1"/>
  <c r="BC8" i="62" s="1"/>
  <c r="BD8" i="62" s="1"/>
  <c r="BE8" i="62" s="1"/>
  <c r="AQ6" i="62"/>
  <c r="L19" i="62"/>
  <c r="M19" i="62" s="1"/>
  <c r="N19" i="62" s="1"/>
  <c r="O19" i="62" s="1"/>
  <c r="P19" i="62" s="1"/>
  <c r="Q19" i="62" s="1"/>
  <c r="G21" i="62"/>
  <c r="AR6" i="62" l="1"/>
  <c r="R19" i="62"/>
  <c r="S19" i="62" s="1"/>
  <c r="T19" i="62" s="1"/>
  <c r="U19" i="62" s="1"/>
  <c r="AS6" i="62" l="1"/>
  <c r="V19" i="62"/>
  <c r="W19" i="62" s="1"/>
  <c r="X19" i="62" s="1"/>
  <c r="Y19" i="62" s="1"/>
  <c r="Z19" i="62" s="1"/>
  <c r="AA19" i="62" s="1"/>
  <c r="AB19" i="62" s="1"/>
  <c r="AC19" i="62" s="1"/>
  <c r="AD19" i="62" s="1"/>
  <c r="AE19" i="62" s="1"/>
  <c r="AF19" i="62" s="1"/>
  <c r="AG19" i="62" s="1"/>
  <c r="AH19" i="62" s="1"/>
  <c r="AI19" i="62" s="1"/>
  <c r="AJ19" i="62" s="1"/>
  <c r="AK19" i="62" s="1"/>
  <c r="AL19" i="62" s="1"/>
  <c r="AM19" i="62" s="1"/>
  <c r="AN19" i="62" s="1"/>
  <c r="AO19" i="62" s="1"/>
  <c r="AP19" i="62" l="1"/>
  <c r="AQ19" i="62" s="1"/>
  <c r="AR19" i="62" s="1"/>
  <c r="AS19" i="62" s="1"/>
  <c r="D13" i="18"/>
  <c r="AT6" i="62"/>
  <c r="AT19" i="62" l="1"/>
  <c r="AU19" i="62" s="1"/>
  <c r="AV19" i="62" s="1"/>
  <c r="AW19" i="62" s="1"/>
  <c r="AX19" i="62" s="1"/>
  <c r="AY19" i="62" s="1"/>
  <c r="AZ19" i="62" s="1"/>
  <c r="BA19" i="62" s="1"/>
  <c r="BB19" i="62" s="1"/>
  <c r="BC19" i="62" s="1"/>
  <c r="BD19" i="62" s="1"/>
  <c r="BE19" i="62" s="1"/>
  <c r="AU6" i="62"/>
  <c r="BF19" i="62" l="1"/>
  <c r="D42" i="18" s="1"/>
  <c r="AV6" i="62"/>
  <c r="AW6" i="62" l="1"/>
  <c r="AX6" i="62" l="1"/>
  <c r="AY6" i="62" l="1"/>
  <c r="AZ6" i="62" l="1"/>
  <c r="BA6" i="62" l="1"/>
  <c r="BB6" i="62" l="1"/>
  <c r="BC6" i="62" l="1"/>
  <c r="BD6" i="62" l="1"/>
  <c r="BE6" i="62" l="1"/>
  <c r="BE20" i="62" s="1"/>
  <c r="R45" i="58" l="1"/>
  <c r="R45" i="59"/>
  <c r="H41" i="20" l="1"/>
  <c r="C41" i="20"/>
  <c r="H16" i="20"/>
  <c r="R38" i="59" l="1"/>
  <c r="L76" i="59"/>
  <c r="L78" i="59" s="1"/>
  <c r="L80" i="59" s="1"/>
  <c r="J76" i="59"/>
  <c r="J78" i="59" s="1"/>
  <c r="J80" i="59" s="1"/>
  <c r="H76" i="59"/>
  <c r="H78" i="59" s="1"/>
  <c r="H80" i="59" s="1"/>
  <c r="F76" i="59"/>
  <c r="R54" i="59"/>
  <c r="L30" i="59"/>
  <c r="J30" i="59"/>
  <c r="L23" i="59"/>
  <c r="A18" i="59"/>
  <c r="A20" i="59" s="1"/>
  <c r="A21" i="59" s="1"/>
  <c r="A23" i="59" s="1"/>
  <c r="A25" i="59" s="1"/>
  <c r="A26" i="59" s="1"/>
  <c r="A27" i="59" s="1"/>
  <c r="A28" i="59" s="1"/>
  <c r="A30" i="59" s="1"/>
  <c r="A32" i="59" s="1"/>
  <c r="A34" i="59" s="1"/>
  <c r="A35" i="59" s="1"/>
  <c r="A36" i="59" s="1"/>
  <c r="A37" i="59" s="1"/>
  <c r="A38" i="59" s="1"/>
  <c r="A5" i="59"/>
  <c r="A5" i="58"/>
  <c r="R38" i="58"/>
  <c r="C20" i="67" s="1"/>
  <c r="A39" i="59" l="1"/>
  <c r="A41" i="59" s="1"/>
  <c r="A43" i="59" s="1"/>
  <c r="A45" i="59" s="1"/>
  <c r="A47" i="59" s="1"/>
  <c r="A49" i="59" s="1"/>
  <c r="L32" i="59"/>
  <c r="L43" i="59" s="1"/>
  <c r="L47" i="59" s="1"/>
  <c r="R80" i="59"/>
  <c r="C20" i="68"/>
  <c r="P72" i="59"/>
  <c r="K90" i="19"/>
  <c r="K74" i="19"/>
  <c r="K62" i="19"/>
  <c r="P72" i="58"/>
  <c r="L76" i="58"/>
  <c r="L78" i="58" s="1"/>
  <c r="L80" i="58" s="1"/>
  <c r="L30" i="58"/>
  <c r="J76" i="58"/>
  <c r="J78" i="58" s="1"/>
  <c r="J80" i="58" s="1"/>
  <c r="J30" i="58"/>
  <c r="H76" i="58"/>
  <c r="H78" i="58" s="1"/>
  <c r="H80" i="58" s="1"/>
  <c r="F76" i="58"/>
  <c r="R54" i="58"/>
  <c r="A18" i="58"/>
  <c r="A20" i="58" s="1"/>
  <c r="A21" i="58" s="1"/>
  <c r="A23" i="58" s="1"/>
  <c r="A25" i="58" s="1"/>
  <c r="A26" i="58" s="1"/>
  <c r="A27" i="58" s="1"/>
  <c r="A28" i="58" s="1"/>
  <c r="A30" i="58" l="1"/>
  <c r="A32" i="58" s="1"/>
  <c r="A34" i="58" s="1"/>
  <c r="A35" i="58" s="1"/>
  <c r="A36" i="58" s="1"/>
  <c r="A37" i="58" s="1"/>
  <c r="A38" i="58" s="1"/>
  <c r="A39" i="58" l="1"/>
  <c r="A41" i="58" s="1"/>
  <c r="A43" i="58" s="1"/>
  <c r="A45" i="58" s="1"/>
  <c r="A47" i="58" s="1"/>
  <c r="A49" i="58" s="1"/>
  <c r="F38" i="28"/>
  <c r="D27" i="58" s="1"/>
  <c r="D38" i="28"/>
  <c r="R27" i="58" s="1"/>
  <c r="C23" i="67" s="1"/>
  <c r="F16" i="28"/>
  <c r="D27" i="59" s="1"/>
  <c r="D16" i="28"/>
  <c r="R27" i="59" s="1"/>
  <c r="C23" i="68" l="1"/>
  <c r="P27" i="59"/>
  <c r="P27" i="58"/>
  <c r="H27" i="59"/>
  <c r="H30" i="59" s="1"/>
  <c r="H27" i="58"/>
  <c r="H30" i="58" s="1"/>
  <c r="H314" i="46" l="1"/>
  <c r="D23" i="67" l="1"/>
  <c r="E23" i="67" s="1"/>
  <c r="D23" i="68"/>
  <c r="E23" i="68" s="1"/>
  <c r="H4" i="55" l="1"/>
  <c r="F27" i="59" s="1"/>
  <c r="Y4" i="55"/>
  <c r="F27" i="58" s="1"/>
  <c r="M15" i="51"/>
  <c r="L15" i="51"/>
  <c r="K15" i="51"/>
  <c r="J15" i="51"/>
  <c r="I15" i="51"/>
  <c r="H15" i="51"/>
  <c r="G15" i="51"/>
  <c r="F15" i="51"/>
  <c r="E15" i="51"/>
  <c r="D15" i="51"/>
  <c r="C15" i="51"/>
  <c r="B15" i="51"/>
  <c r="G38" i="28" l="1"/>
  <c r="G16" i="28"/>
  <c r="F30" i="59"/>
  <c r="N27" i="59"/>
  <c r="F30" i="58"/>
  <c r="N27" i="58"/>
  <c r="N16" i="50"/>
  <c r="M16" i="50"/>
  <c r="L16" i="50"/>
  <c r="K16" i="50"/>
  <c r="J16" i="50"/>
  <c r="I16" i="50"/>
  <c r="N24" i="51" l="1"/>
  <c r="D20" i="67" s="1"/>
  <c r="E34" i="27"/>
  <c r="F72" i="58" s="1"/>
  <c r="N72" i="58" s="1"/>
  <c r="F78" i="58" l="1"/>
  <c r="F80" i="58" s="1"/>
  <c r="F38" i="58" s="1"/>
  <c r="F41" i="58" s="1"/>
  <c r="E20" i="67"/>
  <c r="O25" i="50"/>
  <c r="D20" i="68" s="1"/>
  <c r="E13" i="27"/>
  <c r="A42" i="18"/>
  <c r="A43" i="18" s="1"/>
  <c r="F26" i="18"/>
  <c r="H21" i="59" s="1"/>
  <c r="A13" i="18"/>
  <c r="A14" i="18" s="1"/>
  <c r="B20" i="11"/>
  <c r="B50" i="11" s="1"/>
  <c r="A43" i="1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F72" i="59" l="1"/>
  <c r="F78" i="59" s="1"/>
  <c r="F80" i="59" s="1"/>
  <c r="F38" i="59" s="1"/>
  <c r="F41" i="59" s="1"/>
  <c r="A59" i="11"/>
  <c r="A44" i="18"/>
  <c r="A45" i="18" s="1"/>
  <c r="A46" i="18" s="1"/>
  <c r="A47" i="18" s="1"/>
  <c r="A48" i="18" s="1"/>
  <c r="A49" i="18" s="1"/>
  <c r="A50" i="18" s="1"/>
  <c r="A51" i="18" s="1"/>
  <c r="A15" i="18"/>
  <c r="A16" i="18" s="1"/>
  <c r="A17" i="18" s="1"/>
  <c r="A18" i="18" s="1"/>
  <c r="A19" i="18" s="1"/>
  <c r="A20" i="18" s="1"/>
  <c r="C35" i="40"/>
  <c r="D17" i="67" s="1"/>
  <c r="E20" i="68"/>
  <c r="A13" i="1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N72" i="59" l="1"/>
  <c r="A52" i="18"/>
  <c r="A53" i="18" s="1"/>
  <c r="A54" i="18" s="1"/>
  <c r="A55" i="18" s="1"/>
  <c r="A57" i="18" s="1"/>
  <c r="A21" i="18"/>
  <c r="A22" i="18" s="1"/>
  <c r="A23" i="18" s="1"/>
  <c r="A24" i="18" s="1"/>
  <c r="A25" i="18" s="1"/>
  <c r="A26" i="18" s="1"/>
  <c r="A28" i="18" s="1"/>
  <c r="A29" i="11"/>
  <c r="C53" i="18"/>
  <c r="C48" i="18"/>
  <c r="C46" i="18"/>
  <c r="C45" i="18"/>
  <c r="C24" i="18"/>
  <c r="C19" i="18"/>
  <c r="C17" i="18"/>
  <c r="C16" i="18"/>
  <c r="B24" i="18"/>
  <c r="B19" i="18"/>
  <c r="B17" i="18"/>
  <c r="B16" i="18"/>
  <c r="H39" i="20"/>
  <c r="H14" i="20"/>
  <c r="H45" i="20"/>
  <c r="H43" i="20"/>
  <c r="C45" i="20"/>
  <c r="C43" i="20"/>
  <c r="H20" i="20"/>
  <c r="H18" i="20"/>
  <c r="C55" i="11"/>
  <c r="C50" i="11"/>
  <c r="C48" i="11"/>
  <c r="C47" i="11"/>
  <c r="C25" i="11"/>
  <c r="C20" i="11"/>
  <c r="C18" i="11"/>
  <c r="C17" i="11"/>
  <c r="B25" i="11"/>
  <c r="B55" i="11" s="1"/>
  <c r="B18" i="11"/>
  <c r="B48" i="11" s="1"/>
  <c r="B17" i="11"/>
  <c r="B47" i="11" s="1"/>
  <c r="H38" i="28"/>
  <c r="F24" i="16" s="1"/>
  <c r="F23" i="67" s="1"/>
  <c r="G23" i="67" s="1"/>
  <c r="E38" i="28"/>
  <c r="F36" i="28"/>
  <c r="D36" i="28"/>
  <c r="R28" i="58" s="1"/>
  <c r="C24" i="67" s="1"/>
  <c r="E24" i="67" s="1"/>
  <c r="F34" i="28"/>
  <c r="D34" i="28"/>
  <c r="F14" i="28"/>
  <c r="D28" i="59" s="1"/>
  <c r="N28" i="59" s="1"/>
  <c r="F12" i="28"/>
  <c r="D12" i="28"/>
  <c r="R26" i="59" s="1"/>
  <c r="D14" i="28"/>
  <c r="R28" i="59" s="1"/>
  <c r="G45" i="25"/>
  <c r="D37" i="58" s="1"/>
  <c r="E45" i="25"/>
  <c r="D75" i="58"/>
  <c r="R75" i="58"/>
  <c r="D75" i="59"/>
  <c r="R75" i="59"/>
  <c r="D45" i="26"/>
  <c r="E43" i="26"/>
  <c r="D43" i="26" s="1"/>
  <c r="E43" i="25"/>
  <c r="R36" i="58" s="1"/>
  <c r="E41" i="26"/>
  <c r="C41" i="26"/>
  <c r="E41" i="25" s="1"/>
  <c r="E39" i="26"/>
  <c r="G39" i="25" s="1"/>
  <c r="C39" i="26"/>
  <c r="E39" i="25" s="1"/>
  <c r="G19" i="25"/>
  <c r="D37" i="59" s="1"/>
  <c r="E18" i="26"/>
  <c r="E16" i="26"/>
  <c r="G15" i="25" s="1"/>
  <c r="E14" i="26"/>
  <c r="G13" i="25" s="1"/>
  <c r="E19" i="25"/>
  <c r="E17" i="25"/>
  <c r="R36" i="59" s="1"/>
  <c r="C16" i="26"/>
  <c r="E15" i="25" s="1"/>
  <c r="C14" i="26"/>
  <c r="E13" i="25" s="1"/>
  <c r="L114" i="19"/>
  <c r="L90" i="19"/>
  <c r="L74" i="19"/>
  <c r="L62" i="19"/>
  <c r="L39" i="19"/>
  <c r="L28" i="19"/>
  <c r="L17" i="19"/>
  <c r="B579" i="48"/>
  <c r="B578" i="48"/>
  <c r="B577" i="48"/>
  <c r="B576" i="48"/>
  <c r="B575" i="48"/>
  <c r="B574" i="48"/>
  <c r="B573" i="48"/>
  <c r="B572" i="48"/>
  <c r="B571" i="48"/>
  <c r="B570" i="48"/>
  <c r="B569" i="48"/>
  <c r="B568" i="48"/>
  <c r="B567" i="48"/>
  <c r="B566" i="48"/>
  <c r="B565" i="48"/>
  <c r="B564" i="48"/>
  <c r="B563" i="48"/>
  <c r="B562" i="48"/>
  <c r="B561" i="48"/>
  <c r="B560" i="48"/>
  <c r="B559" i="48"/>
  <c r="B558" i="48"/>
  <c r="B557" i="48"/>
  <c r="B556" i="48"/>
  <c r="B555" i="48"/>
  <c r="B554" i="48"/>
  <c r="B553" i="48"/>
  <c r="B552" i="48"/>
  <c r="B551" i="48"/>
  <c r="B550" i="48"/>
  <c r="B549" i="48"/>
  <c r="B548" i="48"/>
  <c r="B547" i="48"/>
  <c r="B546" i="48"/>
  <c r="B545" i="48"/>
  <c r="B544" i="48"/>
  <c r="B543" i="48"/>
  <c r="B542" i="48"/>
  <c r="B541" i="48"/>
  <c r="B540" i="48"/>
  <c r="B539" i="48"/>
  <c r="B538" i="48"/>
  <c r="B537" i="48"/>
  <c r="B536" i="48"/>
  <c r="B535" i="48"/>
  <c r="B534" i="48"/>
  <c r="B533" i="48"/>
  <c r="B532" i="48"/>
  <c r="B531" i="48"/>
  <c r="B530" i="48"/>
  <c r="B529" i="48"/>
  <c r="B528" i="48"/>
  <c r="B527" i="48"/>
  <c r="B526" i="48"/>
  <c r="B525" i="48"/>
  <c r="B524" i="48"/>
  <c r="B523" i="48"/>
  <c r="B522" i="48"/>
  <c r="B521" i="48"/>
  <c r="B520" i="48"/>
  <c r="B519" i="48"/>
  <c r="B518" i="48"/>
  <c r="B517" i="48"/>
  <c r="B516" i="48"/>
  <c r="B515" i="48"/>
  <c r="B514" i="48"/>
  <c r="B513" i="48"/>
  <c r="B512" i="48"/>
  <c r="B511" i="48"/>
  <c r="B510" i="48"/>
  <c r="B509" i="48"/>
  <c r="B508" i="48"/>
  <c r="B507" i="48"/>
  <c r="B506" i="48"/>
  <c r="B505" i="48"/>
  <c r="B504" i="48"/>
  <c r="B503" i="48"/>
  <c r="B502" i="48"/>
  <c r="B501" i="48"/>
  <c r="B500" i="48"/>
  <c r="B499" i="48"/>
  <c r="B498" i="48"/>
  <c r="B497" i="48"/>
  <c r="B496" i="48"/>
  <c r="B495" i="48"/>
  <c r="B494" i="48"/>
  <c r="B493" i="48"/>
  <c r="B492" i="48"/>
  <c r="B491" i="48"/>
  <c r="B490" i="48"/>
  <c r="B489" i="48"/>
  <c r="B488" i="48"/>
  <c r="B487" i="48"/>
  <c r="B486" i="48"/>
  <c r="B485" i="48"/>
  <c r="B484" i="48"/>
  <c r="B483" i="48"/>
  <c r="B482" i="48"/>
  <c r="B481" i="48"/>
  <c r="B480" i="48"/>
  <c r="B479" i="48"/>
  <c r="B478" i="48"/>
  <c r="B477" i="48"/>
  <c r="B476" i="48"/>
  <c r="B475" i="48"/>
  <c r="B474" i="48"/>
  <c r="B473" i="48"/>
  <c r="B472" i="48"/>
  <c r="B471" i="48"/>
  <c r="B470" i="48"/>
  <c r="B469" i="48"/>
  <c r="B468" i="48"/>
  <c r="B467" i="48"/>
  <c r="B466" i="48"/>
  <c r="B465" i="48"/>
  <c r="B464" i="48"/>
  <c r="B463" i="48"/>
  <c r="B462" i="48"/>
  <c r="B461" i="48"/>
  <c r="B460" i="48"/>
  <c r="B459" i="48"/>
  <c r="B458" i="48"/>
  <c r="B457" i="48"/>
  <c r="B456" i="48"/>
  <c r="B455" i="48"/>
  <c r="B454" i="48"/>
  <c r="B453" i="48"/>
  <c r="B452" i="48"/>
  <c r="B451" i="48"/>
  <c r="B450" i="48"/>
  <c r="B449" i="48"/>
  <c r="B448" i="48"/>
  <c r="B447" i="48"/>
  <c r="B446" i="48"/>
  <c r="B445" i="48"/>
  <c r="B444" i="48"/>
  <c r="B443" i="48"/>
  <c r="B442" i="48"/>
  <c r="B441" i="48"/>
  <c r="B440" i="48"/>
  <c r="B439" i="48"/>
  <c r="B438" i="48"/>
  <c r="B437" i="48"/>
  <c r="B436" i="48"/>
  <c r="B435" i="48"/>
  <c r="B434" i="48"/>
  <c r="B433" i="48"/>
  <c r="B432" i="48"/>
  <c r="B431" i="48"/>
  <c r="B430" i="48"/>
  <c r="B429" i="48"/>
  <c r="B428" i="48"/>
  <c r="B427" i="48"/>
  <c r="B426" i="48"/>
  <c r="B425" i="48"/>
  <c r="B424" i="48"/>
  <c r="B423" i="48"/>
  <c r="B422" i="48"/>
  <c r="B421" i="48"/>
  <c r="B420" i="48"/>
  <c r="B419" i="48"/>
  <c r="B418" i="48"/>
  <c r="B417" i="48"/>
  <c r="B416" i="48"/>
  <c r="B415" i="48"/>
  <c r="B414" i="48"/>
  <c r="B413" i="48"/>
  <c r="B412" i="48"/>
  <c r="B411" i="48"/>
  <c r="B410" i="48"/>
  <c r="B409" i="48"/>
  <c r="B408" i="48"/>
  <c r="B407" i="48"/>
  <c r="B406" i="48"/>
  <c r="B405" i="48"/>
  <c r="B404" i="48"/>
  <c r="B403" i="48"/>
  <c r="B402" i="48"/>
  <c r="B401" i="48"/>
  <c r="B400" i="48"/>
  <c r="B399" i="48"/>
  <c r="B398" i="48"/>
  <c r="B397" i="48"/>
  <c r="B396" i="48"/>
  <c r="B395" i="48"/>
  <c r="B394" i="48"/>
  <c r="B393" i="48"/>
  <c r="B392" i="48"/>
  <c r="B391" i="48"/>
  <c r="B390" i="48"/>
  <c r="B389" i="48"/>
  <c r="B388" i="48"/>
  <c r="B387" i="48"/>
  <c r="B386" i="48"/>
  <c r="B385" i="48"/>
  <c r="B384" i="48"/>
  <c r="B224" i="48"/>
  <c r="B219" i="48"/>
  <c r="B218" i="48"/>
  <c r="B217" i="48"/>
  <c r="B216" i="48"/>
  <c r="B215" i="48"/>
  <c r="B214" i="48"/>
  <c r="B213" i="48"/>
  <c r="B212" i="48"/>
  <c r="B204" i="48"/>
  <c r="B203" i="48"/>
  <c r="B202" i="48"/>
  <c r="B201" i="48"/>
  <c r="B200" i="48"/>
  <c r="B199" i="48"/>
  <c r="B198" i="48"/>
  <c r="B197" i="48"/>
  <c r="B196" i="48"/>
  <c r="B192" i="48"/>
  <c r="B191" i="48"/>
  <c r="B190" i="48"/>
  <c r="B189" i="48"/>
  <c r="B184" i="48"/>
  <c r="B183" i="48"/>
  <c r="B182" i="48"/>
  <c r="B181" i="48"/>
  <c r="B180" i="48"/>
  <c r="B179" i="48"/>
  <c r="B175" i="48"/>
  <c r="B174" i="48"/>
  <c r="B173" i="48"/>
  <c r="B172" i="48"/>
  <c r="B171" i="48"/>
  <c r="B166" i="48"/>
  <c r="B165" i="48"/>
  <c r="B164" i="48"/>
  <c r="B163" i="48"/>
  <c r="B162" i="48"/>
  <c r="B161" i="48"/>
  <c r="B160" i="48"/>
  <c r="B149" i="48"/>
  <c r="B148" i="48"/>
  <c r="B147" i="48"/>
  <c r="B146" i="48"/>
  <c r="B140" i="48"/>
  <c r="B139" i="48"/>
  <c r="B138" i="48"/>
  <c r="B137" i="48"/>
  <c r="B136" i="48"/>
  <c r="B135" i="48"/>
  <c r="B129" i="48"/>
  <c r="B128" i="48"/>
  <c r="B127" i="48"/>
  <c r="B126" i="48"/>
  <c r="B125" i="48"/>
  <c r="B124" i="48"/>
  <c r="B123" i="48"/>
  <c r="B122" i="48"/>
  <c r="B121" i="48"/>
  <c r="B110" i="48"/>
  <c r="B109" i="48"/>
  <c r="B108" i="48"/>
  <c r="B107" i="48"/>
  <c r="B106" i="48"/>
  <c r="B105" i="48"/>
  <c r="B104" i="48"/>
  <c r="B103" i="48"/>
  <c r="B97" i="48"/>
  <c r="B96" i="48"/>
  <c r="B95" i="48"/>
  <c r="B94" i="48"/>
  <c r="B93" i="48"/>
  <c r="B92" i="48"/>
  <c r="B91" i="48"/>
  <c r="B90" i="48"/>
  <c r="B84" i="48"/>
  <c r="B83" i="48"/>
  <c r="B82" i="48"/>
  <c r="B81" i="48"/>
  <c r="B80" i="48"/>
  <c r="B79" i="48"/>
  <c r="B78" i="48"/>
  <c r="B73" i="48"/>
  <c r="B72" i="48"/>
  <c r="B71" i="48"/>
  <c r="R1" i="48"/>
  <c r="S1" i="48" s="1"/>
  <c r="T1" i="48" s="1"/>
  <c r="G17" i="25" l="1"/>
  <c r="D36" i="59" s="1"/>
  <c r="N36" i="59" s="1"/>
  <c r="D18" i="26"/>
  <c r="B53" i="18"/>
  <c r="B45" i="18"/>
  <c r="B48" i="18"/>
  <c r="B46" i="18"/>
  <c r="F101" i="14"/>
  <c r="F105" i="14"/>
  <c r="F110" i="14"/>
  <c r="F108" i="14"/>
  <c r="D26" i="59"/>
  <c r="N26" i="59" s="1"/>
  <c r="N30" i="59" s="1"/>
  <c r="E12" i="28"/>
  <c r="C24" i="68"/>
  <c r="E24" i="68" s="1"/>
  <c r="P28" i="59"/>
  <c r="F21" i="14"/>
  <c r="F32" i="14"/>
  <c r="F36" i="14"/>
  <c r="F58" i="14"/>
  <c r="F69" i="14"/>
  <c r="F109" i="14"/>
  <c r="C22" i="68"/>
  <c r="E22" i="68" s="1"/>
  <c r="R30" i="59"/>
  <c r="F15" i="14"/>
  <c r="F33" i="14"/>
  <c r="F44" i="14"/>
  <c r="F59" i="14"/>
  <c r="F70" i="14"/>
  <c r="F81" i="14"/>
  <c r="F102" i="14"/>
  <c r="R76" i="59"/>
  <c r="R78" i="59" s="1"/>
  <c r="P75" i="59"/>
  <c r="P76" i="59" s="1"/>
  <c r="P78" i="59" s="1"/>
  <c r="F19" i="14"/>
  <c r="F23" i="14"/>
  <c r="F30" i="14"/>
  <c r="F34" i="14"/>
  <c r="F41" i="14"/>
  <c r="F56" i="14"/>
  <c r="F63" i="14"/>
  <c r="F67" i="14"/>
  <c r="F71" i="14"/>
  <c r="F78" i="14"/>
  <c r="F82" i="14"/>
  <c r="F86" i="14"/>
  <c r="F103" i="14"/>
  <c r="F107" i="14"/>
  <c r="F14" i="14"/>
  <c r="F25" i="14"/>
  <c r="F43" i="14"/>
  <c r="F65" i="14"/>
  <c r="F76" i="14"/>
  <c r="F80" i="14"/>
  <c r="F84" i="14"/>
  <c r="F22" i="14"/>
  <c r="F26" i="14"/>
  <c r="F37" i="14"/>
  <c r="F66" i="14"/>
  <c r="F77" i="14"/>
  <c r="F85" i="14"/>
  <c r="F106" i="14"/>
  <c r="R35" i="59"/>
  <c r="R41" i="59" s="1"/>
  <c r="D35" i="59"/>
  <c r="N35" i="59" s="1"/>
  <c r="D76" i="59"/>
  <c r="D78" i="59" s="1"/>
  <c r="D80" i="59" s="1"/>
  <c r="D38" i="59" s="1"/>
  <c r="N75" i="59"/>
  <c r="N76" i="59" s="1"/>
  <c r="N78" i="59" s="1"/>
  <c r="N80" i="59" s="1"/>
  <c r="F13" i="14"/>
  <c r="F20" i="14"/>
  <c r="F24" i="14"/>
  <c r="F31" i="14"/>
  <c r="F35" i="14"/>
  <c r="F42" i="14"/>
  <c r="F57" i="14"/>
  <c r="F64" i="14"/>
  <c r="F68" i="14"/>
  <c r="F75" i="14"/>
  <c r="F79" i="14"/>
  <c r="F83" i="14"/>
  <c r="F87" i="14"/>
  <c r="F104" i="14"/>
  <c r="R35" i="58"/>
  <c r="C21" i="67" s="1"/>
  <c r="E21" i="67" s="1"/>
  <c r="H36" i="28"/>
  <c r="F25" i="16" s="1"/>
  <c r="F24" i="67" s="1"/>
  <c r="G24" i="67" s="1"/>
  <c r="D28" i="58"/>
  <c r="R76" i="58"/>
  <c r="R78" i="58" s="1"/>
  <c r="P75" i="58"/>
  <c r="P76" i="58" s="1"/>
  <c r="P78" i="58" s="1"/>
  <c r="E34" i="28"/>
  <c r="R26" i="58"/>
  <c r="N75" i="58"/>
  <c r="N76" i="58" s="1"/>
  <c r="N78" i="58" s="1"/>
  <c r="N80" i="58" s="1"/>
  <c r="D76" i="58"/>
  <c r="D78" i="58" s="1"/>
  <c r="D80" i="58" s="1"/>
  <c r="D38" i="58" s="1"/>
  <c r="N38" i="58" s="1"/>
  <c r="H34" i="28"/>
  <c r="F23" i="16" s="1"/>
  <c r="F22" i="67" s="1"/>
  <c r="D26" i="58"/>
  <c r="N37" i="58"/>
  <c r="N37" i="59"/>
  <c r="P37" i="59"/>
  <c r="G43" i="25"/>
  <c r="D36" i="58" s="1"/>
  <c r="N36" i="58" s="1"/>
  <c r="D39" i="26"/>
  <c r="D41" i="26"/>
  <c r="D36" i="27"/>
  <c r="G41" i="25"/>
  <c r="F22" i="16" s="1"/>
  <c r="F21" i="67" s="1"/>
  <c r="E36" i="28"/>
  <c r="P26" i="59" l="1"/>
  <c r="P36" i="59"/>
  <c r="D41" i="59"/>
  <c r="R41" i="58"/>
  <c r="P30" i="59"/>
  <c r="D30" i="59"/>
  <c r="G21" i="67"/>
  <c r="R30" i="58"/>
  <c r="C22" i="67"/>
  <c r="E22" i="67" s="1"/>
  <c r="G22" i="67" s="1"/>
  <c r="C21" i="68"/>
  <c r="E21" i="68" s="1"/>
  <c r="P35" i="59"/>
  <c r="C17" i="40"/>
  <c r="D17" i="68"/>
  <c r="P38" i="59"/>
  <c r="P80" i="59" s="1"/>
  <c r="N38" i="59"/>
  <c r="N41" i="59" s="1"/>
  <c r="P26" i="58"/>
  <c r="N26" i="58"/>
  <c r="D30" i="58"/>
  <c r="D35" i="58"/>
  <c r="D41" i="58" s="1"/>
  <c r="P28" i="58"/>
  <c r="N28" i="58"/>
  <c r="F32" i="23"/>
  <c r="J32" i="23"/>
  <c r="I32" i="23"/>
  <c r="H32" i="23"/>
  <c r="P41" i="59" l="1"/>
  <c r="N35" i="58"/>
  <c r="N41" i="58" s="1"/>
  <c r="N30" i="58"/>
  <c r="P30" i="58"/>
  <c r="A4" i="47"/>
  <c r="A67" i="47" s="1"/>
  <c r="A71" i="47"/>
  <c r="A69" i="47"/>
  <c r="A66" i="47"/>
  <c r="A15" i="47"/>
  <c r="A16" i="47" s="1"/>
  <c r="A17" i="47" s="1"/>
  <c r="A18" i="47" s="1"/>
  <c r="A20" i="47" s="1"/>
  <c r="A21" i="47" s="1"/>
  <c r="A22" i="47" s="1"/>
  <c r="A7" i="47"/>
  <c r="A70" i="47" s="1"/>
  <c r="A2" i="47"/>
  <c r="A65" i="47" s="1"/>
  <c r="A1" i="47"/>
  <c r="J102" i="23"/>
  <c r="I102" i="23"/>
  <c r="H102" i="23"/>
  <c r="F102" i="23"/>
  <c r="J101" i="23"/>
  <c r="I101" i="23"/>
  <c r="H101" i="23"/>
  <c r="F101" i="23"/>
  <c r="J99" i="23"/>
  <c r="I99" i="23"/>
  <c r="H99" i="23"/>
  <c r="F99" i="23"/>
  <c r="J98" i="23"/>
  <c r="I98" i="23"/>
  <c r="H98" i="23"/>
  <c r="F98" i="23"/>
  <c r="J97" i="23"/>
  <c r="I97" i="23"/>
  <c r="H97" i="23"/>
  <c r="F97" i="23"/>
  <c r="J96" i="23"/>
  <c r="I96" i="23"/>
  <c r="H96" i="23"/>
  <c r="F96" i="23"/>
  <c r="J95" i="23"/>
  <c r="I95" i="23"/>
  <c r="H95" i="23"/>
  <c r="F95" i="23"/>
  <c r="J89" i="23"/>
  <c r="I89" i="23"/>
  <c r="H89" i="23"/>
  <c r="F89" i="23"/>
  <c r="J88" i="23"/>
  <c r="I88" i="23"/>
  <c r="H88" i="23"/>
  <c r="F88" i="23"/>
  <c r="J87" i="23"/>
  <c r="I87" i="23"/>
  <c r="H87" i="23"/>
  <c r="F87" i="23"/>
  <c r="J86" i="23"/>
  <c r="I86" i="23"/>
  <c r="H86" i="23"/>
  <c r="F86" i="23"/>
  <c r="J85" i="23"/>
  <c r="I85" i="23"/>
  <c r="H85" i="23"/>
  <c r="F85" i="23"/>
  <c r="J84" i="23"/>
  <c r="I84" i="23"/>
  <c r="H84" i="23"/>
  <c r="F84" i="23"/>
  <c r="J83" i="23"/>
  <c r="I83" i="23"/>
  <c r="H83" i="23"/>
  <c r="F83" i="23"/>
  <c r="J82" i="23"/>
  <c r="I82" i="23"/>
  <c r="H82" i="23"/>
  <c r="F82" i="23"/>
  <c r="J81" i="23"/>
  <c r="I81" i="23"/>
  <c r="H81" i="23"/>
  <c r="F81" i="23"/>
  <c r="J80" i="23"/>
  <c r="I80" i="23"/>
  <c r="H80" i="23"/>
  <c r="F80" i="23"/>
  <c r="J79" i="23"/>
  <c r="I79" i="23"/>
  <c r="H79" i="23"/>
  <c r="F79" i="23"/>
  <c r="H61" i="23"/>
  <c r="H60" i="23"/>
  <c r="H59" i="23"/>
  <c r="H58" i="23"/>
  <c r="H57" i="23"/>
  <c r="H56" i="23"/>
  <c r="H55" i="23"/>
  <c r="J61" i="23"/>
  <c r="I61" i="23"/>
  <c r="F61" i="23"/>
  <c r="J60" i="23"/>
  <c r="I60" i="23"/>
  <c r="F60" i="23"/>
  <c r="J59" i="23"/>
  <c r="I59" i="23"/>
  <c r="F59" i="23"/>
  <c r="J58" i="23"/>
  <c r="I58" i="23"/>
  <c r="F58" i="23"/>
  <c r="J57" i="23"/>
  <c r="I57" i="23"/>
  <c r="F57" i="23"/>
  <c r="J56" i="23"/>
  <c r="I56" i="23"/>
  <c r="F56" i="23"/>
  <c r="J55" i="23"/>
  <c r="I55" i="23"/>
  <c r="F55" i="23"/>
  <c r="I49" i="23"/>
  <c r="H49" i="23"/>
  <c r="F49" i="23"/>
  <c r="I48" i="23"/>
  <c r="H48" i="23"/>
  <c r="F48" i="23"/>
  <c r="I47" i="23"/>
  <c r="H47" i="23"/>
  <c r="F47" i="23"/>
  <c r="F55" i="18" l="1"/>
  <c r="H21" i="58" s="1"/>
  <c r="A24" i="47"/>
  <c r="A23" i="47"/>
  <c r="A25" i="47" s="1"/>
  <c r="A26" i="47" s="1"/>
  <c r="A27" i="47" s="1"/>
  <c r="A28" i="47" s="1"/>
  <c r="A29" i="47" s="1"/>
  <c r="A31" i="47" s="1"/>
  <c r="A32" i="47" s="1"/>
  <c r="A33" i="47" s="1"/>
  <c r="A34" i="47" s="1"/>
  <c r="A35" i="47" s="1"/>
  <c r="A36" i="47" s="1"/>
  <c r="A37" i="47" s="1"/>
  <c r="A38" i="47" s="1"/>
  <c r="A39" i="47" s="1"/>
  <c r="A40" i="47" s="1"/>
  <c r="A42" i="47" s="1"/>
  <c r="A43" i="47" s="1"/>
  <c r="A44" i="47" s="1"/>
  <c r="A45" i="47" s="1"/>
  <c r="A46" i="47" s="1"/>
  <c r="A47" i="47" s="1"/>
  <c r="A48" i="47" s="1"/>
  <c r="A49" i="47" s="1"/>
  <c r="A50" i="47" s="1"/>
  <c r="A51" i="47" s="1"/>
  <c r="A53" i="47" s="1"/>
  <c r="A54" i="47" s="1"/>
  <c r="A55" i="47" s="1"/>
  <c r="A56" i="47" s="1"/>
  <c r="A57" i="47" s="1"/>
  <c r="A58" i="47" s="1"/>
  <c r="A59" i="47" s="1"/>
  <c r="A60" i="47" s="1"/>
  <c r="A61" i="47" s="1"/>
  <c r="A62" i="47" s="1"/>
  <c r="A63" i="47" s="1"/>
  <c r="A77" i="47" s="1"/>
  <c r="A78" i="47" s="1"/>
  <c r="A79" i="47" s="1"/>
  <c r="A80" i="47" s="1"/>
  <c r="A81" i="47" s="1"/>
  <c r="A82" i="47" s="1"/>
  <c r="A83" i="47" s="1"/>
  <c r="A84" i="47" s="1"/>
  <c r="A85" i="47" s="1"/>
  <c r="A86" i="47" s="1"/>
  <c r="A87" i="47" s="1"/>
  <c r="A88" i="47" s="1"/>
  <c r="A89" i="47" s="1"/>
  <c r="A90" i="47" s="1"/>
  <c r="A91" i="47" s="1"/>
  <c r="A93" i="47" s="1"/>
  <c r="A94" i="47" s="1"/>
  <c r="A95" i="47" s="1"/>
  <c r="A96" i="47" s="1"/>
  <c r="A97" i="47" s="1"/>
  <c r="A98" i="47" s="1"/>
  <c r="A99" i="47" s="1"/>
  <c r="A100" i="47" s="1"/>
  <c r="A101" i="47" s="1"/>
  <c r="A102" i="47" s="1"/>
  <c r="A103" i="47" s="1"/>
  <c r="A104" i="47" s="1"/>
  <c r="A106" i="47" s="1"/>
  <c r="A64" i="47"/>
  <c r="H46" i="23"/>
  <c r="H45" i="23"/>
  <c r="H44" i="23"/>
  <c r="I46" i="23"/>
  <c r="F46" i="23"/>
  <c r="I45" i="23"/>
  <c r="F45" i="23"/>
  <c r="I44" i="23"/>
  <c r="F44" i="23"/>
  <c r="J43" i="23"/>
  <c r="I43" i="23"/>
  <c r="H43" i="23"/>
  <c r="F43" i="23"/>
  <c r="H38" i="23"/>
  <c r="H37" i="23"/>
  <c r="H36" i="23"/>
  <c r="H35" i="23"/>
  <c r="H34" i="23"/>
  <c r="H33" i="23"/>
  <c r="J38" i="23"/>
  <c r="I38" i="23"/>
  <c r="F38" i="23"/>
  <c r="J37" i="23"/>
  <c r="I37" i="23"/>
  <c r="F37" i="23"/>
  <c r="J36" i="23"/>
  <c r="I36" i="23"/>
  <c r="F36" i="23"/>
  <c r="J35" i="23"/>
  <c r="I35" i="23"/>
  <c r="F35" i="23"/>
  <c r="J34" i="23"/>
  <c r="I34" i="23"/>
  <c r="F34" i="23"/>
  <c r="J33" i="23"/>
  <c r="I33" i="23"/>
  <c r="F33" i="23"/>
  <c r="F88" i="46"/>
  <c r="H27" i="23"/>
  <c r="H23" i="23"/>
  <c r="H17" i="23"/>
  <c r="H22" i="23"/>
  <c r="I27" i="23"/>
  <c r="F27" i="23"/>
  <c r="I26" i="23"/>
  <c r="F26" i="23"/>
  <c r="I25" i="23"/>
  <c r="F25" i="23"/>
  <c r="I23" i="23"/>
  <c r="F23" i="23"/>
  <c r="J22" i="23"/>
  <c r="I22" i="23"/>
  <c r="F22" i="23"/>
  <c r="J17" i="23"/>
  <c r="I17" i="23"/>
  <c r="F17" i="23"/>
  <c r="J16" i="23"/>
  <c r="I16" i="23"/>
  <c r="H16" i="23"/>
  <c r="F16" i="23"/>
  <c r="P292" i="46"/>
  <c r="P274" i="46"/>
  <c r="P255" i="46"/>
  <c r="P236" i="46"/>
  <c r="P218" i="46"/>
  <c r="P197" i="46"/>
  <c r="P129" i="46"/>
  <c r="P110" i="46"/>
  <c r="P88" i="46"/>
  <c r="P72" i="46"/>
  <c r="T574" i="42"/>
  <c r="T233" i="42"/>
  <c r="C142" i="42"/>
  <c r="B142" i="42"/>
  <c r="A142" i="42"/>
  <c r="E67" i="5"/>
  <c r="F57" i="11" l="1"/>
  <c r="H18" i="58" s="1"/>
  <c r="H23" i="58" s="1"/>
  <c r="H32" i="58" s="1"/>
  <c r="H43" i="58" s="1"/>
  <c r="H47" i="58" s="1"/>
  <c r="J46" i="23"/>
  <c r="J26" i="23"/>
  <c r="E45" i="5"/>
  <c r="E23" i="5"/>
  <c r="E34" i="5"/>
  <c r="D19" i="5"/>
  <c r="E107" i="19"/>
  <c r="E59" i="19"/>
  <c r="E14" i="19"/>
  <c r="I95" i="5"/>
  <c r="I65" i="5"/>
  <c r="I43" i="5"/>
  <c r="I21" i="5"/>
  <c r="E97" i="5"/>
  <c r="E93" i="5"/>
  <c r="E86" i="5"/>
  <c r="E82" i="5"/>
  <c r="E78" i="5"/>
  <c r="E69" i="5"/>
  <c r="E58" i="19"/>
  <c r="E84" i="19"/>
  <c r="E26" i="19"/>
  <c r="I84" i="5"/>
  <c r="I76" i="5"/>
  <c r="I32" i="5"/>
  <c r="E99" i="5"/>
  <c r="E95" i="5"/>
  <c r="E91" i="5"/>
  <c r="E84" i="5"/>
  <c r="E80" i="5"/>
  <c r="E76" i="5"/>
  <c r="E71" i="5"/>
  <c r="D20" i="5"/>
  <c r="E47" i="5"/>
  <c r="D14" i="5"/>
  <c r="D21" i="5"/>
  <c r="E30" i="5"/>
  <c r="E41" i="5"/>
  <c r="E63" i="5"/>
  <c r="D13" i="5"/>
  <c r="E25" i="5"/>
  <c r="E36" i="5"/>
  <c r="E89" i="19"/>
  <c r="D53" i="18" s="1"/>
  <c r="D15" i="5"/>
  <c r="D22" i="5"/>
  <c r="E32" i="5"/>
  <c r="E43" i="5"/>
  <c r="E65" i="5"/>
  <c r="E14" i="5"/>
  <c r="E19" i="5"/>
  <c r="E21" i="5"/>
  <c r="F23" i="5"/>
  <c r="F30" i="5"/>
  <c r="F34" i="5"/>
  <c r="F41" i="5"/>
  <c r="F45" i="5"/>
  <c r="F63" i="5"/>
  <c r="F67" i="5"/>
  <c r="F71" i="5"/>
  <c r="F78" i="5"/>
  <c r="F84" i="5"/>
  <c r="F91" i="5"/>
  <c r="F95" i="5"/>
  <c r="F99" i="5"/>
  <c r="I24" i="5"/>
  <c r="I46" i="5"/>
  <c r="I79" i="5"/>
  <c r="I98" i="5"/>
  <c r="E15" i="19"/>
  <c r="E87" i="19"/>
  <c r="E32" i="19"/>
  <c r="F13" i="5"/>
  <c r="F14" i="5"/>
  <c r="F15" i="5"/>
  <c r="F19" i="5"/>
  <c r="F20" i="5"/>
  <c r="F21" i="5"/>
  <c r="F22" i="5"/>
  <c r="E24" i="5"/>
  <c r="E26" i="5"/>
  <c r="E31" i="5"/>
  <c r="E33" i="5"/>
  <c r="E35" i="5"/>
  <c r="E37" i="5"/>
  <c r="E42" i="5"/>
  <c r="E44" i="5"/>
  <c r="E46" i="5"/>
  <c r="E48" i="5"/>
  <c r="E64" i="5"/>
  <c r="E66" i="5"/>
  <c r="E68" i="5"/>
  <c r="E70" i="5"/>
  <c r="E75" i="5"/>
  <c r="E77" i="5"/>
  <c r="E79" i="5"/>
  <c r="E81" i="5"/>
  <c r="E83" i="5"/>
  <c r="E85" i="5"/>
  <c r="E87" i="5"/>
  <c r="E92" i="5"/>
  <c r="E94" i="5"/>
  <c r="E96" i="5"/>
  <c r="E98" i="5"/>
  <c r="E111" i="5"/>
  <c r="I14" i="5"/>
  <c r="I25" i="5"/>
  <c r="I36" i="5"/>
  <c r="I47" i="5"/>
  <c r="I69" i="5"/>
  <c r="I80" i="5"/>
  <c r="I91" i="5"/>
  <c r="I99" i="5"/>
  <c r="E22" i="19"/>
  <c r="E35" i="19"/>
  <c r="E79" i="19"/>
  <c r="E109" i="19"/>
  <c r="J23" i="23"/>
  <c r="J44" i="23"/>
  <c r="J48" i="23"/>
  <c r="J25" i="23"/>
  <c r="J45" i="23"/>
  <c r="E37" i="19"/>
  <c r="E108" i="19"/>
  <c r="E88" i="19"/>
  <c r="E112" i="19"/>
  <c r="E106" i="19"/>
  <c r="E83" i="19"/>
  <c r="E78" i="19"/>
  <c r="E45" i="19"/>
  <c r="E34" i="19"/>
  <c r="E25" i="19"/>
  <c r="E20" i="19"/>
  <c r="I97" i="5"/>
  <c r="I93" i="5"/>
  <c r="I86" i="5"/>
  <c r="I82" i="5"/>
  <c r="I78" i="5"/>
  <c r="I71" i="5"/>
  <c r="I67" i="5"/>
  <c r="I63" i="5"/>
  <c r="I45" i="5"/>
  <c r="I41" i="5"/>
  <c r="I34" i="5"/>
  <c r="I30" i="5"/>
  <c r="I23" i="5"/>
  <c r="I19" i="5"/>
  <c r="D111" i="5"/>
  <c r="D99" i="5"/>
  <c r="D98" i="5"/>
  <c r="D97" i="5"/>
  <c r="D96" i="5"/>
  <c r="D95" i="5"/>
  <c r="D94" i="5"/>
  <c r="D93" i="5"/>
  <c r="D92" i="5"/>
  <c r="D91" i="5"/>
  <c r="D87" i="5"/>
  <c r="D86" i="5"/>
  <c r="D85" i="5"/>
  <c r="D84" i="5"/>
  <c r="D83" i="5"/>
  <c r="D82" i="5"/>
  <c r="D81" i="5"/>
  <c r="D80" i="5"/>
  <c r="D79" i="5"/>
  <c r="D78" i="5"/>
  <c r="D77" i="5"/>
  <c r="D76" i="5"/>
  <c r="D75" i="5"/>
  <c r="D71" i="5"/>
  <c r="D70" i="5"/>
  <c r="D69" i="5"/>
  <c r="D68" i="5"/>
  <c r="D67" i="5"/>
  <c r="D66" i="5"/>
  <c r="D65" i="5"/>
  <c r="D64" i="5"/>
  <c r="D63" i="5"/>
  <c r="D48" i="5"/>
  <c r="D47" i="5"/>
  <c r="D46" i="5"/>
  <c r="D45" i="5"/>
  <c r="D44" i="5"/>
  <c r="D43" i="5"/>
  <c r="D42" i="5"/>
  <c r="D41" i="5"/>
  <c r="D37" i="5"/>
  <c r="D36" i="5"/>
  <c r="D35" i="5"/>
  <c r="D34" i="5"/>
  <c r="D33" i="5"/>
  <c r="D32" i="5"/>
  <c r="D31" i="5"/>
  <c r="D30" i="5"/>
  <c r="D26" i="5"/>
  <c r="D25" i="5"/>
  <c r="D24" i="5"/>
  <c r="D23" i="5"/>
  <c r="E110" i="19"/>
  <c r="E85" i="19"/>
  <c r="E44" i="19"/>
  <c r="E36" i="19"/>
  <c r="E104" i="19"/>
  <c r="E81" i="19"/>
  <c r="E73" i="19"/>
  <c r="D48" i="18" s="1"/>
  <c r="E43" i="19"/>
  <c r="E33" i="19"/>
  <c r="E24" i="19"/>
  <c r="E16" i="19"/>
  <c r="I111" i="5"/>
  <c r="I96" i="5"/>
  <c r="I92" i="5"/>
  <c r="I85" i="5"/>
  <c r="I81" i="5"/>
  <c r="I77" i="5"/>
  <c r="I70" i="5"/>
  <c r="I66" i="5"/>
  <c r="I48" i="5"/>
  <c r="I44" i="5"/>
  <c r="I37" i="5"/>
  <c r="I33" i="5"/>
  <c r="I26" i="5"/>
  <c r="I22" i="5"/>
  <c r="I15" i="5"/>
  <c r="G111" i="5"/>
  <c r="G99" i="5"/>
  <c r="G98" i="5"/>
  <c r="G97" i="5"/>
  <c r="G96" i="5"/>
  <c r="G95" i="5"/>
  <c r="G94" i="5"/>
  <c r="G93" i="5"/>
  <c r="G92" i="5"/>
  <c r="G91" i="5"/>
  <c r="G87" i="5"/>
  <c r="G86" i="5"/>
  <c r="G85" i="5"/>
  <c r="G84" i="5"/>
  <c r="G83" i="5"/>
  <c r="G82" i="5"/>
  <c r="G81" i="5"/>
  <c r="G80" i="5"/>
  <c r="G79" i="5"/>
  <c r="G78" i="5"/>
  <c r="G77" i="5"/>
  <c r="G76" i="5"/>
  <c r="G75" i="5"/>
  <c r="G71" i="5"/>
  <c r="G70" i="5"/>
  <c r="G69" i="5"/>
  <c r="G68" i="5"/>
  <c r="G67" i="5"/>
  <c r="G66" i="5"/>
  <c r="G65" i="5"/>
  <c r="G64" i="5"/>
  <c r="G63" i="5"/>
  <c r="G48" i="5"/>
  <c r="G47" i="5"/>
  <c r="G46" i="5"/>
  <c r="G45" i="5"/>
  <c r="G44" i="5"/>
  <c r="G43" i="5"/>
  <c r="G42" i="5"/>
  <c r="G41" i="5"/>
  <c r="G37" i="5"/>
  <c r="G36" i="5"/>
  <c r="G35" i="5"/>
  <c r="G34" i="5"/>
  <c r="G33" i="5"/>
  <c r="G32" i="5"/>
  <c r="G31" i="5"/>
  <c r="G30" i="5"/>
  <c r="G26" i="5"/>
  <c r="G25" i="5"/>
  <c r="G24" i="5"/>
  <c r="G23" i="5"/>
  <c r="E13" i="5"/>
  <c r="E15" i="5"/>
  <c r="E20" i="5"/>
  <c r="E22" i="5"/>
  <c r="F25" i="5"/>
  <c r="F32" i="5"/>
  <c r="F36" i="5"/>
  <c r="F43" i="5"/>
  <c r="F47" i="5"/>
  <c r="F65" i="5"/>
  <c r="F69" i="5"/>
  <c r="F76" i="5"/>
  <c r="F80" i="5"/>
  <c r="F82" i="5"/>
  <c r="F86" i="5"/>
  <c r="F93" i="5"/>
  <c r="F97" i="5"/>
  <c r="I13" i="5"/>
  <c r="I35" i="5"/>
  <c r="I68" i="5"/>
  <c r="I87" i="5"/>
  <c r="E27" i="19"/>
  <c r="D45" i="18" s="1"/>
  <c r="E61" i="19"/>
  <c r="D47" i="18" s="1"/>
  <c r="E86" i="19"/>
  <c r="G13" i="5"/>
  <c r="G14" i="5"/>
  <c r="G15" i="5"/>
  <c r="G19" i="5"/>
  <c r="G20" i="5"/>
  <c r="G21" i="5"/>
  <c r="G22" i="5"/>
  <c r="F24" i="5"/>
  <c r="F26" i="5"/>
  <c r="F31" i="5"/>
  <c r="F33" i="5"/>
  <c r="F35" i="5"/>
  <c r="F37" i="5"/>
  <c r="F42" i="5"/>
  <c r="F44" i="5"/>
  <c r="F46" i="5"/>
  <c r="F48" i="5"/>
  <c r="F64" i="5"/>
  <c r="F66" i="5"/>
  <c r="F68" i="5"/>
  <c r="F70" i="5"/>
  <c r="F75" i="5"/>
  <c r="F77" i="5"/>
  <c r="F79" i="5"/>
  <c r="F81" i="5"/>
  <c r="F83" i="5"/>
  <c r="F85" i="5"/>
  <c r="F87" i="5"/>
  <c r="F92" i="5"/>
  <c r="F94" i="5"/>
  <c r="F96" i="5"/>
  <c r="F98" i="5"/>
  <c r="F111" i="5"/>
  <c r="I20" i="5"/>
  <c r="I31" i="5"/>
  <c r="I42" i="5"/>
  <c r="I64" i="5"/>
  <c r="I75" i="5"/>
  <c r="I83" i="5"/>
  <c r="I94" i="5"/>
  <c r="E23" i="19"/>
  <c r="E38" i="19"/>
  <c r="D46" i="18" s="1"/>
  <c r="E80" i="19"/>
  <c r="E113" i="19"/>
  <c r="J49" i="23"/>
  <c r="E60" i="19"/>
  <c r="E111" i="19"/>
  <c r="J47" i="23"/>
  <c r="J27" i="23"/>
  <c r="H25" i="23"/>
  <c r="F110" i="46"/>
  <c r="H42" i="19"/>
  <c r="H37" i="19"/>
  <c r="H32" i="19"/>
  <c r="H69" i="19"/>
  <c r="H33" i="19"/>
  <c r="H23" i="19"/>
  <c r="H20" i="19"/>
  <c r="H71" i="19"/>
  <c r="H65" i="19"/>
  <c r="H59" i="19"/>
  <c r="H105" i="19"/>
  <c r="H34" i="19"/>
  <c r="H31" i="19"/>
  <c r="H86" i="19"/>
  <c r="H24" i="19"/>
  <c r="H58" i="19"/>
  <c r="H45" i="19"/>
  <c r="H36" i="19"/>
  <c r="H84" i="19"/>
  <c r="H109" i="19"/>
  <c r="H108" i="19"/>
  <c r="H87" i="19"/>
  <c r="H66" i="19"/>
  <c r="H43" i="19"/>
  <c r="H35" i="19"/>
  <c r="H44" i="19"/>
  <c r="H16" i="19"/>
  <c r="H15" i="19"/>
  <c r="H110" i="19"/>
  <c r="H111" i="19"/>
  <c r="H77" i="19"/>
  <c r="H104" i="19"/>
  <c r="H113" i="19"/>
  <c r="H14" i="19"/>
  <c r="H106" i="19"/>
  <c r="H85" i="19"/>
  <c r="H78" i="19"/>
  <c r="H72" i="19"/>
  <c r="H68" i="19"/>
  <c r="H112" i="19"/>
  <c r="H60" i="19"/>
  <c r="G34" i="14"/>
  <c r="G69" i="14"/>
  <c r="G13" i="14"/>
  <c r="G84" i="14"/>
  <c r="G14" i="14"/>
  <c r="G42" i="14"/>
  <c r="G77" i="14"/>
  <c r="G105" i="14"/>
  <c r="G57" i="14"/>
  <c r="G33" i="14"/>
  <c r="G41" i="14"/>
  <c r="G68" i="14"/>
  <c r="G103" i="14"/>
  <c r="G83" i="14"/>
  <c r="G65" i="14"/>
  <c r="G56" i="14"/>
  <c r="G76" i="14"/>
  <c r="G108" i="14"/>
  <c r="G22" i="14"/>
  <c r="G101" i="14"/>
  <c r="G75" i="14"/>
  <c r="G102" i="14"/>
  <c r="G32" i="14"/>
  <c r="G67" i="14"/>
  <c r="G23" i="14"/>
  <c r="G107" i="14"/>
  <c r="G36" i="14"/>
  <c r="G63" i="14"/>
  <c r="G64" i="14"/>
  <c r="G106" i="14"/>
  <c r="G66" i="14"/>
  <c r="G58" i="14"/>
  <c r="G30" i="14"/>
  <c r="G110" i="14"/>
  <c r="G43" i="14"/>
  <c r="G70" i="14"/>
  <c r="G15" i="14"/>
  <c r="G44" i="14"/>
  <c r="G35" i="14"/>
  <c r="G31" i="14"/>
  <c r="H87" i="17"/>
  <c r="H86" i="17"/>
  <c r="H68" i="17"/>
  <c r="H44" i="17"/>
  <c r="H109" i="17"/>
  <c r="H20" i="17"/>
  <c r="H43" i="17"/>
  <c r="H77" i="17"/>
  <c r="H110" i="17"/>
  <c r="H15" i="17"/>
  <c r="H31" i="17"/>
  <c r="H72" i="17"/>
  <c r="H70" i="17"/>
  <c r="H65" i="17"/>
  <c r="H69" i="17"/>
  <c r="H37" i="17"/>
  <c r="H59" i="17"/>
  <c r="H24" i="17"/>
  <c r="H35" i="17"/>
  <c r="H45" i="17"/>
  <c r="H67" i="17"/>
  <c r="H66" i="17"/>
  <c r="H111" i="17"/>
  <c r="H108" i="17"/>
  <c r="H34" i="17"/>
  <c r="H16" i="17"/>
  <c r="H42" i="17"/>
  <c r="H84" i="17"/>
  <c r="H106" i="17"/>
  <c r="H105" i="17"/>
  <c r="H88" i="17"/>
  <c r="H113" i="17"/>
  <c r="H14" i="17"/>
  <c r="H36" i="17"/>
  <c r="H33" i="17"/>
  <c r="H71" i="17"/>
  <c r="H32" i="17"/>
  <c r="H112" i="17"/>
  <c r="H58" i="17"/>
  <c r="H78" i="17"/>
  <c r="H60" i="17"/>
  <c r="H104" i="17"/>
  <c r="H23" i="17"/>
  <c r="H79" i="17"/>
  <c r="G64" i="12"/>
  <c r="G86" i="12"/>
  <c r="G70" i="12"/>
  <c r="G22" i="12"/>
  <c r="G44" i="12"/>
  <c r="G106" i="12"/>
  <c r="G35" i="12"/>
  <c r="G83" i="12"/>
  <c r="G105" i="12"/>
  <c r="G65" i="12"/>
  <c r="G110" i="12"/>
  <c r="G69" i="12"/>
  <c r="G101" i="12"/>
  <c r="G41" i="12"/>
  <c r="G66" i="12"/>
  <c r="G30" i="12"/>
  <c r="G56" i="12"/>
  <c r="G32" i="12"/>
  <c r="G108" i="12"/>
  <c r="G13" i="12"/>
  <c r="G102" i="12"/>
  <c r="G36" i="12"/>
  <c r="G107" i="12"/>
  <c r="G63" i="12"/>
  <c r="G33" i="12"/>
  <c r="G58" i="12"/>
  <c r="G34" i="12"/>
  <c r="G103" i="12"/>
  <c r="G57" i="12"/>
  <c r="G67" i="12"/>
  <c r="G14" i="12"/>
  <c r="G42" i="12"/>
  <c r="G15" i="12"/>
  <c r="G43" i="12"/>
  <c r="G68" i="12"/>
  <c r="G77" i="12"/>
  <c r="G23" i="12"/>
  <c r="G76" i="12"/>
  <c r="G84" i="12"/>
  <c r="G75" i="12"/>
  <c r="G31" i="12"/>
  <c r="E77" i="19"/>
  <c r="E82" i="19"/>
  <c r="G109" i="14" l="1"/>
  <c r="G85" i="14"/>
  <c r="I38" i="5"/>
  <c r="I16" i="5"/>
  <c r="I49" i="5"/>
  <c r="I27" i="5"/>
  <c r="D57" i="18"/>
  <c r="D15" i="67" s="1"/>
  <c r="H26" i="23"/>
  <c r="E105" i="19"/>
  <c r="E31" i="19"/>
  <c r="E42" i="19"/>
  <c r="E21" i="19"/>
  <c r="E67" i="19" l="1"/>
  <c r="E69" i="19"/>
  <c r="E72" i="19"/>
  <c r="E70" i="19"/>
  <c r="E66" i="19"/>
  <c r="E71" i="19"/>
  <c r="E68" i="19"/>
  <c r="E65" i="19" l="1"/>
  <c r="A7" i="40" l="1"/>
  <c r="A25" i="40" s="1"/>
  <c r="A4" i="40"/>
  <c r="A2" i="40"/>
  <c r="A20" i="40" s="1"/>
  <c r="A1" i="40"/>
  <c r="A19" i="40" s="1"/>
  <c r="E33" i="40"/>
  <c r="E32" i="40"/>
  <c r="E31" i="40"/>
  <c r="A31" i="40"/>
  <c r="A32" i="40" s="1"/>
  <c r="A33" i="40" s="1"/>
  <c r="A26" i="40"/>
  <c r="A21" i="40"/>
  <c r="E15" i="40"/>
  <c r="E14" i="40"/>
  <c r="E13" i="40"/>
  <c r="A13" i="40"/>
  <c r="A14" i="40" s="1"/>
  <c r="A15" i="40" s="1"/>
  <c r="J20" i="20"/>
  <c r="J18" i="20"/>
  <c r="J16" i="20"/>
  <c r="H83" i="10" l="1"/>
  <c r="E83" i="10"/>
  <c r="G83" i="10" s="1"/>
  <c r="G82" i="10"/>
  <c r="G81" i="10"/>
  <c r="G80" i="10"/>
  <c r="G79" i="10"/>
  <c r="G78" i="10"/>
  <c r="G77" i="10"/>
  <c r="G76" i="10"/>
  <c r="G75" i="10"/>
  <c r="G74" i="10"/>
  <c r="G73" i="10"/>
  <c r="G72" i="10"/>
  <c r="G71" i="10"/>
  <c r="G70" i="10"/>
  <c r="G69" i="10"/>
  <c r="G68" i="10"/>
  <c r="G67" i="10"/>
  <c r="G66" i="10"/>
  <c r="G65" i="10"/>
  <c r="G64" i="10"/>
  <c r="G63" i="10"/>
  <c r="G62" i="10"/>
  <c r="G61" i="10"/>
  <c r="G60" i="10"/>
  <c r="G59" i="10"/>
  <c r="G58" i="10"/>
  <c r="G57" i="10"/>
  <c r="A57" i="10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H41" i="10"/>
  <c r="E41" i="10"/>
  <c r="G41" i="10" s="1"/>
  <c r="G40" i="10"/>
  <c r="G39" i="10"/>
  <c r="G38" i="10"/>
  <c r="G37" i="10"/>
  <c r="G36" i="10"/>
  <c r="G35" i="10"/>
  <c r="G34" i="10"/>
  <c r="G33" i="10"/>
  <c r="G32" i="10"/>
  <c r="G31" i="10"/>
  <c r="G30" i="10"/>
  <c r="G29" i="10"/>
  <c r="G28" i="10"/>
  <c r="G27" i="10"/>
  <c r="G26" i="10"/>
  <c r="G25" i="10"/>
  <c r="G24" i="10"/>
  <c r="G23" i="10"/>
  <c r="G22" i="10"/>
  <c r="G21" i="10"/>
  <c r="G20" i="10"/>
  <c r="G19" i="10"/>
  <c r="G18" i="10"/>
  <c r="G17" i="10"/>
  <c r="G16" i="10"/>
  <c r="G15" i="10"/>
  <c r="A15" i="10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73" i="10" l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31" i="10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C13" i="37"/>
  <c r="C11" i="37"/>
  <c r="A9" i="37"/>
  <c r="A7" i="37"/>
  <c r="B579" i="13" l="1"/>
  <c r="B578" i="13"/>
  <c r="B577" i="13"/>
  <c r="B576" i="13"/>
  <c r="B575" i="13"/>
  <c r="B574" i="13"/>
  <c r="B573" i="13"/>
  <c r="B572" i="13"/>
  <c r="B571" i="13"/>
  <c r="B570" i="13"/>
  <c r="B569" i="13"/>
  <c r="B568" i="13"/>
  <c r="B567" i="13"/>
  <c r="B566" i="13"/>
  <c r="B565" i="13"/>
  <c r="B564" i="13"/>
  <c r="B563" i="13"/>
  <c r="B562" i="13"/>
  <c r="B561" i="13"/>
  <c r="B560" i="13"/>
  <c r="B559" i="13"/>
  <c r="B558" i="13"/>
  <c r="B557" i="13"/>
  <c r="B556" i="13"/>
  <c r="B555" i="13"/>
  <c r="B554" i="13"/>
  <c r="B553" i="13"/>
  <c r="B552" i="13"/>
  <c r="B551" i="13"/>
  <c r="B550" i="13"/>
  <c r="B549" i="13"/>
  <c r="B548" i="13"/>
  <c r="B547" i="13"/>
  <c r="B546" i="13"/>
  <c r="B545" i="13"/>
  <c r="B544" i="13"/>
  <c r="B543" i="13"/>
  <c r="B542" i="13"/>
  <c r="B541" i="13"/>
  <c r="B540" i="13"/>
  <c r="B539" i="13"/>
  <c r="B538" i="13"/>
  <c r="B537" i="13"/>
  <c r="B536" i="13"/>
  <c r="B535" i="13"/>
  <c r="B534" i="13"/>
  <c r="B533" i="13"/>
  <c r="B532" i="13"/>
  <c r="B531" i="13"/>
  <c r="B530" i="13"/>
  <c r="B529" i="13"/>
  <c r="B528" i="13"/>
  <c r="B527" i="13"/>
  <c r="B526" i="13"/>
  <c r="B525" i="13"/>
  <c r="B524" i="13"/>
  <c r="B523" i="13"/>
  <c r="B522" i="13"/>
  <c r="B521" i="13"/>
  <c r="B520" i="13"/>
  <c r="B519" i="13"/>
  <c r="B518" i="13"/>
  <c r="B517" i="13"/>
  <c r="B516" i="13"/>
  <c r="B515" i="13"/>
  <c r="B514" i="13"/>
  <c r="B513" i="13"/>
  <c r="B512" i="13"/>
  <c r="B511" i="13"/>
  <c r="B510" i="13"/>
  <c r="B509" i="13"/>
  <c r="B508" i="13"/>
  <c r="B507" i="13"/>
  <c r="B506" i="13"/>
  <c r="B505" i="13"/>
  <c r="B504" i="13"/>
  <c r="B503" i="13"/>
  <c r="B502" i="13"/>
  <c r="B501" i="13"/>
  <c r="B500" i="13"/>
  <c r="B499" i="13"/>
  <c r="B498" i="13"/>
  <c r="B497" i="13"/>
  <c r="B496" i="13"/>
  <c r="B495" i="13"/>
  <c r="B494" i="13"/>
  <c r="B493" i="13"/>
  <c r="B492" i="13"/>
  <c r="B491" i="13"/>
  <c r="B490" i="13"/>
  <c r="B489" i="13"/>
  <c r="B488" i="13"/>
  <c r="B487" i="13"/>
  <c r="B486" i="13"/>
  <c r="B485" i="13"/>
  <c r="B484" i="13"/>
  <c r="B483" i="13"/>
  <c r="B482" i="13"/>
  <c r="B481" i="13"/>
  <c r="B480" i="13"/>
  <c r="B479" i="13"/>
  <c r="B478" i="13"/>
  <c r="B477" i="13"/>
  <c r="B475" i="13"/>
  <c r="B474" i="13"/>
  <c r="B473" i="13"/>
  <c r="B472" i="13"/>
  <c r="B471" i="13"/>
  <c r="B470" i="13"/>
  <c r="B469" i="13"/>
  <c r="B468" i="13"/>
  <c r="B467" i="13"/>
  <c r="B466" i="13"/>
  <c r="B465" i="13"/>
  <c r="B464" i="13"/>
  <c r="B463" i="13"/>
  <c r="B462" i="13"/>
  <c r="B461" i="13"/>
  <c r="B460" i="13"/>
  <c r="B459" i="13"/>
  <c r="B458" i="13"/>
  <c r="B457" i="13"/>
  <c r="B456" i="13"/>
  <c r="B455" i="13"/>
  <c r="B454" i="13"/>
  <c r="B453" i="13"/>
  <c r="B452" i="13"/>
  <c r="B451" i="13"/>
  <c r="B450" i="13"/>
  <c r="B449" i="13"/>
  <c r="B448" i="13"/>
  <c r="B447" i="13"/>
  <c r="B446" i="13"/>
  <c r="B445" i="13"/>
  <c r="B444" i="13"/>
  <c r="B443" i="13"/>
  <c r="B442" i="13"/>
  <c r="B441" i="13"/>
  <c r="B440" i="13"/>
  <c r="B439" i="13"/>
  <c r="B438" i="13"/>
  <c r="B437" i="13"/>
  <c r="B436" i="13"/>
  <c r="B435" i="13"/>
  <c r="B434" i="13"/>
  <c r="B433" i="13"/>
  <c r="B432" i="13"/>
  <c r="B431" i="13"/>
  <c r="B430" i="13"/>
  <c r="B429" i="13"/>
  <c r="B428" i="13"/>
  <c r="B427" i="13"/>
  <c r="B426" i="13"/>
  <c r="B425" i="13"/>
  <c r="B424" i="13"/>
  <c r="B423" i="13"/>
  <c r="B422" i="13"/>
  <c r="B421" i="13"/>
  <c r="B420" i="13"/>
  <c r="B419" i="13"/>
  <c r="B418" i="13"/>
  <c r="B417" i="13"/>
  <c r="B416" i="13"/>
  <c r="B415" i="13"/>
  <c r="B414" i="13"/>
  <c r="B413" i="13"/>
  <c r="B412" i="13"/>
  <c r="B411" i="13"/>
  <c r="B410" i="13"/>
  <c r="B409" i="13"/>
  <c r="B408" i="13"/>
  <c r="B407" i="13"/>
  <c r="B406" i="13"/>
  <c r="B405" i="13"/>
  <c r="B404" i="13"/>
  <c r="B403" i="13"/>
  <c r="B402" i="13"/>
  <c r="B401" i="13"/>
  <c r="B400" i="13"/>
  <c r="B399" i="13"/>
  <c r="B398" i="13"/>
  <c r="B397" i="13"/>
  <c r="B396" i="13"/>
  <c r="B395" i="13"/>
  <c r="B394" i="13"/>
  <c r="B393" i="13"/>
  <c r="B392" i="13"/>
  <c r="B391" i="13"/>
  <c r="B390" i="13"/>
  <c r="B389" i="13"/>
  <c r="B388" i="13"/>
  <c r="B387" i="13"/>
  <c r="B386" i="13"/>
  <c r="B385" i="13"/>
  <c r="B384" i="13"/>
  <c r="D117" i="31" l="1"/>
  <c r="D107" i="31"/>
  <c r="D95" i="31"/>
  <c r="D90" i="31"/>
  <c r="D84" i="31"/>
  <c r="F117" i="31"/>
  <c r="F107" i="31"/>
  <c r="F95" i="31"/>
  <c r="F90" i="31"/>
  <c r="F84" i="31"/>
  <c r="D57" i="31"/>
  <c r="D47" i="31"/>
  <c r="D28" i="31"/>
  <c r="F57" i="31"/>
  <c r="F47" i="31"/>
  <c r="F28" i="31"/>
  <c r="O25" i="31"/>
  <c r="D119" i="31" l="1"/>
  <c r="F119" i="31"/>
  <c r="P119" i="31"/>
  <c r="P59" i="31"/>
  <c r="P121" i="31" l="1"/>
  <c r="N119" i="31" l="1"/>
  <c r="O57" i="31" l="1"/>
  <c r="O47" i="31"/>
  <c r="O19" i="31"/>
  <c r="L117" i="31"/>
  <c r="A77" i="31"/>
  <c r="A78" i="31" s="1"/>
  <c r="A79" i="31" s="1"/>
  <c r="A80" i="31" s="1"/>
  <c r="A81" i="31" s="1"/>
  <c r="A82" i="31" s="1"/>
  <c r="A83" i="31" s="1"/>
  <c r="A84" i="31" s="1"/>
  <c r="A86" i="31" s="1"/>
  <c r="E57" i="31"/>
  <c r="E56" i="31"/>
  <c r="E55" i="31"/>
  <c r="E54" i="31"/>
  <c r="E52" i="31"/>
  <c r="E51" i="31"/>
  <c r="E50" i="31"/>
  <c r="E47" i="31"/>
  <c r="E45" i="31"/>
  <c r="E44" i="31"/>
  <c r="E43" i="31"/>
  <c r="E42" i="31"/>
  <c r="E41" i="31"/>
  <c r="E40" i="31"/>
  <c r="E39" i="31"/>
  <c r="E38" i="31"/>
  <c r="E37" i="31"/>
  <c r="E36" i="31"/>
  <c r="E35" i="31"/>
  <c r="E33" i="31"/>
  <c r="E31" i="31"/>
  <c r="E28" i="31"/>
  <c r="E26" i="31"/>
  <c r="E24" i="31"/>
  <c r="E20" i="31"/>
  <c r="G56" i="31"/>
  <c r="G55" i="31"/>
  <c r="G54" i="31"/>
  <c r="G52" i="31"/>
  <c r="G51" i="31"/>
  <c r="G50" i="31"/>
  <c r="G45" i="31"/>
  <c r="G44" i="31"/>
  <c r="G43" i="31"/>
  <c r="G42" i="31"/>
  <c r="G41" i="31"/>
  <c r="G40" i="31"/>
  <c r="G39" i="31"/>
  <c r="G38" i="31"/>
  <c r="G37" i="31"/>
  <c r="G36" i="31"/>
  <c r="G35" i="31"/>
  <c r="G34" i="31"/>
  <c r="G33" i="31"/>
  <c r="G31" i="31"/>
  <c r="G26" i="31"/>
  <c r="G24" i="31"/>
  <c r="G20" i="31"/>
  <c r="O56" i="31"/>
  <c r="O55" i="31"/>
  <c r="O54" i="31"/>
  <c r="O52" i="31"/>
  <c r="O51" i="31"/>
  <c r="O50" i="31"/>
  <c r="O45" i="31"/>
  <c r="O44" i="31"/>
  <c r="O43" i="31"/>
  <c r="O42" i="31"/>
  <c r="O41" i="31"/>
  <c r="O40" i="31"/>
  <c r="O39" i="31"/>
  <c r="O38" i="31"/>
  <c r="O37" i="31"/>
  <c r="O36" i="31"/>
  <c r="O35" i="31"/>
  <c r="O34" i="31"/>
  <c r="O33" i="31"/>
  <c r="O31" i="31"/>
  <c r="O26" i="31"/>
  <c r="O24" i="31"/>
  <c r="O20" i="31"/>
  <c r="O18" i="31"/>
  <c r="O17" i="31"/>
  <c r="M56" i="31"/>
  <c r="M55" i="31"/>
  <c r="M54" i="31"/>
  <c r="M52" i="31"/>
  <c r="M51" i="31"/>
  <c r="M50" i="31"/>
  <c r="M46" i="31"/>
  <c r="M45" i="31"/>
  <c r="M44" i="31"/>
  <c r="M43" i="31"/>
  <c r="M42" i="31"/>
  <c r="M41" i="31"/>
  <c r="M40" i="31"/>
  <c r="M39" i="31"/>
  <c r="M38" i="31"/>
  <c r="M37" i="31"/>
  <c r="M36" i="31"/>
  <c r="M35" i="31"/>
  <c r="M34" i="31"/>
  <c r="M33" i="31"/>
  <c r="M31" i="31"/>
  <c r="M26" i="31"/>
  <c r="M24" i="31"/>
  <c r="M20" i="31"/>
  <c r="M18" i="31"/>
  <c r="M17" i="31"/>
  <c r="K56" i="31"/>
  <c r="K55" i="31"/>
  <c r="K54" i="31"/>
  <c r="K52" i="31"/>
  <c r="K51" i="31"/>
  <c r="K50" i="31"/>
  <c r="K45" i="31"/>
  <c r="K44" i="31"/>
  <c r="K43" i="31"/>
  <c r="K42" i="31"/>
  <c r="K41" i="31"/>
  <c r="K40" i="31"/>
  <c r="K39" i="31"/>
  <c r="K38" i="31"/>
  <c r="K37" i="31"/>
  <c r="K36" i="31"/>
  <c r="K35" i="31"/>
  <c r="K34" i="31"/>
  <c r="K33" i="31"/>
  <c r="K31" i="31"/>
  <c r="K26" i="31"/>
  <c r="K24" i="31"/>
  <c r="K20" i="31"/>
  <c r="K18" i="31"/>
  <c r="A87" i="31" l="1"/>
  <c r="A88" i="31" s="1"/>
  <c r="A89" i="31" s="1"/>
  <c r="A90" i="31" s="1"/>
  <c r="A92" i="31" s="1"/>
  <c r="A93" i="31" s="1"/>
  <c r="A94" i="31" s="1"/>
  <c r="A95" i="31" s="1"/>
  <c r="A97" i="31" s="1"/>
  <c r="A98" i="31" s="1"/>
  <c r="A99" i="31" s="1"/>
  <c r="A100" i="31" s="1"/>
  <c r="A101" i="31" s="1"/>
  <c r="A102" i="31" s="1"/>
  <c r="A103" i="31" s="1"/>
  <c r="A104" i="31" s="1"/>
  <c r="A105" i="31" s="1"/>
  <c r="A106" i="31" s="1"/>
  <c r="A107" i="31" s="1"/>
  <c r="A109" i="31" s="1"/>
  <c r="A110" i="31" s="1"/>
  <c r="A111" i="31" s="1"/>
  <c r="A112" i="31" s="1"/>
  <c r="A113" i="31" s="1"/>
  <c r="A114" i="31" s="1"/>
  <c r="A115" i="31" s="1"/>
  <c r="A116" i="31" s="1"/>
  <c r="A117" i="31" s="1"/>
  <c r="A119" i="31" s="1"/>
  <c r="M28" i="31"/>
  <c r="L59" i="31"/>
  <c r="O28" i="31"/>
  <c r="M57" i="31"/>
  <c r="M19" i="31"/>
  <c r="M47" i="31"/>
  <c r="L119" i="31"/>
  <c r="L121" i="31" l="1"/>
  <c r="M21" i="31"/>
  <c r="N59" i="31"/>
  <c r="O21" i="31"/>
  <c r="O59" i="31" l="1"/>
  <c r="N121" i="31"/>
  <c r="M59" i="31"/>
  <c r="O119" i="31" l="1"/>
  <c r="O117" i="31"/>
  <c r="O116" i="31"/>
  <c r="O114" i="31"/>
  <c r="O113" i="31"/>
  <c r="O112" i="31"/>
  <c r="O111" i="31"/>
  <c r="O110" i="31"/>
  <c r="O107" i="31"/>
  <c r="O106" i="31"/>
  <c r="O105" i="31"/>
  <c r="O104" i="31"/>
  <c r="O103" i="31"/>
  <c r="O102" i="31"/>
  <c r="O101" i="31"/>
  <c r="O99" i="31"/>
  <c r="O95" i="31"/>
  <c r="O94" i="31"/>
  <c r="O93" i="31"/>
  <c r="O90" i="31"/>
  <c r="O87" i="31"/>
  <c r="O84" i="31"/>
  <c r="O83" i="31"/>
  <c r="O82" i="31"/>
  <c r="O80" i="31"/>
  <c r="O79" i="31"/>
  <c r="O78" i="31"/>
  <c r="M119" i="31"/>
  <c r="M117" i="31"/>
  <c r="M116" i="31"/>
  <c r="M114" i="31"/>
  <c r="M113" i="31"/>
  <c r="M112" i="31"/>
  <c r="M111" i="31"/>
  <c r="M110" i="31"/>
  <c r="M107" i="31"/>
  <c r="M106" i="31"/>
  <c r="M105" i="31"/>
  <c r="M104" i="31"/>
  <c r="M103" i="31"/>
  <c r="M102" i="31"/>
  <c r="M101" i="31"/>
  <c r="M99" i="31"/>
  <c r="M95" i="31"/>
  <c r="M94" i="31"/>
  <c r="M93" i="31"/>
  <c r="M90" i="31"/>
  <c r="M89" i="31"/>
  <c r="M87" i="31"/>
  <c r="M84" i="31"/>
  <c r="M83" i="31"/>
  <c r="M82" i="31"/>
  <c r="M81" i="31"/>
  <c r="M80" i="31"/>
  <c r="M79" i="31"/>
  <c r="M78" i="31"/>
  <c r="K116" i="31"/>
  <c r="K114" i="31"/>
  <c r="K113" i="31"/>
  <c r="K112" i="31"/>
  <c r="K111" i="31"/>
  <c r="K110" i="31"/>
  <c r="K106" i="31"/>
  <c r="K105" i="31"/>
  <c r="K104" i="31"/>
  <c r="K103" i="31"/>
  <c r="K102" i="31"/>
  <c r="K101" i="31"/>
  <c r="K99" i="31"/>
  <c r="K94" i="31"/>
  <c r="K93" i="31"/>
  <c r="K89" i="31"/>
  <c r="K87" i="31"/>
  <c r="K82" i="31"/>
  <c r="K81" i="31"/>
  <c r="K80" i="31"/>
  <c r="K79" i="31"/>
  <c r="K78" i="31"/>
  <c r="E119" i="31"/>
  <c r="E117" i="31"/>
  <c r="E116" i="31"/>
  <c r="E114" i="31"/>
  <c r="E113" i="31"/>
  <c r="E112" i="31"/>
  <c r="E111" i="31"/>
  <c r="E110" i="31"/>
  <c r="E107" i="31"/>
  <c r="E106" i="31"/>
  <c r="E105" i="31"/>
  <c r="E104" i="31"/>
  <c r="E103" i="31"/>
  <c r="E102" i="31"/>
  <c r="E101" i="31"/>
  <c r="E99" i="31"/>
  <c r="E95" i="31"/>
  <c r="E94" i="31"/>
  <c r="E93" i="31"/>
  <c r="E90" i="31"/>
  <c r="E89" i="31"/>
  <c r="E87" i="31"/>
  <c r="E84" i="31"/>
  <c r="E82" i="31"/>
  <c r="E81" i="31"/>
  <c r="E80" i="31"/>
  <c r="E79" i="31"/>
  <c r="E78" i="31"/>
  <c r="G116" i="31"/>
  <c r="G114" i="31"/>
  <c r="G113" i="31"/>
  <c r="G112" i="31"/>
  <c r="G111" i="31"/>
  <c r="G110" i="31"/>
  <c r="G106" i="31"/>
  <c r="G105" i="31"/>
  <c r="G104" i="31"/>
  <c r="G103" i="31"/>
  <c r="G102" i="31"/>
  <c r="G101" i="31"/>
  <c r="G99" i="31"/>
  <c r="G98" i="31"/>
  <c r="G94" i="31"/>
  <c r="G93" i="31"/>
  <c r="G89" i="31"/>
  <c r="G87" i="31"/>
  <c r="G82" i="31"/>
  <c r="G81" i="31"/>
  <c r="G80" i="31"/>
  <c r="G79" i="31"/>
  <c r="G78" i="31"/>
  <c r="J117" i="31" l="1"/>
  <c r="J107" i="31"/>
  <c r="J95" i="31"/>
  <c r="J90" i="31"/>
  <c r="J84" i="31"/>
  <c r="K84" i="31" s="1"/>
  <c r="I116" i="31"/>
  <c r="I114" i="31"/>
  <c r="I113" i="31"/>
  <c r="I112" i="31"/>
  <c r="I111" i="31"/>
  <c r="I110" i="31"/>
  <c r="I106" i="31"/>
  <c r="I105" i="31"/>
  <c r="I104" i="31"/>
  <c r="I103" i="31"/>
  <c r="I102" i="31"/>
  <c r="I101" i="31"/>
  <c r="I99" i="31"/>
  <c r="I98" i="31"/>
  <c r="I94" i="31"/>
  <c r="I93" i="31"/>
  <c r="I89" i="31"/>
  <c r="I87" i="31"/>
  <c r="I82" i="31"/>
  <c r="I81" i="31"/>
  <c r="I80" i="31"/>
  <c r="I79" i="31"/>
  <c r="I78" i="31"/>
  <c r="H84" i="31"/>
  <c r="G84" i="31" s="1"/>
  <c r="H117" i="31"/>
  <c r="G117" i="31" s="1"/>
  <c r="H107" i="31"/>
  <c r="G107" i="31" s="1"/>
  <c r="H95" i="31"/>
  <c r="G95" i="31" s="1"/>
  <c r="H90" i="31"/>
  <c r="G90" i="31" s="1"/>
  <c r="I95" i="31" l="1"/>
  <c r="K95" i="31"/>
  <c r="I117" i="31"/>
  <c r="K117" i="31"/>
  <c r="I90" i="31"/>
  <c r="K90" i="31"/>
  <c r="H119" i="31"/>
  <c r="G119" i="31" s="1"/>
  <c r="I107" i="31"/>
  <c r="K107" i="31"/>
  <c r="J119" i="31"/>
  <c r="I84" i="31"/>
  <c r="I119" i="31" l="1"/>
  <c r="K119" i="31"/>
  <c r="I56" i="31"/>
  <c r="I55" i="31"/>
  <c r="I54" i="31"/>
  <c r="I52" i="31"/>
  <c r="I51" i="31"/>
  <c r="I50" i="31"/>
  <c r="I45" i="31"/>
  <c r="I44" i="31"/>
  <c r="I43" i="31"/>
  <c r="I42" i="31"/>
  <c r="I41" i="31"/>
  <c r="I40" i="31"/>
  <c r="I39" i="31"/>
  <c r="I38" i="31"/>
  <c r="I37" i="31"/>
  <c r="I36" i="31"/>
  <c r="I35" i="31"/>
  <c r="I34" i="31"/>
  <c r="I33" i="31"/>
  <c r="I31" i="31"/>
  <c r="J57" i="31"/>
  <c r="J47" i="31"/>
  <c r="K47" i="31" s="1"/>
  <c r="I26" i="31"/>
  <c r="I24" i="31"/>
  <c r="J28" i="31"/>
  <c r="K28" i="31" s="1"/>
  <c r="I20" i="31"/>
  <c r="I18" i="31"/>
  <c r="K17" i="31"/>
  <c r="K57" i="31" l="1"/>
  <c r="G57" i="31" l="1"/>
  <c r="I57" i="31"/>
  <c r="K19" i="31"/>
  <c r="G28" i="31"/>
  <c r="I28" i="31"/>
  <c r="I17" i="31"/>
  <c r="G47" i="31"/>
  <c r="I47" i="31"/>
  <c r="I19" i="31" l="1"/>
  <c r="K21" i="31"/>
  <c r="J59" i="31"/>
  <c r="A16" i="31"/>
  <c r="A17" i="31" s="1"/>
  <c r="A18" i="31" s="1"/>
  <c r="A19" i="31" s="1"/>
  <c r="A20" i="31" s="1"/>
  <c r="A21" i="31" s="1"/>
  <c r="A23" i="31" s="1"/>
  <c r="A24" i="31" s="1"/>
  <c r="A25" i="31" s="1"/>
  <c r="A26" i="31" s="1"/>
  <c r="A27" i="31" s="1"/>
  <c r="A28" i="31" s="1"/>
  <c r="A30" i="31" s="1"/>
  <c r="A31" i="31" s="1"/>
  <c r="A32" i="31" s="1"/>
  <c r="A33" i="31" s="1"/>
  <c r="A34" i="31" s="1"/>
  <c r="A35" i="31" s="1"/>
  <c r="A36" i="31" s="1"/>
  <c r="A37" i="31" s="1"/>
  <c r="A38" i="31" s="1"/>
  <c r="A39" i="31" s="1"/>
  <c r="A40" i="31" s="1"/>
  <c r="A41" i="31" s="1"/>
  <c r="A42" i="31" s="1"/>
  <c r="A43" i="31" s="1"/>
  <c r="A44" i="31" s="1"/>
  <c r="A45" i="31" s="1"/>
  <c r="A46" i="31" s="1"/>
  <c r="A47" i="31" s="1"/>
  <c r="A49" i="31" s="1"/>
  <c r="A50" i="31" s="1"/>
  <c r="A51" i="31" s="1"/>
  <c r="A52" i="31" s="1"/>
  <c r="A53" i="31" s="1"/>
  <c r="A54" i="31" s="1"/>
  <c r="A55" i="31" s="1"/>
  <c r="A56" i="31" s="1"/>
  <c r="A57" i="31" s="1"/>
  <c r="A59" i="31" s="1"/>
  <c r="K59" i="31" l="1"/>
  <c r="J121" i="31"/>
  <c r="I21" i="31"/>
  <c r="H121" i="31"/>
  <c r="D22" i="16"/>
  <c r="F21" i="68" s="1"/>
  <c r="G21" i="68" s="1"/>
  <c r="I59" i="31" l="1"/>
  <c r="A8" i="33"/>
  <c r="A5" i="33"/>
  <c r="A4" i="33"/>
  <c r="A2" i="33"/>
  <c r="A1" i="33"/>
  <c r="A69" i="31"/>
  <c r="A67" i="31"/>
  <c r="A64" i="31"/>
  <c r="A65" i="31"/>
  <c r="A7" i="31"/>
  <c r="A68" i="31" s="1"/>
  <c r="A2" i="31"/>
  <c r="A63" i="31" s="1"/>
  <c r="A1" i="31"/>
  <c r="A62" i="31" s="1"/>
  <c r="P73" i="31"/>
  <c r="N73" i="31"/>
  <c r="L73" i="31"/>
  <c r="J73" i="31"/>
  <c r="H73" i="31"/>
  <c r="A4" i="30" l="1"/>
  <c r="A186" i="30" s="1"/>
  <c r="A7" i="30"/>
  <c r="A189" i="30" s="1"/>
  <c r="A2" i="30"/>
  <c r="A184" i="30" s="1"/>
  <c r="A1" i="30"/>
  <c r="A183" i="30" s="1"/>
  <c r="A24" i="28"/>
  <c r="H16" i="28"/>
  <c r="D24" i="16" s="1"/>
  <c r="F23" i="68" s="1"/>
  <c r="G23" i="68" s="1"/>
  <c r="E16" i="28"/>
  <c r="E14" i="28"/>
  <c r="A62" i="30" l="1"/>
  <c r="A123" i="30"/>
  <c r="A67" i="30"/>
  <c r="A128" i="30"/>
  <c r="A61" i="30"/>
  <c r="A122" i="30"/>
  <c r="A64" i="30"/>
  <c r="A125" i="30"/>
  <c r="H14" i="28"/>
  <c r="D25" i="16" s="1"/>
  <c r="F24" i="68" s="1"/>
  <c r="G24" i="68" s="1"/>
  <c r="H12" i="28"/>
  <c r="D23" i="16" s="1"/>
  <c r="F22" i="68" s="1"/>
  <c r="G22" i="68" s="1"/>
  <c r="A7" i="28"/>
  <c r="A4" i="28"/>
  <c r="A2" i="28"/>
  <c r="A23" i="28" s="1"/>
  <c r="A1" i="28"/>
  <c r="A22" i="28" s="1"/>
  <c r="E38" i="27"/>
  <c r="E40" i="27" s="1"/>
  <c r="G47" i="25" s="1"/>
  <c r="F21" i="16" s="1"/>
  <c r="F20" i="67" s="1"/>
  <c r="G20" i="67" s="1"/>
  <c r="C38" i="27"/>
  <c r="C40" i="27" s="1"/>
  <c r="E47" i="25" s="1"/>
  <c r="E49" i="25" s="1"/>
  <c r="E17" i="27"/>
  <c r="E19" i="27" s="1"/>
  <c r="G21" i="25" s="1"/>
  <c r="C17" i="27"/>
  <c r="C19" i="27" s="1"/>
  <c r="E21" i="25" s="1"/>
  <c r="A29" i="27"/>
  <c r="A24" i="27"/>
  <c r="D15" i="27"/>
  <c r="A7" i="27"/>
  <c r="A28" i="27" s="1"/>
  <c r="A2" i="27"/>
  <c r="A23" i="27" s="1"/>
  <c r="A1" i="27"/>
  <c r="A22" i="27" s="1"/>
  <c r="E47" i="26"/>
  <c r="C47" i="26"/>
  <c r="E22" i="26"/>
  <c r="C22" i="26"/>
  <c r="A33" i="26"/>
  <c r="A28" i="26"/>
  <c r="D20" i="26"/>
  <c r="D16" i="26"/>
  <c r="D14" i="26"/>
  <c r="A7" i="26"/>
  <c r="A32" i="26" s="1"/>
  <c r="A2" i="26"/>
  <c r="A27" i="26" s="1"/>
  <c r="A1" i="26"/>
  <c r="A26" i="26" s="1"/>
  <c r="F45" i="25"/>
  <c r="F19" i="25"/>
  <c r="F43" i="25"/>
  <c r="F41" i="25"/>
  <c r="F39" i="25"/>
  <c r="A34" i="25"/>
  <c r="A29" i="25"/>
  <c r="F17" i="25"/>
  <c r="F15" i="25"/>
  <c r="A7" i="25"/>
  <c r="A33" i="25" s="1"/>
  <c r="A2" i="25"/>
  <c r="A28" i="25" s="1"/>
  <c r="A1" i="25"/>
  <c r="A27" i="25" s="1"/>
  <c r="D21" i="16" l="1"/>
  <c r="F20" i="68" s="1"/>
  <c r="G20" i="68" s="1"/>
  <c r="G49" i="25"/>
  <c r="F47" i="25"/>
  <c r="G23" i="25"/>
  <c r="F21" i="25"/>
  <c r="E23" i="25"/>
  <c r="F13" i="25"/>
  <c r="A71" i="23" l="1"/>
  <c r="A69" i="23"/>
  <c r="A66" i="23"/>
  <c r="A15" i="23"/>
  <c r="A16" i="23" s="1"/>
  <c r="A17" i="23" s="1"/>
  <c r="A18" i="23" s="1"/>
  <c r="A20" i="23" s="1"/>
  <c r="A21" i="23" s="1"/>
  <c r="A22" i="23" s="1"/>
  <c r="A7" i="23"/>
  <c r="A4" i="23"/>
  <c r="A67" i="23" s="1"/>
  <c r="A2" i="23"/>
  <c r="A1" i="23"/>
  <c r="A65" i="23" l="1"/>
  <c r="A23" i="23"/>
  <c r="A25" i="23" s="1"/>
  <c r="A26" i="23" s="1"/>
  <c r="A27" i="23" s="1"/>
  <c r="A28" i="23" s="1"/>
  <c r="A29" i="23" s="1"/>
  <c r="A31" i="23" s="1"/>
  <c r="A32" i="23" s="1"/>
  <c r="A33" i="23" s="1"/>
  <c r="A34" i="23" s="1"/>
  <c r="A35" i="23" s="1"/>
  <c r="A36" i="23" s="1"/>
  <c r="A37" i="23" s="1"/>
  <c r="A38" i="23" s="1"/>
  <c r="A39" i="23" s="1"/>
  <c r="A40" i="23" s="1"/>
  <c r="A42" i="23" s="1"/>
  <c r="A43" i="23" s="1"/>
  <c r="A44" i="23" s="1"/>
  <c r="A45" i="23" s="1"/>
  <c r="A46" i="23" s="1"/>
  <c r="A47" i="23" s="1"/>
  <c r="A48" i="23" s="1"/>
  <c r="A49" i="23" s="1"/>
  <c r="A50" i="23" s="1"/>
  <c r="A51" i="23" s="1"/>
  <c r="A53" i="23" s="1"/>
  <c r="A54" i="23" s="1"/>
  <c r="A55" i="23" s="1"/>
  <c r="A56" i="23" s="1"/>
  <c r="A57" i="23" s="1"/>
  <c r="A58" i="23" s="1"/>
  <c r="A59" i="23" s="1"/>
  <c r="A60" i="23" s="1"/>
  <c r="A61" i="23" s="1"/>
  <c r="A62" i="23" s="1"/>
  <c r="A63" i="23" s="1"/>
  <c r="A77" i="23" s="1"/>
  <c r="A78" i="23" s="1"/>
  <c r="A79" i="23" s="1"/>
  <c r="A80" i="23" s="1"/>
  <c r="A81" i="23" s="1"/>
  <c r="A82" i="23" s="1"/>
  <c r="A83" i="23" s="1"/>
  <c r="A84" i="23" s="1"/>
  <c r="A85" i="23" s="1"/>
  <c r="A86" i="23" s="1"/>
  <c r="A87" i="23" s="1"/>
  <c r="A88" i="23" s="1"/>
  <c r="A89" i="23" s="1"/>
  <c r="A90" i="23" s="1"/>
  <c r="A91" i="23" s="1"/>
  <c r="A93" i="23" s="1"/>
  <c r="A94" i="23" s="1"/>
  <c r="A95" i="23" s="1"/>
  <c r="A96" i="23" s="1"/>
  <c r="A97" i="23" s="1"/>
  <c r="A98" i="23" s="1"/>
  <c r="A99" i="23" s="1"/>
  <c r="A100" i="23" s="1"/>
  <c r="A101" i="23" s="1"/>
  <c r="A102" i="23" s="1"/>
  <c r="A103" i="23" s="1"/>
  <c r="A104" i="23" s="1"/>
  <c r="A106" i="23" s="1"/>
  <c r="A24" i="23"/>
  <c r="A64" i="23"/>
  <c r="A70" i="23"/>
  <c r="E47" i="20" l="1"/>
  <c r="D47" i="20"/>
  <c r="C47" i="20"/>
  <c r="F45" i="20"/>
  <c r="F43" i="20"/>
  <c r="F41" i="20"/>
  <c r="F39" i="20"/>
  <c r="E22" i="20"/>
  <c r="D22" i="20"/>
  <c r="A33" i="20"/>
  <c r="A28" i="20"/>
  <c r="F20" i="20"/>
  <c r="G20" i="20" s="1"/>
  <c r="F18" i="20"/>
  <c r="G18" i="20" s="1"/>
  <c r="F16" i="20"/>
  <c r="G16" i="20" s="1"/>
  <c r="F14" i="20"/>
  <c r="G14" i="20" s="1"/>
  <c r="D12" i="40" s="1"/>
  <c r="A7" i="20"/>
  <c r="A32" i="20" s="1"/>
  <c r="A4" i="20"/>
  <c r="A2" i="20"/>
  <c r="A27" i="20" s="1"/>
  <c r="A1" i="20"/>
  <c r="A26" i="20" s="1"/>
  <c r="N114" i="19"/>
  <c r="N74" i="19"/>
  <c r="N62" i="19"/>
  <c r="N39" i="19"/>
  <c r="N28" i="19"/>
  <c r="A98" i="19"/>
  <c r="A96" i="19"/>
  <c r="A93" i="19"/>
  <c r="A53" i="19"/>
  <c r="A51" i="19"/>
  <c r="A48" i="19"/>
  <c r="H17" i="19"/>
  <c r="A14" i="19"/>
  <c r="A15" i="19" s="1"/>
  <c r="A16" i="19" s="1"/>
  <c r="A17" i="19" s="1"/>
  <c r="A19" i="19" s="1"/>
  <c r="A20" i="19" s="1"/>
  <c r="A21" i="19" s="1"/>
  <c r="A7" i="19"/>
  <c r="A52" i="19" s="1"/>
  <c r="A4" i="19"/>
  <c r="A94" i="19" s="1"/>
  <c r="A2" i="19"/>
  <c r="A92" i="19" s="1"/>
  <c r="A1" i="19"/>
  <c r="J41" i="20" l="1"/>
  <c r="G41" i="20"/>
  <c r="J43" i="20"/>
  <c r="G43" i="20"/>
  <c r="J45" i="20"/>
  <c r="G45" i="20"/>
  <c r="E114" i="19"/>
  <c r="O114" i="19" s="1"/>
  <c r="P114" i="19" s="1"/>
  <c r="E74" i="19"/>
  <c r="O74" i="19" s="1"/>
  <c r="P74" i="19" s="1"/>
  <c r="E90" i="19"/>
  <c r="E28" i="19"/>
  <c r="O28" i="19" s="1"/>
  <c r="P28" i="19" s="1"/>
  <c r="E62" i="19"/>
  <c r="O62" i="19" s="1"/>
  <c r="P62" i="19" s="1"/>
  <c r="F61" i="19" s="1"/>
  <c r="E39" i="19"/>
  <c r="O39" i="19" s="1"/>
  <c r="P39" i="19" s="1"/>
  <c r="F47" i="20"/>
  <c r="C17" i="67" s="1"/>
  <c r="E17" i="67" s="1"/>
  <c r="F22" i="20"/>
  <c r="C22" i="20"/>
  <c r="E17" i="19"/>
  <c r="A47" i="19"/>
  <c r="A23" i="19"/>
  <c r="A22" i="19"/>
  <c r="A24" i="19" s="1"/>
  <c r="A25" i="19" s="1"/>
  <c r="A26" i="19" s="1"/>
  <c r="A27" i="19" s="1"/>
  <c r="A28" i="19" s="1"/>
  <c r="A30" i="19" s="1"/>
  <c r="A31" i="19" s="1"/>
  <c r="A32" i="19" s="1"/>
  <c r="A33" i="19" s="1"/>
  <c r="A34" i="19" s="1"/>
  <c r="A35" i="19" s="1"/>
  <c r="A36" i="19" s="1"/>
  <c r="A37" i="19" s="1"/>
  <c r="A38" i="19" s="1"/>
  <c r="A39" i="19" s="1"/>
  <c r="A41" i="19" s="1"/>
  <c r="A42" i="19" s="1"/>
  <c r="A43" i="19" s="1"/>
  <c r="A44" i="19" s="1"/>
  <c r="A45" i="19" s="1"/>
  <c r="A58" i="19" s="1"/>
  <c r="A59" i="19" s="1"/>
  <c r="A60" i="19" s="1"/>
  <c r="A61" i="19" s="1"/>
  <c r="A62" i="19" s="1"/>
  <c r="A64" i="19" s="1"/>
  <c r="A65" i="19" s="1"/>
  <c r="A66" i="19" s="1"/>
  <c r="A67" i="19" s="1"/>
  <c r="A68" i="19" s="1"/>
  <c r="A69" i="19" s="1"/>
  <c r="A70" i="19" s="1"/>
  <c r="A71" i="19" s="1"/>
  <c r="A72" i="19" s="1"/>
  <c r="A73" i="19" s="1"/>
  <c r="A74" i="19" s="1"/>
  <c r="A76" i="19" s="1"/>
  <c r="A77" i="19" s="1"/>
  <c r="A78" i="19" s="1"/>
  <c r="A79" i="19" s="1"/>
  <c r="A80" i="19" s="1"/>
  <c r="A81" i="19" s="1"/>
  <c r="A82" i="19" s="1"/>
  <c r="A83" i="19" s="1"/>
  <c r="A84" i="19" s="1"/>
  <c r="A85" i="19" s="1"/>
  <c r="A86" i="19" s="1"/>
  <c r="A87" i="19" s="1"/>
  <c r="A88" i="19" s="1"/>
  <c r="A89" i="19" s="1"/>
  <c r="A90" i="19" s="1"/>
  <c r="A103" i="19" s="1"/>
  <c r="A104" i="19" s="1"/>
  <c r="A105" i="19" s="1"/>
  <c r="A106" i="19" s="1"/>
  <c r="A107" i="19" s="1"/>
  <c r="A108" i="19" s="1"/>
  <c r="A109" i="19" s="1"/>
  <c r="A110" i="19" s="1"/>
  <c r="A111" i="19" s="1"/>
  <c r="A112" i="19" s="1"/>
  <c r="A113" i="19" s="1"/>
  <c r="A114" i="19" s="1"/>
  <c r="A116" i="19" s="1"/>
  <c r="A91" i="19"/>
  <c r="A46" i="19"/>
  <c r="A49" i="19"/>
  <c r="A97" i="19"/>
  <c r="A37" i="18"/>
  <c r="A33" i="18"/>
  <c r="A32" i="18"/>
  <c r="A7" i="18"/>
  <c r="A36" i="18" s="1"/>
  <c r="A4" i="18"/>
  <c r="A2" i="18"/>
  <c r="A31" i="18" s="1"/>
  <c r="A1" i="18"/>
  <c r="A30" i="18" s="1"/>
  <c r="L114" i="17"/>
  <c r="N114" i="17" s="1"/>
  <c r="L17" i="17"/>
  <c r="L28" i="17"/>
  <c r="N28" i="17" s="1"/>
  <c r="L39" i="17"/>
  <c r="N39" i="17" s="1"/>
  <c r="L62" i="17"/>
  <c r="N62" i="17" s="1"/>
  <c r="L74" i="17"/>
  <c r="N74" i="17" s="1"/>
  <c r="L90" i="17"/>
  <c r="E47" i="18" l="1"/>
  <c r="F47" i="18" s="1"/>
  <c r="H61" i="19" s="1"/>
  <c r="H62" i="19" s="1"/>
  <c r="G61" i="19"/>
  <c r="C17" i="68"/>
  <c r="E17" i="68" s="1"/>
  <c r="F18" i="31"/>
  <c r="F17" i="31" s="1"/>
  <c r="D18" i="31"/>
  <c r="D17" i="31" s="1"/>
  <c r="F113" i="19"/>
  <c r="F109" i="19"/>
  <c r="F105" i="19"/>
  <c r="F111" i="19"/>
  <c r="F110" i="19"/>
  <c r="G110" i="19" s="1"/>
  <c r="I110" i="19" s="1"/>
  <c r="E100" i="47" s="1"/>
  <c r="F106" i="19"/>
  <c r="F112" i="19"/>
  <c r="F108" i="19"/>
  <c r="F104" i="19"/>
  <c r="F107" i="19"/>
  <c r="E54" i="18" s="1"/>
  <c r="F54" i="18" s="1"/>
  <c r="E116" i="19"/>
  <c r="F71" i="19"/>
  <c r="F67" i="19"/>
  <c r="F70" i="19"/>
  <c r="F66" i="19"/>
  <c r="F73" i="19"/>
  <c r="E48" i="18" s="1"/>
  <c r="F48" i="18" s="1"/>
  <c r="H73" i="19" s="1"/>
  <c r="F69" i="19"/>
  <c r="F65" i="19"/>
  <c r="F72" i="19"/>
  <c r="F68" i="19"/>
  <c r="F45" i="19"/>
  <c r="G45" i="19" s="1"/>
  <c r="I45" i="19" s="1"/>
  <c r="E46" i="47" s="1"/>
  <c r="F59" i="19"/>
  <c r="F60" i="19"/>
  <c r="F44" i="19"/>
  <c r="G44" i="19" s="1"/>
  <c r="I44" i="19" s="1"/>
  <c r="E45" i="47" s="1"/>
  <c r="F43" i="19"/>
  <c r="G43" i="19" s="1"/>
  <c r="I43" i="19" s="1"/>
  <c r="E44" i="47" s="1"/>
  <c r="F58" i="19"/>
  <c r="F42" i="19"/>
  <c r="G42" i="19" s="1"/>
  <c r="I42" i="19" s="1"/>
  <c r="E43" i="47" s="1"/>
  <c r="F24" i="19"/>
  <c r="G24" i="19" s="1"/>
  <c r="I24" i="19" s="1"/>
  <c r="E25" i="47" s="1"/>
  <c r="F20" i="19"/>
  <c r="G20" i="19" s="1"/>
  <c r="F27" i="19"/>
  <c r="F23" i="19"/>
  <c r="G23" i="19" s="1"/>
  <c r="I23" i="19" s="1"/>
  <c r="E24" i="47" s="1"/>
  <c r="F26" i="19"/>
  <c r="F22" i="19"/>
  <c r="F25" i="19"/>
  <c r="F21" i="19"/>
  <c r="F36" i="19"/>
  <c r="F32" i="19"/>
  <c r="F38" i="19"/>
  <c r="E46" i="18" s="1"/>
  <c r="F46" i="18" s="1"/>
  <c r="H38" i="19" s="1"/>
  <c r="H39" i="19" s="1"/>
  <c r="F35" i="19"/>
  <c r="F31" i="19"/>
  <c r="F34" i="19"/>
  <c r="F37" i="19"/>
  <c r="F33" i="19"/>
  <c r="I61" i="19" l="1"/>
  <c r="E50" i="47" s="1"/>
  <c r="G26" i="19"/>
  <c r="E44" i="18"/>
  <c r="F44" i="18" s="1"/>
  <c r="H26" i="19" s="1"/>
  <c r="H107" i="19"/>
  <c r="H114" i="19" s="1"/>
  <c r="H67" i="19"/>
  <c r="G18" i="31"/>
  <c r="R21" i="58"/>
  <c r="C15" i="67"/>
  <c r="E15" i="67" s="1"/>
  <c r="E18" i="31"/>
  <c r="G21" i="19"/>
  <c r="E41" i="18"/>
  <c r="F41" i="18" s="1"/>
  <c r="H70" i="19" s="1"/>
  <c r="G25" i="19"/>
  <c r="E43" i="18"/>
  <c r="F43" i="18" s="1"/>
  <c r="G27" i="19"/>
  <c r="E45" i="18"/>
  <c r="F45" i="18" s="1"/>
  <c r="G22" i="19"/>
  <c r="E42" i="18"/>
  <c r="F42" i="18" s="1"/>
  <c r="I20" i="19"/>
  <c r="E21" i="47" s="1"/>
  <c r="A4" i="17"/>
  <c r="A94" i="17" s="1"/>
  <c r="A98" i="17"/>
  <c r="A96" i="17"/>
  <c r="A93" i="17"/>
  <c r="A53" i="17"/>
  <c r="A51" i="17"/>
  <c r="A48" i="17"/>
  <c r="A14" i="17"/>
  <c r="A15" i="17" s="1"/>
  <c r="A16" i="17" s="1"/>
  <c r="A17" i="17" s="1"/>
  <c r="A19" i="17" s="1"/>
  <c r="A20" i="17" s="1"/>
  <c r="A21" i="17" s="1"/>
  <c r="A7" i="17"/>
  <c r="A52" i="17" s="1"/>
  <c r="A2" i="17"/>
  <c r="A47" i="17" s="1"/>
  <c r="A1" i="17"/>
  <c r="A91" i="17" s="1"/>
  <c r="I26" i="19" l="1"/>
  <c r="E27" i="47" s="1"/>
  <c r="H74" i="19"/>
  <c r="H22" i="19"/>
  <c r="I22" i="19" s="1"/>
  <c r="E23" i="47" s="1"/>
  <c r="H79" i="19"/>
  <c r="H25" i="19"/>
  <c r="I25" i="19" s="1"/>
  <c r="E26" i="47" s="1"/>
  <c r="F19" i="31"/>
  <c r="G17" i="31"/>
  <c r="D19" i="31"/>
  <c r="E17" i="31"/>
  <c r="G28" i="19"/>
  <c r="H27" i="19"/>
  <c r="I27" i="19" s="1"/>
  <c r="E28" i="47" s="1"/>
  <c r="H21" i="19"/>
  <c r="I21" i="19" s="1"/>
  <c r="E22" i="47" s="1"/>
  <c r="A92" i="17"/>
  <c r="A97" i="17"/>
  <c r="A23" i="17"/>
  <c r="A22" i="17"/>
  <c r="A24" i="17" s="1"/>
  <c r="A25" i="17" s="1"/>
  <c r="A26" i="17" s="1"/>
  <c r="A27" i="17" s="1"/>
  <c r="A28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1" i="17" s="1"/>
  <c r="A42" i="17" s="1"/>
  <c r="A43" i="17" s="1"/>
  <c r="A44" i="17" s="1"/>
  <c r="A45" i="17" s="1"/>
  <c r="A58" i="17" s="1"/>
  <c r="A59" i="17" s="1"/>
  <c r="A60" i="17" s="1"/>
  <c r="A61" i="17" s="1"/>
  <c r="A62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6" i="17" s="1"/>
  <c r="A46" i="17"/>
  <c r="A49" i="17"/>
  <c r="F21" i="31" l="1"/>
  <c r="G19" i="31"/>
  <c r="D21" i="31"/>
  <c r="E19" i="31"/>
  <c r="H28" i="19"/>
  <c r="E29" i="47"/>
  <c r="I28" i="19"/>
  <c r="H17" i="17"/>
  <c r="F59" i="31" l="1"/>
  <c r="G21" i="31"/>
  <c r="D59" i="31"/>
  <c r="E21" i="31"/>
  <c r="F121" i="31" l="1"/>
  <c r="G59" i="31"/>
  <c r="D121" i="31"/>
  <c r="E59" i="31"/>
  <c r="A5" i="16" l="1"/>
  <c r="A4" i="16"/>
  <c r="A2" i="16"/>
  <c r="A1" i="16"/>
  <c r="G16" i="14"/>
  <c r="A32" i="15"/>
  <c r="A36" i="15"/>
  <c r="A31" i="15"/>
  <c r="A7" i="15"/>
  <c r="A35" i="15" s="1"/>
  <c r="A4" i="15"/>
  <c r="A2" i="15"/>
  <c r="A30" i="15" s="1"/>
  <c r="A1" i="15"/>
  <c r="D110" i="14"/>
  <c r="D113" i="19" s="1"/>
  <c r="D109" i="14"/>
  <c r="D112" i="19" s="1"/>
  <c r="D108" i="14"/>
  <c r="D111" i="19" s="1"/>
  <c r="D107" i="14"/>
  <c r="D110" i="19" s="1"/>
  <c r="D106" i="14"/>
  <c r="D109" i="19" s="1"/>
  <c r="D105" i="14"/>
  <c r="D108" i="19" s="1"/>
  <c r="D104" i="14"/>
  <c r="D107" i="19" s="1"/>
  <c r="D103" i="14"/>
  <c r="D106" i="19" s="1"/>
  <c r="D102" i="14"/>
  <c r="D105" i="19" s="1"/>
  <c r="D101" i="14"/>
  <c r="D104" i="19" s="1"/>
  <c r="D87" i="14"/>
  <c r="D86" i="14"/>
  <c r="D88" i="19" s="1"/>
  <c r="D85" i="14"/>
  <c r="D87" i="19" s="1"/>
  <c r="D84" i="14"/>
  <c r="D86" i="19" s="1"/>
  <c r="D83" i="14"/>
  <c r="D85" i="19" s="1"/>
  <c r="D82" i="14"/>
  <c r="D84" i="19" s="1"/>
  <c r="D81" i="14"/>
  <c r="D83" i="19" s="1"/>
  <c r="D80" i="14"/>
  <c r="D82" i="19" s="1"/>
  <c r="D79" i="14"/>
  <c r="D81" i="19" s="1"/>
  <c r="D78" i="14"/>
  <c r="D80" i="19" s="1"/>
  <c r="D77" i="14"/>
  <c r="D79" i="19" s="1"/>
  <c r="D76" i="14"/>
  <c r="D78" i="19" s="1"/>
  <c r="D75" i="14"/>
  <c r="D77" i="19" s="1"/>
  <c r="D71" i="14"/>
  <c r="D70" i="14"/>
  <c r="D72" i="19" s="1"/>
  <c r="D69" i="14"/>
  <c r="D71" i="19" s="1"/>
  <c r="D68" i="14"/>
  <c r="D70" i="19" s="1"/>
  <c r="D67" i="14"/>
  <c r="D69" i="19" s="1"/>
  <c r="D66" i="14"/>
  <c r="D68" i="19" s="1"/>
  <c r="D65" i="14"/>
  <c r="D67" i="19" s="1"/>
  <c r="D64" i="14"/>
  <c r="D66" i="19" s="1"/>
  <c r="D63" i="14"/>
  <c r="D65" i="19" s="1"/>
  <c r="D59" i="14"/>
  <c r="D58" i="14"/>
  <c r="D60" i="19" s="1"/>
  <c r="D57" i="14"/>
  <c r="D59" i="19" s="1"/>
  <c r="D56" i="14"/>
  <c r="D58" i="19" s="1"/>
  <c r="D44" i="14"/>
  <c r="D45" i="19" s="1"/>
  <c r="D43" i="14"/>
  <c r="D44" i="19" s="1"/>
  <c r="D42" i="14"/>
  <c r="D43" i="19" s="1"/>
  <c r="D41" i="14"/>
  <c r="D37" i="14"/>
  <c r="D36" i="14"/>
  <c r="D37" i="19" s="1"/>
  <c r="D35" i="14"/>
  <c r="D36" i="19" s="1"/>
  <c r="D34" i="14"/>
  <c r="D35" i="19" s="1"/>
  <c r="D33" i="14"/>
  <c r="D34" i="19" s="1"/>
  <c r="D32" i="14"/>
  <c r="D33" i="19" s="1"/>
  <c r="D31" i="14"/>
  <c r="D32" i="19" s="1"/>
  <c r="D30" i="14"/>
  <c r="D26" i="14"/>
  <c r="D25" i="14"/>
  <c r="D26" i="19" s="1"/>
  <c r="D24" i="14"/>
  <c r="D25" i="19" s="1"/>
  <c r="D23" i="14"/>
  <c r="D24" i="19" s="1"/>
  <c r="D22" i="14"/>
  <c r="D23" i="19" s="1"/>
  <c r="D21" i="14"/>
  <c r="D22" i="19" s="1"/>
  <c r="D20" i="14"/>
  <c r="D19" i="14"/>
  <c r="D20" i="19" s="1"/>
  <c r="D15" i="14"/>
  <c r="D16" i="19" s="1"/>
  <c r="D14" i="14"/>
  <c r="D15" i="19" s="1"/>
  <c r="D13" i="14"/>
  <c r="D14" i="19" s="1"/>
  <c r="A4" i="14"/>
  <c r="A92" i="14" s="1"/>
  <c r="H108" i="14"/>
  <c r="D101" i="47" s="1"/>
  <c r="G101" i="47" s="1"/>
  <c r="H102" i="14"/>
  <c r="D95" i="47" s="1"/>
  <c r="G95" i="47" s="1"/>
  <c r="A96" i="14"/>
  <c r="A94" i="14"/>
  <c r="A91" i="14"/>
  <c r="H70" i="14"/>
  <c r="D61" i="47" s="1"/>
  <c r="G61" i="47" s="1"/>
  <c r="H69" i="14"/>
  <c r="D60" i="47" s="1"/>
  <c r="G60" i="47" s="1"/>
  <c r="H68" i="14"/>
  <c r="D59" i="47" s="1"/>
  <c r="G59" i="47" s="1"/>
  <c r="H67" i="14"/>
  <c r="D58" i="47" s="1"/>
  <c r="G58" i="47" s="1"/>
  <c r="H66" i="14"/>
  <c r="D57" i="47" s="1"/>
  <c r="G57" i="47" s="1"/>
  <c r="H58" i="14"/>
  <c r="D49" i="47" s="1"/>
  <c r="G49" i="47" s="1"/>
  <c r="H57" i="14"/>
  <c r="D48" i="47" s="1"/>
  <c r="G48" i="47" s="1"/>
  <c r="H56" i="14"/>
  <c r="D47" i="47" s="1"/>
  <c r="G47" i="47" s="1"/>
  <c r="A52" i="14"/>
  <c r="A50" i="14"/>
  <c r="A47" i="14"/>
  <c r="H44" i="14"/>
  <c r="D46" i="47" s="1"/>
  <c r="G46" i="47" s="1"/>
  <c r="H43" i="14"/>
  <c r="D45" i="47" s="1"/>
  <c r="G45" i="47" s="1"/>
  <c r="H42" i="14"/>
  <c r="D44" i="47" s="1"/>
  <c r="G44" i="47" s="1"/>
  <c r="H36" i="14"/>
  <c r="D38" i="47" s="1"/>
  <c r="G38" i="47" s="1"/>
  <c r="H34" i="14"/>
  <c r="D36" i="47" s="1"/>
  <c r="G36" i="47" s="1"/>
  <c r="H32" i="14"/>
  <c r="D34" i="47" s="1"/>
  <c r="G34" i="47" s="1"/>
  <c r="H22" i="14"/>
  <c r="D24" i="47" s="1"/>
  <c r="A13" i="14"/>
  <c r="A14" i="14" s="1"/>
  <c r="A15" i="14" s="1"/>
  <c r="A16" i="14" s="1"/>
  <c r="A18" i="14" s="1"/>
  <c r="A19" i="14" s="1"/>
  <c r="A20" i="14" s="1"/>
  <c r="A7" i="14"/>
  <c r="A51" i="14" s="1"/>
  <c r="A2" i="14"/>
  <c r="A46" i="14" s="1"/>
  <c r="A1" i="14"/>
  <c r="A89" i="14" s="1"/>
  <c r="B224" i="13"/>
  <c r="B219" i="13"/>
  <c r="B218" i="13"/>
  <c r="B217" i="13"/>
  <c r="B216" i="13"/>
  <c r="B215" i="13"/>
  <c r="B214" i="13"/>
  <c r="B213" i="13"/>
  <c r="B212" i="13"/>
  <c r="B204" i="13"/>
  <c r="B203" i="13"/>
  <c r="B202" i="13"/>
  <c r="B201" i="13"/>
  <c r="B200" i="13"/>
  <c r="B199" i="13"/>
  <c r="B198" i="13"/>
  <c r="B197" i="13"/>
  <c r="B196" i="13"/>
  <c r="B192" i="13"/>
  <c r="B191" i="13"/>
  <c r="B190" i="13"/>
  <c r="B189" i="13"/>
  <c r="B184" i="13"/>
  <c r="B183" i="13"/>
  <c r="B182" i="13"/>
  <c r="B181" i="13"/>
  <c r="B180" i="13"/>
  <c r="B179" i="13"/>
  <c r="B175" i="13"/>
  <c r="B174" i="13"/>
  <c r="B173" i="13"/>
  <c r="B172" i="13"/>
  <c r="B171" i="13"/>
  <c r="B166" i="13"/>
  <c r="B165" i="13"/>
  <c r="B164" i="13"/>
  <c r="B163" i="13"/>
  <c r="B162" i="13"/>
  <c r="B161" i="13"/>
  <c r="B160" i="13"/>
  <c r="B149" i="13"/>
  <c r="B148" i="13"/>
  <c r="B147" i="13"/>
  <c r="B146" i="13"/>
  <c r="B140" i="13"/>
  <c r="B139" i="13"/>
  <c r="B138" i="13"/>
  <c r="B137" i="13"/>
  <c r="B136" i="13"/>
  <c r="B135" i="13"/>
  <c r="B129" i="13"/>
  <c r="B128" i="13"/>
  <c r="B127" i="13"/>
  <c r="B126" i="13"/>
  <c r="B125" i="13"/>
  <c r="B124" i="13"/>
  <c r="B123" i="13"/>
  <c r="B122" i="13"/>
  <c r="B121" i="13"/>
  <c r="B110" i="13"/>
  <c r="B109" i="13"/>
  <c r="B108" i="13"/>
  <c r="B107" i="13"/>
  <c r="B106" i="13"/>
  <c r="B105" i="13"/>
  <c r="B104" i="13"/>
  <c r="B103" i="13"/>
  <c r="B97" i="13"/>
  <c r="B96" i="13"/>
  <c r="B95" i="13"/>
  <c r="B94" i="13"/>
  <c r="B93" i="13"/>
  <c r="B92" i="13"/>
  <c r="B91" i="13"/>
  <c r="B90" i="13"/>
  <c r="B84" i="13"/>
  <c r="B83" i="13"/>
  <c r="B82" i="13"/>
  <c r="B81" i="13"/>
  <c r="B80" i="13"/>
  <c r="B79" i="13"/>
  <c r="B78" i="13"/>
  <c r="B73" i="13"/>
  <c r="B72" i="13"/>
  <c r="B71" i="13"/>
  <c r="R1" i="13"/>
  <c r="S1" i="13" s="1"/>
  <c r="T1" i="13" s="1"/>
  <c r="D61" i="19" l="1"/>
  <c r="D49" i="11"/>
  <c r="E59" i="14"/>
  <c r="E49" i="11" s="1"/>
  <c r="F110" i="12"/>
  <c r="A95" i="14"/>
  <c r="F19" i="12"/>
  <c r="F34" i="12"/>
  <c r="F63" i="12"/>
  <c r="F78" i="12"/>
  <c r="F107" i="12"/>
  <c r="D27" i="19"/>
  <c r="D47" i="11"/>
  <c r="D38" i="19"/>
  <c r="D48" i="11"/>
  <c r="F23" i="12"/>
  <c r="F41" i="12"/>
  <c r="F67" i="12"/>
  <c r="F82" i="12"/>
  <c r="F103" i="12"/>
  <c r="F13" i="12"/>
  <c r="F24" i="12"/>
  <c r="F35" i="12"/>
  <c r="F57" i="12"/>
  <c r="F68" i="12"/>
  <c r="F79" i="12"/>
  <c r="F87" i="12"/>
  <c r="F108" i="12"/>
  <c r="F14" i="12"/>
  <c r="F21" i="12"/>
  <c r="F25" i="12"/>
  <c r="F32" i="12"/>
  <c r="F36" i="12"/>
  <c r="F43" i="12"/>
  <c r="F58" i="12"/>
  <c r="F65" i="12"/>
  <c r="F69" i="12"/>
  <c r="F76" i="12"/>
  <c r="F80" i="12"/>
  <c r="F84" i="12"/>
  <c r="F101" i="12"/>
  <c r="F105" i="12"/>
  <c r="F109" i="12"/>
  <c r="A45" i="14"/>
  <c r="E63" i="14"/>
  <c r="D89" i="19"/>
  <c r="D90" i="19" s="1"/>
  <c r="D55" i="11"/>
  <c r="F30" i="12"/>
  <c r="F56" i="12"/>
  <c r="F71" i="12"/>
  <c r="F86" i="12"/>
  <c r="F20" i="12"/>
  <c r="F31" i="12"/>
  <c r="F42" i="12"/>
  <c r="F64" i="12"/>
  <c r="F75" i="12"/>
  <c r="F83" i="12"/>
  <c r="F104" i="12"/>
  <c r="D73" i="19"/>
  <c r="D74" i="19" s="1"/>
  <c r="D50" i="11"/>
  <c r="F15" i="12"/>
  <c r="F22" i="12"/>
  <c r="F26" i="12"/>
  <c r="F33" i="12"/>
  <c r="F37" i="12"/>
  <c r="F44" i="12"/>
  <c r="F59" i="12"/>
  <c r="F66" i="12"/>
  <c r="F70" i="12"/>
  <c r="F77" i="12"/>
  <c r="F81" i="12"/>
  <c r="F85" i="12"/>
  <c r="F102" i="12"/>
  <c r="F106" i="12"/>
  <c r="E26" i="14"/>
  <c r="E47" i="11" s="1"/>
  <c r="E70" i="14"/>
  <c r="E109" i="14"/>
  <c r="E43" i="14"/>
  <c r="D17" i="19"/>
  <c r="E87" i="14"/>
  <c r="D60" i="14"/>
  <c r="C47" i="15" s="1"/>
  <c r="D114" i="19"/>
  <c r="E103" i="14"/>
  <c r="E85" i="14"/>
  <c r="E41" i="14"/>
  <c r="D42" i="19"/>
  <c r="D62" i="19" s="1"/>
  <c r="D27" i="14"/>
  <c r="C43" i="15" s="1"/>
  <c r="D21" i="19"/>
  <c r="D28" i="19" s="1"/>
  <c r="D38" i="14"/>
  <c r="C45" i="15" s="1"/>
  <c r="D31" i="19"/>
  <c r="E19" i="14"/>
  <c r="E42" i="11" s="1"/>
  <c r="H109" i="14"/>
  <c r="D102" i="47" s="1"/>
  <c r="G102" i="47" s="1"/>
  <c r="E58" i="14"/>
  <c r="E68" i="14"/>
  <c r="E66" i="14"/>
  <c r="E56" i="14"/>
  <c r="E69" i="14"/>
  <c r="E34" i="14"/>
  <c r="E36" i="14"/>
  <c r="F41" i="15"/>
  <c r="A29" i="15"/>
  <c r="E81" i="14"/>
  <c r="E54" i="11" s="1"/>
  <c r="D72" i="14"/>
  <c r="C49" i="15" s="1"/>
  <c r="E30" i="14"/>
  <c r="D16" i="14"/>
  <c r="C41" i="15" s="1"/>
  <c r="E106" i="14"/>
  <c r="E77" i="14"/>
  <c r="E65" i="14"/>
  <c r="E32" i="14"/>
  <c r="E21" i="14"/>
  <c r="E44" i="11" s="1"/>
  <c r="A48" i="14"/>
  <c r="H31" i="14"/>
  <c r="D33" i="47" s="1"/>
  <c r="G33" i="47" s="1"/>
  <c r="E31" i="14"/>
  <c r="E24" i="14"/>
  <c r="E45" i="11" s="1"/>
  <c r="H35" i="14"/>
  <c r="D37" i="47" s="1"/>
  <c r="G37" i="47" s="1"/>
  <c r="E35" i="14"/>
  <c r="A22" i="14"/>
  <c r="A21" i="14"/>
  <c r="A23" i="14" s="1"/>
  <c r="A24" i="14" s="1"/>
  <c r="A25" i="14" s="1"/>
  <c r="A26" i="14" s="1"/>
  <c r="A27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40" i="14" s="1"/>
  <c r="A41" i="14" s="1"/>
  <c r="A42" i="14" s="1"/>
  <c r="A43" i="14" s="1"/>
  <c r="A44" i="14" s="1"/>
  <c r="A56" i="14" s="1"/>
  <c r="A57" i="14" s="1"/>
  <c r="A58" i="14" s="1"/>
  <c r="A59" i="14" s="1"/>
  <c r="A60" i="14" s="1"/>
  <c r="A62" i="14" s="1"/>
  <c r="A63" i="14" s="1"/>
  <c r="A64" i="14" s="1"/>
  <c r="A65" i="14" s="1"/>
  <c r="A66" i="14" s="1"/>
  <c r="A67" i="14" s="1"/>
  <c r="A68" i="14" s="1"/>
  <c r="A69" i="14" s="1"/>
  <c r="A70" i="14" s="1"/>
  <c r="A71" i="14" s="1"/>
  <c r="A72" i="14" s="1"/>
  <c r="A74" i="14" s="1"/>
  <c r="A75" i="14" s="1"/>
  <c r="A76" i="14" s="1"/>
  <c r="A77" i="14" s="1"/>
  <c r="A78" i="14" s="1"/>
  <c r="A79" i="14" s="1"/>
  <c r="A80" i="14" s="1"/>
  <c r="A81" i="14" s="1"/>
  <c r="A82" i="14" s="1"/>
  <c r="A83" i="14" s="1"/>
  <c r="A84" i="14" s="1"/>
  <c r="A85" i="14" s="1"/>
  <c r="A86" i="14" s="1"/>
  <c r="A87" i="14" s="1"/>
  <c r="A88" i="14" s="1"/>
  <c r="A100" i="14" s="1"/>
  <c r="A101" i="14" s="1"/>
  <c r="A102" i="14" s="1"/>
  <c r="A103" i="14" s="1"/>
  <c r="A104" i="14" s="1"/>
  <c r="A105" i="14" s="1"/>
  <c r="A106" i="14" s="1"/>
  <c r="A107" i="14" s="1"/>
  <c r="A108" i="14" s="1"/>
  <c r="A109" i="14" s="1"/>
  <c r="A110" i="14" s="1"/>
  <c r="A111" i="14" s="1"/>
  <c r="A113" i="14" s="1"/>
  <c r="H33" i="14"/>
  <c r="D35" i="47" s="1"/>
  <c r="G35" i="47" s="1"/>
  <c r="E33" i="14"/>
  <c r="E20" i="14"/>
  <c r="E43" i="11" s="1"/>
  <c r="F27" i="14"/>
  <c r="E43" i="15" s="1"/>
  <c r="E37" i="14"/>
  <c r="E48" i="11" s="1"/>
  <c r="F48" i="11" s="1"/>
  <c r="G37" i="14" s="1"/>
  <c r="G38" i="14" s="1"/>
  <c r="F45" i="15" s="1"/>
  <c r="F60" i="14"/>
  <c r="E47" i="15" s="1"/>
  <c r="H41" i="14"/>
  <c r="D43" i="47" s="1"/>
  <c r="G43" i="47" s="1"/>
  <c r="E42" i="14"/>
  <c r="E44" i="14"/>
  <c r="E57" i="14"/>
  <c r="E64" i="14"/>
  <c r="E67" i="14"/>
  <c r="E75" i="14"/>
  <c r="E79" i="14"/>
  <c r="E52" i="11" s="1"/>
  <c r="E83" i="14"/>
  <c r="A90" i="14"/>
  <c r="E104" i="14"/>
  <c r="E56" i="11" s="1"/>
  <c r="F56" i="11" s="1"/>
  <c r="H107" i="14"/>
  <c r="D100" i="47" s="1"/>
  <c r="E108" i="14"/>
  <c r="E110" i="14" s="1"/>
  <c r="E101" i="14"/>
  <c r="E25" i="14"/>
  <c r="E46" i="11" s="1"/>
  <c r="E71" i="14"/>
  <c r="E50" i="11" s="1"/>
  <c r="F50" i="11" s="1"/>
  <c r="G71" i="14" s="1"/>
  <c r="D88" i="14"/>
  <c r="C51" i="15" s="1"/>
  <c r="H77" i="14"/>
  <c r="D80" i="47" s="1"/>
  <c r="G80" i="47" s="1"/>
  <c r="E78" i="14"/>
  <c r="E51" i="11" s="1"/>
  <c r="E82" i="14"/>
  <c r="H85" i="14"/>
  <c r="D88" i="47" s="1"/>
  <c r="G88" i="47" s="1"/>
  <c r="E86" i="14"/>
  <c r="H101" i="14"/>
  <c r="D94" i="47" s="1"/>
  <c r="E102" i="14"/>
  <c r="H106" i="14"/>
  <c r="D99" i="47" s="1"/>
  <c r="G99" i="47" s="1"/>
  <c r="F38" i="14"/>
  <c r="E45" i="15" s="1"/>
  <c r="H30" i="14"/>
  <c r="D32" i="47" s="1"/>
  <c r="G32" i="47" s="1"/>
  <c r="F72" i="14"/>
  <c r="E49" i="15" s="1"/>
  <c r="H63" i="14"/>
  <c r="D54" i="47" s="1"/>
  <c r="H64" i="14"/>
  <c r="D55" i="47" s="1"/>
  <c r="G55" i="47" s="1"/>
  <c r="H65" i="14"/>
  <c r="D56" i="47" s="1"/>
  <c r="G56" i="47" s="1"/>
  <c r="H75" i="14"/>
  <c r="D78" i="47" s="1"/>
  <c r="H83" i="14"/>
  <c r="D86" i="47" s="1"/>
  <c r="G86" i="47" s="1"/>
  <c r="D111" i="14"/>
  <c r="C53" i="15" s="1"/>
  <c r="H103" i="14"/>
  <c r="D96" i="47" s="1"/>
  <c r="G96" i="47" s="1"/>
  <c r="F49" i="11" l="1"/>
  <c r="G59" i="14" s="1"/>
  <c r="H59" i="14" s="1"/>
  <c r="F46" i="11"/>
  <c r="G25" i="14" s="1"/>
  <c r="H25" i="14" s="1"/>
  <c r="D27" i="47" s="1"/>
  <c r="G27" i="47" s="1"/>
  <c r="F51" i="11"/>
  <c r="G78" i="14" s="1"/>
  <c r="H78" i="14" s="1"/>
  <c r="D81" i="47" s="1"/>
  <c r="G81" i="47" s="1"/>
  <c r="F54" i="11"/>
  <c r="G81" i="14" s="1"/>
  <c r="H81" i="14" s="1"/>
  <c r="D84" i="47" s="1"/>
  <c r="G84" i="47" s="1"/>
  <c r="F52" i="11"/>
  <c r="G79" i="14" s="1"/>
  <c r="H79" i="14" s="1"/>
  <c r="D82" i="47" s="1"/>
  <c r="G82" i="47" s="1"/>
  <c r="G104" i="14"/>
  <c r="G111" i="14" s="1"/>
  <c r="F53" i="15" s="1"/>
  <c r="G82" i="14"/>
  <c r="H82" i="14" s="1"/>
  <c r="D85" i="47" s="1"/>
  <c r="G85" i="47" s="1"/>
  <c r="D39" i="19"/>
  <c r="D116" i="19" s="1"/>
  <c r="F47" i="11"/>
  <c r="G26" i="14" s="1"/>
  <c r="H26" i="14" s="1"/>
  <c r="D28" i="47" s="1"/>
  <c r="D59" i="11"/>
  <c r="D13" i="67" s="1"/>
  <c r="D16" i="67" s="1"/>
  <c r="D18" i="67" s="1"/>
  <c r="D27" i="67" s="1"/>
  <c r="G86" i="14"/>
  <c r="H86" i="14" s="1"/>
  <c r="D89" i="47" s="1"/>
  <c r="G89" i="47" s="1"/>
  <c r="F42" i="11"/>
  <c r="F44" i="11"/>
  <c r="G21" i="14" s="1"/>
  <c r="H21" i="14" s="1"/>
  <c r="D23" i="47" s="1"/>
  <c r="G23" i="47" s="1"/>
  <c r="F43" i="11"/>
  <c r="F45" i="11"/>
  <c r="G45" i="15"/>
  <c r="H37" i="14"/>
  <c r="D39" i="47" s="1"/>
  <c r="D40" i="47" s="1"/>
  <c r="F89" i="19"/>
  <c r="E53" i="18" s="1"/>
  <c r="F53" i="18" s="1"/>
  <c r="E55" i="11"/>
  <c r="F55" i="11" s="1"/>
  <c r="G87" i="14" s="1"/>
  <c r="H71" i="14"/>
  <c r="D62" i="47" s="1"/>
  <c r="G62" i="47" s="1"/>
  <c r="G72" i="14"/>
  <c r="F49" i="15" s="1"/>
  <c r="G49" i="15" s="1"/>
  <c r="G54" i="47"/>
  <c r="G78" i="47"/>
  <c r="G40" i="47"/>
  <c r="G94" i="47"/>
  <c r="G51" i="47"/>
  <c r="C55" i="15"/>
  <c r="D49" i="15"/>
  <c r="D43" i="15"/>
  <c r="D45" i="15"/>
  <c r="D47" i="15"/>
  <c r="D113" i="14"/>
  <c r="R18" i="58" s="1"/>
  <c r="E84" i="14"/>
  <c r="H84" i="14"/>
  <c r="D87" i="47" s="1"/>
  <c r="G87" i="47" s="1"/>
  <c r="E80" i="14"/>
  <c r="H15" i="14"/>
  <c r="D17" i="47" s="1"/>
  <c r="G17" i="47" s="1"/>
  <c r="E15" i="14"/>
  <c r="H110" i="14"/>
  <c r="D103" i="47" s="1"/>
  <c r="G103" i="47" s="1"/>
  <c r="F16" i="14"/>
  <c r="E13" i="14"/>
  <c r="H13" i="14"/>
  <c r="D15" i="47" s="1"/>
  <c r="E105" i="14"/>
  <c r="H105" i="14"/>
  <c r="D98" i="47" s="1"/>
  <c r="G98" i="47" s="1"/>
  <c r="E76" i="14"/>
  <c r="H76" i="14"/>
  <c r="D79" i="47" s="1"/>
  <c r="G79" i="47" s="1"/>
  <c r="F88" i="14"/>
  <c r="E51" i="15" s="1"/>
  <c r="F111" i="14"/>
  <c r="E53" i="15" s="1"/>
  <c r="E23" i="14"/>
  <c r="H23" i="14"/>
  <c r="D25" i="47" s="1"/>
  <c r="G25" i="47" s="1"/>
  <c r="H14" i="14"/>
  <c r="D16" i="47" s="1"/>
  <c r="G16" i="47" s="1"/>
  <c r="E14" i="14"/>
  <c r="F15" i="19" s="1"/>
  <c r="G15" i="19" s="1"/>
  <c r="G19" i="14" l="1"/>
  <c r="H19" i="14" s="1"/>
  <c r="D21" i="47" s="1"/>
  <c r="G21" i="47" s="1"/>
  <c r="G60" i="14"/>
  <c r="F47" i="15" s="1"/>
  <c r="G47" i="15" s="1"/>
  <c r="D50" i="47"/>
  <c r="D51" i="47" s="1"/>
  <c r="H60" i="14"/>
  <c r="F82" i="19"/>
  <c r="E51" i="18" s="1"/>
  <c r="F51" i="18" s="1"/>
  <c r="H82" i="19" s="1"/>
  <c r="E53" i="11"/>
  <c r="F53" i="11" s="1"/>
  <c r="G80" i="14" s="1"/>
  <c r="H80" i="14" s="1"/>
  <c r="D83" i="47" s="1"/>
  <c r="G83" i="47" s="1"/>
  <c r="G24" i="14"/>
  <c r="H24" i="14" s="1"/>
  <c r="D26" i="47" s="1"/>
  <c r="G26" i="47" s="1"/>
  <c r="H104" i="14"/>
  <c r="D97" i="47" s="1"/>
  <c r="C13" i="67"/>
  <c r="R23" i="58"/>
  <c r="R32" i="58" s="1"/>
  <c r="G20" i="14"/>
  <c r="H20" i="14" s="1"/>
  <c r="D22" i="47" s="1"/>
  <c r="G22" i="47" s="1"/>
  <c r="J18" i="58"/>
  <c r="D63" i="47"/>
  <c r="J21" i="58"/>
  <c r="G63" i="47"/>
  <c r="H72" i="14"/>
  <c r="H38" i="14"/>
  <c r="H89" i="19"/>
  <c r="H87" i="14"/>
  <c r="D90" i="47" s="1"/>
  <c r="G90" i="47" s="1"/>
  <c r="M17" i="19"/>
  <c r="I15" i="19"/>
  <c r="E16" i="47" s="1"/>
  <c r="G15" i="47"/>
  <c r="G18" i="47" s="1"/>
  <c r="D18" i="47"/>
  <c r="D53" i="15"/>
  <c r="G53" i="15"/>
  <c r="D51" i="15"/>
  <c r="F113" i="14"/>
  <c r="E41" i="15"/>
  <c r="H16" i="14"/>
  <c r="G97" i="47" l="1"/>
  <c r="G104" i="47" s="1"/>
  <c r="G29" i="47"/>
  <c r="G88" i="14"/>
  <c r="F51" i="15" s="1"/>
  <c r="G51" i="15" s="1"/>
  <c r="F59" i="11"/>
  <c r="G91" i="47"/>
  <c r="H111" i="14"/>
  <c r="D104" i="47"/>
  <c r="C16" i="67"/>
  <c r="C18" i="67" s="1"/>
  <c r="C27" i="67" s="1"/>
  <c r="E13" i="67"/>
  <c r="E16" i="67" s="1"/>
  <c r="E18" i="67" s="1"/>
  <c r="E27" i="67" s="1"/>
  <c r="G27" i="14"/>
  <c r="F43" i="15" s="1"/>
  <c r="G43" i="15" s="1"/>
  <c r="D29" i="47"/>
  <c r="H27" i="14"/>
  <c r="J23" i="58"/>
  <c r="J32" i="58" s="1"/>
  <c r="J43" i="58" s="1"/>
  <c r="J45" i="58" s="1"/>
  <c r="D91" i="47"/>
  <c r="H88" i="14"/>
  <c r="N17" i="19"/>
  <c r="O17" i="19"/>
  <c r="E55" i="15"/>
  <c r="D41" i="15"/>
  <c r="G41" i="15"/>
  <c r="H110" i="12"/>
  <c r="D103" i="23" s="1"/>
  <c r="G103" i="23" s="1"/>
  <c r="H108" i="12"/>
  <c r="D101" i="23" s="1"/>
  <c r="G101" i="23" s="1"/>
  <c r="H107" i="12"/>
  <c r="D100" i="23" s="1"/>
  <c r="H106" i="12"/>
  <c r="D99" i="23" s="1"/>
  <c r="G99" i="23" s="1"/>
  <c r="H105" i="12"/>
  <c r="D98" i="23" s="1"/>
  <c r="G98" i="23" s="1"/>
  <c r="H103" i="12"/>
  <c r="D96" i="23" s="1"/>
  <c r="G96" i="23" s="1"/>
  <c r="H102" i="12"/>
  <c r="D95" i="23" s="1"/>
  <c r="H101" i="12"/>
  <c r="D94" i="23" s="1"/>
  <c r="G94" i="23" s="1"/>
  <c r="H86" i="12"/>
  <c r="D89" i="23" s="1"/>
  <c r="G89" i="23" s="1"/>
  <c r="H84" i="12"/>
  <c r="D87" i="23" s="1"/>
  <c r="G87" i="23" s="1"/>
  <c r="H83" i="12"/>
  <c r="D86" i="23" s="1"/>
  <c r="G86" i="23" s="1"/>
  <c r="H77" i="12"/>
  <c r="D80" i="23" s="1"/>
  <c r="G80" i="23" s="1"/>
  <c r="H76" i="12"/>
  <c r="D79" i="23" s="1"/>
  <c r="G79" i="23" s="1"/>
  <c r="H75" i="12"/>
  <c r="D78" i="23" s="1"/>
  <c r="G78" i="23" s="1"/>
  <c r="H70" i="12"/>
  <c r="D61" i="23" s="1"/>
  <c r="G61" i="23" s="1"/>
  <c r="H69" i="12"/>
  <c r="D60" i="23" s="1"/>
  <c r="G60" i="23" s="1"/>
  <c r="H68" i="12"/>
  <c r="D59" i="23" s="1"/>
  <c r="G59" i="23" s="1"/>
  <c r="H67" i="12"/>
  <c r="D58" i="23" s="1"/>
  <c r="G58" i="23" s="1"/>
  <c r="H66" i="12"/>
  <c r="D57" i="23" s="1"/>
  <c r="G57" i="23" s="1"/>
  <c r="H65" i="12"/>
  <c r="D56" i="23" s="1"/>
  <c r="G56" i="23" s="1"/>
  <c r="H64" i="12"/>
  <c r="D55" i="23" s="1"/>
  <c r="G55" i="23" s="1"/>
  <c r="H63" i="12"/>
  <c r="D54" i="23" s="1"/>
  <c r="G54" i="23" s="1"/>
  <c r="H58" i="12"/>
  <c r="D49" i="23" s="1"/>
  <c r="G49" i="23" s="1"/>
  <c r="H57" i="12"/>
  <c r="D48" i="23" s="1"/>
  <c r="G48" i="23" s="1"/>
  <c r="H56" i="12"/>
  <c r="D47" i="23" s="1"/>
  <c r="G47" i="23" s="1"/>
  <c r="H44" i="12"/>
  <c r="D46" i="23" s="1"/>
  <c r="G46" i="23" s="1"/>
  <c r="H43" i="12"/>
  <c r="D45" i="23" s="1"/>
  <c r="G45" i="23" s="1"/>
  <c r="H42" i="12"/>
  <c r="D44" i="23" s="1"/>
  <c r="G44" i="23" s="1"/>
  <c r="H41" i="12"/>
  <c r="D43" i="23" s="1"/>
  <c r="G43" i="23" s="1"/>
  <c r="H36" i="12"/>
  <c r="D38" i="23" s="1"/>
  <c r="G38" i="23" s="1"/>
  <c r="H35" i="12"/>
  <c r="D37" i="23" s="1"/>
  <c r="G37" i="23" s="1"/>
  <c r="H34" i="12"/>
  <c r="D36" i="23" s="1"/>
  <c r="G36" i="23" s="1"/>
  <c r="H33" i="12"/>
  <c r="D35" i="23" s="1"/>
  <c r="G35" i="23" s="1"/>
  <c r="H32" i="12"/>
  <c r="D34" i="23" s="1"/>
  <c r="G34" i="23" s="1"/>
  <c r="H31" i="12"/>
  <c r="D33" i="23" s="1"/>
  <c r="G33" i="23" s="1"/>
  <c r="H30" i="12"/>
  <c r="D32" i="23" s="1"/>
  <c r="G32" i="23" s="1"/>
  <c r="H23" i="12"/>
  <c r="D25" i="23" s="1"/>
  <c r="G25" i="23" s="1"/>
  <c r="H22" i="12"/>
  <c r="D24" i="23" s="1"/>
  <c r="H15" i="12"/>
  <c r="D17" i="23" s="1"/>
  <c r="G17" i="23" s="1"/>
  <c r="H14" i="12"/>
  <c r="D16" i="23" s="1"/>
  <c r="G16" i="23" s="1"/>
  <c r="H13" i="12"/>
  <c r="D15" i="23" s="1"/>
  <c r="A4" i="12"/>
  <c r="A92" i="12" s="1"/>
  <c r="A96" i="12"/>
  <c r="A94" i="12"/>
  <c r="A91" i="12"/>
  <c r="A52" i="12"/>
  <c r="A50" i="12"/>
  <c r="A47" i="12"/>
  <c r="A13" i="12"/>
  <c r="A14" i="12" s="1"/>
  <c r="A15" i="12" s="1"/>
  <c r="A16" i="12" s="1"/>
  <c r="A18" i="12" s="1"/>
  <c r="A19" i="12" s="1"/>
  <c r="A20" i="12" s="1"/>
  <c r="A7" i="12"/>
  <c r="A51" i="12" s="1"/>
  <c r="A2" i="12"/>
  <c r="A46" i="12" s="1"/>
  <c r="A1" i="12"/>
  <c r="A89" i="12" s="1"/>
  <c r="A38" i="11"/>
  <c r="A34" i="11"/>
  <c r="A33" i="11"/>
  <c r="A7" i="11"/>
  <c r="A37" i="11" s="1"/>
  <c r="A4" i="11"/>
  <c r="A2" i="11"/>
  <c r="A32" i="11" s="1"/>
  <c r="A1" i="11"/>
  <c r="A31" i="11" s="1"/>
  <c r="A46" i="10"/>
  <c r="A51" i="10"/>
  <c r="A47" i="10"/>
  <c r="A45" i="10"/>
  <c r="A8" i="10"/>
  <c r="A50" i="10" s="1"/>
  <c r="A5" i="10"/>
  <c r="A2" i="10"/>
  <c r="A44" i="10" s="1"/>
  <c r="A1" i="10"/>
  <c r="A43" i="10" s="1"/>
  <c r="A24" i="9"/>
  <c r="A20" i="9"/>
  <c r="A19" i="9"/>
  <c r="A7" i="9"/>
  <c r="A23" i="9" s="1"/>
  <c r="A4" i="9"/>
  <c r="A2" i="9"/>
  <c r="A18" i="9" s="1"/>
  <c r="A1" i="9"/>
  <c r="A17" i="9" s="1"/>
  <c r="A21" i="8"/>
  <c r="A17" i="8"/>
  <c r="A16" i="8"/>
  <c r="A7" i="8"/>
  <c r="A20" i="8" s="1"/>
  <c r="A4" i="8"/>
  <c r="A2" i="8"/>
  <c r="A15" i="8" s="1"/>
  <c r="A1" i="8"/>
  <c r="A14" i="8" s="1"/>
  <c r="A17" i="7"/>
  <c r="A21" i="7"/>
  <c r="A16" i="7"/>
  <c r="A4" i="7"/>
  <c r="A7" i="7"/>
  <c r="A20" i="7" s="1"/>
  <c r="A2" i="7"/>
  <c r="A15" i="7" s="1"/>
  <c r="A1" i="7"/>
  <c r="A14" i="7" s="1"/>
  <c r="I112" i="5"/>
  <c r="A102" i="5"/>
  <c r="A105" i="5"/>
  <c r="A107" i="5"/>
  <c r="A4" i="4"/>
  <c r="A4" i="5"/>
  <c r="A103" i="5" s="1"/>
  <c r="A58" i="5"/>
  <c r="A56" i="5"/>
  <c r="A53" i="5"/>
  <c r="A13" i="5"/>
  <c r="A14" i="5" s="1"/>
  <c r="A15" i="5" s="1"/>
  <c r="A16" i="5" s="1"/>
  <c r="A18" i="5" s="1"/>
  <c r="A19" i="5" s="1"/>
  <c r="A20" i="5" s="1"/>
  <c r="A7" i="5"/>
  <c r="A57" i="5" s="1"/>
  <c r="A2" i="5"/>
  <c r="A52" i="5" s="1"/>
  <c r="A1" i="5"/>
  <c r="A51" i="5" s="1"/>
  <c r="A96" i="4"/>
  <c r="A94" i="4"/>
  <c r="A91" i="4"/>
  <c r="A52" i="4"/>
  <c r="A50" i="4"/>
  <c r="A47" i="4"/>
  <c r="G106" i="47" l="1"/>
  <c r="G113" i="14"/>
  <c r="A95" i="12"/>
  <c r="F55" i="15"/>
  <c r="H113" i="14"/>
  <c r="D106" i="47"/>
  <c r="A90" i="12"/>
  <c r="J47" i="58"/>
  <c r="G55" i="15"/>
  <c r="F14" i="16" s="1"/>
  <c r="P17" i="19"/>
  <c r="F14" i="19" s="1"/>
  <c r="G14" i="19" s="1"/>
  <c r="G95" i="23"/>
  <c r="G40" i="23"/>
  <c r="G51" i="23"/>
  <c r="D18" i="23"/>
  <c r="G15" i="23"/>
  <c r="G18" i="23" s="1"/>
  <c r="A22" i="12"/>
  <c r="A21" i="12"/>
  <c r="A23" i="12" s="1"/>
  <c r="A24" i="12" s="1"/>
  <c r="A25" i="12" s="1"/>
  <c r="A26" i="12" s="1"/>
  <c r="A27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40" i="12" s="1"/>
  <c r="A41" i="12" s="1"/>
  <c r="A42" i="12" s="1"/>
  <c r="A43" i="12" s="1"/>
  <c r="A44" i="12" s="1"/>
  <c r="A56" i="12" s="1"/>
  <c r="A57" i="12" s="1"/>
  <c r="A58" i="12" s="1"/>
  <c r="A59" i="12" s="1"/>
  <c r="A60" i="12" s="1"/>
  <c r="A62" i="12" s="1"/>
  <c r="A63" i="12" s="1"/>
  <c r="A64" i="12" s="1"/>
  <c r="A65" i="12" s="1"/>
  <c r="A66" i="12" s="1"/>
  <c r="A67" i="12" s="1"/>
  <c r="A68" i="12" s="1"/>
  <c r="A69" i="12" s="1"/>
  <c r="A70" i="12" s="1"/>
  <c r="A71" i="12" s="1"/>
  <c r="A72" i="12" s="1"/>
  <c r="A74" i="12" s="1"/>
  <c r="A75" i="12" s="1"/>
  <c r="A76" i="12" s="1"/>
  <c r="A77" i="12" s="1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100" i="12" s="1"/>
  <c r="A101" i="12" s="1"/>
  <c r="A102" i="12" s="1"/>
  <c r="A103" i="12" s="1"/>
  <c r="A104" i="12" s="1"/>
  <c r="A105" i="12" s="1"/>
  <c r="A106" i="12" s="1"/>
  <c r="A107" i="12" s="1"/>
  <c r="A108" i="12" s="1"/>
  <c r="A109" i="12" s="1"/>
  <c r="A110" i="12" s="1"/>
  <c r="A111" i="12" s="1"/>
  <c r="A113" i="12" s="1"/>
  <c r="F16" i="12"/>
  <c r="E13" i="15" s="1"/>
  <c r="F60" i="12"/>
  <c r="E19" i="15" s="1"/>
  <c r="A45" i="12"/>
  <c r="F38" i="12"/>
  <c r="E17" i="15" s="1"/>
  <c r="G16" i="12"/>
  <c r="F13" i="15" s="1"/>
  <c r="F27" i="12"/>
  <c r="E15" i="15" s="1"/>
  <c r="A48" i="12"/>
  <c r="F111" i="12"/>
  <c r="E25" i="15" s="1"/>
  <c r="A106" i="5"/>
  <c r="A101" i="5"/>
  <c r="A100" i="5"/>
  <c r="F38" i="5"/>
  <c r="A22" i="5"/>
  <c r="A21" i="5"/>
  <c r="A23" i="5" s="1"/>
  <c r="A24" i="5" s="1"/>
  <c r="A25" i="5" s="1"/>
  <c r="A26" i="5" s="1"/>
  <c r="A27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11" i="5" s="1"/>
  <c r="A112" i="5" s="1"/>
  <c r="A114" i="5" s="1"/>
  <c r="H22" i="5"/>
  <c r="G16" i="5"/>
  <c r="A54" i="5"/>
  <c r="F13" i="67" l="1"/>
  <c r="G13" i="67" s="1"/>
  <c r="F16" i="19"/>
  <c r="G16" i="19" s="1"/>
  <c r="I16" i="19" s="1"/>
  <c r="E17" i="47" s="1"/>
  <c r="I14" i="19"/>
  <c r="H87" i="5"/>
  <c r="H32" i="5"/>
  <c r="F112" i="5"/>
  <c r="G112" i="5"/>
  <c r="E112" i="5"/>
  <c r="D112" i="5"/>
  <c r="H93" i="5"/>
  <c r="G13" i="15"/>
  <c r="F88" i="12"/>
  <c r="E23" i="15" s="1"/>
  <c r="F72" i="12"/>
  <c r="E21" i="15" s="1"/>
  <c r="H16" i="12"/>
  <c r="D27" i="5"/>
  <c r="H19" i="5"/>
  <c r="H21" i="5"/>
  <c r="H97" i="5"/>
  <c r="H41" i="5"/>
  <c r="H65" i="5"/>
  <c r="H95" i="5"/>
  <c r="H45" i="5"/>
  <c r="H69" i="5"/>
  <c r="H34" i="5"/>
  <c r="H82" i="5"/>
  <c r="H66" i="5"/>
  <c r="H80" i="5"/>
  <c r="H36" i="5"/>
  <c r="E49" i="5"/>
  <c r="F16" i="5"/>
  <c r="H26" i="5"/>
  <c r="H35" i="5"/>
  <c r="H79" i="5"/>
  <c r="H46" i="5"/>
  <c r="D49" i="5"/>
  <c r="H78" i="5"/>
  <c r="H68" i="5"/>
  <c r="G27" i="5"/>
  <c r="H63" i="5"/>
  <c r="H47" i="5"/>
  <c r="H37" i="5"/>
  <c r="H31" i="5"/>
  <c r="H98" i="5"/>
  <c r="H64" i="5"/>
  <c r="H42" i="5"/>
  <c r="H94" i="5"/>
  <c r="H81" i="5"/>
  <c r="H24" i="5"/>
  <c r="H99" i="5"/>
  <c r="G38" i="5"/>
  <c r="H111" i="5"/>
  <c r="H15" i="5"/>
  <c r="H48" i="5"/>
  <c r="G49" i="5"/>
  <c r="E27" i="5"/>
  <c r="H96" i="5"/>
  <c r="H33" i="5"/>
  <c r="H85" i="5"/>
  <c r="H77" i="5"/>
  <c r="F27" i="5"/>
  <c r="E38" i="5"/>
  <c r="H83" i="5"/>
  <c r="F72" i="5"/>
  <c r="E88" i="5"/>
  <c r="H67" i="5"/>
  <c r="H14" i="5"/>
  <c r="H92" i="5"/>
  <c r="G72" i="5"/>
  <c r="H71" i="5"/>
  <c r="H43" i="5"/>
  <c r="H25" i="5"/>
  <c r="H91" i="5"/>
  <c r="H23" i="5"/>
  <c r="H84" i="5"/>
  <c r="H20" i="5"/>
  <c r="D38" i="5"/>
  <c r="H30" i="5"/>
  <c r="D16" i="5"/>
  <c r="H13" i="5"/>
  <c r="G88" i="5"/>
  <c r="F49" i="5"/>
  <c r="E16" i="5"/>
  <c r="H76" i="5"/>
  <c r="E72" i="5"/>
  <c r="D88" i="5"/>
  <c r="H75" i="5"/>
  <c r="H70" i="5"/>
  <c r="H44" i="5"/>
  <c r="H86" i="5"/>
  <c r="F88" i="5"/>
  <c r="D72" i="5"/>
  <c r="G17" i="19" l="1"/>
  <c r="E15" i="47"/>
  <c r="E18" i="47" s="1"/>
  <c r="I17" i="19"/>
  <c r="H112" i="5"/>
  <c r="E27" i="15"/>
  <c r="F113" i="12"/>
  <c r="F114" i="5"/>
  <c r="H38" i="5"/>
  <c r="H72" i="5"/>
  <c r="I88" i="5"/>
  <c r="H27" i="5"/>
  <c r="G114" i="5"/>
  <c r="I72" i="5"/>
  <c r="H16" i="5"/>
  <c r="H49" i="5"/>
  <c r="H88" i="5"/>
  <c r="E114" i="5"/>
  <c r="D114" i="5"/>
  <c r="D117" i="5" s="1"/>
  <c r="H114" i="5" l="1"/>
  <c r="H117" i="5" s="1"/>
  <c r="I114" i="5"/>
  <c r="I117" i="5" s="1"/>
  <c r="E63" i="4" l="1"/>
  <c r="D23" i="4"/>
  <c r="A13" i="4"/>
  <c r="A14" i="4" s="1"/>
  <c r="A15" i="4" s="1"/>
  <c r="A16" i="4" s="1"/>
  <c r="A7" i="4"/>
  <c r="A2" i="4"/>
  <c r="A1" i="4"/>
  <c r="F56" i="4" l="1"/>
  <c r="F31" i="4"/>
  <c r="F101" i="4"/>
  <c r="G69" i="4"/>
  <c r="D85" i="4"/>
  <c r="F66" i="4"/>
  <c r="D35" i="4"/>
  <c r="F32" i="4"/>
  <c r="G83" i="4"/>
  <c r="E68" i="4"/>
  <c r="E66" i="4"/>
  <c r="E86" i="4"/>
  <c r="F82" i="4"/>
  <c r="E23" i="17"/>
  <c r="E112" i="17"/>
  <c r="E108" i="17"/>
  <c r="E104" i="17"/>
  <c r="E89" i="17"/>
  <c r="D24" i="18" s="1"/>
  <c r="E85" i="17"/>
  <c r="E81" i="17"/>
  <c r="E77" i="17"/>
  <c r="E70" i="17"/>
  <c r="E66" i="17"/>
  <c r="E59" i="17"/>
  <c r="E42" i="17"/>
  <c r="E35" i="17"/>
  <c r="E31" i="17"/>
  <c r="E24" i="17"/>
  <c r="E16" i="17"/>
  <c r="E78" i="17"/>
  <c r="E60" i="17"/>
  <c r="E36" i="17"/>
  <c r="E20" i="17"/>
  <c r="E111" i="17"/>
  <c r="E107" i="17"/>
  <c r="E88" i="17"/>
  <c r="E84" i="17"/>
  <c r="E80" i="17"/>
  <c r="E73" i="17"/>
  <c r="D19" i="18" s="1"/>
  <c r="E69" i="17"/>
  <c r="E65" i="17"/>
  <c r="E58" i="17"/>
  <c r="E45" i="17"/>
  <c r="E38" i="17"/>
  <c r="D17" i="18" s="1"/>
  <c r="E34" i="17"/>
  <c r="E27" i="17"/>
  <c r="D16" i="18" s="1"/>
  <c r="E22" i="17"/>
  <c r="E15" i="17"/>
  <c r="E109" i="17"/>
  <c r="E86" i="17"/>
  <c r="E71" i="17"/>
  <c r="E43" i="17"/>
  <c r="E25" i="17"/>
  <c r="E110" i="17"/>
  <c r="E106" i="17"/>
  <c r="E87" i="17"/>
  <c r="E83" i="17"/>
  <c r="E79" i="17"/>
  <c r="E72" i="17"/>
  <c r="E68" i="17"/>
  <c r="E61" i="17"/>
  <c r="D18" i="18" s="1"/>
  <c r="E44" i="17"/>
  <c r="E37" i="17"/>
  <c r="E33" i="17"/>
  <c r="E26" i="17"/>
  <c r="E21" i="17"/>
  <c r="E14" i="17"/>
  <c r="E113" i="17"/>
  <c r="E105" i="17"/>
  <c r="E82" i="17"/>
  <c r="E67" i="17"/>
  <c r="E32" i="17"/>
  <c r="G110" i="4"/>
  <c r="G109" i="4"/>
  <c r="G108" i="4"/>
  <c r="G107" i="4"/>
  <c r="G106" i="4"/>
  <c r="G105" i="4"/>
  <c r="G104" i="4"/>
  <c r="G103" i="4"/>
  <c r="G102" i="4"/>
  <c r="F85" i="4"/>
  <c r="F81" i="4"/>
  <c r="F77" i="4"/>
  <c r="D71" i="4"/>
  <c r="D67" i="4"/>
  <c r="D63" i="4"/>
  <c r="D34" i="4"/>
  <c r="D30" i="4"/>
  <c r="F110" i="4"/>
  <c r="F109" i="4"/>
  <c r="F108" i="4"/>
  <c r="F107" i="4"/>
  <c r="F106" i="4"/>
  <c r="F105" i="4"/>
  <c r="F104" i="4"/>
  <c r="F103" i="4"/>
  <c r="G101" i="4"/>
  <c r="F84" i="4"/>
  <c r="F80" i="4"/>
  <c r="F76" i="4"/>
  <c r="D70" i="4"/>
  <c r="D66" i="4"/>
  <c r="D37" i="4"/>
  <c r="D33" i="4"/>
  <c r="E110" i="4"/>
  <c r="E109" i="4"/>
  <c r="E108" i="4"/>
  <c r="E107" i="4"/>
  <c r="E106" i="4"/>
  <c r="E105" i="4"/>
  <c r="E104" i="4"/>
  <c r="E103" i="4"/>
  <c r="F87" i="4"/>
  <c r="F83" i="4"/>
  <c r="F79" i="4"/>
  <c r="D75" i="4"/>
  <c r="D69" i="4"/>
  <c r="D65" i="4"/>
  <c r="G36" i="4"/>
  <c r="G32" i="4"/>
  <c r="D110" i="4"/>
  <c r="D109" i="4"/>
  <c r="D108" i="4"/>
  <c r="D107" i="4"/>
  <c r="D106" i="4"/>
  <c r="D105" i="4"/>
  <c r="D104" i="4"/>
  <c r="D103" i="4"/>
  <c r="D86" i="4"/>
  <c r="D82" i="4"/>
  <c r="D78" i="4"/>
  <c r="E64" i="4"/>
  <c r="F68" i="4"/>
  <c r="F64" i="4"/>
  <c r="G35" i="4"/>
  <c r="G31" i="4"/>
  <c r="F42" i="4"/>
  <c r="G57" i="4"/>
  <c r="G34" i="4"/>
  <c r="F35" i="4"/>
  <c r="F30" i="4"/>
  <c r="E30" i="4"/>
  <c r="D102" i="4"/>
  <c r="E87" i="4"/>
  <c r="E81" i="4"/>
  <c r="E76" i="4"/>
  <c r="G67" i="4"/>
  <c r="E35" i="4"/>
  <c r="E102" i="4"/>
  <c r="D84" i="4"/>
  <c r="D79" i="4"/>
  <c r="F70" i="4"/>
  <c r="F65" i="4"/>
  <c r="E31" i="4"/>
  <c r="G87" i="4"/>
  <c r="F75" i="4"/>
  <c r="D101" i="4"/>
  <c r="G80" i="4"/>
  <c r="G64" i="4"/>
  <c r="F86" i="4"/>
  <c r="G78" i="4"/>
  <c r="E69" i="4"/>
  <c r="F41" i="4"/>
  <c r="F37" i="4"/>
  <c r="E32" i="4"/>
  <c r="E77" i="4"/>
  <c r="G81" i="4"/>
  <c r="F71" i="4"/>
  <c r="F78" i="4"/>
  <c r="G43" i="4"/>
  <c r="F58" i="4"/>
  <c r="G33" i="4"/>
  <c r="F34" i="4"/>
  <c r="E37" i="4"/>
  <c r="G77" i="4"/>
  <c r="E85" i="4"/>
  <c r="E80" i="4"/>
  <c r="G71" i="4"/>
  <c r="G66" i="4"/>
  <c r="D32" i="4"/>
  <c r="E101" i="4"/>
  <c r="D83" i="4"/>
  <c r="D77" i="4"/>
  <c r="F69" i="4"/>
  <c r="F63" i="4"/>
  <c r="E71" i="4"/>
  <c r="G84" i="4"/>
  <c r="G68" i="4"/>
  <c r="G76" i="4"/>
  <c r="E78" i="4"/>
  <c r="D31" i="4"/>
  <c r="G79" i="4"/>
  <c r="G82" i="4"/>
  <c r="D64" i="4"/>
  <c r="G37" i="4"/>
  <c r="E33" i="4"/>
  <c r="E83" i="4"/>
  <c r="G63" i="4"/>
  <c r="D80" i="4"/>
  <c r="R55" i="59"/>
  <c r="R55" i="58"/>
  <c r="P8" i="66"/>
  <c r="P69" i="66" s="1"/>
  <c r="J8" i="63"/>
  <c r="J8" i="64"/>
  <c r="J8" i="47"/>
  <c r="G8" i="40"/>
  <c r="G26" i="40" s="1"/>
  <c r="P8" i="31"/>
  <c r="P69" i="31" s="1"/>
  <c r="G8" i="25"/>
  <c r="G34" i="25" s="1"/>
  <c r="E8" i="27"/>
  <c r="E29" i="27" s="1"/>
  <c r="H8" i="28"/>
  <c r="H29" i="28" s="1"/>
  <c r="E8" i="26"/>
  <c r="E33" i="26" s="1"/>
  <c r="J8" i="23"/>
  <c r="J8" i="20"/>
  <c r="J33" i="20" s="1"/>
  <c r="I8" i="19"/>
  <c r="H8" i="18"/>
  <c r="H37" i="18" s="1"/>
  <c r="I8" i="17"/>
  <c r="F9" i="16"/>
  <c r="F8" i="69"/>
  <c r="G8" i="68"/>
  <c r="G8" i="67"/>
  <c r="F8" i="30"/>
  <c r="E9" i="33"/>
  <c r="F44" i="4"/>
  <c r="F59" i="4"/>
  <c r="G30" i="4"/>
  <c r="F33" i="4"/>
  <c r="E34" i="4"/>
  <c r="D36" i="4"/>
  <c r="F102" i="4"/>
  <c r="E84" i="4"/>
  <c r="E79" i="4"/>
  <c r="G70" i="4"/>
  <c r="G65" i="4"/>
  <c r="G85" i="4"/>
  <c r="D87" i="4"/>
  <c r="D81" i="4"/>
  <c r="D76" i="4"/>
  <c r="F67" i="4"/>
  <c r="F36" i="4"/>
  <c r="E67" i="4"/>
  <c r="E82" i="4"/>
  <c r="E65" i="4"/>
  <c r="G86" i="4"/>
  <c r="E75" i="4"/>
  <c r="E70" i="4"/>
  <c r="D68" i="4"/>
  <c r="G75" i="4"/>
  <c r="E36" i="4"/>
  <c r="G8" i="15"/>
  <c r="G36" i="15" s="1"/>
  <c r="H8" i="14"/>
  <c r="I8" i="7"/>
  <c r="I21" i="7" s="1"/>
  <c r="I8" i="5"/>
  <c r="H8" i="12"/>
  <c r="H8" i="11"/>
  <c r="H38" i="11" s="1"/>
  <c r="K9" i="10"/>
  <c r="K51" i="10" s="1"/>
  <c r="N8" i="9"/>
  <c r="N24" i="9" s="1"/>
  <c r="H8" i="8"/>
  <c r="H21" i="8" s="1"/>
  <c r="H8" i="4"/>
  <c r="H96" i="4" s="1"/>
  <c r="A89" i="4"/>
  <c r="A45" i="4"/>
  <c r="A95" i="4"/>
  <c r="A51" i="4"/>
  <c r="A90" i="4"/>
  <c r="A46" i="4"/>
  <c r="A92" i="4"/>
  <c r="A48" i="4"/>
  <c r="A18" i="4"/>
  <c r="A19" i="4" s="1"/>
  <c r="A20" i="4" s="1"/>
  <c r="D58" i="4"/>
  <c r="G58" i="4"/>
  <c r="G42" i="4"/>
  <c r="G59" i="4"/>
  <c r="D44" i="4"/>
  <c r="D41" i="4"/>
  <c r="E44" i="4"/>
  <c r="D59" i="4"/>
  <c r="G41" i="4"/>
  <c r="G44" i="4"/>
  <c r="E59" i="4"/>
  <c r="G56" i="4"/>
  <c r="D56" i="4"/>
  <c r="E41" i="4"/>
  <c r="E42" i="4"/>
  <c r="D42" i="4"/>
  <c r="E56" i="4"/>
  <c r="E58" i="4"/>
  <c r="D43" i="4"/>
  <c r="E43" i="4"/>
  <c r="F43" i="4"/>
  <c r="E57" i="4"/>
  <c r="F57" i="4"/>
  <c r="D57" i="4"/>
  <c r="D22" i="4"/>
  <c r="D20" i="4"/>
  <c r="E22" i="4"/>
  <c r="F14" i="4"/>
  <c r="D19" i="4"/>
  <c r="F22" i="4"/>
  <c r="G22" i="4"/>
  <c r="D26" i="4"/>
  <c r="G15" i="4"/>
  <c r="D21" i="4"/>
  <c r="D24" i="4"/>
  <c r="F13" i="4"/>
  <c r="E25" i="4"/>
  <c r="G14" i="4"/>
  <c r="E19" i="4"/>
  <c r="E26" i="4"/>
  <c r="D25" i="4"/>
  <c r="G26" i="4"/>
  <c r="D14" i="4"/>
  <c r="E20" i="4"/>
  <c r="E21" i="4"/>
  <c r="E23" i="4"/>
  <c r="E24" i="4"/>
  <c r="E13" i="4"/>
  <c r="D13" i="4"/>
  <c r="D15" i="4"/>
  <c r="G13" i="4"/>
  <c r="E15" i="4"/>
  <c r="F19" i="4"/>
  <c r="F20" i="4"/>
  <c r="F21" i="4"/>
  <c r="F23" i="4"/>
  <c r="F24" i="4"/>
  <c r="F25" i="4"/>
  <c r="F26" i="4"/>
  <c r="E14" i="4"/>
  <c r="F15" i="4"/>
  <c r="G19" i="4"/>
  <c r="G20" i="4"/>
  <c r="G21" i="4"/>
  <c r="G23" i="4"/>
  <c r="G24" i="4"/>
  <c r="G25" i="4"/>
  <c r="H86" i="4" l="1"/>
  <c r="D86" i="12" s="1"/>
  <c r="E86" i="12" s="1"/>
  <c r="H87" i="4"/>
  <c r="D87" i="12" s="1"/>
  <c r="D25" i="11" s="1"/>
  <c r="H106" i="4"/>
  <c r="D106" i="12" s="1"/>
  <c r="H110" i="4"/>
  <c r="D110" i="12" s="1"/>
  <c r="D113" i="17" s="1"/>
  <c r="H32" i="4"/>
  <c r="D32" i="12" s="1"/>
  <c r="D33" i="17" s="1"/>
  <c r="H68" i="4"/>
  <c r="D68" i="12" s="1"/>
  <c r="D70" i="17" s="1"/>
  <c r="H65" i="4"/>
  <c r="D65" i="12" s="1"/>
  <c r="D67" i="17" s="1"/>
  <c r="H105" i="4"/>
  <c r="D105" i="12" s="1"/>
  <c r="E105" i="12" s="1"/>
  <c r="F27" i="11" s="1"/>
  <c r="G85" i="12" s="1"/>
  <c r="H85" i="12" s="1"/>
  <c r="D88" i="23" s="1"/>
  <c r="G88" i="23" s="1"/>
  <c r="H109" i="4"/>
  <c r="D109" i="12" s="1"/>
  <c r="D112" i="17" s="1"/>
  <c r="G38" i="4"/>
  <c r="F72" i="4"/>
  <c r="H85" i="4"/>
  <c r="D85" i="12" s="1"/>
  <c r="E85" i="12" s="1"/>
  <c r="H33" i="4"/>
  <c r="D33" i="12" s="1"/>
  <c r="D34" i="17" s="1"/>
  <c r="H71" i="4"/>
  <c r="D71" i="12" s="1"/>
  <c r="D20" i="11" s="1"/>
  <c r="H30" i="4"/>
  <c r="D30" i="12" s="1"/>
  <c r="D31" i="17" s="1"/>
  <c r="H70" i="4"/>
  <c r="D70" i="12" s="1"/>
  <c r="D72" i="17" s="1"/>
  <c r="H101" i="4"/>
  <c r="D101" i="12" s="1"/>
  <c r="D104" i="17" s="1"/>
  <c r="H76" i="4"/>
  <c r="D76" i="12" s="1"/>
  <c r="E76" i="12" s="1"/>
  <c r="G72" i="4"/>
  <c r="H83" i="4"/>
  <c r="D83" i="12" s="1"/>
  <c r="D85" i="17" s="1"/>
  <c r="H69" i="4"/>
  <c r="D69" i="12" s="1"/>
  <c r="D71" i="17" s="1"/>
  <c r="H82" i="4"/>
  <c r="D82" i="12" s="1"/>
  <c r="D84" i="17" s="1"/>
  <c r="H63" i="4"/>
  <c r="D63" i="12" s="1"/>
  <c r="E63" i="12" s="1"/>
  <c r="E111" i="4"/>
  <c r="G88" i="4"/>
  <c r="F38" i="4"/>
  <c r="E88" i="4"/>
  <c r="H80" i="4"/>
  <c r="D80" i="12" s="1"/>
  <c r="E80" i="12" s="1"/>
  <c r="E23" i="11" s="1"/>
  <c r="F23" i="11" s="1"/>
  <c r="G80" i="12" s="1"/>
  <c r="H80" i="12" s="1"/>
  <c r="D83" i="23" s="1"/>
  <c r="G83" i="23" s="1"/>
  <c r="H31" i="4"/>
  <c r="D31" i="12" s="1"/>
  <c r="D32" i="17" s="1"/>
  <c r="H84" i="4"/>
  <c r="D84" i="12" s="1"/>
  <c r="E84" i="12" s="1"/>
  <c r="D88" i="4"/>
  <c r="H66" i="4"/>
  <c r="D66" i="12" s="1"/>
  <c r="E66" i="12" s="1"/>
  <c r="H81" i="4"/>
  <c r="D81" i="12" s="1"/>
  <c r="D83" i="17" s="1"/>
  <c r="H64" i="4"/>
  <c r="D64" i="12" s="1"/>
  <c r="D66" i="17" s="1"/>
  <c r="D111" i="4"/>
  <c r="H78" i="4"/>
  <c r="D78" i="12" s="1"/>
  <c r="E78" i="12" s="1"/>
  <c r="E21" i="11" s="1"/>
  <c r="F21" i="11" s="1"/>
  <c r="G78" i="12" s="1"/>
  <c r="H78" i="12" s="1"/>
  <c r="D81" i="23" s="1"/>
  <c r="G81" i="23" s="1"/>
  <c r="H104" i="4"/>
  <c r="D104" i="12" s="1"/>
  <c r="D107" i="17" s="1"/>
  <c r="H108" i="4"/>
  <c r="D108" i="12" s="1"/>
  <c r="H37" i="4"/>
  <c r="D37" i="12" s="1"/>
  <c r="D18" i="11" s="1"/>
  <c r="F111" i="4"/>
  <c r="H34" i="4"/>
  <c r="D34" i="12" s="1"/>
  <c r="D35" i="17" s="1"/>
  <c r="D72" i="4"/>
  <c r="H79" i="4"/>
  <c r="D79" i="12" s="1"/>
  <c r="E79" i="12" s="1"/>
  <c r="E22" i="11" s="1"/>
  <c r="F22" i="11" s="1"/>
  <c r="G79" i="12" s="1"/>
  <c r="H79" i="12" s="1"/>
  <c r="D82" i="23" s="1"/>
  <c r="G82" i="23" s="1"/>
  <c r="E72" i="4"/>
  <c r="E109" i="12"/>
  <c r="H77" i="4"/>
  <c r="D77" i="12" s="1"/>
  <c r="E77" i="12" s="1"/>
  <c r="H36" i="4"/>
  <c r="D36" i="12" s="1"/>
  <c r="E36" i="12" s="1"/>
  <c r="H75" i="4"/>
  <c r="D75" i="12" s="1"/>
  <c r="H67" i="4"/>
  <c r="D67" i="12" s="1"/>
  <c r="D69" i="17" s="1"/>
  <c r="E38" i="4"/>
  <c r="F88" i="4"/>
  <c r="H35" i="4"/>
  <c r="D35" i="12" s="1"/>
  <c r="D36" i="17" s="1"/>
  <c r="D38" i="4"/>
  <c r="H102" i="4"/>
  <c r="D102" i="12" s="1"/>
  <c r="D105" i="17" s="1"/>
  <c r="F129" i="69"/>
  <c r="F68" i="69"/>
  <c r="F190" i="69"/>
  <c r="I98" i="19"/>
  <c r="I53" i="19"/>
  <c r="E17" i="17"/>
  <c r="E39" i="17"/>
  <c r="O39" i="17" s="1"/>
  <c r="P39" i="17" s="1"/>
  <c r="J64" i="63"/>
  <c r="J176" i="63"/>
  <c r="J120" i="63"/>
  <c r="F190" i="30"/>
  <c r="F68" i="30"/>
  <c r="F129" i="30"/>
  <c r="J71" i="47"/>
  <c r="G111" i="4"/>
  <c r="I98" i="17"/>
  <c r="I53" i="17"/>
  <c r="J71" i="23"/>
  <c r="J64" i="64"/>
  <c r="J120" i="64"/>
  <c r="J232" i="64"/>
  <c r="J176" i="64"/>
  <c r="H103" i="4"/>
  <c r="D103" i="12" s="1"/>
  <c r="H107" i="4"/>
  <c r="D107" i="12" s="1"/>
  <c r="D110" i="17" s="1"/>
  <c r="E74" i="17"/>
  <c r="O74" i="17" s="1"/>
  <c r="P74" i="17" s="1"/>
  <c r="E28" i="17"/>
  <c r="O28" i="17" s="1"/>
  <c r="P28" i="17" s="1"/>
  <c r="E62" i="17"/>
  <c r="O62" i="17" s="1"/>
  <c r="P62" i="17" s="1"/>
  <c r="E90" i="17"/>
  <c r="E114" i="17"/>
  <c r="O114" i="17" s="1"/>
  <c r="P114" i="17" s="1"/>
  <c r="F60" i="4"/>
  <c r="D60" i="4"/>
  <c r="E60" i="4"/>
  <c r="G60" i="4"/>
  <c r="H52" i="14"/>
  <c r="H96" i="14"/>
  <c r="H52" i="4"/>
  <c r="I107" i="5"/>
  <c r="I58" i="5"/>
  <c r="H52" i="12"/>
  <c r="H96" i="12"/>
  <c r="A21" i="4"/>
  <c r="A23" i="4" s="1"/>
  <c r="A24" i="4" s="1"/>
  <c r="A25" i="4" s="1"/>
  <c r="A26" i="4" s="1"/>
  <c r="A27" i="4" s="1"/>
  <c r="A22" i="4"/>
  <c r="H41" i="4"/>
  <c r="H44" i="4"/>
  <c r="D44" i="12" s="1"/>
  <c r="H58" i="4"/>
  <c r="D58" i="12" s="1"/>
  <c r="H59" i="4"/>
  <c r="D59" i="12" s="1"/>
  <c r="H42" i="4"/>
  <c r="D42" i="12" s="1"/>
  <c r="H56" i="4"/>
  <c r="D56" i="12" s="1"/>
  <c r="H43" i="4"/>
  <c r="D43" i="12" s="1"/>
  <c r="H57" i="4"/>
  <c r="D57" i="12" s="1"/>
  <c r="H22" i="4"/>
  <c r="D22" i="12" s="1"/>
  <c r="D23" i="17" s="1"/>
  <c r="D27" i="4"/>
  <c r="H14" i="4"/>
  <c r="D14" i="12" s="1"/>
  <c r="H20" i="4"/>
  <c r="D20" i="12" s="1"/>
  <c r="H26" i="4"/>
  <c r="D26" i="12" s="1"/>
  <c r="D17" i="11" s="1"/>
  <c r="H25" i="4"/>
  <c r="D25" i="12" s="1"/>
  <c r="H24" i="4"/>
  <c r="D24" i="12" s="1"/>
  <c r="H21" i="4"/>
  <c r="D21" i="12" s="1"/>
  <c r="E27" i="4"/>
  <c r="F16" i="4"/>
  <c r="E16" i="4"/>
  <c r="D16" i="4"/>
  <c r="H13" i="4"/>
  <c r="D13" i="12" s="1"/>
  <c r="G16" i="4"/>
  <c r="H19" i="4"/>
  <c r="D19" i="12" s="1"/>
  <c r="H23" i="4"/>
  <c r="D23" i="12" s="1"/>
  <c r="H15" i="4"/>
  <c r="D15" i="12" s="1"/>
  <c r="G27" i="4"/>
  <c r="F27" i="4"/>
  <c r="D88" i="17" l="1"/>
  <c r="E32" i="12"/>
  <c r="E104" i="12"/>
  <c r="E26" i="11" s="1"/>
  <c r="F26" i="11" s="1"/>
  <c r="G109" i="12"/>
  <c r="H109" i="12" s="1"/>
  <c r="D102" i="23" s="1"/>
  <c r="G102" i="23" s="1"/>
  <c r="D61" i="17"/>
  <c r="D19" i="11"/>
  <c r="D29" i="11" s="1"/>
  <c r="D13" i="68" s="1"/>
  <c r="E59" i="12"/>
  <c r="E19" i="11" s="1"/>
  <c r="H18" i="59"/>
  <c r="H23" i="59" s="1"/>
  <c r="H32" i="59" s="1"/>
  <c r="H43" i="59" s="1"/>
  <c r="H47" i="59" s="1"/>
  <c r="E87" i="12"/>
  <c r="E25" i="11" s="1"/>
  <c r="F25" i="11" s="1"/>
  <c r="G87" i="12" s="1"/>
  <c r="E65" i="12"/>
  <c r="G104" i="12"/>
  <c r="H104" i="12" s="1"/>
  <c r="G82" i="12"/>
  <c r="H82" i="12" s="1"/>
  <c r="D85" i="23" s="1"/>
  <c r="G85" i="23" s="1"/>
  <c r="E71" i="12"/>
  <c r="E20" i="11" s="1"/>
  <c r="F20" i="11" s="1"/>
  <c r="G71" i="12" s="1"/>
  <c r="E68" i="12"/>
  <c r="D86" i="17"/>
  <c r="D89" i="17"/>
  <c r="D78" i="17"/>
  <c r="D73" i="17"/>
  <c r="D65" i="17"/>
  <c r="D79" i="17"/>
  <c r="E30" i="12"/>
  <c r="D109" i="17"/>
  <c r="E106" i="12"/>
  <c r="D87" i="17"/>
  <c r="E70" i="12"/>
  <c r="D38" i="17"/>
  <c r="D68" i="17"/>
  <c r="D82" i="17"/>
  <c r="D80" i="17"/>
  <c r="E83" i="12"/>
  <c r="E35" i="12"/>
  <c r="D108" i="17"/>
  <c r="E33" i="12"/>
  <c r="E69" i="12"/>
  <c r="E101" i="12"/>
  <c r="E31" i="12"/>
  <c r="E34" i="12"/>
  <c r="E81" i="12"/>
  <c r="E24" i="11" s="1"/>
  <c r="F24" i="11" s="1"/>
  <c r="G81" i="12" s="1"/>
  <c r="H81" i="12" s="1"/>
  <c r="D84" i="23" s="1"/>
  <c r="G84" i="23" s="1"/>
  <c r="E67" i="12"/>
  <c r="D72" i="12"/>
  <c r="C21" i="15" s="1"/>
  <c r="D21" i="15" s="1"/>
  <c r="H88" i="4"/>
  <c r="E64" i="12"/>
  <c r="E82" i="12"/>
  <c r="H72" i="4"/>
  <c r="D38" i="12"/>
  <c r="C17" i="15" s="1"/>
  <c r="D17" i="15" s="1"/>
  <c r="D37" i="17"/>
  <c r="D39" i="17" s="1"/>
  <c r="E37" i="12"/>
  <c r="E18" i="11" s="1"/>
  <c r="F18" i="11" s="1"/>
  <c r="G37" i="12" s="1"/>
  <c r="D81" i="17"/>
  <c r="E108" i="12"/>
  <c r="E110" i="12" s="1"/>
  <c r="D111" i="17"/>
  <c r="H38" i="4"/>
  <c r="F110" i="17"/>
  <c r="G110" i="17" s="1"/>
  <c r="I110" i="17" s="1"/>
  <c r="E100" i="23" s="1"/>
  <c r="F104" i="17"/>
  <c r="G104" i="17" s="1"/>
  <c r="F109" i="17"/>
  <c r="G109" i="17" s="1"/>
  <c r="I109" i="17" s="1"/>
  <c r="E99" i="23" s="1"/>
  <c r="F113" i="17"/>
  <c r="G113" i="17" s="1"/>
  <c r="I113" i="17" s="1"/>
  <c r="E103" i="23" s="1"/>
  <c r="F106" i="17"/>
  <c r="G106" i="17" s="1"/>
  <c r="I106" i="17" s="1"/>
  <c r="E96" i="23" s="1"/>
  <c r="F111" i="17"/>
  <c r="G111" i="17" s="1"/>
  <c r="I111" i="17" s="1"/>
  <c r="E101" i="23" s="1"/>
  <c r="F105" i="17"/>
  <c r="G105" i="17" s="1"/>
  <c r="I105" i="17" s="1"/>
  <c r="E95" i="23" s="1"/>
  <c r="F112" i="17"/>
  <c r="G112" i="17" s="1"/>
  <c r="I112" i="17" s="1"/>
  <c r="E102" i="23" s="1"/>
  <c r="F107" i="17"/>
  <c r="F108" i="17"/>
  <c r="G108" i="17" s="1"/>
  <c r="I108" i="17" s="1"/>
  <c r="E98" i="23" s="1"/>
  <c r="F37" i="17"/>
  <c r="G37" i="17" s="1"/>
  <c r="I37" i="17" s="1"/>
  <c r="E38" i="23" s="1"/>
  <c r="F38" i="17"/>
  <c r="F32" i="17"/>
  <c r="G32" i="17" s="1"/>
  <c r="I32" i="17" s="1"/>
  <c r="E33" i="23" s="1"/>
  <c r="F33" i="17"/>
  <c r="G33" i="17" s="1"/>
  <c r="I33" i="17" s="1"/>
  <c r="E34" i="23" s="1"/>
  <c r="F34" i="17"/>
  <c r="G34" i="17" s="1"/>
  <c r="I34" i="17" s="1"/>
  <c r="E35" i="23" s="1"/>
  <c r="F35" i="17"/>
  <c r="G35" i="17" s="1"/>
  <c r="I35" i="17" s="1"/>
  <c r="E36" i="23" s="1"/>
  <c r="F36" i="17"/>
  <c r="G36" i="17" s="1"/>
  <c r="I36" i="17" s="1"/>
  <c r="E37" i="23" s="1"/>
  <c r="F31" i="17"/>
  <c r="G31" i="17" s="1"/>
  <c r="I31" i="17" s="1"/>
  <c r="E102" i="12"/>
  <c r="F60" i="17"/>
  <c r="G60" i="17" s="1"/>
  <c r="I60" i="17" s="1"/>
  <c r="E49" i="23" s="1"/>
  <c r="F42" i="17"/>
  <c r="G42" i="17" s="1"/>
  <c r="F45" i="17"/>
  <c r="G45" i="17" s="1"/>
  <c r="I45" i="17" s="1"/>
  <c r="E46" i="23" s="1"/>
  <c r="F61" i="17"/>
  <c r="F44" i="17"/>
  <c r="G44" i="17" s="1"/>
  <c r="I44" i="17" s="1"/>
  <c r="E45" i="23" s="1"/>
  <c r="F43" i="17"/>
  <c r="G43" i="17" s="1"/>
  <c r="I43" i="17" s="1"/>
  <c r="E44" i="23" s="1"/>
  <c r="F59" i="17"/>
  <c r="G59" i="17" s="1"/>
  <c r="I59" i="17" s="1"/>
  <c r="E48" i="23" s="1"/>
  <c r="F58" i="17"/>
  <c r="G58" i="17" s="1"/>
  <c r="I58" i="17" s="1"/>
  <c r="E47" i="23" s="1"/>
  <c r="D28" i="18"/>
  <c r="D15" i="68" s="1"/>
  <c r="E116" i="17"/>
  <c r="F72" i="17"/>
  <c r="G72" i="17" s="1"/>
  <c r="I72" i="17" s="1"/>
  <c r="E61" i="23" s="1"/>
  <c r="F73" i="17"/>
  <c r="F68" i="17"/>
  <c r="G68" i="17" s="1"/>
  <c r="I68" i="17" s="1"/>
  <c r="E57" i="23" s="1"/>
  <c r="F69" i="17"/>
  <c r="G69" i="17" s="1"/>
  <c r="I69" i="17" s="1"/>
  <c r="E58" i="23" s="1"/>
  <c r="F70" i="17"/>
  <c r="G70" i="17" s="1"/>
  <c r="I70" i="17" s="1"/>
  <c r="E59" i="23" s="1"/>
  <c r="F71" i="17"/>
  <c r="G71" i="17" s="1"/>
  <c r="I71" i="17" s="1"/>
  <c r="E60" i="23" s="1"/>
  <c r="F65" i="17"/>
  <c r="G65" i="17" s="1"/>
  <c r="I65" i="17" s="1"/>
  <c r="F66" i="17"/>
  <c r="G66" i="17" s="1"/>
  <c r="I66" i="17" s="1"/>
  <c r="E55" i="23" s="1"/>
  <c r="F67" i="17"/>
  <c r="G67" i="17" s="1"/>
  <c r="I67" i="17" s="1"/>
  <c r="E56" i="23" s="1"/>
  <c r="H111" i="4"/>
  <c r="D111" i="12"/>
  <c r="C25" i="15" s="1"/>
  <c r="D25" i="15" s="1"/>
  <c r="F25" i="17"/>
  <c r="F26" i="17"/>
  <c r="F23" i="17"/>
  <c r="G23" i="17" s="1"/>
  <c r="I23" i="17" s="1"/>
  <c r="E24" i="23" s="1"/>
  <c r="F20" i="17"/>
  <c r="G20" i="17" s="1"/>
  <c r="F21" i="17"/>
  <c r="F22" i="17"/>
  <c r="F27" i="17"/>
  <c r="F24" i="17"/>
  <c r="G24" i="17" s="1"/>
  <c r="I24" i="17" s="1"/>
  <c r="E25" i="23" s="1"/>
  <c r="E103" i="12"/>
  <c r="D106" i="17"/>
  <c r="D77" i="17"/>
  <c r="E75" i="12"/>
  <c r="D88" i="12"/>
  <c r="C23" i="15" s="1"/>
  <c r="D23" i="15" s="1"/>
  <c r="D59" i="17"/>
  <c r="E57" i="12"/>
  <c r="D58" i="17"/>
  <c r="E56" i="12"/>
  <c r="D60" i="17"/>
  <c r="E58" i="12"/>
  <c r="F82" i="17"/>
  <c r="D16" i="17"/>
  <c r="E15" i="12"/>
  <c r="D14" i="17"/>
  <c r="E13" i="12"/>
  <c r="D16" i="12"/>
  <c r="D27" i="17"/>
  <c r="E26" i="12"/>
  <c r="E17" i="11" s="1"/>
  <c r="D45" i="17"/>
  <c r="E44" i="12"/>
  <c r="D24" i="17"/>
  <c r="E23" i="12"/>
  <c r="D22" i="17"/>
  <c r="E21" i="12"/>
  <c r="E14" i="11" s="1"/>
  <c r="D21" i="17"/>
  <c r="E20" i="12"/>
  <c r="E13" i="11" s="1"/>
  <c r="D43" i="17"/>
  <c r="E42" i="12"/>
  <c r="H60" i="4"/>
  <c r="D41" i="12"/>
  <c r="D20" i="17"/>
  <c r="E19" i="12"/>
  <c r="D27" i="12"/>
  <c r="C15" i="15" s="1"/>
  <c r="D15" i="15" s="1"/>
  <c r="E12" i="40" s="1"/>
  <c r="D25" i="17"/>
  <c r="E24" i="12"/>
  <c r="E15" i="11" s="1"/>
  <c r="D15" i="17"/>
  <c r="E14" i="12"/>
  <c r="F15" i="17" s="1"/>
  <c r="G15" i="17" s="1"/>
  <c r="D44" i="17"/>
  <c r="E43" i="12"/>
  <c r="D26" i="17"/>
  <c r="E25" i="12"/>
  <c r="E16" i="11" s="1"/>
  <c r="A29" i="4"/>
  <c r="A30" i="4" s="1"/>
  <c r="A31" i="4" s="1"/>
  <c r="A32" i="4" s="1"/>
  <c r="A33" i="4" s="1"/>
  <c r="A34" i="4" s="1"/>
  <c r="A35" i="4" s="1"/>
  <c r="A36" i="4" s="1"/>
  <c r="A37" i="4" s="1"/>
  <c r="A38" i="4" s="1"/>
  <c r="D113" i="4"/>
  <c r="D117" i="4" s="1"/>
  <c r="E113" i="4"/>
  <c r="G113" i="4"/>
  <c r="F113" i="4"/>
  <c r="H16" i="4"/>
  <c r="H27" i="4"/>
  <c r="F89" i="17" l="1"/>
  <c r="E24" i="18" s="1"/>
  <c r="F24" i="18" s="1"/>
  <c r="H111" i="12"/>
  <c r="F19" i="11"/>
  <c r="G59" i="12" s="1"/>
  <c r="H59" i="12" s="1"/>
  <c r="G61" i="17"/>
  <c r="G62" i="17" s="1"/>
  <c r="E18" i="18"/>
  <c r="F18" i="18" s="1"/>
  <c r="H61" i="17" s="1"/>
  <c r="H62" i="17" s="1"/>
  <c r="G82" i="17"/>
  <c r="E22" i="18"/>
  <c r="F22" i="18" s="1"/>
  <c r="H82" i="17" s="1"/>
  <c r="G26" i="17"/>
  <c r="E15" i="18"/>
  <c r="F15" i="18" s="1"/>
  <c r="H26" i="17" s="1"/>
  <c r="F16" i="11"/>
  <c r="G25" i="12" s="1"/>
  <c r="H25" i="12" s="1"/>
  <c r="D27" i="23" s="1"/>
  <c r="G27" i="23" s="1"/>
  <c r="E12" i="11"/>
  <c r="F12" i="11" s="1"/>
  <c r="G111" i="12"/>
  <c r="F25" i="15" s="1"/>
  <c r="G25" i="15" s="1"/>
  <c r="D97" i="23"/>
  <c r="G97" i="23" s="1"/>
  <c r="G104" i="23" s="1"/>
  <c r="D74" i="17"/>
  <c r="D114" i="17"/>
  <c r="D90" i="17"/>
  <c r="D16" i="68"/>
  <c r="D18" i="68" s="1"/>
  <c r="D27" i="68" s="1"/>
  <c r="E12" i="18"/>
  <c r="F12" i="18" s="1"/>
  <c r="G21" i="17"/>
  <c r="E14" i="18"/>
  <c r="F14" i="18" s="1"/>
  <c r="H25" i="17" s="1"/>
  <c r="G25" i="17"/>
  <c r="E17" i="18"/>
  <c r="F17" i="18" s="1"/>
  <c r="H38" i="17" s="1"/>
  <c r="H39" i="17" s="1"/>
  <c r="G38" i="17"/>
  <c r="I20" i="17"/>
  <c r="C15" i="68"/>
  <c r="E15" i="68" s="1"/>
  <c r="R21" i="59"/>
  <c r="F14" i="11"/>
  <c r="G21" i="12" s="1"/>
  <c r="H21" i="12" s="1"/>
  <c r="D23" i="23" s="1"/>
  <c r="G23" i="23" s="1"/>
  <c r="F13" i="11"/>
  <c r="E16" i="18"/>
  <c r="F16" i="18" s="1"/>
  <c r="H27" i="17" s="1"/>
  <c r="G27" i="17"/>
  <c r="E54" i="23"/>
  <c r="I42" i="17"/>
  <c r="E32" i="23"/>
  <c r="I104" i="17"/>
  <c r="F15" i="11"/>
  <c r="G24" i="12" s="1"/>
  <c r="H24" i="12" s="1"/>
  <c r="D26" i="23" s="1"/>
  <c r="G26" i="23" s="1"/>
  <c r="E13" i="18"/>
  <c r="F13" i="18" s="1"/>
  <c r="H22" i="17" s="1"/>
  <c r="G22" i="17"/>
  <c r="E19" i="18"/>
  <c r="F19" i="18" s="1"/>
  <c r="H73" i="17" s="1"/>
  <c r="H74" i="17" s="1"/>
  <c r="G73" i="17"/>
  <c r="E25" i="18"/>
  <c r="F25" i="18" s="1"/>
  <c r="G107" i="17"/>
  <c r="G114" i="17" s="1"/>
  <c r="I14" i="20"/>
  <c r="J14" i="20" s="1"/>
  <c r="E17" i="40"/>
  <c r="G72" i="12"/>
  <c r="F21" i="15" s="1"/>
  <c r="G21" i="15" s="1"/>
  <c r="H71" i="12"/>
  <c r="H72" i="12" s="1"/>
  <c r="F17" i="11"/>
  <c r="D28" i="17"/>
  <c r="H87" i="12"/>
  <c r="G88" i="12"/>
  <c r="F23" i="15" s="1"/>
  <c r="G23" i="15" s="1"/>
  <c r="C13" i="15"/>
  <c r="D42" i="17"/>
  <c r="D62" i="17" s="1"/>
  <c r="E41" i="12"/>
  <c r="D60" i="12"/>
  <c r="C19" i="15" s="1"/>
  <c r="D19" i="15" s="1"/>
  <c r="M17" i="17"/>
  <c r="I15" i="17"/>
  <c r="E16" i="23" s="1"/>
  <c r="D17" i="17"/>
  <c r="H37" i="12"/>
  <c r="G38" i="12"/>
  <c r="F17" i="15" s="1"/>
  <c r="G17" i="15" s="1"/>
  <c r="A40" i="4"/>
  <c r="A41" i="4" s="1"/>
  <c r="A42" i="4" s="1"/>
  <c r="A43" i="4" s="1"/>
  <c r="A44" i="4" s="1"/>
  <c r="A56" i="4" s="1"/>
  <c r="A57" i="4" s="1"/>
  <c r="A58" i="4" s="1"/>
  <c r="A59" i="4" s="1"/>
  <c r="A60" i="4" s="1"/>
  <c r="H113" i="4"/>
  <c r="H117" i="4" s="1"/>
  <c r="J18" i="59" l="1"/>
  <c r="J21" i="59"/>
  <c r="F18" i="59"/>
  <c r="G89" i="17"/>
  <c r="M90" i="17" s="1"/>
  <c r="I82" i="17"/>
  <c r="E83" i="23" s="1"/>
  <c r="G60" i="12"/>
  <c r="F19" i="15" s="1"/>
  <c r="G19" i="15" s="1"/>
  <c r="D50" i="23"/>
  <c r="D51" i="23" s="1"/>
  <c r="H60" i="12"/>
  <c r="I26" i="17"/>
  <c r="E27" i="23" s="1"/>
  <c r="I61" i="17"/>
  <c r="E50" i="23" s="1"/>
  <c r="D104" i="23"/>
  <c r="H107" i="17"/>
  <c r="H114" i="17" s="1"/>
  <c r="H85" i="17"/>
  <c r="I27" i="17"/>
  <c r="E28" i="23" s="1"/>
  <c r="I22" i="20"/>
  <c r="I22" i="17"/>
  <c r="E23" i="23" s="1"/>
  <c r="G28" i="17"/>
  <c r="G20" i="12"/>
  <c r="H20" i="12" s="1"/>
  <c r="D22" i="23" s="1"/>
  <c r="G22" i="23" s="1"/>
  <c r="F29" i="11"/>
  <c r="E21" i="23"/>
  <c r="G19" i="12"/>
  <c r="H19" i="12" s="1"/>
  <c r="D21" i="23" s="1"/>
  <c r="G21" i="23" s="1"/>
  <c r="G74" i="17"/>
  <c r="I73" i="17"/>
  <c r="G39" i="17"/>
  <c r="I38" i="17"/>
  <c r="H21" i="17"/>
  <c r="E94" i="23"/>
  <c r="E43" i="23"/>
  <c r="I25" i="17"/>
  <c r="E26" i="23" s="1"/>
  <c r="D62" i="23"/>
  <c r="G62" i="23" s="1"/>
  <c r="G63" i="23" s="1"/>
  <c r="H89" i="17"/>
  <c r="G26" i="12"/>
  <c r="H26" i="12" s="1"/>
  <c r="D90" i="23"/>
  <c r="H88" i="12"/>
  <c r="C27" i="15"/>
  <c r="D13" i="15"/>
  <c r="O17" i="17"/>
  <c r="N17" i="17"/>
  <c r="D39" i="23"/>
  <c r="D40" i="23" s="1"/>
  <c r="H38" i="12"/>
  <c r="D116" i="17"/>
  <c r="D113" i="12"/>
  <c r="C13" i="68" s="1"/>
  <c r="A62" i="4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I62" i="17" l="1"/>
  <c r="R18" i="59"/>
  <c r="R23" i="59" s="1"/>
  <c r="R32" i="59" s="1"/>
  <c r="R43" i="59" s="1"/>
  <c r="R47" i="59" s="1"/>
  <c r="E51" i="23"/>
  <c r="I107" i="17"/>
  <c r="E97" i="23" s="1"/>
  <c r="E104" i="23" s="1"/>
  <c r="G29" i="23"/>
  <c r="C16" i="68"/>
  <c r="C18" i="68" s="1"/>
  <c r="C27" i="68" s="1"/>
  <c r="E13" i="68"/>
  <c r="E16" i="68" s="1"/>
  <c r="E18" i="68" s="1"/>
  <c r="E27" i="68" s="1"/>
  <c r="E62" i="23"/>
  <c r="E63" i="23" s="1"/>
  <c r="I74" i="17"/>
  <c r="E39" i="23"/>
  <c r="E40" i="23" s="1"/>
  <c r="I39" i="17"/>
  <c r="I21" i="17"/>
  <c r="H28" i="17"/>
  <c r="D63" i="23"/>
  <c r="H27" i="12"/>
  <c r="H113" i="12" s="1"/>
  <c r="D28" i="23"/>
  <c r="D29" i="23" s="1"/>
  <c r="G27" i="12"/>
  <c r="I89" i="17"/>
  <c r="E90" i="23" s="1"/>
  <c r="P17" i="17"/>
  <c r="F14" i="17" s="1"/>
  <c r="G14" i="17" s="1"/>
  <c r="D91" i="23"/>
  <c r="G90" i="23"/>
  <c r="G91" i="23" s="1"/>
  <c r="N90" i="17"/>
  <c r="O90" i="17"/>
  <c r="A74" i="4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H49" i="59" l="1"/>
  <c r="R49" i="59"/>
  <c r="L49" i="59"/>
  <c r="I114" i="17"/>
  <c r="G106" i="23"/>
  <c r="F16" i="17"/>
  <c r="G16" i="17" s="1"/>
  <c r="I16" i="17" s="1"/>
  <c r="E17" i="23" s="1"/>
  <c r="E22" i="23"/>
  <c r="E29" i="23" s="1"/>
  <c r="I28" i="17"/>
  <c r="D106" i="23"/>
  <c r="F15" i="15"/>
  <c r="G113" i="12"/>
  <c r="P90" i="17"/>
  <c r="F86" i="17" s="1"/>
  <c r="G86" i="17" s="1"/>
  <c r="I86" i="17" s="1"/>
  <c r="E87" i="23" s="1"/>
  <c r="I14" i="17"/>
  <c r="A100" i="4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3" i="4" s="1"/>
  <c r="G38" i="19"/>
  <c r="I38" i="19" s="1"/>
  <c r="E39" i="47" s="1"/>
  <c r="G34" i="19"/>
  <c r="I34" i="19" s="1"/>
  <c r="E35" i="47" s="1"/>
  <c r="G35" i="19"/>
  <c r="I35" i="19" s="1"/>
  <c r="E36" i="47" s="1"/>
  <c r="G36" i="19"/>
  <c r="I36" i="19" s="1"/>
  <c r="E37" i="47" s="1"/>
  <c r="G32" i="19"/>
  <c r="G31" i="19"/>
  <c r="I31" i="19" s="1"/>
  <c r="E32" i="47" s="1"/>
  <c r="G37" i="19"/>
  <c r="I37" i="19" s="1"/>
  <c r="E38" i="47" s="1"/>
  <c r="G33" i="19"/>
  <c r="I33" i="19" s="1"/>
  <c r="E34" i="47" s="1"/>
  <c r="G17" i="17" l="1"/>
  <c r="G15" i="15"/>
  <c r="G27" i="15" s="1"/>
  <c r="D14" i="16" s="1"/>
  <c r="F13" i="68" s="1"/>
  <c r="G13" i="68" s="1"/>
  <c r="F27" i="15"/>
  <c r="F87" i="17"/>
  <c r="G87" i="17" s="1"/>
  <c r="I87" i="17" s="1"/>
  <c r="E88" i="23" s="1"/>
  <c r="F78" i="17"/>
  <c r="G78" i="17" s="1"/>
  <c r="I78" i="17" s="1"/>
  <c r="E79" i="23" s="1"/>
  <c r="F88" i="17"/>
  <c r="G88" i="17" s="1"/>
  <c r="I88" i="17" s="1"/>
  <c r="E89" i="23" s="1"/>
  <c r="F80" i="17"/>
  <c r="F81" i="17"/>
  <c r="F83" i="17"/>
  <c r="F79" i="17"/>
  <c r="G79" i="17" s="1"/>
  <c r="I79" i="17" s="1"/>
  <c r="E80" i="23" s="1"/>
  <c r="F77" i="17"/>
  <c r="G77" i="17" s="1"/>
  <c r="I77" i="17" s="1"/>
  <c r="F84" i="17"/>
  <c r="G84" i="17" s="1"/>
  <c r="I84" i="17" s="1"/>
  <c r="E85" i="23" s="1"/>
  <c r="F85" i="17"/>
  <c r="G85" i="17" s="1"/>
  <c r="I85" i="17" s="1"/>
  <c r="E86" i="23" s="1"/>
  <c r="G39" i="19"/>
  <c r="I17" i="17"/>
  <c r="E15" i="23"/>
  <c r="E18" i="23" s="1"/>
  <c r="I32" i="19"/>
  <c r="E33" i="47" s="1"/>
  <c r="E40" i="47" s="1"/>
  <c r="G89" i="19"/>
  <c r="I89" i="19" s="1"/>
  <c r="E90" i="47" s="1"/>
  <c r="G82" i="19"/>
  <c r="G80" i="17" l="1"/>
  <c r="E20" i="18"/>
  <c r="F20" i="18" s="1"/>
  <c r="G81" i="17"/>
  <c r="E21" i="18"/>
  <c r="F21" i="18" s="1"/>
  <c r="H81" i="17" s="1"/>
  <c r="G83" i="17"/>
  <c r="E23" i="18"/>
  <c r="F23" i="18" s="1"/>
  <c r="H83" i="17" s="1"/>
  <c r="I39" i="19"/>
  <c r="E78" i="23"/>
  <c r="I82" i="19"/>
  <c r="E83" i="47" s="1"/>
  <c r="M90" i="19"/>
  <c r="G66" i="19"/>
  <c r="I66" i="19" s="1"/>
  <c r="E55" i="47" s="1"/>
  <c r="G69" i="19"/>
  <c r="I69" i="19" s="1"/>
  <c r="E58" i="47" s="1"/>
  <c r="G72" i="19"/>
  <c r="I72" i="19" s="1"/>
  <c r="E61" i="47" s="1"/>
  <c r="G68" i="19"/>
  <c r="I68" i="19" s="1"/>
  <c r="E57" i="47" s="1"/>
  <c r="G71" i="19"/>
  <c r="I71" i="19" s="1"/>
  <c r="E60" i="47" s="1"/>
  <c r="G73" i="19"/>
  <c r="I73" i="19" s="1"/>
  <c r="E62" i="47" s="1"/>
  <c r="G70" i="19"/>
  <c r="I70" i="19" s="1"/>
  <c r="E59" i="47" s="1"/>
  <c r="G65" i="19"/>
  <c r="I65" i="19" s="1"/>
  <c r="E54" i="47" s="1"/>
  <c r="G67" i="19"/>
  <c r="I67" i="19" s="1"/>
  <c r="E56" i="47" s="1"/>
  <c r="F21" i="59" l="1"/>
  <c r="F23" i="59" s="1"/>
  <c r="F32" i="59" s="1"/>
  <c r="F43" i="59" s="1"/>
  <c r="F47" i="59" s="1"/>
  <c r="F49" i="59" s="1"/>
  <c r="G90" i="17"/>
  <c r="G116" i="17" s="1"/>
  <c r="D21" i="59" s="1"/>
  <c r="P21" i="59" s="1"/>
  <c r="H80" i="17"/>
  <c r="H90" i="17" s="1"/>
  <c r="H116" i="17" s="1"/>
  <c r="F28" i="18"/>
  <c r="J23" i="59"/>
  <c r="J32" i="59" s="1"/>
  <c r="J43" i="59" s="1"/>
  <c r="I81" i="17"/>
  <c r="E82" i="23" s="1"/>
  <c r="I83" i="17"/>
  <c r="E84" i="23" s="1"/>
  <c r="E63" i="47"/>
  <c r="O90" i="19"/>
  <c r="N90" i="19"/>
  <c r="G74" i="19"/>
  <c r="I74" i="19"/>
  <c r="G60" i="19"/>
  <c r="I60" i="19" s="1"/>
  <c r="E49" i="47" s="1"/>
  <c r="G59" i="19"/>
  <c r="I59" i="19" s="1"/>
  <c r="E48" i="47" s="1"/>
  <c r="G58" i="19"/>
  <c r="I58" i="19" s="1"/>
  <c r="E47" i="47" s="1"/>
  <c r="N21" i="59" l="1"/>
  <c r="I80" i="17"/>
  <c r="J45" i="59"/>
  <c r="N45" i="59" s="1"/>
  <c r="E51" i="47"/>
  <c r="P90" i="19"/>
  <c r="I62" i="19"/>
  <c r="G62" i="19"/>
  <c r="J47" i="59" l="1"/>
  <c r="J49" i="59" s="1"/>
  <c r="E81" i="23"/>
  <c r="E91" i="23" s="1"/>
  <c r="E106" i="23" s="1"/>
  <c r="I90" i="17"/>
  <c r="I116" i="17" s="1"/>
  <c r="D16" i="16" s="1"/>
  <c r="F85" i="19"/>
  <c r="G85" i="19" s="1"/>
  <c r="I85" i="19" s="1"/>
  <c r="E86" i="47" s="1"/>
  <c r="F81" i="19"/>
  <c r="F77" i="19"/>
  <c r="G77" i="19" s="1"/>
  <c r="F87" i="19"/>
  <c r="G87" i="19" s="1"/>
  <c r="I87" i="19" s="1"/>
  <c r="E88" i="47" s="1"/>
  <c r="F79" i="19"/>
  <c r="G79" i="19" s="1"/>
  <c r="I79" i="19" s="1"/>
  <c r="E80" i="47" s="1"/>
  <c r="F86" i="19"/>
  <c r="G86" i="19" s="1"/>
  <c r="I86" i="19" s="1"/>
  <c r="E87" i="47" s="1"/>
  <c r="F78" i="19"/>
  <c r="G78" i="19" s="1"/>
  <c r="I78" i="19" s="1"/>
  <c r="E79" i="47" s="1"/>
  <c r="F88" i="19"/>
  <c r="F84" i="19"/>
  <c r="G84" i="19" s="1"/>
  <c r="I84" i="19" s="1"/>
  <c r="E85" i="47" s="1"/>
  <c r="F80" i="19"/>
  <c r="F83" i="19"/>
  <c r="F15" i="68" l="1"/>
  <c r="D17" i="16"/>
  <c r="G81" i="19"/>
  <c r="E50" i="18"/>
  <c r="F50" i="18" s="1"/>
  <c r="H81" i="19" s="1"/>
  <c r="G80" i="19"/>
  <c r="E49" i="18"/>
  <c r="F49" i="18" s="1"/>
  <c r="G83" i="19"/>
  <c r="E52" i="18"/>
  <c r="F52" i="18" s="1"/>
  <c r="H83" i="19" s="1"/>
  <c r="G88" i="19"/>
  <c r="I77" i="19"/>
  <c r="E78" i="47" s="1"/>
  <c r="G112" i="19"/>
  <c r="I112" i="19" s="1"/>
  <c r="E102" i="47" s="1"/>
  <c r="G105" i="19"/>
  <c r="I105" i="19" s="1"/>
  <c r="E95" i="47" s="1"/>
  <c r="G108" i="19"/>
  <c r="I108" i="19" s="1"/>
  <c r="E98" i="47" s="1"/>
  <c r="G107" i="19"/>
  <c r="I107" i="19" s="1"/>
  <c r="E97" i="47" s="1"/>
  <c r="G106" i="19"/>
  <c r="I106" i="19" s="1"/>
  <c r="E96" i="47" s="1"/>
  <c r="G109" i="19"/>
  <c r="I109" i="19" s="1"/>
  <c r="E99" i="47" s="1"/>
  <c r="G113" i="19"/>
  <c r="I113" i="19" s="1"/>
  <c r="E103" i="47" s="1"/>
  <c r="G111" i="19"/>
  <c r="I111" i="19" s="1"/>
  <c r="E101" i="47" s="1"/>
  <c r="G104" i="19"/>
  <c r="I104" i="19" s="1"/>
  <c r="E94" i="47" s="1"/>
  <c r="H80" i="19" l="1"/>
  <c r="I80" i="19" s="1"/>
  <c r="E81" i="47" s="1"/>
  <c r="F21" i="58"/>
  <c r="G90" i="19"/>
  <c r="G15" i="68"/>
  <c r="F16" i="68"/>
  <c r="G16" i="68" s="1"/>
  <c r="I83" i="19"/>
  <c r="E84" i="47" s="1"/>
  <c r="I81" i="19"/>
  <c r="E82" i="47" s="1"/>
  <c r="L23" i="58"/>
  <c r="L32" i="58" s="1"/>
  <c r="L43" i="58" s="1"/>
  <c r="H88" i="19"/>
  <c r="F57" i="18"/>
  <c r="E104" i="47"/>
  <c r="I114" i="19"/>
  <c r="G114" i="19"/>
  <c r="J22" i="20"/>
  <c r="D18" i="16" s="1"/>
  <c r="H22" i="20"/>
  <c r="D18" i="59" s="1"/>
  <c r="H90" i="19" l="1"/>
  <c r="H116" i="19" s="1"/>
  <c r="G116" i="19"/>
  <c r="D21" i="58" s="1"/>
  <c r="P21" i="58" s="1"/>
  <c r="D19" i="16"/>
  <c r="D28" i="16" s="1"/>
  <c r="F17" i="68"/>
  <c r="L47" i="58"/>
  <c r="N45" i="58"/>
  <c r="D23" i="59"/>
  <c r="D32" i="59" s="1"/>
  <c r="D43" i="59" s="1"/>
  <c r="D47" i="59" s="1"/>
  <c r="D49" i="59" s="1"/>
  <c r="P18" i="59"/>
  <c r="P23" i="59" s="1"/>
  <c r="P32" i="59" s="1"/>
  <c r="P43" i="59" s="1"/>
  <c r="P47" i="59" s="1"/>
  <c r="P49" i="59" s="1"/>
  <c r="N18" i="59"/>
  <c r="N23" i="59" s="1"/>
  <c r="N32" i="59" s="1"/>
  <c r="N43" i="59" s="1"/>
  <c r="I88" i="19"/>
  <c r="N47" i="59" l="1"/>
  <c r="N49" i="59" s="1"/>
  <c r="N21" i="58"/>
  <c r="G17" i="68"/>
  <c r="F18" i="68"/>
  <c r="E89" i="47"/>
  <c r="E91" i="47" s="1"/>
  <c r="E106" i="47" s="1"/>
  <c r="I90" i="19"/>
  <c r="I116" i="19" s="1"/>
  <c r="F16" i="16" s="1"/>
  <c r="H47" i="20"/>
  <c r="D18" i="58" s="1"/>
  <c r="G39" i="20"/>
  <c r="D30" i="40" s="1"/>
  <c r="E30" i="40" s="1"/>
  <c r="F18" i="58" s="1"/>
  <c r="G18" i="68" l="1"/>
  <c r="F27" i="68"/>
  <c r="G27" i="68" s="1"/>
  <c r="F17" i="16"/>
  <c r="F15" i="67"/>
  <c r="P18" i="58"/>
  <c r="P23" i="58" s="1"/>
  <c r="P32" i="58" s="1"/>
  <c r="D23" i="58"/>
  <c r="D32" i="58" s="1"/>
  <c r="D43" i="58" s="1"/>
  <c r="D47" i="58" s="1"/>
  <c r="N18" i="58"/>
  <c r="N23" i="58" s="1"/>
  <c r="N32" i="58" s="1"/>
  <c r="N43" i="58" s="1"/>
  <c r="F23" i="58"/>
  <c r="F32" i="58" s="1"/>
  <c r="F43" i="58" s="1"/>
  <c r="F47" i="58" s="1"/>
  <c r="I39" i="20"/>
  <c r="I47" i="20" s="1"/>
  <c r="E35" i="40"/>
  <c r="N47" i="58" l="1"/>
  <c r="G15" i="67"/>
  <c r="F16" i="67"/>
  <c r="J39" i="20"/>
  <c r="J47" i="20" s="1"/>
  <c r="F18" i="16" s="1"/>
  <c r="F19" i="16" l="1"/>
  <c r="F28" i="16" s="1"/>
  <c r="F17" i="67"/>
  <c r="G17" i="67" s="1"/>
  <c r="G16" i="67"/>
  <c r="P35" i="58"/>
  <c r="P36" i="58"/>
  <c r="P37" i="58"/>
  <c r="R80" i="58"/>
  <c r="R43" i="58"/>
  <c r="P38" i="58"/>
  <c r="P80" i="58" s="1"/>
  <c r="P41" i="58" l="1"/>
  <c r="P43" i="58" s="1"/>
  <c r="F18" i="67"/>
  <c r="G18" i="67" s="1"/>
  <c r="R47" i="58"/>
  <c r="F27" i="67" l="1"/>
  <c r="G27" i="67" s="1"/>
  <c r="R49" i="58"/>
  <c r="H49" i="58"/>
  <c r="J49" i="58"/>
  <c r="L49" i="58"/>
  <c r="N49" i="58"/>
  <c r="D49" i="58"/>
  <c r="F49" i="58"/>
  <c r="P47" i="58"/>
  <c r="P49" i="58" s="1"/>
</calcChain>
</file>

<file path=xl/sharedStrings.xml><?xml version="1.0" encoding="utf-8"?>
<sst xmlns="http://schemas.openxmlformats.org/spreadsheetml/2006/main" count="34844" uniqueCount="3368">
  <si>
    <t>KENTUCKY UTILITIES COMPANY</t>
  </si>
  <si>
    <t>KENTUCKY - TOTAL PLANT IN SERVICE - ELECTRIC - NBV - REGULATORY ACCOUNTING</t>
  </si>
  <si>
    <t>Beginning</t>
  </si>
  <si>
    <t>Transfers/</t>
  </si>
  <si>
    <t>Ending</t>
  </si>
  <si>
    <t>Total Plant in Service</t>
  </si>
  <si>
    <t>Balance</t>
  </si>
  <si>
    <t>Additions</t>
  </si>
  <si>
    <t>Retirements</t>
  </si>
  <si>
    <t>Adjustments</t>
  </si>
  <si>
    <t>Net Additions</t>
  </si>
  <si>
    <t>Reserve</t>
  </si>
  <si>
    <t>Net Book Value</t>
  </si>
  <si>
    <t>Difference</t>
  </si>
  <si>
    <t>TOTAL 101 &amp; 106</t>
  </si>
  <si>
    <t>Plant in Service</t>
  </si>
  <si>
    <t>Electric Distribution</t>
  </si>
  <si>
    <t>KY</t>
  </si>
  <si>
    <t>E360.10-Land Rights (LESS PLANT HELD FOR FUTURE USE)</t>
  </si>
  <si>
    <t>E360.20-Land</t>
  </si>
  <si>
    <t>E361.00-Structures and Improvements</t>
  </si>
  <si>
    <t>E362.00-Station Equipment</t>
  </si>
  <si>
    <t>E364.00-Poles, Towers, and Fixtures</t>
  </si>
  <si>
    <t>E365.00-OH Conductors and Devices</t>
  </si>
  <si>
    <t>E366.00-Underground Conduit</t>
  </si>
  <si>
    <t>E367.00-UG Conductors and Devices</t>
  </si>
  <si>
    <t>E368.00-Line Transformers</t>
  </si>
  <si>
    <t>E369.00-Services</t>
  </si>
  <si>
    <t>E370.00-Meters</t>
  </si>
  <si>
    <t>E371.00-Install on Customer Premise</t>
  </si>
  <si>
    <t>E373.00-Street Lighting / Signal Sy</t>
  </si>
  <si>
    <t>E374.05-ARO Cost Elec Dist (L/B)</t>
  </si>
  <si>
    <t>E374.07-ARO Cost Elec Dist (Eqp)</t>
  </si>
  <si>
    <t>Electric General Plant</t>
  </si>
  <si>
    <t>E389.20-Land</t>
  </si>
  <si>
    <t>E390.10-Structures and Improvements</t>
  </si>
  <si>
    <t>E390.20-Improvements to Leased Property</t>
  </si>
  <si>
    <t>E391.10-Office Equipment</t>
  </si>
  <si>
    <t>E391.20-Non PC Computer Equipment</t>
  </si>
  <si>
    <t>E391.30-Cash Processing Equipment</t>
  </si>
  <si>
    <t>E391.31-Personal Computers</t>
  </si>
  <si>
    <t>E392.00-Cars and Light Trucks</t>
  </si>
  <si>
    <t>E392.10-Heavy Trucks and Other</t>
  </si>
  <si>
    <t>E393.00-Stores Equipment</t>
  </si>
  <si>
    <t>E394.00-Tools, Shop, and Garage Equ</t>
  </si>
  <si>
    <t>E395.00-Laboratory Equipment</t>
  </si>
  <si>
    <t>E396.00-Power Operated Equipment</t>
  </si>
  <si>
    <t>E397.20-DSM Communication Equipment</t>
  </si>
  <si>
    <t>E398.00-Miscellaneous Equipment</t>
  </si>
  <si>
    <t>Electric Hydro Production</t>
  </si>
  <si>
    <t>E330.10-Land Rights</t>
  </si>
  <si>
    <t>E331.00-Structures and Improvements</t>
  </si>
  <si>
    <t>E332.00-Reservoirs, Dams, and Water</t>
  </si>
  <si>
    <t>E333.00-Water Wheels, Turbines, Gen</t>
  </si>
  <si>
    <t>E334.00-Accessory Electric Equipmen</t>
  </si>
  <si>
    <t>E335.00-Misc Power Plant Equipment</t>
  </si>
  <si>
    <t>E336.00-Roads, Railroads, and Bridg</t>
  </si>
  <si>
    <t>E337.07-ARO Cost Hydro Prod (Eqp)</t>
  </si>
  <si>
    <t>Electric Intangible Plant</t>
  </si>
  <si>
    <t>E301.00-Organization</t>
  </si>
  <si>
    <t>E302.00-Franchises and Consents</t>
  </si>
  <si>
    <t>E303.00-Misc Intangible Plant</t>
  </si>
  <si>
    <t>E303.10-CCS Software</t>
  </si>
  <si>
    <t>Electric Other Production</t>
  </si>
  <si>
    <t>E340.20-Land</t>
  </si>
  <si>
    <t>E341.00-Structures and Improvements</t>
  </si>
  <si>
    <t>E342.00-Fuel Holders, Producers, Ac</t>
  </si>
  <si>
    <t>E342.01-AROP Fuel Holders, Prod, Ac</t>
  </si>
  <si>
    <t>E343.00-Prime Movers</t>
  </si>
  <si>
    <t>E344.00-Generators</t>
  </si>
  <si>
    <t>E345.00-Accessory Electric Equipmen</t>
  </si>
  <si>
    <t>E345.01-AROP Accessory Electric Equipmen</t>
  </si>
  <si>
    <t>E346.00-Misc Power Plant Equipment</t>
  </si>
  <si>
    <t>E347.07-ARO Cost Other Prod (Eqp)</t>
  </si>
  <si>
    <t>Electric Steam Production</t>
  </si>
  <si>
    <t>E310.20-Land</t>
  </si>
  <si>
    <t>E311.00-Structures and Improvements</t>
  </si>
  <si>
    <t xml:space="preserve">E311.01-AROP Structures and Improv </t>
  </si>
  <si>
    <t>E312.00-Boiler Plant Equipment</t>
  </si>
  <si>
    <t>E312.01-AROP Boiler Plant Equipment</t>
  </si>
  <si>
    <t>E314.00-Turbogenerator Units</t>
  </si>
  <si>
    <t>E314.01-AROP Turbogenerator Units</t>
  </si>
  <si>
    <t>E315.00-Accessory Electric Equipmen</t>
  </si>
  <si>
    <t>E315.01-AROP Accessory Electric Equipmen</t>
  </si>
  <si>
    <t>E316.00-Misc Power Plant Equip</t>
  </si>
  <si>
    <t>E317.07-ARO Cost Steam (Eqp)</t>
  </si>
  <si>
    <t>Electric Transmission</t>
  </si>
  <si>
    <t>E350.10-Land Rights</t>
  </si>
  <si>
    <t>E350.20-Land</t>
  </si>
  <si>
    <t>E352.10-Struct &amp; Imp-Non Sys Contro</t>
  </si>
  <si>
    <t>E352.20-Struct &amp; Imp-Sys Control/Co</t>
  </si>
  <si>
    <t>E353.10-Station Equipment - Non Sys</t>
  </si>
  <si>
    <t>E353.11-AROP Station Equip Non Sys</t>
  </si>
  <si>
    <t>E353.20-Station Equip-Sys Control</t>
  </si>
  <si>
    <t>E354.00-Towers and Fixtures</t>
  </si>
  <si>
    <t>E355.00-Poles and Fixtures</t>
  </si>
  <si>
    <t>E356.00-OH Conductors and Devices</t>
  </si>
  <si>
    <t>E357.00-Underground Conduit</t>
  </si>
  <si>
    <t>E358.00-UG Conductors and Devices</t>
  </si>
  <si>
    <t>E359.15-ARO Cost Transm (L/B)</t>
  </si>
  <si>
    <t>E359.17-ARO Cost Transm (Eqp)</t>
  </si>
  <si>
    <t>Total Plant in Service - KY</t>
  </si>
  <si>
    <t>PLANT REPORT CHECK</t>
  </si>
  <si>
    <t>VIRGINIA - TOTAL PLANT IN SERVICE - ELECTRIC - NBV - REGULATORY ACCOUNTING</t>
  </si>
  <si>
    <t>VA</t>
  </si>
  <si>
    <t>E360.10-Land Rights</t>
  </si>
  <si>
    <t>E390.20-Structures and Improvements</t>
  </si>
  <si>
    <t>E391.20-Non PC Computer Equipmen</t>
  </si>
  <si>
    <t>E358.00-Underground Conductors a</t>
  </si>
  <si>
    <t>Total Plant in Service - Electric - VA</t>
  </si>
  <si>
    <t>TENNESSEE - TOTAL PLANT IN SERVICE - ELECTRIC - NBV - REGULATORY ACCOUNTING</t>
  </si>
  <si>
    <t>TN</t>
  </si>
  <si>
    <t>E367.00-Underground Conductors a</t>
  </si>
  <si>
    <t>Total Plant in Service - Electric - TN</t>
  </si>
  <si>
    <t>PLANT HELD FOR FUTURE USE - REGULATORY ACCOUNTING</t>
  </si>
  <si>
    <t>105 Plant Held for Future Use</t>
  </si>
  <si>
    <t>Steam Production</t>
  </si>
  <si>
    <t>E315.00-Accessory Electric Equip</t>
  </si>
  <si>
    <t xml:space="preserve">Total Plant Held for Future Use </t>
  </si>
  <si>
    <t>ELECTRIC PLANT - PURCHASED OR SOLD - REGULATORY ACCOUNTING</t>
  </si>
  <si>
    <t>102 Electric Plant - Purchased or Sold</t>
  </si>
  <si>
    <t>E310.20-Structures and Improvements</t>
  </si>
  <si>
    <t>Total Electric Plant - Purchased or Sold</t>
  </si>
  <si>
    <t>Rate Case Constants</t>
  </si>
  <si>
    <t>Rate Case Constants:</t>
  </si>
  <si>
    <t>Company:</t>
  </si>
  <si>
    <t>PSC Case Number:</t>
  </si>
  <si>
    <t>Base Year:</t>
  </si>
  <si>
    <t>Forecasted Test Year:</t>
  </si>
  <si>
    <t>Types of Filing:</t>
  </si>
  <si>
    <t>Original:</t>
  </si>
  <si>
    <t>Updated:</t>
  </si>
  <si>
    <t>Revised:</t>
  </si>
  <si>
    <t>WITNESS:</t>
  </si>
  <si>
    <t>LINE NO.</t>
  </si>
  <si>
    <t>GROSS ADDITIONS, RETIREMENTS, AND TRANSFERS</t>
  </si>
  <si>
    <t>DATA:__X__BASE  PERIOD____FORECASTED  PERIOD</t>
  </si>
  <si>
    <t>ACCT. NO.</t>
  </si>
  <si>
    <t>ACCOUNT TITLE</t>
  </si>
  <si>
    <t>BASE PERIOD BEGINNING BALANCE</t>
  </si>
  <si>
    <t>ADDITIONS</t>
  </si>
  <si>
    <t>RETIREMENTS</t>
  </si>
  <si>
    <t>SCHEDULE B-2.3</t>
  </si>
  <si>
    <t>TRANSFERS</t>
  </si>
  <si>
    <t>BASE PERIOD ENDING BALANCE</t>
  </si>
  <si>
    <t>$</t>
  </si>
  <si>
    <t>Total Intangible Plant</t>
  </si>
  <si>
    <t>Engines and engine-driven generators</t>
  </si>
  <si>
    <t>Total Electric Other Production</t>
  </si>
  <si>
    <t>Total Electric Steam Production</t>
  </si>
  <si>
    <t>Total Electric Hydro Production</t>
  </si>
  <si>
    <t>Structures and Improvements</t>
  </si>
  <si>
    <t xml:space="preserve">Station Equipment </t>
  </si>
  <si>
    <t>Total Electric Transmission</t>
  </si>
  <si>
    <t>ARO Cost Elec Distribution</t>
  </si>
  <si>
    <t>ARO Cost Elec Transmission</t>
  </si>
  <si>
    <t>Total Electric Distribution</t>
  </si>
  <si>
    <t>Land and Land Rights</t>
  </si>
  <si>
    <t>Transportation Equipment</t>
  </si>
  <si>
    <t>Office Furniture and Equipment</t>
  </si>
  <si>
    <t>Communication Equipment</t>
  </si>
  <si>
    <t>Total Electric General Plant</t>
  </si>
  <si>
    <t>TOTAL ELECTRIC PLANT IN SERVICE</t>
  </si>
  <si>
    <t xml:space="preserve"> </t>
  </si>
  <si>
    <t>DATA:____BASE  PERIOD__X__FORECASTED  PERIOD</t>
  </si>
  <si>
    <t>FORECAST PERIOD BEGINNING BALANCE</t>
  </si>
  <si>
    <t>FORECAST PERIOD     ENDING BALANCE</t>
  </si>
  <si>
    <t>FORECAST PERIOD            13 MONTH AVERAGE</t>
  </si>
  <si>
    <r>
      <t>TYPE OF FILING: __</t>
    </r>
    <r>
      <rPr>
        <u/>
        <sz val="10"/>
        <rFont val="Arial"/>
        <family val="2"/>
      </rPr>
      <t>X__</t>
    </r>
    <r>
      <rPr>
        <sz val="10"/>
        <rFont val="Arial"/>
        <family val="2"/>
      </rPr>
      <t xml:space="preserve"> ORIGINAL  _____ UPDATED  _____ REVISED</t>
    </r>
  </si>
  <si>
    <r>
      <t>TYPE OF FILING: ___</t>
    </r>
    <r>
      <rPr>
        <u/>
        <sz val="10"/>
        <rFont val="Arial"/>
        <family val="2"/>
      </rPr>
      <t>__</t>
    </r>
    <r>
      <rPr>
        <sz val="10"/>
        <rFont val="Arial"/>
        <family val="2"/>
      </rPr>
      <t xml:space="preserve"> ORIGINAL  __X__ UPDATED  _____ REVISED</t>
    </r>
  </si>
  <si>
    <r>
      <t>TYPE OF FILING: ___</t>
    </r>
    <r>
      <rPr>
        <u/>
        <sz val="10"/>
        <rFont val="Arial"/>
        <family val="2"/>
      </rPr>
      <t>__</t>
    </r>
    <r>
      <rPr>
        <sz val="10"/>
        <rFont val="Arial"/>
        <family val="2"/>
      </rPr>
      <t xml:space="preserve"> ORIGINAL  _____ UPDATED  __X__ REVISED</t>
    </r>
  </si>
  <si>
    <t>PAGE 4 OF 6</t>
  </si>
  <si>
    <t>PAGE 5 OF 6</t>
  </si>
  <si>
    <t>PAGE 6 OF 6</t>
  </si>
  <si>
    <t>PAGE 3 OF 6</t>
  </si>
  <si>
    <t>PAGE 2 OF 6</t>
  </si>
  <si>
    <t>PAGE 1 OF 6</t>
  </si>
  <si>
    <t>DATA:__X__BASE  PERIOD__X__FORECASTED  PERIOD</t>
  </si>
  <si>
    <t>SCHEDULE B-2.4</t>
  </si>
  <si>
    <t>PAGE 1 OF 1</t>
  </si>
  <si>
    <t>PAGE 1 OF 2</t>
  </si>
  <si>
    <t>DESCRIPTION OF PROPERTY</t>
  </si>
  <si>
    <t>PROPERTY MERGED OR ACQUIRED</t>
  </si>
  <si>
    <t>COST BASIS</t>
  </si>
  <si>
    <t>ACQUISITION ADJUSTMENT</t>
  </si>
  <si>
    <t>COMMISSION APPROVAL DATE (DOCKET NO.)</t>
  </si>
  <si>
    <t>DATE OF ACQUISITION</t>
  </si>
  <si>
    <t>EXPLANATION OF TREATMENT</t>
  </si>
  <si>
    <t>PAGE 2 OF 2</t>
  </si>
  <si>
    <t>LEASED PROPERTY</t>
  </si>
  <si>
    <t>SCHEDULE B-2.5</t>
  </si>
  <si>
    <t>IDENTIFICATION OR REFERENCE NUMBER</t>
  </si>
  <si>
    <t>DESCRIPTION OF TYPE AND USE OF PROPERTY</t>
  </si>
  <si>
    <t>NAME OF LESSEE</t>
  </si>
  <si>
    <t>FREQUENCY OF PAYMENT</t>
  </si>
  <si>
    <t>AMOUNT OF LEASE PAYMENT</t>
  </si>
  <si>
    <t>DOLLAR VALUE OF PROPERTY INVOLVED</t>
  </si>
  <si>
    <t>EXPLANATION METHOD OF CAPITALIZATION</t>
  </si>
  <si>
    <t>PROPERTY HELD FOR FUTURE USE INCLUDED IN RATE BASE</t>
  </si>
  <si>
    <t>SCHEDULE B-2.6</t>
  </si>
  <si>
    <t>DESCRIPTION AND LOCATION OF PROPERTY</t>
  </si>
  <si>
    <t>ACQUISTION DATE</t>
  </si>
  <si>
    <t>ORIGINAL COST</t>
  </si>
  <si>
    <t>ACCUMULATED DEPRECIATION</t>
  </si>
  <si>
    <t>NET ORIGINAL COST</t>
  </si>
  <si>
    <t>AMOUNT</t>
  </si>
  <si>
    <t>ACCT NO.</t>
  </si>
  <si>
    <t>REVENUE REALIZED</t>
  </si>
  <si>
    <t>DESCRIPTION</t>
  </si>
  <si>
    <t>EXPENSES INCURRED</t>
  </si>
  <si>
    <t>SCHEDULE B-2.7</t>
  </si>
  <si>
    <t>PROPERTY EXCLUDED FROM RATE BASE</t>
  </si>
  <si>
    <t>(FOR REASONS OTHER THAN JURISDICTIONAL ALLOCATION)</t>
  </si>
  <si>
    <t>IN-SERVICE DATE</t>
  </si>
  <si>
    <t>PERIOD REVENUE AND EXPENSE</t>
  </si>
  <si>
    <t>REASONS FOR EXCLUSION</t>
  </si>
  <si>
    <t>ACCOUNT TITLE OR DESCRIPTION OF EXCLUDED PROPERTY</t>
  </si>
  <si>
    <t>SCHEDULE B-2.2</t>
  </si>
  <si>
    <t>PROPOSED ADJUSTMENTS TO PLANT IN SERVICE</t>
  </si>
  <si>
    <t>TOTAL COMPANY ADJUSTMENT</t>
  </si>
  <si>
    <t>JURISDICTIONAL PERCENT</t>
  </si>
  <si>
    <t>JURISDICTIONAL ADJUSTMENTS</t>
  </si>
  <si>
    <t>WORKPAPER REFERENCE NO.</t>
  </si>
  <si>
    <t>DESCRIPTION AND PURPOSE OF ADJUSTMENT</t>
  </si>
  <si>
    <t>PLANT IN SERVICE BY ACCOUNTS AND SUBACCOUNTS</t>
  </si>
  <si>
    <t>ACCOUNT / SUBACCOUNT TITLES</t>
  </si>
  <si>
    <t>BASE PERIOD TOTAL COMPANY</t>
  </si>
  <si>
    <t>JURIS. PERCENT</t>
  </si>
  <si>
    <t>JURISDICTIONAL TOTAL</t>
  </si>
  <si>
    <t>ADJUSTMENTS</t>
  </si>
  <si>
    <t>ADJUSTED JURISDICTION</t>
  </si>
  <si>
    <t>SCHEDULE B-2.1</t>
  </si>
  <si>
    <t xml:space="preserve">         KENTUCKY UTILITIES COMPANY</t>
  </si>
  <si>
    <t xml:space="preserve">     ELECTRIC COST OF SERVICE STUDY</t>
  </si>
  <si>
    <t xml:space="preserve">          JURISDICTIONAL SEPARATION</t>
  </si>
  <si>
    <t>RATE BASE: END OF YEAR</t>
  </si>
  <si>
    <t>ALLOCATION METHOD: AVG 12 CP (COMBINED CO SYS)</t>
  </si>
  <si>
    <t>TOTAL</t>
  </si>
  <si>
    <t>KENTUCKY</t>
  </si>
  <si>
    <t>VIRGINIA</t>
  </si>
  <si>
    <t>FERC &amp;</t>
  </si>
  <si>
    <t>TENNESSEE</t>
  </si>
  <si>
    <t>STATE</t>
  </si>
  <si>
    <t>FERC</t>
  </si>
  <si>
    <t>ALLOC</t>
  </si>
  <si>
    <t>UTILITIES</t>
  </si>
  <si>
    <t>JURISDICTION</t>
  </si>
  <si>
    <t>PRIMARY</t>
  </si>
  <si>
    <t>TRANSMISSION</t>
  </si>
  <si>
    <t>(1)</t>
  </si>
  <si>
    <t>(2)</t>
  </si>
  <si>
    <t>(6)</t>
  </si>
  <si>
    <t>(7)</t>
  </si>
  <si>
    <t>(8)</t>
  </si>
  <si>
    <t/>
  </si>
  <si>
    <t>SUMMARY OF RESULTS AS ALLOCATED</t>
  </si>
  <si>
    <t>ELEMENTS OF RATE BASE</t>
  </si>
  <si>
    <t xml:space="preserve"> PLANT IN SERVICE</t>
  </si>
  <si>
    <t xml:space="preserve"> LESS RESERVE FOR DEPRECIATION</t>
  </si>
  <si>
    <t xml:space="preserve">     NET PLANT IN SERVICE</t>
  </si>
  <si>
    <t xml:space="preserve"> CONST WORK IN PROGRESS</t>
  </si>
  <si>
    <t xml:space="preserve">     NET PLANT</t>
  </si>
  <si>
    <t>ADD:</t>
  </si>
  <si>
    <t xml:space="preserve">    MATERIALS &amp; SUPPLIES</t>
  </si>
  <si>
    <t xml:space="preserve">    FUEL INVENTORY</t>
  </si>
  <si>
    <t xml:space="preserve">    PREPAYMENTS</t>
  </si>
  <si>
    <t xml:space="preserve">    WORKING CASH</t>
  </si>
  <si>
    <t xml:space="preserve">    EMISSION ALLOWANCES</t>
  </si>
  <si>
    <t xml:space="preserve">     TOTAL ADDITIONS</t>
  </si>
  <si>
    <t>DEDUCT:</t>
  </si>
  <si>
    <t xml:space="preserve">    RESERVE FOR DEF TAXES</t>
  </si>
  <si>
    <t xml:space="preserve">    RESERVE FOR ITC</t>
  </si>
  <si>
    <t xml:space="preserve">    CUSTOMER ADVANCES</t>
  </si>
  <si>
    <t xml:space="preserve">    CUSTOMER DEPOSITS-VIRGINIA</t>
  </si>
  <si>
    <t xml:space="preserve">    DEFERRED FUEL-VIRGINIA</t>
  </si>
  <si>
    <t xml:space="preserve">    OPEB UNFUNDED-VIRGINIA</t>
  </si>
  <si>
    <t xml:space="preserve">    WORKMANS COMPENSATION-FERC</t>
  </si>
  <si>
    <t xml:space="preserve">    VESTED VACATION-FERC</t>
  </si>
  <si>
    <t xml:space="preserve">    MEDICAL AND DENTAL RESERVE-FERC</t>
  </si>
  <si>
    <t xml:space="preserve">     TOTAL DEDUCTIONS</t>
  </si>
  <si>
    <t>NET ORIGINAL COST RATE BASE</t>
  </si>
  <si>
    <t>DEVELOPMENT OF RETURN</t>
  </si>
  <si>
    <t>OPERATING REVENUES</t>
  </si>
  <si>
    <t>OPERATING EXPENSES</t>
  </si>
  <si>
    <t xml:space="preserve">    OPERATION &amp; MAINT EXPENSE</t>
  </si>
  <si>
    <t xml:space="preserve">    DEPRECIATION &amp; AMORT EXP</t>
  </si>
  <si>
    <t xml:space="preserve">    TAXES OTHER THAN INC TAX</t>
  </si>
  <si>
    <t xml:space="preserve">    INCOME TAXES</t>
  </si>
  <si>
    <t xml:space="preserve">    (GAIN) / LOSS DISPOSITION ALLOWANCES</t>
  </si>
  <si>
    <t xml:space="preserve">    (GAIN) / LOSS DISPOSITION PROPERTY-VA</t>
  </si>
  <si>
    <t xml:space="preserve">    CHARITABLE CONTRIBUTIONS-VA</t>
  </si>
  <si>
    <t xml:space="preserve">    INTEREST ON CUSTOMER DEPOSITS-VA</t>
  </si>
  <si>
    <t xml:space="preserve">    ACCRETION EXPENSE</t>
  </si>
  <si>
    <t xml:space="preserve">     TOTAL OPERATING EXPENSES</t>
  </si>
  <si>
    <t>RETURN</t>
  </si>
  <si>
    <t>RATE OF RETURN</t>
  </si>
  <si>
    <t>ELECTRIC PLANT IN SERVICE</t>
  </si>
  <si>
    <t>INTANGIBLE PLANT</t>
  </si>
  <si>
    <t xml:space="preserve"> 301-ORGANIZATION</t>
  </si>
  <si>
    <t>PTDGPLT</t>
  </si>
  <si>
    <t xml:space="preserve"> 302-FRANCHISE</t>
  </si>
  <si>
    <t>KURETPLT</t>
  </si>
  <si>
    <t xml:space="preserve"> 303-SOFTWARE</t>
  </si>
  <si>
    <t>TOTAL INTANGIBLE PLANT</t>
  </si>
  <si>
    <t>PRODUCTION PLANT</t>
  </si>
  <si>
    <t>STEAM PRODUCTION PLANT</t>
  </si>
  <si>
    <t xml:space="preserve"> 310-LAND</t>
  </si>
  <si>
    <t>DEMPROD</t>
  </si>
  <si>
    <t xml:space="preserve"> 311-STRUCTURES AND IMPROVEMENTS</t>
  </si>
  <si>
    <t xml:space="preserve"> 312-BOILER PLANT EQUIPMENT</t>
  </si>
  <si>
    <t xml:space="preserve"> 314-TURBOGENERATOR UNITS</t>
  </si>
  <si>
    <t xml:space="preserve"> 315-ACCESSORY ELECTRIC EQUIP</t>
  </si>
  <si>
    <t xml:space="preserve"> 316-MISC POWER PLANT EQUIP</t>
  </si>
  <si>
    <t xml:space="preserve"> 317-ARO COST STEAM EQUIP</t>
  </si>
  <si>
    <t xml:space="preserve"> FERC-AFUDC PRE</t>
  </si>
  <si>
    <t>DEMFERC</t>
  </si>
  <si>
    <t xml:space="preserve"> FERC-AFUDC POST</t>
  </si>
  <si>
    <t>DEMFERCP</t>
  </si>
  <si>
    <t>TOTAL STEAM PROD PLANT</t>
  </si>
  <si>
    <t>HYDRAULIC PRODUCTION PLANT</t>
  </si>
  <si>
    <t xml:space="preserve"> 330-LAND RIGHTS</t>
  </si>
  <si>
    <t xml:space="preserve"> 331-STRUCTURES AND IMPROVEMENTS</t>
  </si>
  <si>
    <t xml:space="preserve"> 332-RESERVOIRS, DAMS, AND WATER</t>
  </si>
  <si>
    <t xml:space="preserve"> 333-WATER WHEEL, TURBINES, GEN</t>
  </si>
  <si>
    <t xml:space="preserve"> 334-ACCESSORY ELECTRIC EQUIP</t>
  </si>
  <si>
    <t xml:space="preserve"> 335-MISC POWER PLANT EQUIP</t>
  </si>
  <si>
    <t xml:space="preserve"> 336-ROADS, RAILROADS, AND BRIDGES</t>
  </si>
  <si>
    <t xml:space="preserve"> 337-ARO COST HYDRO PROD EQUIP</t>
  </si>
  <si>
    <t xml:space="preserve"> TOTAL HYDRAULIC PROD PLANT</t>
  </si>
  <si>
    <t>OTHER PRODUCTION PLANT</t>
  </si>
  <si>
    <t xml:space="preserve"> 340-LAND &amp; LAND RIGHTS</t>
  </si>
  <si>
    <t xml:space="preserve"> 341-STRUCTURES AND IMPROVEMENTS</t>
  </si>
  <si>
    <t xml:space="preserve"> 342-FUEL HOLDERS, PRODUCERS, ACC</t>
  </si>
  <si>
    <t xml:space="preserve"> 343-PRIME MOVERS</t>
  </si>
  <si>
    <t xml:space="preserve"> 344-GENERATORS</t>
  </si>
  <si>
    <t xml:space="preserve"> 345-ACCESSORY ELECTRIC EQUIP</t>
  </si>
  <si>
    <t xml:space="preserve"> 346-MISC POWER PLANT EQUIP</t>
  </si>
  <si>
    <t xml:space="preserve"> 347-ARO COST OTHER PROD EQUIP</t>
  </si>
  <si>
    <t xml:space="preserve"> TOTAL OTHER PROD PLANT</t>
  </si>
  <si>
    <t>TOTAL PRODUCTION PLANT</t>
  </si>
  <si>
    <t>ELECTRIC PLANT IN SERVICE CON'T</t>
  </si>
  <si>
    <t>TRANSMISSION PLANT</t>
  </si>
  <si>
    <t>KENTUCKY SYSTEM PROPERTY</t>
  </si>
  <si>
    <t xml:space="preserve"> 350-LAND &amp; LAND RIGHTS</t>
  </si>
  <si>
    <t>DEMTRANNF</t>
  </si>
  <si>
    <t xml:space="preserve"> 352-STRUCTURES AND IMPROVEMENTS</t>
  </si>
  <si>
    <t xml:space="preserve"> 353-STATION EQUIPMENT</t>
  </si>
  <si>
    <t xml:space="preserve"> 354-TOWERS AND FIXTURES</t>
  </si>
  <si>
    <t xml:space="preserve"> 355-POLES AND FIXTURES</t>
  </si>
  <si>
    <t xml:space="preserve"> 356-OH CONDUCTORS AND DEVICES</t>
  </si>
  <si>
    <t xml:space="preserve"> 357-UNDERGROUND CONDUIT</t>
  </si>
  <si>
    <t xml:space="preserve"> 358-UG CONDUCTORS AND DEVICES</t>
  </si>
  <si>
    <t xml:space="preserve"> 359-ARO COST KY TRANS</t>
  </si>
  <si>
    <t>TOTAL KENTUCKY SYSTEM PROPERTY</t>
  </si>
  <si>
    <t>VIRGINIA PROPERTY</t>
  </si>
  <si>
    <t>DEMVA</t>
  </si>
  <si>
    <t>TOTAL VIRGINIA PROPERTY</t>
  </si>
  <si>
    <t>VIRGINIA PROPERTY-500 KV LINE</t>
  </si>
  <si>
    <t>DEMTRANNVF</t>
  </si>
  <si>
    <t>TOTAL VIRGINIA PROPERTY-500 KV LINE</t>
  </si>
  <si>
    <t>TOTAL TRANSMISSION PLANT</t>
  </si>
  <si>
    <t>DISTRIBUTION PLANT</t>
  </si>
  <si>
    <t xml:space="preserve"> KENTUCKY DISTRIBUTION PLANT</t>
  </si>
  <si>
    <t xml:space="preserve"> 360-LAND &amp; LAND RIGHTS</t>
  </si>
  <si>
    <t>DEM360K</t>
  </si>
  <si>
    <t xml:space="preserve"> 361-STRUCTURES AND IMPROVEMENTS</t>
  </si>
  <si>
    <t>DEM361K</t>
  </si>
  <si>
    <t xml:space="preserve"> 362-STATION EQUIPMENT</t>
  </si>
  <si>
    <t>DEM362K</t>
  </si>
  <si>
    <t xml:space="preserve"> 364-POLES, TOWERS, AND FIXTURES</t>
  </si>
  <si>
    <t>DEM364K</t>
  </si>
  <si>
    <t xml:space="preserve"> 365-OH CONDUCTORS AND DEVICES</t>
  </si>
  <si>
    <t>DEM365K</t>
  </si>
  <si>
    <t xml:space="preserve"> 366-UNDERGROUND CONDUIT</t>
  </si>
  <si>
    <t>DEM366K</t>
  </si>
  <si>
    <t xml:space="preserve"> 367-UG CONDUCTORS AND DEVICES</t>
  </si>
  <si>
    <t>DEM367K</t>
  </si>
  <si>
    <t xml:space="preserve"> 368-LINE TRANSFORMERS</t>
  </si>
  <si>
    <t xml:space="preserve">    POWER POOL</t>
  </si>
  <si>
    <t>DPRODKY</t>
  </si>
  <si>
    <t xml:space="preserve">    ALL OTHER</t>
  </si>
  <si>
    <t>DEM368K</t>
  </si>
  <si>
    <t xml:space="preserve"> TOTAL 368-LINE TRANSFORMERS</t>
  </si>
  <si>
    <t xml:space="preserve"> 369-SERVICES</t>
  </si>
  <si>
    <t>CUST369K</t>
  </si>
  <si>
    <t xml:space="preserve"> 370-METERS</t>
  </si>
  <si>
    <t>CUST370K</t>
  </si>
  <si>
    <t xml:space="preserve"> 371-INSTALL ON CUSTOMER PREMISES</t>
  </si>
  <si>
    <t>CUST371K</t>
  </si>
  <si>
    <t xml:space="preserve"> 373-STREET LIGHTING</t>
  </si>
  <si>
    <t>CUST373K</t>
  </si>
  <si>
    <t xml:space="preserve"> 374-ARO COST KY ELEC DISTRIB</t>
  </si>
  <si>
    <t>DEM374K</t>
  </si>
  <si>
    <t xml:space="preserve"> TOTAL KENTUCKY DISTRIB PLANT</t>
  </si>
  <si>
    <t xml:space="preserve"> VIRGINIA DISTRIBUTION PLANT</t>
  </si>
  <si>
    <t>DEM360V</t>
  </si>
  <si>
    <t>DEM361V</t>
  </si>
  <si>
    <t>DEM362V</t>
  </si>
  <si>
    <t>DEM364V</t>
  </si>
  <si>
    <t>DEM365V</t>
  </si>
  <si>
    <t>DEM367V</t>
  </si>
  <si>
    <t>DPRODVA</t>
  </si>
  <si>
    <t>DEM368V</t>
  </si>
  <si>
    <t>CUST369V</t>
  </si>
  <si>
    <t>CUST370V</t>
  </si>
  <si>
    <t>CUST371V</t>
  </si>
  <si>
    <t>CUST373V</t>
  </si>
  <si>
    <t xml:space="preserve"> TOTAL VIRGINIA DISTRIB PLANT</t>
  </si>
  <si>
    <t xml:space="preserve"> TENNESSEE DISTRIBUTION PLANT</t>
  </si>
  <si>
    <t>DEM360T</t>
  </si>
  <si>
    <t>DEM361T</t>
  </si>
  <si>
    <t>DEM362T</t>
  </si>
  <si>
    <t>DEM364T</t>
  </si>
  <si>
    <t>DEM365T</t>
  </si>
  <si>
    <t>DEM368T</t>
  </si>
  <si>
    <t>CUST369T</t>
  </si>
  <si>
    <t>CUST370T</t>
  </si>
  <si>
    <t>CUST371T</t>
  </si>
  <si>
    <t xml:space="preserve"> TOTAL TENNESSEE DISTRIB PLANT</t>
  </si>
  <si>
    <t>TOTAL DISTRIBUTION PLANT</t>
  </si>
  <si>
    <t xml:space="preserve"> GENERAL PLANT</t>
  </si>
  <si>
    <t xml:space="preserve"> 389-LAND &amp; LAND RIGHTS</t>
  </si>
  <si>
    <t>LABOR</t>
  </si>
  <si>
    <t xml:space="preserve"> 390-STRUCTURES AND IMPROVEMENTS</t>
  </si>
  <si>
    <t xml:space="preserve"> 391-OFFICE EQUIPMENT</t>
  </si>
  <si>
    <t xml:space="preserve"> 392-TRANSPORTATION EQUIPMENT</t>
  </si>
  <si>
    <t xml:space="preserve"> 393-STORES EQUIPMENT</t>
  </si>
  <si>
    <t xml:space="preserve"> 394-TOOLS, SHOP, AND GARAGE EQUIP</t>
  </si>
  <si>
    <t xml:space="preserve"> 395-LABORATORY EQUIPMENT</t>
  </si>
  <si>
    <t xml:space="preserve"> 396-POWER OPERATED EQUIPMENT</t>
  </si>
  <si>
    <t xml:space="preserve"> 397-COMMUNICATION EQUIPMENT</t>
  </si>
  <si>
    <t xml:space="preserve">    DEMAND SIDE MANAGEMENT</t>
  </si>
  <si>
    <t>LABPTDKY</t>
  </si>
  <si>
    <t xml:space="preserve"> TOTAL 397-COMMUNICATION EQUIPMENT</t>
  </si>
  <si>
    <t xml:space="preserve"> 398-MISC EQUIPMENT</t>
  </si>
  <si>
    <t xml:space="preserve"> TOTAL GENERAL PLANT</t>
  </si>
  <si>
    <t xml:space="preserve"> PLANT HELD FOR FUTURE USE</t>
  </si>
  <si>
    <t xml:space="preserve"> PRODUCTION</t>
  </si>
  <si>
    <t xml:space="preserve"> TRANSMISSION</t>
  </si>
  <si>
    <t xml:space="preserve"> DISTRIBUTION</t>
  </si>
  <si>
    <t xml:space="preserve"> GENERAL</t>
  </si>
  <si>
    <t xml:space="preserve"> TOTAL PLANT HELD FOR FUTURE USE</t>
  </si>
  <si>
    <t>TOTAL ELECTRIC PLANT</t>
  </si>
  <si>
    <t>ACCUMULATED PROVISION FOR DEP</t>
  </si>
  <si>
    <t xml:space="preserve"> PRODUCTION PLANT</t>
  </si>
  <si>
    <t xml:space="preserve">  STEAM PRODUCTION PLANT</t>
  </si>
  <si>
    <t xml:space="preserve">    SYSTEM</t>
  </si>
  <si>
    <t>STMSYS</t>
  </si>
  <si>
    <t xml:space="preserve">    FERC-AFUDC PRE</t>
  </si>
  <si>
    <t xml:space="preserve">    FERC-AFUDC POST</t>
  </si>
  <si>
    <t xml:space="preserve">     TOTAL STEAM PROD PLT</t>
  </si>
  <si>
    <t xml:space="preserve">  HYDRAULIC PRODUCTION PLANT</t>
  </si>
  <si>
    <t>HYDSYS</t>
  </si>
  <si>
    <t xml:space="preserve">     TOTAL HYDRO PROD PLT</t>
  </si>
  <si>
    <t xml:space="preserve">  OTHER PRODUCTION PLANT</t>
  </si>
  <si>
    <t>OTHSYS</t>
  </si>
  <si>
    <t xml:space="preserve">     TOTAL OTHER PROD PLT</t>
  </si>
  <si>
    <t xml:space="preserve"> TOTAL PRODUCTION PLANT</t>
  </si>
  <si>
    <t xml:space="preserve"> TRANSMISSION PLANT</t>
  </si>
  <si>
    <t xml:space="preserve">  KENTUCKY SYSTEM PROPERTY</t>
  </si>
  <si>
    <t>KYTRPLTXF</t>
  </si>
  <si>
    <t xml:space="preserve">  VIRGINIA PROPERTY</t>
  </si>
  <si>
    <t>TRPLTVA</t>
  </si>
  <si>
    <t xml:space="preserve">  FERC-AFUDC PRE</t>
  </si>
  <si>
    <t xml:space="preserve">  FERC-AFUDC POST</t>
  </si>
  <si>
    <t xml:space="preserve"> TOTAL TRANSMISSION PLANT</t>
  </si>
  <si>
    <t xml:space="preserve"> DISTRIBUTION PLANT-VA &amp; TN </t>
  </si>
  <si>
    <t>DIRACDEP</t>
  </si>
  <si>
    <t xml:space="preserve"> DISTRIBUTION PLANT-KY &amp; FERC</t>
  </si>
  <si>
    <t>DISTPLTKF</t>
  </si>
  <si>
    <t xml:space="preserve"> TOTAL DISTRIBUTION PLANT</t>
  </si>
  <si>
    <t>GENPLT</t>
  </si>
  <si>
    <t xml:space="preserve"> INTANGIBLE PLANT-FRANCHISES</t>
  </si>
  <si>
    <t>PLT302TOT</t>
  </si>
  <si>
    <t xml:space="preserve"> INTANGIBLE PLANT-SOFTWARE</t>
  </si>
  <si>
    <t>PLT303TOT</t>
  </si>
  <si>
    <t>TOTAL DEPRECIATION RESERVE</t>
  </si>
  <si>
    <t>NET ELECTRIC PLANT IN SERVICE</t>
  </si>
  <si>
    <t>ADDITIONS TO NET PLANT</t>
  </si>
  <si>
    <t>CONSTRUCTION WORK IN PROGRESS</t>
  </si>
  <si>
    <t xml:space="preserve">   SYSTEM</t>
  </si>
  <si>
    <t>PRODSYS</t>
  </si>
  <si>
    <t xml:space="preserve">   FERC-AFUDC PRE</t>
  </si>
  <si>
    <t xml:space="preserve">   FERC-AFUDC POST</t>
  </si>
  <si>
    <t xml:space="preserve">    TOTAL PRODUCTION PLANT</t>
  </si>
  <si>
    <t xml:space="preserve">   TRANS VIRGINIA-KY SYSTEM</t>
  </si>
  <si>
    <t xml:space="preserve">   TRANS VIRGINIA</t>
  </si>
  <si>
    <t>VATRPLT</t>
  </si>
  <si>
    <t xml:space="preserve">    TOTAL TRANSMISSION PLT</t>
  </si>
  <si>
    <t xml:space="preserve"> DISTRIBUTION - VA &amp; TN </t>
  </si>
  <si>
    <t>DIRCWIP</t>
  </si>
  <si>
    <t xml:space="preserve"> DISTRIBUTION - KY &amp; FERC</t>
  </si>
  <si>
    <t>PLANTKY</t>
  </si>
  <si>
    <t xml:space="preserve">    TOTAL DISTRIBUTION PLT</t>
  </si>
  <si>
    <t>TOTAL CWIP</t>
  </si>
  <si>
    <t>WORKING CAPITAL</t>
  </si>
  <si>
    <t xml:space="preserve"> MATERIALS &amp; SUPPLIES</t>
  </si>
  <si>
    <t xml:space="preserve">  FUEL STOCK</t>
  </si>
  <si>
    <t>ENERGY</t>
  </si>
  <si>
    <t xml:space="preserve">  PLANT MATERIAL &amp; SUPPLIES</t>
  </si>
  <si>
    <t xml:space="preserve">    PRODUCTION</t>
  </si>
  <si>
    <t>PRODPLT</t>
  </si>
  <si>
    <t xml:space="preserve">    TRANSMISSION</t>
  </si>
  <si>
    <t>TRANPLTXF</t>
  </si>
  <si>
    <t xml:space="preserve">    DISTRIBUTION</t>
  </si>
  <si>
    <t>DISTPLT</t>
  </si>
  <si>
    <t xml:space="preserve">    GENERAL</t>
  </si>
  <si>
    <t xml:space="preserve">    STORES UNDISTRIBUTED</t>
  </si>
  <si>
    <t>M_S</t>
  </si>
  <si>
    <t xml:space="preserve">  TOTAL PLT MAT &amp; SUPPLIES</t>
  </si>
  <si>
    <t xml:space="preserve"> TOTAL MATERIALS &amp; SUPPLIES</t>
  </si>
  <si>
    <t xml:space="preserve"> PREPAYMENTS</t>
  </si>
  <si>
    <t xml:space="preserve">  PREPAYMENTS OTHER THAN TAXES</t>
  </si>
  <si>
    <t>EXP9245TOT</t>
  </si>
  <si>
    <t xml:space="preserve">  PUBLIC SERVICE COMM TAX</t>
  </si>
  <si>
    <t>REVKY</t>
  </si>
  <si>
    <t xml:space="preserve"> TOTAL PREPAYMENTS</t>
  </si>
  <si>
    <t xml:space="preserve"> WORKING CASH - CALC BY JURIS</t>
  </si>
  <si>
    <t>TOTAL WORKING CAPITAL</t>
  </si>
  <si>
    <t>EMISSION ALLOWANCES</t>
  </si>
  <si>
    <t>TOTAL ADDITIONS TO NET PLANT</t>
  </si>
  <si>
    <t>DEDUCTIONS FROM NET PLANT</t>
  </si>
  <si>
    <t>ACCUMULATED DEFERRED INC TAX</t>
  </si>
  <si>
    <t xml:space="preserve">  VIRGINIA PROPERTY-500 KV LINE</t>
  </si>
  <si>
    <t xml:space="preserve">  VIRGINIA PROPERTY-OTHER</t>
  </si>
  <si>
    <t xml:space="preserve"> DISTRIBUTION - VA</t>
  </si>
  <si>
    <t>DIRACDFTX</t>
  </si>
  <si>
    <t xml:space="preserve"> DISTRIBUTION PLT KY,FERC &amp; TN</t>
  </si>
  <si>
    <t>DPLTXVA</t>
  </si>
  <si>
    <t>TOTAL DEFERRED INCOME TAX</t>
  </si>
  <si>
    <t>ACCUM DEFER INVEST TAX CREDITS</t>
  </si>
  <si>
    <t xml:space="preserve">  PRODUCTION</t>
  </si>
  <si>
    <t xml:space="preserve">  TRANSMISSION</t>
  </si>
  <si>
    <t xml:space="preserve">  TRANSMISSION - VA</t>
  </si>
  <si>
    <t xml:space="preserve">  DISTRIBUTION - VA</t>
  </si>
  <si>
    <t>DIRACITC</t>
  </si>
  <si>
    <t xml:space="preserve">  DISTRIBUTION PLT KY,FERC &amp; TN</t>
  </si>
  <si>
    <t xml:space="preserve">  GENERAL</t>
  </si>
  <si>
    <t>TOTAL DEFERRED INVEST CREDIT</t>
  </si>
  <si>
    <t>CUSTOMER ADVANCES</t>
  </si>
  <si>
    <t>CUSTADV</t>
  </si>
  <si>
    <t>CUSTOMER DEPOSITS-VIRGINIA</t>
  </si>
  <si>
    <t>CUSTDEP</t>
  </si>
  <si>
    <t>DEFERRED FUEL-VIRGINIA</t>
  </si>
  <si>
    <t>DFUELVA</t>
  </si>
  <si>
    <t>OPEB UNFUNDED-VIRGINIA</t>
  </si>
  <si>
    <t>WORKMANS COMPENSATION-FERC</t>
  </si>
  <si>
    <t>VESTED VACATION-FERC</t>
  </si>
  <si>
    <t>MEDICAL AND DENTAL RESERVE-FERC</t>
  </si>
  <si>
    <t>TOTAL DEDUCTIONS FROM NET PLT</t>
  </si>
  <si>
    <t>RATE BASE</t>
  </si>
  <si>
    <t>SALES OF ELECTRICITY</t>
  </si>
  <si>
    <t xml:space="preserve">  440-RESIDENTIAL</t>
  </si>
  <si>
    <t xml:space="preserve">  442-COMMERCIAL</t>
  </si>
  <si>
    <t xml:space="preserve">  442-INDUSTRIAL</t>
  </si>
  <si>
    <t xml:space="preserve">  444-PUBLIC ST &amp; HWY LIGHTING</t>
  </si>
  <si>
    <t xml:space="preserve">  445-OTHER PUBLIC AUTHORITIES</t>
  </si>
  <si>
    <t xml:space="preserve">  447-SALES FOR RESALE-MUNICIPALS</t>
  </si>
  <si>
    <t xml:space="preserve">  447-SALES FOR RESALE-OFF SYSTEM:</t>
  </si>
  <si>
    <t xml:space="preserve">              DEMAND</t>
  </si>
  <si>
    <t xml:space="preserve">              ENERGY</t>
  </si>
  <si>
    <t xml:space="preserve">  TOTAL 447-OFF SYSTEM</t>
  </si>
  <si>
    <t xml:space="preserve">  449-PROVISION FOR RATE REFUND</t>
  </si>
  <si>
    <t>TOTAL ELECTRIC SALES REVENUES</t>
  </si>
  <si>
    <t>OTHER OPERATING REVENUES</t>
  </si>
  <si>
    <t xml:space="preserve">  450-LATE PAYMENT CHARGES</t>
  </si>
  <si>
    <t>DIR450REV</t>
  </si>
  <si>
    <t xml:space="preserve">  451-RECONNECT CHARGES</t>
  </si>
  <si>
    <t>DIR451REC</t>
  </si>
  <si>
    <t xml:space="preserve">  451-OTHER SERVICE CHARGES</t>
  </si>
  <si>
    <t>DIR451OTH</t>
  </si>
  <si>
    <t xml:space="preserve">  454-RENT FROM ELEC PROPERTY</t>
  </si>
  <si>
    <t>DIR454REV</t>
  </si>
  <si>
    <t xml:space="preserve">  456-TRANSMISSION SERVICE</t>
  </si>
  <si>
    <t xml:space="preserve">  456-ANCILLARY SERVICES</t>
  </si>
  <si>
    <t>DEMTRAN</t>
  </si>
  <si>
    <t xml:space="preserve">  456-TAX REMITTANCE COMPENSATION</t>
  </si>
  <si>
    <t xml:space="preserve">  456-RETURN CHECK CHARGES</t>
  </si>
  <si>
    <t>DIR456CHK</t>
  </si>
  <si>
    <t xml:space="preserve">  456-OTHER MISC REVENUES</t>
  </si>
  <si>
    <t>DIR456OTH</t>
  </si>
  <si>
    <t xml:space="preserve">  456-EXCESS FACILITIES CHARGES</t>
  </si>
  <si>
    <t>DIR456FAC</t>
  </si>
  <si>
    <t xml:space="preserve">  456-FORFEITED REFUNDABLE ADVANCES</t>
  </si>
  <si>
    <t>TOTAL OTHER REVENUES</t>
  </si>
  <si>
    <t>TOTAL OPERATING REVENUES</t>
  </si>
  <si>
    <t>OPERATION &amp; MAINTENANCE EXP</t>
  </si>
  <si>
    <t>PRODUCTION EXPENSE-STEAM</t>
  </si>
  <si>
    <t xml:space="preserve">  500-SUPERV &amp; ENGINEERING</t>
  </si>
  <si>
    <t>STMPLT</t>
  </si>
  <si>
    <t xml:space="preserve">  501-FUEL</t>
  </si>
  <si>
    <t>REVFERC</t>
  </si>
  <si>
    <t xml:space="preserve">  505-ELECTRIC EXPENSES</t>
  </si>
  <si>
    <t xml:space="preserve">  506-MISC STEAM POWER EXP</t>
  </si>
  <si>
    <t xml:space="preserve">    TOTAL STEAM OPERATIONS</t>
  </si>
  <si>
    <t xml:space="preserve">  510-SUPERV &amp; ENGINEERING</t>
  </si>
  <si>
    <t xml:space="preserve">  511-STRUCTURES</t>
  </si>
  <si>
    <t xml:space="preserve">  512-BOILER PLANT</t>
  </si>
  <si>
    <t xml:space="preserve">  513-ELECTRIC PLANT</t>
  </si>
  <si>
    <t xml:space="preserve">  514-MISC STEAM PLANT</t>
  </si>
  <si>
    <t xml:space="preserve">    TOTAL STEAM MAINTENANCE</t>
  </si>
  <si>
    <t>TOTAL STEAM GENERATION</t>
  </si>
  <si>
    <t>PRODUCTION EXPENSE-HYDRO</t>
  </si>
  <si>
    <t xml:space="preserve">  535-SUPERV &amp; ENGINEERING</t>
  </si>
  <si>
    <t>HYDPLT</t>
  </si>
  <si>
    <t xml:space="preserve">  536-WATER FOR POWER</t>
  </si>
  <si>
    <t xml:space="preserve">  537-HYDRAULIC EXPENSES</t>
  </si>
  <si>
    <t xml:space="preserve">  538-ELECTRIC EXPENSES</t>
  </si>
  <si>
    <t xml:space="preserve">  540-RENTS</t>
  </si>
  <si>
    <t xml:space="preserve">    TOTAL HYDRO OPERATIONS</t>
  </si>
  <si>
    <t xml:space="preserve">  541-SUPERV &amp; ENGINEERING</t>
  </si>
  <si>
    <t xml:space="preserve">  542-STRUCTURES</t>
  </si>
  <si>
    <t xml:space="preserve">  543-RESERV, DAMS &amp; WATERWAY</t>
  </si>
  <si>
    <t xml:space="preserve">  544-ELECTRIC PLANT</t>
  </si>
  <si>
    <t xml:space="preserve">  545-MISC HYDRAULIC PLANT</t>
  </si>
  <si>
    <t xml:space="preserve">    TOTAL HYDRO MAINTENANCE</t>
  </si>
  <si>
    <t>TOTAL HYDRO GENERATION</t>
  </si>
  <si>
    <t>PRODUCTION EXPENSE-OTHER</t>
  </si>
  <si>
    <t xml:space="preserve">  546-SUPERV &amp; ENGINEERING</t>
  </si>
  <si>
    <t>OTHPLT</t>
  </si>
  <si>
    <t xml:space="preserve">  547-FUEL</t>
  </si>
  <si>
    <t xml:space="preserve">  548-GENERATION EXPENSES</t>
  </si>
  <si>
    <t xml:space="preserve">    TOTAL OTHER OPERATIONS</t>
  </si>
  <si>
    <t xml:space="preserve">  551-SUPERV &amp; ENGINEERING</t>
  </si>
  <si>
    <t xml:space="preserve">  552-STRUCTURES</t>
  </si>
  <si>
    <t xml:space="preserve">  553-GENERATING &amp; ELECT PLT</t>
  </si>
  <si>
    <t xml:space="preserve">  554-MISC OTH POWER GEN PLT</t>
  </si>
  <si>
    <t xml:space="preserve">    TOTAL OTHER MAINTENANCE</t>
  </si>
  <si>
    <t>TOTAL OTHER GENERATION</t>
  </si>
  <si>
    <t>555-PURCHASED POWER</t>
  </si>
  <si>
    <t xml:space="preserve">  CAPACITY COMPONENT</t>
  </si>
  <si>
    <t xml:space="preserve">  ENERGY COMPONENT</t>
  </si>
  <si>
    <t xml:space="preserve">    TOTAL ACCT 555</t>
  </si>
  <si>
    <t>556-SYSTEM CONTROL &amp; DISP</t>
  </si>
  <si>
    <t>557-OTHER EXPENSES</t>
  </si>
  <si>
    <t>TOTAL PRODUCTION EXPENSES</t>
  </si>
  <si>
    <t>OPERATION &amp; MAINT EXP CON'T</t>
  </si>
  <si>
    <t>TRANSMISSION EXPENSES</t>
  </si>
  <si>
    <t xml:space="preserve">  560-SUPERV &amp; ENGINEERING</t>
  </si>
  <si>
    <t>LABTROP</t>
  </si>
  <si>
    <t xml:space="preserve">  561-LOAD DISPATCHING</t>
  </si>
  <si>
    <t xml:space="preserve">  562-STATION EXPENSES</t>
  </si>
  <si>
    <t xml:space="preserve">  563-OVERHEAD LINE EXPENSES</t>
  </si>
  <si>
    <t xml:space="preserve">  564-UNDERGROUND LINE EXP</t>
  </si>
  <si>
    <t xml:space="preserve">  565-TRANSM OF ELECT BY OTH</t>
  </si>
  <si>
    <t xml:space="preserve">  566-MISC TRANSMISSION EXP</t>
  </si>
  <si>
    <t xml:space="preserve">  567-RENTS</t>
  </si>
  <si>
    <t xml:space="preserve">  575-MISO DAY 1 &amp;2 EXP</t>
  </si>
  <si>
    <t xml:space="preserve">    TOTAL TRANSM OPERATIONS</t>
  </si>
  <si>
    <t xml:space="preserve">  568-SUPERV &amp; ENGINEERING</t>
  </si>
  <si>
    <t xml:space="preserve">  569-MAINT OF STRUCTURES</t>
  </si>
  <si>
    <t xml:space="preserve">  570-MAINT OF STATION EQUIP</t>
  </si>
  <si>
    <t xml:space="preserve">  571-MAINT OF OH LINES</t>
  </si>
  <si>
    <t xml:space="preserve">  572-MAINT OF UG LINES</t>
  </si>
  <si>
    <t xml:space="preserve">  573-MAINT OF MISC TRAN PLT</t>
  </si>
  <si>
    <t xml:space="preserve">    TOTAL TRANSM MAINTENANCE</t>
  </si>
  <si>
    <t>TOTAL TRANSMISSION EXPENSES</t>
  </si>
  <si>
    <t>DISTRIBUTION EXPENSES</t>
  </si>
  <si>
    <t xml:space="preserve">  580-SUPERV &amp; ENGINEERING</t>
  </si>
  <si>
    <t xml:space="preserve">  581-DIST SYSTEM CONTROL</t>
  </si>
  <si>
    <t>PLT3602TOT</t>
  </si>
  <si>
    <t xml:space="preserve">  582-STATION EXPENSES</t>
  </si>
  <si>
    <t xml:space="preserve">  583-OVERHEAD LINES</t>
  </si>
  <si>
    <t>PLT3645TOT</t>
  </si>
  <si>
    <t xml:space="preserve">  584-UNDERGROUND LINES</t>
  </si>
  <si>
    <t>PLT3667TOT</t>
  </si>
  <si>
    <t xml:space="preserve">  585-STREET LIGHTING</t>
  </si>
  <si>
    <t>PLT373TOT</t>
  </si>
  <si>
    <t xml:space="preserve">  586-METERS</t>
  </si>
  <si>
    <t>PLT370TOT</t>
  </si>
  <si>
    <t xml:space="preserve">  587-CUSTOMER INSTALLATIONS</t>
  </si>
  <si>
    <t>PLT371TOT</t>
  </si>
  <si>
    <t xml:space="preserve">  588-MISCELLANEOUS EXP</t>
  </si>
  <si>
    <t xml:space="preserve">  589-RENTS</t>
  </si>
  <si>
    <t xml:space="preserve">    TOTAL DISTR OPERATIONS</t>
  </si>
  <si>
    <t xml:space="preserve">  590-SUPERV &amp; ENGINEERING</t>
  </si>
  <si>
    <t xml:space="preserve">  591-MAINT OF STRUCTURES</t>
  </si>
  <si>
    <t xml:space="preserve">  592-MAINT OF STATION EQUIP</t>
  </si>
  <si>
    <t xml:space="preserve">  593-MAINT OF OH LINES</t>
  </si>
  <si>
    <t xml:space="preserve">  594-MAINT OF UG LINES</t>
  </si>
  <si>
    <t xml:space="preserve">  595-MAINT OF LINE TRANSF</t>
  </si>
  <si>
    <t>PLT368TOT</t>
  </si>
  <si>
    <t xml:space="preserve">  596-MAINT OF ST LIGHTING</t>
  </si>
  <si>
    <t xml:space="preserve">  597-MAINT OF METERS</t>
  </si>
  <si>
    <t xml:space="preserve">  598-MISCELLANEOUS</t>
  </si>
  <si>
    <t xml:space="preserve">    TOTAL DISTR MAINTENANCE</t>
  </si>
  <si>
    <t>TOTAL DISTRIBUTION EXPENSES</t>
  </si>
  <si>
    <t>CUSTOMER ACCOUNTING EXPENSES</t>
  </si>
  <si>
    <t xml:space="preserve">  901-SUPERVISION</t>
  </si>
  <si>
    <t>LABCA</t>
  </si>
  <si>
    <t xml:space="preserve">  902-METER READING</t>
  </si>
  <si>
    <t>CUST902</t>
  </si>
  <si>
    <t xml:space="preserve">  903-CUSTOMER RECORDS</t>
  </si>
  <si>
    <t>CUST903</t>
  </si>
  <si>
    <t xml:space="preserve">  904-UNCOLLECTIBLE ACCOUNTS</t>
  </si>
  <si>
    <t>CUST904</t>
  </si>
  <si>
    <t xml:space="preserve">  905-MISCELLANEOUS</t>
  </si>
  <si>
    <t>EXP9024CA</t>
  </si>
  <si>
    <t>TOTAL CUSTOMER ACCOUNTS</t>
  </si>
  <si>
    <t>CUSTOMER SERVICES</t>
  </si>
  <si>
    <t xml:space="preserve">  907-SUPERVISION</t>
  </si>
  <si>
    <t>LABSA</t>
  </si>
  <si>
    <t xml:space="preserve">  908-CUSTOMER ASSISTANCE</t>
  </si>
  <si>
    <t>CUST908</t>
  </si>
  <si>
    <t xml:space="preserve">  909-INFORMATION &amp; INSTRUCT</t>
  </si>
  <si>
    <t>CUST909</t>
  </si>
  <si>
    <t xml:space="preserve">  910-MISCELLANEOUS</t>
  </si>
  <si>
    <t>EXP9089CS</t>
  </si>
  <si>
    <t>TOTAL CUSTOMER SERVICE</t>
  </si>
  <si>
    <t>SALES EXPENSE</t>
  </si>
  <si>
    <t xml:space="preserve">  911-SUPERVISION</t>
  </si>
  <si>
    <t xml:space="preserve">  912-DEMONSTRATING &amp; SELLING</t>
  </si>
  <si>
    <t>CUST912</t>
  </si>
  <si>
    <t xml:space="preserve">  913-ADVERTISING</t>
  </si>
  <si>
    <t>CUST913</t>
  </si>
  <si>
    <t xml:space="preserve">  916-MISCELLANEOUS</t>
  </si>
  <si>
    <t>EXP9123SA</t>
  </si>
  <si>
    <t>TOTAL SALES EXPENSE</t>
  </si>
  <si>
    <t>ADMINISTRATIVE &amp; GENERAL</t>
  </si>
  <si>
    <t xml:space="preserve"> PLANT COMPONENT</t>
  </si>
  <si>
    <t xml:space="preserve">  924-PROPERTY INSURANCE</t>
  </si>
  <si>
    <t>PLANT</t>
  </si>
  <si>
    <t xml:space="preserve">     TOTAL NET PLT COMPONENT</t>
  </si>
  <si>
    <t xml:space="preserve"> LABOR COMPONENT</t>
  </si>
  <si>
    <t xml:space="preserve">  920-ADMIN &amp; GENERAL EXP</t>
  </si>
  <si>
    <t xml:space="preserve">  921-OFFICE SUPPLIES &amp; EXP</t>
  </si>
  <si>
    <t xml:space="preserve">  922-ADMIN EXP TRANSF-CRED</t>
  </si>
  <si>
    <t xml:space="preserve">  923-OUTSIDE SERVICES</t>
  </si>
  <si>
    <t xml:space="preserve">  925-INJURIES &amp; DAMAGES</t>
  </si>
  <si>
    <t xml:space="preserve">  926-PENSIONS &amp; BENEFITS</t>
  </si>
  <si>
    <t xml:space="preserve">  929-DUPLICATE CHARGES-CR</t>
  </si>
  <si>
    <t>REVNJVA</t>
  </si>
  <si>
    <t>LABORXF</t>
  </si>
  <si>
    <t xml:space="preserve">  931-RENTS</t>
  </si>
  <si>
    <t xml:space="preserve">  935-MAINTENANCE</t>
  </si>
  <si>
    <t xml:space="preserve">     TOTAL LABOR COMPONENT</t>
  </si>
  <si>
    <t xml:space="preserve">  928-REGULATORY COMMISSION</t>
  </si>
  <si>
    <t>DIRECT</t>
  </si>
  <si>
    <t xml:space="preserve">    FEDERAL JURISDICTION</t>
  </si>
  <si>
    <t xml:space="preserve">    VIRGINIA JURISDICTION</t>
  </si>
  <si>
    <t>REVVA</t>
  </si>
  <si>
    <t xml:space="preserve">    928 ALLOCATED</t>
  </si>
  <si>
    <t xml:space="preserve">      TOTAL ACCOUNT 928</t>
  </si>
  <si>
    <t xml:space="preserve">  927-FRANCHISE NJ VA</t>
  </si>
  <si>
    <t>ENERGY1</t>
  </si>
  <si>
    <t>TOTAL ADMINISTRATIVE &amp; GEN</t>
  </si>
  <si>
    <t>TOTAL OPERATION &amp; MAINTENANCE</t>
  </si>
  <si>
    <t>DEPRECIATION &amp; AMORT EXPENSE</t>
  </si>
  <si>
    <t>DEPRECIATION EXPENSE</t>
  </si>
  <si>
    <t xml:space="preserve"> DISTRIBUTION PLANT</t>
  </si>
  <si>
    <t xml:space="preserve">   DISTRIBUTION-KENTUCKY</t>
  </si>
  <si>
    <t>KYDIST</t>
  </si>
  <si>
    <t xml:space="preserve">   DISTRIBUTION-VIRGINIA</t>
  </si>
  <si>
    <t>VADIST</t>
  </si>
  <si>
    <t xml:space="preserve">   DISTRIBUTION-TENNESSEE</t>
  </si>
  <si>
    <t>TNDIST</t>
  </si>
  <si>
    <t>TOTAL DEPREC &amp; AMORT EXP</t>
  </si>
  <si>
    <t xml:space="preserve">  KENTUCKY DISTRIBUTION PROPERTY</t>
  </si>
  <si>
    <t xml:space="preserve">  VIRGINIA DISTRIBUTION PROPERTY</t>
  </si>
  <si>
    <t>ACCRETION</t>
  </si>
  <si>
    <t>TOTAL ACCRETION EXPENSE</t>
  </si>
  <si>
    <t>OTHER TAXES &amp; OTHER EXPENSES</t>
  </si>
  <si>
    <t>TAXES OTHER THAN INCOME TAX</t>
  </si>
  <si>
    <t xml:space="preserve">  PROPERTY TAXES</t>
  </si>
  <si>
    <t>NETPLANT</t>
  </si>
  <si>
    <t xml:space="preserve">  PSC ASSESSMENT-KY REVENUE</t>
  </si>
  <si>
    <t xml:space="preserve">  VA GROSS RECEIPTS TAX</t>
  </si>
  <si>
    <t xml:space="preserve">  MISCELLANEOUS</t>
  </si>
  <si>
    <t>TOTAL OTHER TAXES</t>
  </si>
  <si>
    <t>GAIN DISPOSITION OF ALLOWANCES</t>
  </si>
  <si>
    <t>GAIN/LOSS PROP DISPOSITION (NET)</t>
  </si>
  <si>
    <t>CHARITABLE CONTRIBUTIONS-VA ONLY</t>
  </si>
  <si>
    <t>INVESTMENT TAX CREDIT ADJ</t>
  </si>
  <si>
    <t xml:space="preserve">  TRANSMISSION VA</t>
  </si>
  <si>
    <t xml:space="preserve">  DISTRIBUTION - DIRECT</t>
  </si>
  <si>
    <t>DIRITCADJ</t>
  </si>
  <si>
    <t>TOTAL INVEST TAX CREDIT ADJ</t>
  </si>
  <si>
    <t>TOTAL EXP OTHER THAN INC TAX</t>
  </si>
  <si>
    <t>INCOME TAXES</t>
  </si>
  <si>
    <t>OPERATING INC BEFORE INC TAXES</t>
  </si>
  <si>
    <t>DEVELOPMENT OF FED INC TAX</t>
  </si>
  <si>
    <t xml:space="preserve"> ADDITIONS TO INCOME</t>
  </si>
  <si>
    <t xml:space="preserve"> TOTAL ADDITIONS</t>
  </si>
  <si>
    <t xml:space="preserve"> DEDUCTIONS FROM INCOME</t>
  </si>
  <si>
    <t xml:space="preserve">  INTEREST EXPENSE</t>
  </si>
  <si>
    <t xml:space="preserve">    LONG TERM DEBT OTHER</t>
  </si>
  <si>
    <t>RATEBASE</t>
  </si>
  <si>
    <t xml:space="preserve">    INT ON CUSTOMER DEPOSITS</t>
  </si>
  <si>
    <t>CUSTDEPI</t>
  </si>
  <si>
    <t xml:space="preserve">    AFUDC-INTEREST POST FERC</t>
  </si>
  <si>
    <t>AFUDC</t>
  </si>
  <si>
    <t xml:space="preserve"> TOTAL DEDUCTIONS</t>
  </si>
  <si>
    <t xml:space="preserve"> PLUS: ABOVE THE LINE DIFF:</t>
  </si>
  <si>
    <t xml:space="preserve">  SEC. 199 DEDUCTION-STATE</t>
  </si>
  <si>
    <t xml:space="preserve">  DEPREC-EQUITY AFUDC PRE</t>
  </si>
  <si>
    <t xml:space="preserve">  DEPREC-EQUITY AFUDC POST</t>
  </si>
  <si>
    <t xml:space="preserve">  OTHER</t>
  </si>
  <si>
    <t>STATE TAXABLE INCOME</t>
  </si>
  <si>
    <t>STATE TAX</t>
  </si>
  <si>
    <t>STATE TAX ADJUSTMENTS</t>
  </si>
  <si>
    <t>KENTUCKY TAX CREDITS</t>
  </si>
  <si>
    <t>203(E) EXCESS</t>
  </si>
  <si>
    <t>PLANTKF</t>
  </si>
  <si>
    <t>STATE TAX TOTAL</t>
  </si>
  <si>
    <t>SEC. 199 DEDUCTION-FEDERAL INCREMENT</t>
  </si>
  <si>
    <t>STATE TAX ADJUSTS FOR FEDERAL</t>
  </si>
  <si>
    <t>FEDERAL TAXES @ 35%</t>
  </si>
  <si>
    <t>EXCESS DEFERRED TAXES</t>
  </si>
  <si>
    <t>FEDERAL TAX ADJUSTMENTS</t>
  </si>
  <si>
    <t xml:space="preserve"> FEDERAL TAX TOTAL</t>
  </si>
  <si>
    <t>STATE TAX RATE</t>
  </si>
  <si>
    <t>FEDERAL TAX RATE - CURRENT</t>
  </si>
  <si>
    <t>1 - EFFECTIVE TAX RATE</t>
  </si>
  <si>
    <t>EFFECTIVE TAX RATE</t>
  </si>
  <si>
    <t>FACTOR FOR TAXABLE BASIS</t>
  </si>
  <si>
    <t>LABOR ALLOCATOR</t>
  </si>
  <si>
    <t>LABOR EXPENSE</t>
  </si>
  <si>
    <t xml:space="preserve"> PRODUCTION LABOR</t>
  </si>
  <si>
    <t xml:space="preserve">   ENERGY RELATED</t>
  </si>
  <si>
    <t xml:space="preserve">   FERC 501</t>
  </si>
  <si>
    <t xml:space="preserve">   FERC 510</t>
  </si>
  <si>
    <t xml:space="preserve">   FERC 512</t>
  </si>
  <si>
    <t xml:space="preserve">   FERC 513</t>
  </si>
  <si>
    <t xml:space="preserve">   FERC 547</t>
  </si>
  <si>
    <t xml:space="preserve">     TOTAL ENERGY LABOR</t>
  </si>
  <si>
    <t xml:space="preserve">   DEMAND RELATED</t>
  </si>
  <si>
    <t xml:space="preserve">   FERC 500</t>
  </si>
  <si>
    <t xml:space="preserve">   FERC 502</t>
  </si>
  <si>
    <t xml:space="preserve">   FERC 505</t>
  </si>
  <si>
    <t xml:space="preserve">   FERC 506</t>
  </si>
  <si>
    <t xml:space="preserve">   FERC 509</t>
  </si>
  <si>
    <t xml:space="preserve">   FERC 511</t>
  </si>
  <si>
    <t xml:space="preserve">   FERC 514</t>
  </si>
  <si>
    <t xml:space="preserve">   FERC 535</t>
  </si>
  <si>
    <t xml:space="preserve">   FERC 538</t>
  </si>
  <si>
    <t xml:space="preserve">   FERC 539</t>
  </si>
  <si>
    <t xml:space="preserve">   FERC 541</t>
  </si>
  <si>
    <t xml:space="preserve">   FERC 542</t>
  </si>
  <si>
    <t xml:space="preserve">   FERC 544</t>
  </si>
  <si>
    <t xml:space="preserve">   FERC 545</t>
  </si>
  <si>
    <t xml:space="preserve">   FERC 546</t>
  </si>
  <si>
    <t xml:space="preserve">   FERC 548</t>
  </si>
  <si>
    <t xml:space="preserve">   FERC 549</t>
  </si>
  <si>
    <t xml:space="preserve">   FERC 550</t>
  </si>
  <si>
    <t xml:space="preserve">   FERC 551</t>
  </si>
  <si>
    <t xml:space="preserve">   FERC 552</t>
  </si>
  <si>
    <t xml:space="preserve">   FERC 553</t>
  </si>
  <si>
    <t xml:space="preserve">   FERC 554</t>
  </si>
  <si>
    <t xml:space="preserve">   FERC 555</t>
  </si>
  <si>
    <t xml:space="preserve">   FERC 556</t>
  </si>
  <si>
    <t xml:space="preserve">   FERC 557</t>
  </si>
  <si>
    <t xml:space="preserve">     TOTAL DEMAND</t>
  </si>
  <si>
    <t xml:space="preserve">     TOTAL PRODUCTION</t>
  </si>
  <si>
    <t xml:space="preserve"> TRANSMISSION LABOR</t>
  </si>
  <si>
    <t xml:space="preserve">      FERC 560</t>
  </si>
  <si>
    <t xml:space="preserve">      FERC 561</t>
  </si>
  <si>
    <t xml:space="preserve">      FERC 562</t>
  </si>
  <si>
    <t xml:space="preserve">      FERC 563</t>
  </si>
  <si>
    <t xml:space="preserve">      FERC 565</t>
  </si>
  <si>
    <t xml:space="preserve">      FERC 566</t>
  </si>
  <si>
    <t xml:space="preserve">      FERC 567</t>
  </si>
  <si>
    <t xml:space="preserve">      FERC 569</t>
  </si>
  <si>
    <t xml:space="preserve">      FERC 570</t>
  </si>
  <si>
    <t xml:space="preserve">      FERC 571</t>
  </si>
  <si>
    <t xml:space="preserve">      FERC 572</t>
  </si>
  <si>
    <t xml:space="preserve">      FERC 573</t>
  </si>
  <si>
    <t xml:space="preserve"> TOTAL TRANSMISSION LABOR</t>
  </si>
  <si>
    <t xml:space="preserve"> DISTRIBUTION LABOR</t>
  </si>
  <si>
    <t xml:space="preserve">      FERC 580</t>
  </si>
  <si>
    <t xml:space="preserve">      FERC 581</t>
  </si>
  <si>
    <t xml:space="preserve">      FERC 582</t>
  </si>
  <si>
    <t xml:space="preserve">      FERC 583</t>
  </si>
  <si>
    <t xml:space="preserve">      FERC 584</t>
  </si>
  <si>
    <t xml:space="preserve">      FERC 585</t>
  </si>
  <si>
    <t xml:space="preserve">      FERC 586</t>
  </si>
  <si>
    <t xml:space="preserve">      FERC 587</t>
  </si>
  <si>
    <t xml:space="preserve">      FERC 588</t>
  </si>
  <si>
    <t xml:space="preserve">      FERC 589</t>
  </si>
  <si>
    <t xml:space="preserve">      FERC 590</t>
  </si>
  <si>
    <t xml:space="preserve">      FERC 592</t>
  </si>
  <si>
    <t xml:space="preserve">      FERC 593</t>
  </si>
  <si>
    <t xml:space="preserve">      FERC 594</t>
  </si>
  <si>
    <t xml:space="preserve">      FERC 595</t>
  </si>
  <si>
    <t xml:space="preserve">      FERC 596</t>
  </si>
  <si>
    <t xml:space="preserve">      FERC 597</t>
  </si>
  <si>
    <t xml:space="preserve">      FERC 598</t>
  </si>
  <si>
    <t xml:space="preserve"> TOTAL DISTRIBUTION LABOR</t>
  </si>
  <si>
    <t xml:space="preserve"> TOT PROD, TRNS &amp; DISTR LABOR</t>
  </si>
  <si>
    <t xml:space="preserve"> CUSTOMER ACCOUNTING</t>
  </si>
  <si>
    <t xml:space="preserve">      FERC 901</t>
  </si>
  <si>
    <t>EXP9025CA</t>
  </si>
  <si>
    <t xml:space="preserve">      FERC 902</t>
  </si>
  <si>
    <t xml:space="preserve">      FERC 903</t>
  </si>
  <si>
    <t xml:space="preserve">      FERC 904</t>
  </si>
  <si>
    <t xml:space="preserve">      FERC 905</t>
  </si>
  <si>
    <t xml:space="preserve"> TOTAL CUSTOMER ACCOUNTING LABOR</t>
  </si>
  <si>
    <t xml:space="preserve"> CUSTOMER SERVICE &amp; SALES EXP</t>
  </si>
  <si>
    <t xml:space="preserve">      FERC 907</t>
  </si>
  <si>
    <t>EXP9080CS</t>
  </si>
  <si>
    <t xml:space="preserve">      FERC 908</t>
  </si>
  <si>
    <t xml:space="preserve">      FERC 909</t>
  </si>
  <si>
    <t xml:space="preserve">      FERC 910</t>
  </si>
  <si>
    <t xml:space="preserve">      FERC 912</t>
  </si>
  <si>
    <t xml:space="preserve">      FERC 913</t>
  </si>
  <si>
    <t xml:space="preserve">      FERC 916</t>
  </si>
  <si>
    <t xml:space="preserve"> TOTAL CUSTOMER SERVICE AND SALES LABOR</t>
  </si>
  <si>
    <t>TOTAL PROD, TRAN, DIST, CUSTOMER LABOR</t>
  </si>
  <si>
    <t>ADMIN &amp; GENERAL LABOR</t>
  </si>
  <si>
    <t xml:space="preserve">      FERC 920</t>
  </si>
  <si>
    <t>PTDCUSTLABOR</t>
  </si>
  <si>
    <t xml:space="preserve">      FERC 921</t>
  </si>
  <si>
    <t xml:space="preserve">      FERC 922</t>
  </si>
  <si>
    <t xml:space="preserve">      FERC 923</t>
  </si>
  <si>
    <t xml:space="preserve">      FERC 924</t>
  </si>
  <si>
    <t xml:space="preserve">      FERC 925</t>
  </si>
  <si>
    <t xml:space="preserve">      FERC 926</t>
  </si>
  <si>
    <t xml:space="preserve">      FERC 927</t>
  </si>
  <si>
    <t xml:space="preserve">      FERC 929</t>
  </si>
  <si>
    <t xml:space="preserve">      FERC 930</t>
  </si>
  <si>
    <t xml:space="preserve">      FERC 931</t>
  </si>
  <si>
    <t xml:space="preserve">      FERC 935</t>
  </si>
  <si>
    <t xml:space="preserve"> TOTAL ADMIN &amp; GENERAL  LABOR</t>
  </si>
  <si>
    <t>TOTAL LABOR EXPENSES</t>
  </si>
  <si>
    <t>ALLOCATION FACTOR TABLE</t>
  </si>
  <si>
    <t>DEMAND RELATED</t>
  </si>
  <si>
    <t>-</t>
  </si>
  <si>
    <t>PRODUCTION ALLOCATORS</t>
  </si>
  <si>
    <t>DEMAND (12 CP GEN LEV)-PROD</t>
  </si>
  <si>
    <t>DEMAND (12 CP GEN LEV)-FERC</t>
  </si>
  <si>
    <t>DEMAND (12 CP GEN)-PROD VA</t>
  </si>
  <si>
    <t>DEMAND (12 CP GEN)-PROD KY</t>
  </si>
  <si>
    <t>DEM (12 CP GEN LV)-FERC POST</t>
  </si>
  <si>
    <t>DEM (12 CP GEN LV)-NON VA</t>
  </si>
  <si>
    <t>DEMPRODNV</t>
  </si>
  <si>
    <t>TRANSMISSION ALLOCATORS</t>
  </si>
  <si>
    <t>DEMAND (12 CP GEN LEV)-TRAN</t>
  </si>
  <si>
    <t>DEMAND (12 CP GEN LEV)-VA</t>
  </si>
  <si>
    <t>DEM (12 CP GEN LEV)-NON FERC</t>
  </si>
  <si>
    <t>DEM (12 CP GN LEV)-TRAN FERC</t>
  </si>
  <si>
    <t>DEMFERCT</t>
  </si>
  <si>
    <t>DEM (12 CP GEN LEV)-NON VA&amp;FERC</t>
  </si>
  <si>
    <t>DISTRIBUTION ALLOCATORS</t>
  </si>
  <si>
    <t>DIRECT ASSIGN 360 KY</t>
  </si>
  <si>
    <t>DIRECT ASSIGN 361 KY</t>
  </si>
  <si>
    <t>DIRECT ASSIGN 362 KY</t>
  </si>
  <si>
    <t>DIRECT ASSIGN 364 KY</t>
  </si>
  <si>
    <t>DIRECT ASSIGN 365 KY</t>
  </si>
  <si>
    <t>DIRECT ASSIGN 366 KY</t>
  </si>
  <si>
    <t>DIRECT ASSIGN 367 KY</t>
  </si>
  <si>
    <t>DIRECT ASSIGN 368 KY</t>
  </si>
  <si>
    <t>DIRECT ASSIGN 374 KY</t>
  </si>
  <si>
    <t>DIRECT ASSIGN 360-VA</t>
  </si>
  <si>
    <t>DIRECT ASSIGN 361-VA</t>
  </si>
  <si>
    <t>DIRECT ASSIGN 362-VA</t>
  </si>
  <si>
    <t>DIRECT ASSIGN 364-VA</t>
  </si>
  <si>
    <t>DIRECT ASSIGN 365-VA</t>
  </si>
  <si>
    <t>DIRECT ASSIGN 367-VA</t>
  </si>
  <si>
    <t>DIRECT ASSIGN 368-VA</t>
  </si>
  <si>
    <t>DIRECT ASSIGN 360-TN</t>
  </si>
  <si>
    <t>DIRECT ASSIGN 361-TN</t>
  </si>
  <si>
    <t>DIRECT ASSIGN 362-TN</t>
  </si>
  <si>
    <t>DIRECT ASSIGN 364-TN</t>
  </si>
  <si>
    <t>DIRECT ASSIGN 365-TN</t>
  </si>
  <si>
    <t>DIRECT ASSIGN 368-TN</t>
  </si>
  <si>
    <t>DIRECT ASSIGN 369-TN</t>
  </si>
  <si>
    <t>DIRECT ASSIGN 370-TN</t>
  </si>
  <si>
    <t>DIRECT ASSIGN 371-TN</t>
  </si>
  <si>
    <t xml:space="preserve">DIR ASSIGN ACC.DEPRC.DIST.VA&amp;TN </t>
  </si>
  <si>
    <t>DIR ASSIGN CWIP DIST VA &amp; TN</t>
  </si>
  <si>
    <t>DIR ASSIGN RENT REVENUE</t>
  </si>
  <si>
    <t>DIR ASSIGN EXCESS FACILITIES REV.</t>
  </si>
  <si>
    <t>DIR ASSIGN OTHER MISC REV.</t>
  </si>
  <si>
    <t>DIR ASSIGN RECONNECT REV</t>
  </si>
  <si>
    <t>DIR ASSIGN OTHER SERVICE REV</t>
  </si>
  <si>
    <t>DIR ASSIGN RETURN CHECK REV</t>
  </si>
  <si>
    <t>DIR ASSIGN 203(E) EXCESS</t>
  </si>
  <si>
    <t>DIR203E</t>
  </si>
  <si>
    <t>DIR ASSIGN ITC ADJ</t>
  </si>
  <si>
    <t>DIR ASSIGN DEFERRED FUEL-VIRGINIA</t>
  </si>
  <si>
    <t>ENERGY (MWH AT GEN LEVEL)</t>
  </si>
  <si>
    <t>ENERGY (MWH RETAIL @ GEN LEVEL)</t>
  </si>
  <si>
    <t>CUSTOMER</t>
  </si>
  <si>
    <t>DIRECT ASSIGN 369-SERV KY</t>
  </si>
  <si>
    <t>DIRECT ASSIGN 370 METERS KY</t>
  </si>
  <si>
    <t>DIRECT ASSIGN 371 CUST INST KY</t>
  </si>
  <si>
    <t>DIRECT ASSIGN 373 ST LIGHT KY</t>
  </si>
  <si>
    <t>CUSTOMER DEPOSITS</t>
  </si>
  <si>
    <t>DIR ASSIGN 902-METER READING</t>
  </si>
  <si>
    <t>DIR ASSIGN 903-CUSTOMER REC</t>
  </si>
  <si>
    <t>DIR ASSIGN 904-UNCOLL ACCTS</t>
  </si>
  <si>
    <t>DIR ASSIGN ACCT 369-SERV VA</t>
  </si>
  <si>
    <t>DIR ASSIGN ACCT 370 METERS VA</t>
  </si>
  <si>
    <t>DIR ASSIGN ACCT 371 CUST INST VA</t>
  </si>
  <si>
    <t>DIR ASGN ACCT 373 ST LIGHT VA</t>
  </si>
  <si>
    <t>DIR ASSIGN 908-CUST ASSIST</t>
  </si>
  <si>
    <t>DIR ASSIGN 909-INFO &amp; INSTRCT</t>
  </si>
  <si>
    <t>DIR ASSIGN 912-DEM &amp; SELLING</t>
  </si>
  <si>
    <t>DIR ASSIGN 913-ADVERTISING</t>
  </si>
  <si>
    <t>CUSTOMER ANNUALIZATION</t>
  </si>
  <si>
    <t>CUSTANN</t>
  </si>
  <si>
    <t>CUSTOMER DEPOSITS INTEREST</t>
  </si>
  <si>
    <t>DIR ASSIGN LATE PAYMENT REVENUE</t>
  </si>
  <si>
    <t>INTERNALLY DEVELOPED</t>
  </si>
  <si>
    <t>PROD-TRANSM-DISTR-GENL PLT</t>
  </si>
  <si>
    <t>PROD-TRANSM-DISTR-GENL PLT KY</t>
  </si>
  <si>
    <t>ALLOCATED O&amp;M LABOR EXPENSE</t>
  </si>
  <si>
    <t>TOTAL STEAM PROD PLANT-SYSTEM</t>
  </si>
  <si>
    <t>ALLOCATED NON A&amp;G LABOR EXPENSE</t>
  </si>
  <si>
    <t>TOT HYDRAULIC PROD PLANT-SYS</t>
  </si>
  <si>
    <t>TOTAL OTHER PROD PLANT-SYS</t>
  </si>
  <si>
    <t>TRANSM KENTUCKY SYSTEM PROP</t>
  </si>
  <si>
    <t>KYTRPLT</t>
  </si>
  <si>
    <t>TRANSM VIRGINIA PROPERTY</t>
  </si>
  <si>
    <t>TRANSM VIRGINIA PROP TOTAL</t>
  </si>
  <si>
    <t>VATRPLTT</t>
  </si>
  <si>
    <t>TOTAL DIST PLANT KY &amp; FERC</t>
  </si>
  <si>
    <t>TOTAL GENERAL PLANT</t>
  </si>
  <si>
    <t>ACCT 302-FRANCHISE</t>
  </si>
  <si>
    <t>ACCT 303-SOFTWARE</t>
  </si>
  <si>
    <t>TOTAL PRODUCTION PLANT SYSTEM</t>
  </si>
  <si>
    <t>TRANPLT</t>
  </si>
  <si>
    <t>TOTAL TRANSMISSION PLANT EXCL FERC</t>
  </si>
  <si>
    <t>MAT &amp; SUPPLIES DISTRIBUTED</t>
  </si>
  <si>
    <t>ACCT 924 &amp; 925 INSURANCE</t>
  </si>
  <si>
    <t>REVENUE SALE OF ELECT-KY</t>
  </si>
  <si>
    <t>CWIP PROD FERC-POST ALLOC</t>
  </si>
  <si>
    <t>CWIPPP</t>
  </si>
  <si>
    <t>CWIP TRAN FERC-POST ALLOC</t>
  </si>
  <si>
    <t>CWIPTP</t>
  </si>
  <si>
    <t>ACC DEF INC TX PROD FERC-POST</t>
  </si>
  <si>
    <t>ADITPP</t>
  </si>
  <si>
    <t>ACC DEF INC TX TRAN FERC-POST</t>
  </si>
  <si>
    <t>ADITTP</t>
  </si>
  <si>
    <t>TRANSMISSION PLANT EXCL VA</t>
  </si>
  <si>
    <t>TRANPLTX</t>
  </si>
  <si>
    <t>TRANSM PLANT VA</t>
  </si>
  <si>
    <t>TOT ACCT 364 &amp; 365-OVHD LINE</t>
  </si>
  <si>
    <t>TOTAL ELECTRIC PLANT KY</t>
  </si>
  <si>
    <t>TOTAL ELECTRIC PLANT KY &amp; FERC</t>
  </si>
  <si>
    <t>TOTAL ELECTRIC PLANT VA</t>
  </si>
  <si>
    <t>PLANTVA</t>
  </si>
  <si>
    <t>TOTAL HYDRAULIC PROD PLANT</t>
  </si>
  <si>
    <t>TOTAL OTHER PROD PLANT</t>
  </si>
  <si>
    <t>TOT ACCT 360-362 SUBSTATIONS</t>
  </si>
  <si>
    <t>TOT ACCT 366 &amp; 367-UG LINES</t>
  </si>
  <si>
    <t>TOT ACCT 373-STREET LIGHTING</t>
  </si>
  <si>
    <t>TOTAL ACCT 370-METERS</t>
  </si>
  <si>
    <t>TOT ACCT 371-CUSTOMER INSTALL</t>
  </si>
  <si>
    <t>TOT ACCT 368-LINE TRANSFORMER</t>
  </si>
  <si>
    <t>TOT ACCT 902-904 CUST ACCTS</t>
  </si>
  <si>
    <t>TOT ACCT 908-909 CUST SERV</t>
  </si>
  <si>
    <t>TOTAL TRANS &amp; DISTRIB PLANT</t>
  </si>
  <si>
    <t>TRDSPLT</t>
  </si>
  <si>
    <t>INTERNALLY DEVELOPED-CON'T</t>
  </si>
  <si>
    <t>TOT ACCT 912-913 SALES EXP</t>
  </si>
  <si>
    <t>REVENUE SALE OF ELECT-FERC</t>
  </si>
  <si>
    <t>REVENUE SALE OF ELECT-VA</t>
  </si>
  <si>
    <t>REVENUE SALE OF ELECT</t>
  </si>
  <si>
    <t>REVENUE</t>
  </si>
  <si>
    <t>REV SALE OF ELECT-VA NON JUR</t>
  </si>
  <si>
    <t>REV SALE OF ELECT-EXCL FERC</t>
  </si>
  <si>
    <t>REVENUEX</t>
  </si>
  <si>
    <t>KENTUCKY DISTRIBUTION PLANT</t>
  </si>
  <si>
    <t>VIRGINIA DISTRIBUTION PLANT</t>
  </si>
  <si>
    <t>TENNESSEE DISTRIBUTION PLT</t>
  </si>
  <si>
    <t>TOTAL CWIP FERC-AFUDC POST</t>
  </si>
  <si>
    <t>TOTAL 203(E) EXCESS</t>
  </si>
  <si>
    <t>TAX203E</t>
  </si>
  <si>
    <t>STEAM OPERATING EXP 501-507</t>
  </si>
  <si>
    <t>EXP5017STM</t>
  </si>
  <si>
    <t>STEAM MAINTENANCE EXP 511-514</t>
  </si>
  <si>
    <t>EXP5114STM</t>
  </si>
  <si>
    <t>HYDRO OPERATING EXP 536-540</t>
  </si>
  <si>
    <t>EXP5360HYD</t>
  </si>
  <si>
    <t>HYDRO MAINTENANCE EXP 542-545</t>
  </si>
  <si>
    <t>EXP5425HYD</t>
  </si>
  <si>
    <t>OTHER PROD OPER EXP 547-549</t>
  </si>
  <si>
    <t>EXP5479OTH</t>
  </si>
  <si>
    <t>OTHER PROD MAINT EXP 552-554</t>
  </si>
  <si>
    <t>EXP5524OTH</t>
  </si>
  <si>
    <t>TOT STEAM OPERATIONS LABOR</t>
  </si>
  <si>
    <t>LABSTMOP</t>
  </si>
  <si>
    <t>TOT STEAM MAINTENANCE LABOR</t>
  </si>
  <si>
    <t>LABSTMMN</t>
  </si>
  <si>
    <t>TOT HYDRO OPERATIONS LABOR</t>
  </si>
  <si>
    <t>LABHYDOP</t>
  </si>
  <si>
    <t>TOT HYDRO MAINTENANCE LABOR</t>
  </si>
  <si>
    <t>LABHYDMN</t>
  </si>
  <si>
    <t>TOT OTHER OPERATIONS LABOR</t>
  </si>
  <si>
    <t>LABOTHOP</t>
  </si>
  <si>
    <t>TOT OTHER MAINTENANCE LABOR</t>
  </si>
  <si>
    <t>LABOTHMN</t>
  </si>
  <si>
    <t>TRANSM OPER EXP 562-567</t>
  </si>
  <si>
    <t>EXP5627TX</t>
  </si>
  <si>
    <t>TRANSM MAINT EXP 569-573</t>
  </si>
  <si>
    <t>EXP5693TX</t>
  </si>
  <si>
    <t>TOT TRANSM OPERATIONS LABOR</t>
  </si>
  <si>
    <t>TOT TRANSM MAINTENANCE LABOR</t>
  </si>
  <si>
    <t>LABTRMN</t>
  </si>
  <si>
    <t>DISTR OPER EXP 582-589</t>
  </si>
  <si>
    <t>EXP5829DIS</t>
  </si>
  <si>
    <t>DISTR MAINT EXP 591-598</t>
  </si>
  <si>
    <t>EXP5918DIS</t>
  </si>
  <si>
    <t>TOT DISTR OPERATIONS LABOR</t>
  </si>
  <si>
    <t>LABDISOP</t>
  </si>
  <si>
    <t>TOT DISTR MAINTENANCE LABOR</t>
  </si>
  <si>
    <t>LABDISMN</t>
  </si>
  <si>
    <t>CUST ACCT EXP 902, 903 &amp; 905</t>
  </si>
  <si>
    <t>TOTAL CUST ACCOUNTS LABOR</t>
  </si>
  <si>
    <t>CUST SERVICES &amp; SALES EXP</t>
  </si>
  <si>
    <t>TOTAL CUST SERVICES LABOR</t>
  </si>
  <si>
    <t>LABCS</t>
  </si>
  <si>
    <t>SALES EXPENSE 912-916</t>
  </si>
  <si>
    <t>EXP9126SA</t>
  </si>
  <si>
    <t>TOTAL SALES EXP LABOR</t>
  </si>
  <si>
    <t>TOT ADMINISTRATIVE &amp; GEN EXP</t>
  </si>
  <si>
    <t>A_GEXP</t>
  </si>
  <si>
    <t>ACCT 930-EPRI &amp; ADVERTISING</t>
  </si>
  <si>
    <t>EXP930A</t>
  </si>
  <si>
    <t>TOTAL CUSTOMER SERVICES EXP</t>
  </si>
  <si>
    <t>CUSTSER</t>
  </si>
  <si>
    <t>DISTRIBUTION PLANT EXCL VA</t>
  </si>
  <si>
    <t>ACCT 926 DIR ASSIGN COMP.KY RET</t>
  </si>
  <si>
    <t>ACCT 926 DIR ASSIGN COMP.VAJ</t>
  </si>
  <si>
    <t>LABPTDVAJ</t>
  </si>
  <si>
    <t>ACCT 926 DIR ASSIGN COMP.VANJ</t>
  </si>
  <si>
    <t>LABPTDVNJ</t>
  </si>
  <si>
    <t>ACCT 926 DIR ASSIGN COMP.FERC</t>
  </si>
  <si>
    <t>LABPTDFER</t>
  </si>
  <si>
    <t>203(E) EXCESS DEF TAXES EXCL VA</t>
  </si>
  <si>
    <t>STATE203E</t>
  </si>
  <si>
    <t>ALLOC O&amp;M LABOR EXPENSE EXCL FERC</t>
  </si>
  <si>
    <t>TRANSM KENTUCKY SYS PROP XFERC</t>
  </si>
  <si>
    <t>REVENUES FROM ELECTRIC SALES</t>
  </si>
  <si>
    <t>440-RESIDENTIAL</t>
  </si>
  <si>
    <t>442-COMMERCIAL</t>
  </si>
  <si>
    <t>442-LARGE COMMERCIAL</t>
  </si>
  <si>
    <t>442-INDUSTRIAL</t>
  </si>
  <si>
    <t>442-MINE POWER</t>
  </si>
  <si>
    <t>444-PUBLIC ST &amp; HWY LIGHTING</t>
  </si>
  <si>
    <t>445-OTHER PUBLIC AUTHORITIES</t>
  </si>
  <si>
    <t>445-MUNICIPAL PUMPING</t>
  </si>
  <si>
    <t>447-SALES FOR RESALE-MUNICIPAL WHOLESALE</t>
  </si>
  <si>
    <t>ANNUALIZATION</t>
  </si>
  <si>
    <t>449-PROVISION FOR RATE REFUND</t>
  </si>
  <si>
    <t>RATIO TABLE</t>
  </si>
  <si>
    <t>CAPACITY RELATED</t>
  </si>
  <si>
    <t xml:space="preserve">DIR ASSIGN ACCUM DEPREC.VA &amp; TN </t>
  </si>
  <si>
    <t>DIR ASSIGN CWIP VA &amp; TN</t>
  </si>
  <si>
    <t>DIR ASSIGN ACC DFD TAX VA</t>
  </si>
  <si>
    <t>DIR ASSIGN ACC ITC VA</t>
  </si>
  <si>
    <t>DIR ASSIGN RECONNECT REV.</t>
  </si>
  <si>
    <t>DIR ASSIGN OTHER SERVICE REV.</t>
  </si>
  <si>
    <t>DIR ASSIGN RETURN CHECK REV.</t>
  </si>
  <si>
    <t>DIR ASSIGN ACCT 369-SERV KY</t>
  </si>
  <si>
    <t>DIR ASSIGN ACCT 370 METERS KY</t>
  </si>
  <si>
    <t>DIR ASN ACCT 371 CUST INST KY</t>
  </si>
  <si>
    <t>DIR ASGN ACCT 373 ST LIGHT KY</t>
  </si>
  <si>
    <t>DIR ASN ACCT 371 CUST INST VA</t>
  </si>
  <si>
    <t>LATE PAYMENT REVENUES</t>
  </si>
  <si>
    <t>TRANSM PLANT VA &amp; 500 KV</t>
  </si>
  <si>
    <t>TOTAL 201(E) EXCESS</t>
  </si>
  <si>
    <t>TOTAL STEAM OPERATIONS LABOR</t>
  </si>
  <si>
    <t>TOTAL STEAM MAINTENANCE LABOR</t>
  </si>
  <si>
    <t>TOTAL HYDRO OPERATIONS LABOR</t>
  </si>
  <si>
    <t>TOTAL HYDRO MAINTENANCE LABOR</t>
  </si>
  <si>
    <t>TOTAL OTHER OPERATIONS LABOR</t>
  </si>
  <si>
    <t>TOTAL OTHER MAINTENANCE LABOR</t>
  </si>
  <si>
    <t>CUST SERVICES EXP 908-910</t>
  </si>
  <si>
    <t>SCHEDULE B-2</t>
  </si>
  <si>
    <t>PLANT IN SERVICE BY MAJOR PROPERTY GROUPING</t>
  </si>
  <si>
    <t>MAJOR PROPERTY GROUPING</t>
  </si>
  <si>
    <t>STEAM PRODUCTION</t>
  </si>
  <si>
    <t>13 MO AVG FORECAST PERIOD        TOTAL COMPANY</t>
  </si>
  <si>
    <t>HYDO PRODUCTION</t>
  </si>
  <si>
    <t>OTHER PRODUCTION</t>
  </si>
  <si>
    <t>DISTRIBUTION</t>
  </si>
  <si>
    <t>GENERAL</t>
  </si>
  <si>
    <t>ELECTRIC:</t>
  </si>
  <si>
    <t>13 MO AVG ADJUSTED JURISDICTION</t>
  </si>
  <si>
    <t>TOTAL ELECTRIC</t>
  </si>
  <si>
    <t>SCHEDULE B-1</t>
  </si>
  <si>
    <t>JURISDICTIONAL RATE BASE SUMMARY</t>
  </si>
  <si>
    <t>RATE BASE COMPONENT</t>
  </si>
  <si>
    <t>SUPPORTING SCHEDULE REFERENCE</t>
  </si>
  <si>
    <t>BASE PERIOD</t>
  </si>
  <si>
    <t>13 MONTH AVG FORECAST PERIOD</t>
  </si>
  <si>
    <t>Accumulated Depreciation and Amortization</t>
  </si>
  <si>
    <t>Construction Work in Progress</t>
  </si>
  <si>
    <t>Cash Working Capital Allowance</t>
  </si>
  <si>
    <t>Property Held for Future Use</t>
  </si>
  <si>
    <t>B-2</t>
  </si>
  <si>
    <t>B-2.6</t>
  </si>
  <si>
    <t>B-3</t>
  </si>
  <si>
    <t>B-5</t>
  </si>
  <si>
    <t>B-4</t>
  </si>
  <si>
    <t>Other Working Capital Allowances</t>
  </si>
  <si>
    <t>Customer Advances for Construction</t>
  </si>
  <si>
    <t>B-6</t>
  </si>
  <si>
    <t>Deferred Income Taxes</t>
  </si>
  <si>
    <t>Investment Tax Credits</t>
  </si>
  <si>
    <t>Other Items</t>
  </si>
  <si>
    <t>Rate Base (Lines 6 through 12)</t>
  </si>
  <si>
    <t>WORKPAPER REFERENCE NO(S).: SEE BELOW</t>
  </si>
  <si>
    <t>WORKPAPER REFERENCE NO(S).:</t>
  </si>
  <si>
    <t>SCHEDULE B-3</t>
  </si>
  <si>
    <t>ACCUMULATED DEPRECIATION AND AMORTIZATION</t>
  </si>
  <si>
    <t>BASE PERIOD TOTAL COMPANY INVESTMENT</t>
  </si>
  <si>
    <t>TOTAL COMPANY</t>
  </si>
  <si>
    <t>RESERVE BALANCES</t>
  </si>
  <si>
    <t>RWIP</t>
  </si>
  <si>
    <t>Allocation</t>
  </si>
  <si>
    <t>SCHEDULE B-3.1</t>
  </si>
  <si>
    <t>ADJUSTMENTS TO ACCUMULATED DEPRECIATION AND AMORTIZATION</t>
  </si>
  <si>
    <t>Net Plant in Service (Lines 1+2+3)</t>
  </si>
  <si>
    <t>Net Plant (Lines 4+5)</t>
  </si>
  <si>
    <t>13 MONTH AVERAGE RESERVE BALANCES</t>
  </si>
  <si>
    <t xml:space="preserve">TOTAL ELECTRIC PLANT </t>
  </si>
  <si>
    <t>SCHEDULE B-4</t>
  </si>
  <si>
    <t>CONSTRUCTION AMOUNT</t>
  </si>
  <si>
    <t>AFUDC CAPITALIZED</t>
  </si>
  <si>
    <t>INDIRECT COSTS</t>
  </si>
  <si>
    <t>TOTAL COSTS</t>
  </si>
  <si>
    <t>ACCUMULATED COSTS</t>
  </si>
  <si>
    <t>SCHEDULE B-4.1</t>
  </si>
  <si>
    <t>CONSTRUCTION WORK IN PROGRESS - PERCENT COMPLETE</t>
  </si>
  <si>
    <t>(A)</t>
  </si>
  <si>
    <t>(B)</t>
  </si>
  <si>
    <t>PROJECT NO.</t>
  </si>
  <si>
    <t>DESCRIPTION OF PROJECT</t>
  </si>
  <si>
    <t>(C)</t>
  </si>
  <si>
    <t>DATE CONSTRUCTION BEGAN</t>
  </si>
  <si>
    <t>ESTIMATED COMPLETION DATE</t>
  </si>
  <si>
    <t>PERCENT OF ELAPSED TIME</t>
  </si>
  <si>
    <t>ORIGINAL BUDGET ESTIMATE</t>
  </si>
  <si>
    <t>CURRENT BUDGET ESTIMATE</t>
  </si>
  <si>
    <t>TOTAL PROJECT EXPENDITURES</t>
  </si>
  <si>
    <t>PERCENT OF TOTAL EXPENDITURES</t>
  </si>
  <si>
    <t>(D)</t>
  </si>
  <si>
    <t>(E)</t>
  </si>
  <si>
    <t>(F)</t>
  </si>
  <si>
    <t>(G)</t>
  </si>
  <si>
    <t>(H)</t>
  </si>
  <si>
    <t>(I)</t>
  </si>
  <si>
    <t>(J)=(I) / (H)</t>
  </si>
  <si>
    <t>PROJECT DURATION</t>
  </si>
  <si>
    <t>TIME PERIOD</t>
  </si>
  <si>
    <t>FROM PERIOD TO END OF PROJECT</t>
  </si>
  <si>
    <t>SCHEDULE B-3.2</t>
  </si>
  <si>
    <t>DEPRECIATION ACCRUAL RATES AND ACCUMULATED BALANCES BY ACCOUNT</t>
  </si>
  <si>
    <t>ACCOUNT TITLE OR MAJOR PROPERTY GROUPING</t>
  </si>
  <si>
    <t>PLANT INVESTMENT</t>
  </si>
  <si>
    <t>ACCUMULATED BALANCE</t>
  </si>
  <si>
    <t>CALCULATED DEPRECIATION EXPENSE</t>
  </si>
  <si>
    <t>(G=DxF)</t>
  </si>
  <si>
    <t>% NET SALVAGE</t>
  </si>
  <si>
    <t>CURVE FORM</t>
  </si>
  <si>
    <t>(J)</t>
  </si>
  <si>
    <t>APPROVED RATES AS OF JANUARY 1, 2013</t>
  </si>
  <si>
    <t>CALC.</t>
  </si>
  <si>
    <t>CAPITAL</t>
  </si>
  <si>
    <t>COST OF</t>
  </si>
  <si>
    <t>GROSS</t>
  </si>
  <si>
    <t>NET</t>
  </si>
  <si>
    <t>ANNUAL</t>
  </si>
  <si>
    <t>RECOVERY</t>
  </si>
  <si>
    <t>REMOVAL</t>
  </si>
  <si>
    <t>SALVAGE</t>
  </si>
  <si>
    <t>COMPOSITE</t>
  </si>
  <si>
    <t>ACCRUAL</t>
  </si>
  <si>
    <t>SURVIVOR</t>
  </si>
  <si>
    <t>REMAINING</t>
  </si>
  <si>
    <t>ACCOUNT</t>
  </si>
  <si>
    <t>PERCENT</t>
  </si>
  <si>
    <t>RATE %</t>
  </si>
  <si>
    <t>RATE</t>
  </si>
  <si>
    <t>CURVE</t>
  </si>
  <si>
    <t>LIFE</t>
  </si>
  <si>
    <t xml:space="preserve">DEPRECIABLE PLANT </t>
  </si>
  <si>
    <t>FRANCHISES AND CONSENTS</t>
  </si>
  <si>
    <t>20-SQ</t>
  </si>
  <si>
    <t>MISCELLANEOUS INTANGIBLE PLANT</t>
  </si>
  <si>
    <t>5-SQ</t>
  </si>
  <si>
    <t>CCS SOFTWARE</t>
  </si>
  <si>
    <t>SQUARE</t>
  </si>
  <si>
    <t xml:space="preserve">    TOTAL INTANGIBLE PLANT </t>
  </si>
  <si>
    <t xml:space="preserve">STEAM PRODUCTION PLANT </t>
  </si>
  <si>
    <t xml:space="preserve">STRUCTURES AND IMPROVEMENTS                   </t>
  </si>
  <si>
    <t xml:space="preserve">  TRIMBLE COUNTY UNIT 2</t>
  </si>
  <si>
    <t>100-S1</t>
  </si>
  <si>
    <t xml:space="preserve">  TRIMBLE COUNTY UNIT 2 SCRUBBER</t>
  </si>
  <si>
    <t xml:space="preserve">  SYSTEM LABORATORY</t>
  </si>
  <si>
    <t xml:space="preserve">  TYRONE UNIT 3</t>
  </si>
  <si>
    <t xml:space="preserve">-  </t>
  </si>
  <si>
    <t xml:space="preserve">-     </t>
  </si>
  <si>
    <t xml:space="preserve">  TYRONE UNITS 1 AND 2</t>
  </si>
  <si>
    <t>FUL. ACC.</t>
  </si>
  <si>
    <t xml:space="preserve">  GREEN RIVER UNIT 3</t>
  </si>
  <si>
    <t xml:space="preserve">  GREEN RIVER UNIT 4</t>
  </si>
  <si>
    <t xml:space="preserve">  GREEN RIVER UNITS 1 AND 2</t>
  </si>
  <si>
    <t xml:space="preserve">  BROWN UNIT 1</t>
  </si>
  <si>
    <t xml:space="preserve">  BROWN UNIT 2</t>
  </si>
  <si>
    <t xml:space="preserve">  BROWN UNIT 3</t>
  </si>
  <si>
    <t xml:space="preserve">  BROWN UNIT 1, 2 AND 3 SCRUBBER</t>
  </si>
  <si>
    <t xml:space="preserve">  PINEVILLE UNIT 3</t>
  </si>
  <si>
    <t xml:space="preserve">  GHENT UNIT 1 SCRUBBER</t>
  </si>
  <si>
    <t xml:space="preserve">  GHENT UNIT 1  </t>
  </si>
  <si>
    <t xml:space="preserve">  GHENT UNIT 2</t>
  </si>
  <si>
    <t xml:space="preserve">  GHENT UNIT 3</t>
  </si>
  <si>
    <t xml:space="preserve">  GHENT UNIT 4</t>
  </si>
  <si>
    <t xml:space="preserve">  GHENT UNIT 2 SCRUBBER</t>
  </si>
  <si>
    <t>TOTAL ACCOUNT 311 - STRUCTURES AND IMPROVEMENTS</t>
  </si>
  <si>
    <t xml:space="preserve">BOILER PLANT EQUIPMENT </t>
  </si>
  <si>
    <t>60-R2.5</t>
  </si>
  <si>
    <t xml:space="preserve">  GHENT UNIT 3 SCRUBBER</t>
  </si>
  <si>
    <t xml:space="preserve">  GHENT UNIT 4 SCRUBBER</t>
  </si>
  <si>
    <t>TOTAL ACCOUNT 312 - BOILER PLANT EQUIPMENT</t>
  </si>
  <si>
    <t xml:space="preserve">TURBOGENERATOR UNITS </t>
  </si>
  <si>
    <t>55-S1.5</t>
  </si>
  <si>
    <t>TOTAL ACCOUNT 314 - TURBOGENERATOR UNITS</t>
  </si>
  <si>
    <t xml:space="preserve">ACCESSORY ELECTRIC EQUIPMENT </t>
  </si>
  <si>
    <t>70-S3</t>
  </si>
  <si>
    <t>TOTAL ACCOUNT 315 - ACCESSORY ELECTRIC EQUIPMENT</t>
  </si>
  <si>
    <t xml:space="preserve">MISCELLANEOUS POWER PLANT EQUIPMENT </t>
  </si>
  <si>
    <t>70-R1.5</t>
  </si>
  <si>
    <t>TOTAL ACCOUNT 316 - MISCELLANEOUS POWER PLANT EQUIPMENT</t>
  </si>
  <si>
    <t xml:space="preserve">    TOTAL STEAM PRODUCTION PLANT </t>
  </si>
  <si>
    <t>LAND RIGHTS</t>
  </si>
  <si>
    <t xml:space="preserve">  DIX DAM  </t>
  </si>
  <si>
    <t>100-R4</t>
  </si>
  <si>
    <t>TOTAL ACCOUNT 330.1 - LAND RIGHTS</t>
  </si>
  <si>
    <t>STRUCTURES AND IMPROVEMENTS</t>
  </si>
  <si>
    <t xml:space="preserve">  DIX DAM                  </t>
  </si>
  <si>
    <t>90-S2.5</t>
  </si>
  <si>
    <t>TOTAL ACCOUNT 331 - STRUCTURES AND IMPROVEMENTS</t>
  </si>
  <si>
    <t>RESERVOIRS, DAMS AND WATERWAY</t>
  </si>
  <si>
    <t>100-S2.5</t>
  </si>
  <si>
    <t>TOTAL ACCOUNT 332 - RESERVOIRS, DAMS AND WATERWAYS</t>
  </si>
  <si>
    <t>WATER WHEELS, TURBINES AND GENERATORS</t>
  </si>
  <si>
    <t xml:space="preserve">  DIX DAM                   </t>
  </si>
  <si>
    <t>75-R3</t>
  </si>
  <si>
    <t>TOTAL ACCOUNT 333 - WATER WHEELS, TURBINES AND GENERATORS</t>
  </si>
  <si>
    <t>ACCESSORY ELECTRIC EQUIPMENT</t>
  </si>
  <si>
    <t>40-L2.5</t>
  </si>
  <si>
    <t>TOTAL ACCOUNT 334 - ACCESSORY ELECTRIC EQUIPMENT</t>
  </si>
  <si>
    <t>MISCELLANEOUS POWER PLANT EQUIPMENT</t>
  </si>
  <si>
    <t>35-L1</t>
  </si>
  <si>
    <t>TOTAL ACCOUNT 335 - MISCELLANEOUS POWER PLANT EQUIPMENT</t>
  </si>
  <si>
    <t>ROADS, RAILROADS AND BRIDGES</t>
  </si>
  <si>
    <t>55-R4</t>
  </si>
  <si>
    <t>TOTAL ACCOUNT 336 - ROADS, RAILROADS AND BRIDGES</t>
  </si>
  <si>
    <t xml:space="preserve">    TOTAL HYDRAULIC PRODUCTION PLANT </t>
  </si>
  <si>
    <t xml:space="preserve">  BROWN CT UNIT 9 GAS PIPE</t>
  </si>
  <si>
    <t>TOTAL ACCOUNT 340.1 - LAND RIGHTS</t>
  </si>
  <si>
    <t xml:space="preserve">  TRIMBLE COUNTY CT 5</t>
  </si>
  <si>
    <t>40-R2.5</t>
  </si>
  <si>
    <t xml:space="preserve">  TRIMBLE COUNTY CT 6</t>
  </si>
  <si>
    <t xml:space="preserve">  TRIMBLE COUNTY CT 7</t>
  </si>
  <si>
    <t xml:space="preserve">  TRIMBLE COUNTY CT 8</t>
  </si>
  <si>
    <t xml:space="preserve">  TRIMBLE COUNTY CT 9</t>
  </si>
  <si>
    <t xml:space="preserve">  TRIMBLE COUNTY CT 10</t>
  </si>
  <si>
    <t xml:space="preserve">  BROWN CT 5</t>
  </si>
  <si>
    <t xml:space="preserve">  BROWN CT 6</t>
  </si>
  <si>
    <t xml:space="preserve">  BROWN CT 7</t>
  </si>
  <si>
    <t xml:space="preserve">  BROWN CT 8</t>
  </si>
  <si>
    <t xml:space="preserve">  BROWN CT 9</t>
  </si>
  <si>
    <t xml:space="preserve">  BROWN CT 10</t>
  </si>
  <si>
    <t xml:space="preserve">  BROWN CT 11</t>
  </si>
  <si>
    <t xml:space="preserve">  HAEFLING UNITS 1, 2 AND 3</t>
  </si>
  <si>
    <t xml:space="preserve">  PADDY'S RUN GENERATOR 13</t>
  </si>
  <si>
    <t>TOTAL ACCOUNT 341 - STRUCTURES AND IMPROVEMENTS</t>
  </si>
  <si>
    <t>FUEL HOLDERS, PRODUCERS AND ACCESSORIES</t>
  </si>
  <si>
    <t>45-R2.5</t>
  </si>
  <si>
    <t xml:space="preserve">  TRIMBLE COUNTY CT PIPELINE</t>
  </si>
  <si>
    <t>TOTAL ACCOUNT 342 - FUEL HOLDERS, PRODUCERS AND ACCESSORIES</t>
  </si>
  <si>
    <t>PRIME MOVERS</t>
  </si>
  <si>
    <t>35-R1.5</t>
  </si>
  <si>
    <t>TOTAL ACCOUNT 343 - PRIME MOVERS</t>
  </si>
  <si>
    <t xml:space="preserve">GENERATORS                                    </t>
  </si>
  <si>
    <t>55-S3</t>
  </si>
  <si>
    <t>TOTAL ACCOUNT 344 - GENERATORS</t>
  </si>
  <si>
    <t xml:space="preserve">ACCESSORY ELECTRIC EQUIPMENT                  </t>
  </si>
  <si>
    <t>45-R3</t>
  </si>
  <si>
    <t>TOTAL ACCOUNT 345 - ACCESSORY ELECTRIC EQUIPMENT</t>
  </si>
  <si>
    <t xml:space="preserve">MISCELLANEOUS POWER PLANT EQUIPMENT                 </t>
  </si>
  <si>
    <t>35-R2</t>
  </si>
  <si>
    <t>TOTAL ACCOUNT 346 - MISCELLANEOUS POWER PLANT EQUIPMENT</t>
  </si>
  <si>
    <t xml:space="preserve">    TOTAL OTHER PRODUCTION PLANT </t>
  </si>
  <si>
    <t xml:space="preserve">TRANSMISSION PLANT </t>
  </si>
  <si>
    <t xml:space="preserve">LAND RIGHTS        </t>
  </si>
  <si>
    <t>60-R3</t>
  </si>
  <si>
    <t>STRUCTURES AND IMPROVEMENTS - NON SYS CONTROL/COM</t>
  </si>
  <si>
    <t>65-S2.5</t>
  </si>
  <si>
    <t xml:space="preserve">STRUCTURES AND IMPROVEMENTS - SYS CONTROL/COM  </t>
  </si>
  <si>
    <t xml:space="preserve">STATION EQUIPMENT - NON SYS CONTROL/COM      </t>
  </si>
  <si>
    <t>60-R2</t>
  </si>
  <si>
    <t xml:space="preserve">STATION EQUIPMENT - SYS CONTROL/COM          </t>
  </si>
  <si>
    <t>35-R2.5</t>
  </si>
  <si>
    <t xml:space="preserve">TOWERS AND FIXTURES                          </t>
  </si>
  <si>
    <t>70-R4</t>
  </si>
  <si>
    <t xml:space="preserve">POLES AND FIXTURES                           </t>
  </si>
  <si>
    <t>55-R2</t>
  </si>
  <si>
    <t xml:space="preserve">OVERHEAD CONDUCTORS AND DEVICES              </t>
  </si>
  <si>
    <t xml:space="preserve">UNDERGROUND CONDUIT                          </t>
  </si>
  <si>
    <t>45-R4</t>
  </si>
  <si>
    <t xml:space="preserve">UNDERGROUND CONDUCTORS AND DEVICES           </t>
  </si>
  <si>
    <t>35-R3</t>
  </si>
  <si>
    <t xml:space="preserve">    TOTAL TRANSMISSION PLANT </t>
  </si>
  <si>
    <t xml:space="preserve">DISTRIBUTION PLANT </t>
  </si>
  <si>
    <t xml:space="preserve">LAND RIGHTS               </t>
  </si>
  <si>
    <t>65-R4</t>
  </si>
  <si>
    <t xml:space="preserve">STRUCTURES AND IMPROVEMENTS         </t>
  </si>
  <si>
    <t xml:space="preserve">STATION EQUIPMENT                  </t>
  </si>
  <si>
    <t>54-R2</t>
  </si>
  <si>
    <t xml:space="preserve">POLES, TOWERS AND FIXTURES        </t>
  </si>
  <si>
    <t>50-R1</t>
  </si>
  <si>
    <t xml:space="preserve">OVERHEAD CONDUCTORS AND DEVICES    </t>
  </si>
  <si>
    <t>48-R1.5</t>
  </si>
  <si>
    <t xml:space="preserve">UNDERGROUND CONDUIT                 </t>
  </si>
  <si>
    <t>50-R4</t>
  </si>
  <si>
    <t xml:space="preserve">UNDERGROUND CONDUCTORS AND DEVICES </t>
  </si>
  <si>
    <t>44-R2</t>
  </si>
  <si>
    <t xml:space="preserve">LINE TRANSFORMERS                  </t>
  </si>
  <si>
    <t>43-R2</t>
  </si>
  <si>
    <t xml:space="preserve">SERVICES                           </t>
  </si>
  <si>
    <t>43-R1.5</t>
  </si>
  <si>
    <t xml:space="preserve">METERS                             </t>
  </si>
  <si>
    <t>39-R2</t>
  </si>
  <si>
    <t xml:space="preserve">INSTALLATIONS ON CUSTOMER PREMISES </t>
  </si>
  <si>
    <t>25-O1</t>
  </si>
  <si>
    <t xml:space="preserve">STREET LIGHTING AND SIGNAL SYSTEMS </t>
  </si>
  <si>
    <t>28-S0</t>
  </si>
  <si>
    <t xml:space="preserve">    TOTAL DISTRIBUTION PLANT </t>
  </si>
  <si>
    <t xml:space="preserve">GENERAL PLANT </t>
  </si>
  <si>
    <t>STRUCTURES AND IMPROVEMENTS - TO OWNED PROPERTY</t>
  </si>
  <si>
    <t>55-S0</t>
  </si>
  <si>
    <t>STRUCTURES AND IMPROVEMENTS - LEASEHOLDS</t>
  </si>
  <si>
    <t>30-R1</t>
  </si>
  <si>
    <t xml:space="preserve">OFFICE FURNITURE AND EQUIPMENT               </t>
  </si>
  <si>
    <t xml:space="preserve">NON PC COMPUTER EQUIPMENT                    </t>
  </si>
  <si>
    <t>PERSONAL COMPUTERS</t>
  </si>
  <si>
    <t>4-SQ</t>
  </si>
  <si>
    <t>TRANSPORTATION EQUIPMENT - CARS AND LIGHT TRUCKS</t>
  </si>
  <si>
    <t>7-L2.5</t>
  </si>
  <si>
    <t>TRANSPORTATION EQUIPMENT - HEAVY TRUCKS AND OTHER</t>
  </si>
  <si>
    <t>14-S1.5</t>
  </si>
  <si>
    <t xml:space="preserve">STORES EQUIPMENT                             </t>
  </si>
  <si>
    <t>25-SQ</t>
  </si>
  <si>
    <t xml:space="preserve">TOOLS, SHOP AND GARAGE EQUIPMENT             </t>
  </si>
  <si>
    <t xml:space="preserve">POWER OPERATED EQUIPMENT - LARGE MACHINERY            </t>
  </si>
  <si>
    <t>12-L1.5</t>
  </si>
  <si>
    <t>COMMUNICATION EQUIPMENT - MICROWAVE ASSETS</t>
  </si>
  <si>
    <t>10-SQ</t>
  </si>
  <si>
    <t>COMMUNICATION EQUIPMENT - GENERAL ASSETS</t>
  </si>
  <si>
    <t>25-S1</t>
  </si>
  <si>
    <t>COMMUNICATION EQUIPMENT - FULLY ACCRUED</t>
  </si>
  <si>
    <t>DSM EQUIPMENT</t>
  </si>
  <si>
    <t xml:space="preserve">    TOTAL GENERAL PLANT </t>
  </si>
  <si>
    <t xml:space="preserve">    TOTAL DEPRECIABLE PLANT </t>
  </si>
  <si>
    <t>5-SQ, SQUARE</t>
  </si>
  <si>
    <t xml:space="preserve">WORKPAPER REFERENCE NO(S).: </t>
  </si>
  <si>
    <t>ARO amounts excluded from rate base</t>
  </si>
  <si>
    <t>ALLOWANCE FOR WORKING CAPITAL</t>
  </si>
  <si>
    <t>SCHEDULE B-5</t>
  </si>
  <si>
    <t>WORKING CAPITAL COMPONENT</t>
  </si>
  <si>
    <t>DESCRIPTION OF METHODOLOGY USED TO DETERMINE JURISDICTIONAL REQUIREMENT</t>
  </si>
  <si>
    <t>JURISDICTIONAL AMOUNT</t>
  </si>
  <si>
    <t>FUEL STOCK</t>
  </si>
  <si>
    <t>MATERIAL AND SUPPLIES</t>
  </si>
  <si>
    <t>CASH WORKING CAPITAL</t>
  </si>
  <si>
    <t>TOTAL WORKING CAPITAL REQUIREMENTS</t>
  </si>
  <si>
    <t>PREPAYMENTS (a)</t>
  </si>
  <si>
    <t>(a) Excludes PSC fees.</t>
  </si>
  <si>
    <t>13 MONTH AVERAGE BALANCE</t>
  </si>
  <si>
    <t>B-5.1</t>
  </si>
  <si>
    <t>B-5.2</t>
  </si>
  <si>
    <t>1/8 O&amp;M METHOD LESS PURCHASED POWER EXPENSE</t>
  </si>
  <si>
    <t>SCHEDULE B-5.1</t>
  </si>
  <si>
    <t>13 MONTH AVERAGE FOR PERIOD</t>
  </si>
  <si>
    <t>TOTAL OTHER WORKING CAPITAL</t>
  </si>
  <si>
    <t>OTHER WORKING CAPITAL COMPONENTS</t>
  </si>
  <si>
    <t>CASH WORKING CAPITAL COMPONENTS</t>
  </si>
  <si>
    <t>SCHEDULE B-5.2</t>
  </si>
  <si>
    <t>ELECTRIC POWER PURCHASED</t>
  </si>
  <si>
    <t>O&amp;M LESS PURCHASE POWER EXPENSE (LINE 1 - 2)</t>
  </si>
  <si>
    <t>CASH WORKING CAPITAL (12.5% OF LINE 3)</t>
  </si>
  <si>
    <t>SCHEDULE B-6</t>
  </si>
  <si>
    <t>CERTAIN DEFERRED CREDITS AND ACCUMULATED DEFERRED INCOME TAXES</t>
  </si>
  <si>
    <t>Deferred Investment Tax Credits</t>
  </si>
  <si>
    <t>UTILITY PLANT</t>
  </si>
  <si>
    <t>CURRENT AND ACCRUED ASSETS</t>
  </si>
  <si>
    <t>Total Current and Accrued Assets</t>
  </si>
  <si>
    <t>PROPRIETARY CAPITAL</t>
  </si>
  <si>
    <t>LONG-TERM DEBT</t>
  </si>
  <si>
    <t>CURRENT AND ACCRUED LIABILITIES</t>
  </si>
  <si>
    <t>Total Current and Accrued Liabilities</t>
  </si>
  <si>
    <t>DEFERRED CREDITS</t>
  </si>
  <si>
    <t>Total Deferred Credits</t>
  </si>
  <si>
    <t>190, 282, 283</t>
  </si>
  <si>
    <t>FORECAST PERIOD TOTAL COMPANY</t>
  </si>
  <si>
    <t>DESCRIPTION OF FACTORS AND/OR METHOD OF ALLOCATION</t>
  </si>
  <si>
    <t>SCHEDULE B-7</t>
  </si>
  <si>
    <t>JURISDICTIONAL PERCENTAGE</t>
  </si>
  <si>
    <t>COMPARATIVE BALANCE SHEETS</t>
  </si>
  <si>
    <t xml:space="preserve">WORKPAPER REFERENCE NO(S).:  </t>
  </si>
  <si>
    <t>Utility Plant</t>
  </si>
  <si>
    <t>Total Deferred Debits</t>
  </si>
  <si>
    <t>Total Assets</t>
  </si>
  <si>
    <t>SCHEDULE B-8</t>
  </si>
  <si>
    <t>FORECAST</t>
  </si>
  <si>
    <t>PERIOD</t>
  </si>
  <si>
    <t>% CHANGE</t>
  </si>
  <si>
    <t>BASE</t>
  </si>
  <si>
    <t>LINE</t>
  </si>
  <si>
    <t>NO.</t>
  </si>
  <si>
    <t>SCHEDULE B-7.1</t>
  </si>
  <si>
    <t>JURISDICTIONAL STATISTICS - RATE BASE</t>
  </si>
  <si>
    <t>STATISTIC TOTAL COMPANY</t>
  </si>
  <si>
    <t>ADJUSTMENT TO TOTAL COMPANY STATISTIC</t>
  </si>
  <si>
    <t>ADJUSTED STATISTIC FOR TOTAL COMPANY</t>
  </si>
  <si>
    <t>(E=C+D)</t>
  </si>
  <si>
    <t>ALLOCATION FACTOR %</t>
  </si>
  <si>
    <t>(G=F/E)</t>
  </si>
  <si>
    <t>PROCEDURES APPROVED IN PRIOR CASE</t>
  </si>
  <si>
    <t>RATIONALE FOR CHANGE</t>
  </si>
  <si>
    <t>EXPLANATION OF CHANGES IN JURISDICTIONAL PROCEDURES - RATE BASE</t>
  </si>
  <si>
    <t>SCHEDULE B-7.2</t>
  </si>
  <si>
    <t>13 MO AVG</t>
  </si>
  <si>
    <t>Ending CWIP</t>
  </si>
  <si>
    <t xml:space="preserve">   KU Distribution - KY </t>
  </si>
  <si>
    <t xml:space="preserve">   KU Distribution - VA </t>
  </si>
  <si>
    <t xml:space="preserve">   KU General - KY </t>
  </si>
  <si>
    <t xml:space="preserve">   KU General - VA </t>
  </si>
  <si>
    <t xml:space="preserve">   KU Hydro Production </t>
  </si>
  <si>
    <t xml:space="preserve">   KU Intangible - KY </t>
  </si>
  <si>
    <t xml:space="preserve">   KU Land - KY </t>
  </si>
  <si>
    <t xml:space="preserve">   KU Other Production </t>
  </si>
  <si>
    <t xml:space="preserve">   KU Steam Production </t>
  </si>
  <si>
    <t xml:space="preserve">   KU Steam Production ECR 2009 </t>
  </si>
  <si>
    <t xml:space="preserve">   KU Steam Production ECR 2011 </t>
  </si>
  <si>
    <t xml:space="preserve">   KU Steam Production ECR Future Plan </t>
  </si>
  <si>
    <t xml:space="preserve">   KU Transmission - KY </t>
  </si>
  <si>
    <t xml:space="preserve">   KU Transmission - VA </t>
  </si>
  <si>
    <t xml:space="preserve">   KY CWIP &amp; RWIP Total </t>
  </si>
  <si>
    <t>CWIP FERC AFUDC - POST</t>
  </si>
  <si>
    <t>Ending RWIP</t>
  </si>
  <si>
    <t>(a) Excludes ECR amounts.</t>
  </si>
  <si>
    <t>OPERATING AND MAINTENANCE EXPENSE (a)</t>
  </si>
  <si>
    <t>ASSETS</t>
  </si>
  <si>
    <t>Total Utility Plant</t>
  </si>
  <si>
    <t>Less: Accumulated Provision for Depreciation</t>
  </si>
  <si>
    <t>Net Utility Plant</t>
  </si>
  <si>
    <t>OTHER PROPERTY AND INVESTMENTS</t>
  </si>
  <si>
    <t>Nonutility Property-Less Reserve</t>
  </si>
  <si>
    <t>Investment in Subsidiary Companies</t>
  </si>
  <si>
    <t>Other Investments</t>
  </si>
  <si>
    <t>Special Funds</t>
  </si>
  <si>
    <t>Total Other Property and Investments</t>
  </si>
  <si>
    <t>Cash</t>
  </si>
  <si>
    <t>Special Deposits</t>
  </si>
  <si>
    <t>Working Funds</t>
  </si>
  <si>
    <t>Temporary Cash Investments</t>
  </si>
  <si>
    <t>Customer Accounts Receivable</t>
  </si>
  <si>
    <t>Other Accounts Receivable</t>
  </si>
  <si>
    <t>Less: Accum Prov. for Uncollectable Accts-Credit</t>
  </si>
  <si>
    <t>Accounts Receivable from Associated Companies</t>
  </si>
  <si>
    <t>Fuel</t>
  </si>
  <si>
    <t>Plant Materials and Operating Supplies</t>
  </si>
  <si>
    <t>Allowances</t>
  </si>
  <si>
    <t>Stores Expense Undistributed</t>
  </si>
  <si>
    <t>Prepayments</t>
  </si>
  <si>
    <t>Accrued Utility Revenues</t>
  </si>
  <si>
    <t>Miscellaneous Current Assets</t>
  </si>
  <si>
    <t>DEFERRED DEBITS</t>
  </si>
  <si>
    <t>Unamortized Debt Expense</t>
  </si>
  <si>
    <t>Other Regulatory Assets</t>
  </si>
  <si>
    <t>Preliminary Survey and Inventory</t>
  </si>
  <si>
    <t>Clearing Accounts</t>
  </si>
  <si>
    <t>Miscellaneous Deferred Debits</t>
  </si>
  <si>
    <t>Unamortized Loss on Re-Acquired Debt</t>
  </si>
  <si>
    <t>Accumulated Deferred Income Taxes</t>
  </si>
  <si>
    <t>LIABILITIES &amp; PROPRIETARY CAPITAL</t>
  </si>
  <si>
    <t>Common Stock Issued</t>
  </si>
  <si>
    <t>Paid in Capital</t>
  </si>
  <si>
    <t>(Less) Capital Stock Expense</t>
  </si>
  <si>
    <t>Other Comprehensive Income</t>
  </si>
  <si>
    <t>Retained Earnings</t>
  </si>
  <si>
    <t>Unappropriated Undistributed Subsidiary Earnings</t>
  </si>
  <si>
    <t>Total Proprietary Capital</t>
  </si>
  <si>
    <t>Bonds</t>
  </si>
  <si>
    <t>Unamortized Discount on Long-Term Debt</t>
  </si>
  <si>
    <t>Total Long-Term Debt</t>
  </si>
  <si>
    <t>OTHER NON-CURRENT LIABILITIES</t>
  </si>
  <si>
    <t>Accumulated Provision for Injuries and Damages</t>
  </si>
  <si>
    <t>Accumulated Provision for Pensions and Benefits</t>
  </si>
  <si>
    <t>Total Other Non-Current Liabilities</t>
  </si>
  <si>
    <t>Accounts Payable</t>
  </si>
  <si>
    <t>Accounts Payable to Associated Companies</t>
  </si>
  <si>
    <t>Customer Deposits</t>
  </si>
  <si>
    <t>Taxes Accrued</t>
  </si>
  <si>
    <t>Interest Accrued</t>
  </si>
  <si>
    <t>Tax Collections Payable</t>
  </si>
  <si>
    <t>Miscellaneous Current and Accrued Liabilities</t>
  </si>
  <si>
    <t>Accumulated Deferred Investment Tax Credits</t>
  </si>
  <si>
    <t>Other Deferred Credits</t>
  </si>
  <si>
    <t>Other Regulatory Liabilities</t>
  </si>
  <si>
    <t>Asset Retirement Obligation</t>
  </si>
  <si>
    <t>Miscellaneous Long-Term Liabilities</t>
  </si>
  <si>
    <t>Total Liabilities and Stockholders Equity</t>
  </si>
  <si>
    <t>Notes Payable</t>
  </si>
  <si>
    <t>Notes Payable to Associated Companies</t>
  </si>
  <si>
    <t>Long-Term Debt to Associated Companies</t>
  </si>
  <si>
    <t>B-1</t>
  </si>
  <si>
    <t>B-2.1</t>
  </si>
  <si>
    <t>B-2.2</t>
  </si>
  <si>
    <t>B-2.3</t>
  </si>
  <si>
    <t>B-2.4</t>
  </si>
  <si>
    <t>B-2.5</t>
  </si>
  <si>
    <t>B-3.1</t>
  </si>
  <si>
    <t>B-4.1</t>
  </si>
  <si>
    <t>B-7</t>
  </si>
  <si>
    <t>B-7.1</t>
  </si>
  <si>
    <t>B-7.2</t>
  </si>
  <si>
    <t>SCHEDULE</t>
  </si>
  <si>
    <t>B-2.7</t>
  </si>
  <si>
    <t>B-8</t>
  </si>
  <si>
    <t>ACQUISITION COST</t>
  </si>
  <si>
    <t>13 MO AVG PLANT INVESTMENT</t>
  </si>
  <si>
    <t>13 MO AVG ACCUMULATED BALANCE</t>
  </si>
  <si>
    <t>Non-utility property not included in rate base</t>
  </si>
  <si>
    <t>ACCRUAL RATE (1)</t>
  </si>
  <si>
    <t>Notes:</t>
  </si>
  <si>
    <t>Accrual Rates reflect depreciation rates approved in Case No. 2012-00549.</t>
  </si>
  <si>
    <t>THE COMPANY DOES NOT HAVE ANY CAPITAL LEASES.</t>
  </si>
  <si>
    <t>THE COMPANY HAS NOT MERGED OR ACQUIRED PROPERTY FROM OTHER THAN AFFILIATED COMPANIES.</t>
  </si>
  <si>
    <t>SCHEDULE  B</t>
  </si>
  <si>
    <t>JURISDICTIONAL RATE BASE SUMMARY FOR THE BASE AND FORECASTED PERIOD</t>
  </si>
  <si>
    <t>BASE PERIOD:</t>
  </si>
  <si>
    <t>FORECASTED TEST PERIOD:</t>
  </si>
  <si>
    <t>RATE BASE SUMMARY</t>
  </si>
  <si>
    <t>PLANT IN SERVICE BY MAJOR GROUPING</t>
  </si>
  <si>
    <t>GROSS ADDITIONS, RETIREMENTS AND TRANSFERS</t>
  </si>
  <si>
    <t>DEFERRED CREDITS AND ACCUMULATED DEFERRED INCOME TAXES</t>
  </si>
  <si>
    <t>JURISDICTIONAL PERCENTAGES</t>
  </si>
  <si>
    <t>EXPLANATION OF CHANGES IN JURISDICTIONAL PROCEDURES</t>
  </si>
  <si>
    <t xml:space="preserve">Augusta </t>
  </si>
  <si>
    <t>Blackmount Substation</t>
  </si>
  <si>
    <t>Campbellsville</t>
  </si>
  <si>
    <t>Carrollton</t>
  </si>
  <si>
    <t>Cumberland Substation</t>
  </si>
  <si>
    <t>Graham Generating Plant</t>
  </si>
  <si>
    <t>Iron Works Pike Substation</t>
  </si>
  <si>
    <t>Lexington Generating Plant</t>
  </si>
  <si>
    <t>Lexington</t>
  </si>
  <si>
    <t>Middlesboro</t>
  </si>
  <si>
    <t>Nortonville</t>
  </si>
  <si>
    <t>Pineville</t>
  </si>
  <si>
    <t>Polo Club Distribution Substation</t>
  </si>
  <si>
    <t>Williamsburg</t>
  </si>
  <si>
    <t>Retired Great Crossing substation 0672</t>
  </si>
  <si>
    <t>Retired London Substation 0533</t>
  </si>
  <si>
    <t>Richmond Substation</t>
  </si>
  <si>
    <t>Richmond Valley View Plant Site</t>
  </si>
  <si>
    <t>Russell Springs</t>
  </si>
  <si>
    <t>Salt Lick</t>
  </si>
  <si>
    <t>Stamping Ground</t>
  </si>
  <si>
    <t>Winchester</t>
  </si>
  <si>
    <t>Graham Generating Plant - Land Rights</t>
  </si>
  <si>
    <t>Morehead - Land Rights</t>
  </si>
  <si>
    <t>Nortonville - Land Rights</t>
  </si>
  <si>
    <t>Williamsburg - Land Rights</t>
  </si>
  <si>
    <t>Land and Land Rights:</t>
  </si>
  <si>
    <t>Land and site prep located at Pennington Gap intended for Substation</t>
  </si>
  <si>
    <t>301</t>
  </si>
  <si>
    <t>Organization</t>
  </si>
  <si>
    <t>302</t>
  </si>
  <si>
    <t>Franchises and Consents</t>
  </si>
  <si>
    <t>303</t>
  </si>
  <si>
    <t>Misc Intangible Plant</t>
  </si>
  <si>
    <t>310</t>
  </si>
  <si>
    <t>311</t>
  </si>
  <si>
    <t>312</t>
  </si>
  <si>
    <t>Boiler Plant Equipment</t>
  </si>
  <si>
    <t>314</t>
  </si>
  <si>
    <t>Turbogenerator Units</t>
  </si>
  <si>
    <t>315</t>
  </si>
  <si>
    <t>Accessory Electric Equipment</t>
  </si>
  <si>
    <t>316</t>
  </si>
  <si>
    <t>Misc Power Plant Equip</t>
  </si>
  <si>
    <t>317</t>
  </si>
  <si>
    <t>330</t>
  </si>
  <si>
    <t>331</t>
  </si>
  <si>
    <t>332</t>
  </si>
  <si>
    <t>Reservoirs, Dams, and Water</t>
  </si>
  <si>
    <t>333</t>
  </si>
  <si>
    <t>Water Wheels, Turbines, Generators</t>
  </si>
  <si>
    <t>334</t>
  </si>
  <si>
    <t>335</t>
  </si>
  <si>
    <t>Misc Power Plant Equipment</t>
  </si>
  <si>
    <t>336</t>
  </si>
  <si>
    <t>Roads, Railroads, and Bridges</t>
  </si>
  <si>
    <t>337</t>
  </si>
  <si>
    <t>340</t>
  </si>
  <si>
    <t>341</t>
  </si>
  <si>
    <t>342</t>
  </si>
  <si>
    <t>Fuel Holders, Producers, Accessories</t>
  </si>
  <si>
    <t>343</t>
  </si>
  <si>
    <t>Prime Movers</t>
  </si>
  <si>
    <t>ARO Cost Steam Production</t>
  </si>
  <si>
    <t>ARO Cost Hydro Production</t>
  </si>
  <si>
    <t>344</t>
  </si>
  <si>
    <t>Generators</t>
  </si>
  <si>
    <t>345</t>
  </si>
  <si>
    <t>346</t>
  </si>
  <si>
    <t>347</t>
  </si>
  <si>
    <t>350</t>
  </si>
  <si>
    <t>352</t>
  </si>
  <si>
    <t>353</t>
  </si>
  <si>
    <t>354</t>
  </si>
  <si>
    <t>Towers and Fixtures</t>
  </si>
  <si>
    <t>355</t>
  </si>
  <si>
    <t>Poles and Fixtures</t>
  </si>
  <si>
    <t>356</t>
  </si>
  <si>
    <t>OH Conductors and Devices</t>
  </si>
  <si>
    <t>357</t>
  </si>
  <si>
    <t>Underground Conduit</t>
  </si>
  <si>
    <t>358</t>
  </si>
  <si>
    <t>UG Conductors and Devices</t>
  </si>
  <si>
    <t>359</t>
  </si>
  <si>
    <t>360</t>
  </si>
  <si>
    <t>361</t>
  </si>
  <si>
    <t>362</t>
  </si>
  <si>
    <t>Station Equipment</t>
  </si>
  <si>
    <t>364</t>
  </si>
  <si>
    <t>Poles, Towers, and Fixtures</t>
  </si>
  <si>
    <t>365</t>
  </si>
  <si>
    <t>366</t>
  </si>
  <si>
    <t>367</t>
  </si>
  <si>
    <t>368</t>
  </si>
  <si>
    <t>Line Transformers</t>
  </si>
  <si>
    <t>369</t>
  </si>
  <si>
    <t>Services</t>
  </si>
  <si>
    <t>370</t>
  </si>
  <si>
    <t>Meters</t>
  </si>
  <si>
    <t>371</t>
  </si>
  <si>
    <t>Install on Customer Premise</t>
  </si>
  <si>
    <t>373</t>
  </si>
  <si>
    <t>Street Lighting / Signal Systems</t>
  </si>
  <si>
    <t>374</t>
  </si>
  <si>
    <t>ARO Cost Other Production</t>
  </si>
  <si>
    <t>389</t>
  </si>
  <si>
    <t>390</t>
  </si>
  <si>
    <t>391</t>
  </si>
  <si>
    <t>392</t>
  </si>
  <si>
    <t>393</t>
  </si>
  <si>
    <t>Stores Equipment</t>
  </si>
  <si>
    <t>394</t>
  </si>
  <si>
    <t>Tools, Shop, and Garage Equipment</t>
  </si>
  <si>
    <t>395</t>
  </si>
  <si>
    <t>Laboratory Equipment</t>
  </si>
  <si>
    <t>396</t>
  </si>
  <si>
    <t>Power Operated Equipment</t>
  </si>
  <si>
    <t>397</t>
  </si>
  <si>
    <t>398</t>
  </si>
  <si>
    <t>Miscellaneous Equipment</t>
  </si>
  <si>
    <t>PRODUCTION</t>
  </si>
  <si>
    <t>ADJUSTMENTS TO CONSTRUCTION WORK IN PROGRESS</t>
  </si>
  <si>
    <t>SCHEDULE B-4.2</t>
  </si>
  <si>
    <t>Remove ECR CWIP</t>
  </si>
  <si>
    <t>Interest, Dividends and Rents Receivable</t>
  </si>
  <si>
    <t>Check</t>
  </si>
  <si>
    <t>13 Month Average</t>
  </si>
  <si>
    <t>CO</t>
  </si>
  <si>
    <t>ST</t>
  </si>
  <si>
    <t>ACCT</t>
  </si>
  <si>
    <t>Ending Gross Plant Balance</t>
  </si>
  <si>
    <t xml:space="preserve">   KU-1301 KY - Intangible - Organization </t>
  </si>
  <si>
    <t xml:space="preserve">   KU-1301 VA - Intangible - Organization </t>
  </si>
  <si>
    <t xml:space="preserve">   KU-1302 - Intangible - Franchises and Consents </t>
  </si>
  <si>
    <t xml:space="preserve">   KU-1303 - Intangible - Software </t>
  </si>
  <si>
    <t xml:space="preserve">   KU-1303 - Intangible - Software - CCS </t>
  </si>
  <si>
    <t xml:space="preserve">   KU-1310 - Steam Production - ECR 2009 </t>
  </si>
  <si>
    <t xml:space="preserve">   KU-1310 - Steam Production - ECR 2011 </t>
  </si>
  <si>
    <t xml:space="preserve">   KU-1310 - Steam Production - Land &amp; Land Rights </t>
  </si>
  <si>
    <t xml:space="preserve">   KU-1311 - Steam Production - ECR 2009 </t>
  </si>
  <si>
    <t xml:space="preserve">   KU-1311 - Steam Production - Structures and Improvements </t>
  </si>
  <si>
    <t xml:space="preserve">   KU-1312 - Steam Production - Boiler Plant Equipment </t>
  </si>
  <si>
    <t xml:space="preserve">   KU-1312 - Steam Production - ECR 2009 </t>
  </si>
  <si>
    <t xml:space="preserve">   KU-1312 - Steam Production - ECR 2011 </t>
  </si>
  <si>
    <t xml:space="preserve">   KU-1312 - Steam Production - ECR Future Plan </t>
  </si>
  <si>
    <t xml:space="preserve">   KU-1314 - Steam Production - Turbogenerator Units </t>
  </si>
  <si>
    <t xml:space="preserve">   KU-1315 - Steam Production - Accessory Electric Equipment </t>
  </si>
  <si>
    <t xml:space="preserve">   KU-1315 - Steam Production - ECR 2011 </t>
  </si>
  <si>
    <t xml:space="preserve">   KU-1316 - Steam Production - Misc Power Plant Equipment </t>
  </si>
  <si>
    <t xml:space="preserve">   KU-1317 - Steam Production - ARO </t>
  </si>
  <si>
    <t xml:space="preserve">   KU-1330 - Hydro Production - Land &amp; Land Rights </t>
  </si>
  <si>
    <t xml:space="preserve">   KU-1331 - Hydro Production - Structures and Improvements </t>
  </si>
  <si>
    <t xml:space="preserve">   KU-1332 - Hydro Production - Reservoirs, Dams, and Water </t>
  </si>
  <si>
    <t xml:space="preserve">   KU-1333 - Hydro Production - Water Wheels, Turbine Gen </t>
  </si>
  <si>
    <t xml:space="preserve">   KU-1334 - Hydro Production - Accessory Electric Equipment </t>
  </si>
  <si>
    <t xml:space="preserve">   KU-1335 - Hydro Production - Misc Power Plant Equipment </t>
  </si>
  <si>
    <t xml:space="preserve">   KU-1336 - Hydro Production - Roads, Railroads, and Bridges </t>
  </si>
  <si>
    <t xml:space="preserve">   KU-1337 - Hydro Production - ARO </t>
  </si>
  <si>
    <t xml:space="preserve">   KU-1340 - Other Production - Land &amp; Land Rights </t>
  </si>
  <si>
    <t xml:space="preserve">   KU-1341 - Other Production - Structures and Improvements </t>
  </si>
  <si>
    <t xml:space="preserve">   KU-1342 - Other Production - Fuel Holders, Producers, Acc </t>
  </si>
  <si>
    <t xml:space="preserve">   KU-1343 - Other Production - Prime Movers </t>
  </si>
  <si>
    <t xml:space="preserve">   KU-1344 - Other Production - Generators </t>
  </si>
  <si>
    <t xml:space="preserve">   KU-1345 - Other Production - Accessory Electric Equipment </t>
  </si>
  <si>
    <t xml:space="preserve">   KU-1346 - Other Production - Misc Power Plant Equipment </t>
  </si>
  <si>
    <t xml:space="preserve">   KU-1350 KY - Electric Transmission - Land &amp; Land Rights </t>
  </si>
  <si>
    <t xml:space="preserve">   KU-1350 TN - Electric Transmission - Land &amp; Land Rights </t>
  </si>
  <si>
    <t xml:space="preserve">   KU-1350 VA - Electric Transmission - Land &amp; Land Rights </t>
  </si>
  <si>
    <t xml:space="preserve">   KU-1352 - Electric Transmission - Structures and Improvements </t>
  </si>
  <si>
    <t xml:space="preserve">   KU-1352 KY - Electric Transmission - Structures and Improvements </t>
  </si>
  <si>
    <t xml:space="preserve">   KU-1352 VA - Electric Transmission - Structures and Improvements </t>
  </si>
  <si>
    <t xml:space="preserve">   KU-1353 KY - Electric Transmission - Station Equipment </t>
  </si>
  <si>
    <t xml:space="preserve">   KU-1353 SYSTEM - Electric Transmission - Station Equipment </t>
  </si>
  <si>
    <t xml:space="preserve">   KU-1353 VA - Electric Transmission - Station Equipment </t>
  </si>
  <si>
    <t xml:space="preserve">   KU-1354 KY - Electric Transmission - Towers and Fixtures </t>
  </si>
  <si>
    <t xml:space="preserve">   KU-1354 VA - Electric Transmission - Towers and Fixtures </t>
  </si>
  <si>
    <t xml:space="preserve">   KU-1355 KY - Electric Transmission - Poles and Fixtures </t>
  </si>
  <si>
    <t xml:space="preserve">   KU-1355 TN - Electric Transmission - Poles and Fixtures </t>
  </si>
  <si>
    <t xml:space="preserve">   KU-1355 VA - Electric Transmission - Poles and Fixtures </t>
  </si>
  <si>
    <t xml:space="preserve">   KU-1356 KY - Electric Transmission - OH Conductors and Devices </t>
  </si>
  <si>
    <t xml:space="preserve">   KU-1356 TN - Electric Transmission - OH Conductors and Devices </t>
  </si>
  <si>
    <t xml:space="preserve">   KU-1356 VA - Electric Transmission - OH Conductors and Devices </t>
  </si>
  <si>
    <t xml:space="preserve">   KU-1357 KY - Electric Transmission - Underground Conduit </t>
  </si>
  <si>
    <t xml:space="preserve">   KU-1358 KY - Electric Transmission - UG Conductors and Devices </t>
  </si>
  <si>
    <t xml:space="preserve">   KU-1359 - Electric Transmission - ARO </t>
  </si>
  <si>
    <t xml:space="preserve">   KU-1360 KY - Electric Distribution - Future Use </t>
  </si>
  <si>
    <t xml:space="preserve">   KU-1360 KY - Electric Distribution - Land &amp; Land Rights </t>
  </si>
  <si>
    <t xml:space="preserve">   KU-1360 TN - Electric Distribution - Land &amp; Land Rights </t>
  </si>
  <si>
    <t xml:space="preserve">   KU-1360 VA - Electric Distribution - Land &amp; Land Rights </t>
  </si>
  <si>
    <t xml:space="preserve">   KU-1361 KY - Electric Distribution - Structures and Improvements </t>
  </si>
  <si>
    <t xml:space="preserve">   KU-1361 TN - Electric Distribution - Structures and Improvements </t>
  </si>
  <si>
    <t xml:space="preserve">   KU-1361 VA - Electric Distribution - Structures and Improvements </t>
  </si>
  <si>
    <t xml:space="preserve">   KU-1362 KY - Electric Distribution - Station Equipment </t>
  </si>
  <si>
    <t xml:space="preserve">   KU-1362 TN - Electric Distribution - Station Equipment </t>
  </si>
  <si>
    <t xml:space="preserve">   KU-1362 VA - Electric Distribution - Station Equipment </t>
  </si>
  <si>
    <t xml:space="preserve">   KU-1364 KY - Electric Distribution - Poles, Towers, and Fixtures </t>
  </si>
  <si>
    <t xml:space="preserve">   KU-1364 TN - Electric Distribution - Poles, Towers, and Fixtures </t>
  </si>
  <si>
    <t xml:space="preserve">   KU-1364 VA - Electric Distribution - Poles, Towers, and Fixtures </t>
  </si>
  <si>
    <t xml:space="preserve">   KU-1365 KY - Electric Distribution - Overhead Conductor </t>
  </si>
  <si>
    <t xml:space="preserve">   KU-1365 TN - Electric Distribution - Overhead Conductor </t>
  </si>
  <si>
    <t xml:space="preserve">   KU-1365 VA - Electric Distribution - Overhead Conductor </t>
  </si>
  <si>
    <t xml:space="preserve">   KU-1366 KY - Electric Distribution - Underground Conduit </t>
  </si>
  <si>
    <t xml:space="preserve">   KU-1367 KY - Electric Distribution - Underground Conductors </t>
  </si>
  <si>
    <t xml:space="preserve">   KU-1367 VA - Electric Distribution - Underground Conductors </t>
  </si>
  <si>
    <t xml:space="preserve">   KU-1368 KY - Electric Distribution -  Line Transformers </t>
  </si>
  <si>
    <t xml:space="preserve">   KU-1368 TN - Electric Distribution -  Line Transformers </t>
  </si>
  <si>
    <t xml:space="preserve">   KU-1368 VA - Electric Distribution -  Line Transformers </t>
  </si>
  <si>
    <t xml:space="preserve">   KU-1369 KY - Electric Distribution - Services </t>
  </si>
  <si>
    <t xml:space="preserve">   KU-1369 TN - Electric Distribution - Services </t>
  </si>
  <si>
    <t xml:space="preserve">   KU-1369 VA - Electric Distribution - Services </t>
  </si>
  <si>
    <t xml:space="preserve">   KU-1370 KY - Electric Distribution - Meters </t>
  </si>
  <si>
    <t xml:space="preserve">   KU-1370 TN - Electric Distribution - Meters </t>
  </si>
  <si>
    <t xml:space="preserve">   KU-1370 VA - Electric Distribution - Meters </t>
  </si>
  <si>
    <t xml:space="preserve">   KU-1371 KY - Electric Distribution - Install on Customers </t>
  </si>
  <si>
    <t xml:space="preserve">   KU-1371 VA - Electric Distribution - Install on Customers </t>
  </si>
  <si>
    <t xml:space="preserve">   KU-1373 KY - Electric Distribution - Street Lighting and Sign </t>
  </si>
  <si>
    <t xml:space="preserve">   KU-1373 VA - Electric Distribution - Street Lighting and Sign </t>
  </si>
  <si>
    <t xml:space="preserve">   KU-1374 - Electric Distribution - ARO </t>
  </si>
  <si>
    <t xml:space="preserve">   KU-1389 KY - Electric General - Land &amp; Land Rights </t>
  </si>
  <si>
    <t xml:space="preserve">   KU-1389 VA - Electric General - Land &amp; Land Rights </t>
  </si>
  <si>
    <t xml:space="preserve">   KU-1390 - Electric General - Structures and Improvements </t>
  </si>
  <si>
    <t xml:space="preserve">   KU-1390 KY - Electric General - Structures and Improvements </t>
  </si>
  <si>
    <t xml:space="preserve">   KU-1390 VA - Electric General - Structures and Improvements </t>
  </si>
  <si>
    <t xml:space="preserve">   KU-1391 - Electric General - Office Equipment </t>
  </si>
  <si>
    <t xml:space="preserve">   KU-1391 KY - Electric General - Office Equipment </t>
  </si>
  <si>
    <t xml:space="preserve">   KU-1391 VA - Electric General - Office Equipment </t>
  </si>
  <si>
    <t xml:space="preserve">   KU-1392 - Electric General - ECR 2009 </t>
  </si>
  <si>
    <t xml:space="preserve">   KU-1392 KY - Electric General - Transportation Equipment </t>
  </si>
  <si>
    <t xml:space="preserve">   KU-1393 KY - Electric General - Stores Equipment </t>
  </si>
  <si>
    <t xml:space="preserve">   KU-1393 VA - Electric General - Stores Equipment </t>
  </si>
  <si>
    <t xml:space="preserve">   KU-1394 KY - Electric General - Tools, Shop, Garage Equipment </t>
  </si>
  <si>
    <t xml:space="preserve">   KU-1394 VA - Electric General - Tools, Shop, Garage Equipment </t>
  </si>
  <si>
    <t xml:space="preserve">   KU-1396 - Electric General - Power Operated Equipment </t>
  </si>
  <si>
    <t xml:space="preserve">   KU-1396 VA - Electric General - Power Operated Equipment </t>
  </si>
  <si>
    <t xml:space="preserve">   KU-1397 - Electric General - DSM </t>
  </si>
  <si>
    <t xml:space="preserve">   KU-1397 KY - Electric General - Communication Equipment </t>
  </si>
  <si>
    <t xml:space="preserve">   KU-1397 VA - Electric General - Communication Equipment </t>
  </si>
  <si>
    <t xml:space="preserve">   KU-1398 KY - Electric General - Miscellaneous Equipment </t>
  </si>
  <si>
    <t xml:space="preserve">   KU-3121 - Common Nonutility - Property </t>
  </si>
  <si>
    <t xml:space="preserve">   KY Plant Account Total </t>
  </si>
  <si>
    <t>Less: Retirements</t>
  </si>
  <si>
    <t>Ending Accum Depreciation</t>
  </si>
  <si>
    <t>Total Depreciation Expense</t>
  </si>
  <si>
    <t>LESS Adjustments:</t>
  </si>
  <si>
    <t>Adjusted KY Plant Total</t>
  </si>
  <si>
    <t>Less: Transfers/Adjustments</t>
  </si>
  <si>
    <t>3.9-7.5</t>
  </si>
  <si>
    <t>55-S0, 30-R1</t>
  </si>
  <si>
    <t>18.8-44.5</t>
  </si>
  <si>
    <t>4-SQ, 5-SQ, 20-SQ</t>
  </si>
  <si>
    <t>3.2-10.0</t>
  </si>
  <si>
    <t>7-L2.5, 14-S1.5</t>
  </si>
  <si>
    <t>6.3-12.3</t>
  </si>
  <si>
    <t>8.5-19.1</t>
  </si>
  <si>
    <t>10-SQ, 25-S1</t>
  </si>
  <si>
    <t>0%</t>
  </si>
  <si>
    <t>-1%,-2%,-3%,-4%,-5%,-11%</t>
  </si>
  <si>
    <t>REMAINING SERVICE LIFE</t>
  </si>
  <si>
    <t>-2%,-3%,-4%,-5%,-11%</t>
  </si>
  <si>
    <t>-2%,-3%</t>
  </si>
  <si>
    <t>SCH 7, 7.1, 7.2</t>
  </si>
  <si>
    <t>RATE BASE: THIRTEEN MONTH AVERAGE</t>
  </si>
  <si>
    <t>(000s)</t>
  </si>
  <si>
    <t>Kentucky Utilities </t>
  </si>
  <si>
    <t>ASSETS AND OTHER DEBITS</t>
  </si>
  <si>
    <t xml:space="preserve">     Utility Plant at Original Cost</t>
  </si>
  <si>
    <t xml:space="preserve">          101.0 - Plant in Service</t>
  </si>
  <si>
    <t xml:space="preserve">          101.1 - Plant in Service</t>
  </si>
  <si>
    <t xml:space="preserve">          105.0 Future use in plant</t>
  </si>
  <si>
    <t xml:space="preserve">          106.0 - Comp const not class</t>
  </si>
  <si>
    <t xml:space="preserve">          107.0 CWIP</t>
  </si>
  <si>
    <t xml:space="preserve">     Gross Utility Plant</t>
  </si>
  <si>
    <t xml:space="preserve">     Less Reserve for Depreciation and Amortization</t>
  </si>
  <si>
    <t xml:space="preserve">          108.0 - Accumulated provision for Depreciation</t>
  </si>
  <si>
    <t xml:space="preserve">          108.1 - Accumulated provision for Depr Elec Intangible NC</t>
  </si>
  <si>
    <t xml:space="preserve">          108.2 - Accumulated provision for Depr Elec ARO</t>
  </si>
  <si>
    <t xml:space="preserve">          111.1 - Accumulated provision for amortization</t>
  </si>
  <si>
    <t xml:space="preserve">          111.2 - Accumulated provision for Amort Elec Intangible NC</t>
  </si>
  <si>
    <t xml:space="preserve">          254.15 - Accumulated provision - Salvage</t>
  </si>
  <si>
    <t xml:space="preserve">          254.16 - Accumulated provision - COR BB</t>
  </si>
  <si>
    <t xml:space="preserve">          254.2 - Accumulated provision - COR</t>
  </si>
  <si>
    <t xml:space="preserve">     Accumulated Provision for Depreciation and Amortization</t>
  </si>
  <si>
    <t>Total Utility Net Plant</t>
  </si>
  <si>
    <t>INVESTMENTS</t>
  </si>
  <si>
    <t xml:space="preserve">     Investment in Subsidiary companies</t>
  </si>
  <si>
    <t xml:space="preserve">          123.0 - Invest in affl companies</t>
  </si>
  <si>
    <t xml:space="preserve">     Investment in Subsidiaries</t>
  </si>
  <si>
    <t xml:space="preserve">     Nonutility Property Less Reserve</t>
  </si>
  <si>
    <t xml:space="preserve">          121.0 - Nonutility property</t>
  </si>
  <si>
    <t xml:space="preserve">     Net nonutility property</t>
  </si>
  <si>
    <t xml:space="preserve">     Special Funds</t>
  </si>
  <si>
    <t>Total other Property and Investments</t>
  </si>
  <si>
    <t xml:space="preserve">     Cash</t>
  </si>
  <si>
    <t xml:space="preserve">          131.0 -  Cash</t>
  </si>
  <si>
    <t xml:space="preserve">     Special Deposits &amp; TCI</t>
  </si>
  <si>
    <t xml:space="preserve">          136.0 - Temp cash invest</t>
  </si>
  <si>
    <t xml:space="preserve">     Accounts Receivable - Less Reserves</t>
  </si>
  <si>
    <t xml:space="preserve">          135.0 - Working Funds</t>
  </si>
  <si>
    <t xml:space="preserve">          142.0 - Customer accounts receivable</t>
  </si>
  <si>
    <t xml:space="preserve">          143.0 - Other AR</t>
  </si>
  <si>
    <t xml:space="preserve">          143.5 - Other AR Customer</t>
  </si>
  <si>
    <t xml:space="preserve">          143.7 - Other Acct Rec (Prepayments)</t>
  </si>
  <si>
    <t xml:space="preserve">          144.8 - Acc prov - customers</t>
  </si>
  <si>
    <t xml:space="preserve">          144.9 - Acc. prov - Other</t>
  </si>
  <si>
    <t xml:space="preserve">          171.0 - Interest and dividends receivable</t>
  </si>
  <si>
    <t xml:space="preserve">          172.0 - Rents receivable</t>
  </si>
  <si>
    <t xml:space="preserve">          Unbilled Revenues (Asset)</t>
  </si>
  <si>
    <t xml:space="preserve">     Accounts Receivable from Assoc Cos.</t>
  </si>
  <si>
    <t xml:space="preserve">          146 - Acct Rec From Assoc Co (LKE)</t>
  </si>
  <si>
    <t xml:space="preserve">          146.4 - Acct Rec From Assoc Co (Non LKE)</t>
  </si>
  <si>
    <t xml:space="preserve">          146.5 - Acct Rec Assoc Co (Inc Tax Rec)</t>
  </si>
  <si>
    <t xml:space="preserve">     Inventories</t>
  </si>
  <si>
    <t xml:space="preserve">          151.0 - Fuel Stock</t>
  </si>
  <si>
    <t xml:space="preserve">          154.0 - Plant materials and operating supplies</t>
  </si>
  <si>
    <t xml:space="preserve">          158.0 - Allowance inventory</t>
  </si>
  <si>
    <t xml:space="preserve">          163.0 - Stores expense undistributed</t>
  </si>
  <si>
    <t xml:space="preserve">     Prepayments</t>
  </si>
  <si>
    <t xml:space="preserve">          165.0 - prepayments</t>
  </si>
  <si>
    <t xml:space="preserve">          165.9 - Tax prepayments</t>
  </si>
  <si>
    <t xml:space="preserve">     Other current and accrued assets</t>
  </si>
  <si>
    <t xml:space="preserve">          174.1 - Misc accrued assets</t>
  </si>
  <si>
    <t>DEFERRED DEBITS &amp; OTHER</t>
  </si>
  <si>
    <t xml:space="preserve">     Unamortized Debt Expenses</t>
  </si>
  <si>
    <t xml:space="preserve">          189.0 - Unamort loss on reacquired debt</t>
  </si>
  <si>
    <t xml:space="preserve">     Accumulated Deferred Income Tax Asset</t>
  </si>
  <si>
    <t xml:space="preserve">          190.0 - Accumulated deferred Income taxes - acc amort property</t>
  </si>
  <si>
    <t xml:space="preserve">          190.1 deferred tax - other assets</t>
  </si>
  <si>
    <t xml:space="preserve">          190.3 Acc Def Inc Tax NC FASB 109</t>
  </si>
  <si>
    <t xml:space="preserve">          190.4 Accum Def Inc Tax Cur (Cur Liab)</t>
  </si>
  <si>
    <t xml:space="preserve">     Regulatory Assets</t>
  </si>
  <si>
    <t xml:space="preserve">          182 - Regulatory assets Deferred Tax</t>
  </si>
  <si>
    <t xml:space="preserve">          182 - Regulatory assets Pension &amp; Postretirement</t>
  </si>
  <si>
    <t xml:space="preserve">          182 - Regulatory assets Storm Costs</t>
  </si>
  <si>
    <t xml:space="preserve">          182 - Regulatory assets Rate Mechanisms</t>
  </si>
  <si>
    <t xml:space="preserve">          182 - Other Regulatory assets (non current)</t>
  </si>
  <si>
    <t xml:space="preserve">          182 - Other Regulatory assets (Current)</t>
  </si>
  <si>
    <t xml:space="preserve">     Miscellaneous deferred debits</t>
  </si>
  <si>
    <t xml:space="preserve">          183.1 - Preliminary survey and investigation charges</t>
  </si>
  <si>
    <t xml:space="preserve">          183.2 - OtherPreliminary Survey</t>
  </si>
  <si>
    <t xml:space="preserve">          184.0 - Clearing accounts</t>
  </si>
  <si>
    <t xml:space="preserve">          184.2 - Clearing Accounts (Accr Pension)</t>
  </si>
  <si>
    <t xml:space="preserve">          184.3 - Clearing Accounts</t>
  </si>
  <si>
    <t xml:space="preserve">          184.4 - Clearing Accounts (O/Cur Liab)</t>
  </si>
  <si>
    <t xml:space="preserve">          184.5 - Clearing Accounts (O/LT Liab)</t>
  </si>
  <si>
    <t xml:space="preserve">          186.2 - Misc deferred debits (O/Assets LT)</t>
  </si>
  <si>
    <t xml:space="preserve">          186.6 - Misc Def Debits LTPC</t>
  </si>
  <si>
    <t>Total Deferred Debits &amp; Other</t>
  </si>
  <si>
    <t>TOTAL ASSETS</t>
  </si>
  <si>
    <t>LIABILITIES AND OTHER CREDITS</t>
  </si>
  <si>
    <t xml:space="preserve">     Common and Preferred Stock</t>
  </si>
  <si>
    <t xml:space="preserve">          201.0 - Common stock</t>
  </si>
  <si>
    <t xml:space="preserve">     Common and Preferred stock issued</t>
  </si>
  <si>
    <t xml:space="preserve">     Less Common Stock Expense</t>
  </si>
  <si>
    <t xml:space="preserve">          214.0 - Capital stock expense</t>
  </si>
  <si>
    <t xml:space="preserve">     Common Stock Expense</t>
  </si>
  <si>
    <t xml:space="preserve">     Paid in Capital</t>
  </si>
  <si>
    <t xml:space="preserve">          211.2 - Pd-in-capital - common stock</t>
  </si>
  <si>
    <t xml:space="preserve">     Paid-in-capital</t>
  </si>
  <si>
    <t xml:space="preserve">     Retained Earnings</t>
  </si>
  <si>
    <t xml:space="preserve">          216.0 - Unappropriated retained earnings</t>
  </si>
  <si>
    <t xml:space="preserve">     Other comprehensive income</t>
  </si>
  <si>
    <t xml:space="preserve">          219 - Other Comprehensive Income</t>
  </si>
  <si>
    <t xml:space="preserve">          219.1 - OCI Equity Invest EEI</t>
  </si>
  <si>
    <t xml:space="preserve">     Domestic Debt</t>
  </si>
  <si>
    <t xml:space="preserve">          221.0 - Domestic bonds current</t>
  </si>
  <si>
    <t xml:space="preserve">          221.3 - Domestic bonds noncurrent</t>
  </si>
  <si>
    <t xml:space="preserve">          226 - Unamortized discount on long-term debt</t>
  </si>
  <si>
    <t xml:space="preserve">     Intercompany and Foreign Debt</t>
  </si>
  <si>
    <t>Total Long-term Debt</t>
  </si>
  <si>
    <t>TOTAL CAPITALIZATION</t>
  </si>
  <si>
    <t xml:space="preserve">     Short Term Notes Payable to associated companies</t>
  </si>
  <si>
    <t xml:space="preserve">     Notes Payable</t>
  </si>
  <si>
    <t xml:space="preserve">          231.3 - Notes Payable (Commercial Paper)</t>
  </si>
  <si>
    <t xml:space="preserve">     Accounts Payable</t>
  </si>
  <si>
    <t xml:space="preserve">          232.1 - AP Fuel</t>
  </si>
  <si>
    <t xml:space="preserve">          232.2 - AP Payroll</t>
  </si>
  <si>
    <t xml:space="preserve">          232.3 - AP Purchased Power</t>
  </si>
  <si>
    <t xml:space="preserve">          232.4 - AP Other</t>
  </si>
  <si>
    <t xml:space="preserve">          232.5 - AP (O/Cur Liab)</t>
  </si>
  <si>
    <t xml:space="preserve">     Accounts Payable to associated companies</t>
  </si>
  <si>
    <t xml:space="preserve">          232.7 - AP Intercompany</t>
  </si>
  <si>
    <t xml:space="preserve">          234.0 - AP to Assoc Co (LKE)</t>
  </si>
  <si>
    <t xml:space="preserve">     Customer deposits current</t>
  </si>
  <si>
    <t xml:space="preserve">     Taxes accrued</t>
  </si>
  <si>
    <t xml:space="preserve">     Interest accrued</t>
  </si>
  <si>
    <t xml:space="preserve">          237.0 - Interest Accrued</t>
  </si>
  <si>
    <t xml:space="preserve">          237.1 - Interest Accrued (Tax Accr)</t>
  </si>
  <si>
    <t xml:space="preserve">     Dividends Payable Affiliate</t>
  </si>
  <si>
    <t xml:space="preserve">     Misc. Current Liabilities</t>
  </si>
  <si>
    <t xml:space="preserve">          241.1 - Tax collections payable (O/Cur Liab)</t>
  </si>
  <si>
    <t xml:space="preserve">          241.2 - Tax Coll Payable (Accr Sal &amp; Ben)</t>
  </si>
  <si>
    <t xml:space="preserve">          242.0 - Misc current liab</t>
  </si>
  <si>
    <t xml:space="preserve">          242.1 - Misc Cur &amp; Accr Liab (AP)</t>
  </si>
  <si>
    <t xml:space="preserve">          242.2 - Misc Cur &amp; Accr Liab (Accr Sal &amp; Ben)</t>
  </si>
  <si>
    <t xml:space="preserve">          242.7 - Vested Vacation Unfunded Reserve</t>
  </si>
  <si>
    <t xml:space="preserve">          242.9 - Medical Expense Unfunded Reserve</t>
  </si>
  <si>
    <t xml:space="preserve">          244.4 - Deriv Instr Liab LT Affil Non-LKE</t>
  </si>
  <si>
    <t xml:space="preserve">     Miscellaneous Current Liabilities</t>
  </si>
  <si>
    <t xml:space="preserve">     Accum Deferred Income Tax Liability</t>
  </si>
  <si>
    <t xml:space="preserve">          282.0 - Accumulated deferred Income taxes -other property</t>
  </si>
  <si>
    <t xml:space="preserve">          283.0 - Accumulated deferred income taxes - other (noncurrent)</t>
  </si>
  <si>
    <t xml:space="preserve">          283.1 - Acc def inc tax NC FASB 109</t>
  </si>
  <si>
    <t xml:space="preserve">          283.9 - Def income tax asset</t>
  </si>
  <si>
    <t xml:space="preserve">     Investment tax credits</t>
  </si>
  <si>
    <t xml:space="preserve">          255.0 - Accumulated deferred investment tax credits</t>
  </si>
  <si>
    <t xml:space="preserve">          255.1 - Accumulated Deferred ITC (Job Dev Cr)</t>
  </si>
  <si>
    <t xml:space="preserve">     Regulatory Liabilities</t>
  </si>
  <si>
    <t xml:space="preserve">          254 - Other Reg Liabilities Current</t>
  </si>
  <si>
    <t xml:space="preserve">          254 - Other Reg Liabilities Non Current</t>
  </si>
  <si>
    <t xml:space="preserve">          254 - Reg Liabilities Rate Mechanisms</t>
  </si>
  <si>
    <t xml:space="preserve">          254 - Reg Liabilities Postretirement</t>
  </si>
  <si>
    <t xml:space="preserve">          254 - Reg Liabilities Deferred Tax</t>
  </si>
  <si>
    <t xml:space="preserve">     Customer advances for construction</t>
  </si>
  <si>
    <t xml:space="preserve">          252.0 Customer advances for construction Current</t>
  </si>
  <si>
    <t xml:space="preserve">          252.1 - Customer advances for construction LT</t>
  </si>
  <si>
    <t xml:space="preserve">     </t>
  </si>
  <si>
    <t xml:space="preserve">     Asset Retirement Obligations</t>
  </si>
  <si>
    <t xml:space="preserve">          230.0 - Asset Retirement Obligations</t>
  </si>
  <si>
    <t xml:space="preserve">          230.1 - Asset Retirement Obligations (O/Cur Liab)</t>
  </si>
  <si>
    <t xml:space="preserve">     Other Deferred Credits</t>
  </si>
  <si>
    <t xml:space="preserve">          253.0 - Other deferred credits current</t>
  </si>
  <si>
    <t xml:space="preserve">          253.1 - Other deferred credits - non current</t>
  </si>
  <si>
    <t xml:space="preserve">          253.2 - Other deferred credits (LT Tax Position)</t>
  </si>
  <si>
    <t xml:space="preserve">     Misc Long Term Liabilities</t>
  </si>
  <si>
    <t xml:space="preserve">          228.4 - Accum Provision Inj &amp; Dam (Accr Sal &amp; Ben)</t>
  </si>
  <si>
    <t xml:space="preserve">          228.5 - Accum Provision Inj &amp; Dam (O/LT Liab)</t>
  </si>
  <si>
    <t xml:space="preserve">     Misc Long Term Liabilities Due To Assoc Co</t>
  </si>
  <si>
    <t xml:space="preserve">     Accumulated Provision for Post Retirement Benefits</t>
  </si>
  <si>
    <t xml:space="preserve">          228.2 - Accumulated prov for pen (O/LT Liab)</t>
  </si>
  <si>
    <t xml:space="preserve">          228.3 - Accumulated provision for pensions and benefits</t>
  </si>
  <si>
    <t xml:space="preserve">          228.6 - Accumulated prov for pen (O/LT Liab FAS 106)</t>
  </si>
  <si>
    <t>ECR amounts excluded from rate base</t>
  </si>
  <si>
    <t>DSM amounts excluded from rate base</t>
  </si>
  <si>
    <t>408.14- ECR PROPERTY TAX</t>
  </si>
  <si>
    <t>411.8-GAIN-DISP OF ALLOW</t>
  </si>
  <si>
    <t>509.3 - ECR SO2/NOX EMISSION ALLOWANCES</t>
  </si>
  <si>
    <t xml:space="preserve">     Subtotal ECR COS</t>
  </si>
  <si>
    <t>ECR CASH WORKING CAPITAL</t>
  </si>
  <si>
    <t>ECR O&amp;M WORKING CAPITAL ALLOWANCE</t>
  </si>
  <si>
    <t>KU_ECR </t>
  </si>
  <si>
    <t>LGE_ECR</t>
  </si>
  <si>
    <t>13MOAVG</t>
  </si>
  <si>
    <t>JURIS % (PRODSYS)</t>
  </si>
  <si>
    <t>JURIS AMT</t>
  </si>
  <si>
    <t>Deferred Income Taxes (a)</t>
  </si>
  <si>
    <t>KU Cumulative Deferreds</t>
  </si>
  <si>
    <t>LG&amp;E Electric Cumulative Deferreds</t>
  </si>
  <si>
    <t>LG&amp;E Gas Cumulative Deferreds</t>
  </si>
  <si>
    <t>JURIS % (DIRECT) 100%</t>
  </si>
  <si>
    <t>34.5-55.1</t>
  </si>
  <si>
    <t>60-R3, 65-S2.5</t>
  </si>
  <si>
    <t>60-R2, 35-R2.5</t>
  </si>
  <si>
    <t>B-3.2</t>
  </si>
  <si>
    <t>B-4.2</t>
  </si>
  <si>
    <t>TOTAL ADJUSTMENTS</t>
  </si>
  <si>
    <t>KENTUCKY UTILITIES</t>
  </si>
  <si>
    <t>Kentucky</t>
  </si>
  <si>
    <t>Other</t>
  </si>
  <si>
    <t>Total</t>
  </si>
  <si>
    <t>Jurisdictional</t>
  </si>
  <si>
    <t>Company</t>
  </si>
  <si>
    <t>Title of Account</t>
  </si>
  <si>
    <t>Rate Base</t>
  </si>
  <si>
    <t>ECR Rate Base</t>
  </si>
  <si>
    <t>Base Rate Base</t>
  </si>
  <si>
    <t xml:space="preserve">Rate Base </t>
  </si>
  <si>
    <t>Utility Plant at Original Cost</t>
  </si>
  <si>
    <t>Deduct:</t>
  </si>
  <si>
    <t xml:space="preserve">  Reserve for Depreciation</t>
  </si>
  <si>
    <t xml:space="preserve">  Customer Advances for Construction</t>
  </si>
  <si>
    <t xml:space="preserve">  Accumulated Deferred Income Taxes</t>
  </si>
  <si>
    <t xml:space="preserve">  Investment Tax Credit (a)</t>
  </si>
  <si>
    <t>Total Deductions</t>
  </si>
  <si>
    <t>Net Plant Deductions</t>
  </si>
  <si>
    <t>Add:</t>
  </si>
  <si>
    <t xml:space="preserve">  Materials and Supplies (b) </t>
  </si>
  <si>
    <t xml:space="preserve">  Prepayments (b)(c)</t>
  </si>
  <si>
    <t xml:space="preserve">  Emission Allowances (b)</t>
  </si>
  <si>
    <t xml:space="preserve">  Cash Working Capital (page 2)</t>
  </si>
  <si>
    <t xml:space="preserve">     Total Additions</t>
  </si>
  <si>
    <t>Total Net Original Cost Rate Base</t>
  </si>
  <si>
    <t>Percentage of Rate Base to Total Company Rate Base</t>
  </si>
  <si>
    <t>(a)</t>
  </si>
  <si>
    <t>Reflects investment tax credit treatment per Case No. 2007-00178.</t>
  </si>
  <si>
    <t>(b)</t>
  </si>
  <si>
    <t>Average for 13 months.</t>
  </si>
  <si>
    <t>(c)</t>
  </si>
  <si>
    <t>Excludes PSC fees.</t>
  </si>
  <si>
    <t>Calculation of Cash Working Capital</t>
  </si>
  <si>
    <t>1.</t>
  </si>
  <si>
    <t>Operating and maintenance expense for the</t>
  </si>
  <si>
    <t>2.</t>
  </si>
  <si>
    <t>3.</t>
  </si>
  <si>
    <t xml:space="preserve">  Electric Power Purchased</t>
  </si>
  <si>
    <t>4.</t>
  </si>
  <si>
    <t xml:space="preserve">     Total Deductions</t>
  </si>
  <si>
    <t>5.</t>
  </si>
  <si>
    <t>Remainder (Line 1 - Line 4)</t>
  </si>
  <si>
    <t>6.</t>
  </si>
  <si>
    <t>Cash Working Capital</t>
  </si>
  <si>
    <t>Kentucky Jurisdictional (12 1/2% of Line 5)</t>
  </si>
  <si>
    <t>Other Jurisdictional comprised of FERC, Tennessee,</t>
  </si>
  <si>
    <t>and Virginia Jurisdictional methodologies.</t>
  </si>
  <si>
    <t>DSM Rate Base</t>
  </si>
  <si>
    <t>ARO Rate Base</t>
  </si>
  <si>
    <t>Pro Forma</t>
  </si>
  <si>
    <t>(2 + 8)</t>
  </si>
  <si>
    <t>(2 - 3 - 4 - 5 - 6)</t>
  </si>
  <si>
    <t>ARO Balance Sheet Offset</t>
  </si>
  <si>
    <t>Total Net Original Cost Rate Base for Capital Allocation</t>
  </si>
  <si>
    <t>SUPPORTING SCHEDULE B-1.1</t>
  </si>
  <si>
    <t>PAGE 1 OF 4</t>
  </si>
  <si>
    <t>PAGE 2 OF 4</t>
  </si>
  <si>
    <t>PAGE 3 OF 4</t>
  </si>
  <si>
    <t>PAGE 4 OF 4</t>
  </si>
  <si>
    <t>KU</t>
  </si>
  <si>
    <t>Aug-14</t>
  </si>
  <si>
    <t>Depr. Grp Balance</t>
  </si>
  <si>
    <t>ECR Plan</t>
  </si>
  <si>
    <t>Exclusion from when project was identified as an ECR Project.</t>
  </si>
  <si>
    <t>2009 Plan</t>
  </si>
  <si>
    <t>Project 123557</t>
  </si>
  <si>
    <t>Project 125101</t>
  </si>
  <si>
    <t>Ghent CCP</t>
  </si>
  <si>
    <t>Project 122609, 138873</t>
  </si>
  <si>
    <t>TC Ash</t>
  </si>
  <si>
    <t>Project 121682</t>
  </si>
  <si>
    <t>Project 127137</t>
  </si>
  <si>
    <t>CWIP</t>
  </si>
  <si>
    <t>Exclusion</t>
  </si>
  <si>
    <t>Depr. Rate</t>
  </si>
  <si>
    <t>Mthly Depr.</t>
  </si>
  <si>
    <t>monthly</t>
  </si>
  <si>
    <t>BRN 3 SCR</t>
  </si>
  <si>
    <t>BRN ATB Expansion</t>
  </si>
  <si>
    <t>TC Re-use</t>
  </si>
  <si>
    <t>Accum Depr</t>
  </si>
  <si>
    <t>Accum Depreciation</t>
  </si>
  <si>
    <t>080KU14</t>
  </si>
  <si>
    <t>Lockout/Tagout (LOTO)-KU14</t>
  </si>
  <si>
    <t>019KU15</t>
  </si>
  <si>
    <t>Design Tool Repl (WIM)-KU15</t>
  </si>
  <si>
    <t>136480KU</t>
  </si>
  <si>
    <t>GS GE Test Equip Pool KU</t>
  </si>
  <si>
    <t>Environmental Equipment KU</t>
  </si>
  <si>
    <t>144475KU</t>
  </si>
  <si>
    <t>GS GE CORS KU</t>
  </si>
  <si>
    <t>140342KU</t>
  </si>
  <si>
    <t>OG MISC TOOLS KU</t>
  </si>
  <si>
    <t>131915KU</t>
  </si>
  <si>
    <t>Scanning Equip-KU</t>
  </si>
  <si>
    <t>139595KU</t>
  </si>
  <si>
    <t>GS GE DME Phase II KU</t>
  </si>
  <si>
    <t>204KU16</t>
  </si>
  <si>
    <t>SAP CRM/ECC Upgr-KU16</t>
  </si>
  <si>
    <t>Ghent 345kV Control House</t>
  </si>
  <si>
    <t>GH3 HP-IP Turbine</t>
  </si>
  <si>
    <t>144531 KU</t>
  </si>
  <si>
    <t>CR Misc Capital KU (multi)</t>
  </si>
  <si>
    <t>140614KU</t>
  </si>
  <si>
    <t>TC2 KU EXPANS JOINTS</t>
  </si>
  <si>
    <t>DSP HUME ROAD SUB PHASE2</t>
  </si>
  <si>
    <t>GH4 SH Spray Valve Retrofit</t>
  </si>
  <si>
    <t>203KU16</t>
  </si>
  <si>
    <t>PS 9.2 Upgrade-KU16</t>
  </si>
  <si>
    <t>129KU16</t>
  </si>
  <si>
    <t>Implement SDE Replace-KU16</t>
  </si>
  <si>
    <t>BR Vehicle Replacement</t>
  </si>
  <si>
    <t>HR Cap Equip Improvmnts KU</t>
  </si>
  <si>
    <t>200KU16</t>
  </si>
  <si>
    <t>Application Sec Enhance-KU16</t>
  </si>
  <si>
    <t>Thirteen Month Average</t>
  </si>
  <si>
    <t>EMISSION ALLOWANCES (b)</t>
  </si>
  <si>
    <t>(b) Excludes ECR amounts.</t>
  </si>
  <si>
    <t>JURIS FACTOR %</t>
  </si>
  <si>
    <t>COMPARATIVE BALANCE SHEETS - TOTAL COMPANY</t>
  </si>
  <si>
    <t>COMPARATIVE BALANCE SHEETS - JURISDICTIONAL</t>
  </si>
  <si>
    <t>Adjustment to Balance</t>
  </si>
  <si>
    <t>2013</t>
  </si>
  <si>
    <t>2012</t>
  </si>
  <si>
    <t>2011</t>
  </si>
  <si>
    <t>STATISTIC FOR RATE AREA (SCHEDULE B-1)</t>
  </si>
  <si>
    <t>THERE HAVE BEEN NO CHANGES IN JURISIDICTIONAL PROCEDURES FROM PRIOR CASE.</t>
  </si>
  <si>
    <t>DESCRIPTIONS BY ACCOUNT OR MAJOR GROUPINGS</t>
  </si>
  <si>
    <t>Allowance for Funds Used Duriing Construction</t>
  </si>
  <si>
    <t>ALLOCATOR</t>
  </si>
  <si>
    <t>Total Production, Transmission, Distribution, and General plant</t>
  </si>
  <si>
    <t>Demand - Virginia and FERC Jurisdictions</t>
  </si>
  <si>
    <t>Kentucky System Property</t>
  </si>
  <si>
    <t>System Demand - Average 12 Coincident Peaks</t>
  </si>
  <si>
    <t>Retail Demand - Average 12 Coincident Peaks</t>
  </si>
  <si>
    <t xml:space="preserve">Virginia Situs Plant Directly Assigned </t>
  </si>
  <si>
    <t>Virginia Property</t>
  </si>
  <si>
    <t>Tennessee Property</t>
  </si>
  <si>
    <t xml:space="preserve">Kentucky Situs Plant Directly Assigned </t>
  </si>
  <si>
    <t>Kentucky Situs Plant Directly Assigned to Retail and Wholesale</t>
  </si>
  <si>
    <t xml:space="preserve">Capacitors - Kentucky Demand-Average 12 CP, Other Kentucky Situs Plant Directly Assigned </t>
  </si>
  <si>
    <t>DPRODKY, DIRECT</t>
  </si>
  <si>
    <t xml:space="preserve">Tennessee Situs Plant Directly Assigned </t>
  </si>
  <si>
    <t>Total Kentucky Retail Production, Transmission, Distribution, and General plant</t>
  </si>
  <si>
    <t>PLANT IN SERVICE</t>
  </si>
  <si>
    <t>Allocated O&amp;M Labor Expense</t>
  </si>
  <si>
    <t>LABOR, DIRECT</t>
  </si>
  <si>
    <t>Allocated O&amp;M Labor Expense, DSM Plant Directly Assigned to Kentucky Retail</t>
  </si>
  <si>
    <t>Plant Account 302</t>
  </si>
  <si>
    <t>Plant Account 303</t>
  </si>
  <si>
    <t>311-316</t>
  </si>
  <si>
    <t>332-335</t>
  </si>
  <si>
    <t>341-346</t>
  </si>
  <si>
    <t>350-358</t>
  </si>
  <si>
    <t>352-356</t>
  </si>
  <si>
    <t>310-317</t>
  </si>
  <si>
    <t>Total Steam Production Plant</t>
  </si>
  <si>
    <t>ALL</t>
  </si>
  <si>
    <t>330-337</t>
  </si>
  <si>
    <t>Total Hydraulic Production Plant</t>
  </si>
  <si>
    <t>Total Other Production Plant</t>
  </si>
  <si>
    <t>340-347</t>
  </si>
  <si>
    <t>Kentucky System Transmission Property</t>
  </si>
  <si>
    <t>Virginia Transmission Property</t>
  </si>
  <si>
    <t>350-359</t>
  </si>
  <si>
    <t>350-356</t>
  </si>
  <si>
    <t>Kentucky System Transmission Plant</t>
  </si>
  <si>
    <t>Virginia and Tennessee Distribution System</t>
  </si>
  <si>
    <t>Kentucky Distribution System</t>
  </si>
  <si>
    <t>360-371</t>
  </si>
  <si>
    <t>360-374</t>
  </si>
  <si>
    <t>DISTPLTK</t>
  </si>
  <si>
    <t>Total Kentucky Distribution Plant</t>
  </si>
  <si>
    <t>Total Virginia and Tennessee Distribution Plant</t>
  </si>
  <si>
    <t>389-398</t>
  </si>
  <si>
    <t>General Plant</t>
  </si>
  <si>
    <t>Total General Plant</t>
  </si>
  <si>
    <t>Production Plant</t>
  </si>
  <si>
    <t>Total Production Plant</t>
  </si>
  <si>
    <t>Total Production System Plant</t>
  </si>
  <si>
    <t xml:space="preserve">Virginia and Tennessee Directly Assigned </t>
  </si>
  <si>
    <t>310-347</t>
  </si>
  <si>
    <t>Total Kentucky Electric Plant</t>
  </si>
  <si>
    <t>Virginia Tranmission Plant</t>
  </si>
  <si>
    <t>Virginia System Transmission Plant</t>
  </si>
  <si>
    <t>Fuel Inventory</t>
  </si>
  <si>
    <t>Energy at Generation Level</t>
  </si>
  <si>
    <t>Material and Supplies</t>
  </si>
  <si>
    <t>FUNCTIONAL</t>
  </si>
  <si>
    <t>Production, Transmission, and Distribution Functional Plant</t>
  </si>
  <si>
    <t>Emission Allowances</t>
  </si>
  <si>
    <t>Stores Undistributed</t>
  </si>
  <si>
    <t>M&amp;S</t>
  </si>
  <si>
    <t>Total Material and Supplies</t>
  </si>
  <si>
    <t>EXP9245</t>
  </si>
  <si>
    <t>Total Account 924 and 925 Expense</t>
  </si>
  <si>
    <t>Virginia Distribution System</t>
  </si>
  <si>
    <t>Kentucky and Tennessee Distribution System</t>
  </si>
  <si>
    <t xml:space="preserve">Virginia Directly Assigned </t>
  </si>
  <si>
    <t>Directly Assigned</t>
  </si>
  <si>
    <t>PAGE 1 OF 8</t>
  </si>
  <si>
    <t>PAGE 2 OF 8</t>
  </si>
  <si>
    <t>PAGE 3 OF 8</t>
  </si>
  <si>
    <t>PAGE 4 OF 8</t>
  </si>
  <si>
    <t>PAGE 6 OF 8</t>
  </si>
  <si>
    <t>PAGE 5 OF 8</t>
  </si>
  <si>
    <t>PAGE 7 OF 8</t>
  </si>
  <si>
    <t>PAGE 8 OF 8</t>
  </si>
  <si>
    <t>CHECK</t>
  </si>
  <si>
    <t>ALLOCATION FROM JURISDICTIONAL SEPARATION STUDY</t>
  </si>
  <si>
    <t>Description</t>
  </si>
  <si>
    <t>ECR</t>
  </si>
  <si>
    <t>ARO</t>
  </si>
  <si>
    <t>DSM</t>
  </si>
  <si>
    <t>BASE PERIOD-FEBRUARY 2017</t>
  </si>
  <si>
    <t>a-Mar 1 2016</t>
  </si>
  <si>
    <t>Feb 28 2017</t>
  </si>
  <si>
    <t>plus RWIP</t>
  </si>
  <si>
    <t>E370.01-Meters AMS</t>
  </si>
  <si>
    <t>E397.00- Microwave, Fiber, Other</t>
  </si>
  <si>
    <t>E397.10-Comm Eq Radio and Telephone</t>
  </si>
  <si>
    <t>E340.10-Land Rights (LESS PLANT HELD FOR FUTURE USE)</t>
  </si>
  <si>
    <t>E360.25-Land Held for Future Use</t>
  </si>
  <si>
    <t>Other Production</t>
  </si>
  <si>
    <t>KY Aug 2016 Forecast (2017 BP - Prelminary View) - No RC</t>
  </si>
  <si>
    <t>a-Jan 2016</t>
  </si>
  <si>
    <t>a-Feb 2016</t>
  </si>
  <si>
    <t>a-Mar 2016</t>
  </si>
  <si>
    <t>a-Apr 2016</t>
  </si>
  <si>
    <t>a-May 2016</t>
  </si>
  <si>
    <t>a-Jun 2016</t>
  </si>
  <si>
    <t>a-Jul 2016</t>
  </si>
  <si>
    <t>a-Aug 2016</t>
  </si>
  <si>
    <t>Sep 2016</t>
  </si>
  <si>
    <t>Oct 2016</t>
  </si>
  <si>
    <t>Nov 2016</t>
  </si>
  <si>
    <t>Dec 2016</t>
  </si>
  <si>
    <t>Jan 2017</t>
  </si>
  <si>
    <t>Feb 2017</t>
  </si>
  <si>
    <t>Mar2016-Feb 2017</t>
  </si>
  <si>
    <t xml:space="preserve">   KU-1311 - Steam Production - ECR 2011 </t>
  </si>
  <si>
    <t xml:space="preserve">   KU-1312 - Steam Production - ECR 2016 </t>
  </si>
  <si>
    <t xml:space="preserve">   KU-1312 - Steam Production - ECR 2018 </t>
  </si>
  <si>
    <t xml:space="preserve">   KU-1315 - Steam Production - ECR 2009 </t>
  </si>
  <si>
    <t xml:space="preserve">   KU-1316 - Steam Production - ECR 2011 </t>
  </si>
  <si>
    <t xml:space="preserve">   KU-1340 - Other Production - Future Use </t>
  </si>
  <si>
    <t xml:space="preserve">   KU-1340 - Other Production - Gas Pipe Line </t>
  </si>
  <si>
    <t xml:space="preserve">   KU-1341 - Other Production - Structures and Improvements CCGT </t>
  </si>
  <si>
    <t xml:space="preserve">   KU-1341 - Other Production - Structures and Improvements Solar </t>
  </si>
  <si>
    <t xml:space="preserve">   KU-1342 - Other Production - Fuel Holders, Producers, Acc CCGT </t>
  </si>
  <si>
    <t xml:space="preserve">   KU-1342 - Other Production - Gas Pipe Line </t>
  </si>
  <si>
    <t xml:space="preserve">   KU-1343 - Other Production - Prime Movers CCGT </t>
  </si>
  <si>
    <t xml:space="preserve">   KU-1344 - Other Production - Generators CCGT </t>
  </si>
  <si>
    <t xml:space="preserve">   KU-1344 - Other Production - Generators Solar </t>
  </si>
  <si>
    <t xml:space="preserve">   KU-1345 - Other Production - Accessory Electric Equipment CCGT </t>
  </si>
  <si>
    <t xml:space="preserve">   KU-1345 - Other Production - Accessory Electric Equipment Solar </t>
  </si>
  <si>
    <t xml:space="preserve">   KU-1346 - Other Production - Misc Power Plant Equipment CCGT </t>
  </si>
  <si>
    <t xml:space="preserve">   KU-1346 - Other Production - Misc Power Plant Equipment Solar </t>
  </si>
  <si>
    <t xml:space="preserve">   KU-1347 - Other Production - ARO </t>
  </si>
  <si>
    <t xml:space="preserve">   KU-1364 - Electric Distribution - ECR 2009 </t>
  </si>
  <si>
    <t xml:space="preserve">   KU-1365 - Electric Distribution - ECR 2009 </t>
  </si>
  <si>
    <t xml:space="preserve">   KU-1366 - Electric Distribution - ECR 2009 </t>
  </si>
  <si>
    <t xml:space="preserve">   KU-1367 - Electric Distribution - ECR 2009 </t>
  </si>
  <si>
    <t>Spec ID</t>
  </si>
  <si>
    <t>Jun 2017</t>
  </si>
  <si>
    <t>Jul 2017</t>
  </si>
  <si>
    <t>Aug 2017</t>
  </si>
  <si>
    <t>Sep 2017</t>
  </si>
  <si>
    <t>Oct 2017</t>
  </si>
  <si>
    <t>Nov 2017</t>
  </si>
  <si>
    <t>Dec 2017</t>
  </si>
  <si>
    <t>Jan 2018</t>
  </si>
  <si>
    <t>Feb 2018</t>
  </si>
  <si>
    <t>Mar 2018</t>
  </si>
  <si>
    <t>Apr 2018</t>
  </si>
  <si>
    <t>May 2018</t>
  </si>
  <si>
    <t>Jun 2018</t>
  </si>
  <si>
    <t>Jul2017-Jun 2018</t>
  </si>
  <si>
    <t>13-Month Average</t>
  </si>
  <si>
    <t>INCOME STATEMENT</t>
  </si>
  <si>
    <t>DIFFERENCE</t>
  </si>
  <si>
    <t>FORECAST PERIOD-JUNE 2018</t>
  </si>
  <si>
    <t>Jul 1 2017</t>
  </si>
  <si>
    <t>Jun 30 2018</t>
  </si>
  <si>
    <t>KY Aug 2016 Forecast (2017 BP-Prelim View)- No RC</t>
  </si>
  <si>
    <t xml:space="preserve">   KU Distribution ECR 2009 </t>
  </si>
  <si>
    <t xml:space="preserve">   KU Steam Production ECR 2016 </t>
  </si>
  <si>
    <t xml:space="preserve">   KU Steam Production ECR 2018 </t>
  </si>
  <si>
    <t>Property Group</t>
  </si>
  <si>
    <t>13-MONTH AVERAGE</t>
  </si>
  <si>
    <t>Mar 2017</t>
  </si>
  <si>
    <t>Apr 2017</t>
  </si>
  <si>
    <t>May 2017</t>
  </si>
  <si>
    <t xml:space="preserve">          143.4 - Other AR Fed Tax Rec</t>
  </si>
  <si>
    <t xml:space="preserve">          145.0 - Notes receivable from assoc co (LKE)</t>
  </si>
  <si>
    <t xml:space="preserve">          165.1 - Prepayments - LT</t>
  </si>
  <si>
    <t xml:space="preserve">          176.1 - Price Risk Mngt Affil Non-LKE</t>
  </si>
  <si>
    <t xml:space="preserve">          181.1 - Unamortized debt expense</t>
  </si>
  <si>
    <t xml:space="preserve">          181.2 - Unamortized debt expense rollovers/lcs</t>
  </si>
  <si>
    <t xml:space="preserve">          182.0 - Regulatory assets</t>
  </si>
  <si>
    <t xml:space="preserve">          184.6 - Clearing Accts (Int Div Payable)</t>
  </si>
  <si>
    <t xml:space="preserve">          188.1 - Misc Def Debits Resrch/Dev/Demo Exp</t>
  </si>
  <si>
    <t xml:space="preserve">          244.3 - Derivative Liab. Current Affil Non-LKE</t>
  </si>
  <si>
    <t>TOTAL LIABILITIES AND OTHER CREDITS</t>
  </si>
  <si>
    <t>13MOAVG FEB-17</t>
  </si>
  <si>
    <t>13MOAVG JUN-18</t>
  </si>
  <si>
    <t>For the 2016 Rate Case Filing</t>
  </si>
  <si>
    <t>FEBRUARY 28, 2017</t>
  </si>
  <si>
    <t>AS OF FEBRUARY 28, 2017</t>
  </si>
  <si>
    <t>MARCH 2016 TO FEBRUARY 2017</t>
  </si>
  <si>
    <t>FROM MARCH 1, 2016 TO FEBRUARY 28, 2017</t>
  </si>
  <si>
    <t>BASE YEAR FOR THE 12 MONTHS ENDED FEBRUARY 28, 2017</t>
  </si>
  <si>
    <t>FOR THE 12 MONTHS ENDED FEBRUARY 28, 2017</t>
  </si>
  <si>
    <t>JUNE 30, 2018</t>
  </si>
  <si>
    <t>AS OF JUNE 30, 2018</t>
  </si>
  <si>
    <t>JULY 2017 TO JUNE 30, 2018</t>
  </si>
  <si>
    <t>FROM JULY 1, 2017 TO JUNE 30, 2018</t>
  </si>
  <si>
    <t>FORECAST PERIOD FOR THE 12 MONTHS ENDED JUNE 30, 2018</t>
  </si>
  <si>
    <t>FOR THE 12 MONTHS ENDED JUNE 30, 2018</t>
  </si>
  <si>
    <t>C. M. GARRETT</t>
  </si>
  <si>
    <t>JURIS PERCENT</t>
  </si>
  <si>
    <t>Land located at Green River CC GT intended for Generation</t>
  </si>
  <si>
    <t>Land and site prep located at London, Kentucky intended for Substation</t>
  </si>
  <si>
    <t>12 MONTHS ENDING FEBRUARY 28, 2017</t>
  </si>
  <si>
    <t xml:space="preserve">    REGULATORY DEBITS</t>
  </si>
  <si>
    <t>DIR360FU</t>
  </si>
  <si>
    <t xml:space="preserve">  447-SALES FOR RESALE-BORDERLINE</t>
  </si>
  <si>
    <t xml:space="preserve">  456-REC REVENUES</t>
  </si>
  <si>
    <t xml:space="preserve">  456-SOLAR SHARE-KY</t>
  </si>
  <si>
    <t xml:space="preserve">  456-EVC STATIONS-KY</t>
  </si>
  <si>
    <t xml:space="preserve">  456-REFINED COAL-KY</t>
  </si>
  <si>
    <t xml:space="preserve">  502-STEAM EXPENSES</t>
  </si>
  <si>
    <t xml:space="preserve">  504-STEAM TRANSFERRED-CREDIT</t>
  </si>
  <si>
    <t xml:space="preserve">  507-RENTS</t>
  </si>
  <si>
    <t xml:space="preserve">  509-ALLOWANCES</t>
  </si>
  <si>
    <t xml:space="preserve">  539-MISC HYDRO POWER GENER</t>
  </si>
  <si>
    <t xml:space="preserve">  549-MISC OTH POWER GENER</t>
  </si>
  <si>
    <t xml:space="preserve">  550-RENTS</t>
  </si>
  <si>
    <t xml:space="preserve">  926-PENSIONS EXP-DIR KY</t>
  </si>
  <si>
    <t xml:space="preserve">  926-PENSIONS EXP-DIR VA</t>
  </si>
  <si>
    <t xml:space="preserve">  926-PENSIONS EXP-DIR FERC/TN</t>
  </si>
  <si>
    <t xml:space="preserve">  930.1-GEN ADVERTISING EXPENSE</t>
  </si>
  <si>
    <t xml:space="preserve">  930.2-MISC GENERAL EXPENSE</t>
  </si>
  <si>
    <t xml:space="preserve">    KENTUCKY JURISDICTION</t>
  </si>
  <si>
    <t>ARO REGULATORY DEBITS AND ACCRETION</t>
  </si>
  <si>
    <t>REGULATORY DEBITS</t>
  </si>
  <si>
    <t>TOTAL REGULATORY DEBITS</t>
  </si>
  <si>
    <t xml:space="preserve">  FICA &amp; UNEMPLOYMENT</t>
  </si>
  <si>
    <t xml:space="preserve">  SEC. 199 DEDUCTION-FEDERAL</t>
  </si>
  <si>
    <t>APPORTIONED STATE TAXABLE INCOME (LINE 14-9)</t>
  </si>
  <si>
    <t>FEDERAL TAXABLE INCOME</t>
  </si>
  <si>
    <t xml:space="preserve">   FERC 543</t>
  </si>
  <si>
    <t>DIRECT ASSIGN 360-PHFU</t>
  </si>
  <si>
    <t>DIR ASSIGN ACC.DFDTX.DIST.VA</t>
  </si>
  <si>
    <t>DIR ASSIGN ACC.ITC.DIST.VA</t>
  </si>
  <si>
    <t>ACCT 930-GEN MISC &amp; ADVERTISING</t>
  </si>
  <si>
    <t xml:space="preserve">      12 MONTHS ENDING JUNE 30, 2018</t>
  </si>
  <si>
    <t>AS OF  DECEMBER 31, 2011 - 2015 AND BASE AND FORECASTED PERIODS</t>
  </si>
  <si>
    <t>2015</t>
  </si>
  <si>
    <t>2014</t>
  </si>
  <si>
    <t>(a) Excludes AFUDC Capitalized.</t>
  </si>
  <si>
    <t>JURISDICTIONAL TOTAL (a)</t>
  </si>
  <si>
    <t>THIRTEEN MONTH AVERAGE FOR PERIOD</t>
  </si>
  <si>
    <t>13 MO AVG CONSTRUCTION AMOUNT</t>
  </si>
  <si>
    <t>ECR 2016 Plan (000s) - CCR ARO Only</t>
  </si>
  <si>
    <t>CCR ARO</t>
  </si>
  <si>
    <t>Capital Expenditure - CCR ARO Closed Ponds (10 yr amortization)</t>
  </si>
  <si>
    <t>Capital Expenditure - CCR ARO Open Ponds (25 yr amortization)</t>
  </si>
  <si>
    <t>Total CCR ARO Ponds Capital Expenditures (for ECR Inputs)</t>
  </si>
  <si>
    <t>Cummulative Amortization</t>
  </si>
  <si>
    <t>Increase in Deferred Tax</t>
  </si>
  <si>
    <t>Un-Jurisdictionalized:</t>
  </si>
  <si>
    <t>Beginning Balance CCR ARO Ponds</t>
  </si>
  <si>
    <t>CCR ARO Ponds Expenditure</t>
  </si>
  <si>
    <t>Amortization</t>
  </si>
  <si>
    <t>In Base Rate</t>
  </si>
  <si>
    <t>Ending Balance CCR ARO Ponds before Deferred Taxes</t>
  </si>
  <si>
    <t>Cummulative Deffered Tax</t>
  </si>
  <si>
    <t>Ending Balance CCR ARO Ponds</t>
  </si>
  <si>
    <t>13-MONTH AVG</t>
  </si>
  <si>
    <t>101, 108, 182, 230</t>
  </si>
  <si>
    <t>Unamortized Closure Cost (a)</t>
  </si>
  <si>
    <t>(a) Adjustment reflects applicable ECR and DSM jurisdictional amounts.</t>
  </si>
  <si>
    <t xml:space="preserve">  Unamortized Closure Costs</t>
  </si>
  <si>
    <t>Unamortized Closure Cost</t>
  </si>
  <si>
    <t>CERTAIN DEFERRED CREDITS AND ACCUMULATED DEFERRED INCOME TAX</t>
  </si>
  <si>
    <t>158.0 - ECR Allowance inventory</t>
  </si>
  <si>
    <t>Net Original Cost Kentucky Jurisdictional Rate Base as of February 28, 2017</t>
  </si>
  <si>
    <t>Net Original Cost Kentucky Jurisdictional Rate Base as of June 30, 2018</t>
  </si>
  <si>
    <t>SUMMARY OF ESTIMATED SURVIVOR CURVES, NET SALVAGE, ORIGINAL COST, BOOK DEPRECIATION RESERVE AND</t>
  </si>
  <si>
    <t>CALCULATED ANNUAL DEPRECIATION RATES BY COMPONENT AS OF DECEMBER 31, 2015</t>
  </si>
  <si>
    <t xml:space="preserve">GROSS </t>
  </si>
  <si>
    <t xml:space="preserve">LIFE </t>
  </si>
  <si>
    <t xml:space="preserve">REMOVAL </t>
  </si>
  <si>
    <t xml:space="preserve">SALVAGE </t>
  </si>
  <si>
    <t>*</t>
  </si>
  <si>
    <t>100-R2.5</t>
  </si>
  <si>
    <t xml:space="preserve">STRUCTURES AND IMPROVEMENTS - ASH PONDS                   </t>
  </si>
  <si>
    <t xml:space="preserve">  TRIMBLE COUNTY UNIT 2 ASH POND</t>
  </si>
  <si>
    <t>100-S4</t>
  </si>
  <si>
    <t xml:space="preserve">  GHENT UNIT 1 SCRUBBER ASH POND</t>
  </si>
  <si>
    <t xml:space="preserve">  GHENT UNIT 1 ASH POND  </t>
  </si>
  <si>
    <t>TOTAL ACCOUNT 311.1 - STRUCTURES AND IMPROVEMENTS - ASH PONDS</t>
  </si>
  <si>
    <t>STRUCTURES AND IMPROVEMENTS - RETIRED PLANT</t>
  </si>
  <si>
    <t>65-R2</t>
  </si>
  <si>
    <t>BOILER PLANT EQUIPMENT - ASH PONDS</t>
  </si>
  <si>
    <t xml:space="preserve">  BROWN UNIT 1 ASH POND</t>
  </si>
  <si>
    <t xml:space="preserve">  BROWN UNIT 2 ASH POND</t>
  </si>
  <si>
    <t xml:space="preserve">  BROWN UNIT 3 ASH POND</t>
  </si>
  <si>
    <t xml:space="preserve">  GHENT UNIT 4 ASH POND</t>
  </si>
  <si>
    <t xml:space="preserve">  GHENT UNIT 2 SCRUBBER ASH POND</t>
  </si>
  <si>
    <t xml:space="preserve">  TYRONE UNIT 3 - ASH POND</t>
  </si>
  <si>
    <t xml:space="preserve">  GREEN RIVER UNIT 3 - ASH POND</t>
  </si>
  <si>
    <t xml:space="preserve">  PINEVILLE UNIT 3 - ASH POND</t>
  </si>
  <si>
    <t>TOTAL ACCOUNT 312.1 - BOILER PLANT EQUIPMENT - ASH PONDS</t>
  </si>
  <si>
    <t>BOILER PLANT EQUIPMENT - RETIRED PLANT</t>
  </si>
  <si>
    <t>TURBOGENERATOR UNITS - RETIRED PLANT</t>
  </si>
  <si>
    <t>TOTAL ACCOUNT 314.1 - TURBOGENERATOR UNITS - RETIRED PLANT</t>
  </si>
  <si>
    <t>70-R3</t>
  </si>
  <si>
    <t>ACCESSORY ELECTRIC EQUIPMENT - RETIRED PLANT</t>
  </si>
  <si>
    <t>TOTAL ACCOUNT 315.1 - ACCESSORY ELECTRIC EQUIPMENT - RETIRED PLANT</t>
  </si>
  <si>
    <t xml:space="preserve">MISCELLANEOUS PLANT EQUIPMENT </t>
  </si>
  <si>
    <t>75-R1.5</t>
  </si>
  <si>
    <t>TOTAL ACCOUNT 316 - MISCELLANEOUS PLANT EQUIPMENT</t>
  </si>
  <si>
    <t>MISCELLANEOUS PLANT EQUIPMENT - RETIRED PLANT</t>
  </si>
  <si>
    <t>TOTAL ACCOUNT 316.1 - MISCELLANEOUS PLANT EQUIPMENT - RETIRED PLANT</t>
  </si>
  <si>
    <t>HYDROELECTRIC PRODUCTION PLANT</t>
  </si>
  <si>
    <t>RESERVOIRS, DAMS &amp; WATERWAY</t>
  </si>
  <si>
    <t>105-S2.5</t>
  </si>
  <si>
    <t>TOTAL ACCOUNT 332 - RESERVOIRS, DAMS &amp; WATERWAYS</t>
  </si>
  <si>
    <t>WATER WHEELS, TURBINES &amp; GENERATORS</t>
  </si>
  <si>
    <t>TOTAL ACCOUNT 333 - WATER WHEELS, TURBINES &amp; GENERATORS</t>
  </si>
  <si>
    <t>40-S0</t>
  </si>
  <si>
    <t>ROADS, RAILROADS &amp; BRIDGES</t>
  </si>
  <si>
    <t>60-R4</t>
  </si>
  <si>
    <t>TOTAL ACCOUNT 336 - ROADS, RAILROADS &amp; BRIDGES</t>
  </si>
  <si>
    <t xml:space="preserve">    TOTAL HYDROELECTRIC PRODUCTION PLANT </t>
  </si>
  <si>
    <t>TOTAL ACCOUNT 340.1 - LAND AND LAND RIGHTS</t>
  </si>
  <si>
    <t xml:space="preserve">  CANE RUN CC 7</t>
  </si>
  <si>
    <t>50-R2.5</t>
  </si>
  <si>
    <t xml:space="preserve">  CANE RUN GAS PIPELINE</t>
  </si>
  <si>
    <t>55-S2.5</t>
  </si>
  <si>
    <t>50-R3</t>
  </si>
  <si>
    <t xml:space="preserve">MISCELLANEOUS PLANT EQUIPMENT                 </t>
  </si>
  <si>
    <t>40-R2</t>
  </si>
  <si>
    <t>TOTAL ACCOUNT 346 - MISCELLANEOUS PLANT EQUIPMENT</t>
  </si>
  <si>
    <t xml:space="preserve">LAND AND LAND RIGHTS        </t>
  </si>
  <si>
    <t>STRUCTURES &amp; IMPROVEMENTS - NON SYS CONTROL/COM</t>
  </si>
  <si>
    <t xml:space="preserve">STRUCTURES &amp; IMPROVEMENTS - SYS CONTROL/COM  </t>
  </si>
  <si>
    <t>45-R2</t>
  </si>
  <si>
    <t>58-R2</t>
  </si>
  <si>
    <t>65-R3</t>
  </si>
  <si>
    <t>40-R3</t>
  </si>
  <si>
    <t xml:space="preserve">LAND AND LAND RIGHTS               </t>
  </si>
  <si>
    <t xml:space="preserve">POLES, TOWERS, AND FIXTURES        </t>
  </si>
  <si>
    <t>50-R1.5</t>
  </si>
  <si>
    <t>47-R1</t>
  </si>
  <si>
    <t>48-R2</t>
  </si>
  <si>
    <t>46-R2</t>
  </si>
  <si>
    <t>48-R1</t>
  </si>
  <si>
    <t>46-R1.5</t>
  </si>
  <si>
    <t>METERS - AMS</t>
  </si>
  <si>
    <t>15-S2.5</t>
  </si>
  <si>
    <t xml:space="preserve">INSTALLATIONS ON CUSTOMERS' PREMISES </t>
  </si>
  <si>
    <t>28-O1</t>
  </si>
  <si>
    <t>28-L0.5</t>
  </si>
  <si>
    <t>New meter analysis by John Spanos</t>
  </si>
  <si>
    <t>METERS</t>
  </si>
  <si>
    <t>28-L1</t>
  </si>
  <si>
    <t>METERING EQUIPMENT</t>
  </si>
  <si>
    <t>50-S0</t>
  </si>
  <si>
    <t>33-R1.5</t>
  </si>
  <si>
    <t>14-S2</t>
  </si>
  <si>
    <t>16-L2.5</t>
  </si>
  <si>
    <t xml:space="preserve">POWER OPERATED EQUIPMENT       </t>
  </si>
  <si>
    <t>16-L5</t>
  </si>
  <si>
    <t>COMMUNICATION EQUIPMENT - MICROWAVE, FIBER AND OTHER</t>
  </si>
  <si>
    <t>18-L3</t>
  </si>
  <si>
    <t>COMMUNICATION EQUIPMENT - RADIO AND TELEPHONE</t>
  </si>
  <si>
    <t>COMMUNICATION EQUIPMENT - DSM</t>
  </si>
  <si>
    <t>-1%,-6%,-7%,-13%</t>
  </si>
  <si>
    <t>-6%,-7%,-13%</t>
  </si>
  <si>
    <t>-3%</t>
  </si>
  <si>
    <t>-6%,-7%,-10%,-12%</t>
  </si>
  <si>
    <t>-6%,-7%,-12%</t>
  </si>
  <si>
    <t>-25%</t>
  </si>
  <si>
    <t>-40%</t>
  </si>
  <si>
    <t>-75%</t>
  </si>
  <si>
    <t>65-R4, 70-R3</t>
  </si>
  <si>
    <t>-15%</t>
  </si>
  <si>
    <t>45-R2, 60-R2</t>
  </si>
  <si>
    <t>-20%</t>
  </si>
  <si>
    <t>-50%</t>
  </si>
  <si>
    <t>-30%</t>
  </si>
  <si>
    <t>-5%</t>
  </si>
  <si>
    <t>-10%</t>
  </si>
  <si>
    <t>15-S2.5, 28-L1</t>
  </si>
  <si>
    <t>-10%,-15%</t>
  </si>
  <si>
    <t>33-R1.5, 50-S0</t>
  </si>
  <si>
    <t>10-SQ, 18-L3</t>
  </si>
  <si>
    <t>14-S2, 16-L2.5</t>
  </si>
  <si>
    <t>3.1-3.5</t>
  </si>
  <si>
    <t>18.0-39.2</t>
  </si>
  <si>
    <t>2.2-9.9</t>
  </si>
  <si>
    <t>10.8-13.9</t>
  </si>
  <si>
    <t>5.6-13.4</t>
  </si>
  <si>
    <t>4.3-14.7</t>
  </si>
  <si>
    <t>47.9-59.5</t>
  </si>
  <si>
    <t>150080KU</t>
  </si>
  <si>
    <t>GS GE Black Start KU</t>
  </si>
  <si>
    <t>150841</t>
  </si>
  <si>
    <t>PR Ghent-Scott County</t>
  </si>
  <si>
    <t>151598</t>
  </si>
  <si>
    <t>N1DT KU Spare Transformers</t>
  </si>
  <si>
    <t>149992</t>
  </si>
  <si>
    <t>BUILDING - NORTON VA</t>
  </si>
  <si>
    <t>148980</t>
  </si>
  <si>
    <t>TOYOTA SOUTH SUBSTATION</t>
  </si>
  <si>
    <t>151126KU</t>
  </si>
  <si>
    <t>GS GE BlackStart TC KU</t>
  </si>
  <si>
    <t>135361</t>
  </si>
  <si>
    <t>REL LEXPLNT-PISGH 69RBLD</t>
  </si>
  <si>
    <t>131338</t>
  </si>
  <si>
    <t>081KU14</t>
  </si>
  <si>
    <t>SE KY MW Buildout-KU14</t>
  </si>
  <si>
    <t>150717</t>
  </si>
  <si>
    <t>N1DT WEST HICKMAN EXPANSION</t>
  </si>
  <si>
    <t>142753KU</t>
  </si>
  <si>
    <t>TC2 KU IGNIT FUEL 2015</t>
  </si>
  <si>
    <t>147942</t>
  </si>
  <si>
    <t>BRCT5 C Insp &amp; Parts Recond</t>
  </si>
  <si>
    <t>151554</t>
  </si>
  <si>
    <t>PR Hardinsburg-C Hardin EKPC</t>
  </si>
  <si>
    <t>133468</t>
  </si>
  <si>
    <t>GH3 SCR L1 Replacement</t>
  </si>
  <si>
    <t>152589</t>
  </si>
  <si>
    <t>Corbin US Steel Substation</t>
  </si>
  <si>
    <t>152003</t>
  </si>
  <si>
    <t>BR SCR Arsenic Mitigation</t>
  </si>
  <si>
    <t>131355</t>
  </si>
  <si>
    <t>Ghent Redesign 138kV Sub</t>
  </si>
  <si>
    <t>150644</t>
  </si>
  <si>
    <t>Ghent Redesign 138kV-P&amp;C</t>
  </si>
  <si>
    <t>144179</t>
  </si>
  <si>
    <t>GH1 Boiler Lwr Sidewall Panel</t>
  </si>
  <si>
    <t>152582</t>
  </si>
  <si>
    <t>DCC Fac Enhance KU</t>
  </si>
  <si>
    <t>150743</t>
  </si>
  <si>
    <t>36DSP West Hickman Expansion</t>
  </si>
  <si>
    <t>133470</t>
  </si>
  <si>
    <t>GH4 SCR L1 Regen 2017</t>
  </si>
  <si>
    <t>149705</t>
  </si>
  <si>
    <t>TEP-W Lex Reactor Additions</t>
  </si>
  <si>
    <t>152975</t>
  </si>
  <si>
    <t>KU Dist Automation</t>
  </si>
  <si>
    <t>IT0101K</t>
  </si>
  <si>
    <t>Smallworld GIS Upgr-KU17-19</t>
  </si>
  <si>
    <t>149122</t>
  </si>
  <si>
    <t>BR3 F-2 Feedwater Heater Repl</t>
  </si>
  <si>
    <t>147905</t>
  </si>
  <si>
    <t>GH1 &amp; 2 LPSW Pipe Repl</t>
  </si>
  <si>
    <t>151761</t>
  </si>
  <si>
    <t>Fawkes Firewall/Cap Bank</t>
  </si>
  <si>
    <t>139670KU</t>
  </si>
  <si>
    <t>GS CDM CIP Ver 6.0 KU</t>
  </si>
  <si>
    <t>151754</t>
  </si>
  <si>
    <t>KU Breaker Replacements</t>
  </si>
  <si>
    <t>151177</t>
  </si>
  <si>
    <t>TEP-Hardin Co Xfmr Add</t>
  </si>
  <si>
    <t>IT0077K</t>
  </si>
  <si>
    <t>Oracle NMS Upgrade-KU17</t>
  </si>
  <si>
    <t>131203</t>
  </si>
  <si>
    <t>152401</t>
  </si>
  <si>
    <t>Green River C&amp;P/Switch Rpl</t>
  </si>
  <si>
    <t>151356</t>
  </si>
  <si>
    <t>GH1 Air Bucket Replacement</t>
  </si>
  <si>
    <t>146434</t>
  </si>
  <si>
    <t>DX Dam Parapet Wall</t>
  </si>
  <si>
    <t>138KU16</t>
  </si>
  <si>
    <t>PowerPlant Module Upgr-KU16</t>
  </si>
  <si>
    <t>151430</t>
  </si>
  <si>
    <t>GH1 Hydrogen Cooler Heads</t>
  </si>
  <si>
    <t>152225</t>
  </si>
  <si>
    <t>Brown N 345kV 934 Brkr Rpl</t>
  </si>
  <si>
    <t>150218</t>
  </si>
  <si>
    <t>KU Ky Wired Non-reimb</t>
  </si>
  <si>
    <t>152358</t>
  </si>
  <si>
    <t>TEP-Hardin Co Xfmr Add-P&amp;C</t>
  </si>
  <si>
    <t>137206</t>
  </si>
  <si>
    <t>BRCT 11N2 SFC Controls Upgrade</t>
  </si>
  <si>
    <t>IT0011K</t>
  </si>
  <si>
    <t>Cascade Biennial Tech-KU17</t>
  </si>
  <si>
    <t>151764</t>
  </si>
  <si>
    <t>KU Fence Replacements</t>
  </si>
  <si>
    <t>IT0059K</t>
  </si>
  <si>
    <t>Mob Disp Rep (Elect OMS)-KU17</t>
  </si>
  <si>
    <t>144291</t>
  </si>
  <si>
    <t>GH1 Coal Handling Controls</t>
  </si>
  <si>
    <t>152049KU</t>
  </si>
  <si>
    <t>TC2 BOILER WW REPL</t>
  </si>
  <si>
    <t>152976</t>
  </si>
  <si>
    <t>REL KU CIFI RAP -2017</t>
  </si>
  <si>
    <t>152999</t>
  </si>
  <si>
    <t>REL SYS Hard KU RAP 2017</t>
  </si>
  <si>
    <t>147928</t>
  </si>
  <si>
    <t>BR 1A Feedwater Heater Repl</t>
  </si>
  <si>
    <t>144632</t>
  </si>
  <si>
    <t>REL-Cawood 604 Brkr Addition</t>
  </si>
  <si>
    <t>144636</t>
  </si>
  <si>
    <t>REL-Stanford 604 Brkr Add</t>
  </si>
  <si>
    <t>144637</t>
  </si>
  <si>
    <t>REL-Camargo 604 Brkr Add</t>
  </si>
  <si>
    <t>148370</t>
  </si>
  <si>
    <t>REL-Hoover 604 Breaker Add</t>
  </si>
  <si>
    <t>148371</t>
  </si>
  <si>
    <t>REL-Earlington 604 Brkr Add</t>
  </si>
  <si>
    <t>151777</t>
  </si>
  <si>
    <t>Finchville Control House</t>
  </si>
  <si>
    <t>152824</t>
  </si>
  <si>
    <t>Transmission LnCl KU 2017</t>
  </si>
  <si>
    <t>137683</t>
  </si>
  <si>
    <t>GH Conveyor Belt Repl 17</t>
  </si>
  <si>
    <t>IT0105K</t>
  </si>
  <si>
    <t>Tech Refesh desk/lap-KU17</t>
  </si>
  <si>
    <t>147405</t>
  </si>
  <si>
    <t>GH1-6 Feeder &amp; Outlet Hop Repl</t>
  </si>
  <si>
    <t>152865</t>
  </si>
  <si>
    <t>N1DT STR Stonewall 2 Dist</t>
  </si>
  <si>
    <t>IT0003K</t>
  </si>
  <si>
    <t>AIS Deciscion Trans-KU17</t>
  </si>
  <si>
    <t>152619</t>
  </si>
  <si>
    <t>KU Spare Misc Equip</t>
  </si>
  <si>
    <t>IT0029K</t>
  </si>
  <si>
    <t>Electric Inspect Enhance-KU17</t>
  </si>
  <si>
    <t>IT0114K</t>
  </si>
  <si>
    <t>TRMS Upgrade-KU17</t>
  </si>
  <si>
    <t>151765</t>
  </si>
  <si>
    <t>KU Physical Security Upgrades</t>
  </si>
  <si>
    <t>151382</t>
  </si>
  <si>
    <t>GH2 Boiler Bldg LED Lighting</t>
  </si>
  <si>
    <t>147903</t>
  </si>
  <si>
    <t>BR2 Hydrogen Coolers Retube</t>
  </si>
  <si>
    <t>IT0018K</t>
  </si>
  <si>
    <t>CIP Compliance Infr Yr7-KU17</t>
  </si>
  <si>
    <t>147961</t>
  </si>
  <si>
    <t>BRCT11 AVR Upgrade</t>
  </si>
  <si>
    <t>151987</t>
  </si>
  <si>
    <t>BR FGD Abs Inlet Exp Jnt Repl</t>
  </si>
  <si>
    <t>153208</t>
  </si>
  <si>
    <t>BRCT8 AVR Upgrade</t>
  </si>
  <si>
    <t>153210</t>
  </si>
  <si>
    <t>BRCT9 AVR Upgrade</t>
  </si>
  <si>
    <t>153211</t>
  </si>
  <si>
    <t>BRCT10 AVR Upgrade</t>
  </si>
  <si>
    <t>148391</t>
  </si>
  <si>
    <t>Prop. Tax Cap. - KU Non-Mech</t>
  </si>
  <si>
    <t>IT0060K</t>
  </si>
  <si>
    <t>Mobile Infra-KU17</t>
  </si>
  <si>
    <t>148175KU</t>
  </si>
  <si>
    <t>GS CDM Industrial Defender KU</t>
  </si>
  <si>
    <t>144444</t>
  </si>
  <si>
    <t>BR1&amp;2 Permanent Vac Line</t>
  </si>
  <si>
    <t>145011</t>
  </si>
  <si>
    <t>KU CAMERAS 2017</t>
  </si>
  <si>
    <t>151885</t>
  </si>
  <si>
    <t>BR3-F Htr Extraction Chk Valve</t>
  </si>
  <si>
    <t>148798</t>
  </si>
  <si>
    <t>SCM2017 LEX REPL REGULATORS</t>
  </si>
  <si>
    <t>151763</t>
  </si>
  <si>
    <t>KU Coupling Capacitor Rpl</t>
  </si>
  <si>
    <t>IT0115K</t>
  </si>
  <si>
    <t>TRODS-KU17</t>
  </si>
  <si>
    <t>IT0006K</t>
  </si>
  <si>
    <t>Aspect Workfor Sched App-KU17</t>
  </si>
  <si>
    <t>IT0024K</t>
  </si>
  <si>
    <t>Daily Shift Log Repl-KU17</t>
  </si>
  <si>
    <t>IT0044K</t>
  </si>
  <si>
    <t>Impedance App-KU17</t>
  </si>
  <si>
    <t>IT0103K</t>
  </si>
  <si>
    <t>Sys Lab software replace-KU16</t>
  </si>
  <si>
    <t>148797</t>
  </si>
  <si>
    <t>SCM2017 LEX REPL BUSHINGS</t>
  </si>
  <si>
    <t>IT0050K</t>
  </si>
  <si>
    <t>Next Gen Radio Sys Des-KU17</t>
  </si>
  <si>
    <t>152998</t>
  </si>
  <si>
    <t>KU CEMI RAP - 2017</t>
  </si>
  <si>
    <t>153000</t>
  </si>
  <si>
    <t>KU Enhanced Tap Ln Coor</t>
  </si>
  <si>
    <t>148745</t>
  </si>
  <si>
    <t>SCM2017 LEX REPL SUB BATTERY</t>
  </si>
  <si>
    <t>148792</t>
  </si>
  <si>
    <t>SCM2017 KU RPL XFMR FANS</t>
  </si>
  <si>
    <t>IT0085K</t>
  </si>
  <si>
    <t>Rate Case 2017-KU17</t>
  </si>
  <si>
    <t>IT0015K</t>
  </si>
  <si>
    <t>CIP Compliance Tools Yr7-KU17</t>
  </si>
  <si>
    <t>141310</t>
  </si>
  <si>
    <t>Barlow - Pole Racks</t>
  </si>
  <si>
    <t>149480</t>
  </si>
  <si>
    <t>KU FURN &amp; CHAIR 2017</t>
  </si>
  <si>
    <t>144306</t>
  </si>
  <si>
    <t>GH2 ESS MCC Transfer Swt</t>
  </si>
  <si>
    <t>IT0073K</t>
  </si>
  <si>
    <t>OpenText HR- Mercer file-KU17</t>
  </si>
  <si>
    <t>152829</t>
  </si>
  <si>
    <t>Dist Crossing Rel for NRP</t>
  </si>
  <si>
    <t>IT0004K</t>
  </si>
  <si>
    <t>Analog Sunset-KU17</t>
  </si>
  <si>
    <t>152756</t>
  </si>
  <si>
    <t>GH 1-2 CWP Major Overhaul</t>
  </si>
  <si>
    <t>137730</t>
  </si>
  <si>
    <t>COMP-RELATED EQUIP-KU 2017</t>
  </si>
  <si>
    <t>148794</t>
  </si>
  <si>
    <t>SCM2017 LEX MISC CAPITAL SUB</t>
  </si>
  <si>
    <t>IT0074K</t>
  </si>
  <si>
    <t>OpenText Reg and Rates-KU17</t>
  </si>
  <si>
    <t>148793</t>
  </si>
  <si>
    <t>SCM2017 KU LIGHTNING PROTECT</t>
  </si>
  <si>
    <t>148795</t>
  </si>
  <si>
    <t>SCM2017 LEX MISC NESC COMPL</t>
  </si>
  <si>
    <t>133076KU</t>
  </si>
  <si>
    <t>GS GE Dam Impnd KU</t>
  </si>
  <si>
    <t>145403</t>
  </si>
  <si>
    <t>141315</t>
  </si>
  <si>
    <t>Campbellsville - Pole Racks</t>
  </si>
  <si>
    <t>IT0056K</t>
  </si>
  <si>
    <t>Microsoft Office Upgrade-KU17</t>
  </si>
  <si>
    <t>144494KU</t>
  </si>
  <si>
    <t>GS GE PDM Equip Upgrade KU</t>
  </si>
  <si>
    <t>147401</t>
  </si>
  <si>
    <t>GH3 11th Stage Ext Val Repl</t>
  </si>
  <si>
    <t>148132KU</t>
  </si>
  <si>
    <t>GS GE CV Landfill Instrum KU</t>
  </si>
  <si>
    <t>IT0122K</t>
  </si>
  <si>
    <t>Windows 10 Remediation-KU17</t>
  </si>
  <si>
    <t>IT0008K</t>
  </si>
  <si>
    <t>Bulk Power &amp; Env Sys-KU17</t>
  </si>
  <si>
    <t>IT0079K</t>
  </si>
  <si>
    <t>Outside Cable Plant-KU17</t>
  </si>
  <si>
    <t>IT0049K</t>
  </si>
  <si>
    <t>KU MW Tower Repl Badger-KU17</t>
  </si>
  <si>
    <t>148167KU</t>
  </si>
  <si>
    <t>GS CDM MOD 025 KU</t>
  </si>
  <si>
    <t>141329</t>
  </si>
  <si>
    <t>Harlan - Pole Racks</t>
  </si>
  <si>
    <t>145109</t>
  </si>
  <si>
    <t>Etown Distr Storeroom Rack</t>
  </si>
  <si>
    <t>148779</t>
  </si>
  <si>
    <t>SCM2017 DAN FAILED BRKR/RECL</t>
  </si>
  <si>
    <t>148780</t>
  </si>
  <si>
    <t>SCM2017 DAN MISC CAPITAL PROJ</t>
  </si>
  <si>
    <t>IT0051K</t>
  </si>
  <si>
    <t>Louisville Elect Upgrds-KU17</t>
  </si>
  <si>
    <t>IT0061K</t>
  </si>
  <si>
    <t>Mobile Radio-KU17</t>
  </si>
  <si>
    <t>IT0094K</t>
  </si>
  <si>
    <t>Server Hardware Refr-KU17</t>
  </si>
  <si>
    <t>IT0048K</t>
  </si>
  <si>
    <t>IT Security CIP Lab Enhn-KU17</t>
  </si>
  <si>
    <t>IT0053K</t>
  </si>
  <si>
    <t>Microsoft AppV Major Upg-KU17</t>
  </si>
  <si>
    <t>IT0084K</t>
  </si>
  <si>
    <t>Purch/Rebuild Radio Site-KU17</t>
  </si>
  <si>
    <t>148740</t>
  </si>
  <si>
    <t>SCM2017 DAN REPL SUB BATTERY</t>
  </si>
  <si>
    <t>IT0062K</t>
  </si>
  <si>
    <t>Monitor Replacement-KU17</t>
  </si>
  <si>
    <t>IT0071K</t>
  </si>
  <si>
    <t>Network Test Equip-KU17</t>
  </si>
  <si>
    <t>148741</t>
  </si>
  <si>
    <t>SCM2017 DAN REPL LEGACY BRKR</t>
  </si>
  <si>
    <t>IT0121K</t>
  </si>
  <si>
    <t>Phone Expansion-KU17</t>
  </si>
  <si>
    <t>148799</t>
  </si>
  <si>
    <t>SCM2017 LEX WILDLIFE PROTECT</t>
  </si>
  <si>
    <t>IT0067K</t>
  </si>
  <si>
    <t>Network Access Dev-KU17</t>
  </si>
  <si>
    <t>IT0106K</t>
  </si>
  <si>
    <t>Telecom Shelter Renov-KU17</t>
  </si>
  <si>
    <t>IT0119K</t>
  </si>
  <si>
    <t>Upgrade Vmware Infra-KU17</t>
  </si>
  <si>
    <t>150719</t>
  </si>
  <si>
    <t>W. Hickman Sub Dist Circuit</t>
  </si>
  <si>
    <t>153085</t>
  </si>
  <si>
    <t>AMI - MDMS &amp; LICENSES - KU</t>
  </si>
  <si>
    <t>139696</t>
  </si>
  <si>
    <t>LEX UNDRGD-PHASE 1</t>
  </si>
  <si>
    <t>144909</t>
  </si>
  <si>
    <t>123906</t>
  </si>
  <si>
    <t>BRCT6 C Inspection</t>
  </si>
  <si>
    <t>148710</t>
  </si>
  <si>
    <t>DSP RICHMOND NORTH SUB PROJ</t>
  </si>
  <si>
    <t>144118</t>
  </si>
  <si>
    <t>GR 69kV Control House Rpl</t>
  </si>
  <si>
    <t>152333</t>
  </si>
  <si>
    <t>KU FAC CONSOLIDATION 2017-18</t>
  </si>
  <si>
    <t>138168</t>
  </si>
  <si>
    <t>DSP PAYNES MILL SUB PROJ</t>
  </si>
  <si>
    <t>148892</t>
  </si>
  <si>
    <t>N-1 DIST XFMR STONEWALL 2 SUB</t>
  </si>
  <si>
    <t>152630</t>
  </si>
  <si>
    <t>KU Cap and Pin Rpl</t>
  </si>
  <si>
    <t>147949</t>
  </si>
  <si>
    <t>BRCT11 C Insp &amp; Parts Recond</t>
  </si>
  <si>
    <t>148720</t>
  </si>
  <si>
    <t>N-1 DIST XFMR VILEY 2 SUB</t>
  </si>
  <si>
    <t>131980</t>
  </si>
  <si>
    <t>GH3 Primary SH Tube Repl</t>
  </si>
  <si>
    <t>148685</t>
  </si>
  <si>
    <t>DSP MT VERNON SUBSTATION PROJ</t>
  </si>
  <si>
    <t>144541</t>
  </si>
  <si>
    <t>BRCT Gas Pipeline Relocation</t>
  </si>
  <si>
    <t>144488</t>
  </si>
  <si>
    <t>TEP-Rodburn 138/69kV Xfrmr</t>
  </si>
  <si>
    <t>134256</t>
  </si>
  <si>
    <t>DSP VERSAILLES SUB</t>
  </si>
  <si>
    <t>144302</t>
  </si>
  <si>
    <t>GH2 4kv Switchgear</t>
  </si>
  <si>
    <t>131986</t>
  </si>
  <si>
    <t>153372</t>
  </si>
  <si>
    <t>PLC Replacements - KU</t>
  </si>
  <si>
    <t>152613</t>
  </si>
  <si>
    <t>KU Station Grounding</t>
  </si>
  <si>
    <t>151880</t>
  </si>
  <si>
    <t>ESR Existing Switch Repl</t>
  </si>
  <si>
    <t>147818</t>
  </si>
  <si>
    <t>SPIR Projects KU 2016-2025</t>
  </si>
  <si>
    <t>152840</t>
  </si>
  <si>
    <t>Hume Rd Sub phase 2 dist</t>
  </si>
  <si>
    <t>151766</t>
  </si>
  <si>
    <t>KU SST Additions</t>
  </si>
  <si>
    <t>144434</t>
  </si>
  <si>
    <t>BR3 HP Htr Repls (F2, G1 &amp; G2)</t>
  </si>
  <si>
    <t>148962</t>
  </si>
  <si>
    <t>2018 KU TRANSFORMER REWIND</t>
  </si>
  <si>
    <t>IT0287K</t>
  </si>
  <si>
    <t>Tech Refesh desk/lap-KU18</t>
  </si>
  <si>
    <t>131865</t>
  </si>
  <si>
    <t>CIP-KU-2018</t>
  </si>
  <si>
    <t>153370</t>
  </si>
  <si>
    <t>Battery Replacements - KU</t>
  </si>
  <si>
    <t>152661KU</t>
  </si>
  <si>
    <t>TC2 B ID FAN OVERHAUL</t>
  </si>
  <si>
    <t>153371</t>
  </si>
  <si>
    <t>DFR Installations - KU</t>
  </si>
  <si>
    <t>BRMISCCAP</t>
  </si>
  <si>
    <t>BR Miscellaneous Cap</t>
  </si>
  <si>
    <t>152638</t>
  </si>
  <si>
    <t>KU Online Monitoring Equipment</t>
  </si>
  <si>
    <t>151809</t>
  </si>
  <si>
    <t>TEP-Rodburn 138/69kV-P&amp;C</t>
  </si>
  <si>
    <t>152792</t>
  </si>
  <si>
    <t>Richmond N. Sub</t>
  </si>
  <si>
    <t>149495</t>
  </si>
  <si>
    <t>KU REFURB &amp; BRANDING 2018</t>
  </si>
  <si>
    <t>IT0301K</t>
  </si>
  <si>
    <t>Rep ASTRO Spectra Yr 1/3-KU18</t>
  </si>
  <si>
    <t>IT0125K</t>
  </si>
  <si>
    <t>NE KY Build Des&amp;Yr 1/3-KU16-18</t>
  </si>
  <si>
    <t>151390</t>
  </si>
  <si>
    <t>GH Stn Srvce Water Piping Repl</t>
  </si>
  <si>
    <t>149345</t>
  </si>
  <si>
    <t>SC CAPITAL - 2016 BP - KU</t>
  </si>
  <si>
    <t>IT0201K</t>
  </si>
  <si>
    <t>ABB Upgrade-KU18</t>
  </si>
  <si>
    <t>IT0300K</t>
  </si>
  <si>
    <t>WMS Upgrade-KU18-19</t>
  </si>
  <si>
    <t>140182</t>
  </si>
  <si>
    <t>GH Conveyor Belt Repl 18</t>
  </si>
  <si>
    <t>IT0246K</t>
  </si>
  <si>
    <t>Mobile Dispatch Enhance-KU18</t>
  </si>
  <si>
    <t>152793</t>
  </si>
  <si>
    <t>Mt. Vernon Substation Dist</t>
  </si>
  <si>
    <t>IT0075K</t>
  </si>
  <si>
    <t>OpenText Transmission-KU17-18</t>
  </si>
  <si>
    <t>IT0259K</t>
  </si>
  <si>
    <t>OTN Ext Lex-Dix Ring-KU18</t>
  </si>
  <si>
    <t>151423</t>
  </si>
  <si>
    <t>GH2 Diesel Generators Upgrade</t>
  </si>
  <si>
    <t>137532</t>
  </si>
  <si>
    <t>Fiber/Telecomm Upgrades - 2018</t>
  </si>
  <si>
    <t>152665KU</t>
  </si>
  <si>
    <t>TC2 KU B FD FAN OVERHAUL</t>
  </si>
  <si>
    <t>151746</t>
  </si>
  <si>
    <t>REL-Hodgenville Switch Motor</t>
  </si>
  <si>
    <t>IT0274K</t>
  </si>
  <si>
    <t>SAP Roadmap Strategy -KU18</t>
  </si>
  <si>
    <t>152697KU</t>
  </si>
  <si>
    <t>TC2 HRH TURBINE BYPASS VALVE</t>
  </si>
  <si>
    <t>IT0305K</t>
  </si>
  <si>
    <t>Repl Quant Repeat Yr 1/2-KU18</t>
  </si>
  <si>
    <t>140059</t>
  </si>
  <si>
    <t>EMS DBASE EXPANSION-KU-2018</t>
  </si>
  <si>
    <t>152868</t>
  </si>
  <si>
    <t>URD Cable Repl/rejuv 2018</t>
  </si>
  <si>
    <t>IT0277K</t>
  </si>
  <si>
    <t>Server Hardware Refresh-KU18</t>
  </si>
  <si>
    <t>152140</t>
  </si>
  <si>
    <t>REL-Etown 4 811-615 Motor-Auto</t>
  </si>
  <si>
    <t>152143</t>
  </si>
  <si>
    <t>REL-Corbin 1 844-605 Auto</t>
  </si>
  <si>
    <t>152146</t>
  </si>
  <si>
    <t>REL-Mt Sterling 737-615 Auto</t>
  </si>
  <si>
    <t>151401</t>
  </si>
  <si>
    <t>GH3 RearWW Nose Arch Lwr Bends</t>
  </si>
  <si>
    <t>152695KU</t>
  </si>
  <si>
    <t>TC2 MS TURBINE BYPASS VALVE</t>
  </si>
  <si>
    <t>149486</t>
  </si>
  <si>
    <t>KU FAC IMPROVE 2018</t>
  </si>
  <si>
    <t>148915</t>
  </si>
  <si>
    <t>SCM2018 PINE RPL 22KV&amp;34KV BRK</t>
  </si>
  <si>
    <t>147225</t>
  </si>
  <si>
    <t>TEP-Hardinsburg-B.Branch Term2</t>
  </si>
  <si>
    <t>IT0219K</t>
  </si>
  <si>
    <t>EE DSM Filing-KU18-19</t>
  </si>
  <si>
    <t>148904</t>
  </si>
  <si>
    <t>SCM2018 EARL REPL LEGACY BRKRS</t>
  </si>
  <si>
    <t>IT0202K</t>
  </si>
  <si>
    <t>Access Switch Rotation-KU18</t>
  </si>
  <si>
    <t>152987</t>
  </si>
  <si>
    <t>BR BFP Overhauls</t>
  </si>
  <si>
    <t>148943</t>
  </si>
  <si>
    <t>SCM2018 LEX REPL BREAKERS</t>
  </si>
  <si>
    <t>131972</t>
  </si>
  <si>
    <t>BRCT7 C Inspection</t>
  </si>
  <si>
    <t>IT0211K</t>
  </si>
  <si>
    <t>CIP Compliance Tools Yr8-KU18</t>
  </si>
  <si>
    <t>151767</t>
  </si>
  <si>
    <t>KU Transformer Bushing Rpl</t>
  </si>
  <si>
    <t>148908</t>
  </si>
  <si>
    <t>SCM2018 LEX REPL LEGACY BRKR</t>
  </si>
  <si>
    <t>IT0220K</t>
  </si>
  <si>
    <t>Elec Facility Enhance-KU18-19</t>
  </si>
  <si>
    <t>152005</t>
  </si>
  <si>
    <t>GH2 Burner Replacement 17-19</t>
  </si>
  <si>
    <t>152006</t>
  </si>
  <si>
    <t>GH1 Burner Replacement 17-19</t>
  </si>
  <si>
    <t>139630</t>
  </si>
  <si>
    <t>Test Lab Equipment-2018-KU</t>
  </si>
  <si>
    <t>144311</t>
  </si>
  <si>
    <t>GH3 Upper Econ Upper Bank</t>
  </si>
  <si>
    <t>IT0215K</t>
  </si>
  <si>
    <t>CIP Compl Infrastrct Yr8-KU18</t>
  </si>
  <si>
    <t>148932</t>
  </si>
  <si>
    <t>SCM2018 EARL MISC CAPITAL SUB</t>
  </si>
  <si>
    <t>IT0241K</t>
  </si>
  <si>
    <t>Maximo Upgrade-KU18-19</t>
  </si>
  <si>
    <t>IT0111K</t>
  </si>
  <si>
    <t>Transmission Work Mgt-KU17-18</t>
  </si>
  <si>
    <t>IT0209K</t>
  </si>
  <si>
    <t>CERUS IV-KU18</t>
  </si>
  <si>
    <t>IT0242K</t>
  </si>
  <si>
    <t>Megastar &amp; DVM MW Repl-KU18</t>
  </si>
  <si>
    <t>152988</t>
  </si>
  <si>
    <t>BR Condensate Pump Overhauls</t>
  </si>
  <si>
    <t>IT0263K</t>
  </si>
  <si>
    <t>Purch/Rebuild Radio Site-KU18</t>
  </si>
  <si>
    <t>152860</t>
  </si>
  <si>
    <t>Paynes Mill Rd Sub/Dist/fds</t>
  </si>
  <si>
    <t>IT0237K</t>
  </si>
  <si>
    <t>KU Tower RepL Bch Grove-KU18</t>
  </si>
  <si>
    <t>148941</t>
  </si>
  <si>
    <t>SCM2018 LEX MISC CAPITAL SUB</t>
  </si>
  <si>
    <t>IT0283K</t>
  </si>
  <si>
    <t>SOA Middleware Upgrade-KU18</t>
  </si>
  <si>
    <t>152981</t>
  </si>
  <si>
    <t>BR3 BCWP Overhauls</t>
  </si>
  <si>
    <t>148938</t>
  </si>
  <si>
    <t>SCM2018 KU OIL CONTAINMENT UPG</t>
  </si>
  <si>
    <t>152693KU</t>
  </si>
  <si>
    <t>TC OFFICE UPGRADES</t>
  </si>
  <si>
    <t>148917</t>
  </si>
  <si>
    <t>SCM2018 PINE REPL LEGACY BRKR</t>
  </si>
  <si>
    <t>IT0204K</t>
  </si>
  <si>
    <t>Analog Sunset-KU18</t>
  </si>
  <si>
    <t>148937</t>
  </si>
  <si>
    <t>SCM2018 KU LTC OIL FILT ADDS</t>
  </si>
  <si>
    <t>144510KU</t>
  </si>
  <si>
    <t>GS CDM CIP Ver 7.0 KU</t>
  </si>
  <si>
    <t>148936</t>
  </si>
  <si>
    <t>SCM2018 KU 34KV SUB MISC</t>
  </si>
  <si>
    <t>IT0247K</t>
  </si>
  <si>
    <t>Mobile Infrastructure-KU18</t>
  </si>
  <si>
    <t>IT0216K</t>
  </si>
  <si>
    <t>Computer HW for LOB's-KU18</t>
  </si>
  <si>
    <t>141391</t>
  </si>
  <si>
    <t>145017</t>
  </si>
  <si>
    <t>KU CAMERAS 2018</t>
  </si>
  <si>
    <t>148907</t>
  </si>
  <si>
    <t>SCM2018 LEX LEGACY RTU REPL</t>
  </si>
  <si>
    <t>148902</t>
  </si>
  <si>
    <t>SCM2018 DAN REPL LEGACY BRKR</t>
  </si>
  <si>
    <t>140026</t>
  </si>
  <si>
    <t>GH Misc Motors 18</t>
  </si>
  <si>
    <t>149482</t>
  </si>
  <si>
    <t>KU FURN &amp; CHAIR 2018</t>
  </si>
  <si>
    <t>148957</t>
  </si>
  <si>
    <t>SCM2018 PINE MISC CAPITAL SUB</t>
  </si>
  <si>
    <t>IT0213K</t>
  </si>
  <si>
    <t>Citrix XenMobile Upgr-KU18</t>
  </si>
  <si>
    <t>148956</t>
  </si>
  <si>
    <t>SCM2018 PINE FAILED BRKR/RECL</t>
  </si>
  <si>
    <t>145020</t>
  </si>
  <si>
    <t>KU FIRE SYSTEMS 2018</t>
  </si>
  <si>
    <t>148945</t>
  </si>
  <si>
    <t>SCM2018 LEX REPL REGULATORS</t>
  </si>
  <si>
    <t>148944</t>
  </si>
  <si>
    <t>SCM2018 LEX REPL BUSHINGS</t>
  </si>
  <si>
    <t>144303</t>
  </si>
  <si>
    <t>GH3 Precip Rebuild</t>
  </si>
  <si>
    <t>149479</t>
  </si>
  <si>
    <t>KU FAILED EQP REPLACE 2018</t>
  </si>
  <si>
    <t>148905</t>
  </si>
  <si>
    <t>SCM2018 KU LEGACY RELAY REPL</t>
  </si>
  <si>
    <t>138842</t>
  </si>
  <si>
    <t>Grn Rvr Plnt-Hllsd 69kV Relo</t>
  </si>
  <si>
    <t>145122</t>
  </si>
  <si>
    <t>Richmond Remove Rise Pad</t>
  </si>
  <si>
    <t>IT0261K</t>
  </si>
  <si>
    <t>PeopleSoft Tools Enhance-KU18</t>
  </si>
  <si>
    <t>151369</t>
  </si>
  <si>
    <t>GH2 SH Outlet DMW Repl</t>
  </si>
  <si>
    <t>IT0248K</t>
  </si>
  <si>
    <t>Mobile Radio-KU18</t>
  </si>
  <si>
    <t>IT0298K</t>
  </si>
  <si>
    <t>Wireless Buildout-KU18</t>
  </si>
  <si>
    <t>IT0224K</t>
  </si>
  <si>
    <t>Exchange 20xx Upgrade-KU18</t>
  </si>
  <si>
    <t>148119</t>
  </si>
  <si>
    <t>TEP-Haefling Line Riser Rpl</t>
  </si>
  <si>
    <t>IT0266K</t>
  </si>
  <si>
    <t>Reporting/Business Intel-KU18</t>
  </si>
  <si>
    <t>IT0221K</t>
  </si>
  <si>
    <t>EMS CIP-KU18</t>
  </si>
  <si>
    <t>148926</t>
  </si>
  <si>
    <t>SCM2018 DAN FAILED BRKR/RECL</t>
  </si>
  <si>
    <t>142368</t>
  </si>
  <si>
    <t>Retail Hardware KU 2018</t>
  </si>
  <si>
    <t>148927</t>
  </si>
  <si>
    <t>SCM2018 DAN MISC CAPITAL PROJ</t>
  </si>
  <si>
    <t>IT0260K</t>
  </si>
  <si>
    <t>Outside Cable Plant-KU18</t>
  </si>
  <si>
    <t>IT0212K</t>
  </si>
  <si>
    <t>Citrix XenDsktp Mjr Upg-KU18</t>
  </si>
  <si>
    <t>IT0206K</t>
  </si>
  <si>
    <t>Bulk Power &amp; Env Syst-KU18</t>
  </si>
  <si>
    <t>137731</t>
  </si>
  <si>
    <t>COMP-RELATED EQUIP-KU 2018</t>
  </si>
  <si>
    <t>152126KU</t>
  </si>
  <si>
    <t>GS GE TR ONLINE DGA KU</t>
  </si>
  <si>
    <t>148959</t>
  </si>
  <si>
    <t>SCM2018 PINE WILDLIFE PROTECT</t>
  </si>
  <si>
    <t>145022</t>
  </si>
  <si>
    <t>KU SECURITY EQUIPMENT 2018</t>
  </si>
  <si>
    <t>IT0258K</t>
  </si>
  <si>
    <t>Open Text Data Automate-KU18</t>
  </si>
  <si>
    <t>IT0296K</t>
  </si>
  <si>
    <t>Video Streaming Appl Upg-KU18</t>
  </si>
  <si>
    <t>IT0291K</t>
  </si>
  <si>
    <t>TRODS-KU18</t>
  </si>
  <si>
    <t>IT0297K</t>
  </si>
  <si>
    <t>Phone Expan/Break Fix-KU18</t>
  </si>
  <si>
    <t>IT0256K</t>
  </si>
  <si>
    <t>Network Test Equip-KU18</t>
  </si>
  <si>
    <t>148942</t>
  </si>
  <si>
    <t>SCM2018 LEX MISC NESC COMPL</t>
  </si>
  <si>
    <t>144426</t>
  </si>
  <si>
    <t>152904</t>
  </si>
  <si>
    <t>GH Misc Safety/ERT</t>
  </si>
  <si>
    <t>151403</t>
  </si>
  <si>
    <t>GH3 RH Otlt Terminal Tube Repl</t>
  </si>
  <si>
    <t>148940</t>
  </si>
  <si>
    <t>SCM2018 KU LIGHTNING PROTECT</t>
  </si>
  <si>
    <t>IT0264K</t>
  </si>
  <si>
    <t>Rate Case 2018-KU18-19</t>
  </si>
  <si>
    <t>IT0290K</t>
  </si>
  <si>
    <t>Transmission Map-KU18</t>
  </si>
  <si>
    <t>IT0299K</t>
  </si>
  <si>
    <t>WMS Work Mgmt Sys Enh-KU18</t>
  </si>
  <si>
    <t>IT0253K</t>
  </si>
  <si>
    <t>Network Access Infrast-KU18</t>
  </si>
  <si>
    <t>IT0249K</t>
  </si>
  <si>
    <t>Monitor Replacement-KU18</t>
  </si>
  <si>
    <t>148958</t>
  </si>
  <si>
    <t>SCM2018 PINE MISC NESC COMPL</t>
  </si>
  <si>
    <t>148906</t>
  </si>
  <si>
    <t>SCM2018 LEX REPL SUB BATTERY</t>
  </si>
  <si>
    <t>148928</t>
  </si>
  <si>
    <t>SCM2018 DAN MISC NESC COMPL</t>
  </si>
  <si>
    <t>IT0244K</t>
  </si>
  <si>
    <t>Microsoft Lic True-up-KU18</t>
  </si>
  <si>
    <t>IT0265K</t>
  </si>
  <si>
    <t>Replace Video Units-KU18</t>
  </si>
  <si>
    <t>IT0275K</t>
  </si>
  <si>
    <t>Security Infrast Enhance-KU18</t>
  </si>
  <si>
    <t>148931</t>
  </si>
  <si>
    <t>SCM2018 EARL FAILED BRKR/RECL</t>
  </si>
  <si>
    <t>144316</t>
  </si>
  <si>
    <t>GH3 Electromatic Valve</t>
  </si>
  <si>
    <t>149489</t>
  </si>
  <si>
    <t>CARPET/FLOORING - KU 2018</t>
  </si>
  <si>
    <t>IT0026K</t>
  </si>
  <si>
    <t>Data Protection-KU17-18</t>
  </si>
  <si>
    <t>148918</t>
  </si>
  <si>
    <t>SCM2018 PINE REPL SUB BATTERY</t>
  </si>
  <si>
    <t>IT0276K</t>
  </si>
  <si>
    <t>Server Cap Expn &amp; Reliab-KU18</t>
  </si>
  <si>
    <t>150058KU</t>
  </si>
  <si>
    <t>TC KU COAL HAND BUILD ROOF</t>
  </si>
  <si>
    <t>IT0234K</t>
  </si>
  <si>
    <t>IT Security Infras-KU18</t>
  </si>
  <si>
    <t>151775</t>
  </si>
  <si>
    <t>Hillside Control House</t>
  </si>
  <si>
    <t>IT0288K</t>
  </si>
  <si>
    <t>Telecom Shelter Reno-KU18</t>
  </si>
  <si>
    <t>148965</t>
  </si>
  <si>
    <t>SCM2018 EARL TOOLS &amp; EQUIPMENT</t>
  </si>
  <si>
    <t>148946</t>
  </si>
  <si>
    <t>SCM2018 LEX WILDLIFE PROTECT</t>
  </si>
  <si>
    <t>IT0245K</t>
  </si>
  <si>
    <t>Mbl &amp; Wrkst Lic True-up-KU18</t>
  </si>
  <si>
    <t>148960</t>
  </si>
  <si>
    <t>SCM2018 PINE SUB BLDNG &amp; GND</t>
  </si>
  <si>
    <t>148929</t>
  </si>
  <si>
    <t>SCM2018 DAN WILDLIFE PROTECT</t>
  </si>
  <si>
    <t>IT0250K</t>
  </si>
  <si>
    <t>MR Hardware-KU18</t>
  </si>
  <si>
    <t>IT0207K</t>
  </si>
  <si>
    <t>Cabling Server Connect-KU18</t>
  </si>
  <si>
    <t>IT0238K</t>
  </si>
  <si>
    <t>Louisv Electrical Upgr-KU18</t>
  </si>
  <si>
    <t>148970</t>
  </si>
  <si>
    <t>SCM2018 DAN TOOLS &amp; EQUIPMENT</t>
  </si>
  <si>
    <t>148901</t>
  </si>
  <si>
    <t>SCM2018 DAN REPL SUB BATTERY</t>
  </si>
  <si>
    <t>IT0254K</t>
  </si>
  <si>
    <t>Network Access Gateways-KU18</t>
  </si>
  <si>
    <t>IT0280K</t>
  </si>
  <si>
    <t>Simpsonville Elect Upgr-KU18</t>
  </si>
  <si>
    <t>148964</t>
  </si>
  <si>
    <t>SCM2018 PINE TOOLS &amp; EQUIPMENT</t>
  </si>
  <si>
    <t>141643</t>
  </si>
  <si>
    <t>Meter Shop 2018 KU Lexington</t>
  </si>
  <si>
    <t>IT0282K</t>
  </si>
  <si>
    <t>Site Security Improvemts-KU18</t>
  </si>
  <si>
    <t>IT0251K</t>
  </si>
  <si>
    <t>Multi-Func Dev Ref-KU18</t>
  </si>
  <si>
    <t>IT0289K</t>
  </si>
  <si>
    <t>TOA-KU18</t>
  </si>
  <si>
    <t>152838</t>
  </si>
  <si>
    <t>Dist Capacitors KU 2018</t>
  </si>
  <si>
    <t>IT0295K</t>
  </si>
  <si>
    <t>Upgrade Vmware Infrast-KU18</t>
  </si>
  <si>
    <t>150221</t>
  </si>
  <si>
    <t>KU Ky Wired Reimbursable</t>
  </si>
  <si>
    <t>PAGE 9 OF 9</t>
  </si>
  <si>
    <t>PAGE 8 OF 9</t>
  </si>
  <si>
    <t>PAGE 7 OF 9</t>
  </si>
  <si>
    <t>PAGE 6 OF 9</t>
  </si>
  <si>
    <t>PAGE 5 OF 9</t>
  </si>
  <si>
    <t>PAGE 1 OF 9</t>
  </si>
  <si>
    <t>PAGE 2 OF 9</t>
  </si>
  <si>
    <t>PAGE 3 OF 9</t>
  </si>
  <si>
    <t>PAGE 4 OF 9</t>
  </si>
  <si>
    <t>0%,-1%,-6%,-7%,-13%</t>
  </si>
  <si>
    <t>27.4, 49.1</t>
  </si>
  <si>
    <t>0%,-6%,-7%,-13%</t>
  </si>
  <si>
    <t>100-R2.5, 100-S4</t>
  </si>
  <si>
    <t>65-R2, 100-S4</t>
  </si>
  <si>
    <t>20.5, 21.8</t>
  </si>
  <si>
    <t>12 months ended February 28, 2017</t>
  </si>
  <si>
    <t>As of February 28, 2017</t>
  </si>
  <si>
    <t>12 months ended June 30, 2018</t>
  </si>
  <si>
    <t>As of June 30, 2018</t>
  </si>
  <si>
    <t>KY Aug 2016 Forecast (2017BP-Preliminary)- No RC</t>
  </si>
  <si>
    <t>Jul 2018</t>
  </si>
  <si>
    <t>Aug 2018</t>
  </si>
  <si>
    <t>Sep 2018</t>
  </si>
  <si>
    <t>Oct 2018</t>
  </si>
  <si>
    <t>Nov 2018</t>
  </si>
  <si>
    <t>Dec 2018</t>
  </si>
  <si>
    <t>KU-1311 - Steam Production - ECR 2009 </t>
  </si>
  <si>
    <t>Beginning Accum Depreciation</t>
  </si>
  <si>
    <t>Total Depreciation/Amortization Expense</t>
  </si>
  <si>
    <t>Accum Depr Cost of Removal</t>
  </si>
  <si>
    <t>Ending Accum Depreciation/Reserve (incl COR)</t>
  </si>
  <si>
    <t>KU-1311 - Steam Production - ECR 2011 </t>
  </si>
  <si>
    <t>KU-1312 - Steam Production - ECR 2009 </t>
  </si>
  <si>
    <t>KU-1312 - Steam Production - ECR 2011 </t>
  </si>
  <si>
    <t>KU-1312 - Steam Production - ECR 2016 </t>
  </si>
  <si>
    <t>KU-1315 - Steam Production - ECR 2009 </t>
  </si>
  <si>
    <t>KU-1315 - Steam Production - ECR 2011 </t>
  </si>
  <si>
    <t>KU-1316 - Steam Production - ECR 2011 </t>
  </si>
  <si>
    <t>KU-1364 - Electric Distribution - ECR 2009 </t>
  </si>
  <si>
    <t>KU-1365 - Electric Distribution - ECR 2009 </t>
  </si>
  <si>
    <t>KU-1366 - Electric Distribution - ECR 2009 </t>
  </si>
  <si>
    <t>KU-1367 - Electric Distribution - ECR 2009 </t>
  </si>
  <si>
    <t>KU-1392 - Electric General - ECR 2009 </t>
  </si>
  <si>
    <t>LGE-1311 - Steam Production - ECR 2009 </t>
  </si>
  <si>
    <t>LGE-1311 - Steam Production - ECR 2011 </t>
  </si>
  <si>
    <t>LGE-1312 - Steam Production - ECR 2009 </t>
  </si>
  <si>
    <t>LGE-1312 - Steam Production - ECR 2011 </t>
  </si>
  <si>
    <t>LGE-1312 - Steam Production - ECR 2016 </t>
  </si>
  <si>
    <t>LGE-1315 - Steam Production - ECR 2009 </t>
  </si>
  <si>
    <t>LGE-1315 - Steam Production - ECR 2011 </t>
  </si>
  <si>
    <t>LGE-1316 - Steam Production - ECR 2009 </t>
  </si>
  <si>
    <t>LGE-1316 - Steam Production - ECR 2011 </t>
  </si>
  <si>
    <t xml:space="preserve">   KU-1312 - Steam Production - 2009 - COR</t>
  </si>
  <si>
    <t xml:space="preserve">   KU-1312 - Steam Production - 2011 - COR</t>
  </si>
  <si>
    <t xml:space="preserve">   KU-1392 - Electric General - 2009 -COR</t>
  </si>
  <si>
    <t xml:space="preserve">   KU-1392 - Electric General - 2009 - COR</t>
  </si>
  <si>
    <t>403 - ECR DEPRECIATION EXP</t>
  </si>
  <si>
    <t>407 - ECR CLOSURE COSTS</t>
  </si>
  <si>
    <t>408 - ECR PROPERTY TAX</t>
  </si>
  <si>
    <t>411 - ECR GAIN-DISP OF ALLOW</t>
  </si>
  <si>
    <t>501 - ECR STEAM FUEL EXP RECOVERABLE</t>
  </si>
  <si>
    <t>502 - ECR BOILER EXPENSE</t>
  </si>
  <si>
    <t>506 - ECR ENVIRONMENTAL EXP</t>
  </si>
  <si>
    <t>509 - ECR SO2/NOX EMISSION ALLOWANCES</t>
  </si>
  <si>
    <t>512 - ECR BOILER-ENVRNL</t>
  </si>
  <si>
    <t>549 - ECR MISC OTH PWR GEN EXP</t>
  </si>
  <si>
    <t>923 - ECR CONSULTANT FEE</t>
  </si>
  <si>
    <t>YE-Feb 2017</t>
  </si>
  <si>
    <t>FROM ECR EXPENSE MONTH FILINGS:</t>
  </si>
  <si>
    <t>407.3-REGULATORY DEBITS</t>
  </si>
  <si>
    <t>501253 - ECR Fly Ash Disposal</t>
  </si>
  <si>
    <t>502011 - ECR Other Waste Disposal</t>
  </si>
  <si>
    <t>BENEFICIAL REUSE IN BASE RATES (ES FORM 2.61)</t>
  </si>
  <si>
    <t xml:space="preserve"> 506159 - ECR Sorbent Injection Operation</t>
  </si>
  <si>
    <t xml:space="preserve"> 506152 - ECR Sorbent Reactant - Reagent Only</t>
  </si>
  <si>
    <t xml:space="preserve"> 512152 - ECR Sorbent Injection Maintenance</t>
  </si>
  <si>
    <t xml:space="preserve"> 506156 - ECR Baghouse Operations</t>
  </si>
  <si>
    <t xml:space="preserve"> 512156 - ECR Baghouse Maintenance</t>
  </si>
  <si>
    <t xml:space="preserve"> 506151 - ECR Activated Carbon</t>
  </si>
  <si>
    <t>506153 - ECR Liquid Injection - Reagent Only</t>
  </si>
  <si>
    <t>923 - ECR Consultant Fee</t>
  </si>
  <si>
    <t>SUMMARY BY ACCOUNT:</t>
  </si>
  <si>
    <t>403-404</t>
  </si>
  <si>
    <t>403 - ECR Depreciation</t>
  </si>
  <si>
    <t>407 - ECR Closure Costs</t>
  </si>
  <si>
    <t>408 - ECR Property Tax</t>
  </si>
  <si>
    <t>411 - ECR Gain Disp Allowances</t>
  </si>
  <si>
    <t>501 - ECR Fly Ash Disposal</t>
  </si>
  <si>
    <t>WC</t>
  </si>
  <si>
    <t>502 - ECR Other Waste Disposal</t>
  </si>
  <si>
    <t>506 - ECR Operation</t>
  </si>
  <si>
    <t>509 - ECR Allowances</t>
  </si>
  <si>
    <t>512 - ECR Steam Maintenance</t>
  </si>
  <si>
    <t>Total ECR O&amp;M</t>
  </si>
  <si>
    <t>ECR O&amp;M for Working Capital</t>
  </si>
  <si>
    <t>YE-Jun 2018</t>
  </si>
  <si>
    <t xml:space="preserve"> 506154 - ECR NOx Operation -- Consumables</t>
  </si>
  <si>
    <t xml:space="preserve"> 506155 - ECR NOx Operation -- Labor and Other</t>
  </si>
  <si>
    <t xml:space="preserve"> 512151 - ECR NOx Maintenance</t>
  </si>
  <si>
    <t xml:space="preserve"> 502013 - ECR Landfill Operations</t>
  </si>
  <si>
    <t xml:space="preserve"> 512107 - ECR Landfill Maintenance</t>
  </si>
  <si>
    <t>CASE NO. 2016-00370</t>
  </si>
  <si>
    <t xml:space="preserve">   KU Steam Production 2016 </t>
  </si>
  <si>
    <t>152832</t>
  </si>
  <si>
    <t>URD Cable Rep/Rejuv KU 2017</t>
  </si>
  <si>
    <t>151465</t>
  </si>
  <si>
    <t>Mobile Control House</t>
  </si>
  <si>
    <t>D. K. ARBOUGH</t>
  </si>
  <si>
    <t>SCH 1.1</t>
  </si>
  <si>
    <t>13 MO AVG FORECAST PERIOD         TOTAL COMPANY</t>
  </si>
  <si>
    <t>13 MO AVG FORECAST PERIOD        TOTAL COMPANY INVESTMENT</t>
  </si>
  <si>
    <t>TYPE OF FILING: _____ ORIGINAL  _____ UPDATED  __X__ REVISED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</si>
</sst>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7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\-mmm\-yy;@"/>
    <numFmt numFmtId="165" formatCode="mmm\-yyyy"/>
    <numFmt numFmtId="166" formatCode="[$-409]mmmm\ d\,\ yyyy;@"/>
    <numFmt numFmtId="167" formatCode="0\ 00\ 000\ 000"/>
    <numFmt numFmtId="168" formatCode="&quot;$&quot;#,##0\ ;\(&quot;$&quot;#,##0\)"/>
    <numFmt numFmtId="169" formatCode="_-* #,##0.00\ [$€]_-;\-* #,##0.00\ [$€]_-;_-* &quot;-&quot;??\ [$€]_-;_-@_-"/>
    <numFmt numFmtId="170" formatCode="[$-409]d\-mmm\-yyyy;@"/>
    <numFmt numFmtId="171" formatCode="#,##0.00;[Red]\(#,##0.00\)"/>
    <numFmt numFmtId="172" formatCode="[$-409]mmmm\-yy;@"/>
    <numFmt numFmtId="173" formatCode="_(* #,##0_);_(* \(#,##0\);_(* &quot;-&quot;??_);_(@_)"/>
    <numFmt numFmtId="174" formatCode="###0;###0"/>
    <numFmt numFmtId="175" formatCode=";;;"/>
    <numFmt numFmtId="176" formatCode="dd\-mmm\-yy_)"/>
    <numFmt numFmtId="177" formatCode="hh:mm\ AM/PM_)"/>
    <numFmt numFmtId="178" formatCode="0.0000%"/>
    <numFmt numFmtId="179" formatCode="_(* #,##0.00000_);_(* \(#,##0.00000\);_(* &quot;-&quot;??_);_(@_)"/>
    <numFmt numFmtId="180" formatCode="#,##0.00000_);\(#,##0.00000\)"/>
    <numFmt numFmtId="181" formatCode="0.000%"/>
    <numFmt numFmtId="182" formatCode="[$-409]mmm\-yy;@"/>
    <numFmt numFmtId="183" formatCode="0_);\(0\)"/>
    <numFmt numFmtId="184" formatCode="0.0"/>
    <numFmt numFmtId="185" formatCode="_(* #,##0.0_);_(* \(#,##0.0\);_(* &quot;-&quot;??_);_(@_)"/>
    <numFmt numFmtId="186" formatCode="#,##0_);[Red]\(#,##0\);&quot; &quot;"/>
    <numFmt numFmtId="187" formatCode="#,##0.0000_);\(#,##0.0000\)"/>
    <numFmt numFmtId="188" formatCode="_(&quot;$&quot;* #,##0_);_(&quot;$&quot;* \(#,##0\);_(&quot;$&quot;* &quot;-&quot;??_);_(@_)"/>
    <numFmt numFmtId="189" formatCode="&quot;$&quot;#,##0.00"/>
    <numFmt numFmtId="190" formatCode="d\-mmm\-yyyy"/>
    <numFmt numFmtId="191" formatCode="#,##0.00\ &quot;DM&quot;;[Red]\-#,##0.00\ &quot;DM&quot;"/>
    <numFmt numFmtId="192" formatCode="#,##0.000_);[Red]\(#,##0.000\);&quot; &quot;"/>
    <numFmt numFmtId="193" formatCode="."/>
    <numFmt numFmtId="194" formatCode="_(* #,##0.000_);_(* \(#,##0.000\);_(* &quot;-&quot;???_);_(@_)"/>
    <numFmt numFmtId="195" formatCode="_([$€-2]* #,##0.00_);_([$€-2]* \(#,##0.00\);_([$€-2]* &quot;-&quot;??_)"/>
    <numFmt numFmtId="196" formatCode="0.000"/>
    <numFmt numFmtId="197" formatCode="_-* #,##0\ _F_-;\-* #,##0\ _F_-;_-* &quot;-&quot;\ _F_-;_-@_-"/>
    <numFmt numFmtId="198" formatCode="_-* #,##0.00\ _F_-;\-* #,##0.00\ _F_-;_-* &quot;-&quot;??\ _F_-;_-@_-"/>
    <numFmt numFmtId="199" formatCode="_-* #,##0\ &quot;F&quot;_-;\-* #,##0\ &quot;F&quot;_-;_-* &quot;-&quot;\ &quot;F&quot;_-;_-@_-"/>
    <numFmt numFmtId="200" formatCode="_-* #,##0.00\ &quot;F&quot;_-;\-* #,##0.00\ &quot;F&quot;_-;_-* &quot;-&quot;??\ &quot;F&quot;_-;_-@_-"/>
    <numFmt numFmtId="201" formatCode="00000000"/>
    <numFmt numFmtId="202" formatCode="&quot;$&quot;#,##0_);[Red]\(&quot;$&quot;#,##0\);&quot; &quot;"/>
    <numFmt numFmtId="203" formatCode="_(* #,##0.0000000000_);_(* \(#,##0.0000000000\);_(* &quot;-&quot;??_);_(@_)"/>
    <numFmt numFmtId="204" formatCode="###,000"/>
    <numFmt numFmtId="205" formatCode="#,##0.00000_);[Red]\(#,##0.00000\);&quot; &quot;"/>
    <numFmt numFmtId="206" formatCode="#,##0.00%_);[Red]\(#,##0.00%\);&quot; &quot;"/>
    <numFmt numFmtId="207" formatCode="_(* #,##0.0000_);_(* \(#,##0.0000\);_(* &quot;-&quot;_);_(@_)"/>
    <numFmt numFmtId="208" formatCode="_(* #,##0.000_);_(* \(#,##0.000\);_(* &quot;-&quot;_);_(@_)"/>
    <numFmt numFmtId="209" formatCode="_(* #,##0.000_);_(* \(#,##0.000\);_(* &quot;-&quot;??_);_(@_)"/>
    <numFmt numFmtId="210" formatCode="0.00_);\(0.00\)"/>
    <numFmt numFmtId="211" formatCode="0.00000"/>
    <numFmt numFmtId="212" formatCode="#,##0.0_);[Red]\(#,##0.0\);&quot; &quot;"/>
    <numFmt numFmtId="213" formatCode="#,##0.00_);[Red]\(#,##0.00\);&quot; &quot;"/>
  </numFmts>
  <fonts count="215">
    <font>
      <sz val="10"/>
      <name val="Courie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indexed="8"/>
      <name val="Calibri"/>
      <family val="2"/>
    </font>
    <font>
      <sz val="11"/>
      <color theme="1"/>
      <name val="Times New Roman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1"/>
      <color indexed="20"/>
      <name val="Calibri"/>
      <family val="2"/>
    </font>
    <font>
      <sz val="10"/>
      <color indexed="20"/>
      <name val="Arial"/>
      <family val="2"/>
    </font>
    <font>
      <b/>
      <sz val="11"/>
      <color indexed="10"/>
      <name val="Calibri"/>
      <family val="2"/>
    </font>
    <font>
      <b/>
      <sz val="10"/>
      <color indexed="52"/>
      <name val="Arial"/>
      <family val="2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sz val="10"/>
      <color indexed="17"/>
      <name val="Arial"/>
      <family val="2"/>
    </font>
    <font>
      <b/>
      <sz val="8"/>
      <color indexed="9"/>
      <name val="Arial"/>
      <family val="2"/>
    </font>
    <font>
      <b/>
      <sz val="8"/>
      <color indexed="8"/>
      <name val="Arial"/>
      <family val="2"/>
    </font>
    <font>
      <b/>
      <sz val="8"/>
      <color indexed="8"/>
      <name val="Courier New"/>
      <family val="3"/>
    </font>
    <font>
      <sz val="10"/>
      <name val="Tahoma"/>
      <family val="2"/>
    </font>
    <font>
      <sz val="12"/>
      <name val="Times New Roman"/>
      <family val="1"/>
    </font>
    <font>
      <i/>
      <sz val="11"/>
      <color indexed="23"/>
      <name val="Calibri"/>
      <family val="2"/>
    </font>
    <font>
      <i/>
      <sz val="10"/>
      <color indexed="23"/>
      <name val="Arial"/>
      <family val="2"/>
    </font>
    <font>
      <sz val="10"/>
      <name val="Times New Roman"/>
      <family val="1"/>
    </font>
    <font>
      <b/>
      <sz val="14"/>
      <name val="Arial"/>
      <family val="2"/>
    </font>
    <font>
      <sz val="8"/>
      <name val="Arial"/>
      <family val="2"/>
    </font>
    <font>
      <sz val="6"/>
      <name val="Arial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5"/>
      <color indexed="62"/>
      <name val="Arial"/>
      <family val="2"/>
    </font>
    <font>
      <b/>
      <sz val="13"/>
      <color indexed="62"/>
      <name val="Calibri"/>
      <family val="2"/>
    </font>
    <font>
      <b/>
      <sz val="13"/>
      <color indexed="62"/>
      <name val="Arial"/>
      <family val="2"/>
    </font>
    <font>
      <b/>
      <sz val="11"/>
      <color indexed="62"/>
      <name val="Calibri"/>
      <family val="2"/>
    </font>
    <font>
      <b/>
      <sz val="11"/>
      <color indexed="62"/>
      <name val="Arial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sz val="10"/>
      <color indexed="62"/>
      <name val="Arial"/>
      <family val="2"/>
    </font>
    <font>
      <b/>
      <sz val="10"/>
      <color indexed="8"/>
      <name val="Arial"/>
      <family val="2"/>
    </font>
    <font>
      <sz val="11"/>
      <color indexed="10"/>
      <name val="Calibri"/>
      <family val="2"/>
    </font>
    <font>
      <sz val="10"/>
      <color indexed="52"/>
      <name val="Arial"/>
      <family val="2"/>
    </font>
    <font>
      <sz val="11"/>
      <color indexed="19"/>
      <name val="Calibri"/>
      <family val="2"/>
    </font>
    <font>
      <sz val="10"/>
      <color indexed="60"/>
      <name val="Arial"/>
      <family val="2"/>
    </font>
    <font>
      <sz val="12"/>
      <name val="Helv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sz val="11"/>
      <color indexed="8"/>
      <name val="Times New Roman"/>
      <family val="1"/>
    </font>
    <font>
      <b/>
      <i/>
      <sz val="10"/>
      <color indexed="8"/>
      <name val="Arial"/>
      <family val="2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10"/>
      <color indexed="17"/>
      <name val="Arial"/>
      <family val="2"/>
    </font>
    <font>
      <b/>
      <sz val="10"/>
      <color indexed="13"/>
      <name val="Arial"/>
      <family val="2"/>
    </font>
    <font>
      <b/>
      <sz val="22"/>
      <color indexed="8"/>
      <name val="Times New Roman"/>
      <family val="1"/>
    </font>
    <font>
      <b/>
      <i/>
      <sz val="22"/>
      <color indexed="8"/>
      <name val="Times New Roman"/>
      <family val="1"/>
    </font>
    <font>
      <sz val="10"/>
      <name val="MS Sans Serif"/>
      <family val="2"/>
    </font>
    <font>
      <b/>
      <sz val="10"/>
      <name val="MS Sans Serif"/>
      <family val="2"/>
    </font>
    <font>
      <b/>
      <sz val="12"/>
      <color indexed="8"/>
      <name val="Arial"/>
      <family val="2"/>
    </font>
    <font>
      <sz val="8"/>
      <color indexed="8"/>
      <name val="Arial"/>
      <family val="2"/>
    </font>
    <font>
      <sz val="8"/>
      <color indexed="12"/>
      <name val="Arial"/>
      <family val="2"/>
    </font>
    <font>
      <b/>
      <u/>
      <sz val="10"/>
      <name val="Arial"/>
      <family val="2"/>
    </font>
    <font>
      <sz val="10"/>
      <color indexed="16"/>
      <name val="Arial"/>
      <family val="2"/>
    </font>
    <font>
      <sz val="10"/>
      <color indexed="39"/>
      <name val="Arial"/>
      <family val="2"/>
    </font>
    <font>
      <sz val="19"/>
      <name val="Arial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0"/>
      <name val="Courier"/>
      <family val="3"/>
    </font>
    <font>
      <sz val="8"/>
      <color indexed="8"/>
      <name val="Wingdings"/>
      <charset val="2"/>
    </font>
    <font>
      <sz val="10"/>
      <name val="Arial"/>
      <family val="2"/>
    </font>
    <font>
      <sz val="10"/>
      <color rgb="FF000000"/>
      <name val="Times New Roman"/>
      <family val="1"/>
    </font>
    <font>
      <sz val="10"/>
      <color rgb="FF000000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u/>
      <sz val="10"/>
      <name val="Arial"/>
      <family val="2"/>
    </font>
    <font>
      <sz val="10"/>
      <color rgb="FFFF0000"/>
      <name val="Arial"/>
      <family val="2"/>
    </font>
    <font>
      <b/>
      <sz val="12"/>
      <name val="Times New Roman"/>
      <family val="1"/>
    </font>
    <font>
      <i/>
      <sz val="12"/>
      <name val="Times New Roman"/>
      <family val="1"/>
    </font>
    <font>
      <sz val="12"/>
      <name val="Arial"/>
      <family val="2"/>
    </font>
    <font>
      <sz val="8"/>
      <name val="Helv"/>
    </font>
    <font>
      <sz val="10"/>
      <color indexed="8"/>
      <name val="MS Sans Serif"/>
      <family val="2"/>
    </font>
    <font>
      <b/>
      <i/>
      <sz val="14"/>
      <name val="Arial"/>
      <family val="2"/>
    </font>
    <font>
      <b/>
      <sz val="11"/>
      <name val="Arial"/>
      <family val="2"/>
    </font>
    <font>
      <b/>
      <sz val="24"/>
      <name val="Arial Narrow"/>
      <family val="2"/>
    </font>
    <font>
      <b/>
      <i/>
      <sz val="12"/>
      <name val="Arial"/>
      <family val="2"/>
    </font>
    <font>
      <i/>
      <sz val="12"/>
      <name val="Arial"/>
      <family val="2"/>
    </font>
    <font>
      <sz val="9"/>
      <name val="Arial"/>
      <family val="2"/>
    </font>
    <font>
      <i/>
      <sz val="10"/>
      <name val="Arial"/>
      <family val="2"/>
    </font>
    <font>
      <sz val="9"/>
      <color indexed="18"/>
      <name val="Arial"/>
      <family val="2"/>
    </font>
    <font>
      <i/>
      <sz val="10"/>
      <color indexed="1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i/>
      <sz val="9"/>
      <color indexed="18"/>
      <name val="Arial"/>
      <family val="2"/>
    </font>
    <font>
      <sz val="8"/>
      <color indexed="38"/>
      <name val="Arial"/>
      <family val="2"/>
    </font>
    <font>
      <b/>
      <sz val="9"/>
      <name val="Arial"/>
      <family val="2"/>
    </font>
    <font>
      <b/>
      <i/>
      <sz val="16"/>
      <color indexed="8"/>
      <name val="Arial"/>
      <family val="2"/>
    </font>
    <font>
      <i/>
      <sz val="11"/>
      <name val="Arial"/>
      <family val="2"/>
    </font>
    <font>
      <sz val="11"/>
      <name val="Arial"/>
      <family val="2"/>
    </font>
    <font>
      <sz val="12"/>
      <color theme="1"/>
      <name val="Times New Roman"/>
      <family val="2"/>
    </font>
    <font>
      <sz val="12"/>
      <color theme="1"/>
      <name val="Times New Roman"/>
      <family val="1"/>
    </font>
    <font>
      <sz val="10"/>
      <color theme="1"/>
      <name val="Arial"/>
      <family val="2"/>
    </font>
    <font>
      <sz val="10"/>
      <name val="Courier"/>
      <family val="3"/>
    </font>
    <font>
      <sz val="11"/>
      <color theme="0"/>
      <name val="Calibri"/>
      <family val="2"/>
    </font>
    <font>
      <sz val="11"/>
      <color rgb="FF9C0006"/>
      <name val="Calibri"/>
      <family val="2"/>
    </font>
    <font>
      <b/>
      <sz val="11"/>
      <color rgb="FFFA7D00"/>
      <name val="Calibri"/>
      <family val="2"/>
    </font>
    <font>
      <b/>
      <sz val="11"/>
      <color theme="0"/>
      <name val="Calibri"/>
      <family val="2"/>
    </font>
    <font>
      <i/>
      <sz val="11"/>
      <color rgb="FF7F7F7F"/>
      <name val="Calibri"/>
      <family val="2"/>
    </font>
    <font>
      <sz val="11"/>
      <color rgb="FF006100"/>
      <name val="Calibri"/>
      <family val="2"/>
    </font>
    <font>
      <sz val="18"/>
      <name val="Arial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1"/>
      <color rgb="FF3F3F76"/>
      <name val="Calibri"/>
      <family val="2"/>
    </font>
    <font>
      <sz val="11"/>
      <color rgb="FFFA7D00"/>
      <name val="Calibri"/>
      <family val="2"/>
    </font>
    <font>
      <sz val="11"/>
      <color rgb="FF9C6500"/>
      <name val="Calibri"/>
      <family val="2"/>
    </font>
    <font>
      <b/>
      <sz val="11"/>
      <color rgb="FF3F3F3F"/>
      <name val="Calibri"/>
      <family val="2"/>
    </font>
    <font>
      <sz val="11"/>
      <color rgb="FFFF0000"/>
      <name val="Calibri"/>
      <family val="2"/>
    </font>
    <font>
      <sz val="14"/>
      <color theme="1"/>
      <name val="Calibri"/>
      <family val="2"/>
    </font>
    <font>
      <b/>
      <sz val="11"/>
      <color rgb="FFFF0000"/>
      <name val="Calibri"/>
      <family val="2"/>
    </font>
    <font>
      <sz val="12"/>
      <name val="Arial"/>
      <family val="2"/>
    </font>
    <font>
      <sz val="11"/>
      <name val="Calibri"/>
      <family val="2"/>
    </font>
    <font>
      <sz val="11"/>
      <color indexed="63"/>
      <name val="Calibri"/>
      <family val="2"/>
    </font>
    <font>
      <b/>
      <u/>
      <sz val="12"/>
      <name val="Times New Roman"/>
      <family val="1"/>
    </font>
    <font>
      <b/>
      <sz val="18"/>
      <color theme="3"/>
      <name val="Cambria"/>
      <family val="2"/>
      <scheme val="major"/>
    </font>
    <font>
      <b/>
      <sz val="12"/>
      <color indexed="10"/>
      <name val="Times New Roman"/>
      <family val="1"/>
    </font>
    <font>
      <sz val="12"/>
      <color indexed="12"/>
      <name val="Times New Roman"/>
      <family val="1"/>
    </font>
    <font>
      <sz val="12"/>
      <color indexed="10"/>
      <name val="Times New Roman"/>
      <family val="1"/>
    </font>
    <font>
      <b/>
      <sz val="12"/>
      <color indexed="12"/>
      <name val="Arial"/>
      <family val="2"/>
    </font>
    <font>
      <sz val="11"/>
      <color theme="0"/>
      <name val="Times New Roman"/>
      <family val="2"/>
    </font>
    <font>
      <sz val="11"/>
      <color rgb="FF9C0006"/>
      <name val="Times New Roman"/>
      <family val="2"/>
    </font>
    <font>
      <sz val="10"/>
      <name val="Helv"/>
    </font>
    <font>
      <b/>
      <sz val="11"/>
      <color theme="0"/>
      <name val="Times New Roman"/>
      <family val="2"/>
    </font>
    <font>
      <sz val="9"/>
      <color theme="1"/>
      <name val="Times New Roman"/>
      <family val="2"/>
    </font>
    <font>
      <i/>
      <sz val="11"/>
      <color rgb="FF7F7F7F"/>
      <name val="Times New Roman"/>
      <family val="2"/>
    </font>
    <font>
      <sz val="11"/>
      <color rgb="FF006100"/>
      <name val="Times New Roman"/>
      <family val="2"/>
    </font>
    <font>
      <b/>
      <sz val="15"/>
      <color indexed="56"/>
      <name val="Calibri"/>
      <family val="2"/>
    </font>
    <font>
      <b/>
      <sz val="15"/>
      <color theme="3"/>
      <name val="Times New Roman"/>
      <family val="2"/>
    </font>
    <font>
      <b/>
      <sz val="13"/>
      <color indexed="56"/>
      <name val="Calibri"/>
      <family val="2"/>
    </font>
    <font>
      <b/>
      <sz val="13"/>
      <color theme="3"/>
      <name val="Times New Roman"/>
      <family val="2"/>
    </font>
    <font>
      <b/>
      <sz val="11"/>
      <color indexed="56"/>
      <name val="Calibri"/>
      <family val="2"/>
    </font>
    <font>
      <b/>
      <sz val="11"/>
      <color theme="3"/>
      <name val="Times New Roman"/>
      <family val="2"/>
    </font>
    <font>
      <sz val="11"/>
      <color indexed="52"/>
      <name val="Calibri"/>
      <family val="2"/>
    </font>
    <font>
      <sz val="11"/>
      <color rgb="FFFA7D00"/>
      <name val="Times New Roman"/>
      <family val="2"/>
    </font>
    <font>
      <sz val="11"/>
      <color indexed="60"/>
      <name val="Calibri"/>
      <family val="2"/>
    </font>
    <font>
      <sz val="11"/>
      <color rgb="FF9C6500"/>
      <name val="Times New Roman"/>
      <family val="2"/>
    </font>
    <font>
      <b/>
      <sz val="11"/>
      <color rgb="FF3F3F3F"/>
      <name val="Times New Roman"/>
      <family val="2"/>
    </font>
    <font>
      <b/>
      <sz val="18"/>
      <color indexed="56"/>
      <name val="Cambria"/>
      <family val="2"/>
    </font>
    <font>
      <b/>
      <sz val="11"/>
      <color theme="1"/>
      <name val="Times New Roman"/>
      <family val="2"/>
    </font>
    <font>
      <sz val="11"/>
      <color rgb="FFFF0000"/>
      <name val="Times New Roman"/>
      <family val="2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0"/>
      <name val="Arial"/>
      <family val="2"/>
    </font>
    <font>
      <sz val="11"/>
      <color rgb="FF9C0006"/>
      <name val="Arial"/>
      <family val="2"/>
    </font>
    <font>
      <b/>
      <sz val="11"/>
      <color theme="0"/>
      <name val="Arial"/>
      <family val="2"/>
    </font>
    <font>
      <sz val="8"/>
      <name val="Times New Roman"/>
      <family val="1"/>
    </font>
    <font>
      <i/>
      <sz val="11"/>
      <color rgb="FF7F7F7F"/>
      <name val="Arial"/>
      <family val="2"/>
    </font>
    <font>
      <sz val="11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u/>
      <sz val="8.25"/>
      <color indexed="12"/>
      <name val="Arial"/>
      <family val="2"/>
    </font>
    <font>
      <sz val="11"/>
      <color rgb="FFFA7D00"/>
      <name val="Arial"/>
      <family val="2"/>
    </font>
    <font>
      <sz val="11"/>
      <color rgb="FF9C6500"/>
      <name val="Arial"/>
      <family val="2"/>
    </font>
    <font>
      <b/>
      <sz val="11"/>
      <color rgb="FF3F3F3F"/>
      <name val="Arial"/>
      <family val="2"/>
    </font>
    <font>
      <b/>
      <sz val="11"/>
      <color theme="1"/>
      <name val="Arial"/>
      <family val="2"/>
    </font>
    <font>
      <sz val="10"/>
      <color indexed="10"/>
      <name val="Arial"/>
      <family val="2"/>
    </font>
    <font>
      <sz val="11"/>
      <color rgb="FFFF0000"/>
      <name val="Arial"/>
      <family val="2"/>
    </font>
    <font>
      <u/>
      <sz val="11"/>
      <color theme="1"/>
      <name val="Calibri"/>
      <family val="2"/>
    </font>
    <font>
      <sz val="11"/>
      <name val="Courier"/>
      <family val="3"/>
    </font>
    <font>
      <sz val="10"/>
      <color rgb="FF000000"/>
      <name val="3"/>
    </font>
    <font>
      <b/>
      <sz val="10"/>
      <color rgb="FF000000"/>
      <name val="Arial"/>
      <family val="2"/>
    </font>
    <font>
      <sz val="11"/>
      <color rgb="FF3F3F7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indexed="52"/>
      <name val="Calibri"/>
      <family val="2"/>
    </font>
    <font>
      <b/>
      <sz val="11"/>
      <color rgb="FFFA7D00"/>
      <name val="Times New Roman"/>
      <family val="2"/>
    </font>
    <font>
      <sz val="11"/>
      <name val="Times New Roman"/>
      <family val="1"/>
    </font>
    <font>
      <sz val="12"/>
      <name val="Tms Rmn"/>
    </font>
    <font>
      <b/>
      <sz val="18"/>
      <name val="Arial"/>
      <family val="2"/>
    </font>
    <font>
      <sz val="11"/>
      <color rgb="FF3F3F76"/>
      <name val="Times New Roman"/>
      <family val="2"/>
    </font>
    <font>
      <b/>
      <sz val="12"/>
      <name val="Tms Rmn"/>
    </font>
    <font>
      <sz val="11"/>
      <color indexed="8"/>
      <name val="Times New Roman"/>
      <family val="2"/>
    </font>
    <font>
      <b/>
      <sz val="16"/>
      <color indexed="13"/>
      <name val="Arial"/>
      <family val="2"/>
    </font>
    <font>
      <sz val="8"/>
      <color rgb="FF1F497D"/>
      <name val="Verdana"/>
      <family val="2"/>
    </font>
    <font>
      <b/>
      <sz val="8"/>
      <color rgb="FF1F497D"/>
      <name val="Verdana"/>
      <family val="2"/>
    </font>
    <font>
      <i/>
      <sz val="8"/>
      <color rgb="FF000000"/>
      <name val="Verdana"/>
      <family val="2"/>
    </font>
    <font>
      <sz val="8"/>
      <color rgb="FF000000"/>
      <name val="Verdana"/>
      <family val="2"/>
    </font>
    <font>
      <sz val="12"/>
      <color indexed="13"/>
      <name val="Tms Rmn"/>
    </font>
    <font>
      <b/>
      <sz val="11"/>
      <color rgb="FFFF0000"/>
      <name val="Calibri"/>
      <family val="2"/>
      <scheme val="minor"/>
    </font>
    <font>
      <sz val="11"/>
      <color indexed="63"/>
      <name val="Calibri"/>
      <family val="2"/>
      <scheme val="minor"/>
    </font>
    <font>
      <u/>
      <sz val="12"/>
      <name val="Times New Roman"/>
      <family val="1"/>
    </font>
    <font>
      <b/>
      <sz val="12"/>
      <color theme="1"/>
      <name val="Times New Roman"/>
      <family val="1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88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2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24"/>
      </patternFill>
    </fill>
    <fill>
      <patternFill patternType="solid">
        <fgColor indexed="56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32"/>
      </patternFill>
    </fill>
    <fill>
      <patternFill patternType="solid">
        <fgColor indexed="55"/>
      </patternFill>
    </fill>
    <fill>
      <patternFill patternType="solid">
        <fgColor indexed="12"/>
      </patternFill>
    </fill>
    <fill>
      <patternFill patternType="solid">
        <fgColor indexed="11"/>
      </patternFill>
    </fill>
    <fill>
      <patternFill patternType="solid">
        <fgColor indexed="42"/>
      </patternFill>
    </fill>
    <fill>
      <patternFill patternType="solid">
        <fgColor indexed="9"/>
        <bgColor indexed="64"/>
      </patternFill>
    </fill>
    <fill>
      <patternFill patternType="solid">
        <fgColor indexed="13"/>
      </patternFill>
    </fill>
    <fill>
      <patternFill patternType="solid">
        <fgColor indexed="17"/>
      </patternFill>
    </fill>
    <fill>
      <patternFill patternType="mediumGray">
        <fgColor indexed="22"/>
      </patternFill>
    </fill>
    <fill>
      <patternFill patternType="solid">
        <fgColor indexed="8"/>
      </patternFill>
    </fill>
    <fill>
      <patternFill patternType="solid">
        <fgColor indexed="19"/>
      </patternFill>
    </fill>
    <fill>
      <patternFill patternType="solid">
        <fgColor indexed="59"/>
      </patternFill>
    </fill>
    <fill>
      <patternFill patternType="solid">
        <fgColor indexed="18"/>
      </patternFill>
    </fill>
    <fill>
      <patternFill patternType="solid">
        <fgColor indexed="52"/>
      </patternFill>
    </fill>
    <fill>
      <patternFill patternType="lightUp">
        <fgColor indexed="48"/>
        <bgColor indexed="19"/>
      </patternFill>
    </fill>
    <fill>
      <patternFill patternType="solid">
        <fgColor indexed="5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6"/>
      </patternFill>
    </fill>
    <fill>
      <patternFill patternType="solid">
        <fgColor indexed="1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gray0625"/>
    </fill>
    <fill>
      <patternFill patternType="solid">
        <fgColor indexed="3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62"/>
      </patternFill>
    </fill>
    <fill>
      <patternFill patternType="solid">
        <fgColor indexed="9"/>
        <bgColor indexed="9"/>
      </patternFill>
    </fill>
    <fill>
      <patternFill patternType="solid">
        <fgColor indexed="26"/>
        <bgColor indexed="14"/>
      </patternFill>
    </fill>
    <fill>
      <patternFill patternType="solid">
        <fgColor rgb="FFDBE5F1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indexed="62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5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25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8"/>
      </top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double">
        <color indexed="0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</borders>
  <cellStyleXfs count="61977">
    <xf numFmtId="37" fontId="0" fillId="0" borderId="0"/>
    <xf numFmtId="0" fontId="20" fillId="0" borderId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9" fillId="16" borderId="0"/>
    <xf numFmtId="0" fontId="19" fillId="16" borderId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22" fillId="17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2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22" fillId="18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2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22" fillId="19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2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20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20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20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20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20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20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20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20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22" fillId="21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22" fillId="22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2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22" fillId="19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2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22" fillId="22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2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22" fillId="18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2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22" fillId="23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2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22" fillId="24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2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22" fillId="2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2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22" fillId="19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2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24" fillId="22" borderId="0" applyNumberFormat="0" applyBorder="0" applyAlignment="0" applyProtection="0"/>
    <xf numFmtId="166" fontId="25" fillId="25" borderId="0" applyNumberFormat="0" applyBorder="0" applyAlignment="0" applyProtection="0"/>
    <xf numFmtId="166" fontId="25" fillId="25" borderId="0" applyNumberFormat="0" applyBorder="0" applyAlignment="0" applyProtection="0"/>
    <xf numFmtId="166" fontId="25" fillId="25" borderId="0" applyNumberFormat="0" applyBorder="0" applyAlignment="0" applyProtection="0"/>
    <xf numFmtId="0" fontId="24" fillId="26" borderId="0" applyNumberFormat="0" applyBorder="0" applyAlignment="0" applyProtection="0"/>
    <xf numFmtId="166" fontId="25" fillId="18" borderId="0" applyNumberFormat="0" applyBorder="0" applyAlignment="0" applyProtection="0"/>
    <xf numFmtId="166" fontId="25" fillId="18" borderId="0" applyNumberFormat="0" applyBorder="0" applyAlignment="0" applyProtection="0"/>
    <xf numFmtId="166" fontId="25" fillId="18" borderId="0" applyNumberFormat="0" applyBorder="0" applyAlignment="0" applyProtection="0"/>
    <xf numFmtId="0" fontId="24" fillId="27" borderId="0" applyNumberFormat="0" applyBorder="0" applyAlignment="0" applyProtection="0"/>
    <xf numFmtId="166" fontId="25" fillId="28" borderId="0" applyNumberFormat="0" applyBorder="0" applyAlignment="0" applyProtection="0"/>
    <xf numFmtId="166" fontId="25" fillId="28" borderId="0" applyNumberFormat="0" applyBorder="0" applyAlignment="0" applyProtection="0"/>
    <xf numFmtId="166" fontId="25" fillId="28" borderId="0" applyNumberFormat="0" applyBorder="0" applyAlignment="0" applyProtection="0"/>
    <xf numFmtId="0" fontId="24" fillId="24" borderId="0" applyNumberFormat="0" applyBorder="0" applyAlignment="0" applyProtection="0"/>
    <xf numFmtId="166" fontId="25" fillId="20" borderId="0" applyNumberFormat="0" applyBorder="0" applyAlignment="0" applyProtection="0"/>
    <xf numFmtId="166" fontId="25" fillId="20" borderId="0" applyNumberFormat="0" applyBorder="0" applyAlignment="0" applyProtection="0"/>
    <xf numFmtId="166" fontId="25" fillId="20" borderId="0" applyNumberFormat="0" applyBorder="0" applyAlignment="0" applyProtection="0"/>
    <xf numFmtId="0" fontId="24" fillId="22" borderId="0" applyNumberFormat="0" applyBorder="0" applyAlignment="0" applyProtection="0"/>
    <xf numFmtId="166" fontId="25" fillId="25" borderId="0" applyNumberFormat="0" applyBorder="0" applyAlignment="0" applyProtection="0"/>
    <xf numFmtId="166" fontId="25" fillId="25" borderId="0" applyNumberFormat="0" applyBorder="0" applyAlignment="0" applyProtection="0"/>
    <xf numFmtId="166" fontId="25" fillId="25" borderId="0" applyNumberFormat="0" applyBorder="0" applyAlignment="0" applyProtection="0"/>
    <xf numFmtId="0" fontId="24" fillId="18" borderId="0" applyNumberFormat="0" applyBorder="0" applyAlignment="0" applyProtection="0"/>
    <xf numFmtId="166" fontId="25" fillId="21" borderId="0" applyNumberFormat="0" applyBorder="0" applyAlignment="0" applyProtection="0"/>
    <xf numFmtId="166" fontId="25" fillId="21" borderId="0" applyNumberFormat="0" applyBorder="0" applyAlignment="0" applyProtection="0"/>
    <xf numFmtId="166" fontId="25" fillId="21" borderId="0" applyNumberFormat="0" applyBorder="0" applyAlignment="0" applyProtection="0"/>
    <xf numFmtId="0" fontId="24" fillId="29" borderId="0" applyNumberFormat="0" applyBorder="0" applyAlignment="0" applyProtection="0"/>
    <xf numFmtId="166" fontId="25" fillId="30" borderId="0" applyNumberFormat="0" applyBorder="0" applyAlignment="0" applyProtection="0"/>
    <xf numFmtId="166" fontId="25" fillId="30" borderId="0" applyNumberFormat="0" applyBorder="0" applyAlignment="0" applyProtection="0"/>
    <xf numFmtId="166" fontId="25" fillId="30" borderId="0" applyNumberFormat="0" applyBorder="0" applyAlignment="0" applyProtection="0"/>
    <xf numFmtId="0" fontId="24" fillId="26" borderId="0" applyNumberFormat="0" applyBorder="0" applyAlignment="0" applyProtection="0"/>
    <xf numFmtId="166" fontId="25" fillId="31" borderId="0" applyNumberFormat="0" applyBorder="0" applyAlignment="0" applyProtection="0"/>
    <xf numFmtId="166" fontId="25" fillId="31" borderId="0" applyNumberFormat="0" applyBorder="0" applyAlignment="0" applyProtection="0"/>
    <xf numFmtId="166" fontId="25" fillId="31" borderId="0" applyNumberFormat="0" applyBorder="0" applyAlignment="0" applyProtection="0"/>
    <xf numFmtId="0" fontId="24" fillId="27" borderId="0" applyNumberFormat="0" applyBorder="0" applyAlignment="0" applyProtection="0"/>
    <xf numFmtId="166" fontId="25" fillId="32" borderId="0" applyNumberFormat="0" applyBorder="0" applyAlignment="0" applyProtection="0"/>
    <xf numFmtId="166" fontId="25" fillId="32" borderId="0" applyNumberFormat="0" applyBorder="0" applyAlignment="0" applyProtection="0"/>
    <xf numFmtId="166" fontId="25" fillId="32" borderId="0" applyNumberFormat="0" applyBorder="0" applyAlignment="0" applyProtection="0"/>
    <xf numFmtId="0" fontId="24" fillId="33" borderId="0" applyNumberFormat="0" applyBorder="0" applyAlignment="0" applyProtection="0"/>
    <xf numFmtId="166" fontId="25" fillId="33" borderId="0" applyNumberFormat="0" applyBorder="0" applyAlignment="0" applyProtection="0"/>
    <xf numFmtId="166" fontId="25" fillId="33" borderId="0" applyNumberFormat="0" applyBorder="0" applyAlignment="0" applyProtection="0"/>
    <xf numFmtId="166" fontId="25" fillId="33" borderId="0" applyNumberFormat="0" applyBorder="0" applyAlignment="0" applyProtection="0"/>
    <xf numFmtId="0" fontId="24" fillId="30" borderId="0" applyNumberFormat="0" applyBorder="0" applyAlignment="0" applyProtection="0"/>
    <xf numFmtId="166" fontId="25" fillId="30" borderId="0" applyNumberFormat="0" applyBorder="0" applyAlignment="0" applyProtection="0"/>
    <xf numFmtId="166" fontId="25" fillId="30" borderId="0" applyNumberFormat="0" applyBorder="0" applyAlignment="0" applyProtection="0"/>
    <xf numFmtId="166" fontId="25" fillId="30" borderId="0" applyNumberFormat="0" applyBorder="0" applyAlignment="0" applyProtection="0"/>
    <xf numFmtId="0" fontId="24" fillId="31" borderId="0" applyNumberFormat="0" applyBorder="0" applyAlignment="0" applyProtection="0"/>
    <xf numFmtId="166" fontId="25" fillId="26" borderId="0" applyNumberFormat="0" applyBorder="0" applyAlignment="0" applyProtection="0"/>
    <xf numFmtId="166" fontId="25" fillId="26" borderId="0" applyNumberFormat="0" applyBorder="0" applyAlignment="0" applyProtection="0"/>
    <xf numFmtId="166" fontId="25" fillId="26" borderId="0" applyNumberFormat="0" applyBorder="0" applyAlignment="0" applyProtection="0"/>
    <xf numFmtId="0" fontId="26" fillId="34" borderId="0" applyNumberFormat="0" applyBorder="0" applyAlignment="0" applyProtection="0"/>
    <xf numFmtId="166" fontId="27" fillId="24" borderId="0" applyNumberFormat="0" applyBorder="0" applyAlignment="0" applyProtection="0"/>
    <xf numFmtId="166" fontId="27" fillId="24" borderId="0" applyNumberFormat="0" applyBorder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166" fontId="29" fillId="36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166" fontId="29" fillId="36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166" fontId="29" fillId="36" borderId="8" applyNumberFormat="0" applyAlignment="0" applyProtection="0"/>
    <xf numFmtId="0" fontId="28" fillId="35" borderId="8" applyNumberFormat="0" applyAlignment="0" applyProtection="0"/>
    <xf numFmtId="166" fontId="29" fillId="36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30" fillId="37" borderId="9" applyNumberFormat="0" applyAlignment="0" applyProtection="0"/>
    <xf numFmtId="166" fontId="31" fillId="37" borderId="9" applyNumberFormat="0" applyAlignment="0" applyProtection="0"/>
    <xf numFmtId="166" fontId="31" fillId="37" borderId="9" applyNumberFormat="0" applyAlignment="0" applyProtection="0"/>
    <xf numFmtId="167" fontId="32" fillId="0" borderId="10" applyBorder="0">
      <alignment horizontal="center" vertical="center"/>
    </xf>
    <xf numFmtId="164" fontId="31" fillId="38" borderId="0">
      <alignment horizontal="left"/>
    </xf>
    <xf numFmtId="0" fontId="31" fillId="38" borderId="0">
      <alignment horizontal="left"/>
    </xf>
    <xf numFmtId="166" fontId="31" fillId="38" borderId="0">
      <alignment horizontal="left"/>
    </xf>
    <xf numFmtId="164" fontId="33" fillId="38" borderId="0">
      <alignment horizontal="right"/>
    </xf>
    <xf numFmtId="0" fontId="33" fillId="38" borderId="0">
      <alignment horizontal="right"/>
    </xf>
    <xf numFmtId="166" fontId="33" fillId="38" borderId="0">
      <alignment horizontal="right"/>
    </xf>
    <xf numFmtId="164" fontId="34" fillId="35" borderId="0">
      <alignment horizontal="center"/>
    </xf>
    <xf numFmtId="0" fontId="34" fillId="35" borderId="0">
      <alignment horizontal="center"/>
    </xf>
    <xf numFmtId="166" fontId="34" fillId="35" borderId="0">
      <alignment horizontal="center"/>
    </xf>
    <xf numFmtId="164" fontId="33" fillId="38" borderId="0">
      <alignment horizontal="right"/>
    </xf>
    <xf numFmtId="0" fontId="33" fillId="38" borderId="0">
      <alignment horizontal="right"/>
    </xf>
    <xf numFmtId="166" fontId="33" fillId="38" borderId="0">
      <alignment horizontal="right"/>
    </xf>
    <xf numFmtId="164" fontId="35" fillId="35" borderId="0">
      <alignment horizontal="left"/>
    </xf>
    <xf numFmtId="0" fontId="35" fillId="35" borderId="0">
      <alignment horizontal="left"/>
    </xf>
    <xf numFmtId="166" fontId="35" fillId="35" borderId="0">
      <alignment horizontal="left"/>
    </xf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6" fillId="0" borderId="0" applyFont="0" applyFill="0" applyBorder="0" applyAlignment="0" applyProtection="0"/>
    <xf numFmtId="3" fontId="17" fillId="0" borderId="0" applyFont="0" applyFill="0" applyBorder="0" applyAlignment="0" applyProtection="0"/>
    <xf numFmtId="3" fontId="17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9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9" fillId="0" borderId="0" applyFont="0" applyFill="0" applyBorder="0" applyAlignment="0" applyProtection="0"/>
    <xf numFmtId="42" fontId="19" fillId="0" borderId="0" applyFont="0" applyFill="0" applyBorder="0" applyAlignment="0" applyProtection="0"/>
    <xf numFmtId="42" fontId="19" fillId="0" borderId="0" applyFont="0" applyFill="0" applyBorder="0" applyAlignment="0" applyProtection="0"/>
    <xf numFmtId="42" fontId="19" fillId="0" borderId="0" applyFont="0" applyFill="0" applyBorder="0" applyAlignment="0" applyProtection="0"/>
    <xf numFmtId="42" fontId="19" fillId="0" borderId="0" applyFont="0" applyFill="0" applyBorder="0" applyAlignment="0" applyProtection="0"/>
    <xf numFmtId="42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5" fontId="17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4" fontId="17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39" borderId="11" applyNumberFormat="0" applyFont="0" applyAlignment="0">
      <protection locked="0"/>
    </xf>
    <xf numFmtId="0" fontId="19" fillId="39" borderId="11" applyNumberFormat="0" applyFont="0" applyAlignment="0">
      <protection locked="0"/>
    </xf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38" fillId="0" borderId="0" applyNumberFormat="0" applyFill="0" applyBorder="0" applyAlignment="0" applyProtection="0"/>
    <xf numFmtId="166" fontId="39" fillId="0" borderId="0" applyNumberFormat="0" applyFill="0" applyBorder="0" applyAlignment="0" applyProtection="0"/>
    <xf numFmtId="166" fontId="39" fillId="0" borderId="0" applyNumberFormat="0" applyFill="0" applyBorder="0" applyAlignment="0" applyProtection="0"/>
    <xf numFmtId="0" fontId="18" fillId="0" borderId="0" applyProtection="0"/>
    <xf numFmtId="166" fontId="18" fillId="0" borderId="0" applyProtection="0"/>
    <xf numFmtId="0" fontId="40" fillId="0" borderId="0" applyProtection="0"/>
    <xf numFmtId="166" fontId="40" fillId="0" borderId="0" applyProtection="0"/>
    <xf numFmtId="0" fontId="41" fillId="0" borderId="0" applyProtection="0"/>
    <xf numFmtId="166" fontId="41" fillId="0" borderId="0" applyProtection="0"/>
    <xf numFmtId="0" fontId="42" fillId="0" borderId="0" applyProtection="0"/>
    <xf numFmtId="166" fontId="42" fillId="0" borderId="0" applyProtection="0"/>
    <xf numFmtId="166" fontId="42" fillId="0" borderId="0" applyProtection="0"/>
    <xf numFmtId="0" fontId="19" fillId="0" borderId="0" applyProtection="0"/>
    <xf numFmtId="0" fontId="19" fillId="0" borderId="0" applyProtection="0"/>
    <xf numFmtId="166" fontId="19" fillId="0" borderId="0" applyProtection="0"/>
    <xf numFmtId="166" fontId="19" fillId="0" borderId="0" applyProtection="0"/>
    <xf numFmtId="0" fontId="18" fillId="0" borderId="0" applyProtection="0"/>
    <xf numFmtId="166" fontId="18" fillId="0" borderId="0" applyProtection="0"/>
    <xf numFmtId="0" fontId="43" fillId="0" borderId="0" applyProtection="0"/>
    <xf numFmtId="166" fontId="43" fillId="0" borderId="0" applyProtection="0"/>
    <xf numFmtId="2" fontId="17" fillId="0" borderId="0" applyFont="0" applyFill="0" applyBorder="0" applyAlignment="0" applyProtection="0"/>
    <xf numFmtId="2" fontId="19" fillId="0" borderId="0" applyFont="0" applyFill="0" applyBorder="0" applyAlignment="0" applyProtection="0"/>
    <xf numFmtId="2" fontId="19" fillId="0" borderId="0" applyFont="0" applyFill="0" applyBorder="0" applyAlignment="0" applyProtection="0"/>
    <xf numFmtId="0" fontId="44" fillId="22" borderId="0" applyNumberFormat="0" applyBorder="0" applyAlignment="0" applyProtection="0"/>
    <xf numFmtId="166" fontId="32" fillId="40" borderId="0" applyNumberFormat="0" applyBorder="0" applyAlignment="0" applyProtection="0"/>
    <xf numFmtId="166" fontId="32" fillId="40" borderId="0" applyNumberFormat="0" applyBorder="0" applyAlignment="0" applyProtection="0"/>
    <xf numFmtId="0" fontId="45" fillId="0" borderId="12" applyNumberFormat="0" applyFill="0" applyAlignment="0" applyProtection="0"/>
    <xf numFmtId="166" fontId="46" fillId="0" borderId="13" applyNumberFormat="0" applyFill="0" applyAlignment="0" applyProtection="0"/>
    <xf numFmtId="0" fontId="14" fillId="0" borderId="1" applyNumberFormat="0" applyFill="0" applyAlignment="0" applyProtection="0"/>
    <xf numFmtId="166" fontId="46" fillId="0" borderId="13" applyNumberFormat="0" applyFill="0" applyAlignment="0" applyProtection="0"/>
    <xf numFmtId="0" fontId="47" fillId="0" borderId="14" applyNumberFormat="0" applyFill="0" applyAlignment="0" applyProtection="0"/>
    <xf numFmtId="166" fontId="48" fillId="0" borderId="15" applyNumberFormat="0" applyFill="0" applyAlignment="0" applyProtection="0"/>
    <xf numFmtId="0" fontId="15" fillId="0" borderId="2" applyNumberFormat="0" applyFill="0" applyAlignment="0" applyProtection="0"/>
    <xf numFmtId="166" fontId="48" fillId="0" borderId="15" applyNumberFormat="0" applyFill="0" applyAlignment="0" applyProtection="0"/>
    <xf numFmtId="0" fontId="49" fillId="0" borderId="16" applyNumberFormat="0" applyFill="0" applyAlignment="0" applyProtection="0"/>
    <xf numFmtId="166" fontId="50" fillId="0" borderId="17" applyNumberFormat="0" applyFill="0" applyAlignment="0" applyProtection="0"/>
    <xf numFmtId="166" fontId="50" fillId="0" borderId="17" applyNumberFormat="0" applyFill="0" applyAlignment="0" applyProtection="0"/>
    <xf numFmtId="166" fontId="50" fillId="0" borderId="17" applyNumberFormat="0" applyFill="0" applyAlignment="0" applyProtection="0"/>
    <xf numFmtId="166" fontId="50" fillId="0" borderId="17" applyNumberFormat="0" applyFill="0" applyAlignment="0" applyProtection="0"/>
    <xf numFmtId="166" fontId="50" fillId="0" borderId="17" applyNumberFormat="0" applyFill="0" applyAlignment="0" applyProtection="0"/>
    <xf numFmtId="0" fontId="49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4" fontId="51" fillId="0" borderId="0" applyNumberFormat="0" applyFill="0" applyBorder="0" applyAlignment="0" applyProtection="0">
      <alignment vertical="top"/>
      <protection locked="0"/>
    </xf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166" fontId="53" fillId="21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166" fontId="53" fillId="21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166" fontId="53" fillId="21" borderId="8" applyNumberFormat="0" applyAlignment="0" applyProtection="0"/>
    <xf numFmtId="0" fontId="52" fillId="23" borderId="8" applyNumberFormat="0" applyAlignment="0" applyProtection="0"/>
    <xf numFmtId="166" fontId="53" fillId="21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164" fontId="31" fillId="38" borderId="0">
      <alignment horizontal="left"/>
    </xf>
    <xf numFmtId="0" fontId="31" fillId="38" borderId="0">
      <alignment horizontal="left"/>
    </xf>
    <xf numFmtId="166" fontId="31" fillId="38" borderId="0">
      <alignment horizontal="left"/>
    </xf>
    <xf numFmtId="164" fontId="54" fillId="35" borderId="0">
      <alignment horizontal="left"/>
    </xf>
    <xf numFmtId="0" fontId="54" fillId="35" borderId="0">
      <alignment horizontal="left"/>
    </xf>
    <xf numFmtId="0" fontId="54" fillId="35" borderId="0">
      <alignment horizontal="left"/>
    </xf>
    <xf numFmtId="166" fontId="54" fillId="35" borderId="0">
      <alignment horizontal="left"/>
    </xf>
    <xf numFmtId="0" fontId="55" fillId="0" borderId="18" applyNumberFormat="0" applyFill="0" applyAlignment="0" applyProtection="0"/>
    <xf numFmtId="166" fontId="56" fillId="0" borderId="19" applyNumberFormat="0" applyFill="0" applyAlignment="0" applyProtection="0"/>
    <xf numFmtId="166" fontId="56" fillId="0" borderId="19" applyNumberFormat="0" applyFill="0" applyAlignment="0" applyProtection="0"/>
    <xf numFmtId="0" fontId="57" fillId="23" borderId="0" applyNumberFormat="0" applyBorder="0" applyAlignment="0" applyProtection="0"/>
    <xf numFmtId="166" fontId="58" fillId="23" borderId="0" applyNumberFormat="0" applyBorder="0" applyAlignment="0" applyProtection="0"/>
    <xf numFmtId="166" fontId="58" fillId="23" borderId="0" applyNumberFormat="0" applyBorder="0" applyAlignment="0" applyProtection="0"/>
    <xf numFmtId="164" fontId="19" fillId="0" borderId="0"/>
    <xf numFmtId="0" fontId="19" fillId="0" borderId="0"/>
    <xf numFmtId="166" fontId="19" fillId="0" borderId="0"/>
    <xf numFmtId="164" fontId="19" fillId="0" borderId="0"/>
    <xf numFmtId="0" fontId="19" fillId="0" borderId="0"/>
    <xf numFmtId="0" fontId="19" fillId="0" borderId="0"/>
    <xf numFmtId="0" fontId="1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0" fontId="19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0" fontId="13" fillId="0" borderId="0"/>
    <xf numFmtId="0" fontId="19" fillId="0" borderId="0"/>
    <xf numFmtId="0" fontId="37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0" fontId="13" fillId="0" borderId="0"/>
    <xf numFmtId="0" fontId="13" fillId="0" borderId="0"/>
    <xf numFmtId="0" fontId="19" fillId="0" borderId="0"/>
    <xf numFmtId="0" fontId="19" fillId="0" borderId="0"/>
    <xf numFmtId="0" fontId="19" fillId="0" borderId="0"/>
    <xf numFmtId="0" fontId="13" fillId="0" borderId="0"/>
    <xf numFmtId="0" fontId="13" fillId="0" borderId="0"/>
    <xf numFmtId="0" fontId="19" fillId="0" borderId="0"/>
    <xf numFmtId="0" fontId="19" fillId="0" borderId="0"/>
    <xf numFmtId="0" fontId="13" fillId="0" borderId="0"/>
    <xf numFmtId="0" fontId="1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4" fontId="19" fillId="0" borderId="0"/>
    <xf numFmtId="0" fontId="19" fillId="0" borderId="0"/>
    <xf numFmtId="0" fontId="19" fillId="0" borderId="0"/>
    <xf numFmtId="166" fontId="19" fillId="0" borderId="0"/>
    <xf numFmtId="0" fontId="1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166" fontId="19" fillId="0" borderId="0"/>
    <xf numFmtId="0" fontId="19" fillId="0" borderId="0"/>
    <xf numFmtId="0" fontId="1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70" fontId="19" fillId="0" borderId="0"/>
    <xf numFmtId="0" fontId="13" fillId="0" borderId="0"/>
    <xf numFmtId="0" fontId="1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3" fillId="0" borderId="0"/>
    <xf numFmtId="0" fontId="19" fillId="0" borderId="0"/>
    <xf numFmtId="0" fontId="19" fillId="0" borderId="0"/>
    <xf numFmtId="0" fontId="1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0" borderId="0"/>
    <xf numFmtId="166" fontId="19" fillId="0" borderId="0"/>
    <xf numFmtId="0" fontId="23" fillId="0" borderId="0"/>
    <xf numFmtId="170" fontId="19" fillId="0" borderId="0"/>
    <xf numFmtId="0" fontId="13" fillId="0" borderId="0"/>
    <xf numFmtId="0" fontId="19" fillId="0" borderId="0"/>
    <xf numFmtId="0" fontId="1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3" fillId="0" borderId="0"/>
    <xf numFmtId="0" fontId="13" fillId="0" borderId="0"/>
    <xf numFmtId="0" fontId="19" fillId="0" borderId="0"/>
    <xf numFmtId="0" fontId="13" fillId="0" borderId="0"/>
    <xf numFmtId="170" fontId="19" fillId="0" borderId="0"/>
    <xf numFmtId="0" fontId="13" fillId="0" borderId="0"/>
    <xf numFmtId="0" fontId="19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0" fontId="19" fillId="0" borderId="0"/>
    <xf numFmtId="0" fontId="19" fillId="0" borderId="0"/>
    <xf numFmtId="0" fontId="13" fillId="0" borderId="0"/>
    <xf numFmtId="0" fontId="13" fillId="0" borderId="0"/>
    <xf numFmtId="166" fontId="19" fillId="0" borderId="0"/>
    <xf numFmtId="37" fontId="40" fillId="0" borderId="0"/>
    <xf numFmtId="0" fontId="13" fillId="0" borderId="0"/>
    <xf numFmtId="0" fontId="13" fillId="0" borderId="0"/>
    <xf numFmtId="164" fontId="19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0" fontId="19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0" fontId="19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0" fontId="19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0" fontId="3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39" fontId="5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0" fontId="1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13" fillId="2" borderId="3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13" fillId="0" borderId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13" fillId="0" borderId="0"/>
    <xf numFmtId="0" fontId="37" fillId="19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19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19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19" borderId="20" applyNumberFormat="0" applyFont="0" applyAlignment="0" applyProtection="0"/>
    <xf numFmtId="0" fontId="13" fillId="0" borderId="0"/>
    <xf numFmtId="0" fontId="13" fillId="0" borderId="0"/>
    <xf numFmtId="0" fontId="37" fillId="19" borderId="20" applyNumberFormat="0" applyFont="0" applyAlignment="0" applyProtection="0"/>
    <xf numFmtId="0" fontId="13" fillId="0" borderId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19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19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19" borderId="20" applyNumberFormat="0" applyFont="0" applyAlignment="0" applyProtection="0"/>
    <xf numFmtId="0" fontId="13" fillId="0" borderId="0"/>
    <xf numFmtId="0" fontId="13" fillId="0" borderId="0"/>
    <xf numFmtId="0" fontId="37" fillId="19" borderId="20" applyNumberFormat="0" applyFont="0" applyAlignment="0" applyProtection="0"/>
    <xf numFmtId="0" fontId="13" fillId="0" borderId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13" fillId="2" borderId="3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13" fillId="0" borderId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13" fillId="0" borderId="0"/>
    <xf numFmtId="0" fontId="37" fillId="19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19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19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19" borderId="20" applyNumberFormat="0" applyFont="0" applyAlignment="0" applyProtection="0"/>
    <xf numFmtId="0" fontId="13" fillId="0" borderId="0"/>
    <xf numFmtId="0" fontId="13" fillId="0" borderId="0"/>
    <xf numFmtId="0" fontId="37" fillId="19" borderId="20" applyNumberFormat="0" applyFont="0" applyAlignment="0" applyProtection="0"/>
    <xf numFmtId="0" fontId="13" fillId="0" borderId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19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19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19" borderId="20" applyNumberFormat="0" applyFont="0" applyAlignment="0" applyProtection="0"/>
    <xf numFmtId="0" fontId="13" fillId="0" borderId="0"/>
    <xf numFmtId="0" fontId="13" fillId="0" borderId="0"/>
    <xf numFmtId="0" fontId="37" fillId="19" borderId="20" applyNumberFormat="0" applyFont="0" applyAlignment="0" applyProtection="0"/>
    <xf numFmtId="0" fontId="13" fillId="0" borderId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13" fillId="0" borderId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13" fillId="0" borderId="0"/>
    <xf numFmtId="0" fontId="37" fillId="19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19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19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19" borderId="20" applyNumberFormat="0" applyFont="0" applyAlignment="0" applyProtection="0"/>
    <xf numFmtId="0" fontId="13" fillId="0" borderId="0"/>
    <xf numFmtId="0" fontId="13" fillId="0" borderId="0"/>
    <xf numFmtId="0" fontId="37" fillId="19" borderId="20" applyNumberFormat="0" applyFont="0" applyAlignment="0" applyProtection="0"/>
    <xf numFmtId="0" fontId="13" fillId="0" borderId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19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19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19" borderId="20" applyNumberFormat="0" applyFont="0" applyAlignment="0" applyProtection="0"/>
    <xf numFmtId="0" fontId="13" fillId="0" borderId="0"/>
    <xf numFmtId="0" fontId="13" fillId="0" borderId="0"/>
    <xf numFmtId="0" fontId="37" fillId="19" borderId="20" applyNumberFormat="0" applyFont="0" applyAlignment="0" applyProtection="0"/>
    <xf numFmtId="0" fontId="13" fillId="0" borderId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13" fillId="0" borderId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13" fillId="0" borderId="0"/>
    <xf numFmtId="0" fontId="37" fillId="19" borderId="20" applyNumberFormat="0" applyFont="0" applyAlignment="0" applyProtection="0"/>
    <xf numFmtId="0" fontId="13" fillId="0" borderId="0"/>
    <xf numFmtId="0" fontId="13" fillId="0" borderId="0"/>
    <xf numFmtId="0" fontId="37" fillId="19" borderId="20" applyNumberFormat="0" applyFont="0" applyAlignment="0" applyProtection="0"/>
    <xf numFmtId="0" fontId="13" fillId="0" borderId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13" fillId="0" borderId="0"/>
    <xf numFmtId="0" fontId="13" fillId="0" borderId="0"/>
    <xf numFmtId="0" fontId="37" fillId="19" borderId="20" applyNumberFormat="0" applyFont="0" applyAlignment="0" applyProtection="0"/>
    <xf numFmtId="0" fontId="13" fillId="0" borderId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13" fillId="0" borderId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13" fillId="0" borderId="0"/>
    <xf numFmtId="0" fontId="37" fillId="19" borderId="20" applyNumberFormat="0" applyFont="0" applyAlignment="0" applyProtection="0"/>
    <xf numFmtId="0" fontId="13" fillId="0" borderId="0"/>
    <xf numFmtId="0" fontId="13" fillId="0" borderId="0"/>
    <xf numFmtId="0" fontId="37" fillId="19" borderId="20" applyNumberFormat="0" applyFont="0" applyAlignment="0" applyProtection="0"/>
    <xf numFmtId="0" fontId="13" fillId="0" borderId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13" fillId="0" borderId="0"/>
    <xf numFmtId="0" fontId="13" fillId="0" borderId="0"/>
    <xf numFmtId="0" fontId="37" fillId="19" borderId="20" applyNumberFormat="0" applyFont="0" applyAlignment="0" applyProtection="0"/>
    <xf numFmtId="0" fontId="13" fillId="0" borderId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13" fillId="0" borderId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13" fillId="0" borderId="0"/>
    <xf numFmtId="0" fontId="37" fillId="19" borderId="20" applyNumberFormat="0" applyFont="0" applyAlignment="0" applyProtection="0"/>
    <xf numFmtId="0" fontId="13" fillId="0" borderId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13" fillId="0" borderId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13" fillId="0" borderId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13" fillId="0" borderId="0"/>
    <xf numFmtId="0" fontId="37" fillId="19" borderId="20" applyNumberFormat="0" applyFont="0" applyAlignment="0" applyProtection="0"/>
    <xf numFmtId="0" fontId="13" fillId="0" borderId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13" fillId="0" borderId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13" fillId="0" borderId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13" fillId="0" borderId="0"/>
    <xf numFmtId="0" fontId="37" fillId="19" borderId="20" applyNumberFormat="0" applyFont="0" applyAlignment="0" applyProtection="0"/>
    <xf numFmtId="0" fontId="13" fillId="0" borderId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13" fillId="0" borderId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60" fillId="35" borderId="21" applyNumberFormat="0" applyAlignment="0" applyProtection="0"/>
    <xf numFmtId="0" fontId="60" fillId="35" borderId="21" applyNumberFormat="0" applyAlignment="0" applyProtection="0"/>
    <xf numFmtId="0" fontId="13" fillId="0" borderId="0"/>
    <xf numFmtId="0" fontId="60" fillId="35" borderId="21" applyNumberFormat="0" applyAlignment="0" applyProtection="0"/>
    <xf numFmtId="0" fontId="60" fillId="35" borderId="21" applyNumberFormat="0" applyAlignment="0" applyProtection="0"/>
    <xf numFmtId="0" fontId="60" fillId="35" borderId="21" applyNumberFormat="0" applyAlignment="0" applyProtection="0"/>
    <xf numFmtId="0" fontId="60" fillId="35" borderId="21" applyNumberFormat="0" applyAlignment="0" applyProtection="0"/>
    <xf numFmtId="0" fontId="60" fillId="35" borderId="21" applyNumberFormat="0" applyAlignment="0" applyProtection="0"/>
    <xf numFmtId="0" fontId="13" fillId="0" borderId="0"/>
    <xf numFmtId="0" fontId="13" fillId="0" borderId="0"/>
    <xf numFmtId="0" fontId="13" fillId="0" borderId="0"/>
    <xf numFmtId="171" fontId="61" fillId="35" borderId="0">
      <alignment horizontal="right"/>
    </xf>
    <xf numFmtId="40" fontId="62" fillId="41" borderId="0">
      <alignment horizontal="right"/>
    </xf>
    <xf numFmtId="4" fontId="61" fillId="41" borderId="0">
      <alignment horizontal="right"/>
    </xf>
    <xf numFmtId="0" fontId="13" fillId="0" borderId="0"/>
    <xf numFmtId="40" fontId="62" fillId="41" borderId="0">
      <alignment horizontal="right"/>
    </xf>
    <xf numFmtId="164" fontId="63" fillId="42" borderId="0">
      <alignment horizontal="center"/>
    </xf>
    <xf numFmtId="0" fontId="64" fillId="41" borderId="0">
      <alignment horizontal="right"/>
    </xf>
    <xf numFmtId="0" fontId="13" fillId="0" borderId="0"/>
    <xf numFmtId="0" fontId="63" fillId="41" borderId="0">
      <alignment horizontal="center" vertical="center"/>
    </xf>
    <xf numFmtId="0" fontId="13" fillId="0" borderId="0"/>
    <xf numFmtId="0" fontId="64" fillId="41" borderId="0">
      <alignment horizontal="right"/>
    </xf>
    <xf numFmtId="164" fontId="31" fillId="43" borderId="0"/>
    <xf numFmtId="0" fontId="65" fillId="41" borderId="10"/>
    <xf numFmtId="0" fontId="54" fillId="41" borderId="10"/>
    <xf numFmtId="0" fontId="13" fillId="0" borderId="0"/>
    <xf numFmtId="0" fontId="54" fillId="41" borderId="10"/>
    <xf numFmtId="0" fontId="13" fillId="0" borderId="0"/>
    <xf numFmtId="0" fontId="65" fillId="41" borderId="10"/>
    <xf numFmtId="164" fontId="66" fillId="35" borderId="0" applyBorder="0">
      <alignment horizontal="centerContinuous"/>
    </xf>
    <xf numFmtId="0" fontId="65" fillId="0" borderId="0" applyBorder="0">
      <alignment horizontal="centerContinuous"/>
    </xf>
    <xf numFmtId="0" fontId="13" fillId="0" borderId="0"/>
    <xf numFmtId="0" fontId="63" fillId="41" borderId="0" applyBorder="0">
      <alignment horizontal="centerContinuous"/>
    </xf>
    <xf numFmtId="0" fontId="13" fillId="0" borderId="0"/>
    <xf numFmtId="0" fontId="65" fillId="0" borderId="0" applyBorder="0">
      <alignment horizontal="centerContinuous"/>
    </xf>
    <xf numFmtId="164" fontId="67" fillId="43" borderId="0" applyBorder="0">
      <alignment horizontal="centerContinuous"/>
    </xf>
    <xf numFmtId="0" fontId="68" fillId="0" borderId="0" applyBorder="0">
      <alignment horizontal="centerContinuous"/>
    </xf>
    <xf numFmtId="0" fontId="13" fillId="0" borderId="0"/>
    <xf numFmtId="0" fontId="69" fillId="41" borderId="0" applyBorder="0">
      <alignment horizontal="centerContinuous"/>
    </xf>
    <xf numFmtId="0" fontId="13" fillId="0" borderId="0"/>
    <xf numFmtId="0" fontId="68" fillId="0" borderId="0" applyBorder="0">
      <alignment horizontal="centerContinuous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9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9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37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0" fillId="0" borderId="0" applyNumberFormat="0" applyFont="0" applyFill="0" applyBorder="0" applyAlignment="0" applyProtection="0">
      <alignment horizontal="left"/>
    </xf>
    <xf numFmtId="15" fontId="70" fillId="0" borderId="0" applyFont="0" applyFill="0" applyBorder="0" applyAlignment="0" applyProtection="0"/>
    <xf numFmtId="4" fontId="70" fillId="0" borderId="0" applyFont="0" applyFill="0" applyBorder="0" applyAlignment="0" applyProtection="0"/>
    <xf numFmtId="0" fontId="71" fillId="0" borderId="22">
      <alignment horizontal="center"/>
    </xf>
    <xf numFmtId="3" fontId="70" fillId="0" borderId="0" applyFont="0" applyFill="0" applyBorder="0" applyAlignment="0" applyProtection="0"/>
    <xf numFmtId="0" fontId="70" fillId="44" borderId="0" applyNumberFormat="0" applyFont="0" applyBorder="0" applyAlignment="0" applyProtection="0"/>
    <xf numFmtId="164" fontId="54" fillId="23" borderId="0">
      <alignment horizontal="center"/>
    </xf>
    <xf numFmtId="0" fontId="54" fillId="23" borderId="0">
      <alignment horizontal="center"/>
    </xf>
    <xf numFmtId="0" fontId="54" fillId="23" borderId="0">
      <alignment horizontal="center"/>
    </xf>
    <xf numFmtId="0" fontId="13" fillId="0" borderId="0"/>
    <xf numFmtId="49" fontId="72" fillId="35" borderId="0">
      <alignment horizontal="center"/>
    </xf>
    <xf numFmtId="0" fontId="13" fillId="0" borderId="0"/>
    <xf numFmtId="164" fontId="33" fillId="38" borderId="0">
      <alignment horizontal="center"/>
    </xf>
    <xf numFmtId="0" fontId="33" fillId="38" borderId="0">
      <alignment horizontal="center"/>
    </xf>
    <xf numFmtId="0" fontId="13" fillId="0" borderId="0"/>
    <xf numFmtId="164" fontId="33" fillId="38" borderId="0">
      <alignment horizontal="centerContinuous"/>
    </xf>
    <xf numFmtId="0" fontId="33" fillId="38" borderId="0">
      <alignment horizontal="centerContinuous"/>
    </xf>
    <xf numFmtId="0" fontId="13" fillId="0" borderId="0"/>
    <xf numFmtId="164" fontId="73" fillId="35" borderId="0">
      <alignment horizontal="left"/>
    </xf>
    <xf numFmtId="0" fontId="73" fillId="35" borderId="0">
      <alignment horizontal="left"/>
    </xf>
    <xf numFmtId="0" fontId="13" fillId="0" borderId="0"/>
    <xf numFmtId="49" fontId="73" fillId="35" borderId="0">
      <alignment horizontal="center"/>
    </xf>
    <xf numFmtId="0" fontId="13" fillId="0" borderId="0"/>
    <xf numFmtId="164" fontId="31" fillId="38" borderId="0">
      <alignment horizontal="left"/>
    </xf>
    <xf numFmtId="0" fontId="31" fillId="38" borderId="0">
      <alignment horizontal="left"/>
    </xf>
    <xf numFmtId="0" fontId="13" fillId="0" borderId="0"/>
    <xf numFmtId="49" fontId="73" fillId="35" borderId="0">
      <alignment horizontal="left"/>
    </xf>
    <xf numFmtId="0" fontId="13" fillId="0" borderId="0"/>
    <xf numFmtId="164" fontId="31" fillId="38" borderId="0">
      <alignment horizontal="centerContinuous"/>
    </xf>
    <xf numFmtId="0" fontId="31" fillId="38" borderId="0">
      <alignment horizontal="centerContinuous"/>
    </xf>
    <xf numFmtId="0" fontId="13" fillId="0" borderId="0"/>
    <xf numFmtId="164" fontId="31" fillId="38" borderId="0">
      <alignment horizontal="right"/>
    </xf>
    <xf numFmtId="0" fontId="31" fillId="38" borderId="0">
      <alignment horizontal="right"/>
    </xf>
    <xf numFmtId="0" fontId="13" fillId="0" borderId="0"/>
    <xf numFmtId="49" fontId="54" fillId="35" borderId="0">
      <alignment horizontal="left"/>
    </xf>
    <xf numFmtId="49" fontId="54" fillId="35" borderId="0">
      <alignment horizontal="left"/>
    </xf>
    <xf numFmtId="0" fontId="13" fillId="0" borderId="0"/>
    <xf numFmtId="164" fontId="33" fillId="38" borderId="0">
      <alignment horizontal="right"/>
    </xf>
    <xf numFmtId="0" fontId="33" fillId="38" borderId="0">
      <alignment horizontal="right"/>
    </xf>
    <xf numFmtId="0" fontId="13" fillId="0" borderId="0"/>
    <xf numFmtId="164" fontId="73" fillId="21" borderId="0">
      <alignment horizontal="center"/>
    </xf>
    <xf numFmtId="0" fontId="73" fillId="21" borderId="0">
      <alignment horizontal="center"/>
    </xf>
    <xf numFmtId="0" fontId="13" fillId="0" borderId="0"/>
    <xf numFmtId="164" fontId="74" fillId="21" borderId="0">
      <alignment horizontal="center"/>
    </xf>
    <xf numFmtId="0" fontId="74" fillId="21" borderId="0">
      <alignment horizontal="center"/>
    </xf>
    <xf numFmtId="0" fontId="13" fillId="0" borderId="0"/>
    <xf numFmtId="4" fontId="18" fillId="45" borderId="23" applyNumberFormat="0" applyProtection="0">
      <alignment vertical="center"/>
    </xf>
    <xf numFmtId="4" fontId="18" fillId="45" borderId="23" applyNumberFormat="0" applyProtection="0">
      <alignment vertical="center"/>
    </xf>
    <xf numFmtId="4" fontId="18" fillId="45" borderId="23" applyNumberFormat="0" applyProtection="0">
      <alignment vertical="center"/>
    </xf>
    <xf numFmtId="4" fontId="18" fillId="45" borderId="23" applyNumberFormat="0" applyProtection="0">
      <alignment vertical="center"/>
    </xf>
    <xf numFmtId="4" fontId="18" fillId="45" borderId="23" applyNumberFormat="0" applyProtection="0">
      <alignment vertical="center"/>
    </xf>
    <xf numFmtId="4" fontId="18" fillId="45" borderId="23" applyNumberFormat="0" applyProtection="0">
      <alignment vertical="center"/>
    </xf>
    <xf numFmtId="4" fontId="18" fillId="45" borderId="23" applyNumberFormat="0" applyProtection="0">
      <alignment vertical="center"/>
    </xf>
    <xf numFmtId="4" fontId="18" fillId="45" borderId="23" applyNumberFormat="0" applyProtection="0">
      <alignment vertical="center"/>
    </xf>
    <xf numFmtId="4" fontId="18" fillId="45" borderId="23" applyNumberFormat="0" applyProtection="0">
      <alignment vertical="center"/>
    </xf>
    <xf numFmtId="4" fontId="18" fillId="45" borderId="23" applyNumberFormat="0" applyProtection="0">
      <alignment vertical="center"/>
    </xf>
    <xf numFmtId="4" fontId="18" fillId="45" borderId="23" applyNumberFormat="0" applyProtection="0">
      <alignment vertical="center"/>
    </xf>
    <xf numFmtId="4" fontId="18" fillId="45" borderId="23" applyNumberFormat="0" applyProtection="0">
      <alignment vertical="center"/>
    </xf>
    <xf numFmtId="4" fontId="18" fillId="45" borderId="23" applyNumberFormat="0" applyProtection="0">
      <alignment vertical="center"/>
    </xf>
    <xf numFmtId="4" fontId="18" fillId="45" borderId="23" applyNumberFormat="0" applyProtection="0">
      <alignment vertical="center"/>
    </xf>
    <xf numFmtId="4" fontId="18" fillId="45" borderId="23" applyNumberFormat="0" applyProtection="0">
      <alignment vertical="center"/>
    </xf>
    <xf numFmtId="4" fontId="18" fillId="45" borderId="23" applyNumberFormat="0" applyProtection="0">
      <alignment vertical="center"/>
    </xf>
    <xf numFmtId="4" fontId="18" fillId="45" borderId="23" applyNumberFormat="0" applyProtection="0">
      <alignment vertical="center"/>
    </xf>
    <xf numFmtId="4" fontId="18" fillId="45" borderId="23" applyNumberFormat="0" applyProtection="0">
      <alignment vertical="center"/>
    </xf>
    <xf numFmtId="4" fontId="18" fillId="45" borderId="23" applyNumberFormat="0" applyProtection="0">
      <alignment vertical="center"/>
    </xf>
    <xf numFmtId="4" fontId="18" fillId="45" borderId="23" applyNumberFormat="0" applyProtection="0">
      <alignment vertical="center"/>
    </xf>
    <xf numFmtId="4" fontId="18" fillId="45" borderId="23" applyNumberFormat="0" applyProtection="0">
      <alignment vertical="center"/>
    </xf>
    <xf numFmtId="4" fontId="18" fillId="45" borderId="23" applyNumberFormat="0" applyProtection="0">
      <alignment vertical="center"/>
    </xf>
    <xf numFmtId="4" fontId="75" fillId="45" borderId="24" applyNumberFormat="0" applyProtection="0">
      <alignment vertical="center"/>
    </xf>
    <xf numFmtId="4" fontId="75" fillId="45" borderId="24" applyNumberFormat="0" applyProtection="0">
      <alignment vertical="center"/>
    </xf>
    <xf numFmtId="4" fontId="75" fillId="45" borderId="24" applyNumberFormat="0" applyProtection="0">
      <alignment vertical="center"/>
    </xf>
    <xf numFmtId="4" fontId="75" fillId="45" borderId="24" applyNumberFormat="0" applyProtection="0">
      <alignment vertical="center"/>
    </xf>
    <xf numFmtId="4" fontId="75" fillId="45" borderId="24" applyNumberFormat="0" applyProtection="0">
      <alignment vertical="center"/>
    </xf>
    <xf numFmtId="4" fontId="75" fillId="45" borderId="24" applyNumberFormat="0" applyProtection="0">
      <alignment vertical="center"/>
    </xf>
    <xf numFmtId="4" fontId="75" fillId="45" borderId="24" applyNumberFormat="0" applyProtection="0">
      <alignment vertical="center"/>
    </xf>
    <xf numFmtId="4" fontId="75" fillId="45" borderId="24" applyNumberFormat="0" applyProtection="0">
      <alignment vertical="center"/>
    </xf>
    <xf numFmtId="4" fontId="75" fillId="45" borderId="24" applyNumberFormat="0" applyProtection="0">
      <alignment vertical="center"/>
    </xf>
    <xf numFmtId="4" fontId="75" fillId="45" borderId="24" applyNumberFormat="0" applyProtection="0">
      <alignment vertical="center"/>
    </xf>
    <xf numFmtId="4" fontId="75" fillId="45" borderId="24" applyNumberFormat="0" applyProtection="0">
      <alignment vertical="center"/>
    </xf>
    <xf numFmtId="4" fontId="18" fillId="45" borderId="23" applyNumberFormat="0" applyProtection="0">
      <alignment horizontal="left" vertical="center" indent="1"/>
    </xf>
    <xf numFmtId="4" fontId="18" fillId="45" borderId="23" applyNumberFormat="0" applyProtection="0">
      <alignment horizontal="left" vertical="center" indent="1"/>
    </xf>
    <xf numFmtId="4" fontId="18" fillId="45" borderId="23" applyNumberFormat="0" applyProtection="0">
      <alignment horizontal="left" vertical="center" indent="1"/>
    </xf>
    <xf numFmtId="4" fontId="18" fillId="45" borderId="23" applyNumberFormat="0" applyProtection="0">
      <alignment horizontal="left" vertical="center" indent="1"/>
    </xf>
    <xf numFmtId="4" fontId="18" fillId="45" borderId="23" applyNumberFormat="0" applyProtection="0">
      <alignment horizontal="left" vertical="center" indent="1"/>
    </xf>
    <xf numFmtId="4" fontId="18" fillId="45" borderId="23" applyNumberFormat="0" applyProtection="0">
      <alignment horizontal="left" vertical="center" indent="1"/>
    </xf>
    <xf numFmtId="4" fontId="18" fillId="45" borderId="23" applyNumberFormat="0" applyProtection="0">
      <alignment horizontal="left" vertical="center" indent="1"/>
    </xf>
    <xf numFmtId="4" fontId="18" fillId="45" borderId="23" applyNumberFormat="0" applyProtection="0">
      <alignment horizontal="left" vertical="center" indent="1"/>
    </xf>
    <xf numFmtId="4" fontId="18" fillId="45" borderId="23" applyNumberFormat="0" applyProtection="0">
      <alignment horizontal="left" vertical="center" indent="1"/>
    </xf>
    <xf numFmtId="4" fontId="18" fillId="45" borderId="23" applyNumberFormat="0" applyProtection="0">
      <alignment horizontal="left" vertical="center" indent="1"/>
    </xf>
    <xf numFmtId="4" fontId="18" fillId="45" borderId="23" applyNumberFormat="0" applyProtection="0">
      <alignment horizontal="left" vertical="center" indent="1"/>
    </xf>
    <xf numFmtId="4" fontId="18" fillId="45" borderId="23" applyNumberFormat="0" applyProtection="0">
      <alignment horizontal="left" vertical="center" indent="1"/>
    </xf>
    <xf numFmtId="4" fontId="18" fillId="45" borderId="23" applyNumberFormat="0" applyProtection="0">
      <alignment horizontal="left" vertical="center" indent="1"/>
    </xf>
    <xf numFmtId="4" fontId="18" fillId="45" borderId="23" applyNumberFormat="0" applyProtection="0">
      <alignment horizontal="left" vertical="center" indent="1"/>
    </xf>
    <xf numFmtId="4" fontId="18" fillId="45" borderId="23" applyNumberFormat="0" applyProtection="0">
      <alignment horizontal="left" vertical="center" indent="1"/>
    </xf>
    <xf numFmtId="4" fontId="18" fillId="45" borderId="23" applyNumberFormat="0" applyProtection="0">
      <alignment horizontal="left" vertical="center" indent="1"/>
    </xf>
    <xf numFmtId="4" fontId="18" fillId="45" borderId="23" applyNumberFormat="0" applyProtection="0">
      <alignment horizontal="left" vertical="center" indent="1"/>
    </xf>
    <xf numFmtId="4" fontId="18" fillId="45" borderId="23" applyNumberFormat="0" applyProtection="0">
      <alignment horizontal="left" vertical="center" indent="1"/>
    </xf>
    <xf numFmtId="4" fontId="18" fillId="45" borderId="23" applyNumberFormat="0" applyProtection="0">
      <alignment horizontal="left" vertical="center" indent="1"/>
    </xf>
    <xf numFmtId="4" fontId="18" fillId="45" borderId="23" applyNumberFormat="0" applyProtection="0">
      <alignment horizontal="left" vertical="center" indent="1"/>
    </xf>
    <xf numFmtId="4" fontId="18" fillId="45" borderId="23" applyNumberFormat="0" applyProtection="0">
      <alignment horizontal="left" vertical="center" indent="1"/>
    </xf>
    <xf numFmtId="4" fontId="18" fillId="45" borderId="23" applyNumberFormat="0" applyProtection="0">
      <alignment horizontal="left" vertical="center" indent="1"/>
    </xf>
    <xf numFmtId="0" fontId="18" fillId="46" borderId="24" applyNumberFormat="0" applyProtection="0">
      <alignment horizontal="left" vertical="top" indent="1"/>
    </xf>
    <xf numFmtId="0" fontId="18" fillId="46" borderId="24" applyNumberFormat="0" applyProtection="0">
      <alignment horizontal="left" vertical="top" indent="1"/>
    </xf>
    <xf numFmtId="0" fontId="18" fillId="46" borderId="24" applyNumberFormat="0" applyProtection="0">
      <alignment horizontal="left" vertical="top" indent="1"/>
    </xf>
    <xf numFmtId="0" fontId="18" fillId="46" borderId="24" applyNumberFormat="0" applyProtection="0">
      <alignment horizontal="left" vertical="top" indent="1"/>
    </xf>
    <xf numFmtId="0" fontId="18" fillId="46" borderId="24" applyNumberFormat="0" applyProtection="0">
      <alignment horizontal="left" vertical="top" indent="1"/>
    </xf>
    <xf numFmtId="0" fontId="18" fillId="46" borderId="24" applyNumberFormat="0" applyProtection="0">
      <alignment horizontal="left" vertical="top" indent="1"/>
    </xf>
    <xf numFmtId="0" fontId="18" fillId="46" borderId="24" applyNumberFormat="0" applyProtection="0">
      <alignment horizontal="left" vertical="top" indent="1"/>
    </xf>
    <xf numFmtId="0" fontId="18" fillId="46" borderId="24" applyNumberFormat="0" applyProtection="0">
      <alignment horizontal="left" vertical="top" indent="1"/>
    </xf>
    <xf numFmtId="0" fontId="18" fillId="46" borderId="24" applyNumberFormat="0" applyProtection="0">
      <alignment horizontal="left" vertical="top" indent="1"/>
    </xf>
    <xf numFmtId="0" fontId="18" fillId="46" borderId="24" applyNumberFormat="0" applyProtection="0">
      <alignment horizontal="left" vertical="top" indent="1"/>
    </xf>
    <xf numFmtId="0" fontId="18" fillId="46" borderId="24" applyNumberFormat="0" applyProtection="0">
      <alignment horizontal="left" vertical="top" indent="1"/>
    </xf>
    <xf numFmtId="0" fontId="18" fillId="46" borderId="24" applyNumberFormat="0" applyProtection="0">
      <alignment horizontal="left" vertical="top" indent="1"/>
    </xf>
    <xf numFmtId="0" fontId="18" fillId="46" borderId="24" applyNumberFormat="0" applyProtection="0">
      <alignment horizontal="left" vertical="top" indent="1"/>
    </xf>
    <xf numFmtId="0" fontId="18" fillId="46" borderId="24" applyNumberFormat="0" applyProtection="0">
      <alignment horizontal="left" vertical="top" indent="1"/>
    </xf>
    <xf numFmtId="0" fontId="18" fillId="46" borderId="24" applyNumberFormat="0" applyProtection="0">
      <alignment horizontal="left" vertical="top" indent="1"/>
    </xf>
    <xf numFmtId="0" fontId="18" fillId="46" borderId="24" applyNumberFormat="0" applyProtection="0">
      <alignment horizontal="left" vertical="top" indent="1"/>
    </xf>
    <xf numFmtId="0" fontId="18" fillId="46" borderId="24" applyNumberFormat="0" applyProtection="0">
      <alignment horizontal="left" vertical="top" indent="1"/>
    </xf>
    <xf numFmtId="0" fontId="18" fillId="46" borderId="24" applyNumberFormat="0" applyProtection="0">
      <alignment horizontal="left" vertical="top" indent="1"/>
    </xf>
    <xf numFmtId="0" fontId="18" fillId="46" borderId="24" applyNumberFormat="0" applyProtection="0">
      <alignment horizontal="left" vertical="top" indent="1"/>
    </xf>
    <xf numFmtId="0" fontId="18" fillId="46" borderId="24" applyNumberFormat="0" applyProtection="0">
      <alignment horizontal="left" vertical="top" indent="1"/>
    </xf>
    <xf numFmtId="0" fontId="18" fillId="46" borderId="24" applyNumberFormat="0" applyProtection="0">
      <alignment horizontal="left" vertical="top" indent="1"/>
    </xf>
    <xf numFmtId="0" fontId="18" fillId="46" borderId="24" applyNumberFormat="0" applyProtection="0">
      <alignment horizontal="left" vertical="top" indent="1"/>
    </xf>
    <xf numFmtId="4" fontId="18" fillId="43" borderId="0" applyNumberFormat="0" applyProtection="0">
      <alignment horizontal="left" vertical="center" indent="1"/>
    </xf>
    <xf numFmtId="4" fontId="18" fillId="43" borderId="0" applyNumberFormat="0" applyProtection="0">
      <alignment horizontal="left" vertical="center" indent="1"/>
    </xf>
    <xf numFmtId="4" fontId="19" fillId="45" borderId="24" applyNumberFormat="0" applyProtection="0">
      <alignment horizontal="right" vertical="center"/>
    </xf>
    <xf numFmtId="4" fontId="19" fillId="45" borderId="24" applyNumberFormat="0" applyProtection="0">
      <alignment horizontal="right" vertical="center"/>
    </xf>
    <xf numFmtId="4" fontId="19" fillId="45" borderId="24" applyNumberFormat="0" applyProtection="0">
      <alignment horizontal="right" vertical="center"/>
    </xf>
    <xf numFmtId="4" fontId="19" fillId="45" borderId="24" applyNumberFormat="0" applyProtection="0">
      <alignment horizontal="right" vertical="center"/>
    </xf>
    <xf numFmtId="4" fontId="19" fillId="45" borderId="24" applyNumberFormat="0" applyProtection="0">
      <alignment horizontal="right" vertical="center"/>
    </xf>
    <xf numFmtId="4" fontId="19" fillId="45" borderId="24" applyNumberFormat="0" applyProtection="0">
      <alignment horizontal="right" vertical="center"/>
    </xf>
    <xf numFmtId="4" fontId="19" fillId="45" borderId="24" applyNumberFormat="0" applyProtection="0">
      <alignment horizontal="right" vertical="center"/>
    </xf>
    <xf numFmtId="4" fontId="19" fillId="45" borderId="24" applyNumberFormat="0" applyProtection="0">
      <alignment horizontal="right" vertical="center"/>
    </xf>
    <xf numFmtId="4" fontId="19" fillId="45" borderId="24" applyNumberFormat="0" applyProtection="0">
      <alignment horizontal="right" vertical="center"/>
    </xf>
    <xf numFmtId="4" fontId="19" fillId="45" borderId="24" applyNumberFormat="0" applyProtection="0">
      <alignment horizontal="right" vertical="center"/>
    </xf>
    <xf numFmtId="4" fontId="19" fillId="45" borderId="24" applyNumberFormat="0" applyProtection="0">
      <alignment horizontal="right" vertical="center"/>
    </xf>
    <xf numFmtId="4" fontId="19" fillId="45" borderId="24" applyNumberFormat="0" applyProtection="0">
      <alignment horizontal="right" vertical="center"/>
    </xf>
    <xf numFmtId="4" fontId="19" fillId="45" borderId="24" applyNumberFormat="0" applyProtection="0">
      <alignment horizontal="right" vertical="center"/>
    </xf>
    <xf numFmtId="4" fontId="19" fillId="45" borderId="24" applyNumberFormat="0" applyProtection="0">
      <alignment horizontal="right" vertical="center"/>
    </xf>
    <xf numFmtId="4" fontId="19" fillId="45" borderId="24" applyNumberFormat="0" applyProtection="0">
      <alignment horizontal="right" vertical="center"/>
    </xf>
    <xf numFmtId="4" fontId="19" fillId="45" borderId="24" applyNumberFormat="0" applyProtection="0">
      <alignment horizontal="right" vertical="center"/>
    </xf>
    <xf numFmtId="4" fontId="19" fillId="45" borderId="24" applyNumberFormat="0" applyProtection="0">
      <alignment horizontal="right" vertical="center"/>
    </xf>
    <xf numFmtId="4" fontId="19" fillId="45" borderId="24" applyNumberFormat="0" applyProtection="0">
      <alignment horizontal="right" vertical="center"/>
    </xf>
    <xf numFmtId="4" fontId="19" fillId="45" borderId="24" applyNumberFormat="0" applyProtection="0">
      <alignment horizontal="right" vertical="center"/>
    </xf>
    <xf numFmtId="4" fontId="19" fillId="45" borderId="24" applyNumberFormat="0" applyProtection="0">
      <alignment horizontal="right" vertical="center"/>
    </xf>
    <xf numFmtId="4" fontId="19" fillId="45" borderId="24" applyNumberFormat="0" applyProtection="0">
      <alignment horizontal="right" vertical="center"/>
    </xf>
    <xf numFmtId="4" fontId="19" fillId="45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17" borderId="24" applyNumberFormat="0" applyProtection="0">
      <alignment horizontal="right" vertical="center"/>
    </xf>
    <xf numFmtId="4" fontId="19" fillId="17" borderId="24" applyNumberFormat="0" applyProtection="0">
      <alignment horizontal="right" vertical="center"/>
    </xf>
    <xf numFmtId="4" fontId="19" fillId="17" borderId="24" applyNumberFormat="0" applyProtection="0">
      <alignment horizontal="right" vertical="center"/>
    </xf>
    <xf numFmtId="4" fontId="19" fillId="17" borderId="24" applyNumberFormat="0" applyProtection="0">
      <alignment horizontal="right" vertical="center"/>
    </xf>
    <xf numFmtId="4" fontId="19" fillId="17" borderId="24" applyNumberFormat="0" applyProtection="0">
      <alignment horizontal="right" vertical="center"/>
    </xf>
    <xf numFmtId="4" fontId="19" fillId="17" borderId="24" applyNumberFormat="0" applyProtection="0">
      <alignment horizontal="right" vertical="center"/>
    </xf>
    <xf numFmtId="4" fontId="19" fillId="17" borderId="24" applyNumberFormat="0" applyProtection="0">
      <alignment horizontal="right" vertical="center"/>
    </xf>
    <xf numFmtId="4" fontId="19" fillId="17" borderId="24" applyNumberFormat="0" applyProtection="0">
      <alignment horizontal="right" vertical="center"/>
    </xf>
    <xf numFmtId="4" fontId="19" fillId="17" borderId="24" applyNumberFormat="0" applyProtection="0">
      <alignment horizontal="right" vertical="center"/>
    </xf>
    <xf numFmtId="4" fontId="19" fillId="17" borderId="24" applyNumberFormat="0" applyProtection="0">
      <alignment horizontal="right" vertical="center"/>
    </xf>
    <xf numFmtId="4" fontId="19" fillId="17" borderId="24" applyNumberFormat="0" applyProtection="0">
      <alignment horizontal="right" vertical="center"/>
    </xf>
    <xf numFmtId="4" fontId="19" fillId="17" borderId="24" applyNumberFormat="0" applyProtection="0">
      <alignment horizontal="right" vertical="center"/>
    </xf>
    <xf numFmtId="4" fontId="19" fillId="17" borderId="24" applyNumberFormat="0" applyProtection="0">
      <alignment horizontal="right" vertical="center"/>
    </xf>
    <xf numFmtId="4" fontId="19" fillId="17" borderId="24" applyNumberFormat="0" applyProtection="0">
      <alignment horizontal="right" vertical="center"/>
    </xf>
    <xf numFmtId="4" fontId="19" fillId="17" borderId="24" applyNumberFormat="0" applyProtection="0">
      <alignment horizontal="right" vertical="center"/>
    </xf>
    <xf numFmtId="4" fontId="19" fillId="17" borderId="24" applyNumberFormat="0" applyProtection="0">
      <alignment horizontal="right" vertical="center"/>
    </xf>
    <xf numFmtId="4" fontId="19" fillId="17" borderId="24" applyNumberFormat="0" applyProtection="0">
      <alignment horizontal="right" vertical="center"/>
    </xf>
    <xf numFmtId="4" fontId="19" fillId="17" borderId="24" applyNumberFormat="0" applyProtection="0">
      <alignment horizontal="right" vertical="center"/>
    </xf>
    <xf numFmtId="4" fontId="19" fillId="17" borderId="24" applyNumberFormat="0" applyProtection="0">
      <alignment horizontal="right" vertical="center"/>
    </xf>
    <xf numFmtId="4" fontId="19" fillId="17" borderId="24" applyNumberFormat="0" applyProtection="0">
      <alignment horizontal="right" vertical="center"/>
    </xf>
    <xf numFmtId="4" fontId="19" fillId="17" borderId="24" applyNumberFormat="0" applyProtection="0">
      <alignment horizontal="right" vertical="center"/>
    </xf>
    <xf numFmtId="4" fontId="19" fillId="17" borderId="24" applyNumberFormat="0" applyProtection="0">
      <alignment horizontal="right" vertical="center"/>
    </xf>
    <xf numFmtId="4" fontId="19" fillId="24" borderId="24" applyNumberFormat="0" applyProtection="0">
      <alignment horizontal="right" vertical="center"/>
    </xf>
    <xf numFmtId="4" fontId="19" fillId="24" borderId="24" applyNumberFormat="0" applyProtection="0">
      <alignment horizontal="right" vertical="center"/>
    </xf>
    <xf numFmtId="4" fontId="19" fillId="24" borderId="24" applyNumberFormat="0" applyProtection="0">
      <alignment horizontal="right" vertical="center"/>
    </xf>
    <xf numFmtId="4" fontId="19" fillId="24" borderId="24" applyNumberFormat="0" applyProtection="0">
      <alignment horizontal="right" vertical="center"/>
    </xf>
    <xf numFmtId="4" fontId="19" fillId="24" borderId="24" applyNumberFormat="0" applyProtection="0">
      <alignment horizontal="right" vertical="center"/>
    </xf>
    <xf numFmtId="4" fontId="19" fillId="24" borderId="24" applyNumberFormat="0" applyProtection="0">
      <alignment horizontal="right" vertical="center"/>
    </xf>
    <xf numFmtId="4" fontId="19" fillId="24" borderId="24" applyNumberFormat="0" applyProtection="0">
      <alignment horizontal="right" vertical="center"/>
    </xf>
    <xf numFmtId="4" fontId="19" fillId="24" borderId="24" applyNumberFormat="0" applyProtection="0">
      <alignment horizontal="right" vertical="center"/>
    </xf>
    <xf numFmtId="4" fontId="19" fillId="24" borderId="24" applyNumberFormat="0" applyProtection="0">
      <alignment horizontal="right" vertical="center"/>
    </xf>
    <xf numFmtId="4" fontId="19" fillId="24" borderId="24" applyNumberFormat="0" applyProtection="0">
      <alignment horizontal="right" vertical="center"/>
    </xf>
    <xf numFmtId="4" fontId="19" fillId="24" borderId="24" applyNumberFormat="0" applyProtection="0">
      <alignment horizontal="right" vertical="center"/>
    </xf>
    <xf numFmtId="4" fontId="19" fillId="24" borderId="24" applyNumberFormat="0" applyProtection="0">
      <alignment horizontal="right" vertical="center"/>
    </xf>
    <xf numFmtId="4" fontId="19" fillId="24" borderId="24" applyNumberFormat="0" applyProtection="0">
      <alignment horizontal="right" vertical="center"/>
    </xf>
    <xf numFmtId="4" fontId="19" fillId="24" borderId="24" applyNumberFormat="0" applyProtection="0">
      <alignment horizontal="right" vertical="center"/>
    </xf>
    <xf numFmtId="4" fontId="19" fillId="24" borderId="24" applyNumberFormat="0" applyProtection="0">
      <alignment horizontal="right" vertical="center"/>
    </xf>
    <xf numFmtId="4" fontId="19" fillId="24" borderId="24" applyNumberFormat="0" applyProtection="0">
      <alignment horizontal="right" vertical="center"/>
    </xf>
    <xf numFmtId="4" fontId="19" fillId="24" borderId="24" applyNumberFormat="0" applyProtection="0">
      <alignment horizontal="right" vertical="center"/>
    </xf>
    <xf numFmtId="4" fontId="19" fillId="24" borderId="24" applyNumberFormat="0" applyProtection="0">
      <alignment horizontal="right" vertical="center"/>
    </xf>
    <xf numFmtId="4" fontId="19" fillId="24" borderId="24" applyNumberFormat="0" applyProtection="0">
      <alignment horizontal="right" vertical="center"/>
    </xf>
    <xf numFmtId="4" fontId="19" fillId="24" borderId="24" applyNumberFormat="0" applyProtection="0">
      <alignment horizontal="right" vertical="center"/>
    </xf>
    <xf numFmtId="4" fontId="19" fillId="24" borderId="24" applyNumberFormat="0" applyProtection="0">
      <alignment horizontal="right" vertical="center"/>
    </xf>
    <xf numFmtId="4" fontId="19" fillId="24" borderId="24" applyNumberFormat="0" applyProtection="0">
      <alignment horizontal="right" vertical="center"/>
    </xf>
    <xf numFmtId="4" fontId="76" fillId="31" borderId="24" applyNumberFormat="0" applyProtection="0">
      <alignment horizontal="right" vertical="center"/>
    </xf>
    <xf numFmtId="4" fontId="76" fillId="31" borderId="24" applyNumberFormat="0" applyProtection="0">
      <alignment horizontal="right" vertical="center"/>
    </xf>
    <xf numFmtId="4" fontId="76" fillId="31" borderId="24" applyNumberFormat="0" applyProtection="0">
      <alignment horizontal="right" vertical="center"/>
    </xf>
    <xf numFmtId="4" fontId="76" fillId="31" borderId="24" applyNumberFormat="0" applyProtection="0">
      <alignment horizontal="right" vertical="center"/>
    </xf>
    <xf numFmtId="4" fontId="76" fillId="31" borderId="24" applyNumberFormat="0" applyProtection="0">
      <alignment horizontal="right" vertical="center"/>
    </xf>
    <xf numFmtId="4" fontId="76" fillId="31" borderId="24" applyNumberFormat="0" applyProtection="0">
      <alignment horizontal="right" vertical="center"/>
    </xf>
    <xf numFmtId="4" fontId="76" fillId="31" borderId="24" applyNumberFormat="0" applyProtection="0">
      <alignment horizontal="right" vertical="center"/>
    </xf>
    <xf numFmtId="4" fontId="76" fillId="31" borderId="24" applyNumberFormat="0" applyProtection="0">
      <alignment horizontal="right" vertical="center"/>
    </xf>
    <xf numFmtId="4" fontId="76" fillId="31" borderId="24" applyNumberFormat="0" applyProtection="0">
      <alignment horizontal="right" vertical="center"/>
    </xf>
    <xf numFmtId="4" fontId="76" fillId="31" borderId="24" applyNumberFormat="0" applyProtection="0">
      <alignment horizontal="right" vertical="center"/>
    </xf>
    <xf numFmtId="4" fontId="76" fillId="31" borderId="24" applyNumberFormat="0" applyProtection="0">
      <alignment horizontal="right" vertical="center"/>
    </xf>
    <xf numFmtId="4" fontId="76" fillId="49" borderId="24" applyNumberFormat="0" applyProtection="0">
      <alignment horizontal="right" vertical="center"/>
    </xf>
    <xf numFmtId="4" fontId="76" fillId="49" borderId="24" applyNumberFormat="0" applyProtection="0">
      <alignment horizontal="right" vertical="center"/>
    </xf>
    <xf numFmtId="4" fontId="76" fillId="49" borderId="24" applyNumberFormat="0" applyProtection="0">
      <alignment horizontal="right" vertical="center"/>
    </xf>
    <xf numFmtId="4" fontId="76" fillId="49" borderId="24" applyNumberFormat="0" applyProtection="0">
      <alignment horizontal="right" vertical="center"/>
    </xf>
    <xf numFmtId="4" fontId="76" fillId="49" borderId="24" applyNumberFormat="0" applyProtection="0">
      <alignment horizontal="right" vertical="center"/>
    </xf>
    <xf numFmtId="4" fontId="76" fillId="49" borderId="24" applyNumberFormat="0" applyProtection="0">
      <alignment horizontal="right" vertical="center"/>
    </xf>
    <xf numFmtId="4" fontId="76" fillId="49" borderId="24" applyNumberFormat="0" applyProtection="0">
      <alignment horizontal="right" vertical="center"/>
    </xf>
    <xf numFmtId="4" fontId="76" fillId="49" borderId="24" applyNumberFormat="0" applyProtection="0">
      <alignment horizontal="right" vertical="center"/>
    </xf>
    <xf numFmtId="4" fontId="76" fillId="49" borderId="24" applyNumberFormat="0" applyProtection="0">
      <alignment horizontal="right" vertical="center"/>
    </xf>
    <xf numFmtId="4" fontId="76" fillId="49" borderId="24" applyNumberFormat="0" applyProtection="0">
      <alignment horizontal="right" vertical="center"/>
    </xf>
    <xf numFmtId="4" fontId="76" fillId="49" borderId="24" applyNumberFormat="0" applyProtection="0">
      <alignment horizontal="right" vertical="center"/>
    </xf>
    <xf numFmtId="4" fontId="19" fillId="30" borderId="24" applyNumberFormat="0" applyProtection="0">
      <alignment horizontal="right" vertical="center"/>
    </xf>
    <xf numFmtId="4" fontId="19" fillId="30" borderId="24" applyNumberFormat="0" applyProtection="0">
      <alignment horizontal="right" vertical="center"/>
    </xf>
    <xf numFmtId="4" fontId="19" fillId="30" borderId="24" applyNumberFormat="0" applyProtection="0">
      <alignment horizontal="right" vertical="center"/>
    </xf>
    <xf numFmtId="4" fontId="19" fillId="30" borderId="24" applyNumberFormat="0" applyProtection="0">
      <alignment horizontal="right" vertical="center"/>
    </xf>
    <xf numFmtId="4" fontId="19" fillId="30" borderId="24" applyNumberFormat="0" applyProtection="0">
      <alignment horizontal="right" vertical="center"/>
    </xf>
    <xf numFmtId="4" fontId="19" fillId="30" borderId="24" applyNumberFormat="0" applyProtection="0">
      <alignment horizontal="right" vertical="center"/>
    </xf>
    <xf numFmtId="4" fontId="19" fillId="30" borderId="24" applyNumberFormat="0" applyProtection="0">
      <alignment horizontal="right" vertical="center"/>
    </xf>
    <xf numFmtId="4" fontId="19" fillId="30" borderId="24" applyNumberFormat="0" applyProtection="0">
      <alignment horizontal="right" vertical="center"/>
    </xf>
    <xf numFmtId="4" fontId="19" fillId="30" borderId="24" applyNumberFormat="0" applyProtection="0">
      <alignment horizontal="right" vertical="center"/>
    </xf>
    <xf numFmtId="4" fontId="19" fillId="30" borderId="24" applyNumberFormat="0" applyProtection="0">
      <alignment horizontal="right" vertical="center"/>
    </xf>
    <xf numFmtId="4" fontId="19" fillId="30" borderId="24" applyNumberFormat="0" applyProtection="0">
      <alignment horizontal="right" vertical="center"/>
    </xf>
    <xf numFmtId="4" fontId="19" fillId="30" borderId="24" applyNumberFormat="0" applyProtection="0">
      <alignment horizontal="right" vertical="center"/>
    </xf>
    <xf numFmtId="4" fontId="19" fillId="30" borderId="24" applyNumberFormat="0" applyProtection="0">
      <alignment horizontal="right" vertical="center"/>
    </xf>
    <xf numFmtId="4" fontId="19" fillId="30" borderId="24" applyNumberFormat="0" applyProtection="0">
      <alignment horizontal="right" vertical="center"/>
    </xf>
    <xf numFmtId="4" fontId="19" fillId="30" borderId="24" applyNumberFormat="0" applyProtection="0">
      <alignment horizontal="right" vertical="center"/>
    </xf>
    <xf numFmtId="4" fontId="19" fillId="30" borderId="24" applyNumberFormat="0" applyProtection="0">
      <alignment horizontal="right" vertical="center"/>
    </xf>
    <xf numFmtId="4" fontId="19" fillId="30" borderId="24" applyNumberFormat="0" applyProtection="0">
      <alignment horizontal="right" vertical="center"/>
    </xf>
    <xf numFmtId="4" fontId="19" fillId="30" borderId="24" applyNumberFormat="0" applyProtection="0">
      <alignment horizontal="right" vertical="center"/>
    </xf>
    <xf numFmtId="4" fontId="19" fillId="30" borderId="24" applyNumberFormat="0" applyProtection="0">
      <alignment horizontal="right" vertical="center"/>
    </xf>
    <xf numFmtId="4" fontId="19" fillId="30" borderId="24" applyNumberFormat="0" applyProtection="0">
      <alignment horizontal="right" vertical="center"/>
    </xf>
    <xf numFmtId="4" fontId="19" fillId="30" borderId="24" applyNumberFormat="0" applyProtection="0">
      <alignment horizontal="right" vertical="center"/>
    </xf>
    <xf numFmtId="4" fontId="19" fillId="30" borderId="24" applyNumberFormat="0" applyProtection="0">
      <alignment horizontal="right" vertical="center"/>
    </xf>
    <xf numFmtId="4" fontId="18" fillId="50" borderId="0" applyNumberFormat="0" applyProtection="0">
      <alignment horizontal="left" vertical="center" indent="1"/>
    </xf>
    <xf numFmtId="4" fontId="18" fillId="50" borderId="0" applyNumberFormat="0" applyProtection="0">
      <alignment horizontal="left" vertical="center" indent="1"/>
    </xf>
    <xf numFmtId="4" fontId="19" fillId="26" borderId="0" applyNumberFormat="0" applyProtection="0">
      <alignment horizontal="left" vertical="center" indent="1"/>
    </xf>
    <xf numFmtId="4" fontId="19" fillId="26" borderId="0" applyNumberFormat="0" applyProtection="0">
      <alignment horizontal="left" vertical="center" indent="1"/>
    </xf>
    <xf numFmtId="4" fontId="72" fillId="51" borderId="0" applyNumberFormat="0" applyProtection="0">
      <alignment horizontal="left" vertical="center" indent="1"/>
    </xf>
    <xf numFmtId="4" fontId="72" fillId="51" borderId="0" applyNumberFormat="0" applyProtection="0">
      <alignment horizontal="left" vertical="center" indent="1"/>
    </xf>
    <xf numFmtId="4" fontId="19" fillId="26" borderId="23" applyNumberFormat="0" applyProtection="0">
      <alignment horizontal="right" vertical="center"/>
    </xf>
    <xf numFmtId="4" fontId="19" fillId="26" borderId="23" applyNumberFormat="0" applyProtection="0">
      <alignment horizontal="right" vertical="center"/>
    </xf>
    <xf numFmtId="4" fontId="19" fillId="26" borderId="23" applyNumberFormat="0" applyProtection="0">
      <alignment horizontal="right" vertical="center"/>
    </xf>
    <xf numFmtId="4" fontId="19" fillId="26" borderId="23" applyNumberFormat="0" applyProtection="0">
      <alignment horizontal="right" vertical="center"/>
    </xf>
    <xf numFmtId="4" fontId="19" fillId="26" borderId="23" applyNumberFormat="0" applyProtection="0">
      <alignment horizontal="right" vertical="center"/>
    </xf>
    <xf numFmtId="4" fontId="19" fillId="26" borderId="23" applyNumberFormat="0" applyProtection="0">
      <alignment horizontal="right" vertical="center"/>
    </xf>
    <xf numFmtId="4" fontId="19" fillId="26" borderId="23" applyNumberFormat="0" applyProtection="0">
      <alignment horizontal="right" vertical="center"/>
    </xf>
    <xf numFmtId="4" fontId="19" fillId="26" borderId="23" applyNumberFormat="0" applyProtection="0">
      <alignment horizontal="right" vertical="center"/>
    </xf>
    <xf numFmtId="4" fontId="19" fillId="26" borderId="23" applyNumberFormat="0" applyProtection="0">
      <alignment horizontal="right" vertical="center"/>
    </xf>
    <xf numFmtId="4" fontId="19" fillId="26" borderId="23" applyNumberFormat="0" applyProtection="0">
      <alignment horizontal="right" vertical="center"/>
    </xf>
    <xf numFmtId="4" fontId="19" fillId="26" borderId="23" applyNumberFormat="0" applyProtection="0">
      <alignment horizontal="right" vertical="center"/>
    </xf>
    <xf numFmtId="4" fontId="19" fillId="26" borderId="23" applyNumberFormat="0" applyProtection="0">
      <alignment horizontal="right" vertical="center"/>
    </xf>
    <xf numFmtId="4" fontId="19" fillId="26" borderId="23" applyNumberFormat="0" applyProtection="0">
      <alignment horizontal="right" vertical="center"/>
    </xf>
    <xf numFmtId="4" fontId="19" fillId="26" borderId="23" applyNumberFormat="0" applyProtection="0">
      <alignment horizontal="right" vertical="center"/>
    </xf>
    <xf numFmtId="4" fontId="19" fillId="26" borderId="23" applyNumberFormat="0" applyProtection="0">
      <alignment horizontal="right" vertical="center"/>
    </xf>
    <xf numFmtId="4" fontId="19" fillId="26" borderId="23" applyNumberFormat="0" applyProtection="0">
      <alignment horizontal="right" vertical="center"/>
    </xf>
    <xf numFmtId="4" fontId="19" fillId="26" borderId="23" applyNumberFormat="0" applyProtection="0">
      <alignment horizontal="right" vertical="center"/>
    </xf>
    <xf numFmtId="4" fontId="19" fillId="26" borderId="23" applyNumberFormat="0" applyProtection="0">
      <alignment horizontal="right" vertical="center"/>
    </xf>
    <xf numFmtId="4" fontId="19" fillId="26" borderId="23" applyNumberFormat="0" applyProtection="0">
      <alignment horizontal="right" vertical="center"/>
    </xf>
    <xf numFmtId="4" fontId="19" fillId="26" borderId="23" applyNumberFormat="0" applyProtection="0">
      <alignment horizontal="right" vertical="center"/>
    </xf>
    <xf numFmtId="4" fontId="19" fillId="26" borderId="23" applyNumberFormat="0" applyProtection="0">
      <alignment horizontal="right" vertical="center"/>
    </xf>
    <xf numFmtId="4" fontId="19" fillId="26" borderId="23" applyNumberFormat="0" applyProtection="0">
      <alignment horizontal="right" vertical="center"/>
    </xf>
    <xf numFmtId="4" fontId="19" fillId="26" borderId="0" applyNumberFormat="0" applyProtection="0">
      <alignment horizontal="left" vertical="center" indent="1"/>
    </xf>
    <xf numFmtId="4" fontId="19" fillId="26" borderId="0" applyNumberFormat="0" applyProtection="0">
      <alignment horizontal="left" vertical="center" indent="1"/>
    </xf>
    <xf numFmtId="4" fontId="19" fillId="46" borderId="0" applyNumberFormat="0" applyProtection="0">
      <alignment horizontal="left" vertical="center" indent="1"/>
    </xf>
    <xf numFmtId="4" fontId="19" fillId="46" borderId="0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4" fontId="61" fillId="52" borderId="24" applyNumberFormat="0" applyProtection="0">
      <alignment vertical="center"/>
    </xf>
    <xf numFmtId="4" fontId="61" fillId="52" borderId="24" applyNumberFormat="0" applyProtection="0">
      <alignment vertical="center"/>
    </xf>
    <xf numFmtId="4" fontId="61" fillId="52" borderId="24" applyNumberFormat="0" applyProtection="0">
      <alignment vertical="center"/>
    </xf>
    <xf numFmtId="4" fontId="61" fillId="52" borderId="24" applyNumberFormat="0" applyProtection="0">
      <alignment vertical="center"/>
    </xf>
    <xf numFmtId="4" fontId="61" fillId="52" borderId="24" applyNumberFormat="0" applyProtection="0">
      <alignment vertical="center"/>
    </xf>
    <xf numFmtId="4" fontId="61" fillId="52" borderId="24" applyNumberFormat="0" applyProtection="0">
      <alignment vertical="center"/>
    </xf>
    <xf numFmtId="4" fontId="61" fillId="52" borderId="24" applyNumberFormat="0" applyProtection="0">
      <alignment vertical="center"/>
    </xf>
    <xf numFmtId="4" fontId="61" fillId="52" borderId="24" applyNumberFormat="0" applyProtection="0">
      <alignment vertical="center"/>
    </xf>
    <xf numFmtId="4" fontId="61" fillId="52" borderId="24" applyNumberFormat="0" applyProtection="0">
      <alignment vertical="center"/>
    </xf>
    <xf numFmtId="4" fontId="61" fillId="52" borderId="24" applyNumberFormat="0" applyProtection="0">
      <alignment vertical="center"/>
    </xf>
    <xf numFmtId="4" fontId="61" fillId="52" borderId="24" applyNumberFormat="0" applyProtection="0">
      <alignment vertical="center"/>
    </xf>
    <xf numFmtId="4" fontId="77" fillId="52" borderId="24" applyNumberFormat="0" applyProtection="0">
      <alignment vertical="center"/>
    </xf>
    <xf numFmtId="4" fontId="77" fillId="52" borderId="24" applyNumberFormat="0" applyProtection="0">
      <alignment vertical="center"/>
    </xf>
    <xf numFmtId="4" fontId="77" fillId="52" borderId="24" applyNumberFormat="0" applyProtection="0">
      <alignment vertical="center"/>
    </xf>
    <xf numFmtId="4" fontId="77" fillId="52" borderId="24" applyNumberFormat="0" applyProtection="0">
      <alignment vertical="center"/>
    </xf>
    <xf numFmtId="4" fontId="77" fillId="52" borderId="24" applyNumberFormat="0" applyProtection="0">
      <alignment vertical="center"/>
    </xf>
    <xf numFmtId="4" fontId="77" fillId="52" borderId="24" applyNumberFormat="0" applyProtection="0">
      <alignment vertical="center"/>
    </xf>
    <xf numFmtId="4" fontId="77" fillId="52" borderId="24" applyNumberFormat="0" applyProtection="0">
      <alignment vertical="center"/>
    </xf>
    <xf numFmtId="4" fontId="77" fillId="52" borderId="24" applyNumberFormat="0" applyProtection="0">
      <alignment vertical="center"/>
    </xf>
    <xf numFmtId="4" fontId="77" fillId="52" borderId="24" applyNumberFormat="0" applyProtection="0">
      <alignment vertical="center"/>
    </xf>
    <xf numFmtId="4" fontId="77" fillId="52" borderId="24" applyNumberFormat="0" applyProtection="0">
      <alignment vertical="center"/>
    </xf>
    <xf numFmtId="4" fontId="77" fillId="52" borderId="24" applyNumberFormat="0" applyProtection="0">
      <alignment vertical="center"/>
    </xf>
    <xf numFmtId="4" fontId="19" fillId="26" borderId="24" applyNumberFormat="0" applyProtection="0">
      <alignment horizontal="left" vertical="center" indent="1"/>
    </xf>
    <xf numFmtId="4" fontId="19" fillId="26" borderId="24" applyNumberFormat="0" applyProtection="0">
      <alignment horizontal="left" vertical="center" indent="1"/>
    </xf>
    <xf numFmtId="4" fontId="19" fillId="26" borderId="24" applyNumberFormat="0" applyProtection="0">
      <alignment horizontal="left" vertical="center" indent="1"/>
    </xf>
    <xf numFmtId="4" fontId="19" fillId="26" borderId="24" applyNumberFormat="0" applyProtection="0">
      <alignment horizontal="left" vertical="center" indent="1"/>
    </xf>
    <xf numFmtId="4" fontId="19" fillId="26" borderId="24" applyNumberFormat="0" applyProtection="0">
      <alignment horizontal="left" vertical="center" indent="1"/>
    </xf>
    <xf numFmtId="4" fontId="19" fillId="26" borderId="24" applyNumberFormat="0" applyProtection="0">
      <alignment horizontal="left" vertical="center" indent="1"/>
    </xf>
    <xf numFmtId="4" fontId="19" fillId="26" borderId="24" applyNumberFormat="0" applyProtection="0">
      <alignment horizontal="left" vertical="center" indent="1"/>
    </xf>
    <xf numFmtId="4" fontId="19" fillId="26" borderId="24" applyNumberFormat="0" applyProtection="0">
      <alignment horizontal="left" vertical="center" indent="1"/>
    </xf>
    <xf numFmtId="4" fontId="19" fillId="26" borderId="24" applyNumberFormat="0" applyProtection="0">
      <alignment horizontal="left" vertical="center" indent="1"/>
    </xf>
    <xf numFmtId="4" fontId="19" fillId="26" borderId="24" applyNumberFormat="0" applyProtection="0">
      <alignment horizontal="left" vertical="center" indent="1"/>
    </xf>
    <xf numFmtId="4" fontId="19" fillId="26" borderId="24" applyNumberFormat="0" applyProtection="0">
      <alignment horizontal="left" vertical="center" indent="1"/>
    </xf>
    <xf numFmtId="4" fontId="19" fillId="26" borderId="24" applyNumberFormat="0" applyProtection="0">
      <alignment horizontal="left" vertical="center" indent="1"/>
    </xf>
    <xf numFmtId="4" fontId="19" fillId="26" borderId="24" applyNumberFormat="0" applyProtection="0">
      <alignment horizontal="left" vertical="center" indent="1"/>
    </xf>
    <xf numFmtId="4" fontId="19" fillId="26" borderId="24" applyNumberFormat="0" applyProtection="0">
      <alignment horizontal="left" vertical="center" indent="1"/>
    </xf>
    <xf numFmtId="4" fontId="19" fillId="26" borderId="24" applyNumberFormat="0" applyProtection="0">
      <alignment horizontal="left" vertical="center" indent="1"/>
    </xf>
    <xf numFmtId="4" fontId="19" fillId="26" borderId="24" applyNumberFormat="0" applyProtection="0">
      <alignment horizontal="left" vertical="center" indent="1"/>
    </xf>
    <xf numFmtId="4" fontId="19" fillId="26" borderId="24" applyNumberFormat="0" applyProtection="0">
      <alignment horizontal="left" vertical="center" indent="1"/>
    </xf>
    <xf numFmtId="4" fontId="19" fillId="26" borderId="24" applyNumberFormat="0" applyProtection="0">
      <alignment horizontal="left" vertical="center" indent="1"/>
    </xf>
    <xf numFmtId="4" fontId="19" fillId="26" borderId="24" applyNumberFormat="0" applyProtection="0">
      <alignment horizontal="left" vertical="center" indent="1"/>
    </xf>
    <xf numFmtId="4" fontId="19" fillId="26" borderId="24" applyNumberFormat="0" applyProtection="0">
      <alignment horizontal="left" vertical="center" indent="1"/>
    </xf>
    <xf numFmtId="4" fontId="19" fillId="26" borderId="24" applyNumberFormat="0" applyProtection="0">
      <alignment horizontal="left" vertical="center" indent="1"/>
    </xf>
    <xf numFmtId="4" fontId="19" fillId="26" borderId="24" applyNumberFormat="0" applyProtection="0">
      <alignment horizontal="left" vertical="center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4" fontId="19" fillId="53" borderId="23" applyNumberFormat="0" applyProtection="0">
      <alignment horizontal="right" vertical="center"/>
    </xf>
    <xf numFmtId="4" fontId="19" fillId="53" borderId="23" applyNumberFormat="0" applyProtection="0">
      <alignment horizontal="right" vertical="center"/>
    </xf>
    <xf numFmtId="4" fontId="19" fillId="53" borderId="23" applyNumberFormat="0" applyProtection="0">
      <alignment horizontal="right" vertical="center"/>
    </xf>
    <xf numFmtId="4" fontId="19" fillId="53" borderId="23" applyNumberFormat="0" applyProtection="0">
      <alignment horizontal="right" vertical="center"/>
    </xf>
    <xf numFmtId="4" fontId="19" fillId="53" borderId="23" applyNumberFormat="0" applyProtection="0">
      <alignment horizontal="right" vertical="center"/>
    </xf>
    <xf numFmtId="4" fontId="19" fillId="53" borderId="23" applyNumberFormat="0" applyProtection="0">
      <alignment horizontal="right" vertical="center"/>
    </xf>
    <xf numFmtId="4" fontId="19" fillId="53" borderId="23" applyNumberFormat="0" applyProtection="0">
      <alignment horizontal="right" vertical="center"/>
    </xf>
    <xf numFmtId="4" fontId="19" fillId="53" borderId="23" applyNumberFormat="0" applyProtection="0">
      <alignment horizontal="right" vertical="center"/>
    </xf>
    <xf numFmtId="4" fontId="19" fillId="53" borderId="23" applyNumberFormat="0" applyProtection="0">
      <alignment horizontal="right" vertical="center"/>
    </xf>
    <xf numFmtId="4" fontId="19" fillId="53" borderId="23" applyNumberFormat="0" applyProtection="0">
      <alignment horizontal="right" vertical="center"/>
    </xf>
    <xf numFmtId="4" fontId="19" fillId="53" borderId="23" applyNumberFormat="0" applyProtection="0">
      <alignment horizontal="right" vertical="center"/>
    </xf>
    <xf numFmtId="4" fontId="19" fillId="53" borderId="23" applyNumberFormat="0" applyProtection="0">
      <alignment horizontal="right" vertical="center"/>
    </xf>
    <xf numFmtId="4" fontId="19" fillId="53" borderId="23" applyNumberFormat="0" applyProtection="0">
      <alignment horizontal="right" vertical="center"/>
    </xf>
    <xf numFmtId="4" fontId="19" fillId="53" borderId="23" applyNumberFormat="0" applyProtection="0">
      <alignment horizontal="right" vertical="center"/>
    </xf>
    <xf numFmtId="4" fontId="19" fillId="53" borderId="23" applyNumberFormat="0" applyProtection="0">
      <alignment horizontal="right" vertical="center"/>
    </xf>
    <xf numFmtId="4" fontId="19" fillId="53" borderId="23" applyNumberFormat="0" applyProtection="0">
      <alignment horizontal="right" vertical="center"/>
    </xf>
    <xf numFmtId="4" fontId="19" fillId="53" borderId="23" applyNumberFormat="0" applyProtection="0">
      <alignment horizontal="right" vertical="center"/>
    </xf>
    <xf numFmtId="4" fontId="19" fillId="53" borderId="23" applyNumberFormat="0" applyProtection="0">
      <alignment horizontal="right" vertical="center"/>
    </xf>
    <xf numFmtId="4" fontId="19" fillId="53" borderId="23" applyNumberFormat="0" applyProtection="0">
      <alignment horizontal="right" vertical="center"/>
    </xf>
    <xf numFmtId="4" fontId="19" fillId="53" borderId="23" applyNumberFormat="0" applyProtection="0">
      <alignment horizontal="right" vertical="center"/>
    </xf>
    <xf numFmtId="4" fontId="19" fillId="53" borderId="23" applyNumberFormat="0" applyProtection="0">
      <alignment horizontal="right" vertical="center"/>
    </xf>
    <xf numFmtId="4" fontId="19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9" fillId="26" borderId="23" applyNumberFormat="0" applyProtection="0">
      <alignment horizontal="left" vertical="center" indent="1"/>
    </xf>
    <xf numFmtId="4" fontId="19" fillId="26" borderId="23" applyNumberFormat="0" applyProtection="0">
      <alignment horizontal="left" vertical="center" indent="1"/>
    </xf>
    <xf numFmtId="4" fontId="19" fillId="26" borderId="23" applyNumberFormat="0" applyProtection="0">
      <alignment horizontal="left" vertical="center" indent="1"/>
    </xf>
    <xf numFmtId="4" fontId="19" fillId="26" borderId="23" applyNumberFormat="0" applyProtection="0">
      <alignment horizontal="left" vertical="center" indent="1"/>
    </xf>
    <xf numFmtId="4" fontId="19" fillId="26" borderId="23" applyNumberFormat="0" applyProtection="0">
      <alignment horizontal="left" vertical="center" indent="1"/>
    </xf>
    <xf numFmtId="4" fontId="19" fillId="26" borderId="23" applyNumberFormat="0" applyProtection="0">
      <alignment horizontal="left" vertical="center" indent="1"/>
    </xf>
    <xf numFmtId="4" fontId="19" fillId="26" borderId="23" applyNumberFormat="0" applyProtection="0">
      <alignment horizontal="left" vertical="center" indent="1"/>
    </xf>
    <xf numFmtId="4" fontId="19" fillId="26" borderId="23" applyNumberFormat="0" applyProtection="0">
      <alignment horizontal="left" vertical="center" indent="1"/>
    </xf>
    <xf numFmtId="4" fontId="19" fillId="26" borderId="23" applyNumberFormat="0" applyProtection="0">
      <alignment horizontal="left" vertical="center" indent="1"/>
    </xf>
    <xf numFmtId="4" fontId="19" fillId="26" borderId="23" applyNumberFormat="0" applyProtection="0">
      <alignment horizontal="left" vertical="center" indent="1"/>
    </xf>
    <xf numFmtId="4" fontId="19" fillId="26" borderId="23" applyNumberFormat="0" applyProtection="0">
      <alignment horizontal="left" vertical="center" indent="1"/>
    </xf>
    <xf numFmtId="4" fontId="19" fillId="26" borderId="23" applyNumberFormat="0" applyProtection="0">
      <alignment horizontal="left" vertical="center" indent="1"/>
    </xf>
    <xf numFmtId="4" fontId="19" fillId="26" borderId="23" applyNumberFormat="0" applyProtection="0">
      <alignment horizontal="left" vertical="center" indent="1"/>
    </xf>
    <xf numFmtId="4" fontId="19" fillId="26" borderId="23" applyNumberFormat="0" applyProtection="0">
      <alignment horizontal="left" vertical="center" indent="1"/>
    </xf>
    <xf numFmtId="4" fontId="19" fillId="26" borderId="23" applyNumberFormat="0" applyProtection="0">
      <alignment horizontal="left" vertical="center" indent="1"/>
    </xf>
    <xf numFmtId="4" fontId="19" fillId="26" borderId="23" applyNumberFormat="0" applyProtection="0">
      <alignment horizontal="left" vertical="center" indent="1"/>
    </xf>
    <xf numFmtId="4" fontId="19" fillId="26" borderId="23" applyNumberFormat="0" applyProtection="0">
      <alignment horizontal="left" vertical="center" indent="1"/>
    </xf>
    <xf numFmtId="4" fontId="19" fillId="26" borderId="23" applyNumberFormat="0" applyProtection="0">
      <alignment horizontal="left" vertical="center" indent="1"/>
    </xf>
    <xf numFmtId="4" fontId="19" fillId="26" borderId="23" applyNumberFormat="0" applyProtection="0">
      <alignment horizontal="left" vertical="center" indent="1"/>
    </xf>
    <xf numFmtId="4" fontId="19" fillId="26" borderId="23" applyNumberFormat="0" applyProtection="0">
      <alignment horizontal="left" vertical="center" indent="1"/>
    </xf>
    <xf numFmtId="4" fontId="19" fillId="26" borderId="23" applyNumberFormat="0" applyProtection="0">
      <alignment horizontal="left" vertical="center" indent="1"/>
    </xf>
    <xf numFmtId="4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top" indent="1"/>
    </xf>
    <xf numFmtId="0" fontId="19" fillId="26" borderId="23" applyNumberFormat="0" applyProtection="0">
      <alignment horizontal="left" vertical="top" indent="1"/>
    </xf>
    <xf numFmtId="0" fontId="19" fillId="26" borderId="23" applyNumberFormat="0" applyProtection="0">
      <alignment horizontal="left" vertical="top" indent="1"/>
    </xf>
    <xf numFmtId="0" fontId="19" fillId="26" borderId="23" applyNumberFormat="0" applyProtection="0">
      <alignment horizontal="left" vertical="top" indent="1"/>
    </xf>
    <xf numFmtId="0" fontId="19" fillId="26" borderId="23" applyNumberFormat="0" applyProtection="0">
      <alignment horizontal="left" vertical="top" indent="1"/>
    </xf>
    <xf numFmtId="0" fontId="19" fillId="26" borderId="23" applyNumberFormat="0" applyProtection="0">
      <alignment horizontal="left" vertical="top" indent="1"/>
    </xf>
    <xf numFmtId="0" fontId="19" fillId="26" borderId="23" applyNumberFormat="0" applyProtection="0">
      <alignment horizontal="left" vertical="top" indent="1"/>
    </xf>
    <xf numFmtId="0" fontId="19" fillId="26" borderId="23" applyNumberFormat="0" applyProtection="0">
      <alignment horizontal="left" vertical="top" indent="1"/>
    </xf>
    <xf numFmtId="0" fontId="19" fillId="26" borderId="23" applyNumberFormat="0" applyProtection="0">
      <alignment horizontal="left" vertical="top" indent="1"/>
    </xf>
    <xf numFmtId="0" fontId="19" fillId="26" borderId="23" applyNumberFormat="0" applyProtection="0">
      <alignment horizontal="left" vertical="top" indent="1"/>
    </xf>
    <xf numFmtId="0" fontId="19" fillId="26" borderId="23" applyNumberFormat="0" applyProtection="0">
      <alignment horizontal="left" vertical="top" indent="1"/>
    </xf>
    <xf numFmtId="0" fontId="19" fillId="26" borderId="23" applyNumberFormat="0" applyProtection="0">
      <alignment horizontal="left" vertical="top" indent="1"/>
    </xf>
    <xf numFmtId="0" fontId="19" fillId="26" borderId="23" applyNumberFormat="0" applyProtection="0">
      <alignment horizontal="left" vertical="top" indent="1"/>
    </xf>
    <xf numFmtId="0" fontId="19" fillId="26" borderId="23" applyNumberFormat="0" applyProtection="0">
      <alignment horizontal="left" vertical="top" indent="1"/>
    </xf>
    <xf numFmtId="0" fontId="19" fillId="26" borderId="23" applyNumberFormat="0" applyProtection="0">
      <alignment horizontal="left" vertical="top" indent="1"/>
    </xf>
    <xf numFmtId="0" fontId="19" fillId="26" borderId="23" applyNumberFormat="0" applyProtection="0">
      <alignment horizontal="left" vertical="top" indent="1"/>
    </xf>
    <xf numFmtId="0" fontId="19" fillId="26" borderId="23" applyNumberFormat="0" applyProtection="0">
      <alignment horizontal="left" vertical="top" indent="1"/>
    </xf>
    <xf numFmtId="0" fontId="19" fillId="26" borderId="23" applyNumberFormat="0" applyProtection="0">
      <alignment horizontal="left" vertical="top" indent="1"/>
    </xf>
    <xf numFmtId="0" fontId="19" fillId="26" borderId="23" applyNumberFormat="0" applyProtection="0">
      <alignment horizontal="left" vertical="top" indent="1"/>
    </xf>
    <xf numFmtId="0" fontId="19" fillId="26" borderId="23" applyNumberFormat="0" applyProtection="0">
      <alignment horizontal="left" vertical="top" indent="1"/>
    </xf>
    <xf numFmtId="0" fontId="19" fillId="26" borderId="23" applyNumberFormat="0" applyProtection="0">
      <alignment horizontal="left" vertical="top" indent="1"/>
    </xf>
    <xf numFmtId="0" fontId="19" fillId="26" borderId="23" applyNumberFormat="0" applyProtection="0">
      <alignment horizontal="left" vertical="top" indent="1"/>
    </xf>
    <xf numFmtId="4" fontId="78" fillId="0" borderId="0" applyNumberFormat="0" applyProtection="0">
      <alignment horizontal="left" vertical="center" indent="1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9" fillId="0" borderId="0" applyNumberFormat="0" applyFill="0" applyBorder="0" applyAlignment="0" applyProtection="0"/>
    <xf numFmtId="0" fontId="13" fillId="0" borderId="0"/>
    <xf numFmtId="0" fontId="13" fillId="0" borderId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13" fillId="0" borderId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13" fillId="0" borderId="0"/>
    <xf numFmtId="0" fontId="16" fillId="0" borderId="4" applyNumberFormat="0" applyFill="0" applyAlignment="0" applyProtection="0"/>
    <xf numFmtId="0" fontId="13" fillId="0" borderId="0"/>
    <xf numFmtId="0" fontId="13" fillId="0" borderId="0"/>
    <xf numFmtId="0" fontId="81" fillId="0" borderId="0"/>
    <xf numFmtId="164" fontId="82" fillId="35" borderId="0">
      <alignment horizontal="center"/>
    </xf>
    <xf numFmtId="0" fontId="82" fillId="35" borderId="0">
      <alignment horizontal="center"/>
    </xf>
    <xf numFmtId="0" fontId="13" fillId="0" borderId="0"/>
    <xf numFmtId="0" fontId="55" fillId="0" borderId="0" applyNumberForma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83" fillId="0" borderId="0"/>
    <xf numFmtId="172" fontId="19" fillId="0" borderId="0"/>
    <xf numFmtId="172" fontId="1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72" fontId="19" fillId="0" borderId="0"/>
    <xf numFmtId="172" fontId="19" fillId="0" borderId="0"/>
    <xf numFmtId="172" fontId="19" fillId="0" borderId="0"/>
    <xf numFmtId="172" fontId="19" fillId="0" borderId="0"/>
    <xf numFmtId="172" fontId="1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0" fontId="84" fillId="0" borderId="0"/>
    <xf numFmtId="43" fontId="84" fillId="0" borderId="0" applyFont="0" applyFill="0" applyBorder="0" applyAlignment="0" applyProtection="0"/>
    <xf numFmtId="9" fontId="86" fillId="0" borderId="0" applyFont="0" applyFill="0" applyBorder="0" applyAlignment="0" applyProtection="0"/>
    <xf numFmtId="164" fontId="19" fillId="0" borderId="0"/>
    <xf numFmtId="37" fontId="81" fillId="0" borderId="0"/>
    <xf numFmtId="37" fontId="19" fillId="0" borderId="0" applyFont="0" applyFill="0" applyBorder="0" applyAlignment="0" applyProtection="0"/>
    <xf numFmtId="0" fontId="17" fillId="0" borderId="0"/>
    <xf numFmtId="0" fontId="92" fillId="0" borderId="0"/>
    <xf numFmtId="0" fontId="19" fillId="0" borderId="0"/>
    <xf numFmtId="0" fontId="19" fillId="0" borderId="0"/>
    <xf numFmtId="0" fontId="93" fillId="0" borderId="0"/>
    <xf numFmtId="0" fontId="19" fillId="0" borderId="0"/>
    <xf numFmtId="0" fontId="19" fillId="0" borderId="0"/>
    <xf numFmtId="0" fontId="19" fillId="0" borderId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9" fillId="0" borderId="0"/>
    <xf numFmtId="189" fontId="42" fillId="0" borderId="0" applyFill="0"/>
    <xf numFmtId="189" fontId="42" fillId="0" borderId="0">
      <alignment horizontal="center"/>
    </xf>
    <xf numFmtId="0" fontId="42" fillId="0" borderId="0" applyFill="0">
      <alignment horizontal="center"/>
    </xf>
    <xf numFmtId="189" fontId="41" fillId="0" borderId="30" applyFill="0"/>
    <xf numFmtId="0" fontId="19" fillId="0" borderId="0" applyFont="0" applyAlignment="0"/>
    <xf numFmtId="0" fontId="95" fillId="0" borderId="0" applyFill="0">
      <alignment vertical="top"/>
    </xf>
    <xf numFmtId="0" fontId="41" fillId="0" borderId="0" applyFill="0">
      <alignment horizontal="left" vertical="top"/>
    </xf>
    <xf numFmtId="189" fontId="87" fillId="0" borderId="6" applyFill="0"/>
    <xf numFmtId="0" fontId="19" fillId="0" borderId="0" applyNumberFormat="0" applyFont="0" applyAlignment="0"/>
    <xf numFmtId="0" fontId="95" fillId="0" borderId="0" applyFill="0">
      <alignment wrapText="1"/>
    </xf>
    <xf numFmtId="0" fontId="41" fillId="0" borderId="0" applyFill="0">
      <alignment horizontal="left" vertical="top" wrapText="1"/>
    </xf>
    <xf numFmtId="189" fontId="96" fillId="0" borderId="0" applyFill="0"/>
    <xf numFmtId="0" fontId="97" fillId="0" borderId="0" applyNumberFormat="0" applyFont="0" applyAlignment="0">
      <alignment horizontal="center"/>
    </xf>
    <xf numFmtId="0" fontId="98" fillId="0" borderId="0" applyFill="0">
      <alignment vertical="top" wrapText="1"/>
    </xf>
    <xf numFmtId="0" fontId="87" fillId="0" borderId="0" applyFill="0">
      <alignment horizontal="left" vertical="top" wrapText="1"/>
    </xf>
    <xf numFmtId="189" fontId="19" fillId="0" borderId="0" applyFill="0"/>
    <xf numFmtId="0" fontId="97" fillId="0" borderId="0" applyNumberFormat="0" applyFont="0" applyAlignment="0">
      <alignment horizontal="center"/>
    </xf>
    <xf numFmtId="0" fontId="99" fillId="0" borderId="0" applyFill="0">
      <alignment vertical="center" wrapText="1"/>
    </xf>
    <xf numFmtId="0" fontId="17" fillId="0" borderId="0">
      <alignment horizontal="left" vertical="center" wrapText="1"/>
    </xf>
    <xf numFmtId="189" fontId="100" fillId="0" borderId="0" applyFill="0"/>
    <xf numFmtId="0" fontId="97" fillId="0" borderId="0" applyNumberFormat="0" applyFont="0" applyAlignment="0">
      <alignment horizontal="center"/>
    </xf>
    <xf numFmtId="0" fontId="101" fillId="0" borderId="0" applyFill="0">
      <alignment horizontal="center" vertical="center" wrapText="1"/>
    </xf>
    <xf numFmtId="0" fontId="19" fillId="0" borderId="0" applyFill="0">
      <alignment horizontal="center" vertical="center" wrapText="1"/>
    </xf>
    <xf numFmtId="189" fontId="102" fillId="0" borderId="0" applyFill="0"/>
    <xf numFmtId="0" fontId="97" fillId="0" borderId="0" applyNumberFormat="0" applyFont="0" applyAlignment="0">
      <alignment horizontal="center"/>
    </xf>
    <xf numFmtId="0" fontId="103" fillId="0" borderId="0" applyFill="0">
      <alignment horizontal="center" vertical="center" wrapText="1"/>
    </xf>
    <xf numFmtId="0" fontId="104" fillId="0" borderId="0" applyFill="0">
      <alignment horizontal="center" vertical="center" wrapText="1"/>
    </xf>
    <xf numFmtId="189" fontId="105" fillId="0" borderId="0" applyFill="0"/>
    <xf numFmtId="0" fontId="97" fillId="0" borderId="0" applyNumberFormat="0" applyFont="0" applyAlignment="0">
      <alignment horizontal="center"/>
    </xf>
    <xf numFmtId="0" fontId="106" fillId="0" borderId="0">
      <alignment horizontal="center" wrapText="1"/>
    </xf>
    <xf numFmtId="0" fontId="102" fillId="0" borderId="0" applyFill="0">
      <alignment horizontal="center" wrapText="1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39" fontId="42" fillId="16" borderId="0" applyFill="0"/>
    <xf numFmtId="0" fontId="107" fillId="0" borderId="0">
      <alignment horizontal="left" indent="7"/>
    </xf>
    <xf numFmtId="0" fontId="42" fillId="0" borderId="0" applyFill="0">
      <alignment horizontal="left" indent="7"/>
    </xf>
    <xf numFmtId="7" fontId="108" fillId="0" borderId="28" applyFill="0">
      <alignment horizontal="right"/>
    </xf>
    <xf numFmtId="0" fontId="87" fillId="0" borderId="0" applyNumberFormat="0">
      <alignment horizontal="right"/>
    </xf>
    <xf numFmtId="0" fontId="109" fillId="0" borderId="28" applyFont="0" applyFill="0"/>
    <xf numFmtId="0" fontId="87" fillId="0" borderId="28" applyFill="0"/>
    <xf numFmtId="39" fontId="108" fillId="0" borderId="0" applyFill="0"/>
    <xf numFmtId="0" fontId="19" fillId="0" borderId="0" applyNumberFormat="0" applyFont="0" applyBorder="0" applyAlignment="0"/>
    <xf numFmtId="0" fontId="98" fillId="0" borderId="0" applyFill="0">
      <alignment horizontal="left" indent="1"/>
    </xf>
    <xf numFmtId="0" fontId="87" fillId="0" borderId="0" applyFill="0">
      <alignment horizontal="left" indent="1"/>
    </xf>
    <xf numFmtId="39" fontId="100" fillId="0" borderId="0" applyFill="0"/>
    <xf numFmtId="0" fontId="19" fillId="0" borderId="0" applyNumberFormat="0" applyFont="0" applyFill="0" applyBorder="0" applyAlignment="0"/>
    <xf numFmtId="0" fontId="98" fillId="0" borderId="0" applyFill="0">
      <alignment horizontal="left" indent="2"/>
    </xf>
    <xf numFmtId="0" fontId="72" fillId="0" borderId="0" applyFill="0">
      <alignment horizontal="left" indent="2"/>
    </xf>
    <xf numFmtId="39" fontId="100" fillId="0" borderId="0" applyFill="0"/>
    <xf numFmtId="0" fontId="19" fillId="0" borderId="0" applyNumberFormat="0" applyFont="0" applyBorder="0" applyAlignment="0"/>
    <xf numFmtId="0" fontId="110" fillId="0" borderId="0">
      <alignment horizontal="left" indent="3"/>
    </xf>
    <xf numFmtId="0" fontId="111" fillId="0" borderId="0" applyFill="0">
      <alignment horizontal="left" indent="3"/>
    </xf>
    <xf numFmtId="39" fontId="100" fillId="0" borderId="0" applyFill="0"/>
    <xf numFmtId="0" fontId="19" fillId="0" borderId="0" applyNumberFormat="0" applyFont="0" applyBorder="0" applyAlignment="0"/>
    <xf numFmtId="0" fontId="101" fillId="0" borderId="0">
      <alignment horizontal="left" indent="4"/>
    </xf>
    <xf numFmtId="0" fontId="19" fillId="0" borderId="0" applyFill="0">
      <alignment horizontal="left" indent="4"/>
    </xf>
    <xf numFmtId="39" fontId="100" fillId="0" borderId="0" applyFill="0"/>
    <xf numFmtId="0" fontId="19" fillId="0" borderId="0" applyNumberFormat="0" applyFont="0" applyBorder="0" applyAlignment="0"/>
    <xf numFmtId="0" fontId="103" fillId="0" borderId="0">
      <alignment horizontal="left" indent="5"/>
    </xf>
    <xf numFmtId="0" fontId="104" fillId="0" borderId="0" applyFill="0">
      <alignment horizontal="left" indent="5"/>
    </xf>
    <xf numFmtId="39" fontId="105" fillId="0" borderId="0" applyFill="0"/>
    <xf numFmtId="0" fontId="19" fillId="0" borderId="0" applyNumberFormat="0" applyFont="0" applyFill="0" applyBorder="0" applyAlignment="0"/>
    <xf numFmtId="0" fontId="106" fillId="0" borderId="0" applyFill="0">
      <alignment horizontal="left" indent="6"/>
    </xf>
    <xf numFmtId="0" fontId="102" fillId="0" borderId="0" applyFill="0">
      <alignment horizontal="left" indent="6"/>
    </xf>
    <xf numFmtId="0" fontId="37" fillId="0" borderId="0"/>
    <xf numFmtId="166" fontId="19" fillId="0" borderId="0"/>
    <xf numFmtId="0" fontId="112" fillId="0" borderId="0"/>
    <xf numFmtId="166" fontId="19" fillId="0" borderId="0"/>
    <xf numFmtId="166" fontId="19" fillId="0" borderId="0"/>
    <xf numFmtId="166" fontId="19" fillId="0" borderId="0"/>
    <xf numFmtId="166" fontId="114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19" fillId="0" borderId="0"/>
    <xf numFmtId="9" fontId="81" fillId="0" borderId="0" applyFont="0" applyFill="0" applyBorder="0" applyAlignment="0" applyProtection="0"/>
    <xf numFmtId="166" fontId="19" fillId="0" borderId="0"/>
    <xf numFmtId="44" fontId="112" fillId="0" borderId="0" applyFont="0" applyFill="0" applyBorder="0" applyAlignment="0" applyProtection="0"/>
    <xf numFmtId="43" fontId="115" fillId="0" borderId="0" applyFont="0" applyFill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23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23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23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9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9" borderId="0" applyNumberFormat="0" applyBorder="0" applyAlignment="0" applyProtection="0"/>
    <xf numFmtId="0" fontId="12" fillId="20" borderId="0" applyNumberFormat="0" applyBorder="0" applyAlignment="0" applyProtection="0"/>
    <xf numFmtId="0" fontId="12" fillId="9" borderId="0" applyNumberFormat="0" applyBorder="0" applyAlignment="0" applyProtection="0"/>
    <xf numFmtId="0" fontId="12" fillId="20" borderId="0" applyNumberFormat="0" applyBorder="0" applyAlignment="0" applyProtection="0"/>
    <xf numFmtId="0" fontId="12" fillId="9" borderId="0" applyNumberFormat="0" applyBorder="0" applyAlignment="0" applyProtection="0"/>
    <xf numFmtId="0" fontId="12" fillId="20" borderId="0" applyNumberFormat="0" applyBorder="0" applyAlignment="0" applyProtection="0"/>
    <xf numFmtId="0" fontId="12" fillId="9" borderId="0" applyNumberFormat="0" applyBorder="0" applyAlignment="0" applyProtection="0"/>
    <xf numFmtId="0" fontId="12" fillId="20" borderId="0" applyNumberFormat="0" applyBorder="0" applyAlignment="0" applyProtection="0"/>
    <xf numFmtId="0" fontId="12" fillId="9" borderId="0" applyNumberFormat="0" applyBorder="0" applyAlignment="0" applyProtection="0"/>
    <xf numFmtId="0" fontId="12" fillId="20" borderId="0" applyNumberFormat="0" applyBorder="0" applyAlignment="0" applyProtection="0"/>
    <xf numFmtId="0" fontId="12" fillId="9" borderId="0" applyNumberFormat="0" applyBorder="0" applyAlignment="0" applyProtection="0"/>
    <xf numFmtId="0" fontId="12" fillId="20" borderId="0" applyNumberFormat="0" applyBorder="0" applyAlignment="0" applyProtection="0"/>
    <xf numFmtId="0" fontId="12" fillId="9" borderId="0" applyNumberFormat="0" applyBorder="0" applyAlignment="0" applyProtection="0"/>
    <xf numFmtId="0" fontId="12" fillId="20" borderId="0" applyNumberFormat="0" applyBorder="0" applyAlignment="0" applyProtection="0"/>
    <xf numFmtId="0" fontId="12" fillId="9" borderId="0" applyNumberFormat="0" applyBorder="0" applyAlignment="0" applyProtection="0"/>
    <xf numFmtId="0" fontId="12" fillId="20" borderId="0" applyNumberFormat="0" applyBorder="0" applyAlignment="0" applyProtection="0"/>
    <xf numFmtId="0" fontId="12" fillId="9" borderId="0" applyNumberFormat="0" applyBorder="0" applyAlignment="0" applyProtection="0"/>
    <xf numFmtId="0" fontId="12" fillId="20" borderId="0" applyNumberFormat="0" applyBorder="0" applyAlignment="0" applyProtection="0"/>
    <xf numFmtId="0" fontId="12" fillId="9" borderId="0" applyNumberFormat="0" applyBorder="0" applyAlignment="0" applyProtection="0"/>
    <xf numFmtId="0" fontId="12" fillId="20" borderId="0" applyNumberFormat="0" applyBorder="0" applyAlignment="0" applyProtection="0"/>
    <xf numFmtId="0" fontId="12" fillId="9" borderId="0" applyNumberFormat="0" applyBorder="0" applyAlignment="0" applyProtection="0"/>
    <xf numFmtId="0" fontId="12" fillId="20" borderId="0" applyNumberFormat="0" applyBorder="0" applyAlignment="0" applyProtection="0"/>
    <xf numFmtId="0" fontId="12" fillId="9" borderId="0" applyNumberFormat="0" applyBorder="0" applyAlignment="0" applyProtection="0"/>
    <xf numFmtId="0" fontId="12" fillId="20" borderId="0" applyNumberFormat="0" applyBorder="0" applyAlignment="0" applyProtection="0"/>
    <xf numFmtId="0" fontId="12" fillId="9" borderId="0" applyNumberFormat="0" applyBorder="0" applyAlignment="0" applyProtection="0"/>
    <xf numFmtId="0" fontId="12" fillId="20" borderId="0" applyNumberFormat="0" applyBorder="0" applyAlignment="0" applyProtection="0"/>
    <xf numFmtId="0" fontId="12" fillId="9" borderId="0" applyNumberFormat="0" applyBorder="0" applyAlignment="0" applyProtection="0"/>
    <xf numFmtId="0" fontId="12" fillId="20" borderId="0" applyNumberFormat="0" applyBorder="0" applyAlignment="0" applyProtection="0"/>
    <xf numFmtId="0" fontId="12" fillId="9" borderId="0" applyNumberFormat="0" applyBorder="0" applyAlignment="0" applyProtection="0"/>
    <xf numFmtId="0" fontId="12" fillId="20" borderId="0" applyNumberFormat="0" applyBorder="0" applyAlignment="0" applyProtection="0"/>
    <xf numFmtId="0" fontId="12" fillId="9" borderId="0" applyNumberFormat="0" applyBorder="0" applyAlignment="0" applyProtection="0"/>
    <xf numFmtId="0" fontId="12" fillId="20" borderId="0" applyNumberFormat="0" applyBorder="0" applyAlignment="0" applyProtection="0"/>
    <xf numFmtId="0" fontId="12" fillId="9" borderId="0" applyNumberFormat="0" applyBorder="0" applyAlignment="0" applyProtection="0"/>
    <xf numFmtId="0" fontId="12" fillId="20" borderId="0" applyNumberFormat="0" applyBorder="0" applyAlignment="0" applyProtection="0"/>
    <xf numFmtId="0" fontId="12" fillId="9" borderId="0" applyNumberFormat="0" applyBorder="0" applyAlignment="0" applyProtection="0"/>
    <xf numFmtId="0" fontId="12" fillId="20" borderId="0" applyNumberFormat="0" applyBorder="0" applyAlignment="0" applyProtection="0"/>
    <xf numFmtId="0" fontId="12" fillId="9" borderId="0" applyNumberFormat="0" applyBorder="0" applyAlignment="0" applyProtection="0"/>
    <xf numFmtId="0" fontId="12" fillId="20" borderId="0" applyNumberFormat="0" applyBorder="0" applyAlignment="0" applyProtection="0"/>
    <xf numFmtId="0" fontId="12" fillId="9" borderId="0" applyNumberFormat="0" applyBorder="0" applyAlignment="0" applyProtection="0"/>
    <xf numFmtId="0" fontId="12" fillId="20" borderId="0" applyNumberFormat="0" applyBorder="0" applyAlignment="0" applyProtection="0"/>
    <xf numFmtId="0" fontId="12" fillId="9" borderId="0" applyNumberFormat="0" applyBorder="0" applyAlignment="0" applyProtection="0"/>
    <xf numFmtId="0" fontId="12" fillId="20" borderId="0" applyNumberFormat="0" applyBorder="0" applyAlignment="0" applyProtection="0"/>
    <xf numFmtId="0" fontId="12" fillId="9" borderId="0" applyNumberFormat="0" applyBorder="0" applyAlignment="0" applyProtection="0"/>
    <xf numFmtId="0" fontId="12" fillId="20" borderId="0" applyNumberFormat="0" applyBorder="0" applyAlignment="0" applyProtection="0"/>
    <xf numFmtId="0" fontId="12" fillId="9" borderId="0" applyNumberFormat="0" applyBorder="0" applyAlignment="0" applyProtection="0"/>
    <xf numFmtId="0" fontId="12" fillId="20" borderId="0" applyNumberFormat="0" applyBorder="0" applyAlignment="0" applyProtection="0"/>
    <xf numFmtId="0" fontId="12" fillId="9" borderId="0" applyNumberFormat="0" applyBorder="0" applyAlignment="0" applyProtection="0"/>
    <xf numFmtId="0" fontId="12" fillId="20" borderId="0" applyNumberFormat="0" applyBorder="0" applyAlignment="0" applyProtection="0"/>
    <xf numFmtId="0" fontId="12" fillId="9" borderId="0" applyNumberFormat="0" applyBorder="0" applyAlignment="0" applyProtection="0"/>
    <xf numFmtId="0" fontId="12" fillId="20" borderId="0" applyNumberFormat="0" applyBorder="0" applyAlignment="0" applyProtection="0"/>
    <xf numFmtId="0" fontId="12" fillId="9" borderId="0" applyNumberFormat="0" applyBorder="0" applyAlignment="0" applyProtection="0"/>
    <xf numFmtId="0" fontId="12" fillId="20" borderId="0" applyNumberFormat="0" applyBorder="0" applyAlignment="0" applyProtection="0"/>
    <xf numFmtId="0" fontId="12" fillId="9" borderId="0" applyNumberFormat="0" applyBorder="0" applyAlignment="0" applyProtection="0"/>
    <xf numFmtId="0" fontId="12" fillId="20" borderId="0" applyNumberFormat="0" applyBorder="0" applyAlignment="0" applyProtection="0"/>
    <xf numFmtId="0" fontId="12" fillId="9" borderId="0" applyNumberFormat="0" applyBorder="0" applyAlignment="0" applyProtection="0"/>
    <xf numFmtId="0" fontId="12" fillId="20" borderId="0" applyNumberFormat="0" applyBorder="0" applyAlignment="0" applyProtection="0"/>
    <xf numFmtId="0" fontId="12" fillId="9" borderId="0" applyNumberFormat="0" applyBorder="0" applyAlignment="0" applyProtection="0"/>
    <xf numFmtId="0" fontId="12" fillId="20" borderId="0" applyNumberFormat="0" applyBorder="0" applyAlignment="0" applyProtection="0"/>
    <xf numFmtId="0" fontId="12" fillId="9" borderId="0" applyNumberFormat="0" applyBorder="0" applyAlignment="0" applyProtection="0"/>
    <xf numFmtId="0" fontId="12" fillId="20" borderId="0" applyNumberFormat="0" applyBorder="0" applyAlignment="0" applyProtection="0"/>
    <xf numFmtId="0" fontId="12" fillId="9" borderId="0" applyNumberFormat="0" applyBorder="0" applyAlignment="0" applyProtection="0"/>
    <xf numFmtId="0" fontId="12" fillId="20" borderId="0" applyNumberFormat="0" applyBorder="0" applyAlignment="0" applyProtection="0"/>
    <xf numFmtId="0" fontId="12" fillId="9" borderId="0" applyNumberFormat="0" applyBorder="0" applyAlignment="0" applyProtection="0"/>
    <xf numFmtId="0" fontId="12" fillId="20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23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23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23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23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23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23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23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23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166" fontId="25" fillId="25" borderId="0" applyNumberFormat="0" applyBorder="0" applyAlignment="0" applyProtection="0"/>
    <xf numFmtId="0" fontId="116" fillId="62" borderId="0" applyNumberFormat="0" applyBorder="0" applyAlignment="0" applyProtection="0"/>
    <xf numFmtId="166" fontId="25" fillId="18" borderId="0" applyNumberFormat="0" applyBorder="0" applyAlignment="0" applyProtection="0"/>
    <xf numFmtId="0" fontId="116" fillId="64" borderId="0" applyNumberFormat="0" applyBorder="0" applyAlignment="0" applyProtection="0"/>
    <xf numFmtId="166" fontId="25" fillId="28" borderId="0" applyNumberFormat="0" applyBorder="0" applyAlignment="0" applyProtection="0"/>
    <xf numFmtId="0" fontId="116" fillId="66" borderId="0" applyNumberFormat="0" applyBorder="0" applyAlignment="0" applyProtection="0"/>
    <xf numFmtId="166" fontId="25" fillId="20" borderId="0" applyNumberFormat="0" applyBorder="0" applyAlignment="0" applyProtection="0"/>
    <xf numFmtId="0" fontId="116" fillId="68" borderId="0" applyNumberFormat="0" applyBorder="0" applyAlignment="0" applyProtection="0"/>
    <xf numFmtId="166" fontId="25" fillId="25" borderId="0" applyNumberFormat="0" applyBorder="0" applyAlignment="0" applyProtection="0"/>
    <xf numFmtId="0" fontId="116" fillId="70" borderId="0" applyNumberFormat="0" applyBorder="0" applyAlignment="0" applyProtection="0"/>
    <xf numFmtId="166" fontId="25" fillId="21" borderId="0" applyNumberFormat="0" applyBorder="0" applyAlignment="0" applyProtection="0"/>
    <xf numFmtId="0" fontId="116" fillId="72" borderId="0" applyNumberFormat="0" applyBorder="0" applyAlignment="0" applyProtection="0"/>
    <xf numFmtId="166" fontId="25" fillId="30" borderId="0" applyNumberFormat="0" applyBorder="0" applyAlignment="0" applyProtection="0"/>
    <xf numFmtId="0" fontId="116" fillId="61" borderId="0" applyNumberFormat="0" applyBorder="0" applyAlignment="0" applyProtection="0"/>
    <xf numFmtId="166" fontId="25" fillId="31" borderId="0" applyNumberFormat="0" applyBorder="0" applyAlignment="0" applyProtection="0"/>
    <xf numFmtId="0" fontId="116" fillId="63" borderId="0" applyNumberFormat="0" applyBorder="0" applyAlignment="0" applyProtection="0"/>
    <xf numFmtId="166" fontId="25" fillId="32" borderId="0" applyNumberFormat="0" applyBorder="0" applyAlignment="0" applyProtection="0"/>
    <xf numFmtId="0" fontId="116" fillId="65" borderId="0" applyNumberFormat="0" applyBorder="0" applyAlignment="0" applyProtection="0"/>
    <xf numFmtId="166" fontId="25" fillId="33" borderId="0" applyNumberFormat="0" applyBorder="0" applyAlignment="0" applyProtection="0"/>
    <xf numFmtId="0" fontId="116" fillId="67" borderId="0" applyNumberFormat="0" applyBorder="0" applyAlignment="0" applyProtection="0"/>
    <xf numFmtId="166" fontId="25" fillId="30" borderId="0" applyNumberFormat="0" applyBorder="0" applyAlignment="0" applyProtection="0"/>
    <xf numFmtId="0" fontId="116" fillId="69" borderId="0" applyNumberFormat="0" applyBorder="0" applyAlignment="0" applyProtection="0"/>
    <xf numFmtId="166" fontId="25" fillId="26" borderId="0" applyNumberFormat="0" applyBorder="0" applyAlignment="0" applyProtection="0"/>
    <xf numFmtId="0" fontId="116" fillId="71" borderId="0" applyNumberFormat="0" applyBorder="0" applyAlignment="0" applyProtection="0"/>
    <xf numFmtId="166" fontId="27" fillId="24" borderId="0" applyNumberFormat="0" applyBorder="0" applyAlignment="0" applyProtection="0"/>
    <xf numFmtId="0" fontId="117" fillId="56" borderId="0" applyNumberFormat="0" applyBorder="0" applyAlignment="0" applyProtection="0"/>
    <xf numFmtId="0" fontId="118" fillId="59" borderId="32" applyNumberFormat="0" applyAlignment="0" applyProtection="0"/>
    <xf numFmtId="0" fontId="28" fillId="35" borderId="8" applyNumberFormat="0" applyAlignment="0" applyProtection="0"/>
    <xf numFmtId="166" fontId="31" fillId="37" borderId="9" applyNumberFormat="0" applyAlignment="0" applyProtection="0"/>
    <xf numFmtId="0" fontId="119" fillId="60" borderId="35" applyNumberFormat="0" applyAlignment="0" applyProtection="0"/>
    <xf numFmtId="164" fontId="31" fillId="38" borderId="0">
      <alignment horizontal="left"/>
    </xf>
    <xf numFmtId="164" fontId="33" fillId="38" borderId="0">
      <alignment horizontal="right"/>
    </xf>
    <xf numFmtId="164" fontId="34" fillId="35" borderId="0">
      <alignment horizontal="center"/>
    </xf>
    <xf numFmtId="164" fontId="33" fillId="38" borderId="0">
      <alignment horizontal="right"/>
    </xf>
    <xf numFmtId="164" fontId="35" fillId="35" borderId="0">
      <alignment horizontal="left"/>
    </xf>
    <xf numFmtId="43" fontId="1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0" fillId="0" borderId="0" applyFont="0" applyFill="0" applyBorder="0" applyAlignment="0" applyProtection="0"/>
    <xf numFmtId="42" fontId="1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166" fontId="39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166" fontId="32" fillId="40" borderId="0" applyNumberFormat="0" applyBorder="0" applyAlignment="0" applyProtection="0"/>
    <xf numFmtId="0" fontId="121" fillId="55" borderId="0" applyNumberFormat="0" applyBorder="0" applyAlignment="0" applyProtection="0"/>
    <xf numFmtId="164" fontId="122" fillId="0" borderId="0" applyNumberFormat="0" applyFont="0" applyFill="0" applyAlignment="0" applyProtection="0"/>
    <xf numFmtId="0" fontId="123" fillId="0" borderId="1" applyNumberFormat="0" applyFill="0" applyAlignment="0" applyProtection="0"/>
    <xf numFmtId="164" fontId="42" fillId="0" borderId="0" applyNumberFormat="0" applyFont="0" applyFill="0" applyAlignment="0" applyProtection="0"/>
    <xf numFmtId="0" fontId="124" fillId="0" borderId="2" applyNumberFormat="0" applyFill="0" applyAlignment="0" applyProtection="0"/>
    <xf numFmtId="166" fontId="50" fillId="0" borderId="17" applyNumberFormat="0" applyFill="0" applyAlignment="0" applyProtection="0"/>
    <xf numFmtId="0" fontId="125" fillId="0" borderId="31" applyNumberFormat="0" applyFill="0" applyAlignment="0" applyProtection="0"/>
    <xf numFmtId="166" fontId="50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6" fillId="58" borderId="32" applyNumberFormat="0" applyAlignment="0" applyProtection="0"/>
    <xf numFmtId="0" fontId="52" fillId="23" borderId="8" applyNumberFormat="0" applyAlignment="0" applyProtection="0"/>
    <xf numFmtId="164" fontId="31" fillId="38" borderId="0">
      <alignment horizontal="left"/>
    </xf>
    <xf numFmtId="164" fontId="54" fillId="35" borderId="0">
      <alignment horizontal="left"/>
    </xf>
    <xf numFmtId="166" fontId="56" fillId="0" borderId="19" applyNumberFormat="0" applyFill="0" applyAlignment="0" applyProtection="0"/>
    <xf numFmtId="0" fontId="127" fillId="0" borderId="34" applyNumberFormat="0" applyFill="0" applyAlignment="0" applyProtection="0"/>
    <xf numFmtId="166" fontId="58" fillId="23" borderId="0" applyNumberFormat="0" applyBorder="0" applyAlignment="0" applyProtection="0"/>
    <xf numFmtId="0" fontId="128" fillId="57" borderId="0" applyNumberFormat="0" applyBorder="0" applyAlignment="0" applyProtection="0"/>
    <xf numFmtId="164" fontId="19" fillId="0" borderId="0"/>
    <xf numFmtId="164" fontId="19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2" fillId="0" borderId="0"/>
    <xf numFmtId="0" fontId="12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2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170" fontId="19" fillId="0" borderId="0"/>
    <xf numFmtId="0" fontId="12" fillId="0" borderId="0"/>
    <xf numFmtId="0" fontId="19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2" fillId="0" borderId="0"/>
    <xf numFmtId="0" fontId="19" fillId="0" borderId="0"/>
    <xf numFmtId="0" fontId="12" fillId="0" borderId="0"/>
    <xf numFmtId="0" fontId="12" fillId="0" borderId="0"/>
    <xf numFmtId="0" fontId="19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3" fillId="0" borderId="0"/>
    <xf numFmtId="0" fontId="20" fillId="0" borderId="0"/>
    <xf numFmtId="0" fontId="19" fillId="0" borderId="0"/>
    <xf numFmtId="0" fontId="12" fillId="0" borderId="0"/>
    <xf numFmtId="0" fontId="19" fillId="0" borderId="0"/>
    <xf numFmtId="0" fontId="20" fillId="0" borderId="0"/>
    <xf numFmtId="37" fontId="81" fillId="0" borderId="0"/>
    <xf numFmtId="164" fontId="1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" borderId="3" applyNumberFormat="0" applyFont="0" applyAlignment="0" applyProtection="0"/>
    <xf numFmtId="0" fontId="37" fillId="19" borderId="20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37" fillId="19" borderId="20" applyNumberFormat="0" applyFont="0" applyAlignment="0" applyProtection="0"/>
    <xf numFmtId="0" fontId="12" fillId="0" borderId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20" fillId="2" borderId="3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12" fillId="0" borderId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12" fillId="0" borderId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12" fillId="0" borderId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12" fillId="0" borderId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12" fillId="0" borderId="0"/>
    <xf numFmtId="0" fontId="129" fillId="59" borderId="33" applyNumberFormat="0" applyAlignment="0" applyProtection="0"/>
    <xf numFmtId="4" fontId="61" fillId="41" borderId="0">
      <alignment horizontal="right"/>
    </xf>
    <xf numFmtId="171" fontId="61" fillId="35" borderId="0">
      <alignment horizontal="right"/>
    </xf>
    <xf numFmtId="0" fontId="63" fillId="41" borderId="0">
      <alignment horizontal="center" vertical="center"/>
    </xf>
    <xf numFmtId="164" fontId="63" fillId="42" borderId="0">
      <alignment horizontal="center"/>
    </xf>
    <xf numFmtId="0" fontId="54" fillId="41" borderId="10"/>
    <xf numFmtId="164" fontId="31" fillId="43" borderId="0"/>
    <xf numFmtId="0" fontId="63" fillId="41" borderId="0" applyBorder="0">
      <alignment horizontal="centerContinuous"/>
    </xf>
    <xf numFmtId="164" fontId="66" fillId="35" borderId="0" applyBorder="0">
      <alignment horizontal="centerContinuous"/>
    </xf>
    <xf numFmtId="0" fontId="69" fillId="41" borderId="0" applyBorder="0">
      <alignment horizontal="centerContinuous"/>
    </xf>
    <xf numFmtId="164" fontId="67" fillId="43" borderId="0" applyBorder="0">
      <alignment horizontal="centerContinuous"/>
    </xf>
    <xf numFmtId="0" fontId="70" fillId="0" borderId="0" applyNumberFormat="0" applyFont="0" applyFill="0" applyBorder="0" applyAlignment="0" applyProtection="0">
      <alignment horizontal="left"/>
    </xf>
    <xf numFmtId="164" fontId="54" fillId="23" borderId="0">
      <alignment horizontal="center"/>
    </xf>
    <xf numFmtId="164" fontId="33" fillId="38" borderId="0">
      <alignment horizontal="center"/>
    </xf>
    <xf numFmtId="164" fontId="33" fillId="38" borderId="0">
      <alignment horizontal="centerContinuous"/>
    </xf>
    <xf numFmtId="164" fontId="73" fillId="35" borderId="0">
      <alignment horizontal="left"/>
    </xf>
    <xf numFmtId="164" fontId="31" fillId="38" borderId="0">
      <alignment horizontal="left"/>
    </xf>
    <xf numFmtId="164" fontId="31" fillId="38" borderId="0">
      <alignment horizontal="centerContinuous"/>
    </xf>
    <xf numFmtId="164" fontId="31" fillId="38" borderId="0">
      <alignment horizontal="right"/>
    </xf>
    <xf numFmtId="164" fontId="33" fillId="38" borderId="0">
      <alignment horizontal="right"/>
    </xf>
    <xf numFmtId="164" fontId="73" fillId="21" borderId="0">
      <alignment horizontal="center"/>
    </xf>
    <xf numFmtId="164" fontId="74" fillId="21" borderId="0">
      <alignment horizontal="center"/>
    </xf>
    <xf numFmtId="38" fontId="19" fillId="73" borderId="0" applyNumberFormat="0" applyFont="0" applyBorder="0" applyAlignment="0" applyProtection="0"/>
    <xf numFmtId="0" fontId="12" fillId="0" borderId="0"/>
    <xf numFmtId="164" fontId="17" fillId="0" borderId="36" applyNumberFormat="0" applyFont="0" applyBorder="0" applyAlignment="0" applyProtection="0"/>
    <xf numFmtId="0" fontId="21" fillId="0" borderId="4" applyNumberFormat="0" applyFill="0" applyAlignment="0" applyProtection="0"/>
    <xf numFmtId="164" fontId="82" fillId="35" borderId="0">
      <alignment horizontal="center"/>
    </xf>
    <xf numFmtId="191" fontId="70" fillId="0" borderId="0" applyFont="0" applyFill="0" applyBorder="0" applyAlignment="0" applyProtection="0"/>
    <xf numFmtId="0" fontId="12" fillId="0" borderId="0"/>
    <xf numFmtId="0" fontId="130" fillId="0" borderId="0" applyNumberFormat="0" applyFill="0" applyBorder="0" applyAlignment="0" applyProtection="0"/>
    <xf numFmtId="0" fontId="133" fillId="0" borderId="0"/>
    <xf numFmtId="0" fontId="19" fillId="0" borderId="0"/>
    <xf numFmtId="0" fontId="11" fillId="0" borderId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37" fillId="0" borderId="0"/>
    <xf numFmtId="39" fontId="59" fillId="0" borderId="0"/>
    <xf numFmtId="172" fontId="19" fillId="0" borderId="0"/>
    <xf numFmtId="172" fontId="19" fillId="0" borderId="0"/>
    <xf numFmtId="0" fontId="19" fillId="0" borderId="0"/>
    <xf numFmtId="182" fontId="23" fillId="3" borderId="0" applyNumberFormat="0" applyBorder="0" applyAlignment="0" applyProtection="0"/>
    <xf numFmtId="182" fontId="23" fillId="3" borderId="0" applyNumberFormat="0" applyBorder="0" applyAlignment="0" applyProtection="0"/>
    <xf numFmtId="0" fontId="22" fillId="74" borderId="0" applyNumberFormat="0" applyBorder="0" applyAlignment="0" applyProtection="0"/>
    <xf numFmtId="182" fontId="23" fillId="5" borderId="0" applyNumberFormat="0" applyBorder="0" applyAlignment="0" applyProtection="0"/>
    <xf numFmtId="182" fontId="23" fillId="5" borderId="0" applyNumberFormat="0" applyBorder="0" applyAlignment="0" applyProtection="0"/>
    <xf numFmtId="0" fontId="22" fillId="24" borderId="0" applyNumberFormat="0" applyBorder="0" applyAlignment="0" applyProtection="0"/>
    <xf numFmtId="182" fontId="23" fillId="7" borderId="0" applyNumberFormat="0" applyBorder="0" applyAlignment="0" applyProtection="0"/>
    <xf numFmtId="182" fontId="23" fillId="7" borderId="0" applyNumberFormat="0" applyBorder="0" applyAlignment="0" applyProtection="0"/>
    <xf numFmtId="0" fontId="22" fillId="40" borderId="0" applyNumberFormat="0" applyBorder="0" applyAlignment="0" applyProtection="0"/>
    <xf numFmtId="182" fontId="23" fillId="9" borderId="0" applyNumberFormat="0" applyBorder="0" applyAlignment="0" applyProtection="0"/>
    <xf numFmtId="0" fontId="22" fillId="34" borderId="0" applyNumberFormat="0" applyBorder="0" applyAlignment="0" applyProtection="0"/>
    <xf numFmtId="182" fontId="23" fillId="11" borderId="0" applyNumberFormat="0" applyBorder="0" applyAlignment="0" applyProtection="0"/>
    <xf numFmtId="182" fontId="23" fillId="11" borderId="0" applyNumberFormat="0" applyBorder="0" applyAlignment="0" applyProtection="0"/>
    <xf numFmtId="0" fontId="22" fillId="22" borderId="0" applyNumberFormat="0" applyBorder="0" applyAlignment="0" applyProtection="0"/>
    <xf numFmtId="182" fontId="23" fillId="13" borderId="0" applyNumberFormat="0" applyBorder="0" applyAlignment="0" applyProtection="0"/>
    <xf numFmtId="182" fontId="23" fillId="13" borderId="0" applyNumberFormat="0" applyBorder="0" applyAlignment="0" applyProtection="0"/>
    <xf numFmtId="0" fontId="22" fillId="21" borderId="0" applyNumberFormat="0" applyBorder="0" applyAlignment="0" applyProtection="0"/>
    <xf numFmtId="182" fontId="23" fillId="4" borderId="0" applyNumberFormat="0" applyBorder="0" applyAlignment="0" applyProtection="0"/>
    <xf numFmtId="182" fontId="23" fillId="4" borderId="0" applyNumberFormat="0" applyBorder="0" applyAlignment="0" applyProtection="0"/>
    <xf numFmtId="0" fontId="22" fillId="17" borderId="0" applyNumberFormat="0" applyBorder="0" applyAlignment="0" applyProtection="0"/>
    <xf numFmtId="182" fontId="23" fillId="6" borderId="0" applyNumberFormat="0" applyBorder="0" applyAlignment="0" applyProtection="0"/>
    <xf numFmtId="182" fontId="23" fillId="6" borderId="0" applyNumberFormat="0" applyBorder="0" applyAlignment="0" applyProtection="0"/>
    <xf numFmtId="0" fontId="22" fillId="18" borderId="0" applyNumberFormat="0" applyBorder="0" applyAlignment="0" applyProtection="0"/>
    <xf numFmtId="182" fontId="23" fillId="8" borderId="0" applyNumberFormat="0" applyBorder="0" applyAlignment="0" applyProtection="0"/>
    <xf numFmtId="182" fontId="23" fillId="8" borderId="0" applyNumberFormat="0" applyBorder="0" applyAlignment="0" applyProtection="0"/>
    <xf numFmtId="0" fontId="22" fillId="39" borderId="0" applyNumberFormat="0" applyBorder="0" applyAlignment="0" applyProtection="0"/>
    <xf numFmtId="182" fontId="23" fillId="10" borderId="0" applyNumberFormat="0" applyBorder="0" applyAlignment="0" applyProtection="0"/>
    <xf numFmtId="182" fontId="23" fillId="10" borderId="0" applyNumberFormat="0" applyBorder="0" applyAlignment="0" applyProtection="0"/>
    <xf numFmtId="0" fontId="22" fillId="34" borderId="0" applyNumberFormat="0" applyBorder="0" applyAlignment="0" applyProtection="0"/>
    <xf numFmtId="182" fontId="23" fillId="12" borderId="0" applyNumberFormat="0" applyBorder="0" applyAlignment="0" applyProtection="0"/>
    <xf numFmtId="182" fontId="23" fillId="12" borderId="0" applyNumberFormat="0" applyBorder="0" applyAlignment="0" applyProtection="0"/>
    <xf numFmtId="0" fontId="22" fillId="17" borderId="0" applyNumberFormat="0" applyBorder="0" applyAlignment="0" applyProtection="0"/>
    <xf numFmtId="182" fontId="23" fillId="14" borderId="0" applyNumberFormat="0" applyBorder="0" applyAlignment="0" applyProtection="0"/>
    <xf numFmtId="182" fontId="23" fillId="14" borderId="0" applyNumberFormat="0" applyBorder="0" applyAlignment="0" applyProtection="0"/>
    <xf numFmtId="0" fontId="22" fillId="27" borderId="0" applyNumberFormat="0" applyBorder="0" applyAlignment="0" applyProtection="0"/>
    <xf numFmtId="0" fontId="24" fillId="75" borderId="0" applyNumberFormat="0" applyBorder="0" applyAlignment="0" applyProtection="0"/>
    <xf numFmtId="0" fontId="24" fillId="75" borderId="0" applyNumberFormat="0" applyBorder="0" applyAlignment="0" applyProtection="0"/>
    <xf numFmtId="0" fontId="24" fillId="75" borderId="0" applyNumberFormat="0" applyBorder="0" applyAlignment="0" applyProtection="0"/>
    <xf numFmtId="0" fontId="24" fillId="75" borderId="0" applyNumberFormat="0" applyBorder="0" applyAlignment="0" applyProtection="0"/>
    <xf numFmtId="0" fontId="24" fillId="75" borderId="0" applyNumberFormat="0" applyBorder="0" applyAlignment="0" applyProtection="0"/>
    <xf numFmtId="182" fontId="142" fillId="62" borderId="0" applyNumberFormat="0" applyBorder="0" applyAlignment="0" applyProtection="0"/>
    <xf numFmtId="182" fontId="142" fillId="62" borderId="0" applyNumberFormat="0" applyBorder="0" applyAlignment="0" applyProtection="0"/>
    <xf numFmtId="0" fontId="24" fillId="75" borderId="0" applyNumberFormat="0" applyBorder="0" applyAlignment="0" applyProtection="0"/>
    <xf numFmtId="172" fontId="24" fillId="75" borderId="0" applyNumberFormat="0" applyBorder="0" applyAlignment="0" applyProtection="0"/>
    <xf numFmtId="172" fontId="24" fillId="75" borderId="0" applyNumberFormat="0" applyBorder="0" applyAlignment="0" applyProtection="0"/>
    <xf numFmtId="172" fontId="24" fillId="75" borderId="0" applyNumberFormat="0" applyBorder="0" applyAlignment="0" applyProtection="0"/>
    <xf numFmtId="0" fontId="24" fillId="75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182" fontId="142" fillId="64" borderId="0" applyNumberFormat="0" applyBorder="0" applyAlignment="0" applyProtection="0"/>
    <xf numFmtId="182" fontId="142" fillId="64" borderId="0" applyNumberFormat="0" applyBorder="0" applyAlignment="0" applyProtection="0"/>
    <xf numFmtId="0" fontId="24" fillId="18" borderId="0" applyNumberFormat="0" applyBorder="0" applyAlignment="0" applyProtection="0"/>
    <xf numFmtId="172" fontId="24" fillId="18" borderId="0" applyNumberFormat="0" applyBorder="0" applyAlignment="0" applyProtection="0"/>
    <xf numFmtId="172" fontId="24" fillId="18" borderId="0" applyNumberFormat="0" applyBorder="0" applyAlignment="0" applyProtection="0"/>
    <xf numFmtId="172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182" fontId="142" fillId="66" borderId="0" applyNumberFormat="0" applyBorder="0" applyAlignment="0" applyProtection="0"/>
    <xf numFmtId="182" fontId="142" fillId="66" borderId="0" applyNumberFormat="0" applyBorder="0" applyAlignment="0" applyProtection="0"/>
    <xf numFmtId="0" fontId="24" fillId="39" borderId="0" applyNumberFormat="0" applyBorder="0" applyAlignment="0" applyProtection="0"/>
    <xf numFmtId="172" fontId="24" fillId="39" borderId="0" applyNumberFormat="0" applyBorder="0" applyAlignment="0" applyProtection="0"/>
    <xf numFmtId="172" fontId="24" fillId="39" borderId="0" applyNumberFormat="0" applyBorder="0" applyAlignment="0" applyProtection="0"/>
    <xf numFmtId="172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76" borderId="0" applyNumberFormat="0" applyBorder="0" applyAlignment="0" applyProtection="0"/>
    <xf numFmtId="0" fontId="24" fillId="76" borderId="0" applyNumberFormat="0" applyBorder="0" applyAlignment="0" applyProtection="0"/>
    <xf numFmtId="0" fontId="24" fillId="76" borderId="0" applyNumberFormat="0" applyBorder="0" applyAlignment="0" applyProtection="0"/>
    <xf numFmtId="0" fontId="24" fillId="76" borderId="0" applyNumberFormat="0" applyBorder="0" applyAlignment="0" applyProtection="0"/>
    <xf numFmtId="0" fontId="24" fillId="76" borderId="0" applyNumberFormat="0" applyBorder="0" applyAlignment="0" applyProtection="0"/>
    <xf numFmtId="182" fontId="142" fillId="68" borderId="0" applyNumberFormat="0" applyBorder="0" applyAlignment="0" applyProtection="0"/>
    <xf numFmtId="182" fontId="142" fillId="68" borderId="0" applyNumberFormat="0" applyBorder="0" applyAlignment="0" applyProtection="0"/>
    <xf numFmtId="0" fontId="24" fillId="76" borderId="0" applyNumberFormat="0" applyBorder="0" applyAlignment="0" applyProtection="0"/>
    <xf numFmtId="172" fontId="24" fillId="76" borderId="0" applyNumberFormat="0" applyBorder="0" applyAlignment="0" applyProtection="0"/>
    <xf numFmtId="172" fontId="24" fillId="76" borderId="0" applyNumberFormat="0" applyBorder="0" applyAlignment="0" applyProtection="0"/>
    <xf numFmtId="172" fontId="24" fillId="76" borderId="0" applyNumberFormat="0" applyBorder="0" applyAlignment="0" applyProtection="0"/>
    <xf numFmtId="0" fontId="24" fillId="7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182" fontId="142" fillId="70" borderId="0" applyNumberFormat="0" applyBorder="0" applyAlignment="0" applyProtection="0"/>
    <xf numFmtId="182" fontId="142" fillId="70" borderId="0" applyNumberFormat="0" applyBorder="0" applyAlignment="0" applyProtection="0"/>
    <xf numFmtId="0" fontId="24" fillId="30" borderId="0" applyNumberFormat="0" applyBorder="0" applyAlignment="0" applyProtection="0"/>
    <xf numFmtId="172" fontId="24" fillId="30" borderId="0" applyNumberFormat="0" applyBorder="0" applyAlignment="0" applyProtection="0"/>
    <xf numFmtId="172" fontId="24" fillId="30" borderId="0" applyNumberFormat="0" applyBorder="0" applyAlignment="0" applyProtection="0"/>
    <xf numFmtId="172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182" fontId="142" fillId="72" borderId="0" applyNumberFormat="0" applyBorder="0" applyAlignment="0" applyProtection="0"/>
    <xf numFmtId="182" fontId="142" fillId="72" borderId="0" applyNumberFormat="0" applyBorder="0" applyAlignment="0" applyProtection="0"/>
    <xf numFmtId="0" fontId="24" fillId="49" borderId="0" applyNumberFormat="0" applyBorder="0" applyAlignment="0" applyProtection="0"/>
    <xf numFmtId="172" fontId="24" fillId="49" borderId="0" applyNumberFormat="0" applyBorder="0" applyAlignment="0" applyProtection="0"/>
    <xf numFmtId="172" fontId="24" fillId="49" borderId="0" applyNumberFormat="0" applyBorder="0" applyAlignment="0" applyProtection="0"/>
    <xf numFmtId="172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77" borderId="0" applyNumberFormat="0" applyBorder="0" applyAlignment="0" applyProtection="0"/>
    <xf numFmtId="0" fontId="24" fillId="77" borderId="0" applyNumberFormat="0" applyBorder="0" applyAlignment="0" applyProtection="0"/>
    <xf numFmtId="0" fontId="24" fillId="77" borderId="0" applyNumberFormat="0" applyBorder="0" applyAlignment="0" applyProtection="0"/>
    <xf numFmtId="0" fontId="24" fillId="77" borderId="0" applyNumberFormat="0" applyBorder="0" applyAlignment="0" applyProtection="0"/>
    <xf numFmtId="0" fontId="24" fillId="77" borderId="0" applyNumberFormat="0" applyBorder="0" applyAlignment="0" applyProtection="0"/>
    <xf numFmtId="182" fontId="142" fillId="61" borderId="0" applyNumberFormat="0" applyBorder="0" applyAlignment="0" applyProtection="0"/>
    <xf numFmtId="182" fontId="142" fillId="61" borderId="0" applyNumberFormat="0" applyBorder="0" applyAlignment="0" applyProtection="0"/>
    <xf numFmtId="0" fontId="24" fillId="77" borderId="0" applyNumberFormat="0" applyBorder="0" applyAlignment="0" applyProtection="0"/>
    <xf numFmtId="172" fontId="24" fillId="77" borderId="0" applyNumberFormat="0" applyBorder="0" applyAlignment="0" applyProtection="0"/>
    <xf numFmtId="172" fontId="24" fillId="77" borderId="0" applyNumberFormat="0" applyBorder="0" applyAlignment="0" applyProtection="0"/>
    <xf numFmtId="172" fontId="24" fillId="77" borderId="0" applyNumberFormat="0" applyBorder="0" applyAlignment="0" applyProtection="0"/>
    <xf numFmtId="0" fontId="24" fillId="77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182" fontId="142" fillId="63" borderId="0" applyNumberFormat="0" applyBorder="0" applyAlignment="0" applyProtection="0"/>
    <xf numFmtId="182" fontId="142" fillId="63" borderId="0" applyNumberFormat="0" applyBorder="0" applyAlignment="0" applyProtection="0"/>
    <xf numFmtId="0" fontId="24" fillId="31" borderId="0" applyNumberFormat="0" applyBorder="0" applyAlignment="0" applyProtection="0"/>
    <xf numFmtId="172" fontId="24" fillId="31" borderId="0" applyNumberFormat="0" applyBorder="0" applyAlignment="0" applyProtection="0"/>
    <xf numFmtId="172" fontId="24" fillId="31" borderId="0" applyNumberFormat="0" applyBorder="0" applyAlignment="0" applyProtection="0"/>
    <xf numFmtId="172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182" fontId="142" fillId="65" borderId="0" applyNumberFormat="0" applyBorder="0" applyAlignment="0" applyProtection="0"/>
    <xf numFmtId="182" fontId="142" fillId="65" borderId="0" applyNumberFormat="0" applyBorder="0" applyAlignment="0" applyProtection="0"/>
    <xf numFmtId="0" fontId="24" fillId="32" borderId="0" applyNumberFormat="0" applyBorder="0" applyAlignment="0" applyProtection="0"/>
    <xf numFmtId="172" fontId="24" fillId="32" borderId="0" applyNumberFormat="0" applyBorder="0" applyAlignment="0" applyProtection="0"/>
    <xf numFmtId="172" fontId="24" fillId="32" borderId="0" applyNumberFormat="0" applyBorder="0" applyAlignment="0" applyProtection="0"/>
    <xf numFmtId="172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76" borderId="0" applyNumberFormat="0" applyBorder="0" applyAlignment="0" applyProtection="0"/>
    <xf numFmtId="0" fontId="24" fillId="76" borderId="0" applyNumberFormat="0" applyBorder="0" applyAlignment="0" applyProtection="0"/>
    <xf numFmtId="0" fontId="24" fillId="76" borderId="0" applyNumberFormat="0" applyBorder="0" applyAlignment="0" applyProtection="0"/>
    <xf numFmtId="0" fontId="24" fillId="76" borderId="0" applyNumberFormat="0" applyBorder="0" applyAlignment="0" applyProtection="0"/>
    <xf numFmtId="0" fontId="24" fillId="76" borderId="0" applyNumberFormat="0" applyBorder="0" applyAlignment="0" applyProtection="0"/>
    <xf numFmtId="182" fontId="142" fillId="67" borderId="0" applyNumberFormat="0" applyBorder="0" applyAlignment="0" applyProtection="0"/>
    <xf numFmtId="182" fontId="142" fillId="67" borderId="0" applyNumberFormat="0" applyBorder="0" applyAlignment="0" applyProtection="0"/>
    <xf numFmtId="0" fontId="24" fillId="76" borderId="0" applyNumberFormat="0" applyBorder="0" applyAlignment="0" applyProtection="0"/>
    <xf numFmtId="172" fontId="24" fillId="76" borderId="0" applyNumberFormat="0" applyBorder="0" applyAlignment="0" applyProtection="0"/>
    <xf numFmtId="172" fontId="24" fillId="76" borderId="0" applyNumberFormat="0" applyBorder="0" applyAlignment="0" applyProtection="0"/>
    <xf numFmtId="172" fontId="24" fillId="76" borderId="0" applyNumberFormat="0" applyBorder="0" applyAlignment="0" applyProtection="0"/>
    <xf numFmtId="0" fontId="24" fillId="7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182" fontId="142" fillId="69" borderId="0" applyNumberFormat="0" applyBorder="0" applyAlignment="0" applyProtection="0"/>
    <xf numFmtId="182" fontId="142" fillId="69" borderId="0" applyNumberFormat="0" applyBorder="0" applyAlignment="0" applyProtection="0"/>
    <xf numFmtId="0" fontId="24" fillId="30" borderId="0" applyNumberFormat="0" applyBorder="0" applyAlignment="0" applyProtection="0"/>
    <xf numFmtId="172" fontId="24" fillId="30" borderId="0" applyNumberFormat="0" applyBorder="0" applyAlignment="0" applyProtection="0"/>
    <xf numFmtId="172" fontId="24" fillId="30" borderId="0" applyNumberFormat="0" applyBorder="0" applyAlignment="0" applyProtection="0"/>
    <xf numFmtId="172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182" fontId="142" fillId="71" borderId="0" applyNumberFormat="0" applyBorder="0" applyAlignment="0" applyProtection="0"/>
    <xf numFmtId="182" fontId="142" fillId="71" borderId="0" applyNumberFormat="0" applyBorder="0" applyAlignment="0" applyProtection="0"/>
    <xf numFmtId="0" fontId="24" fillId="26" borderId="0" applyNumberFormat="0" applyBorder="0" applyAlignment="0" applyProtection="0"/>
    <xf numFmtId="172" fontId="24" fillId="26" borderId="0" applyNumberFormat="0" applyBorder="0" applyAlignment="0" applyProtection="0"/>
    <xf numFmtId="172" fontId="24" fillId="26" borderId="0" applyNumberFormat="0" applyBorder="0" applyAlignment="0" applyProtection="0"/>
    <xf numFmtId="172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182" fontId="143" fillId="56" borderId="0" applyNumberFormat="0" applyBorder="0" applyAlignment="0" applyProtection="0"/>
    <xf numFmtId="182" fontId="143" fillId="56" borderId="0" applyNumberFormat="0" applyBorder="0" applyAlignment="0" applyProtection="0"/>
    <xf numFmtId="0" fontId="26" fillId="24" borderId="0" applyNumberFormat="0" applyBorder="0" applyAlignment="0" applyProtection="0"/>
    <xf numFmtId="172" fontId="26" fillId="24" borderId="0" applyNumberFormat="0" applyBorder="0" applyAlignment="0" applyProtection="0"/>
    <xf numFmtId="172" fontId="26" fillId="24" borderId="0" applyNumberFormat="0" applyBorder="0" applyAlignment="0" applyProtection="0"/>
    <xf numFmtId="172" fontId="26" fillId="24" borderId="0" applyNumberFormat="0" applyBorder="0" applyAlignment="0" applyProtection="0"/>
    <xf numFmtId="172" fontId="26" fillId="24" borderId="0" applyNumberFormat="0" applyBorder="0" applyAlignment="0" applyProtection="0"/>
    <xf numFmtId="0" fontId="26" fillId="24" borderId="0" applyNumberFormat="0" applyBorder="0" applyAlignment="0" applyProtection="0"/>
    <xf numFmtId="173" fontId="144" fillId="0" borderId="28"/>
    <xf numFmtId="0" fontId="30" fillId="37" borderId="9" applyNumberFormat="0" applyAlignment="0" applyProtection="0"/>
    <xf numFmtId="0" fontId="30" fillId="37" borderId="9" applyNumberFormat="0" applyAlignment="0" applyProtection="0"/>
    <xf numFmtId="0" fontId="30" fillId="37" borderId="9" applyNumberFormat="0" applyAlignment="0" applyProtection="0"/>
    <xf numFmtId="0" fontId="30" fillId="37" borderId="9" applyNumberFormat="0" applyAlignment="0" applyProtection="0"/>
    <xf numFmtId="0" fontId="30" fillId="37" borderId="9" applyNumberFormat="0" applyAlignment="0" applyProtection="0"/>
    <xf numFmtId="182" fontId="145" fillId="60" borderId="35" applyNumberFormat="0" applyAlignment="0" applyProtection="0"/>
    <xf numFmtId="182" fontId="145" fillId="60" borderId="35" applyNumberFormat="0" applyAlignment="0" applyProtection="0"/>
    <xf numFmtId="0" fontId="30" fillId="37" borderId="9" applyNumberFormat="0" applyAlignment="0" applyProtection="0"/>
    <xf numFmtId="172" fontId="30" fillId="37" borderId="9" applyNumberFormat="0" applyAlignment="0" applyProtection="0"/>
    <xf numFmtId="172" fontId="30" fillId="37" borderId="9" applyNumberFormat="0" applyAlignment="0" applyProtection="0"/>
    <xf numFmtId="172" fontId="30" fillId="37" borderId="9" applyNumberFormat="0" applyAlignment="0" applyProtection="0"/>
    <xf numFmtId="172" fontId="30" fillId="37" borderId="9" applyNumberFormat="0" applyAlignment="0" applyProtection="0"/>
    <xf numFmtId="0" fontId="30" fillId="37" borderId="9" applyNumberFormat="0" applyAlignment="0" applyProtection="0"/>
    <xf numFmtId="0" fontId="31" fillId="38" borderId="0">
      <alignment horizontal="left"/>
    </xf>
    <xf numFmtId="164" fontId="31" fillId="38" borderId="0">
      <alignment horizontal="left"/>
    </xf>
    <xf numFmtId="0" fontId="33" fillId="38" borderId="0">
      <alignment horizontal="right"/>
    </xf>
    <xf numFmtId="164" fontId="33" fillId="38" borderId="0">
      <alignment horizontal="right"/>
    </xf>
    <xf numFmtId="0" fontId="34" fillId="35" borderId="0">
      <alignment horizontal="center"/>
    </xf>
    <xf numFmtId="164" fontId="34" fillId="35" borderId="0">
      <alignment horizontal="center"/>
    </xf>
    <xf numFmtId="0" fontId="33" fillId="38" borderId="0">
      <alignment horizontal="right"/>
    </xf>
    <xf numFmtId="164" fontId="33" fillId="38" borderId="0">
      <alignment horizontal="right"/>
    </xf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78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46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95" fontId="19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82" fontId="147" fillId="0" borderId="0" applyNumberFormat="0" applyFill="0" applyBorder="0" applyAlignment="0" applyProtection="0"/>
    <xf numFmtId="182" fontId="14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2" fontId="38" fillId="0" borderId="0" applyNumberFormat="0" applyFill="0" applyBorder="0" applyAlignment="0" applyProtection="0"/>
    <xf numFmtId="172" fontId="38" fillId="0" borderId="0" applyNumberFormat="0" applyFill="0" applyBorder="0" applyAlignment="0" applyProtection="0"/>
    <xf numFmtId="172" fontId="38" fillId="0" borderId="0" applyNumberFormat="0" applyFill="0" applyBorder="0" applyAlignment="0" applyProtection="0"/>
    <xf numFmtId="172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8" fillId="0" borderId="0" applyProtection="0"/>
    <xf numFmtId="0" fontId="18" fillId="0" borderId="0" applyProtection="0"/>
    <xf numFmtId="0" fontId="18" fillId="0" borderId="0" applyProtection="0"/>
    <xf numFmtId="0" fontId="18" fillId="0" borderId="0" applyProtection="0"/>
    <xf numFmtId="0" fontId="18" fillId="0" borderId="0" applyProtection="0"/>
    <xf numFmtId="0" fontId="18" fillId="0" borderId="0" applyProtection="0"/>
    <xf numFmtId="0" fontId="18" fillId="0" borderId="0" applyProtection="0"/>
    <xf numFmtId="182" fontId="18" fillId="0" borderId="0" applyProtection="0"/>
    <xf numFmtId="182" fontId="18" fillId="0" borderId="0" applyProtection="0"/>
    <xf numFmtId="0" fontId="18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182" fontId="40" fillId="0" borderId="0" applyProtection="0"/>
    <xf numFmtId="182" fontId="40" fillId="0" borderId="0" applyProtection="0"/>
    <xf numFmtId="0" fontId="40" fillId="0" borderId="0" applyProtection="0"/>
    <xf numFmtId="0" fontId="41" fillId="0" borderId="0" applyProtection="0"/>
    <xf numFmtId="0" fontId="41" fillId="0" borderId="0" applyProtection="0"/>
    <xf numFmtId="0" fontId="41" fillId="0" borderId="0" applyProtection="0"/>
    <xf numFmtId="0" fontId="41" fillId="0" borderId="0" applyProtection="0"/>
    <xf numFmtId="0" fontId="41" fillId="0" borderId="0" applyProtection="0"/>
    <xf numFmtId="0" fontId="41" fillId="0" borderId="0" applyProtection="0"/>
    <xf numFmtId="0" fontId="41" fillId="0" borderId="0" applyProtection="0"/>
    <xf numFmtId="182" fontId="41" fillId="0" borderId="0" applyProtection="0"/>
    <xf numFmtId="182" fontId="41" fillId="0" borderId="0" applyProtection="0"/>
    <xf numFmtId="0" fontId="41" fillId="0" borderId="0" applyProtection="0"/>
    <xf numFmtId="0" fontId="42" fillId="0" borderId="0" applyProtection="0"/>
    <xf numFmtId="0" fontId="42" fillId="0" borderId="0" applyProtection="0"/>
    <xf numFmtId="0" fontId="42" fillId="0" borderId="0" applyProtection="0"/>
    <xf numFmtId="0" fontId="42" fillId="0" borderId="0" applyProtection="0"/>
    <xf numFmtId="0" fontId="42" fillId="0" borderId="0" applyProtection="0"/>
    <xf numFmtId="0" fontId="42" fillId="0" borderId="0" applyProtection="0"/>
    <xf numFmtId="182" fontId="42" fillId="0" borderId="0" applyProtection="0"/>
    <xf numFmtId="182" fontId="42" fillId="0" borderId="0" applyProtection="0"/>
    <xf numFmtId="0" fontId="42" fillId="0" borderId="0" applyProtection="0"/>
    <xf numFmtId="0" fontId="19" fillId="0" borderId="0" applyProtection="0"/>
    <xf numFmtId="0" fontId="19" fillId="0" borderId="0" applyProtection="0"/>
    <xf numFmtId="0" fontId="19" fillId="0" borderId="0" applyProtection="0"/>
    <xf numFmtId="0" fontId="19" fillId="0" borderId="0" applyProtection="0"/>
    <xf numFmtId="0" fontId="19" fillId="0" borderId="0" applyProtection="0"/>
    <xf numFmtId="182" fontId="19" fillId="0" borderId="0" applyProtection="0"/>
    <xf numFmtId="182" fontId="19" fillId="0" borderId="0" applyProtection="0"/>
    <xf numFmtId="0" fontId="19" fillId="0" borderId="0" applyProtection="0"/>
    <xf numFmtId="0" fontId="18" fillId="0" borderId="0" applyProtection="0"/>
    <xf numFmtId="0" fontId="18" fillId="0" borderId="0" applyProtection="0"/>
    <xf numFmtId="0" fontId="18" fillId="0" borderId="0" applyProtection="0"/>
    <xf numFmtId="0" fontId="18" fillId="0" borderId="0" applyProtection="0"/>
    <xf numFmtId="0" fontId="18" fillId="0" borderId="0" applyProtection="0"/>
    <xf numFmtId="0" fontId="18" fillId="0" borderId="0" applyProtection="0"/>
    <xf numFmtId="0" fontId="18" fillId="0" borderId="0" applyProtection="0"/>
    <xf numFmtId="182" fontId="18" fillId="0" borderId="0" applyProtection="0"/>
    <xf numFmtId="182" fontId="18" fillId="0" borderId="0" applyProtection="0"/>
    <xf numFmtId="0" fontId="18" fillId="0" borderId="0" applyProtection="0"/>
    <xf numFmtId="0" fontId="43" fillId="0" borderId="0" applyProtection="0"/>
    <xf numFmtId="0" fontId="43" fillId="0" borderId="0" applyProtection="0"/>
    <xf numFmtId="0" fontId="43" fillId="0" borderId="0" applyProtection="0"/>
    <xf numFmtId="0" fontId="43" fillId="0" borderId="0" applyProtection="0"/>
    <xf numFmtId="0" fontId="43" fillId="0" borderId="0" applyProtection="0"/>
    <xf numFmtId="0" fontId="43" fillId="0" borderId="0" applyProtection="0"/>
    <xf numFmtId="0" fontId="43" fillId="0" borderId="0" applyProtection="0"/>
    <xf numFmtId="182" fontId="43" fillId="0" borderId="0" applyProtection="0"/>
    <xf numFmtId="182" fontId="43" fillId="0" borderId="0" applyProtection="0"/>
    <xf numFmtId="0" fontId="43" fillId="0" borderId="0" applyProtection="0"/>
    <xf numFmtId="2" fontId="19" fillId="0" borderId="0" applyFont="0" applyFill="0" applyBorder="0" applyAlignment="0" applyProtection="0"/>
    <xf numFmtId="2" fontId="19" fillId="0" borderId="0" applyFont="0" applyFill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182" fontId="148" fillId="55" borderId="0" applyNumberFormat="0" applyBorder="0" applyAlignment="0" applyProtection="0"/>
    <xf numFmtId="182" fontId="148" fillId="55" borderId="0" applyNumberFormat="0" applyBorder="0" applyAlignment="0" applyProtection="0"/>
    <xf numFmtId="0" fontId="44" fillId="40" borderId="0" applyNumberFormat="0" applyBorder="0" applyAlignment="0" applyProtection="0"/>
    <xf numFmtId="172" fontId="44" fillId="40" borderId="0" applyNumberFormat="0" applyBorder="0" applyAlignment="0" applyProtection="0"/>
    <xf numFmtId="172" fontId="44" fillId="40" borderId="0" applyNumberFormat="0" applyBorder="0" applyAlignment="0" applyProtection="0"/>
    <xf numFmtId="172" fontId="44" fillId="40" borderId="0" applyNumberFormat="0" applyBorder="0" applyAlignment="0" applyProtection="0"/>
    <xf numFmtId="172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149" fillId="0" borderId="37" applyNumberFormat="0" applyFill="0" applyAlignment="0" applyProtection="0"/>
    <xf numFmtId="0" fontId="149" fillId="0" borderId="37" applyNumberFormat="0" applyFill="0" applyAlignment="0" applyProtection="0"/>
    <xf numFmtId="0" fontId="149" fillId="0" borderId="37" applyNumberFormat="0" applyFill="0" applyAlignment="0" applyProtection="0"/>
    <xf numFmtId="0" fontId="149" fillId="0" borderId="37" applyNumberFormat="0" applyFill="0" applyAlignment="0" applyProtection="0"/>
    <xf numFmtId="0" fontId="149" fillId="0" borderId="37" applyNumberFormat="0" applyFill="0" applyAlignment="0" applyProtection="0"/>
    <xf numFmtId="182" fontId="150" fillId="0" borderId="1" applyNumberFormat="0" applyFill="0" applyAlignment="0" applyProtection="0"/>
    <xf numFmtId="182" fontId="150" fillId="0" borderId="1" applyNumberFormat="0" applyFill="0" applyAlignment="0" applyProtection="0"/>
    <xf numFmtId="0" fontId="149" fillId="0" borderId="37" applyNumberFormat="0" applyFill="0" applyAlignment="0" applyProtection="0"/>
    <xf numFmtId="172" fontId="149" fillId="0" borderId="37" applyNumberFormat="0" applyFill="0" applyAlignment="0" applyProtection="0"/>
    <xf numFmtId="172" fontId="149" fillId="0" borderId="37" applyNumberFormat="0" applyFill="0" applyAlignment="0" applyProtection="0"/>
    <xf numFmtId="172" fontId="149" fillId="0" borderId="37" applyNumberFormat="0" applyFill="0" applyAlignment="0" applyProtection="0"/>
    <xf numFmtId="0" fontId="149" fillId="0" borderId="37" applyNumberFormat="0" applyFill="0" applyAlignment="0" applyProtection="0"/>
    <xf numFmtId="0" fontId="151" fillId="0" borderId="38" applyNumberFormat="0" applyFill="0" applyAlignment="0" applyProtection="0"/>
    <xf numFmtId="0" fontId="151" fillId="0" borderId="38" applyNumberFormat="0" applyFill="0" applyAlignment="0" applyProtection="0"/>
    <xf numFmtId="0" fontId="151" fillId="0" borderId="38" applyNumberFormat="0" applyFill="0" applyAlignment="0" applyProtection="0"/>
    <xf numFmtId="0" fontId="151" fillId="0" borderId="38" applyNumberFormat="0" applyFill="0" applyAlignment="0" applyProtection="0"/>
    <xf numFmtId="0" fontId="151" fillId="0" borderId="38" applyNumberFormat="0" applyFill="0" applyAlignment="0" applyProtection="0"/>
    <xf numFmtId="182" fontId="152" fillId="0" borderId="2" applyNumberFormat="0" applyFill="0" applyAlignment="0" applyProtection="0"/>
    <xf numFmtId="182" fontId="152" fillId="0" borderId="2" applyNumberFormat="0" applyFill="0" applyAlignment="0" applyProtection="0"/>
    <xf numFmtId="0" fontId="151" fillId="0" borderId="38" applyNumberFormat="0" applyFill="0" applyAlignment="0" applyProtection="0"/>
    <xf numFmtId="172" fontId="151" fillId="0" borderId="38" applyNumberFormat="0" applyFill="0" applyAlignment="0" applyProtection="0"/>
    <xf numFmtId="172" fontId="151" fillId="0" borderId="38" applyNumberFormat="0" applyFill="0" applyAlignment="0" applyProtection="0"/>
    <xf numFmtId="172" fontId="151" fillId="0" borderId="38" applyNumberFormat="0" applyFill="0" applyAlignment="0" applyProtection="0"/>
    <xf numFmtId="0" fontId="151" fillId="0" borderId="38" applyNumberFormat="0" applyFill="0" applyAlignment="0" applyProtection="0"/>
    <xf numFmtId="0" fontId="153" fillId="0" borderId="39" applyNumberFormat="0" applyFill="0" applyAlignment="0" applyProtection="0"/>
    <xf numFmtId="0" fontId="153" fillId="0" borderId="39" applyNumberFormat="0" applyFill="0" applyAlignment="0" applyProtection="0"/>
    <xf numFmtId="0" fontId="153" fillId="0" borderId="39" applyNumberFormat="0" applyFill="0" applyAlignment="0" applyProtection="0"/>
    <xf numFmtId="0" fontId="153" fillId="0" borderId="39" applyNumberFormat="0" applyFill="0" applyAlignment="0" applyProtection="0"/>
    <xf numFmtId="0" fontId="153" fillId="0" borderId="39" applyNumberFormat="0" applyFill="0" applyAlignment="0" applyProtection="0"/>
    <xf numFmtId="182" fontId="154" fillId="0" borderId="31" applyNumberFormat="0" applyFill="0" applyAlignment="0" applyProtection="0"/>
    <xf numFmtId="182" fontId="154" fillId="0" borderId="31" applyNumberFormat="0" applyFill="0" applyAlignment="0" applyProtection="0"/>
    <xf numFmtId="0" fontId="153" fillId="0" borderId="39" applyNumberFormat="0" applyFill="0" applyAlignment="0" applyProtection="0"/>
    <xf numFmtId="172" fontId="153" fillId="0" borderId="39" applyNumberFormat="0" applyFill="0" applyAlignment="0" applyProtection="0"/>
    <xf numFmtId="172" fontId="153" fillId="0" borderId="39" applyNumberFormat="0" applyFill="0" applyAlignment="0" applyProtection="0"/>
    <xf numFmtId="0" fontId="153" fillId="0" borderId="39" applyNumberFormat="0" applyFill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182" fontId="154" fillId="0" borderId="0" applyNumberFormat="0" applyFill="0" applyBorder="0" applyAlignment="0" applyProtection="0"/>
    <xf numFmtId="182" fontId="154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172" fontId="153" fillId="0" borderId="0" applyNumberFormat="0" applyFill="0" applyBorder="0" applyAlignment="0" applyProtection="0"/>
    <xf numFmtId="172" fontId="153" fillId="0" borderId="0" applyNumberFormat="0" applyFill="0" applyBorder="0" applyAlignment="0" applyProtection="0"/>
    <xf numFmtId="172" fontId="153" fillId="0" borderId="0" applyNumberFormat="0" applyFill="0" applyBorder="0" applyAlignment="0" applyProtection="0"/>
    <xf numFmtId="172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31" fillId="38" borderId="0">
      <alignment horizontal="left"/>
    </xf>
    <xf numFmtId="164" fontId="31" fillId="38" borderId="0">
      <alignment horizontal="left"/>
    </xf>
    <xf numFmtId="0" fontId="54" fillId="35" borderId="0">
      <alignment horizontal="left"/>
    </xf>
    <xf numFmtId="164" fontId="54" fillId="35" borderId="0">
      <alignment horizontal="left"/>
    </xf>
    <xf numFmtId="0" fontId="155" fillId="0" borderId="19" applyNumberFormat="0" applyFill="0" applyAlignment="0" applyProtection="0"/>
    <xf numFmtId="0" fontId="155" fillId="0" borderId="19" applyNumberFormat="0" applyFill="0" applyAlignment="0" applyProtection="0"/>
    <xf numFmtId="0" fontId="155" fillId="0" borderId="19" applyNumberFormat="0" applyFill="0" applyAlignment="0" applyProtection="0"/>
    <xf numFmtId="0" fontId="155" fillId="0" borderId="19" applyNumberFormat="0" applyFill="0" applyAlignment="0" applyProtection="0"/>
    <xf numFmtId="0" fontId="155" fillId="0" borderId="19" applyNumberFormat="0" applyFill="0" applyAlignment="0" applyProtection="0"/>
    <xf numFmtId="182" fontId="156" fillId="0" borderId="34" applyNumberFormat="0" applyFill="0" applyAlignment="0" applyProtection="0"/>
    <xf numFmtId="182" fontId="156" fillId="0" borderId="34" applyNumberFormat="0" applyFill="0" applyAlignment="0" applyProtection="0"/>
    <xf numFmtId="0" fontId="155" fillId="0" borderId="19" applyNumberFormat="0" applyFill="0" applyAlignment="0" applyProtection="0"/>
    <xf numFmtId="172" fontId="155" fillId="0" borderId="19" applyNumberFormat="0" applyFill="0" applyAlignment="0" applyProtection="0"/>
    <xf numFmtId="172" fontId="155" fillId="0" borderId="19" applyNumberFormat="0" applyFill="0" applyAlignment="0" applyProtection="0"/>
    <xf numFmtId="172" fontId="155" fillId="0" borderId="19" applyNumberFormat="0" applyFill="0" applyAlignment="0" applyProtection="0"/>
    <xf numFmtId="172" fontId="155" fillId="0" borderId="19" applyNumberFormat="0" applyFill="0" applyAlignment="0" applyProtection="0"/>
    <xf numFmtId="0" fontId="155" fillId="0" borderId="19" applyNumberFormat="0" applyFill="0" applyAlignment="0" applyProtection="0"/>
    <xf numFmtId="0" fontId="157" fillId="23" borderId="0" applyNumberFormat="0" applyBorder="0" applyAlignment="0" applyProtection="0"/>
    <xf numFmtId="0" fontId="157" fillId="23" borderId="0" applyNumberFormat="0" applyBorder="0" applyAlignment="0" applyProtection="0"/>
    <xf numFmtId="0" fontId="157" fillId="23" borderId="0" applyNumberFormat="0" applyBorder="0" applyAlignment="0" applyProtection="0"/>
    <xf numFmtId="0" fontId="157" fillId="23" borderId="0" applyNumberFormat="0" applyBorder="0" applyAlignment="0" applyProtection="0"/>
    <xf numFmtId="0" fontId="157" fillId="23" borderId="0" applyNumberFormat="0" applyBorder="0" applyAlignment="0" applyProtection="0"/>
    <xf numFmtId="182" fontId="158" fillId="57" borderId="0" applyNumberFormat="0" applyBorder="0" applyAlignment="0" applyProtection="0"/>
    <xf numFmtId="182" fontId="158" fillId="57" borderId="0" applyNumberFormat="0" applyBorder="0" applyAlignment="0" applyProtection="0"/>
    <xf numFmtId="0" fontId="157" fillId="23" borderId="0" applyNumberFormat="0" applyBorder="0" applyAlignment="0" applyProtection="0"/>
    <xf numFmtId="172" fontId="157" fillId="23" borderId="0" applyNumberFormat="0" applyBorder="0" applyAlignment="0" applyProtection="0"/>
    <xf numFmtId="172" fontId="157" fillId="23" borderId="0" applyNumberFormat="0" applyBorder="0" applyAlignment="0" applyProtection="0"/>
    <xf numFmtId="172" fontId="157" fillId="23" borderId="0" applyNumberFormat="0" applyBorder="0" applyAlignment="0" applyProtection="0"/>
    <xf numFmtId="172" fontId="157" fillId="23" borderId="0" applyNumberFormat="0" applyBorder="0" applyAlignment="0" applyProtection="0"/>
    <xf numFmtId="0" fontId="157" fillId="23" borderId="0" applyNumberFormat="0" applyBorder="0" applyAlignment="0" applyProtection="0"/>
    <xf numFmtId="172" fontId="19" fillId="0" borderId="0"/>
    <xf numFmtId="172" fontId="19" fillId="0" borderId="0"/>
    <xf numFmtId="182" fontId="19" fillId="0" borderId="0"/>
    <xf numFmtId="182" fontId="19" fillId="0" borderId="0"/>
    <xf numFmtId="0" fontId="37" fillId="0" borderId="0"/>
    <xf numFmtId="172" fontId="19" fillId="0" borderId="0"/>
    <xf numFmtId="172" fontId="19" fillId="0" borderId="0"/>
    <xf numFmtId="172" fontId="19" fillId="0" borderId="0"/>
    <xf numFmtId="172" fontId="19" fillId="0" borderId="0"/>
    <xf numFmtId="172" fontId="19" fillId="0" borderId="0"/>
    <xf numFmtId="172" fontId="19" fillId="0" borderId="0"/>
    <xf numFmtId="172" fontId="19" fillId="0" borderId="0"/>
    <xf numFmtId="172" fontId="19" fillId="0" borderId="0"/>
    <xf numFmtId="0" fontId="10" fillId="0" borderId="0"/>
    <xf numFmtId="0" fontId="10" fillId="0" borderId="0"/>
    <xf numFmtId="172" fontId="19" fillId="0" borderId="0"/>
    <xf numFmtId="172" fontId="19" fillId="0" borderId="0"/>
    <xf numFmtId="172" fontId="19" fillId="0" borderId="0"/>
    <xf numFmtId="172" fontId="19" fillId="0" borderId="0"/>
    <xf numFmtId="172" fontId="19" fillId="0" borderId="0"/>
    <xf numFmtId="0" fontId="10" fillId="0" borderId="0"/>
    <xf numFmtId="0" fontId="10" fillId="0" borderId="0"/>
    <xf numFmtId="172" fontId="70" fillId="0" borderId="0"/>
    <xf numFmtId="172" fontId="70" fillId="0" borderId="0"/>
    <xf numFmtId="172" fontId="70" fillId="0" borderId="0"/>
    <xf numFmtId="172" fontId="70" fillId="0" borderId="0"/>
    <xf numFmtId="172" fontId="70" fillId="0" borderId="0"/>
    <xf numFmtId="182" fontId="23" fillId="0" borderId="0"/>
    <xf numFmtId="182" fontId="23" fillId="0" borderId="0"/>
    <xf numFmtId="0" fontId="3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2" fontId="19" fillId="0" borderId="0"/>
    <xf numFmtId="172" fontId="19" fillId="0" borderId="0"/>
    <xf numFmtId="172" fontId="19" fillId="0" borderId="0"/>
    <xf numFmtId="0" fontId="10" fillId="0" borderId="0"/>
    <xf numFmtId="0" fontId="10" fillId="0" borderId="0"/>
    <xf numFmtId="0" fontId="10" fillId="0" borderId="0"/>
    <xf numFmtId="172" fontId="70" fillId="0" borderId="0"/>
    <xf numFmtId="172" fontId="70" fillId="0" borderId="0"/>
    <xf numFmtId="172" fontId="70" fillId="0" borderId="0"/>
    <xf numFmtId="0" fontId="60" fillId="20" borderId="21" applyNumberFormat="0" applyAlignment="0" applyProtection="0"/>
    <xf numFmtId="0" fontId="60" fillId="20" borderId="21" applyNumberFormat="0" applyAlignment="0" applyProtection="0"/>
    <xf numFmtId="0" fontId="60" fillId="20" borderId="21" applyNumberFormat="0" applyAlignment="0" applyProtection="0"/>
    <xf numFmtId="0" fontId="60" fillId="20" borderId="21" applyNumberFormat="0" applyAlignment="0" applyProtection="0"/>
    <xf numFmtId="0" fontId="60" fillId="20" borderId="21" applyNumberFormat="0" applyAlignment="0" applyProtection="0"/>
    <xf numFmtId="182" fontId="159" fillId="59" borderId="33" applyNumberFormat="0" applyAlignment="0" applyProtection="0"/>
    <xf numFmtId="182" fontId="159" fillId="59" borderId="33" applyNumberFormat="0" applyAlignment="0" applyProtection="0"/>
    <xf numFmtId="0" fontId="60" fillId="20" borderId="21" applyNumberFormat="0" applyAlignment="0" applyProtection="0"/>
    <xf numFmtId="172" fontId="60" fillId="20" borderId="21" applyNumberFormat="0" applyAlignment="0" applyProtection="0"/>
    <xf numFmtId="172" fontId="60" fillId="20" borderId="21" applyNumberFormat="0" applyAlignment="0" applyProtection="0"/>
    <xf numFmtId="172" fontId="60" fillId="20" borderId="21" applyNumberFormat="0" applyAlignment="0" applyProtection="0"/>
    <xf numFmtId="172" fontId="60" fillId="20" borderId="21" applyNumberFormat="0" applyAlignment="0" applyProtection="0"/>
    <xf numFmtId="0" fontId="60" fillId="20" borderId="21" applyNumberFormat="0" applyAlignment="0" applyProtection="0"/>
    <xf numFmtId="171" fontId="61" fillId="35" borderId="0">
      <alignment horizontal="right"/>
    </xf>
    <xf numFmtId="40" fontId="62" fillId="41" borderId="0">
      <alignment horizontal="right"/>
    </xf>
    <xf numFmtId="164" fontId="63" fillId="42" borderId="0">
      <alignment horizontal="center"/>
    </xf>
    <xf numFmtId="0" fontId="63" fillId="41" borderId="0">
      <alignment horizontal="center" vertical="center"/>
    </xf>
    <xf numFmtId="0" fontId="63" fillId="41" borderId="0">
      <alignment horizontal="center" vertical="center"/>
    </xf>
    <xf numFmtId="182" fontId="63" fillId="41" borderId="0">
      <alignment horizontal="center" vertical="center"/>
    </xf>
    <xf numFmtId="182" fontId="63" fillId="41" borderId="0">
      <alignment horizontal="center" vertical="center"/>
    </xf>
    <xf numFmtId="0" fontId="31" fillId="43" borderId="0"/>
    <xf numFmtId="0" fontId="54" fillId="41" borderId="10"/>
    <xf numFmtId="0" fontId="54" fillId="41" borderId="10"/>
    <xf numFmtId="182" fontId="54" fillId="41" borderId="10"/>
    <xf numFmtId="182" fontId="54" fillId="41" borderId="10"/>
    <xf numFmtId="164" fontId="66" fillId="35" borderId="0" applyBorder="0">
      <alignment horizontal="centerContinuous"/>
    </xf>
    <xf numFmtId="0" fontId="63" fillId="41" borderId="0" applyBorder="0">
      <alignment horizontal="centerContinuous"/>
    </xf>
    <xf numFmtId="0" fontId="63" fillId="41" borderId="0" applyBorder="0">
      <alignment horizontal="centerContinuous"/>
    </xf>
    <xf numFmtId="182" fontId="63" fillId="41" borderId="0" applyBorder="0">
      <alignment horizontal="centerContinuous"/>
    </xf>
    <xf numFmtId="182" fontId="63" fillId="41" borderId="0" applyBorder="0">
      <alignment horizontal="centerContinuous"/>
    </xf>
    <xf numFmtId="164" fontId="67" fillId="43" borderId="0" applyBorder="0">
      <alignment horizontal="centerContinuous"/>
    </xf>
    <xf numFmtId="0" fontId="69" fillId="41" borderId="0" applyBorder="0">
      <alignment horizontal="centerContinuous"/>
    </xf>
    <xf numFmtId="0" fontId="69" fillId="41" borderId="0" applyBorder="0">
      <alignment horizontal="centerContinuous"/>
    </xf>
    <xf numFmtId="182" fontId="69" fillId="41" borderId="0" applyBorder="0">
      <alignment horizontal="centerContinuous"/>
    </xf>
    <xf numFmtId="182" fontId="69" fillId="41" borderId="0" applyBorder="0">
      <alignment horizontal="centerContinuous"/>
    </xf>
    <xf numFmtId="0" fontId="54" fillId="23" borderId="0">
      <alignment horizontal="center"/>
    </xf>
    <xf numFmtId="164" fontId="54" fillId="23" borderId="0">
      <alignment horizontal="center"/>
    </xf>
    <xf numFmtId="49" fontId="72" fillId="35" borderId="0">
      <alignment horizontal="center"/>
    </xf>
    <xf numFmtId="0" fontId="33" fillId="38" borderId="0">
      <alignment horizontal="center"/>
    </xf>
    <xf numFmtId="164" fontId="33" fillId="38" borderId="0">
      <alignment horizontal="center"/>
    </xf>
    <xf numFmtId="0" fontId="33" fillId="38" borderId="0">
      <alignment horizontal="centerContinuous"/>
    </xf>
    <xf numFmtId="164" fontId="33" fillId="38" borderId="0">
      <alignment horizontal="centerContinuous"/>
    </xf>
    <xf numFmtId="0" fontId="73" fillId="35" borderId="0">
      <alignment horizontal="left"/>
    </xf>
    <xf numFmtId="164" fontId="73" fillId="35" borderId="0">
      <alignment horizontal="left"/>
    </xf>
    <xf numFmtId="49" fontId="73" fillId="35" borderId="0">
      <alignment horizontal="center"/>
    </xf>
    <xf numFmtId="0" fontId="31" fillId="38" borderId="0">
      <alignment horizontal="left"/>
    </xf>
    <xf numFmtId="164" fontId="31" fillId="38" borderId="0">
      <alignment horizontal="left"/>
    </xf>
    <xf numFmtId="49" fontId="73" fillId="35" borderId="0">
      <alignment horizontal="left"/>
    </xf>
    <xf numFmtId="0" fontId="31" fillId="38" borderId="0">
      <alignment horizontal="centerContinuous"/>
    </xf>
    <xf numFmtId="164" fontId="31" fillId="38" borderId="0">
      <alignment horizontal="centerContinuous"/>
    </xf>
    <xf numFmtId="0" fontId="31" fillId="38" borderId="0">
      <alignment horizontal="right"/>
    </xf>
    <xf numFmtId="164" fontId="31" fillId="38" borderId="0">
      <alignment horizontal="right"/>
    </xf>
    <xf numFmtId="49" fontId="54" fillId="35" borderId="0">
      <alignment horizontal="left"/>
    </xf>
    <xf numFmtId="0" fontId="33" fillId="38" borderId="0">
      <alignment horizontal="right"/>
    </xf>
    <xf numFmtId="164" fontId="33" fillId="38" borderId="0">
      <alignment horizontal="right"/>
    </xf>
    <xf numFmtId="0" fontId="73" fillId="21" borderId="0">
      <alignment horizontal="center"/>
    </xf>
    <xf numFmtId="164" fontId="73" fillId="21" borderId="0">
      <alignment horizontal="center"/>
    </xf>
    <xf numFmtId="0" fontId="74" fillId="21" borderId="0">
      <alignment horizontal="center"/>
    </xf>
    <xf numFmtId="164" fontId="74" fillId="21" borderId="0">
      <alignment horizont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182" fontId="137" fillId="0" borderId="0" applyNumberFormat="0" applyFill="0" applyBorder="0" applyAlignment="0" applyProtection="0"/>
    <xf numFmtId="182" fontId="137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172" fontId="160" fillId="0" borderId="0" applyNumberFormat="0" applyFill="0" applyBorder="0" applyAlignment="0" applyProtection="0"/>
    <xf numFmtId="172" fontId="160" fillId="0" borderId="0" applyNumberFormat="0" applyFill="0" applyBorder="0" applyAlignment="0" applyProtection="0"/>
    <xf numFmtId="172" fontId="160" fillId="0" borderId="0" applyNumberFormat="0" applyFill="0" applyBorder="0" applyAlignment="0" applyProtection="0"/>
    <xf numFmtId="172" fontId="160" fillId="0" borderId="0" applyNumberFormat="0" applyFill="0" applyBorder="0" applyAlignment="0" applyProtection="0"/>
    <xf numFmtId="172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80" fillId="0" borderId="40" applyNumberFormat="0" applyFill="0" applyAlignment="0" applyProtection="0"/>
    <xf numFmtId="0" fontId="80" fillId="0" borderId="40" applyNumberFormat="0" applyFill="0" applyAlignment="0" applyProtection="0"/>
    <xf numFmtId="0" fontId="80" fillId="0" borderId="40" applyNumberFormat="0" applyFill="0" applyAlignment="0" applyProtection="0"/>
    <xf numFmtId="0" fontId="80" fillId="0" borderId="40" applyNumberFormat="0" applyFill="0" applyAlignment="0" applyProtection="0"/>
    <xf numFmtId="0" fontId="80" fillId="0" borderId="40" applyNumberFormat="0" applyFill="0" applyAlignment="0" applyProtection="0"/>
    <xf numFmtId="182" fontId="161" fillId="0" borderId="4" applyNumberFormat="0" applyFill="0" applyAlignment="0" applyProtection="0"/>
    <xf numFmtId="182" fontId="161" fillId="0" borderId="4" applyNumberFormat="0" applyFill="0" applyAlignment="0" applyProtection="0"/>
    <xf numFmtId="0" fontId="80" fillId="0" borderId="40" applyNumberFormat="0" applyFill="0" applyAlignment="0" applyProtection="0"/>
    <xf numFmtId="172" fontId="80" fillId="0" borderId="40" applyNumberFormat="0" applyFill="0" applyAlignment="0" applyProtection="0"/>
    <xf numFmtId="172" fontId="80" fillId="0" borderId="40" applyNumberFormat="0" applyFill="0" applyAlignment="0" applyProtection="0"/>
    <xf numFmtId="172" fontId="80" fillId="0" borderId="40" applyNumberFormat="0" applyFill="0" applyAlignment="0" applyProtection="0"/>
    <xf numFmtId="0" fontId="80" fillId="0" borderId="40" applyNumberFormat="0" applyFill="0" applyAlignment="0" applyProtection="0"/>
    <xf numFmtId="0" fontId="81" fillId="0" borderId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82" fontId="162" fillId="0" borderId="0" applyNumberFormat="0" applyFill="0" applyBorder="0" applyAlignment="0" applyProtection="0"/>
    <xf numFmtId="182" fontId="162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72" fontId="55" fillId="0" borderId="0" applyNumberFormat="0" applyFill="0" applyBorder="0" applyAlignment="0" applyProtection="0"/>
    <xf numFmtId="172" fontId="55" fillId="0" borderId="0" applyNumberFormat="0" applyFill="0" applyBorder="0" applyAlignment="0" applyProtection="0"/>
    <xf numFmtId="172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9" fontId="19" fillId="0" borderId="0" applyFont="0" applyFill="0" applyBorder="0" applyAlignment="0" applyProtection="0"/>
    <xf numFmtId="0" fontId="20" fillId="0" borderId="0"/>
    <xf numFmtId="196" fontId="19" fillId="0" borderId="0">
      <alignment horizontal="left" wrapText="1"/>
    </xf>
    <xf numFmtId="0" fontId="19" fillId="16" borderId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4" fillId="22" borderId="0" applyNumberFormat="0" applyBorder="0" applyAlignment="0" applyProtection="0"/>
    <xf numFmtId="172" fontId="25" fillId="30" borderId="0" applyNumberFormat="0" applyBorder="0" applyAlignment="0" applyProtection="0"/>
    <xf numFmtId="0" fontId="172" fillId="62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166" fontId="25" fillId="25" borderId="0" applyNumberFormat="0" applyBorder="0" applyAlignment="0" applyProtection="0"/>
    <xf numFmtId="0" fontId="25" fillId="30" borderId="0" applyNumberFormat="0" applyBorder="0" applyAlignment="0" applyProtection="0"/>
    <xf numFmtId="0" fontId="25" fillId="25" borderId="0" applyNumberFormat="0" applyBorder="0" applyAlignment="0" applyProtection="0"/>
    <xf numFmtId="0" fontId="116" fillId="62" borderId="0" applyNumberFormat="0" applyBorder="0" applyAlignment="0" applyProtection="0"/>
    <xf numFmtId="0" fontId="173" fillId="62" borderId="0" applyNumberFormat="0" applyBorder="0" applyAlignment="0" applyProtection="0"/>
    <xf numFmtId="0" fontId="172" fillId="62" borderId="0" applyNumberFormat="0" applyBorder="0" applyAlignment="0" applyProtection="0"/>
    <xf numFmtId="0" fontId="172" fillId="62" borderId="0" applyNumberFormat="0" applyBorder="0" applyAlignment="0" applyProtection="0"/>
    <xf numFmtId="0" fontId="24" fillId="26" borderId="0" applyNumberFormat="0" applyBorder="0" applyAlignment="0" applyProtection="0"/>
    <xf numFmtId="172" fontId="25" fillId="28" borderId="0" applyNumberFormat="0" applyBorder="0" applyAlignment="0" applyProtection="0"/>
    <xf numFmtId="0" fontId="172" fillId="64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166" fontId="25" fillId="18" borderId="0" applyNumberFormat="0" applyBorder="0" applyAlignment="0" applyProtection="0"/>
    <xf numFmtId="0" fontId="25" fillId="28" borderId="0" applyNumberFormat="0" applyBorder="0" applyAlignment="0" applyProtection="0"/>
    <xf numFmtId="0" fontId="25" fillId="18" borderId="0" applyNumberFormat="0" applyBorder="0" applyAlignment="0" applyProtection="0"/>
    <xf numFmtId="0" fontId="116" fillId="64" borderId="0" applyNumberFormat="0" applyBorder="0" applyAlignment="0" applyProtection="0"/>
    <xf numFmtId="0" fontId="173" fillId="64" borderId="0" applyNumberFormat="0" applyBorder="0" applyAlignment="0" applyProtection="0"/>
    <xf numFmtId="0" fontId="172" fillId="64" borderId="0" applyNumberFormat="0" applyBorder="0" applyAlignment="0" applyProtection="0"/>
    <xf numFmtId="0" fontId="172" fillId="64" borderId="0" applyNumberFormat="0" applyBorder="0" applyAlignment="0" applyProtection="0"/>
    <xf numFmtId="0" fontId="24" fillId="27" borderId="0" applyNumberFormat="0" applyBorder="0" applyAlignment="0" applyProtection="0"/>
    <xf numFmtId="172" fontId="25" fillId="28" borderId="0" applyNumberFormat="0" applyBorder="0" applyAlignment="0" applyProtection="0"/>
    <xf numFmtId="0" fontId="172" fillId="66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166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116" fillId="66" borderId="0" applyNumberFormat="0" applyBorder="0" applyAlignment="0" applyProtection="0"/>
    <xf numFmtId="0" fontId="173" fillId="66" borderId="0" applyNumberFormat="0" applyBorder="0" applyAlignment="0" applyProtection="0"/>
    <xf numFmtId="0" fontId="172" fillId="66" borderId="0" applyNumberFormat="0" applyBorder="0" applyAlignment="0" applyProtection="0"/>
    <xf numFmtId="0" fontId="172" fillId="66" borderId="0" applyNumberFormat="0" applyBorder="0" applyAlignment="0" applyProtection="0"/>
    <xf numFmtId="0" fontId="24" fillId="24" borderId="0" applyNumberFormat="0" applyBorder="0" applyAlignment="0" applyProtection="0"/>
    <xf numFmtId="172" fontId="25" fillId="20" borderId="0" applyNumberFormat="0" applyBorder="0" applyAlignment="0" applyProtection="0"/>
    <xf numFmtId="0" fontId="172" fillId="68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166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116" fillId="68" borderId="0" applyNumberFormat="0" applyBorder="0" applyAlignment="0" applyProtection="0"/>
    <xf numFmtId="0" fontId="173" fillId="68" borderId="0" applyNumberFormat="0" applyBorder="0" applyAlignment="0" applyProtection="0"/>
    <xf numFmtId="0" fontId="172" fillId="68" borderId="0" applyNumberFormat="0" applyBorder="0" applyAlignment="0" applyProtection="0"/>
    <xf numFmtId="0" fontId="172" fillId="68" borderId="0" applyNumberFormat="0" applyBorder="0" applyAlignment="0" applyProtection="0"/>
    <xf numFmtId="0" fontId="24" fillId="22" borderId="0" applyNumberFormat="0" applyBorder="0" applyAlignment="0" applyProtection="0"/>
    <xf numFmtId="172" fontId="25" fillId="30" borderId="0" applyNumberFormat="0" applyBorder="0" applyAlignment="0" applyProtection="0"/>
    <xf numFmtId="0" fontId="172" fillId="70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166" fontId="25" fillId="25" borderId="0" applyNumberFormat="0" applyBorder="0" applyAlignment="0" applyProtection="0"/>
    <xf numFmtId="0" fontId="25" fillId="30" borderId="0" applyNumberFormat="0" applyBorder="0" applyAlignment="0" applyProtection="0"/>
    <xf numFmtId="0" fontId="25" fillId="25" borderId="0" applyNumberFormat="0" applyBorder="0" applyAlignment="0" applyProtection="0"/>
    <xf numFmtId="0" fontId="116" fillId="70" borderId="0" applyNumberFormat="0" applyBorder="0" applyAlignment="0" applyProtection="0"/>
    <xf numFmtId="0" fontId="173" fillId="70" borderId="0" applyNumberFormat="0" applyBorder="0" applyAlignment="0" applyProtection="0"/>
    <xf numFmtId="0" fontId="172" fillId="70" borderId="0" applyNumberFormat="0" applyBorder="0" applyAlignment="0" applyProtection="0"/>
    <xf numFmtId="0" fontId="172" fillId="70" borderId="0" applyNumberFormat="0" applyBorder="0" applyAlignment="0" applyProtection="0"/>
    <xf numFmtId="0" fontId="24" fillId="18" borderId="0" applyNumberFormat="0" applyBorder="0" applyAlignment="0" applyProtection="0"/>
    <xf numFmtId="172" fontId="25" fillId="21" borderId="0" applyNumberFormat="0" applyBorder="0" applyAlignment="0" applyProtection="0"/>
    <xf numFmtId="0" fontId="172" fillId="72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166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116" fillId="72" borderId="0" applyNumberFormat="0" applyBorder="0" applyAlignment="0" applyProtection="0"/>
    <xf numFmtId="0" fontId="173" fillId="72" borderId="0" applyNumberFormat="0" applyBorder="0" applyAlignment="0" applyProtection="0"/>
    <xf numFmtId="0" fontId="172" fillId="72" borderId="0" applyNumberFormat="0" applyBorder="0" applyAlignment="0" applyProtection="0"/>
    <xf numFmtId="0" fontId="172" fillId="72" borderId="0" applyNumberFormat="0" applyBorder="0" applyAlignment="0" applyProtection="0"/>
    <xf numFmtId="195" fontId="59" fillId="0" borderId="5" applyBorder="0"/>
    <xf numFmtId="0" fontId="59" fillId="0" borderId="5" applyBorder="0"/>
    <xf numFmtId="0" fontId="24" fillId="29" borderId="0" applyNumberFormat="0" applyBorder="0" applyAlignment="0" applyProtection="0"/>
    <xf numFmtId="172" fontId="25" fillId="30" borderId="0" applyNumberFormat="0" applyBorder="0" applyAlignment="0" applyProtection="0"/>
    <xf numFmtId="0" fontId="172" fillId="61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166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116" fillId="61" borderId="0" applyNumberFormat="0" applyBorder="0" applyAlignment="0" applyProtection="0"/>
    <xf numFmtId="0" fontId="173" fillId="61" borderId="0" applyNumberFormat="0" applyBorder="0" applyAlignment="0" applyProtection="0"/>
    <xf numFmtId="0" fontId="172" fillId="61" borderId="0" applyNumberFormat="0" applyBorder="0" applyAlignment="0" applyProtection="0"/>
    <xf numFmtId="0" fontId="172" fillId="61" borderId="0" applyNumberFormat="0" applyBorder="0" applyAlignment="0" applyProtection="0"/>
    <xf numFmtId="0" fontId="24" fillId="26" borderId="0" applyNumberFormat="0" applyBorder="0" applyAlignment="0" applyProtection="0"/>
    <xf numFmtId="172" fontId="25" fillId="31" borderId="0" applyNumberFormat="0" applyBorder="0" applyAlignment="0" applyProtection="0"/>
    <xf numFmtId="0" fontId="172" fillId="63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166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116" fillId="63" borderId="0" applyNumberFormat="0" applyBorder="0" applyAlignment="0" applyProtection="0"/>
    <xf numFmtId="0" fontId="173" fillId="63" borderId="0" applyNumberFormat="0" applyBorder="0" applyAlignment="0" applyProtection="0"/>
    <xf numFmtId="0" fontId="172" fillId="63" borderId="0" applyNumberFormat="0" applyBorder="0" applyAlignment="0" applyProtection="0"/>
    <xf numFmtId="0" fontId="172" fillId="63" borderId="0" applyNumberFormat="0" applyBorder="0" applyAlignment="0" applyProtection="0"/>
    <xf numFmtId="0" fontId="24" fillId="27" borderId="0" applyNumberFormat="0" applyBorder="0" applyAlignment="0" applyProtection="0"/>
    <xf numFmtId="172" fontId="25" fillId="32" borderId="0" applyNumberFormat="0" applyBorder="0" applyAlignment="0" applyProtection="0"/>
    <xf numFmtId="0" fontId="172" fillId="65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166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116" fillId="65" borderId="0" applyNumberFormat="0" applyBorder="0" applyAlignment="0" applyProtection="0"/>
    <xf numFmtId="0" fontId="173" fillId="65" borderId="0" applyNumberFormat="0" applyBorder="0" applyAlignment="0" applyProtection="0"/>
    <xf numFmtId="0" fontId="172" fillId="65" borderId="0" applyNumberFormat="0" applyBorder="0" applyAlignment="0" applyProtection="0"/>
    <xf numFmtId="0" fontId="172" fillId="65" borderId="0" applyNumberFormat="0" applyBorder="0" applyAlignment="0" applyProtection="0"/>
    <xf numFmtId="0" fontId="24" fillId="33" borderId="0" applyNumberFormat="0" applyBorder="0" applyAlignment="0" applyProtection="0"/>
    <xf numFmtId="172" fontId="25" fillId="33" borderId="0" applyNumberFormat="0" applyBorder="0" applyAlignment="0" applyProtection="0"/>
    <xf numFmtId="0" fontId="172" fillId="67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166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116" fillId="67" borderId="0" applyNumberFormat="0" applyBorder="0" applyAlignment="0" applyProtection="0"/>
    <xf numFmtId="0" fontId="173" fillId="67" borderId="0" applyNumberFormat="0" applyBorder="0" applyAlignment="0" applyProtection="0"/>
    <xf numFmtId="0" fontId="172" fillId="67" borderId="0" applyNumberFormat="0" applyBorder="0" applyAlignment="0" applyProtection="0"/>
    <xf numFmtId="0" fontId="172" fillId="67" borderId="0" applyNumberFormat="0" applyBorder="0" applyAlignment="0" applyProtection="0"/>
    <xf numFmtId="172" fontId="25" fillId="30" borderId="0" applyNumberFormat="0" applyBorder="0" applyAlignment="0" applyProtection="0"/>
    <xf numFmtId="0" fontId="172" fillId="69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166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116" fillId="69" borderId="0" applyNumberFormat="0" applyBorder="0" applyAlignment="0" applyProtection="0"/>
    <xf numFmtId="0" fontId="173" fillId="69" borderId="0" applyNumberFormat="0" applyBorder="0" applyAlignment="0" applyProtection="0"/>
    <xf numFmtId="0" fontId="172" fillId="69" borderId="0" applyNumberFormat="0" applyBorder="0" applyAlignment="0" applyProtection="0"/>
    <xf numFmtId="0" fontId="172" fillId="69" borderId="0" applyNumberFormat="0" applyBorder="0" applyAlignment="0" applyProtection="0"/>
    <xf numFmtId="0" fontId="24" fillId="31" borderId="0" applyNumberFormat="0" applyBorder="0" applyAlignment="0" applyProtection="0"/>
    <xf numFmtId="172" fontId="25" fillId="26" borderId="0" applyNumberFormat="0" applyBorder="0" applyAlignment="0" applyProtection="0"/>
    <xf numFmtId="0" fontId="172" fillId="71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166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116" fillId="71" borderId="0" applyNumberFormat="0" applyBorder="0" applyAlignment="0" applyProtection="0"/>
    <xf numFmtId="0" fontId="173" fillId="71" borderId="0" applyNumberFormat="0" applyBorder="0" applyAlignment="0" applyProtection="0"/>
    <xf numFmtId="0" fontId="172" fillId="71" borderId="0" applyNumberFormat="0" applyBorder="0" applyAlignment="0" applyProtection="0"/>
    <xf numFmtId="0" fontId="172" fillId="71" borderId="0" applyNumberFormat="0" applyBorder="0" applyAlignment="0" applyProtection="0"/>
    <xf numFmtId="0" fontId="26" fillId="34" borderId="0" applyNumberFormat="0" applyBorder="0" applyAlignment="0" applyProtection="0"/>
    <xf numFmtId="0" fontId="165" fillId="56" borderId="0" applyNumberFormat="0" applyBorder="0" applyAlignment="0" applyProtection="0"/>
    <xf numFmtId="166" fontId="27" fillId="24" borderId="0" applyNumberFormat="0" applyBorder="0" applyAlignment="0" applyProtection="0"/>
    <xf numFmtId="166" fontId="27" fillId="24" borderId="0" applyNumberFormat="0" applyBorder="0" applyAlignment="0" applyProtection="0"/>
    <xf numFmtId="0" fontId="117" fillId="56" borderId="0" applyNumberFormat="0" applyBorder="0" applyAlignment="0" applyProtection="0"/>
    <xf numFmtId="0" fontId="174" fillId="56" borderId="0" applyNumberFormat="0" applyBorder="0" applyAlignment="0" applyProtection="0"/>
    <xf numFmtId="0" fontId="165" fillId="56" borderId="0" applyNumberFormat="0" applyBorder="0" applyAlignment="0" applyProtection="0"/>
    <xf numFmtId="0" fontId="165" fillId="56" borderId="0" applyNumberFormat="0" applyBorder="0" applyAlignment="0" applyProtection="0"/>
    <xf numFmtId="0" fontId="169" fillId="60" borderId="35" applyNumberFormat="0" applyAlignment="0" applyProtection="0"/>
    <xf numFmtId="166" fontId="31" fillId="37" borderId="9" applyNumberFormat="0" applyAlignment="0" applyProtection="0"/>
    <xf numFmtId="166" fontId="31" fillId="37" borderId="9" applyNumberFormat="0" applyAlignment="0" applyProtection="0"/>
    <xf numFmtId="0" fontId="119" fillId="60" borderId="35" applyNumberFormat="0" applyAlignment="0" applyProtection="0"/>
    <xf numFmtId="0" fontId="175" fillId="60" borderId="35" applyNumberFormat="0" applyAlignment="0" applyProtection="0"/>
    <xf numFmtId="0" fontId="169" fillId="60" borderId="35" applyNumberFormat="0" applyAlignment="0" applyProtection="0"/>
    <xf numFmtId="0" fontId="169" fillId="60" borderId="35" applyNumberFormat="0" applyAlignment="0" applyProtection="0"/>
    <xf numFmtId="0" fontId="35" fillId="35" borderId="0">
      <alignment horizontal="left"/>
    </xf>
    <xf numFmtId="41" fontId="176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19" fillId="39" borderId="11" applyNumberFormat="0" applyFont="0" applyAlignment="0">
      <protection locked="0"/>
    </xf>
    <xf numFmtId="0" fontId="171" fillId="0" borderId="0" applyNumberFormat="0" applyFill="0" applyBorder="0" applyAlignment="0" applyProtection="0"/>
    <xf numFmtId="166" fontId="39" fillId="0" borderId="0" applyNumberFormat="0" applyFill="0" applyBorder="0" applyAlignment="0" applyProtection="0"/>
    <xf numFmtId="166" fontId="39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44" fillId="22" borderId="0" applyNumberFormat="0" applyBorder="0" applyAlignment="0" applyProtection="0"/>
    <xf numFmtId="0" fontId="164" fillId="55" borderId="0" applyNumberFormat="0" applyBorder="0" applyAlignment="0" applyProtection="0"/>
    <xf numFmtId="166" fontId="32" fillId="40" borderId="0" applyNumberFormat="0" applyBorder="0" applyAlignment="0" applyProtection="0"/>
    <xf numFmtId="166" fontId="32" fillId="40" borderId="0" applyNumberFormat="0" applyBorder="0" applyAlignment="0" applyProtection="0"/>
    <xf numFmtId="0" fontId="121" fillId="55" borderId="0" applyNumberFormat="0" applyBorder="0" applyAlignment="0" applyProtection="0"/>
    <xf numFmtId="0" fontId="178" fillId="55" borderId="0" applyNumberFormat="0" applyBorder="0" applyAlignment="0" applyProtection="0"/>
    <xf numFmtId="0" fontId="164" fillId="55" borderId="0" applyNumberFormat="0" applyBorder="0" applyAlignment="0" applyProtection="0"/>
    <xf numFmtId="0" fontId="164" fillId="55" borderId="0" applyNumberFormat="0" applyBorder="0" applyAlignment="0" applyProtection="0"/>
    <xf numFmtId="0" fontId="45" fillId="0" borderId="12" applyNumberFormat="0" applyFill="0" applyAlignment="0" applyProtection="0"/>
    <xf numFmtId="0" fontId="14" fillId="0" borderId="1" applyNumberFormat="0" applyFill="0" applyAlignment="0" applyProtection="0"/>
    <xf numFmtId="166" fontId="46" fillId="0" borderId="13" applyNumberFormat="0" applyFill="0" applyAlignment="0" applyProtection="0"/>
    <xf numFmtId="166" fontId="46" fillId="0" borderId="13" applyNumberFormat="0" applyFill="0" applyAlignment="0" applyProtection="0"/>
    <xf numFmtId="0" fontId="46" fillId="0" borderId="13" applyNumberFormat="0" applyFill="0" applyAlignment="0" applyProtection="0"/>
    <xf numFmtId="0" fontId="123" fillId="0" borderId="1" applyNumberFormat="0" applyFill="0" applyAlignment="0" applyProtection="0"/>
    <xf numFmtId="0" fontId="179" fillId="0" borderId="1" applyNumberFormat="0" applyFill="0" applyAlignment="0" applyProtection="0"/>
    <xf numFmtId="0" fontId="14" fillId="0" borderId="1" applyNumberFormat="0" applyFill="0" applyAlignment="0" applyProtection="0"/>
    <xf numFmtId="0" fontId="14" fillId="0" borderId="1" applyNumberFormat="0" applyFill="0" applyAlignment="0" applyProtection="0"/>
    <xf numFmtId="0" fontId="47" fillId="0" borderId="14" applyNumberFormat="0" applyFill="0" applyAlignment="0" applyProtection="0"/>
    <xf numFmtId="0" fontId="15" fillId="0" borderId="2" applyNumberFormat="0" applyFill="0" applyAlignment="0" applyProtection="0"/>
    <xf numFmtId="166" fontId="48" fillId="0" borderId="15" applyNumberFormat="0" applyFill="0" applyAlignment="0" applyProtection="0"/>
    <xf numFmtId="166" fontId="48" fillId="0" borderId="15" applyNumberFormat="0" applyFill="0" applyAlignment="0" applyProtection="0"/>
    <xf numFmtId="0" fontId="48" fillId="0" borderId="38" applyNumberFormat="0" applyFill="0" applyAlignment="0" applyProtection="0"/>
    <xf numFmtId="0" fontId="48" fillId="0" borderId="15" applyNumberFormat="0" applyFill="0" applyAlignment="0" applyProtection="0"/>
    <xf numFmtId="0" fontId="124" fillId="0" borderId="2" applyNumberFormat="0" applyFill="0" applyAlignment="0" applyProtection="0"/>
    <xf numFmtId="0" fontId="180" fillId="0" borderId="2" applyNumberFormat="0" applyFill="0" applyAlignment="0" applyProtection="0"/>
    <xf numFmtId="0" fontId="15" fillId="0" borderId="2" applyNumberFormat="0" applyFill="0" applyAlignment="0" applyProtection="0"/>
    <xf numFmtId="0" fontId="15" fillId="0" borderId="2" applyNumberFormat="0" applyFill="0" applyAlignment="0" applyProtection="0"/>
    <xf numFmtId="0" fontId="49" fillId="0" borderId="16" applyNumberFormat="0" applyFill="0" applyAlignment="0" applyProtection="0"/>
    <xf numFmtId="172" fontId="50" fillId="0" borderId="41" applyNumberFormat="0" applyFill="0" applyAlignment="0" applyProtection="0"/>
    <xf numFmtId="0" fontId="163" fillId="0" borderId="31" applyNumberFormat="0" applyFill="0" applyAlignment="0" applyProtection="0"/>
    <xf numFmtId="0" fontId="50" fillId="0" borderId="17" applyNumberFormat="0" applyFill="0" applyAlignment="0" applyProtection="0"/>
    <xf numFmtId="0" fontId="50" fillId="0" borderId="17" applyNumberFormat="0" applyFill="0" applyAlignment="0" applyProtection="0"/>
    <xf numFmtId="166" fontId="50" fillId="0" borderId="17" applyNumberFormat="0" applyFill="0" applyAlignment="0" applyProtection="0"/>
    <xf numFmtId="166" fontId="50" fillId="0" borderId="17" applyNumberFormat="0" applyFill="0" applyAlignment="0" applyProtection="0"/>
    <xf numFmtId="0" fontId="50" fillId="0" borderId="17" applyNumberFormat="0" applyFill="0" applyAlignment="0" applyProtection="0"/>
    <xf numFmtId="0" fontId="125" fillId="0" borderId="31" applyNumberFormat="0" applyFill="0" applyAlignment="0" applyProtection="0"/>
    <xf numFmtId="0" fontId="181" fillId="0" borderId="31" applyNumberFormat="0" applyFill="0" applyAlignment="0" applyProtection="0"/>
    <xf numFmtId="0" fontId="163" fillId="0" borderId="31" applyNumberFormat="0" applyFill="0" applyAlignment="0" applyProtection="0"/>
    <xf numFmtId="0" fontId="163" fillId="0" borderId="31" applyNumberFormat="0" applyFill="0" applyAlignment="0" applyProtection="0"/>
    <xf numFmtId="0" fontId="49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82" fillId="0" borderId="0" applyNumberFormat="0" applyFill="0" applyBorder="0" applyAlignment="0" applyProtection="0">
      <alignment vertical="top"/>
      <protection locked="0"/>
    </xf>
    <xf numFmtId="0" fontId="55" fillId="0" borderId="18" applyNumberFormat="0" applyFill="0" applyAlignment="0" applyProtection="0"/>
    <xf numFmtId="0" fontId="168" fillId="0" borderId="34" applyNumberFormat="0" applyFill="0" applyAlignment="0" applyProtection="0"/>
    <xf numFmtId="166" fontId="56" fillId="0" borderId="19" applyNumberFormat="0" applyFill="0" applyAlignment="0" applyProtection="0"/>
    <xf numFmtId="166" fontId="56" fillId="0" borderId="19" applyNumberFormat="0" applyFill="0" applyAlignment="0" applyProtection="0"/>
    <xf numFmtId="0" fontId="127" fillId="0" borderId="34" applyNumberFormat="0" applyFill="0" applyAlignment="0" applyProtection="0"/>
    <xf numFmtId="0" fontId="183" fillId="0" borderId="34" applyNumberFormat="0" applyFill="0" applyAlignment="0" applyProtection="0"/>
    <xf numFmtId="0" fontId="168" fillId="0" borderId="34" applyNumberFormat="0" applyFill="0" applyAlignment="0" applyProtection="0"/>
    <xf numFmtId="0" fontId="168" fillId="0" borderId="34" applyNumberFormat="0" applyFill="0" applyAlignment="0" applyProtection="0"/>
    <xf numFmtId="197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99" fontId="19" fillId="0" borderId="0" applyFont="0" applyFill="0" applyBorder="0" applyAlignment="0" applyProtection="0"/>
    <xf numFmtId="200" fontId="19" fillId="0" borderId="0" applyFont="0" applyFill="0" applyBorder="0" applyAlignment="0" applyProtection="0"/>
    <xf numFmtId="0" fontId="17" fillId="0" borderId="0" applyProtection="0">
      <alignment horizontal="center"/>
    </xf>
    <xf numFmtId="0" fontId="57" fillId="23" borderId="0" applyNumberFormat="0" applyBorder="0" applyAlignment="0" applyProtection="0"/>
    <xf numFmtId="0" fontId="166" fillId="57" borderId="0" applyNumberFormat="0" applyBorder="0" applyAlignment="0" applyProtection="0"/>
    <xf numFmtId="166" fontId="58" fillId="23" borderId="0" applyNumberFormat="0" applyBorder="0" applyAlignment="0" applyProtection="0"/>
    <xf numFmtId="166" fontId="58" fillId="23" borderId="0" applyNumberFormat="0" applyBorder="0" applyAlignment="0" applyProtection="0"/>
    <xf numFmtId="0" fontId="128" fillId="57" borderId="0" applyNumberFormat="0" applyBorder="0" applyAlignment="0" applyProtection="0"/>
    <xf numFmtId="0" fontId="184" fillId="57" borderId="0" applyNumberFormat="0" applyBorder="0" applyAlignment="0" applyProtection="0"/>
    <xf numFmtId="0" fontId="166" fillId="57" borderId="0" applyNumberFormat="0" applyBorder="0" applyAlignment="0" applyProtection="0"/>
    <xf numFmtId="0" fontId="166" fillId="57" borderId="0" applyNumberFormat="0" applyBorder="0" applyAlignment="0" applyProtection="0"/>
    <xf numFmtId="201" fontId="19" fillId="0" borderId="0"/>
    <xf numFmtId="0" fontId="9" fillId="0" borderId="0"/>
    <xf numFmtId="195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20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20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20" fillId="0" borderId="0"/>
    <xf numFmtId="0" fontId="9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20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20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20" fillId="0" borderId="0"/>
    <xf numFmtId="0" fontId="20" fillId="0" borderId="0"/>
    <xf numFmtId="0" fontId="9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5" fontId="19" fillId="0" borderId="0"/>
    <xf numFmtId="0" fontId="9" fillId="0" borderId="0"/>
    <xf numFmtId="0" fontId="19" fillId="0" borderId="0"/>
    <xf numFmtId="0" fontId="19" fillId="0" borderId="0"/>
    <xf numFmtId="166" fontId="19" fillId="0" borderId="0"/>
    <xf numFmtId="0" fontId="1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7" fillId="0" borderId="0"/>
    <xf numFmtId="0" fontId="9" fillId="0" borderId="0"/>
    <xf numFmtId="0" fontId="9" fillId="0" borderId="0"/>
    <xf numFmtId="0" fontId="9" fillId="0" borderId="0"/>
    <xf numFmtId="37" fontId="81" fillId="0" borderId="0"/>
    <xf numFmtId="0" fontId="1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7" fillId="0" borderId="0"/>
    <xf numFmtId="0" fontId="112" fillId="0" borderId="0"/>
    <xf numFmtId="0" fontId="9" fillId="0" borderId="0"/>
    <xf numFmtId="0" fontId="19" fillId="0" borderId="0"/>
    <xf numFmtId="0" fontId="9" fillId="0" borderId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129" fillId="59" borderId="33" applyNumberFormat="0" applyAlignment="0" applyProtection="0"/>
    <xf numFmtId="0" fontId="185" fillId="59" borderId="33" applyNumberFormat="0" applyAlignment="0" applyProtection="0"/>
    <xf numFmtId="0" fontId="167" fillId="59" borderId="33" applyNumberFormat="0" applyAlignment="0" applyProtection="0"/>
    <xf numFmtId="0" fontId="167" fillId="59" borderId="33" applyNumberFormat="0" applyAlignment="0" applyProtection="0"/>
    <xf numFmtId="171" fontId="61" fillId="35" borderId="0">
      <alignment horizontal="right"/>
    </xf>
    <xf numFmtId="171" fontId="61" fillId="35" borderId="0">
      <alignment horizontal="right"/>
    </xf>
    <xf numFmtId="171" fontId="61" fillId="35" borderId="0">
      <alignment horizontal="right"/>
    </xf>
    <xf numFmtId="0" fontId="64" fillId="41" borderId="0">
      <alignment horizontal="right"/>
    </xf>
    <xf numFmtId="0" fontId="65" fillId="41" borderId="10"/>
    <xf numFmtId="0" fontId="54" fillId="41" borderId="10"/>
    <xf numFmtId="0" fontId="65" fillId="41" borderId="10"/>
    <xf numFmtId="0" fontId="65" fillId="0" borderId="0" applyBorder="0">
      <alignment horizontal="centerContinuous"/>
    </xf>
    <xf numFmtId="0" fontId="68" fillId="0" borderId="0" applyBorder="0">
      <alignment horizontal="centerContinuous"/>
    </xf>
    <xf numFmtId="9" fontId="1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71" fillId="0" borderId="22">
      <alignment horizontal="center"/>
    </xf>
    <xf numFmtId="0" fontId="70" fillId="44" borderId="0" applyNumberFormat="0" applyFont="0" applyBorder="0" applyAlignment="0" applyProtection="0"/>
    <xf numFmtId="49" fontId="19" fillId="0" borderId="42">
      <alignment horizontal="center" vertical="center"/>
      <protection locked="0"/>
    </xf>
    <xf numFmtId="0" fontId="79" fillId="0" borderId="0" applyNumberFormat="0" applyFill="0" applyBorder="0" applyAlignment="0" applyProtection="0"/>
    <xf numFmtId="166" fontId="79" fillId="0" borderId="0" applyNumberFormat="0" applyFill="0" applyBorder="0" applyAlignment="0" applyProtection="0"/>
    <xf numFmtId="0" fontId="21" fillId="0" borderId="4" applyNumberFormat="0" applyFill="0" applyAlignment="0" applyProtection="0"/>
    <xf numFmtId="0" fontId="18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82" fillId="35" borderId="0">
      <alignment horizontal="center"/>
    </xf>
    <xf numFmtId="172" fontId="187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166" fontId="18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9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7" fillId="0" borderId="0"/>
    <xf numFmtId="0" fontId="22" fillId="74" borderId="0" applyNumberFormat="0" applyBorder="0" applyAlignment="0" applyProtection="0"/>
    <xf numFmtId="0" fontId="22" fillId="74" borderId="0" applyNumberFormat="0" applyBorder="0" applyAlignment="0" applyProtection="0"/>
    <xf numFmtId="0" fontId="22" fillId="74" borderId="0" applyNumberFormat="0" applyBorder="0" applyAlignment="0" applyProtection="0"/>
    <xf numFmtId="0" fontId="22" fillId="74" borderId="0" applyNumberFormat="0" applyBorder="0" applyAlignment="0" applyProtection="0"/>
    <xf numFmtId="0" fontId="22" fillId="74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2" fillId="17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172" fontId="22" fillId="74" borderId="0" applyNumberFormat="0" applyBorder="0" applyAlignment="0" applyProtection="0"/>
    <xf numFmtId="172" fontId="22" fillId="74" borderId="0" applyNumberFormat="0" applyBorder="0" applyAlignment="0" applyProtection="0"/>
    <xf numFmtId="172" fontId="22" fillId="74" borderId="0" applyNumberFormat="0" applyBorder="0" applyAlignment="0" applyProtection="0"/>
    <xf numFmtId="0" fontId="22" fillId="7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22" fillId="18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172" fontId="22" fillId="24" borderId="0" applyNumberFormat="0" applyBorder="0" applyAlignment="0" applyProtection="0"/>
    <xf numFmtId="172" fontId="22" fillId="24" borderId="0" applyNumberFormat="0" applyBorder="0" applyAlignment="0" applyProtection="0"/>
    <xf numFmtId="172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22" fillId="19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172" fontId="22" fillId="40" borderId="0" applyNumberFormat="0" applyBorder="0" applyAlignment="0" applyProtection="0"/>
    <xf numFmtId="172" fontId="22" fillId="40" borderId="0" applyNumberFormat="0" applyBorder="0" applyAlignment="0" applyProtection="0"/>
    <xf numFmtId="172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22" fillId="21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9" borderId="0" applyNumberFormat="0" applyBorder="0" applyAlignment="0" applyProtection="0"/>
    <xf numFmtId="172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2" fillId="22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172" fontId="22" fillId="22" borderId="0" applyNumberFormat="0" applyBorder="0" applyAlignment="0" applyProtection="0"/>
    <xf numFmtId="172" fontId="22" fillId="22" borderId="0" applyNumberFormat="0" applyBorder="0" applyAlignment="0" applyProtection="0"/>
    <xf numFmtId="172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22" fillId="19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172" fontId="22" fillId="21" borderId="0" applyNumberFormat="0" applyBorder="0" applyAlignment="0" applyProtection="0"/>
    <xf numFmtId="172" fontId="22" fillId="21" borderId="0" applyNumberFormat="0" applyBorder="0" applyAlignment="0" applyProtection="0"/>
    <xf numFmtId="172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22" fillId="22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172" fontId="22" fillId="17" borderId="0" applyNumberFormat="0" applyBorder="0" applyAlignment="0" applyProtection="0"/>
    <xf numFmtId="172" fontId="22" fillId="17" borderId="0" applyNumberFormat="0" applyBorder="0" applyAlignment="0" applyProtection="0"/>
    <xf numFmtId="172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22" fillId="18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172" fontId="22" fillId="18" borderId="0" applyNumberFormat="0" applyBorder="0" applyAlignment="0" applyProtection="0"/>
    <xf numFmtId="172" fontId="22" fillId="18" borderId="0" applyNumberFormat="0" applyBorder="0" applyAlignment="0" applyProtection="0"/>
    <xf numFmtId="172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2" fillId="23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172" fontId="22" fillId="39" borderId="0" applyNumberFormat="0" applyBorder="0" applyAlignment="0" applyProtection="0"/>
    <xf numFmtId="172" fontId="22" fillId="39" borderId="0" applyNumberFormat="0" applyBorder="0" applyAlignment="0" applyProtection="0"/>
    <xf numFmtId="172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2" fillId="2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172" fontId="22" fillId="34" borderId="0" applyNumberFormat="0" applyBorder="0" applyAlignment="0" applyProtection="0"/>
    <xf numFmtId="172" fontId="22" fillId="34" borderId="0" applyNumberFormat="0" applyBorder="0" applyAlignment="0" applyProtection="0"/>
    <xf numFmtId="172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22" fillId="2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172" fontId="22" fillId="17" borderId="0" applyNumberFormat="0" applyBorder="0" applyAlignment="0" applyProtection="0"/>
    <xf numFmtId="172" fontId="22" fillId="17" borderId="0" applyNumberFormat="0" applyBorder="0" applyAlignment="0" applyProtection="0"/>
    <xf numFmtId="172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22" fillId="19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172" fontId="22" fillId="27" borderId="0" applyNumberFormat="0" applyBorder="0" applyAlignment="0" applyProtection="0"/>
    <xf numFmtId="172" fontId="22" fillId="27" borderId="0" applyNumberFormat="0" applyBorder="0" applyAlignment="0" applyProtection="0"/>
    <xf numFmtId="172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4" fillId="75" borderId="0" applyNumberFormat="0" applyBorder="0" applyAlignment="0" applyProtection="0"/>
    <xf numFmtId="0" fontId="24" fillId="18" borderId="0" applyNumberFormat="0" applyBorder="0" applyAlignment="0" applyProtection="0"/>
    <xf numFmtId="0" fontId="24" fillId="39" borderId="0" applyNumberFormat="0" applyBorder="0" applyAlignment="0" applyProtection="0"/>
    <xf numFmtId="0" fontId="24" fillId="76" borderId="0" applyNumberFormat="0" applyBorder="0" applyAlignment="0" applyProtection="0"/>
    <xf numFmtId="0" fontId="24" fillId="30" borderId="0" applyNumberFormat="0" applyBorder="0" applyAlignment="0" applyProtection="0"/>
    <xf numFmtId="0" fontId="24" fillId="49" borderId="0" applyNumberFormat="0" applyBorder="0" applyAlignment="0" applyProtection="0"/>
    <xf numFmtId="0" fontId="24" fillId="77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24" fillId="76" borderId="0" applyNumberFormat="0" applyBorder="0" applyAlignment="0" applyProtection="0"/>
    <xf numFmtId="0" fontId="172" fillId="69" borderId="0" applyNumberFormat="0" applyBorder="0" applyAlignment="0" applyProtection="0"/>
    <xf numFmtId="0" fontId="24" fillId="26" borderId="0" applyNumberFormat="0" applyBorder="0" applyAlignment="0" applyProtection="0"/>
    <xf numFmtId="0" fontId="26" fillId="24" borderId="0" applyNumberFormat="0" applyBorder="0" applyAlignment="0" applyProtection="0"/>
    <xf numFmtId="0" fontId="28" fillId="35" borderId="8" applyNumberFormat="0" applyAlignment="0" applyProtection="0"/>
    <xf numFmtId="0" fontId="195" fillId="20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195" fillId="20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195" fillId="20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195" fillId="20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195" fillId="20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182" fontId="196" fillId="59" borderId="32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182" fontId="196" fillId="59" borderId="32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195" fillId="20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194" fillId="59" borderId="32" applyNumberFormat="0" applyAlignment="0" applyProtection="0"/>
    <xf numFmtId="0" fontId="194" fillId="59" borderId="32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172" fontId="195" fillId="20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172" fontId="195" fillId="20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172" fontId="195" fillId="20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172" fontId="195" fillId="20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172" fontId="195" fillId="20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195" fillId="20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169" fillId="60" borderId="35" applyNumberFormat="0" applyAlignment="0" applyProtection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78" borderId="0"/>
    <xf numFmtId="3" fontId="19" fillId="0" borderId="0" applyFont="0" applyFill="0" applyBorder="0" applyAlignment="0" applyProtection="0"/>
    <xf numFmtId="3" fontId="17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78" borderId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97" fillId="0" borderId="0" applyFont="0" applyFill="0" applyBorder="0" applyAlignment="0" applyProtection="0"/>
    <xf numFmtId="44" fontId="197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7" fillId="0" borderId="0" applyFont="0" applyFill="0" applyBorder="0" applyAlignment="0" applyProtection="0"/>
    <xf numFmtId="44" fontId="197" fillId="0" borderId="0" applyFont="0" applyFill="0" applyBorder="0" applyAlignment="0" applyProtection="0"/>
    <xf numFmtId="44" fontId="197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97" fillId="0" borderId="0" applyFont="0" applyFill="0" applyBorder="0" applyAlignment="0" applyProtection="0"/>
    <xf numFmtId="44" fontId="197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9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9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198" fillId="0" borderId="0"/>
    <xf numFmtId="0" fontId="198" fillId="0" borderId="43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95" fontId="19" fillId="0" borderId="0" applyFont="0" applyFill="0" applyBorder="0" applyAlignment="0" applyProtection="0"/>
    <xf numFmtId="195" fontId="19" fillId="0" borderId="0" applyFont="0" applyFill="0" applyBorder="0" applyAlignment="0" applyProtection="0"/>
    <xf numFmtId="195" fontId="19" fillId="0" borderId="0" applyFont="0" applyFill="0" applyBorder="0" applyAlignment="0" applyProtection="0"/>
    <xf numFmtId="0" fontId="171" fillId="0" borderId="0" applyNumberFormat="0" applyFill="0" applyBorder="0" applyAlignment="0" applyProtection="0"/>
    <xf numFmtId="0" fontId="19" fillId="0" borderId="0" applyProtection="0"/>
    <xf numFmtId="0" fontId="19" fillId="0" borderId="0" applyProtection="0"/>
    <xf numFmtId="0" fontId="19" fillId="0" borderId="0" applyProtection="0"/>
    <xf numFmtId="0" fontId="19" fillId="0" borderId="0" applyProtection="0"/>
    <xf numFmtId="2" fontId="19" fillId="0" borderId="0" applyFont="0" applyFill="0" applyBorder="0" applyAlignment="0" applyProtection="0"/>
    <xf numFmtId="2" fontId="19" fillId="0" borderId="0" applyFont="0" applyFill="0" applyBorder="0" applyAlignment="0" applyProtection="0"/>
    <xf numFmtId="0" fontId="44" fillId="40" borderId="0" applyNumberFormat="0" applyBorder="0" applyAlignment="0" applyProtection="0"/>
    <xf numFmtId="0" fontId="199" fillId="0" borderId="0" applyNumberFormat="0" applyFill="0" applyBorder="0" applyAlignment="0" applyProtection="0"/>
    <xf numFmtId="164" fontId="122" fillId="0" borderId="0" applyNumberFormat="0" applyFont="0" applyFill="0" applyAlignment="0" applyProtection="0"/>
    <xf numFmtId="0" fontId="149" fillId="0" borderId="37" applyNumberFormat="0" applyFill="0" applyAlignment="0" applyProtection="0"/>
    <xf numFmtId="0" fontId="199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164" fontId="42" fillId="0" borderId="0" applyNumberFormat="0" applyFont="0" applyFill="0" applyAlignment="0" applyProtection="0"/>
    <xf numFmtId="0" fontId="151" fillId="0" borderId="38" applyNumberFormat="0" applyFill="0" applyAlignment="0" applyProtection="0"/>
    <xf numFmtId="0" fontId="153" fillId="0" borderId="39" applyNumberFormat="0" applyFill="0" applyAlignment="0" applyProtection="0"/>
    <xf numFmtId="0" fontId="153" fillId="0" borderId="0" applyNumberFormat="0" applyFill="0" applyBorder="0" applyAlignment="0" applyProtection="0"/>
    <xf numFmtId="0" fontId="52" fillId="23" borderId="8" applyNumberFormat="0" applyAlignment="0" applyProtection="0"/>
    <xf numFmtId="0" fontId="52" fillId="21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1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1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1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1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182" fontId="200" fillId="58" borderId="32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182" fontId="200" fillId="58" borderId="32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1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193" fillId="58" borderId="32" applyNumberFormat="0" applyAlignment="0" applyProtection="0"/>
    <xf numFmtId="0" fontId="193" fillId="58" borderId="32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172" fontId="52" fillId="21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172" fontId="52" fillId="21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172" fontId="52" fillId="21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172" fontId="52" fillId="21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172" fontId="52" fillId="21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1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201" fillId="42" borderId="43"/>
    <xf numFmtId="0" fontId="155" fillId="0" borderId="19" applyNumberFormat="0" applyFill="0" applyAlignment="0" applyProtection="0"/>
    <xf numFmtId="0" fontId="157" fillId="23" borderId="0" applyNumberFormat="0" applyBorder="0" applyAlignment="0" applyProtection="0"/>
    <xf numFmtId="0" fontId="198" fillId="0" borderId="0"/>
    <xf numFmtId="0" fontId="198" fillId="0" borderId="0"/>
    <xf numFmtId="0" fontId="198" fillId="0" borderId="0"/>
    <xf numFmtId="0" fontId="198" fillId="0" borderId="0"/>
    <xf numFmtId="0" fontId="198" fillId="0" borderId="0"/>
    <xf numFmtId="0" fontId="198" fillId="0" borderId="0"/>
    <xf numFmtId="0" fontId="198" fillId="0" borderId="0"/>
    <xf numFmtId="0" fontId="198" fillId="0" borderId="0"/>
    <xf numFmtId="0" fontId="19" fillId="0" borderId="0"/>
    <xf numFmtId="172" fontId="19" fillId="0" borderId="0"/>
    <xf numFmtId="172" fontId="19" fillId="0" borderId="0"/>
    <xf numFmtId="172" fontId="19" fillId="0" borderId="0"/>
    <xf numFmtId="172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2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2" fontId="19" fillId="0" borderId="0"/>
    <xf numFmtId="172" fontId="19" fillId="0" borderId="0"/>
    <xf numFmtId="0" fontId="197" fillId="0" borderId="0"/>
    <xf numFmtId="0" fontId="197" fillId="0" borderId="0"/>
    <xf numFmtId="0" fontId="197" fillId="0" borderId="0"/>
    <xf numFmtId="164" fontId="19" fillId="0" borderId="0"/>
    <xf numFmtId="0" fontId="197" fillId="0" borderId="0"/>
    <xf numFmtId="41" fontId="37" fillId="0" borderId="0"/>
    <xf numFmtId="0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2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97" fillId="0" borderId="0"/>
    <xf numFmtId="0" fontId="197" fillId="0" borderId="0"/>
    <xf numFmtId="0" fontId="19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2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2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2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9" fillId="0" borderId="0"/>
    <xf numFmtId="0" fontId="7" fillId="0" borderId="0"/>
    <xf numFmtId="0" fontId="7" fillId="0" borderId="0"/>
    <xf numFmtId="0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9" fillId="0" borderId="0"/>
    <xf numFmtId="0" fontId="7" fillId="0" borderId="0"/>
    <xf numFmtId="0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2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2" fontId="70" fillId="0" borderId="0"/>
    <xf numFmtId="0" fontId="7" fillId="0" borderId="0"/>
    <xf numFmtId="0" fontId="7" fillId="0" borderId="0"/>
    <xf numFmtId="0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9" fillId="0" borderId="0"/>
    <xf numFmtId="0" fontId="7" fillId="0" borderId="0"/>
    <xf numFmtId="0" fontId="19" fillId="0" borderId="0"/>
    <xf numFmtId="0" fontId="7" fillId="0" borderId="0"/>
    <xf numFmtId="0" fontId="7" fillId="0" borderId="0"/>
    <xf numFmtId="0" fontId="7" fillId="0" borderId="0"/>
    <xf numFmtId="0" fontId="19" fillId="0" borderId="0"/>
    <xf numFmtId="0" fontId="7" fillId="0" borderId="0"/>
    <xf numFmtId="0" fontId="7" fillId="0" borderId="0"/>
    <xf numFmtId="0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9" fillId="0" borderId="0"/>
    <xf numFmtId="0" fontId="7" fillId="0" borderId="0"/>
    <xf numFmtId="0" fontId="7" fillId="0" borderId="0"/>
    <xf numFmtId="0" fontId="19" fillId="0" borderId="0"/>
    <xf numFmtId="0" fontId="7" fillId="0" borderId="0"/>
    <xf numFmtId="0" fontId="7" fillId="0" borderId="0"/>
    <xf numFmtId="0" fontId="19" fillId="0" borderId="0"/>
    <xf numFmtId="0" fontId="19" fillId="0" borderId="0"/>
    <xf numFmtId="0" fontId="19" fillId="0" borderId="0"/>
    <xf numFmtId="0" fontId="7" fillId="0" borderId="0"/>
    <xf numFmtId="0" fontId="7" fillId="0" borderId="0"/>
    <xf numFmtId="0" fontId="7" fillId="0" borderId="0"/>
    <xf numFmtId="37" fontId="81" fillId="0" borderId="0"/>
    <xf numFmtId="0" fontId="7" fillId="0" borderId="0"/>
    <xf numFmtId="0" fontId="7" fillId="0" borderId="0"/>
    <xf numFmtId="0" fontId="7" fillId="0" borderId="0"/>
    <xf numFmtId="0" fontId="7" fillId="0" borderId="0"/>
    <xf numFmtId="37" fontId="81" fillId="0" borderId="0"/>
    <xf numFmtId="0" fontId="7" fillId="0" borderId="0"/>
    <xf numFmtId="0" fontId="7" fillId="0" borderId="0"/>
    <xf numFmtId="0" fontId="7" fillId="0" borderId="0"/>
    <xf numFmtId="0" fontId="7" fillId="0" borderId="0"/>
    <xf numFmtId="37" fontId="8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97" fillId="0" borderId="0"/>
    <xf numFmtId="0" fontId="197" fillId="0" borderId="0"/>
    <xf numFmtId="0" fontId="7" fillId="0" borderId="0"/>
    <xf numFmtId="37" fontId="81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0" fontId="19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19" fillId="0" borderId="0"/>
    <xf numFmtId="182" fontId="2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9" fillId="0" borderId="0"/>
    <xf numFmtId="0" fontId="7" fillId="0" borderId="0"/>
    <xf numFmtId="172" fontId="19" fillId="0" borderId="0"/>
    <xf numFmtId="0" fontId="7" fillId="0" borderId="0"/>
    <xf numFmtId="0" fontId="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82" fontId="23" fillId="0" borderId="0"/>
    <xf numFmtId="0" fontId="7" fillId="0" borderId="0"/>
    <xf numFmtId="0" fontId="7" fillId="0" borderId="0"/>
    <xf numFmtId="0" fontId="7" fillId="0" borderId="0"/>
    <xf numFmtId="172" fontId="19" fillId="0" borderId="0"/>
    <xf numFmtId="182" fontId="23" fillId="0" borderId="0"/>
    <xf numFmtId="0" fontId="7" fillId="0" borderId="0"/>
    <xf numFmtId="0" fontId="7" fillId="0" borderId="0"/>
    <xf numFmtId="0" fontId="7" fillId="0" borderId="0"/>
    <xf numFmtId="182" fontId="23" fillId="0" borderId="0"/>
    <xf numFmtId="0" fontId="7" fillId="0" borderId="0"/>
    <xf numFmtId="0" fontId="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7" fillId="0" borderId="0"/>
    <xf numFmtId="0" fontId="19" fillId="0" borderId="0"/>
    <xf numFmtId="0" fontId="19" fillId="0" borderId="0"/>
    <xf numFmtId="0" fontId="19" fillId="0" borderId="0"/>
    <xf numFmtId="0" fontId="197" fillId="0" borderId="0"/>
    <xf numFmtId="0" fontId="7" fillId="0" borderId="0"/>
    <xf numFmtId="0" fontId="7" fillId="0" borderId="0"/>
    <xf numFmtId="172" fontId="19" fillId="0" borderId="0"/>
    <xf numFmtId="172" fontId="19" fillId="0" borderId="0"/>
    <xf numFmtId="172" fontId="19" fillId="0" borderId="0"/>
    <xf numFmtId="0" fontId="19" fillId="0" borderId="0"/>
    <xf numFmtId="172" fontId="19" fillId="0" borderId="0"/>
    <xf numFmtId="182" fontId="2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97" fillId="0" borderId="0"/>
    <xf numFmtId="0" fontId="197" fillId="0" borderId="0"/>
    <xf numFmtId="37" fontId="81" fillId="0" borderId="0"/>
    <xf numFmtId="37" fontId="81" fillId="0" borderId="0"/>
    <xf numFmtId="0" fontId="19" fillId="0" borderId="0"/>
    <xf numFmtId="0" fontId="19" fillId="0" borderId="0"/>
    <xf numFmtId="0" fontId="197" fillId="0" borderId="0"/>
    <xf numFmtId="0" fontId="197" fillId="0" borderId="0"/>
    <xf numFmtId="0" fontId="197" fillId="0" borderId="0"/>
    <xf numFmtId="37" fontId="81" fillId="0" borderId="0"/>
    <xf numFmtId="172" fontId="19" fillId="0" borderId="0"/>
    <xf numFmtId="172" fontId="19" fillId="0" borderId="0"/>
    <xf numFmtId="172" fontId="19" fillId="0" borderId="0"/>
    <xf numFmtId="182" fontId="23" fillId="0" borderId="0"/>
    <xf numFmtId="172" fontId="19" fillId="0" borderId="0"/>
    <xf numFmtId="182" fontId="23" fillId="0" borderId="0"/>
    <xf numFmtId="0" fontId="7" fillId="0" borderId="0"/>
    <xf numFmtId="0" fontId="7" fillId="0" borderId="0"/>
    <xf numFmtId="0" fontId="19" fillId="0" borderId="0"/>
    <xf numFmtId="0" fontId="7" fillId="0" borderId="0"/>
    <xf numFmtId="37" fontId="81" fillId="0" borderId="0"/>
    <xf numFmtId="37" fontId="81" fillId="0" borderId="0"/>
    <xf numFmtId="0" fontId="9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2" fontId="19" fillId="0" borderId="0"/>
    <xf numFmtId="172" fontId="19" fillId="0" borderId="0"/>
    <xf numFmtId="172" fontId="19" fillId="0" borderId="0"/>
    <xf numFmtId="182" fontId="23" fillId="0" borderId="0"/>
    <xf numFmtId="172" fontId="19" fillId="0" borderId="0"/>
    <xf numFmtId="182" fontId="23" fillId="0" borderId="0"/>
    <xf numFmtId="0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202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202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202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202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202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19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182" fontId="202" fillId="2" borderId="3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37" fillId="19" borderId="20" applyNumberFormat="0" applyFont="0" applyAlignment="0" applyProtection="0"/>
    <xf numFmtId="0" fontId="40" fillId="19" borderId="20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37" fillId="19" borderId="20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37" fillId="19" borderId="20" applyNumberFormat="0" applyFont="0" applyAlignment="0" applyProtection="0"/>
    <xf numFmtId="182" fontId="202" fillId="2" borderId="3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182" fontId="202" fillId="2" borderId="3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182" fontId="202" fillId="2" borderId="3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182" fontId="202" fillId="2" borderId="3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182" fontId="202" fillId="2" borderId="3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182" fontId="202" fillId="2" borderId="3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182" fontId="202" fillId="2" borderId="3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202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60" fillId="20" borderId="21" applyNumberFormat="0" applyAlignment="0" applyProtection="0"/>
    <xf numFmtId="0" fontId="167" fillId="59" borderId="33" applyNumberFormat="0" applyAlignment="0" applyProtection="0"/>
    <xf numFmtId="0" fontId="60" fillId="35" borderId="21" applyNumberFormat="0" applyAlignment="0" applyProtection="0"/>
    <xf numFmtId="0" fontId="60" fillId="35" borderId="21" applyNumberFormat="0" applyAlignment="0" applyProtection="0"/>
    <xf numFmtId="0" fontId="60" fillId="35" borderId="21" applyNumberFormat="0" applyAlignment="0" applyProtection="0"/>
    <xf numFmtId="0" fontId="60" fillId="35" borderId="21" applyNumberFormat="0" applyAlignment="0" applyProtection="0"/>
    <xf numFmtId="0" fontId="167" fillId="59" borderId="33" applyNumberFormat="0" applyAlignment="0" applyProtection="0"/>
    <xf numFmtId="171" fontId="61" fillId="35" borderId="0">
      <alignment horizontal="right"/>
    </xf>
    <xf numFmtId="4" fontId="61" fillId="41" borderId="0">
      <alignment horizontal="right"/>
    </xf>
    <xf numFmtId="40" fontId="62" fillId="41" borderId="0">
      <alignment horizontal="right"/>
    </xf>
    <xf numFmtId="171" fontId="61" fillId="35" borderId="0">
      <alignment horizontal="right"/>
    </xf>
    <xf numFmtId="40" fontId="62" fillId="41" borderId="0">
      <alignment horizontal="right"/>
    </xf>
    <xf numFmtId="4" fontId="61" fillId="41" borderId="0">
      <alignment horizontal="right"/>
    </xf>
    <xf numFmtId="40" fontId="62" fillId="41" borderId="0">
      <alignment horizontal="right"/>
    </xf>
    <xf numFmtId="40" fontId="62" fillId="41" borderId="0">
      <alignment horizontal="right"/>
    </xf>
    <xf numFmtId="4" fontId="61" fillId="41" borderId="0">
      <alignment horizontal="right"/>
    </xf>
    <xf numFmtId="4" fontId="61" fillId="41" borderId="0">
      <alignment horizontal="right"/>
    </xf>
    <xf numFmtId="4" fontId="61" fillId="41" borderId="0">
      <alignment horizontal="right"/>
    </xf>
    <xf numFmtId="4" fontId="61" fillId="41" borderId="0">
      <alignment horizontal="right"/>
    </xf>
    <xf numFmtId="4" fontId="61" fillId="41" borderId="0">
      <alignment horizontal="right"/>
    </xf>
    <xf numFmtId="4" fontId="61" fillId="41" borderId="0">
      <alignment horizontal="right"/>
    </xf>
    <xf numFmtId="4" fontId="61" fillId="41" borderId="0">
      <alignment horizontal="right"/>
    </xf>
    <xf numFmtId="4" fontId="61" fillId="41" borderId="0">
      <alignment horizontal="right"/>
    </xf>
    <xf numFmtId="4" fontId="61" fillId="41" borderId="0">
      <alignment horizontal="right"/>
    </xf>
    <xf numFmtId="4" fontId="61" fillId="41" borderId="0">
      <alignment horizontal="right"/>
    </xf>
    <xf numFmtId="171" fontId="61" fillId="35" borderId="0">
      <alignment horizontal="right"/>
    </xf>
    <xf numFmtId="0" fontId="63" fillId="42" borderId="0">
      <alignment horizontal="center"/>
    </xf>
    <xf numFmtId="164" fontId="63" fillId="42" borderId="0">
      <alignment horizontal="center"/>
    </xf>
    <xf numFmtId="0" fontId="63" fillId="41" borderId="0">
      <alignment horizontal="center" vertical="center"/>
    </xf>
    <xf numFmtId="0" fontId="63" fillId="42" borderId="0">
      <alignment horizontal="center"/>
    </xf>
    <xf numFmtId="0" fontId="64" fillId="41" borderId="0">
      <alignment horizontal="right"/>
    </xf>
    <xf numFmtId="0" fontId="64" fillId="41" borderId="0">
      <alignment horizontal="right"/>
    </xf>
    <xf numFmtId="0" fontId="64" fillId="41" borderId="0">
      <alignment horizontal="right"/>
    </xf>
    <xf numFmtId="0" fontId="64" fillId="41" borderId="0">
      <alignment horizontal="right"/>
    </xf>
    <xf numFmtId="0" fontId="64" fillId="41" borderId="0">
      <alignment horizontal="right"/>
    </xf>
    <xf numFmtId="164" fontId="63" fillId="42" borderId="0">
      <alignment horizontal="center"/>
    </xf>
    <xf numFmtId="0" fontId="64" fillId="41" borderId="0">
      <alignment horizontal="right"/>
    </xf>
    <xf numFmtId="0" fontId="64" fillId="41" borderId="0">
      <alignment horizontal="right"/>
    </xf>
    <xf numFmtId="0" fontId="63" fillId="41" borderId="0">
      <alignment horizontal="center" vertical="center"/>
    </xf>
    <xf numFmtId="0" fontId="63" fillId="41" borderId="0">
      <alignment horizontal="center" vertical="center"/>
    </xf>
    <xf numFmtId="0" fontId="31" fillId="43" borderId="0"/>
    <xf numFmtId="164" fontId="31" fillId="43" borderId="0"/>
    <xf numFmtId="0" fontId="54" fillId="41" borderId="10"/>
    <xf numFmtId="0" fontId="54" fillId="41" borderId="10"/>
    <xf numFmtId="0" fontId="31" fillId="43" borderId="0"/>
    <xf numFmtId="0" fontId="65" fillId="41" borderId="10"/>
    <xf numFmtId="0" fontId="65" fillId="41" borderId="10"/>
    <xf numFmtId="0" fontId="65" fillId="41" borderId="10"/>
    <xf numFmtId="0" fontId="65" fillId="41" borderId="10"/>
    <xf numFmtId="0" fontId="65" fillId="41" borderId="10"/>
    <xf numFmtId="172" fontId="65" fillId="41" borderId="10"/>
    <xf numFmtId="0" fontId="65" fillId="41" borderId="10"/>
    <xf numFmtId="0" fontId="65" fillId="41" borderId="10"/>
    <xf numFmtId="0" fontId="66" fillId="35" borderId="0" applyBorder="0">
      <alignment horizontal="centerContinuous"/>
    </xf>
    <xf numFmtId="164" fontId="66" fillId="35" borderId="0" applyBorder="0">
      <alignment horizontal="centerContinuous"/>
    </xf>
    <xf numFmtId="0" fontId="63" fillId="41" borderId="0" applyBorder="0">
      <alignment horizontal="centerContinuous"/>
    </xf>
    <xf numFmtId="0" fontId="66" fillId="35" borderId="0" applyBorder="0">
      <alignment horizontal="centerContinuous"/>
    </xf>
    <xf numFmtId="0" fontId="65" fillId="0" borderId="0" applyBorder="0">
      <alignment horizontal="centerContinuous"/>
    </xf>
    <xf numFmtId="0" fontId="65" fillId="0" borderId="0" applyBorder="0">
      <alignment horizontal="centerContinuous"/>
    </xf>
    <xf numFmtId="0" fontId="65" fillId="0" borderId="0" applyBorder="0">
      <alignment horizontal="centerContinuous"/>
    </xf>
    <xf numFmtId="0" fontId="65" fillId="0" borderId="0" applyBorder="0">
      <alignment horizontal="centerContinuous"/>
    </xf>
    <xf numFmtId="0" fontId="65" fillId="0" borderId="0" applyBorder="0">
      <alignment horizontal="centerContinuous"/>
    </xf>
    <xf numFmtId="164" fontId="66" fillId="35" borderId="0" applyBorder="0">
      <alignment horizontal="centerContinuous"/>
    </xf>
    <xf numFmtId="0" fontId="65" fillId="0" borderId="0" applyBorder="0">
      <alignment horizontal="centerContinuous"/>
    </xf>
    <xf numFmtId="0" fontId="65" fillId="0" borderId="0" applyBorder="0">
      <alignment horizontal="centerContinuous"/>
    </xf>
    <xf numFmtId="0" fontId="63" fillId="41" borderId="0" applyBorder="0">
      <alignment horizontal="centerContinuous"/>
    </xf>
    <xf numFmtId="0" fontId="63" fillId="41" borderId="0" applyBorder="0">
      <alignment horizontal="centerContinuous"/>
    </xf>
    <xf numFmtId="0" fontId="67" fillId="43" borderId="0" applyBorder="0">
      <alignment horizontal="centerContinuous"/>
    </xf>
    <xf numFmtId="164" fontId="67" fillId="43" borderId="0" applyBorder="0">
      <alignment horizontal="centerContinuous"/>
    </xf>
    <xf numFmtId="0" fontId="203" fillId="43" borderId="0" applyBorder="0">
      <alignment horizontal="centerContinuous"/>
    </xf>
    <xf numFmtId="0" fontId="69" fillId="41" borderId="0" applyBorder="0">
      <alignment horizontal="centerContinuous"/>
    </xf>
    <xf numFmtId="0" fontId="67" fillId="43" borderId="0" applyBorder="0">
      <alignment horizontal="centerContinuous"/>
    </xf>
    <xf numFmtId="0" fontId="68" fillId="0" borderId="0" applyBorder="0">
      <alignment horizontal="centerContinuous"/>
    </xf>
    <xf numFmtId="0" fontId="68" fillId="0" borderId="0" applyBorder="0">
      <alignment horizontal="centerContinuous"/>
    </xf>
    <xf numFmtId="0" fontId="68" fillId="0" borderId="0" applyBorder="0">
      <alignment horizontal="centerContinuous"/>
    </xf>
    <xf numFmtId="0" fontId="68" fillId="0" borderId="0" applyBorder="0">
      <alignment horizontal="centerContinuous"/>
    </xf>
    <xf numFmtId="0" fontId="68" fillId="0" borderId="0" applyBorder="0">
      <alignment horizontal="centerContinuous"/>
    </xf>
    <xf numFmtId="164" fontId="67" fillId="43" borderId="0" applyBorder="0">
      <alignment horizontal="centerContinuous"/>
    </xf>
    <xf numFmtId="0" fontId="68" fillId="0" borderId="0" applyBorder="0">
      <alignment horizontal="centerContinuous"/>
    </xf>
    <xf numFmtId="0" fontId="68" fillId="0" borderId="0" applyBorder="0">
      <alignment horizontal="centerContinuous"/>
    </xf>
    <xf numFmtId="0" fontId="69" fillId="41" borderId="0" applyBorder="0">
      <alignment horizontal="centerContinuous"/>
    </xf>
    <xf numFmtId="0" fontId="69" fillId="41" borderId="0" applyBorder="0">
      <alignment horizontal="centerContinuous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97" fillId="0" borderId="0" applyFont="0" applyFill="0" applyBorder="0" applyAlignment="0" applyProtection="0"/>
    <xf numFmtId="9" fontId="19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83" fontId="140" fillId="79" borderId="44">
      <alignment horizontal="left"/>
    </xf>
    <xf numFmtId="0" fontId="198" fillId="0" borderId="0"/>
    <xf numFmtId="4" fontId="18" fillId="45" borderId="23" applyNumberFormat="0" applyProtection="0">
      <alignment vertical="center"/>
    </xf>
    <xf numFmtId="4" fontId="18" fillId="45" borderId="23" applyNumberFormat="0" applyProtection="0">
      <alignment vertical="center"/>
    </xf>
    <xf numFmtId="4" fontId="18" fillId="45" borderId="23" applyNumberFormat="0" applyProtection="0">
      <alignment vertical="center"/>
    </xf>
    <xf numFmtId="4" fontId="18" fillId="45" borderId="23" applyNumberFormat="0" applyProtection="0">
      <alignment vertical="center"/>
    </xf>
    <xf numFmtId="4" fontId="18" fillId="45" borderId="23" applyNumberFormat="0" applyProtection="0">
      <alignment vertical="center"/>
    </xf>
    <xf numFmtId="4" fontId="18" fillId="45" borderId="23" applyNumberFormat="0" applyProtection="0">
      <alignment vertical="center"/>
    </xf>
    <xf numFmtId="4" fontId="18" fillId="45" borderId="23" applyNumberFormat="0" applyProtection="0">
      <alignment vertical="center"/>
    </xf>
    <xf numFmtId="4" fontId="18" fillId="45" borderId="23" applyNumberFormat="0" applyProtection="0">
      <alignment vertical="center"/>
    </xf>
    <xf numFmtId="4" fontId="18" fillId="45" borderId="23" applyNumberFormat="0" applyProtection="0">
      <alignment vertical="center"/>
    </xf>
    <xf numFmtId="4" fontId="18" fillId="45" borderId="23" applyNumberFormat="0" applyProtection="0">
      <alignment vertical="center"/>
    </xf>
    <xf numFmtId="4" fontId="18" fillId="45" borderId="23" applyNumberFormat="0" applyProtection="0">
      <alignment vertical="center"/>
    </xf>
    <xf numFmtId="4" fontId="18" fillId="45" borderId="23" applyNumberFormat="0" applyProtection="0">
      <alignment vertical="center"/>
    </xf>
    <xf numFmtId="4" fontId="18" fillId="45" borderId="23" applyNumberFormat="0" applyProtection="0">
      <alignment vertical="center"/>
    </xf>
    <xf numFmtId="4" fontId="18" fillId="45" borderId="23" applyNumberFormat="0" applyProtection="0">
      <alignment vertical="center"/>
    </xf>
    <xf numFmtId="4" fontId="18" fillId="45" borderId="23" applyNumberFormat="0" applyProtection="0">
      <alignment vertical="center"/>
    </xf>
    <xf numFmtId="4" fontId="18" fillId="45" borderId="23" applyNumberFormat="0" applyProtection="0">
      <alignment vertical="center"/>
    </xf>
    <xf numFmtId="4" fontId="18" fillId="45" borderId="23" applyNumberFormat="0" applyProtection="0">
      <alignment vertical="center"/>
    </xf>
    <xf numFmtId="4" fontId="18" fillId="45" borderId="23" applyNumberFormat="0" applyProtection="0">
      <alignment vertical="center"/>
    </xf>
    <xf numFmtId="4" fontId="75" fillId="45" borderId="24" applyNumberFormat="0" applyProtection="0">
      <alignment vertical="center"/>
    </xf>
    <xf numFmtId="4" fontId="75" fillId="45" borderId="24" applyNumberFormat="0" applyProtection="0">
      <alignment vertical="center"/>
    </xf>
    <xf numFmtId="4" fontId="75" fillId="45" borderId="24" applyNumberFormat="0" applyProtection="0">
      <alignment vertical="center"/>
    </xf>
    <xf numFmtId="4" fontId="75" fillId="45" borderId="24" applyNumberFormat="0" applyProtection="0">
      <alignment vertical="center"/>
    </xf>
    <xf numFmtId="4" fontId="75" fillId="45" borderId="24" applyNumberFormat="0" applyProtection="0">
      <alignment vertical="center"/>
    </xf>
    <xf numFmtId="4" fontId="75" fillId="45" borderId="24" applyNumberFormat="0" applyProtection="0">
      <alignment vertical="center"/>
    </xf>
    <xf numFmtId="4" fontId="75" fillId="45" borderId="24" applyNumberFormat="0" applyProtection="0">
      <alignment vertical="center"/>
    </xf>
    <xf numFmtId="4" fontId="75" fillId="45" borderId="24" applyNumberFormat="0" applyProtection="0">
      <alignment vertical="center"/>
    </xf>
    <xf numFmtId="4" fontId="75" fillId="45" borderId="24" applyNumberFormat="0" applyProtection="0">
      <alignment vertical="center"/>
    </xf>
    <xf numFmtId="4" fontId="18" fillId="45" borderId="23" applyNumberFormat="0" applyProtection="0">
      <alignment horizontal="left" vertical="center" indent="1"/>
    </xf>
    <xf numFmtId="4" fontId="18" fillId="45" borderId="23" applyNumberFormat="0" applyProtection="0">
      <alignment horizontal="left" vertical="center" indent="1"/>
    </xf>
    <xf numFmtId="4" fontId="18" fillId="45" borderId="23" applyNumberFormat="0" applyProtection="0">
      <alignment horizontal="left" vertical="center" indent="1"/>
    </xf>
    <xf numFmtId="4" fontId="18" fillId="45" borderId="23" applyNumberFormat="0" applyProtection="0">
      <alignment horizontal="left" vertical="center" indent="1"/>
    </xf>
    <xf numFmtId="4" fontId="18" fillId="45" borderId="23" applyNumberFormat="0" applyProtection="0">
      <alignment horizontal="left" vertical="center" indent="1"/>
    </xf>
    <xf numFmtId="4" fontId="18" fillId="45" borderId="23" applyNumberFormat="0" applyProtection="0">
      <alignment horizontal="left" vertical="center" indent="1"/>
    </xf>
    <xf numFmtId="4" fontId="18" fillId="45" borderId="23" applyNumberFormat="0" applyProtection="0">
      <alignment horizontal="left" vertical="center" indent="1"/>
    </xf>
    <xf numFmtId="4" fontId="18" fillId="45" borderId="23" applyNumberFormat="0" applyProtection="0">
      <alignment horizontal="left" vertical="center" indent="1"/>
    </xf>
    <xf numFmtId="4" fontId="18" fillId="45" borderId="23" applyNumberFormat="0" applyProtection="0">
      <alignment horizontal="left" vertical="center" indent="1"/>
    </xf>
    <xf numFmtId="4" fontId="18" fillId="45" borderId="23" applyNumberFormat="0" applyProtection="0">
      <alignment horizontal="left" vertical="center" indent="1"/>
    </xf>
    <xf numFmtId="4" fontId="18" fillId="45" borderId="23" applyNumberFormat="0" applyProtection="0">
      <alignment horizontal="left" vertical="center" indent="1"/>
    </xf>
    <xf numFmtId="4" fontId="18" fillId="45" borderId="23" applyNumberFormat="0" applyProtection="0">
      <alignment horizontal="left" vertical="center" indent="1"/>
    </xf>
    <xf numFmtId="4" fontId="18" fillId="45" borderId="23" applyNumberFormat="0" applyProtection="0">
      <alignment horizontal="left" vertical="center" indent="1"/>
    </xf>
    <xf numFmtId="4" fontId="18" fillId="45" borderId="23" applyNumberFormat="0" applyProtection="0">
      <alignment horizontal="left" vertical="center" indent="1"/>
    </xf>
    <xf numFmtId="4" fontId="18" fillId="45" borderId="23" applyNumberFormat="0" applyProtection="0">
      <alignment horizontal="left" vertical="center" indent="1"/>
    </xf>
    <xf numFmtId="4" fontId="18" fillId="45" borderId="23" applyNumberFormat="0" applyProtection="0">
      <alignment horizontal="left" vertical="center" indent="1"/>
    </xf>
    <xf numFmtId="4" fontId="18" fillId="45" borderId="23" applyNumberFormat="0" applyProtection="0">
      <alignment horizontal="left" vertical="center" indent="1"/>
    </xf>
    <xf numFmtId="4" fontId="18" fillId="45" borderId="23" applyNumberFormat="0" applyProtection="0">
      <alignment horizontal="left" vertical="center" indent="1"/>
    </xf>
    <xf numFmtId="0" fontId="18" fillId="46" borderId="24" applyNumberFormat="0" applyProtection="0">
      <alignment horizontal="left" vertical="top" indent="1"/>
    </xf>
    <xf numFmtId="0" fontId="18" fillId="46" borderId="24" applyNumberFormat="0" applyProtection="0">
      <alignment horizontal="left" vertical="top" indent="1"/>
    </xf>
    <xf numFmtId="0" fontId="18" fillId="46" borderId="24" applyNumberFormat="0" applyProtection="0">
      <alignment horizontal="left" vertical="top" indent="1"/>
    </xf>
    <xf numFmtId="0" fontId="18" fillId="46" borderId="24" applyNumberFormat="0" applyProtection="0">
      <alignment horizontal="left" vertical="top" indent="1"/>
    </xf>
    <xf numFmtId="0" fontId="18" fillId="46" borderId="24" applyNumberFormat="0" applyProtection="0">
      <alignment horizontal="left" vertical="top" indent="1"/>
    </xf>
    <xf numFmtId="0" fontId="18" fillId="46" borderId="24" applyNumberFormat="0" applyProtection="0">
      <alignment horizontal="left" vertical="top" indent="1"/>
    </xf>
    <xf numFmtId="0" fontId="18" fillId="46" borderId="24" applyNumberFormat="0" applyProtection="0">
      <alignment horizontal="left" vertical="top" indent="1"/>
    </xf>
    <xf numFmtId="0" fontId="18" fillId="46" borderId="24" applyNumberFormat="0" applyProtection="0">
      <alignment horizontal="left" vertical="top" indent="1"/>
    </xf>
    <xf numFmtId="0" fontId="18" fillId="46" borderId="24" applyNumberFormat="0" applyProtection="0">
      <alignment horizontal="left" vertical="top" indent="1"/>
    </xf>
    <xf numFmtId="0" fontId="18" fillId="46" borderId="24" applyNumberFormat="0" applyProtection="0">
      <alignment horizontal="left" vertical="top" indent="1"/>
    </xf>
    <xf numFmtId="0" fontId="18" fillId="46" borderId="24" applyNumberFormat="0" applyProtection="0">
      <alignment horizontal="left" vertical="top" indent="1"/>
    </xf>
    <xf numFmtId="0" fontId="18" fillId="46" borderId="24" applyNumberFormat="0" applyProtection="0">
      <alignment horizontal="left" vertical="top" indent="1"/>
    </xf>
    <xf numFmtId="0" fontId="18" fillId="46" borderId="24" applyNumberFormat="0" applyProtection="0">
      <alignment horizontal="left" vertical="top" indent="1"/>
    </xf>
    <xf numFmtId="0" fontId="18" fillId="46" borderId="24" applyNumberFormat="0" applyProtection="0">
      <alignment horizontal="left" vertical="top" indent="1"/>
    </xf>
    <xf numFmtId="0" fontId="18" fillId="46" borderId="24" applyNumberFormat="0" applyProtection="0">
      <alignment horizontal="left" vertical="top" indent="1"/>
    </xf>
    <xf numFmtId="0" fontId="18" fillId="46" borderId="24" applyNumberFormat="0" applyProtection="0">
      <alignment horizontal="left" vertical="top" indent="1"/>
    </xf>
    <xf numFmtId="0" fontId="18" fillId="46" borderId="24" applyNumberFormat="0" applyProtection="0">
      <alignment horizontal="left" vertical="top" indent="1"/>
    </xf>
    <xf numFmtId="0" fontId="18" fillId="46" borderId="24" applyNumberFormat="0" applyProtection="0">
      <alignment horizontal="left" vertical="top" indent="1"/>
    </xf>
    <xf numFmtId="4" fontId="19" fillId="45" borderId="24" applyNumberFormat="0" applyProtection="0">
      <alignment horizontal="right" vertical="center"/>
    </xf>
    <xf numFmtId="4" fontId="19" fillId="45" borderId="24" applyNumberFormat="0" applyProtection="0">
      <alignment horizontal="right" vertical="center"/>
    </xf>
    <xf numFmtId="4" fontId="19" fillId="45" borderId="24" applyNumberFormat="0" applyProtection="0">
      <alignment horizontal="right" vertical="center"/>
    </xf>
    <xf numFmtId="4" fontId="19" fillId="45" borderId="24" applyNumberFormat="0" applyProtection="0">
      <alignment horizontal="right" vertical="center"/>
    </xf>
    <xf numFmtId="4" fontId="19" fillId="45" borderId="24" applyNumberFormat="0" applyProtection="0">
      <alignment horizontal="right" vertical="center"/>
    </xf>
    <xf numFmtId="4" fontId="19" fillId="45" borderId="24" applyNumberFormat="0" applyProtection="0">
      <alignment horizontal="right" vertical="center"/>
    </xf>
    <xf numFmtId="4" fontId="19" fillId="45" borderId="24" applyNumberFormat="0" applyProtection="0">
      <alignment horizontal="right" vertical="center"/>
    </xf>
    <xf numFmtId="4" fontId="19" fillId="45" borderId="24" applyNumberFormat="0" applyProtection="0">
      <alignment horizontal="right" vertical="center"/>
    </xf>
    <xf numFmtId="4" fontId="19" fillId="45" borderId="24" applyNumberFormat="0" applyProtection="0">
      <alignment horizontal="right" vertical="center"/>
    </xf>
    <xf numFmtId="4" fontId="19" fillId="45" borderId="24" applyNumberFormat="0" applyProtection="0">
      <alignment horizontal="right" vertical="center"/>
    </xf>
    <xf numFmtId="4" fontId="19" fillId="45" borderId="24" applyNumberFormat="0" applyProtection="0">
      <alignment horizontal="right" vertical="center"/>
    </xf>
    <xf numFmtId="4" fontId="19" fillId="45" borderId="24" applyNumberFormat="0" applyProtection="0">
      <alignment horizontal="right" vertical="center"/>
    </xf>
    <xf numFmtId="4" fontId="19" fillId="45" borderId="24" applyNumberFormat="0" applyProtection="0">
      <alignment horizontal="right" vertical="center"/>
    </xf>
    <xf numFmtId="4" fontId="19" fillId="45" borderId="24" applyNumberFormat="0" applyProtection="0">
      <alignment horizontal="right" vertical="center"/>
    </xf>
    <xf numFmtId="4" fontId="19" fillId="45" borderId="24" applyNumberFormat="0" applyProtection="0">
      <alignment horizontal="right" vertical="center"/>
    </xf>
    <xf numFmtId="4" fontId="19" fillId="45" borderId="24" applyNumberFormat="0" applyProtection="0">
      <alignment horizontal="right" vertical="center"/>
    </xf>
    <xf numFmtId="4" fontId="19" fillId="45" borderId="24" applyNumberFormat="0" applyProtection="0">
      <alignment horizontal="right" vertical="center"/>
    </xf>
    <xf numFmtId="4" fontId="19" fillId="45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17" borderId="24" applyNumberFormat="0" applyProtection="0">
      <alignment horizontal="right" vertical="center"/>
    </xf>
    <xf numFmtId="4" fontId="19" fillId="17" borderId="24" applyNumberFormat="0" applyProtection="0">
      <alignment horizontal="right" vertical="center"/>
    </xf>
    <xf numFmtId="4" fontId="19" fillId="17" borderId="24" applyNumberFormat="0" applyProtection="0">
      <alignment horizontal="right" vertical="center"/>
    </xf>
    <xf numFmtId="4" fontId="19" fillId="17" borderId="24" applyNumberFormat="0" applyProtection="0">
      <alignment horizontal="right" vertical="center"/>
    </xf>
    <xf numFmtId="4" fontId="19" fillId="17" borderId="24" applyNumberFormat="0" applyProtection="0">
      <alignment horizontal="right" vertical="center"/>
    </xf>
    <xf numFmtId="4" fontId="19" fillId="17" borderId="24" applyNumberFormat="0" applyProtection="0">
      <alignment horizontal="right" vertical="center"/>
    </xf>
    <xf numFmtId="4" fontId="19" fillId="17" borderId="24" applyNumberFormat="0" applyProtection="0">
      <alignment horizontal="right" vertical="center"/>
    </xf>
    <xf numFmtId="4" fontId="19" fillId="17" borderId="24" applyNumberFormat="0" applyProtection="0">
      <alignment horizontal="right" vertical="center"/>
    </xf>
    <xf numFmtId="4" fontId="19" fillId="17" borderId="24" applyNumberFormat="0" applyProtection="0">
      <alignment horizontal="right" vertical="center"/>
    </xf>
    <xf numFmtId="4" fontId="19" fillId="17" borderId="24" applyNumberFormat="0" applyProtection="0">
      <alignment horizontal="right" vertical="center"/>
    </xf>
    <xf numFmtId="4" fontId="19" fillId="17" borderId="24" applyNumberFormat="0" applyProtection="0">
      <alignment horizontal="right" vertical="center"/>
    </xf>
    <xf numFmtId="4" fontId="19" fillId="17" borderId="24" applyNumberFormat="0" applyProtection="0">
      <alignment horizontal="right" vertical="center"/>
    </xf>
    <xf numFmtId="4" fontId="19" fillId="17" borderId="24" applyNumberFormat="0" applyProtection="0">
      <alignment horizontal="right" vertical="center"/>
    </xf>
    <xf numFmtId="4" fontId="19" fillId="17" borderId="24" applyNumberFormat="0" applyProtection="0">
      <alignment horizontal="right" vertical="center"/>
    </xf>
    <xf numFmtId="4" fontId="19" fillId="17" borderId="24" applyNumberFormat="0" applyProtection="0">
      <alignment horizontal="right" vertical="center"/>
    </xf>
    <xf numFmtId="4" fontId="19" fillId="17" borderId="24" applyNumberFormat="0" applyProtection="0">
      <alignment horizontal="right" vertical="center"/>
    </xf>
    <xf numFmtId="4" fontId="19" fillId="17" borderId="24" applyNumberFormat="0" applyProtection="0">
      <alignment horizontal="right" vertical="center"/>
    </xf>
    <xf numFmtId="4" fontId="19" fillId="17" borderId="24" applyNumberFormat="0" applyProtection="0">
      <alignment horizontal="right" vertical="center"/>
    </xf>
    <xf numFmtId="4" fontId="19" fillId="24" borderId="24" applyNumberFormat="0" applyProtection="0">
      <alignment horizontal="right" vertical="center"/>
    </xf>
    <xf numFmtId="4" fontId="19" fillId="24" borderId="24" applyNumberFormat="0" applyProtection="0">
      <alignment horizontal="right" vertical="center"/>
    </xf>
    <xf numFmtId="4" fontId="19" fillId="24" borderId="24" applyNumberFormat="0" applyProtection="0">
      <alignment horizontal="right" vertical="center"/>
    </xf>
    <xf numFmtId="4" fontId="19" fillId="24" borderId="24" applyNumberFormat="0" applyProtection="0">
      <alignment horizontal="right" vertical="center"/>
    </xf>
    <xf numFmtId="4" fontId="19" fillId="24" borderId="24" applyNumberFormat="0" applyProtection="0">
      <alignment horizontal="right" vertical="center"/>
    </xf>
    <xf numFmtId="4" fontId="19" fillId="24" borderId="24" applyNumberFormat="0" applyProtection="0">
      <alignment horizontal="right" vertical="center"/>
    </xf>
    <xf numFmtId="4" fontId="19" fillId="24" borderId="24" applyNumberFormat="0" applyProtection="0">
      <alignment horizontal="right" vertical="center"/>
    </xf>
    <xf numFmtId="4" fontId="19" fillId="24" borderId="24" applyNumberFormat="0" applyProtection="0">
      <alignment horizontal="right" vertical="center"/>
    </xf>
    <xf numFmtId="4" fontId="19" fillId="24" borderId="24" applyNumberFormat="0" applyProtection="0">
      <alignment horizontal="right" vertical="center"/>
    </xf>
    <xf numFmtId="4" fontId="19" fillId="24" borderId="24" applyNumberFormat="0" applyProtection="0">
      <alignment horizontal="right" vertical="center"/>
    </xf>
    <xf numFmtId="4" fontId="19" fillId="24" borderId="24" applyNumberFormat="0" applyProtection="0">
      <alignment horizontal="right" vertical="center"/>
    </xf>
    <xf numFmtId="4" fontId="19" fillId="24" borderId="24" applyNumberFormat="0" applyProtection="0">
      <alignment horizontal="right" vertical="center"/>
    </xf>
    <xf numFmtId="4" fontId="19" fillId="24" borderId="24" applyNumberFormat="0" applyProtection="0">
      <alignment horizontal="right" vertical="center"/>
    </xf>
    <xf numFmtId="4" fontId="19" fillId="24" borderId="24" applyNumberFormat="0" applyProtection="0">
      <alignment horizontal="right" vertical="center"/>
    </xf>
    <xf numFmtId="4" fontId="19" fillId="24" borderId="24" applyNumberFormat="0" applyProtection="0">
      <alignment horizontal="right" vertical="center"/>
    </xf>
    <xf numFmtId="4" fontId="19" fillId="24" borderId="24" applyNumberFormat="0" applyProtection="0">
      <alignment horizontal="right" vertical="center"/>
    </xf>
    <xf numFmtId="4" fontId="19" fillId="24" borderId="24" applyNumberFormat="0" applyProtection="0">
      <alignment horizontal="right" vertical="center"/>
    </xf>
    <xf numFmtId="4" fontId="19" fillId="24" borderId="24" applyNumberFormat="0" applyProtection="0">
      <alignment horizontal="right" vertical="center"/>
    </xf>
    <xf numFmtId="4" fontId="76" fillId="31" borderId="24" applyNumberFormat="0" applyProtection="0">
      <alignment horizontal="right" vertical="center"/>
    </xf>
    <xf numFmtId="4" fontId="76" fillId="31" borderId="24" applyNumberFormat="0" applyProtection="0">
      <alignment horizontal="right" vertical="center"/>
    </xf>
    <xf numFmtId="4" fontId="76" fillId="31" borderId="24" applyNumberFormat="0" applyProtection="0">
      <alignment horizontal="right" vertical="center"/>
    </xf>
    <xf numFmtId="4" fontId="76" fillId="31" borderId="24" applyNumberFormat="0" applyProtection="0">
      <alignment horizontal="right" vertical="center"/>
    </xf>
    <xf numFmtId="4" fontId="76" fillId="31" borderId="24" applyNumberFormat="0" applyProtection="0">
      <alignment horizontal="right" vertical="center"/>
    </xf>
    <xf numFmtId="4" fontId="76" fillId="31" borderId="24" applyNumberFormat="0" applyProtection="0">
      <alignment horizontal="right" vertical="center"/>
    </xf>
    <xf numFmtId="4" fontId="76" fillId="31" borderId="24" applyNumberFormat="0" applyProtection="0">
      <alignment horizontal="right" vertical="center"/>
    </xf>
    <xf numFmtId="4" fontId="76" fillId="31" borderId="24" applyNumberFormat="0" applyProtection="0">
      <alignment horizontal="right" vertical="center"/>
    </xf>
    <xf numFmtId="4" fontId="76" fillId="31" borderId="24" applyNumberFormat="0" applyProtection="0">
      <alignment horizontal="right" vertical="center"/>
    </xf>
    <xf numFmtId="4" fontId="76" fillId="49" borderId="24" applyNumberFormat="0" applyProtection="0">
      <alignment horizontal="right" vertical="center"/>
    </xf>
    <xf numFmtId="4" fontId="76" fillId="49" borderId="24" applyNumberFormat="0" applyProtection="0">
      <alignment horizontal="right" vertical="center"/>
    </xf>
    <xf numFmtId="4" fontId="76" fillId="49" borderId="24" applyNumberFormat="0" applyProtection="0">
      <alignment horizontal="right" vertical="center"/>
    </xf>
    <xf numFmtId="4" fontId="76" fillId="49" borderId="24" applyNumberFormat="0" applyProtection="0">
      <alignment horizontal="right" vertical="center"/>
    </xf>
    <xf numFmtId="4" fontId="76" fillId="49" borderId="24" applyNumberFormat="0" applyProtection="0">
      <alignment horizontal="right" vertical="center"/>
    </xf>
    <xf numFmtId="4" fontId="76" fillId="49" borderId="24" applyNumberFormat="0" applyProtection="0">
      <alignment horizontal="right" vertical="center"/>
    </xf>
    <xf numFmtId="4" fontId="76" fillId="49" borderId="24" applyNumberFormat="0" applyProtection="0">
      <alignment horizontal="right" vertical="center"/>
    </xf>
    <xf numFmtId="4" fontId="76" fillId="49" borderId="24" applyNumberFormat="0" applyProtection="0">
      <alignment horizontal="right" vertical="center"/>
    </xf>
    <xf numFmtId="4" fontId="76" fillId="49" borderId="24" applyNumberFormat="0" applyProtection="0">
      <alignment horizontal="right" vertical="center"/>
    </xf>
    <xf numFmtId="4" fontId="19" fillId="30" borderId="24" applyNumberFormat="0" applyProtection="0">
      <alignment horizontal="right" vertical="center"/>
    </xf>
    <xf numFmtId="4" fontId="19" fillId="30" borderId="24" applyNumberFormat="0" applyProtection="0">
      <alignment horizontal="right" vertical="center"/>
    </xf>
    <xf numFmtId="4" fontId="19" fillId="30" borderId="24" applyNumberFormat="0" applyProtection="0">
      <alignment horizontal="right" vertical="center"/>
    </xf>
    <xf numFmtId="4" fontId="19" fillId="30" borderId="24" applyNumberFormat="0" applyProtection="0">
      <alignment horizontal="right" vertical="center"/>
    </xf>
    <xf numFmtId="4" fontId="19" fillId="30" borderId="24" applyNumberFormat="0" applyProtection="0">
      <alignment horizontal="right" vertical="center"/>
    </xf>
    <xf numFmtId="4" fontId="19" fillId="30" borderId="24" applyNumberFormat="0" applyProtection="0">
      <alignment horizontal="right" vertical="center"/>
    </xf>
    <xf numFmtId="4" fontId="19" fillId="30" borderId="24" applyNumberFormat="0" applyProtection="0">
      <alignment horizontal="right" vertical="center"/>
    </xf>
    <xf numFmtId="4" fontId="19" fillId="30" borderId="24" applyNumberFormat="0" applyProtection="0">
      <alignment horizontal="right" vertical="center"/>
    </xf>
    <xf numFmtId="4" fontId="19" fillId="30" borderId="24" applyNumberFormat="0" applyProtection="0">
      <alignment horizontal="right" vertical="center"/>
    </xf>
    <xf numFmtId="4" fontId="19" fillId="30" borderId="24" applyNumberFormat="0" applyProtection="0">
      <alignment horizontal="right" vertical="center"/>
    </xf>
    <xf numFmtId="4" fontId="19" fillId="30" borderId="24" applyNumberFormat="0" applyProtection="0">
      <alignment horizontal="right" vertical="center"/>
    </xf>
    <xf numFmtId="4" fontId="19" fillId="30" borderId="24" applyNumberFormat="0" applyProtection="0">
      <alignment horizontal="right" vertical="center"/>
    </xf>
    <xf numFmtId="4" fontId="19" fillId="30" borderId="24" applyNumberFormat="0" applyProtection="0">
      <alignment horizontal="right" vertical="center"/>
    </xf>
    <xf numFmtId="4" fontId="19" fillId="30" borderId="24" applyNumberFormat="0" applyProtection="0">
      <alignment horizontal="right" vertical="center"/>
    </xf>
    <xf numFmtId="4" fontId="19" fillId="30" borderId="24" applyNumberFormat="0" applyProtection="0">
      <alignment horizontal="right" vertical="center"/>
    </xf>
    <xf numFmtId="4" fontId="19" fillId="30" borderId="24" applyNumberFormat="0" applyProtection="0">
      <alignment horizontal="right" vertical="center"/>
    </xf>
    <xf numFmtId="4" fontId="19" fillId="30" borderId="24" applyNumberFormat="0" applyProtection="0">
      <alignment horizontal="right" vertical="center"/>
    </xf>
    <xf numFmtId="4" fontId="19" fillId="30" borderId="24" applyNumberFormat="0" applyProtection="0">
      <alignment horizontal="right" vertical="center"/>
    </xf>
    <xf numFmtId="4" fontId="19" fillId="26" borderId="23" applyNumberFormat="0" applyProtection="0">
      <alignment horizontal="right" vertical="center"/>
    </xf>
    <xf numFmtId="4" fontId="19" fillId="26" borderId="23" applyNumberFormat="0" applyProtection="0">
      <alignment horizontal="right" vertical="center"/>
    </xf>
    <xf numFmtId="4" fontId="19" fillId="26" borderId="23" applyNumberFormat="0" applyProtection="0">
      <alignment horizontal="right" vertical="center"/>
    </xf>
    <xf numFmtId="4" fontId="19" fillId="26" borderId="23" applyNumberFormat="0" applyProtection="0">
      <alignment horizontal="right" vertical="center"/>
    </xf>
    <xf numFmtId="4" fontId="19" fillId="26" borderId="23" applyNumberFormat="0" applyProtection="0">
      <alignment horizontal="right" vertical="center"/>
    </xf>
    <xf numFmtId="4" fontId="19" fillId="26" borderId="23" applyNumberFormat="0" applyProtection="0">
      <alignment horizontal="right" vertical="center"/>
    </xf>
    <xf numFmtId="4" fontId="19" fillId="26" borderId="23" applyNumberFormat="0" applyProtection="0">
      <alignment horizontal="right" vertical="center"/>
    </xf>
    <xf numFmtId="4" fontId="19" fillId="26" borderId="23" applyNumberFormat="0" applyProtection="0">
      <alignment horizontal="right" vertical="center"/>
    </xf>
    <xf numFmtId="4" fontId="19" fillId="26" borderId="23" applyNumberFormat="0" applyProtection="0">
      <alignment horizontal="right" vertical="center"/>
    </xf>
    <xf numFmtId="4" fontId="19" fillId="26" borderId="23" applyNumberFormat="0" applyProtection="0">
      <alignment horizontal="right" vertical="center"/>
    </xf>
    <xf numFmtId="4" fontId="19" fillId="26" borderId="23" applyNumberFormat="0" applyProtection="0">
      <alignment horizontal="right" vertical="center"/>
    </xf>
    <xf numFmtId="4" fontId="19" fillId="26" borderId="23" applyNumberFormat="0" applyProtection="0">
      <alignment horizontal="right" vertical="center"/>
    </xf>
    <xf numFmtId="4" fontId="19" fillId="26" borderId="23" applyNumberFormat="0" applyProtection="0">
      <alignment horizontal="right" vertical="center"/>
    </xf>
    <xf numFmtId="4" fontId="19" fillId="26" borderId="23" applyNumberFormat="0" applyProtection="0">
      <alignment horizontal="right" vertical="center"/>
    </xf>
    <xf numFmtId="4" fontId="19" fillId="26" borderId="23" applyNumberFormat="0" applyProtection="0">
      <alignment horizontal="right" vertical="center"/>
    </xf>
    <xf numFmtId="4" fontId="19" fillId="26" borderId="23" applyNumberFormat="0" applyProtection="0">
      <alignment horizontal="right" vertical="center"/>
    </xf>
    <xf numFmtId="4" fontId="19" fillId="26" borderId="23" applyNumberFormat="0" applyProtection="0">
      <alignment horizontal="right" vertical="center"/>
    </xf>
    <xf numFmtId="4" fontId="19" fillId="26" borderId="23" applyNumberFormat="0" applyProtection="0">
      <alignment horizontal="right" vertical="center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center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4" fontId="61" fillId="52" borderId="24" applyNumberFormat="0" applyProtection="0">
      <alignment vertical="center"/>
    </xf>
    <xf numFmtId="4" fontId="61" fillId="52" borderId="24" applyNumberFormat="0" applyProtection="0">
      <alignment vertical="center"/>
    </xf>
    <xf numFmtId="4" fontId="61" fillId="52" borderId="24" applyNumberFormat="0" applyProtection="0">
      <alignment vertical="center"/>
    </xf>
    <xf numFmtId="4" fontId="61" fillId="52" borderId="24" applyNumberFormat="0" applyProtection="0">
      <alignment vertical="center"/>
    </xf>
    <xf numFmtId="4" fontId="61" fillId="52" borderId="24" applyNumberFormat="0" applyProtection="0">
      <alignment vertical="center"/>
    </xf>
    <xf numFmtId="4" fontId="61" fillId="52" borderId="24" applyNumberFormat="0" applyProtection="0">
      <alignment vertical="center"/>
    </xf>
    <xf numFmtId="4" fontId="61" fillId="52" borderId="24" applyNumberFormat="0" applyProtection="0">
      <alignment vertical="center"/>
    </xf>
    <xf numFmtId="4" fontId="61" fillId="52" borderId="24" applyNumberFormat="0" applyProtection="0">
      <alignment vertical="center"/>
    </xf>
    <xf numFmtId="4" fontId="61" fillId="52" borderId="24" applyNumberFormat="0" applyProtection="0">
      <alignment vertical="center"/>
    </xf>
    <xf numFmtId="4" fontId="77" fillId="52" borderId="24" applyNumberFormat="0" applyProtection="0">
      <alignment vertical="center"/>
    </xf>
    <xf numFmtId="4" fontId="77" fillId="52" borderId="24" applyNumberFormat="0" applyProtection="0">
      <alignment vertical="center"/>
    </xf>
    <xf numFmtId="4" fontId="77" fillId="52" borderId="24" applyNumberFormat="0" applyProtection="0">
      <alignment vertical="center"/>
    </xf>
    <xf numFmtId="4" fontId="77" fillId="52" borderId="24" applyNumberFormat="0" applyProtection="0">
      <alignment vertical="center"/>
    </xf>
    <xf numFmtId="4" fontId="77" fillId="52" borderId="24" applyNumberFormat="0" applyProtection="0">
      <alignment vertical="center"/>
    </xf>
    <xf numFmtId="4" fontId="77" fillId="52" borderId="24" applyNumberFormat="0" applyProtection="0">
      <alignment vertical="center"/>
    </xf>
    <xf numFmtId="4" fontId="77" fillId="52" borderId="24" applyNumberFormat="0" applyProtection="0">
      <alignment vertical="center"/>
    </xf>
    <xf numFmtId="4" fontId="77" fillId="52" borderId="24" applyNumberFormat="0" applyProtection="0">
      <alignment vertical="center"/>
    </xf>
    <xf numFmtId="4" fontId="77" fillId="52" borderId="24" applyNumberFormat="0" applyProtection="0">
      <alignment vertical="center"/>
    </xf>
    <xf numFmtId="4" fontId="19" fillId="26" borderId="24" applyNumberFormat="0" applyProtection="0">
      <alignment horizontal="left" vertical="center" indent="1"/>
    </xf>
    <xf numFmtId="4" fontId="19" fillId="26" borderId="24" applyNumberFormat="0" applyProtection="0">
      <alignment horizontal="left" vertical="center" indent="1"/>
    </xf>
    <xf numFmtId="4" fontId="19" fillId="26" borderId="24" applyNumberFormat="0" applyProtection="0">
      <alignment horizontal="left" vertical="center" indent="1"/>
    </xf>
    <xf numFmtId="4" fontId="19" fillId="26" borderId="24" applyNumberFormat="0" applyProtection="0">
      <alignment horizontal="left" vertical="center" indent="1"/>
    </xf>
    <xf numFmtId="4" fontId="19" fillId="26" borderId="24" applyNumberFormat="0" applyProtection="0">
      <alignment horizontal="left" vertical="center" indent="1"/>
    </xf>
    <xf numFmtId="4" fontId="19" fillId="26" borderId="24" applyNumberFormat="0" applyProtection="0">
      <alignment horizontal="left" vertical="center" indent="1"/>
    </xf>
    <xf numFmtId="4" fontId="19" fillId="26" borderId="24" applyNumberFormat="0" applyProtection="0">
      <alignment horizontal="left" vertical="center" indent="1"/>
    </xf>
    <xf numFmtId="4" fontId="19" fillId="26" borderId="24" applyNumberFormat="0" applyProtection="0">
      <alignment horizontal="left" vertical="center" indent="1"/>
    </xf>
    <xf numFmtId="4" fontId="19" fillId="26" borderId="24" applyNumberFormat="0" applyProtection="0">
      <alignment horizontal="left" vertical="center" indent="1"/>
    </xf>
    <xf numFmtId="4" fontId="19" fillId="26" borderId="24" applyNumberFormat="0" applyProtection="0">
      <alignment horizontal="left" vertical="center" indent="1"/>
    </xf>
    <xf numFmtId="4" fontId="19" fillId="26" borderId="24" applyNumberFormat="0" applyProtection="0">
      <alignment horizontal="left" vertical="center" indent="1"/>
    </xf>
    <xf numFmtId="4" fontId="19" fillId="26" borderId="24" applyNumberFormat="0" applyProtection="0">
      <alignment horizontal="left" vertical="center" indent="1"/>
    </xf>
    <xf numFmtId="4" fontId="19" fillId="26" borderId="24" applyNumberFormat="0" applyProtection="0">
      <alignment horizontal="left" vertical="center" indent="1"/>
    </xf>
    <xf numFmtId="4" fontId="19" fillId="26" borderId="24" applyNumberFormat="0" applyProtection="0">
      <alignment horizontal="left" vertical="center" indent="1"/>
    </xf>
    <xf numFmtId="4" fontId="19" fillId="26" borderId="24" applyNumberFormat="0" applyProtection="0">
      <alignment horizontal="left" vertical="center" indent="1"/>
    </xf>
    <xf numFmtId="4" fontId="19" fillId="26" borderId="24" applyNumberFormat="0" applyProtection="0">
      <alignment horizontal="left" vertical="center" indent="1"/>
    </xf>
    <xf numFmtId="4" fontId="19" fillId="26" borderId="24" applyNumberFormat="0" applyProtection="0">
      <alignment horizontal="left" vertical="center" indent="1"/>
    </xf>
    <xf numFmtId="4" fontId="19" fillId="26" borderId="24" applyNumberFormat="0" applyProtection="0">
      <alignment horizontal="left" vertical="center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0" fontId="19" fillId="26" borderId="24" applyNumberFormat="0" applyProtection="0">
      <alignment horizontal="left" vertical="top" indent="1"/>
    </xf>
    <xf numFmtId="4" fontId="19" fillId="53" borderId="23" applyNumberFormat="0" applyProtection="0">
      <alignment horizontal="right" vertical="center"/>
    </xf>
    <xf numFmtId="4" fontId="19" fillId="53" borderId="23" applyNumberFormat="0" applyProtection="0">
      <alignment horizontal="right" vertical="center"/>
    </xf>
    <xf numFmtId="4" fontId="19" fillId="53" borderId="23" applyNumberFormat="0" applyProtection="0">
      <alignment horizontal="right" vertical="center"/>
    </xf>
    <xf numFmtId="4" fontId="19" fillId="53" borderId="23" applyNumberFormat="0" applyProtection="0">
      <alignment horizontal="right" vertical="center"/>
    </xf>
    <xf numFmtId="4" fontId="19" fillId="53" borderId="23" applyNumberFormat="0" applyProtection="0">
      <alignment horizontal="right" vertical="center"/>
    </xf>
    <xf numFmtId="4" fontId="19" fillId="53" borderId="23" applyNumberFormat="0" applyProtection="0">
      <alignment horizontal="right" vertical="center"/>
    </xf>
    <xf numFmtId="4" fontId="19" fillId="53" borderId="23" applyNumberFormat="0" applyProtection="0">
      <alignment horizontal="right" vertical="center"/>
    </xf>
    <xf numFmtId="4" fontId="19" fillId="53" borderId="23" applyNumberFormat="0" applyProtection="0">
      <alignment horizontal="right" vertical="center"/>
    </xf>
    <xf numFmtId="4" fontId="19" fillId="53" borderId="23" applyNumberFormat="0" applyProtection="0">
      <alignment horizontal="right" vertical="center"/>
    </xf>
    <xf numFmtId="4" fontId="19" fillId="53" borderId="23" applyNumberFormat="0" applyProtection="0">
      <alignment horizontal="right" vertical="center"/>
    </xf>
    <xf numFmtId="4" fontId="19" fillId="53" borderId="23" applyNumberFormat="0" applyProtection="0">
      <alignment horizontal="right" vertical="center"/>
    </xf>
    <xf numFmtId="4" fontId="19" fillId="53" borderId="23" applyNumberFormat="0" applyProtection="0">
      <alignment horizontal="right" vertical="center"/>
    </xf>
    <xf numFmtId="4" fontId="19" fillId="53" borderId="23" applyNumberFormat="0" applyProtection="0">
      <alignment horizontal="right" vertical="center"/>
    </xf>
    <xf numFmtId="4" fontId="19" fillId="53" borderId="23" applyNumberFormat="0" applyProtection="0">
      <alignment horizontal="right" vertical="center"/>
    </xf>
    <xf numFmtId="4" fontId="19" fillId="53" borderId="23" applyNumberFormat="0" applyProtection="0">
      <alignment horizontal="right" vertical="center"/>
    </xf>
    <xf numFmtId="4" fontId="19" fillId="53" borderId="23" applyNumberFormat="0" applyProtection="0">
      <alignment horizontal="right" vertical="center"/>
    </xf>
    <xf numFmtId="4" fontId="19" fillId="53" borderId="23" applyNumberFormat="0" applyProtection="0">
      <alignment horizontal="right" vertical="center"/>
    </xf>
    <xf numFmtId="4" fontId="19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9" fillId="26" borderId="23" applyNumberFormat="0" applyProtection="0">
      <alignment horizontal="left" vertical="center" indent="1"/>
    </xf>
    <xf numFmtId="4" fontId="19" fillId="26" borderId="23" applyNumberFormat="0" applyProtection="0">
      <alignment horizontal="left" vertical="center" indent="1"/>
    </xf>
    <xf numFmtId="4" fontId="19" fillId="26" borderId="23" applyNumberFormat="0" applyProtection="0">
      <alignment horizontal="left" vertical="center" indent="1"/>
    </xf>
    <xf numFmtId="4" fontId="19" fillId="26" borderId="23" applyNumberFormat="0" applyProtection="0">
      <alignment horizontal="left" vertical="center" indent="1"/>
    </xf>
    <xf numFmtId="4" fontId="19" fillId="26" borderId="23" applyNumberFormat="0" applyProtection="0">
      <alignment horizontal="left" vertical="center" indent="1"/>
    </xf>
    <xf numFmtId="4" fontId="19" fillId="26" borderId="23" applyNumberFormat="0" applyProtection="0">
      <alignment horizontal="left" vertical="center" indent="1"/>
    </xf>
    <xf numFmtId="4" fontId="19" fillId="26" borderId="23" applyNumberFormat="0" applyProtection="0">
      <alignment horizontal="left" vertical="center" indent="1"/>
    </xf>
    <xf numFmtId="4" fontId="19" fillId="26" borderId="23" applyNumberFormat="0" applyProtection="0">
      <alignment horizontal="left" vertical="center" indent="1"/>
    </xf>
    <xf numFmtId="4" fontId="19" fillId="26" borderId="23" applyNumberFormat="0" applyProtection="0">
      <alignment horizontal="left" vertical="center" indent="1"/>
    </xf>
    <xf numFmtId="4" fontId="19" fillId="26" borderId="23" applyNumberFormat="0" applyProtection="0">
      <alignment horizontal="left" vertical="center" indent="1"/>
    </xf>
    <xf numFmtId="4" fontId="19" fillId="26" borderId="23" applyNumberFormat="0" applyProtection="0">
      <alignment horizontal="left" vertical="center" indent="1"/>
    </xf>
    <xf numFmtId="4" fontId="19" fillId="26" borderId="23" applyNumberFormat="0" applyProtection="0">
      <alignment horizontal="left" vertical="center" indent="1"/>
    </xf>
    <xf numFmtId="4" fontId="19" fillId="26" borderId="23" applyNumberFormat="0" applyProtection="0">
      <alignment horizontal="left" vertical="center" indent="1"/>
    </xf>
    <xf numFmtId="4" fontId="19" fillId="26" borderId="23" applyNumberFormat="0" applyProtection="0">
      <alignment horizontal="left" vertical="center" indent="1"/>
    </xf>
    <xf numFmtId="4" fontId="19" fillId="26" borderId="23" applyNumberFormat="0" applyProtection="0">
      <alignment horizontal="left" vertical="center" indent="1"/>
    </xf>
    <xf numFmtId="4" fontId="19" fillId="26" borderId="23" applyNumberFormat="0" applyProtection="0">
      <alignment horizontal="left" vertical="center" indent="1"/>
    </xf>
    <xf numFmtId="4" fontId="19" fillId="26" borderId="23" applyNumberFormat="0" applyProtection="0">
      <alignment horizontal="left" vertical="center" indent="1"/>
    </xf>
    <xf numFmtId="4" fontId="19" fillId="26" borderId="23" applyNumberFormat="0" applyProtection="0">
      <alignment horizontal="left" vertical="center" indent="1"/>
    </xf>
    <xf numFmtId="0" fontId="19" fillId="26" borderId="23" applyNumberFormat="0" applyProtection="0">
      <alignment horizontal="left" vertical="top" indent="1"/>
    </xf>
    <xf numFmtId="0" fontId="19" fillId="26" borderId="23" applyNumberFormat="0" applyProtection="0">
      <alignment horizontal="left" vertical="top" indent="1"/>
    </xf>
    <xf numFmtId="0" fontId="19" fillId="26" borderId="23" applyNumberFormat="0" applyProtection="0">
      <alignment horizontal="left" vertical="top" indent="1"/>
    </xf>
    <xf numFmtId="0" fontId="19" fillId="26" borderId="23" applyNumberFormat="0" applyProtection="0">
      <alignment horizontal="left" vertical="top" indent="1"/>
    </xf>
    <xf numFmtId="0" fontId="19" fillId="26" borderId="23" applyNumberFormat="0" applyProtection="0">
      <alignment horizontal="left" vertical="top" indent="1"/>
    </xf>
    <xf numFmtId="0" fontId="19" fillId="26" borderId="23" applyNumberFormat="0" applyProtection="0">
      <alignment horizontal="left" vertical="top" indent="1"/>
    </xf>
    <xf numFmtId="0" fontId="19" fillId="26" borderId="23" applyNumberFormat="0" applyProtection="0">
      <alignment horizontal="left" vertical="top" indent="1"/>
    </xf>
    <xf numFmtId="0" fontId="19" fillId="26" borderId="23" applyNumberFormat="0" applyProtection="0">
      <alignment horizontal="left" vertical="top" indent="1"/>
    </xf>
    <xf numFmtId="0" fontId="19" fillId="26" borderId="23" applyNumberFormat="0" applyProtection="0">
      <alignment horizontal="left" vertical="top" indent="1"/>
    </xf>
    <xf numFmtId="0" fontId="19" fillId="26" borderId="23" applyNumberFormat="0" applyProtection="0">
      <alignment horizontal="left" vertical="top" indent="1"/>
    </xf>
    <xf numFmtId="0" fontId="19" fillId="26" borderId="23" applyNumberFormat="0" applyProtection="0">
      <alignment horizontal="left" vertical="top" indent="1"/>
    </xf>
    <xf numFmtId="0" fontId="19" fillId="26" borderId="23" applyNumberFormat="0" applyProtection="0">
      <alignment horizontal="left" vertical="top" indent="1"/>
    </xf>
    <xf numFmtId="0" fontId="19" fillId="26" borderId="23" applyNumberFormat="0" applyProtection="0">
      <alignment horizontal="left" vertical="top" indent="1"/>
    </xf>
    <xf numFmtId="0" fontId="19" fillId="26" borderId="23" applyNumberFormat="0" applyProtection="0">
      <alignment horizontal="left" vertical="top" indent="1"/>
    </xf>
    <xf numFmtId="0" fontId="19" fillId="26" borderId="23" applyNumberFormat="0" applyProtection="0">
      <alignment horizontal="left" vertical="top" indent="1"/>
    </xf>
    <xf numFmtId="0" fontId="19" fillId="26" borderId="23" applyNumberFormat="0" applyProtection="0">
      <alignment horizontal="left" vertical="top" indent="1"/>
    </xf>
    <xf numFmtId="0" fontId="19" fillId="26" borderId="23" applyNumberFormat="0" applyProtection="0">
      <alignment horizontal="left" vertical="top" indent="1"/>
    </xf>
    <xf numFmtId="0" fontId="19" fillId="26" borderId="23" applyNumberFormat="0" applyProtection="0">
      <alignment horizontal="left" vertical="top" indent="1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204" fontId="204" fillId="0" borderId="45" applyNumberFormat="0" applyProtection="0">
      <alignment horizontal="right" vertical="center"/>
    </xf>
    <xf numFmtId="204" fontId="205" fillId="0" borderId="46" applyNumberFormat="0" applyProtection="0">
      <alignment horizontal="right" vertical="center"/>
    </xf>
    <xf numFmtId="0" fontId="205" fillId="80" borderId="47" applyNumberFormat="0" applyAlignment="0" applyProtection="0">
      <alignment horizontal="left" vertical="center" indent="1"/>
    </xf>
    <xf numFmtId="0" fontId="206" fillId="0" borderId="48" applyNumberFormat="0" applyFill="0" applyBorder="0" applyAlignment="0" applyProtection="0"/>
    <xf numFmtId="0" fontId="207" fillId="81" borderId="47" applyNumberFormat="0" applyAlignment="0" applyProtection="0">
      <alignment horizontal="left" vertical="center" indent="1"/>
    </xf>
    <xf numFmtId="0" fontId="207" fillId="82" borderId="47" applyNumberFormat="0" applyAlignment="0" applyProtection="0">
      <alignment horizontal="left" vertical="center" indent="1"/>
    </xf>
    <xf numFmtId="0" fontId="207" fillId="83" borderId="47" applyNumberFormat="0" applyAlignment="0" applyProtection="0">
      <alignment horizontal="left" vertical="center" indent="1"/>
    </xf>
    <xf numFmtId="0" fontId="207" fillId="84" borderId="47" applyNumberFormat="0" applyAlignment="0" applyProtection="0">
      <alignment horizontal="left" vertical="center" indent="1"/>
    </xf>
    <xf numFmtId="0" fontId="207" fillId="85" borderId="46" applyNumberFormat="0" applyAlignment="0" applyProtection="0">
      <alignment horizontal="left" vertical="center" indent="1"/>
    </xf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204" fontId="204" fillId="86" borderId="47" applyNumberFormat="0" applyAlignment="0" applyProtection="0">
      <alignment horizontal="left" vertical="center" indent="1"/>
    </xf>
    <xf numFmtId="0" fontId="205" fillId="80" borderId="46" applyNumberFormat="0" applyAlignment="0" applyProtection="0">
      <alignment horizontal="left" vertical="center" indent="1"/>
    </xf>
    <xf numFmtId="0" fontId="198" fillId="0" borderId="43"/>
    <xf numFmtId="0" fontId="208" fillId="38" borderId="0"/>
    <xf numFmtId="0" fontId="160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9" fillId="0" borderId="30" applyNumberFormat="0" applyFont="0" applyFill="0" applyAlignment="0" applyProtection="0"/>
    <xf numFmtId="164" fontId="17" fillId="0" borderId="36" applyNumberFormat="0" applyFont="0" applyBorder="0" applyAlignment="0" applyProtection="0"/>
    <xf numFmtId="0" fontId="80" fillId="0" borderId="40" applyNumberFormat="0" applyFill="0" applyAlignment="0" applyProtection="0"/>
    <xf numFmtId="0" fontId="19" fillId="0" borderId="30" applyNumberFormat="0" applyFont="0" applyFill="0" applyAlignment="0" applyProtection="0"/>
    <xf numFmtId="0" fontId="19" fillId="0" borderId="30" applyNumberFormat="0" applyFon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19" fillId="0" borderId="30" applyNumberFormat="0" applyFont="0" applyFill="0" applyAlignment="0" applyProtection="0"/>
    <xf numFmtId="0" fontId="201" fillId="0" borderId="49"/>
    <xf numFmtId="0" fontId="201" fillId="0" borderId="43"/>
    <xf numFmtId="0" fontId="170" fillId="0" borderId="0" applyNumberFormat="0" applyFill="0" applyBorder="0" applyAlignment="0" applyProtection="0"/>
    <xf numFmtId="0" fontId="6" fillId="0" borderId="0"/>
    <xf numFmtId="0" fontId="5" fillId="0" borderId="0"/>
    <xf numFmtId="0" fontId="20" fillId="0" borderId="0"/>
    <xf numFmtId="0" fontId="5" fillId="0" borderId="0"/>
    <xf numFmtId="43" fontId="112" fillId="0" borderId="0" applyFont="0" applyFill="0" applyBorder="0" applyAlignment="0" applyProtection="0"/>
    <xf numFmtId="0" fontId="4" fillId="0" borderId="0"/>
  </cellStyleXfs>
  <cellXfs count="715">
    <xf numFmtId="37" fontId="0" fillId="0" borderId="0" xfId="0"/>
    <xf numFmtId="164" fontId="17" fillId="0" borderId="0" xfId="0" applyNumberFormat="1" applyFont="1" applyFill="1" applyProtection="1">
      <protection locked="0"/>
    </xf>
    <xf numFmtId="0" fontId="19" fillId="0" borderId="0" xfId="0" applyNumberFormat="1" applyFont="1" applyFill="1"/>
    <xf numFmtId="43" fontId="18" fillId="0" borderId="0" xfId="2" applyFont="1" applyFill="1" applyAlignment="1">
      <alignment horizontal="center"/>
    </xf>
    <xf numFmtId="43" fontId="19" fillId="0" borderId="0" xfId="2" applyFont="1" applyFill="1"/>
    <xf numFmtId="0" fontId="18" fillId="0" borderId="0" xfId="0" applyNumberFormat="1" applyFont="1" applyFill="1"/>
    <xf numFmtId="164" fontId="19" fillId="0" borderId="0" xfId="0" applyNumberFormat="1" applyFont="1" applyFill="1"/>
    <xf numFmtId="43" fontId="18" fillId="0" borderId="5" xfId="2" applyFont="1" applyFill="1" applyBorder="1" applyAlignment="1">
      <alignment horizontal="center"/>
    </xf>
    <xf numFmtId="43" fontId="18" fillId="0" borderId="0" xfId="2" applyFont="1" applyFill="1" applyBorder="1" applyAlignment="1">
      <alignment horizontal="center"/>
    </xf>
    <xf numFmtId="43" fontId="19" fillId="0" borderId="0" xfId="2" applyNumberFormat="1" applyFont="1" applyFill="1"/>
    <xf numFmtId="43" fontId="19" fillId="0" borderId="0" xfId="0" applyNumberFormat="1" applyFont="1" applyFill="1"/>
    <xf numFmtId="0" fontId="19" fillId="0" borderId="0" xfId="0" applyNumberFormat="1" applyFont="1" applyFill="1" applyBorder="1"/>
    <xf numFmtId="43" fontId="19" fillId="0" borderId="0" xfId="0" applyNumberFormat="1" applyFont="1" applyFill="1" applyBorder="1"/>
    <xf numFmtId="0" fontId="19" fillId="0" borderId="0" xfId="0" quotePrefix="1" applyNumberFormat="1" applyFont="1" applyFill="1" applyAlignment="1">
      <alignment horizontal="left"/>
    </xf>
    <xf numFmtId="43" fontId="19" fillId="0" borderId="0" xfId="2" applyFont="1" applyFill="1" applyBorder="1"/>
    <xf numFmtId="39" fontId="19" fillId="0" borderId="0" xfId="3" applyNumberFormat="1" applyFont="1" applyFill="1" applyBorder="1"/>
    <xf numFmtId="39" fontId="19" fillId="0" borderId="0" xfId="3" applyNumberFormat="1" applyFont="1" applyFill="1"/>
    <xf numFmtId="43" fontId="19" fillId="0" borderId="5" xfId="2" applyFont="1" applyFill="1" applyBorder="1"/>
    <xf numFmtId="43" fontId="19" fillId="0" borderId="5" xfId="0" applyNumberFormat="1" applyFont="1" applyFill="1" applyBorder="1"/>
    <xf numFmtId="43" fontId="19" fillId="0" borderId="7" xfId="2" applyFont="1" applyFill="1" applyBorder="1"/>
    <xf numFmtId="44" fontId="19" fillId="0" borderId="0" xfId="3" applyFont="1" applyFill="1"/>
    <xf numFmtId="44" fontId="19" fillId="0" borderId="0" xfId="3" applyFont="1" applyFill="1" applyBorder="1"/>
    <xf numFmtId="164" fontId="18" fillId="0" borderId="0" xfId="0" applyNumberFormat="1" applyFont="1" applyFill="1"/>
    <xf numFmtId="0" fontId="17" fillId="0" borderId="0" xfId="4" applyFont="1" applyFill="1" applyProtection="1">
      <protection locked="0"/>
    </xf>
    <xf numFmtId="0" fontId="19" fillId="0" borderId="0" xfId="4" applyFont="1" applyFill="1"/>
    <xf numFmtId="0" fontId="18" fillId="0" borderId="0" xfId="4" applyFont="1" applyFill="1"/>
    <xf numFmtId="0" fontId="19" fillId="0" borderId="0" xfId="8207" applyFont="1"/>
    <xf numFmtId="0" fontId="19" fillId="0" borderId="0" xfId="8667" applyFont="1" applyFill="1" applyBorder="1" applyAlignment="1">
      <alignment horizontal="left"/>
    </xf>
    <xf numFmtId="0" fontId="85" fillId="0" borderId="0" xfId="8667" applyFont="1" applyFill="1" applyBorder="1" applyAlignment="1">
      <alignment horizontal="left"/>
    </xf>
    <xf numFmtId="0" fontId="85" fillId="0" borderId="0" xfId="8667" applyFont="1" applyFill="1" applyBorder="1" applyAlignment="1">
      <alignment horizontal="left" vertical="top"/>
    </xf>
    <xf numFmtId="174" fontId="85" fillId="0" borderId="0" xfId="8667" applyNumberFormat="1" applyFont="1" applyFill="1" applyBorder="1" applyAlignment="1">
      <alignment horizontal="center" wrapText="1"/>
    </xf>
    <xf numFmtId="0" fontId="19" fillId="0" borderId="0" xfId="8667" applyFont="1" applyFill="1" applyBorder="1" applyAlignment="1">
      <alignment horizontal="center" wrapText="1"/>
    </xf>
    <xf numFmtId="173" fontId="85" fillId="0" borderId="0" xfId="8668" applyNumberFormat="1" applyFont="1" applyFill="1" applyBorder="1" applyAlignment="1">
      <alignment horizontal="right" vertical="top" wrapText="1"/>
    </xf>
    <xf numFmtId="0" fontId="85" fillId="0" borderId="0" xfId="8667" applyFont="1" applyFill="1" applyBorder="1" applyAlignment="1">
      <alignment horizontal="center" wrapText="1"/>
    </xf>
    <xf numFmtId="0" fontId="85" fillId="0" borderId="0" xfId="8667" applyFont="1" applyFill="1" applyBorder="1" applyAlignment="1">
      <alignment horizontal="right"/>
    </xf>
    <xf numFmtId="0" fontId="19" fillId="0" borderId="0" xfId="8667" applyFont="1" applyFill="1" applyBorder="1" applyAlignment="1">
      <alignment horizontal="right"/>
    </xf>
    <xf numFmtId="0" fontId="19" fillId="0" borderId="6" xfId="8667" applyFont="1" applyFill="1" applyBorder="1" applyAlignment="1">
      <alignment horizontal="center" wrapText="1"/>
    </xf>
    <xf numFmtId="173" fontId="85" fillId="0" borderId="0" xfId="8668" applyNumberFormat="1" applyFont="1" applyFill="1" applyBorder="1" applyAlignment="1">
      <alignment horizontal="right" vertical="center" wrapText="1"/>
    </xf>
    <xf numFmtId="0" fontId="19" fillId="0" borderId="0" xfId="8667" applyFont="1" applyFill="1" applyBorder="1" applyAlignment="1">
      <alignment horizontal="left" wrapText="1"/>
    </xf>
    <xf numFmtId="0" fontId="19" fillId="0" borderId="6" xfId="8667" applyFont="1" applyFill="1" applyBorder="1" applyAlignment="1">
      <alignment horizontal="left" wrapText="1"/>
    </xf>
    <xf numFmtId="0" fontId="85" fillId="0" borderId="6" xfId="8667" applyFont="1" applyFill="1" applyBorder="1" applyAlignment="1">
      <alignment horizontal="center" wrapText="1"/>
    </xf>
    <xf numFmtId="0" fontId="19" fillId="0" borderId="6" xfId="8667" applyFont="1" applyFill="1" applyBorder="1" applyAlignment="1">
      <alignment horizontal="left" vertical="center" wrapText="1"/>
    </xf>
    <xf numFmtId="173" fontId="85" fillId="0" borderId="6" xfId="8668" applyNumberFormat="1" applyFont="1" applyFill="1" applyBorder="1" applyAlignment="1">
      <alignment horizontal="center" vertical="center" wrapText="1"/>
    </xf>
    <xf numFmtId="49" fontId="19" fillId="0" borderId="0" xfId="8667" applyNumberFormat="1" applyFont="1" applyFill="1" applyBorder="1" applyAlignment="1">
      <alignment horizontal="center"/>
    </xf>
    <xf numFmtId="49" fontId="19" fillId="0" borderId="0" xfId="8667" applyNumberFormat="1" applyFont="1" applyFill="1" applyBorder="1" applyAlignment="1">
      <alignment horizontal="center"/>
    </xf>
    <xf numFmtId="0" fontId="75" fillId="0" borderId="0" xfId="8667" applyFont="1" applyFill="1" applyBorder="1" applyAlignment="1">
      <alignment horizontal="left" vertical="center" wrapText="1"/>
    </xf>
    <xf numFmtId="0" fontId="18" fillId="0" borderId="0" xfId="0" applyNumberFormat="1" applyFont="1" applyFill="1" applyAlignment="1" applyProtection="1"/>
    <xf numFmtId="165" fontId="18" fillId="0" borderId="0" xfId="0" quotePrefix="1" applyNumberFormat="1" applyFont="1" applyFill="1" applyAlignment="1"/>
    <xf numFmtId="165" fontId="18" fillId="0" borderId="0" xfId="0" applyNumberFormat="1" applyFont="1" applyFill="1" applyAlignment="1"/>
    <xf numFmtId="164" fontId="18" fillId="0" borderId="0" xfId="0" applyNumberFormat="1" applyFont="1" applyFill="1" applyAlignment="1" applyProtection="1"/>
    <xf numFmtId="0" fontId="18" fillId="0" borderId="0" xfId="4" applyFont="1" applyFill="1" applyAlignment="1" applyProtection="1"/>
    <xf numFmtId="173" fontId="85" fillId="0" borderId="0" xfId="8668" applyNumberFormat="1" applyFont="1" applyFill="1" applyBorder="1" applyAlignment="1">
      <alignment horizontal="right" wrapText="1"/>
    </xf>
    <xf numFmtId="173" fontId="18" fillId="0" borderId="0" xfId="8668" applyNumberFormat="1" applyFont="1" applyFill="1" applyBorder="1" applyAlignment="1">
      <alignment horizontal="right" wrapText="1"/>
    </xf>
    <xf numFmtId="173" fontId="19" fillId="0" borderId="0" xfId="8668" applyNumberFormat="1" applyFont="1" applyFill="1" applyBorder="1" applyAlignment="1">
      <alignment horizontal="right" wrapText="1"/>
    </xf>
    <xf numFmtId="173" fontId="19" fillId="0" borderId="5" xfId="8668" applyNumberFormat="1" applyFont="1" applyFill="1" applyBorder="1" applyAlignment="1">
      <alignment horizontal="right" wrapText="1"/>
    </xf>
    <xf numFmtId="0" fontId="75" fillId="0" borderId="0" xfId="8207" applyFont="1" applyAlignment="1">
      <alignment vertical="center"/>
    </xf>
    <xf numFmtId="0" fontId="19" fillId="0" borderId="0" xfId="8667" applyFont="1" applyFill="1" applyBorder="1" applyAlignment="1">
      <alignment horizontal="center"/>
    </xf>
    <xf numFmtId="49" fontId="19" fillId="0" borderId="0" xfId="8667" applyNumberFormat="1" applyFont="1" applyFill="1" applyBorder="1" applyAlignment="1">
      <alignment horizontal="center"/>
    </xf>
    <xf numFmtId="173" fontId="85" fillId="0" borderId="0" xfId="8667" applyNumberFormat="1" applyFont="1" applyFill="1" applyBorder="1" applyAlignment="1">
      <alignment horizontal="left" vertical="top"/>
    </xf>
    <xf numFmtId="173" fontId="85" fillId="0" borderId="27" xfId="8668" applyNumberFormat="1" applyFont="1" applyFill="1" applyBorder="1" applyAlignment="1">
      <alignment horizontal="right" wrapText="1"/>
    </xf>
    <xf numFmtId="173" fontId="85" fillId="0" borderId="0" xfId="8668" applyNumberFormat="1" applyFont="1" applyFill="1" applyBorder="1" applyAlignment="1">
      <alignment horizontal="center" vertical="center" wrapText="1"/>
    </xf>
    <xf numFmtId="0" fontId="85" fillId="0" borderId="6" xfId="8667" applyFont="1" applyFill="1" applyBorder="1" applyAlignment="1">
      <alignment horizontal="left"/>
    </xf>
    <xf numFmtId="0" fontId="85" fillId="0" borderId="6" xfId="8667" applyFont="1" applyFill="1" applyBorder="1" applyAlignment="1">
      <alignment horizontal="center"/>
    </xf>
    <xf numFmtId="0" fontId="19" fillId="0" borderId="5" xfId="8667" applyFont="1" applyFill="1" applyBorder="1" applyAlignment="1">
      <alignment horizontal="center" wrapText="1"/>
    </xf>
    <xf numFmtId="0" fontId="85" fillId="0" borderId="0" xfId="8667" applyFont="1" applyFill="1" applyBorder="1" applyAlignment="1">
      <alignment horizontal="center" vertical="center" wrapText="1"/>
    </xf>
    <xf numFmtId="0" fontId="17" fillId="54" borderId="0" xfId="8670" applyNumberFormat="1" applyFont="1" applyFill="1" applyProtection="1">
      <protection locked="0"/>
    </xf>
    <xf numFmtId="175" fontId="17" fillId="0" borderId="0" xfId="8670" applyNumberFormat="1" applyFont="1" applyProtection="1">
      <protection locked="0"/>
    </xf>
    <xf numFmtId="173" fontId="17" fillId="0" borderId="0" xfId="3236" applyNumberFormat="1" applyFont="1" applyProtection="1"/>
    <xf numFmtId="164" fontId="17" fillId="0" borderId="0" xfId="8670" applyFont="1" applyProtection="1"/>
    <xf numFmtId="164" fontId="19" fillId="0" borderId="0" xfId="8670" applyFont="1"/>
    <xf numFmtId="0" fontId="17" fillId="0" borderId="0" xfId="8670" applyNumberFormat="1" applyFont="1"/>
    <xf numFmtId="176" fontId="17" fillId="0" borderId="0" xfId="8670" applyNumberFormat="1" applyFont="1" applyAlignment="1" applyProtection="1">
      <alignment horizontal="left"/>
    </xf>
    <xf numFmtId="164" fontId="17" fillId="0" borderId="0" xfId="8670" applyFont="1"/>
    <xf numFmtId="164" fontId="17" fillId="0" borderId="0" xfId="8670" applyFont="1" applyAlignment="1" applyProtection="1">
      <alignment horizontal="left"/>
      <protection locked="0"/>
    </xf>
    <xf numFmtId="177" fontId="17" fillId="0" borderId="0" xfId="8670" applyNumberFormat="1" applyFont="1" applyAlignment="1" applyProtection="1">
      <alignment horizontal="left"/>
    </xf>
    <xf numFmtId="164" fontId="17" fillId="0" borderId="0" xfId="8670" applyFont="1" applyAlignment="1" applyProtection="1">
      <alignment horizontal="center"/>
      <protection locked="0"/>
    </xf>
    <xf numFmtId="164" fontId="17" fillId="0" borderId="0" xfId="8670" applyFont="1" applyAlignment="1" applyProtection="1">
      <alignment horizontal="center"/>
    </xf>
    <xf numFmtId="164" fontId="17" fillId="0" borderId="0" xfId="8670" quotePrefix="1" applyFont="1" applyAlignment="1" applyProtection="1">
      <alignment horizontal="center"/>
      <protection locked="0"/>
    </xf>
    <xf numFmtId="37" fontId="17" fillId="0" borderId="0" xfId="8670" applyNumberFormat="1" applyFont="1"/>
    <xf numFmtId="37" fontId="17" fillId="0" borderId="0" xfId="8670" applyNumberFormat="1" applyFont="1" applyAlignment="1" applyProtection="1">
      <alignment horizontal="left"/>
      <protection locked="0"/>
    </xf>
    <xf numFmtId="164" fontId="17" fillId="0" borderId="0" xfId="8670" applyFont="1" applyAlignment="1">
      <alignment horizontal="center"/>
    </xf>
    <xf numFmtId="164" fontId="17" fillId="0" borderId="0" xfId="8670" applyFont="1" applyAlignment="1" applyProtection="1">
      <alignment horizontal="left"/>
    </xf>
    <xf numFmtId="164" fontId="17" fillId="0" borderId="0" xfId="8670" quotePrefix="1" applyFont="1" applyAlignment="1" applyProtection="1">
      <alignment horizontal="center"/>
    </xf>
    <xf numFmtId="37" fontId="17" fillId="0" borderId="0" xfId="8671" applyFont="1" applyAlignment="1" applyProtection="1">
      <alignment horizontal="center"/>
    </xf>
    <xf numFmtId="164" fontId="17" fillId="0" borderId="0" xfId="8670" applyFont="1" applyProtection="1">
      <protection locked="0"/>
    </xf>
    <xf numFmtId="173" fontId="17" fillId="0" borderId="0" xfId="3236" applyNumberFormat="1" applyFont="1"/>
    <xf numFmtId="173" fontId="19" fillId="0" borderId="0" xfId="3236" applyNumberFormat="1" applyFont="1"/>
    <xf numFmtId="10" fontId="17" fillId="0" borderId="0" xfId="6291" applyNumberFormat="1" applyFont="1"/>
    <xf numFmtId="178" fontId="17" fillId="0" borderId="0" xfId="6291" applyNumberFormat="1" applyFont="1"/>
    <xf numFmtId="179" fontId="17" fillId="0" borderId="0" xfId="3236" applyNumberFormat="1" applyFont="1"/>
    <xf numFmtId="0" fontId="17" fillId="0" borderId="0" xfId="8670" applyNumberFormat="1" applyFont="1" applyProtection="1"/>
    <xf numFmtId="180" fontId="17" fillId="0" borderId="0" xfId="8672" applyNumberFormat="1" applyFont="1"/>
    <xf numFmtId="0" fontId="19" fillId="0" borderId="0" xfId="8670" applyNumberFormat="1" applyFont="1"/>
    <xf numFmtId="180" fontId="19" fillId="0" borderId="0" xfId="8672" applyNumberFormat="1" applyFont="1"/>
    <xf numFmtId="0" fontId="17" fillId="0" borderId="0" xfId="8670" applyNumberFormat="1" applyFont="1" applyAlignment="1">
      <alignment horizontal="center"/>
    </xf>
    <xf numFmtId="181" fontId="85" fillId="0" borderId="0" xfId="8669" applyNumberFormat="1" applyFont="1" applyFill="1" applyBorder="1" applyAlignment="1">
      <alignment horizontal="right" wrapText="1"/>
    </xf>
    <xf numFmtId="173" fontId="85" fillId="0" borderId="5" xfId="8668" applyNumberFormat="1" applyFont="1" applyFill="1" applyBorder="1" applyAlignment="1">
      <alignment horizontal="right" wrapText="1"/>
    </xf>
    <xf numFmtId="0" fontId="19" fillId="0" borderId="0" xfId="8667" applyFont="1" applyFill="1" applyBorder="1" applyAlignment="1">
      <alignment horizontal="left" vertical="center" wrapText="1"/>
    </xf>
    <xf numFmtId="181" fontId="85" fillId="0" borderId="0" xfId="8669" applyNumberFormat="1" applyFont="1" applyFill="1" applyBorder="1" applyAlignment="1">
      <alignment horizontal="right" vertical="top" wrapText="1"/>
    </xf>
    <xf numFmtId="181" fontId="19" fillId="0" borderId="0" xfId="8669" applyNumberFormat="1" applyFont="1" applyFill="1" applyBorder="1" applyAlignment="1">
      <alignment horizontal="right" wrapText="1"/>
    </xf>
    <xf numFmtId="181" fontId="85" fillId="0" borderId="0" xfId="8669" applyNumberFormat="1" applyFont="1" applyFill="1" applyBorder="1" applyAlignment="1">
      <alignment horizontal="left" vertical="top"/>
    </xf>
    <xf numFmtId="173" fontId="85" fillId="0" borderId="0" xfId="8667" applyNumberFormat="1" applyFont="1" applyFill="1" applyBorder="1" applyAlignment="1">
      <alignment horizontal="right"/>
    </xf>
    <xf numFmtId="181" fontId="85" fillId="0" borderId="0" xfId="8669" applyNumberFormat="1" applyFont="1" applyFill="1" applyBorder="1" applyAlignment="1">
      <alignment horizontal="right"/>
    </xf>
    <xf numFmtId="49" fontId="19" fillId="0" borderId="0" xfId="8667" applyNumberFormat="1" applyFont="1" applyFill="1" applyBorder="1" applyAlignment="1">
      <alignment horizontal="center"/>
    </xf>
    <xf numFmtId="0" fontId="89" fillId="0" borderId="0" xfId="8667" applyFont="1" applyFill="1" applyBorder="1" applyAlignment="1">
      <alignment horizontal="left"/>
    </xf>
    <xf numFmtId="0" fontId="89" fillId="0" borderId="0" xfId="8667" applyFont="1" applyFill="1" applyBorder="1" applyAlignment="1">
      <alignment horizontal="center" wrapText="1"/>
    </xf>
    <xf numFmtId="0" fontId="85" fillId="0" borderId="0" xfId="8667" applyFont="1" applyFill="1" applyBorder="1" applyAlignment="1">
      <alignment horizontal="center"/>
    </xf>
    <xf numFmtId="49" fontId="19" fillId="0" borderId="6" xfId="8667" applyNumberFormat="1" applyFont="1" applyFill="1" applyBorder="1" applyAlignment="1">
      <alignment horizontal="center" wrapText="1"/>
    </xf>
    <xf numFmtId="49" fontId="85" fillId="0" borderId="0" xfId="8667" applyNumberFormat="1" applyFont="1" applyFill="1" applyBorder="1" applyAlignment="1">
      <alignment horizontal="left" vertical="top"/>
    </xf>
    <xf numFmtId="49" fontId="85" fillId="0" borderId="0" xfId="8667" applyNumberFormat="1" applyFont="1" applyFill="1" applyBorder="1" applyAlignment="1">
      <alignment horizontal="center"/>
    </xf>
    <xf numFmtId="182" fontId="85" fillId="0" borderId="0" xfId="8668" quotePrefix="1" applyNumberFormat="1" applyFont="1" applyFill="1" applyBorder="1" applyAlignment="1">
      <alignment horizontal="center" wrapText="1"/>
    </xf>
    <xf numFmtId="182" fontId="85" fillId="0" borderId="0" xfId="8667" applyNumberFormat="1" applyFont="1" applyFill="1" applyBorder="1" applyAlignment="1">
      <alignment horizontal="center"/>
    </xf>
    <xf numFmtId="0" fontId="85" fillId="0" borderId="0" xfId="8667" applyFont="1" applyFill="1" applyBorder="1" applyAlignment="1">
      <alignment horizontal="left" wrapText="1"/>
    </xf>
    <xf numFmtId="9" fontId="85" fillId="0" borderId="0" xfId="8667" applyNumberFormat="1" applyFont="1" applyFill="1" applyBorder="1" applyAlignment="1">
      <alignment horizontal="left" vertical="top"/>
    </xf>
    <xf numFmtId="9" fontId="85" fillId="0" borderId="0" xfId="8667" applyNumberFormat="1" applyFont="1" applyFill="1" applyBorder="1" applyAlignment="1">
      <alignment horizontal="center"/>
    </xf>
    <xf numFmtId="0" fontId="85" fillId="0" borderId="5" xfId="8667" applyFont="1" applyFill="1" applyBorder="1" applyAlignment="1">
      <alignment horizontal="center" wrapText="1"/>
    </xf>
    <xf numFmtId="10" fontId="85" fillId="0" borderId="0" xfId="8669" applyNumberFormat="1" applyFont="1" applyFill="1" applyBorder="1" applyAlignment="1">
      <alignment horizontal="right" wrapText="1"/>
    </xf>
    <xf numFmtId="9" fontId="85" fillId="0" borderId="0" xfId="8669" applyNumberFormat="1" applyFont="1" applyFill="1" applyBorder="1" applyAlignment="1">
      <alignment horizontal="right" wrapText="1"/>
    </xf>
    <xf numFmtId="9" fontId="85" fillId="0" borderId="0" xfId="8668" applyNumberFormat="1" applyFont="1" applyFill="1" applyBorder="1" applyAlignment="1">
      <alignment horizontal="right" wrapText="1"/>
    </xf>
    <xf numFmtId="9" fontId="85" fillId="0" borderId="0" xfId="8668" applyNumberFormat="1" applyFont="1" applyFill="1" applyBorder="1" applyAlignment="1">
      <alignment horizontal="right" vertical="top" wrapText="1"/>
    </xf>
    <xf numFmtId="49" fontId="85" fillId="0" borderId="0" xfId="8668" applyNumberFormat="1" applyFont="1" applyFill="1" applyBorder="1" applyAlignment="1">
      <alignment horizontal="right" wrapText="1"/>
    </xf>
    <xf numFmtId="49" fontId="19" fillId="0" borderId="0" xfId="8668" applyNumberFormat="1" applyFont="1" applyFill="1" applyBorder="1" applyAlignment="1">
      <alignment horizontal="right" wrapText="1"/>
    </xf>
    <xf numFmtId="49" fontId="85" fillId="0" borderId="0" xfId="8668" applyNumberFormat="1" applyFont="1" applyFill="1" applyBorder="1" applyAlignment="1">
      <alignment horizontal="right" vertical="top" wrapText="1"/>
    </xf>
    <xf numFmtId="49" fontId="19" fillId="0" borderId="0" xfId="8667" applyNumberFormat="1" applyFont="1" applyFill="1" applyBorder="1" applyAlignment="1">
      <alignment horizontal="center"/>
    </xf>
    <xf numFmtId="0" fontId="19" fillId="0" borderId="28" xfId="8667" applyFont="1" applyFill="1" applyBorder="1" applyAlignment="1">
      <alignment horizontal="center" wrapText="1"/>
    </xf>
    <xf numFmtId="0" fontId="19" fillId="0" borderId="28" xfId="8667" applyFont="1" applyFill="1" applyBorder="1" applyAlignment="1">
      <alignment horizontal="left" wrapText="1"/>
    </xf>
    <xf numFmtId="0" fontId="19" fillId="0" borderId="5" xfId="8667" applyFont="1" applyFill="1" applyBorder="1" applyAlignment="1">
      <alignment horizontal="left" wrapText="1"/>
    </xf>
    <xf numFmtId="49" fontId="20" fillId="0" borderId="0" xfId="1" applyNumberFormat="1" applyFont="1" applyAlignment="1">
      <alignment horizontal="right" wrapText="1"/>
    </xf>
    <xf numFmtId="186" fontId="21" fillId="0" borderId="0" xfId="1" applyNumberFormat="1" applyFont="1" applyAlignment="1">
      <alignment horizontal="left"/>
    </xf>
    <xf numFmtId="186" fontId="20" fillId="0" borderId="0" xfId="1" applyNumberFormat="1" applyFont="1" applyAlignment="1">
      <alignment horizontal="right"/>
    </xf>
    <xf numFmtId="186" fontId="20" fillId="0" borderId="0" xfId="1" applyNumberFormat="1" applyFont="1" applyAlignment="1">
      <alignment horizontal="left"/>
    </xf>
    <xf numFmtId="37" fontId="19" fillId="0" borderId="0" xfId="8674" applyNumberFormat="1" applyFont="1" applyFill="1" applyAlignment="1">
      <alignment horizontal="centerContinuous"/>
    </xf>
    <xf numFmtId="37" fontId="19" fillId="0" borderId="0" xfId="8674" applyNumberFormat="1" applyFont="1" applyFill="1"/>
    <xf numFmtId="37" fontId="19" fillId="0" borderId="0" xfId="8674" applyNumberFormat="1" applyFont="1" applyFill="1" applyAlignment="1"/>
    <xf numFmtId="37" fontId="19" fillId="0" borderId="0" xfId="8674" applyNumberFormat="1" applyFont="1" applyFill="1" applyAlignment="1" applyProtection="1">
      <alignment horizontal="centerContinuous"/>
      <protection locked="0"/>
    </xf>
    <xf numFmtId="37" fontId="19" fillId="0" borderId="0" xfId="8674" applyNumberFormat="1" applyFont="1" applyFill="1" applyAlignment="1">
      <alignment horizontal="right"/>
    </xf>
    <xf numFmtId="0" fontId="19" fillId="0" borderId="0" xfId="8674" applyFont="1" applyFill="1"/>
    <xf numFmtId="0" fontId="19" fillId="0" borderId="0" xfId="8674" applyFont="1" applyFill="1" applyAlignment="1">
      <alignment horizontal="center"/>
    </xf>
    <xf numFmtId="173" fontId="19" fillId="0" borderId="0" xfId="3236" applyNumberFormat="1" applyFont="1" applyFill="1"/>
    <xf numFmtId="37" fontId="19" fillId="0" borderId="29" xfId="8674" applyNumberFormat="1" applyFont="1" applyFill="1" applyBorder="1" applyAlignment="1"/>
    <xf numFmtId="37" fontId="19" fillId="0" borderId="0" xfId="8674" applyNumberFormat="1" applyFont="1" applyFill="1" applyAlignment="1">
      <alignment horizontal="center"/>
    </xf>
    <xf numFmtId="183" fontId="19" fillId="0" borderId="0" xfId="8674" applyNumberFormat="1" applyFont="1" applyFill="1" applyAlignment="1">
      <alignment horizontal="center"/>
    </xf>
    <xf numFmtId="37" fontId="19" fillId="0" borderId="29" xfId="8674" applyNumberFormat="1" applyFont="1" applyFill="1" applyBorder="1" applyAlignment="1">
      <alignment horizontal="center"/>
    </xf>
    <xf numFmtId="37" fontId="19" fillId="0" borderId="29" xfId="8674" applyNumberFormat="1" applyFont="1" applyFill="1" applyBorder="1"/>
    <xf numFmtId="37" fontId="75" fillId="0" borderId="0" xfId="8674" applyNumberFormat="1" applyFont="1" applyFill="1" applyAlignment="1"/>
    <xf numFmtId="10" fontId="19" fillId="0" borderId="0" xfId="8674" applyNumberFormat="1" applyFont="1" applyFill="1"/>
    <xf numFmtId="37" fontId="19" fillId="0" borderId="0" xfId="8674" applyNumberFormat="1" applyFont="1" applyFill="1" applyAlignment="1" applyProtection="1">
      <protection locked="0"/>
    </xf>
    <xf numFmtId="37" fontId="19" fillId="0" borderId="0" xfId="8674" applyNumberFormat="1" applyFont="1" applyFill="1" applyProtection="1">
      <protection locked="0"/>
    </xf>
    <xf numFmtId="10" fontId="19" fillId="0" borderId="0" xfId="8674" applyNumberFormat="1" applyFont="1" applyFill="1" applyAlignment="1"/>
    <xf numFmtId="187" fontId="19" fillId="0" borderId="0" xfId="8674" applyNumberFormat="1" applyFont="1" applyFill="1" applyAlignment="1"/>
    <xf numFmtId="37" fontId="19" fillId="0" borderId="0" xfId="8674" applyNumberFormat="1" applyFont="1" applyFill="1" applyAlignment="1">
      <alignment horizontal="left"/>
    </xf>
    <xf numFmtId="37" fontId="19" fillId="0" borderId="0" xfId="8674" applyNumberFormat="1" applyFont="1" applyFill="1" applyBorder="1"/>
    <xf numFmtId="37" fontId="88" fillId="0" borderId="0" xfId="8674" applyNumberFormat="1" applyFont="1" applyFill="1" applyAlignment="1"/>
    <xf numFmtId="37" fontId="19" fillId="0" borderId="0" xfId="8674" applyNumberFormat="1" applyFont="1" applyFill="1" applyAlignment="1">
      <alignment horizontal="center"/>
    </xf>
    <xf numFmtId="0" fontId="19" fillId="0" borderId="0" xfId="8667" quotePrefix="1" applyFont="1" applyFill="1" applyBorder="1" applyAlignment="1">
      <alignment horizontal="left" wrapText="1"/>
    </xf>
    <xf numFmtId="37" fontId="19" fillId="0" borderId="0" xfId="8674" applyNumberFormat="1" applyFont="1" applyFill="1" applyAlignment="1">
      <alignment horizontal="center"/>
    </xf>
    <xf numFmtId="37" fontId="75" fillId="0" borderId="0" xfId="8674" applyNumberFormat="1" applyFont="1" applyFill="1" applyAlignment="1">
      <alignment horizontal="center"/>
    </xf>
    <xf numFmtId="5" fontId="19" fillId="0" borderId="0" xfId="8674" applyNumberFormat="1" applyFont="1" applyFill="1" applyBorder="1" applyAlignment="1"/>
    <xf numFmtId="10" fontId="19" fillId="0" borderId="0" xfId="8674" applyNumberFormat="1" applyFont="1" applyFill="1" applyBorder="1"/>
    <xf numFmtId="37" fontId="19" fillId="0" borderId="0" xfId="8674" applyNumberFormat="1" applyFont="1" applyFill="1" applyBorder="1" applyAlignment="1"/>
    <xf numFmtId="10" fontId="19" fillId="0" borderId="0" xfId="8674" applyNumberFormat="1" applyFont="1" applyFill="1" applyBorder="1" applyAlignment="1"/>
    <xf numFmtId="37" fontId="19" fillId="0" borderId="0" xfId="8674" applyNumberFormat="1" applyFont="1" applyFill="1" applyBorder="1" applyProtection="1">
      <protection locked="0"/>
    </xf>
    <xf numFmtId="188" fontId="19" fillId="0" borderId="0" xfId="3834" applyNumberFormat="1" applyFont="1" applyFill="1"/>
    <xf numFmtId="188" fontId="19" fillId="0" borderId="28" xfId="3834" applyNumberFormat="1" applyFont="1" applyFill="1" applyBorder="1"/>
    <xf numFmtId="37" fontId="19" fillId="0" borderId="0" xfId="0" applyFont="1" applyFill="1"/>
    <xf numFmtId="5" fontId="19" fillId="0" borderId="0" xfId="0" applyNumberFormat="1" applyFont="1" applyFill="1"/>
    <xf numFmtId="188" fontId="19" fillId="0" borderId="28" xfId="3834" quotePrefix="1" applyNumberFormat="1" applyFont="1" applyFill="1" applyBorder="1"/>
    <xf numFmtId="173" fontId="19" fillId="0" borderId="0" xfId="3236" applyNumberFormat="1" applyFont="1" applyFill="1" applyProtection="1">
      <protection locked="0"/>
    </xf>
    <xf numFmtId="188" fontId="19" fillId="0" borderId="0" xfId="0" applyNumberFormat="1" applyFont="1" applyFill="1"/>
    <xf numFmtId="188" fontId="19" fillId="0" borderId="27" xfId="3834" applyNumberFormat="1" applyFont="1" applyFill="1" applyBorder="1"/>
    <xf numFmtId="188" fontId="19" fillId="0" borderId="0" xfId="3834" applyNumberFormat="1" applyFont="1" applyFill="1" applyProtection="1">
      <protection locked="0"/>
    </xf>
    <xf numFmtId="173" fontId="19" fillId="0" borderId="5" xfId="3236" applyNumberFormat="1" applyFont="1" applyFill="1" applyBorder="1" applyProtection="1">
      <protection locked="0"/>
    </xf>
    <xf numFmtId="173" fontId="19" fillId="0" borderId="0" xfId="3236" applyNumberFormat="1" applyFont="1" applyFill="1" applyBorder="1" applyProtection="1">
      <protection locked="0"/>
    </xf>
    <xf numFmtId="5" fontId="19" fillId="0" borderId="0" xfId="8674" applyNumberFormat="1" applyFont="1" applyFill="1" applyBorder="1" applyProtection="1">
      <protection locked="0"/>
    </xf>
    <xf numFmtId="49" fontId="19" fillId="0" borderId="0" xfId="8667" applyNumberFormat="1" applyFont="1" applyFill="1" applyBorder="1" applyAlignment="1">
      <alignment horizontal="center"/>
    </xf>
    <xf numFmtId="185" fontId="19" fillId="0" borderId="0" xfId="8668" applyNumberFormat="1" applyFont="1" applyFill="1" applyBorder="1" applyAlignment="1">
      <alignment horizontal="right" wrapText="1"/>
    </xf>
    <xf numFmtId="185" fontId="19" fillId="0" borderId="0" xfId="8668" quotePrefix="1" applyNumberFormat="1" applyFont="1" applyFill="1" applyBorder="1" applyAlignment="1">
      <alignment horizontal="right" wrapText="1"/>
    </xf>
    <xf numFmtId="0" fontId="85" fillId="0" borderId="0" xfId="8667" quotePrefix="1" applyFont="1" applyFill="1" applyBorder="1" applyAlignment="1">
      <alignment horizontal="center"/>
    </xf>
    <xf numFmtId="175" fontId="19" fillId="0" borderId="0" xfId="8677" applyNumberFormat="1" applyFont="1" applyAlignment="1" applyProtection="1">
      <alignment horizontal="left"/>
    </xf>
    <xf numFmtId="0" fontId="19" fillId="0" borderId="0" xfId="8677" applyFont="1"/>
    <xf numFmtId="0" fontId="19" fillId="0" borderId="0" xfId="8677" applyFont="1" applyAlignment="1" applyProtection="1">
      <alignment horizontal="left"/>
    </xf>
    <xf numFmtId="0" fontId="88" fillId="0" borderId="0" xfId="8677" applyFont="1" applyBorder="1" applyAlignment="1" applyProtection="1">
      <alignment horizontal="left"/>
    </xf>
    <xf numFmtId="0" fontId="88" fillId="0" borderId="0" xfId="8677" applyFont="1" applyBorder="1"/>
    <xf numFmtId="0" fontId="19" fillId="0" borderId="0" xfId="8677" applyFont="1" applyBorder="1"/>
    <xf numFmtId="0" fontId="19" fillId="0" borderId="0" xfId="8677" applyFont="1" applyFill="1" applyAlignment="1" applyProtection="1">
      <alignment horizontal="left"/>
    </xf>
    <xf numFmtId="0" fontId="19" fillId="0" borderId="0" xfId="8677" applyFont="1" applyFill="1"/>
    <xf numFmtId="49" fontId="19" fillId="0" borderId="0" xfId="8671" applyNumberFormat="1" applyFont="1"/>
    <xf numFmtId="0" fontId="85" fillId="0" borderId="0" xfId="8667" applyFont="1" applyFill="1" applyBorder="1" applyAlignment="1">
      <alignment horizontal="center"/>
    </xf>
    <xf numFmtId="180" fontId="19" fillId="0" borderId="0" xfId="8674" applyNumberFormat="1" applyFont="1" applyFill="1" applyAlignment="1"/>
    <xf numFmtId="49" fontId="19" fillId="0" borderId="0" xfId="8667" applyNumberFormat="1" applyFont="1" applyFill="1" applyBorder="1" applyAlignment="1">
      <alignment horizontal="center"/>
    </xf>
    <xf numFmtId="0" fontId="85" fillId="0" borderId="0" xfId="8667" applyFont="1" applyFill="1" applyBorder="1" applyAlignment="1">
      <alignment horizontal="center"/>
    </xf>
    <xf numFmtId="0" fontId="18" fillId="0" borderId="0" xfId="8667" applyFont="1" applyFill="1" applyBorder="1" applyAlignment="1">
      <alignment horizontal="left" wrapText="1"/>
    </xf>
    <xf numFmtId="190" fontId="19" fillId="0" borderId="0" xfId="8766" applyNumberFormat="1" applyFont="1" applyFill="1" applyBorder="1" applyAlignment="1" applyProtection="1"/>
    <xf numFmtId="0" fontId="85" fillId="0" borderId="5" xfId="8667" applyFont="1" applyFill="1" applyBorder="1" applyAlignment="1">
      <alignment horizontal="left" vertical="top"/>
    </xf>
    <xf numFmtId="181" fontId="19" fillId="0" borderId="0" xfId="8779" applyNumberFormat="1" applyFont="1" applyFill="1" applyBorder="1" applyAlignment="1">
      <alignment horizontal="right" wrapText="1"/>
    </xf>
    <xf numFmtId="49" fontId="19" fillId="0" borderId="0" xfId="8667" applyNumberFormat="1" applyFont="1" applyFill="1" applyBorder="1" applyAlignment="1">
      <alignment horizontal="center"/>
    </xf>
    <xf numFmtId="0" fontId="19" fillId="0" borderId="0" xfId="8667" applyFont="1" applyFill="1" applyBorder="1" applyAlignment="1">
      <alignment horizontal="center"/>
    </xf>
    <xf numFmtId="0" fontId="18" fillId="0" borderId="0" xfId="0" applyNumberFormat="1" applyFont="1" applyFill="1" applyAlignment="1">
      <alignment horizontal="center"/>
    </xf>
    <xf numFmtId="49" fontId="20" fillId="15" borderId="0" xfId="1" applyNumberFormat="1" applyFont="1" applyFill="1" applyAlignment="1">
      <alignment horizontal="right" wrapText="1"/>
    </xf>
    <xf numFmtId="186" fontId="20" fillId="0" borderId="0" xfId="1" applyNumberFormat="1" applyFont="1" applyFill="1" applyAlignment="1">
      <alignment horizontal="right"/>
    </xf>
    <xf numFmtId="186" fontId="20" fillId="0" borderId="0" xfId="1" applyNumberFormat="1" applyFont="1" applyFill="1" applyAlignment="1">
      <alignment horizontal="left"/>
    </xf>
    <xf numFmtId="0" fontId="112" fillId="0" borderId="0" xfId="8767" applyFill="1"/>
    <xf numFmtId="0" fontId="90" fillId="0" borderId="0" xfId="9370" applyFont="1" applyFill="1" applyAlignment="1">
      <alignment horizontal="centerContinuous"/>
    </xf>
    <xf numFmtId="0" fontId="37" fillId="0" borderId="0" xfId="9370" applyFont="1" applyFill="1"/>
    <xf numFmtId="0" fontId="133" fillId="0" borderId="0" xfId="9370" applyFill="1" applyAlignment="1"/>
    <xf numFmtId="0" fontId="90" fillId="0" borderId="0" xfId="9370" applyNumberFormat="1" applyFont="1" applyFill="1" applyAlignment="1">
      <alignment horizontal="centerContinuous"/>
    </xf>
    <xf numFmtId="0" fontId="37" fillId="0" borderId="0" xfId="9370" applyNumberFormat="1" applyFont="1" applyFill="1" applyAlignment="1">
      <alignment horizontal="centerContinuous"/>
    </xf>
    <xf numFmtId="37" fontId="90" fillId="0" borderId="0" xfId="9370" applyNumberFormat="1" applyFont="1" applyFill="1" applyAlignment="1">
      <alignment horizontal="center"/>
    </xf>
    <xf numFmtId="37" fontId="90" fillId="0" borderId="0" xfId="9370" applyNumberFormat="1" applyFont="1" applyFill="1" applyAlignment="1">
      <alignment horizontal="right"/>
    </xf>
    <xf numFmtId="0" fontId="90" fillId="0" borderId="0" xfId="9370" applyFont="1" applyFill="1" applyAlignment="1"/>
    <xf numFmtId="0" fontId="90" fillId="0" borderId="0" xfId="9370" applyNumberFormat="1" applyFont="1" applyFill="1" applyAlignment="1">
      <alignment horizontal="center"/>
    </xf>
    <xf numFmtId="183" fontId="90" fillId="0" borderId="0" xfId="9370" applyNumberFormat="1" applyFont="1" applyFill="1" applyAlignment="1">
      <alignment horizontal="center"/>
    </xf>
    <xf numFmtId="0" fontId="37" fillId="0" borderId="0" xfId="9370" applyFont="1" applyFill="1" applyAlignment="1">
      <alignment horizontal="center"/>
    </xf>
    <xf numFmtId="0" fontId="90" fillId="0" borderId="0" xfId="9370" applyNumberFormat="1" applyFont="1" applyFill="1" applyBorder="1" applyAlignment="1">
      <alignment horizontal="center"/>
    </xf>
    <xf numFmtId="0" fontId="90" fillId="0" borderId="0" xfId="9370" applyFont="1" applyFill="1" applyBorder="1" applyAlignment="1">
      <alignment horizontal="center"/>
    </xf>
    <xf numFmtId="0" fontId="90" fillId="0" borderId="0" xfId="9370" applyFont="1" applyFill="1" applyBorder="1" applyAlignment="1">
      <alignment horizontal="right"/>
    </xf>
    <xf numFmtId="0" fontId="90" fillId="0" borderId="5" xfId="9370" applyFont="1" applyFill="1" applyBorder="1" applyAlignment="1">
      <alignment horizontal="center"/>
    </xf>
    <xf numFmtId="183" fontId="90" fillId="0" borderId="5" xfId="9370" applyNumberFormat="1" applyFont="1" applyFill="1" applyBorder="1" applyAlignment="1">
      <alignment horizontal="center"/>
    </xf>
    <xf numFmtId="0" fontId="90" fillId="0" borderId="5" xfId="9370" applyNumberFormat="1" applyFont="1" applyFill="1" applyBorder="1" applyAlignment="1">
      <alignment horizontal="center"/>
    </xf>
    <xf numFmtId="3" fontId="90" fillId="0" borderId="0" xfId="9370" applyNumberFormat="1" applyFont="1" applyFill="1" applyAlignment="1">
      <alignment horizontal="center"/>
    </xf>
    <xf numFmtId="0" fontId="90" fillId="0" borderId="0" xfId="9370" applyNumberFormat="1" applyFont="1" applyFill="1" applyAlignment="1">
      <alignment horizontal="left"/>
    </xf>
    <xf numFmtId="39" fontId="37" fillId="0" borderId="0" xfId="9370" applyNumberFormat="1" applyFont="1" applyFill="1" applyAlignment="1"/>
    <xf numFmtId="2" fontId="37" fillId="0" borderId="0" xfId="9370" applyNumberFormat="1" applyFont="1" applyFill="1"/>
    <xf numFmtId="0" fontId="37" fillId="0" borderId="0" xfId="9370" applyFont="1" applyFill="1" applyAlignment="1"/>
    <xf numFmtId="183" fontId="37" fillId="0" borderId="0" xfId="9370" applyNumberFormat="1" applyFont="1" applyFill="1" applyAlignment="1">
      <alignment horizontal="center"/>
    </xf>
    <xf numFmtId="39" fontId="37" fillId="0" borderId="0" xfId="9370" applyNumberFormat="1" applyFont="1" applyFill="1"/>
    <xf numFmtId="0" fontId="37" fillId="0" borderId="0" xfId="9370" applyNumberFormat="1" applyFont="1" applyFill="1" applyAlignment="1">
      <alignment horizontal="center"/>
    </xf>
    <xf numFmtId="184" fontId="37" fillId="0" borderId="0" xfId="9370" applyNumberFormat="1" applyFont="1" applyFill="1" applyAlignment="1">
      <alignment horizontal="center"/>
    </xf>
    <xf numFmtId="184" fontId="37" fillId="0" borderId="0" xfId="9370" applyNumberFormat="1" applyFont="1" applyFill="1"/>
    <xf numFmtId="2" fontId="37" fillId="0" borderId="0" xfId="9370" applyNumberFormat="1" applyFont="1" applyFill="1" applyAlignment="1">
      <alignment horizontal="center"/>
    </xf>
    <xf numFmtId="0" fontId="90" fillId="0" borderId="25" xfId="9370" applyNumberFormat="1" applyFont="1" applyFill="1" applyBorder="1" applyAlignment="1">
      <alignment horizontal="center"/>
    </xf>
    <xf numFmtId="43" fontId="37" fillId="0" borderId="0" xfId="9370" quotePrefix="1" applyNumberFormat="1" applyFont="1" applyFill="1" applyAlignment="1">
      <alignment horizontal="right"/>
    </xf>
    <xf numFmtId="43" fontId="37" fillId="0" borderId="0" xfId="9370" applyNumberFormat="1" applyFont="1" applyFill="1" applyAlignment="1"/>
    <xf numFmtId="0" fontId="37" fillId="0" borderId="0" xfId="9370" applyNumberFormat="1" applyFont="1" applyFill="1" applyAlignment="1"/>
    <xf numFmtId="0" fontId="91" fillId="0" borderId="0" xfId="9370" applyNumberFormat="1" applyFont="1" applyFill="1" applyAlignment="1"/>
    <xf numFmtId="2" fontId="37" fillId="0" borderId="0" xfId="9370" applyNumberFormat="1" applyFont="1" applyFill="1" applyAlignment="1">
      <alignment horizontal="right"/>
    </xf>
    <xf numFmtId="0" fontId="37" fillId="0" borderId="0" xfId="9370" applyNumberFormat="1" applyFont="1" applyFill="1"/>
    <xf numFmtId="0" fontId="37" fillId="0" borderId="0" xfId="9370" applyNumberFormat="1" applyFont="1" applyFill="1" applyAlignment="1">
      <alignment horizontal="left"/>
    </xf>
    <xf numFmtId="183" fontId="37" fillId="0" borderId="0" xfId="9370" applyNumberFormat="1" applyFont="1" applyFill="1" applyAlignment="1"/>
    <xf numFmtId="0" fontId="91" fillId="0" borderId="0" xfId="9370" applyNumberFormat="1" applyFont="1" applyFill="1" applyAlignment="1">
      <alignment horizontal="left"/>
    </xf>
    <xf numFmtId="43" fontId="37" fillId="0" borderId="0" xfId="9370" applyNumberFormat="1" applyFont="1" applyFill="1"/>
    <xf numFmtId="2" fontId="90" fillId="0" borderId="0" xfId="9370" applyNumberFormat="1" applyFont="1" applyFill="1"/>
    <xf numFmtId="183" fontId="90" fillId="0" borderId="0" xfId="9370" applyNumberFormat="1" applyFont="1" applyFill="1" applyAlignment="1"/>
    <xf numFmtId="0" fontId="37" fillId="0" borderId="0" xfId="9370" applyFont="1" applyFill="1" applyAlignment="1">
      <alignment horizontal="left"/>
    </xf>
    <xf numFmtId="0" fontId="37" fillId="0" borderId="25" xfId="9370" applyFont="1" applyFill="1" applyBorder="1"/>
    <xf numFmtId="2" fontId="37" fillId="0" borderId="0" xfId="9370" applyNumberFormat="1" applyFont="1" applyFill="1" applyBorder="1"/>
    <xf numFmtId="0" fontId="37" fillId="0" borderId="0" xfId="9370" applyFont="1" applyFill="1" applyBorder="1" applyAlignment="1"/>
    <xf numFmtId="0" fontId="37" fillId="0" borderId="0" xfId="9370" applyFont="1" applyFill="1" applyBorder="1" applyAlignment="1">
      <alignment horizontal="left"/>
    </xf>
    <xf numFmtId="0" fontId="37" fillId="0" borderId="0" xfId="9370" applyNumberFormat="1" applyFont="1" applyFill="1" applyBorder="1" applyAlignment="1">
      <alignment horizontal="center"/>
    </xf>
    <xf numFmtId="183" fontId="37" fillId="0" borderId="0" xfId="9370" applyNumberFormat="1" applyFont="1" applyFill="1" applyBorder="1" applyAlignment="1"/>
    <xf numFmtId="0" fontId="91" fillId="0" borderId="0" xfId="9370" applyFont="1" applyFill="1" applyBorder="1" applyAlignment="1">
      <alignment horizontal="left"/>
    </xf>
    <xf numFmtId="0" fontId="37" fillId="0" borderId="0" xfId="9370" applyNumberFormat="1" applyFont="1" applyFill="1" applyBorder="1" applyAlignment="1">
      <alignment horizontal="left"/>
    </xf>
    <xf numFmtId="0" fontId="90" fillId="0" borderId="0" xfId="9370" applyNumberFormat="1" applyFont="1" applyFill="1" applyAlignment="1"/>
    <xf numFmtId="184" fontId="90" fillId="0" borderId="0" xfId="9370" applyNumberFormat="1" applyFont="1" applyFill="1" applyAlignment="1"/>
    <xf numFmtId="39" fontId="90" fillId="0" borderId="0" xfId="9370" applyNumberFormat="1" applyFont="1" applyFill="1" applyAlignment="1"/>
    <xf numFmtId="2" fontId="37" fillId="0" borderId="5" xfId="9370" applyNumberFormat="1" applyFont="1" applyFill="1" applyBorder="1"/>
    <xf numFmtId="4" fontId="37" fillId="0" borderId="0" xfId="9370" applyNumberFormat="1" applyFont="1" applyFill="1"/>
    <xf numFmtId="3" fontId="37" fillId="0" borderId="0" xfId="9370" applyNumberFormat="1" applyFont="1" applyFill="1"/>
    <xf numFmtId="1" fontId="19" fillId="0" borderId="0" xfId="8667" applyNumberFormat="1" applyFont="1" applyFill="1" applyBorder="1" applyAlignment="1">
      <alignment horizontal="center" wrapText="1"/>
    </xf>
    <xf numFmtId="0" fontId="133" fillId="0" borderId="0" xfId="9370" quotePrefix="1" applyFill="1" applyAlignment="1"/>
    <xf numFmtId="1" fontId="37" fillId="0" borderId="0" xfId="9370" applyNumberFormat="1" applyFont="1" applyFill="1"/>
    <xf numFmtId="183" fontId="37" fillId="0" borderId="0" xfId="9370" quotePrefix="1" applyNumberFormat="1" applyFont="1" applyFill="1" applyAlignment="1">
      <alignment horizontal="center"/>
    </xf>
    <xf numFmtId="1" fontId="37" fillId="0" borderId="0" xfId="9370" applyNumberFormat="1" applyFont="1" applyFill="1" applyAlignment="1">
      <alignment horizontal="center"/>
    </xf>
    <xf numFmtId="1" fontId="112" fillId="0" borderId="0" xfId="8767" applyNumberFormat="1" applyFill="1"/>
    <xf numFmtId="1" fontId="90" fillId="0" borderId="0" xfId="9370" applyNumberFormat="1" applyFont="1" applyFill="1" applyAlignment="1">
      <alignment horizontal="centerContinuous"/>
    </xf>
    <xf numFmtId="1" fontId="133" fillId="0" borderId="0" xfId="9370" applyNumberFormat="1" applyFill="1" applyAlignment="1"/>
    <xf numFmtId="1" fontId="37" fillId="0" borderId="0" xfId="9370" applyNumberFormat="1" applyFont="1" applyFill="1" applyAlignment="1">
      <alignment horizontal="right"/>
    </xf>
    <xf numFmtId="1" fontId="90" fillId="0" borderId="0" xfId="9370" applyNumberFormat="1" applyFont="1" applyFill="1"/>
    <xf numFmtId="1" fontId="37" fillId="0" borderId="0" xfId="9370" applyNumberFormat="1" applyFont="1" applyFill="1" applyBorder="1"/>
    <xf numFmtId="1" fontId="37" fillId="0" borderId="0" xfId="9370" quotePrefix="1" applyNumberFormat="1" applyFont="1" applyFill="1" applyAlignment="1">
      <alignment horizontal="center"/>
    </xf>
    <xf numFmtId="49" fontId="17" fillId="0" borderId="0" xfId="9370" applyNumberFormat="1" applyFont="1" applyFill="1" applyAlignment="1"/>
    <xf numFmtId="10" fontId="37" fillId="0" borderId="0" xfId="9370" quotePrefix="1" applyNumberFormat="1" applyFont="1" applyFill="1" applyAlignment="1">
      <alignment horizontal="center"/>
    </xf>
    <xf numFmtId="0" fontId="37" fillId="0" borderId="0" xfId="9370" quotePrefix="1" applyNumberFormat="1" applyFont="1" applyFill="1" applyAlignment="1">
      <alignment horizontal="center"/>
    </xf>
    <xf numFmtId="185" fontId="85" fillId="0" borderId="0" xfId="8782" applyNumberFormat="1" applyFont="1" applyFill="1" applyBorder="1" applyAlignment="1">
      <alignment horizontal="right" wrapText="1"/>
    </xf>
    <xf numFmtId="185" fontId="85" fillId="0" borderId="0" xfId="8782" applyNumberFormat="1" applyFont="1" applyFill="1" applyBorder="1" applyAlignment="1">
      <alignment horizontal="center" wrapText="1"/>
    </xf>
    <xf numFmtId="9" fontId="19" fillId="0" borderId="0" xfId="8669" applyFont="1" applyFill="1" applyBorder="1" applyAlignment="1">
      <alignment horizontal="right" wrapText="1"/>
    </xf>
    <xf numFmtId="0" fontId="85" fillId="0" borderId="0" xfId="8667" applyFont="1" applyFill="1" applyBorder="1" applyAlignment="1">
      <alignment horizontal="center"/>
    </xf>
    <xf numFmtId="186" fontId="21" fillId="0" borderId="0" xfId="9290" applyNumberFormat="1" applyFont="1" applyAlignment="1">
      <alignment horizontal="left"/>
    </xf>
    <xf numFmtId="186" fontId="135" fillId="0" borderId="0" xfId="1" applyNumberFormat="1" applyFont="1" applyAlignment="1">
      <alignment horizontal="right"/>
    </xf>
    <xf numFmtId="0" fontId="85" fillId="0" borderId="0" xfId="8667" applyFont="1" applyFill="1" applyBorder="1" applyAlignment="1">
      <alignment horizontal="center"/>
    </xf>
    <xf numFmtId="49" fontId="20" fillId="0" borderId="0" xfId="9285" applyNumberFormat="1" applyFont="1" applyAlignment="1">
      <alignment horizontal="left" wrapText="1"/>
    </xf>
    <xf numFmtId="49" fontId="20" fillId="0" borderId="0" xfId="9285" applyNumberFormat="1" applyFont="1" applyAlignment="1">
      <alignment horizontal="right" wrapText="1"/>
    </xf>
    <xf numFmtId="49" fontId="21" fillId="0" borderId="0" xfId="9285" applyNumberFormat="1" applyFont="1" applyAlignment="1">
      <alignment horizontal="left" wrapText="1"/>
    </xf>
    <xf numFmtId="186" fontId="21" fillId="0" borderId="0" xfId="9285" applyNumberFormat="1" applyFont="1" applyAlignment="1">
      <alignment horizontal="left"/>
    </xf>
    <xf numFmtId="186" fontId="20" fillId="0" borderId="0" xfId="9285" applyNumberFormat="1" applyFont="1" applyAlignment="1">
      <alignment horizontal="right"/>
    </xf>
    <xf numFmtId="186" fontId="20" fillId="0" borderId="0" xfId="9285" applyNumberFormat="1" applyFont="1" applyAlignment="1">
      <alignment horizontal="left"/>
    </xf>
    <xf numFmtId="186" fontId="20" fillId="0" borderId="0" xfId="9285" applyNumberFormat="1" applyFont="1" applyBorder="1" applyAlignment="1">
      <alignment horizontal="right"/>
    </xf>
    <xf numFmtId="186" fontId="20" fillId="0" borderId="28" xfId="9285" applyNumberFormat="1" applyFont="1" applyBorder="1" applyAlignment="1">
      <alignment horizontal="right"/>
    </xf>
    <xf numFmtId="0" fontId="85" fillId="0" borderId="0" xfId="8667" applyFont="1" applyFill="1" applyBorder="1" applyAlignment="1">
      <alignment horizontal="center"/>
    </xf>
    <xf numFmtId="0" fontId="11" fillId="0" borderId="0" xfId="9372"/>
    <xf numFmtId="186" fontId="16" fillId="0" borderId="0" xfId="9372" applyNumberFormat="1" applyFont="1" applyAlignment="1">
      <alignment horizontal="left"/>
    </xf>
    <xf numFmtId="43" fontId="0" fillId="0" borderId="0" xfId="9373" applyNumberFormat="1" applyFont="1"/>
    <xf numFmtId="43" fontId="11" fillId="0" borderId="0" xfId="9372" applyNumberFormat="1"/>
    <xf numFmtId="0" fontId="16" fillId="0" borderId="0" xfId="9372" applyFont="1"/>
    <xf numFmtId="179" fontId="11" fillId="0" borderId="0" xfId="9372" applyNumberFormat="1"/>
    <xf numFmtId="44" fontId="113" fillId="0" borderId="0" xfId="9374" applyFont="1" applyFill="1" applyBorder="1"/>
    <xf numFmtId="37" fontId="0" fillId="0" borderId="0" xfId="0" applyFill="1"/>
    <xf numFmtId="0" fontId="37" fillId="0" borderId="0" xfId="4475" applyFont="1" applyFill="1" applyAlignment="1"/>
    <xf numFmtId="183" fontId="37" fillId="0" borderId="0" xfId="4475" applyNumberFormat="1" applyFont="1" applyFill="1" applyAlignment="1">
      <alignment horizontal="center"/>
    </xf>
    <xf numFmtId="2" fontId="37" fillId="0" borderId="0" xfId="4475" applyNumberFormat="1" applyFont="1" applyFill="1"/>
    <xf numFmtId="39" fontId="37" fillId="0" borderId="0" xfId="4475" applyNumberFormat="1" applyFont="1" applyFill="1"/>
    <xf numFmtId="0" fontId="37" fillId="0" borderId="0" xfId="4475" applyNumberFormat="1" applyFont="1" applyFill="1" applyAlignment="1">
      <alignment horizontal="center"/>
    </xf>
    <xf numFmtId="184" fontId="37" fillId="0" borderId="0" xfId="4475" applyNumberFormat="1" applyFont="1" applyFill="1" applyAlignment="1">
      <alignment horizontal="center"/>
    </xf>
    <xf numFmtId="183" fontId="37" fillId="0" borderId="0" xfId="4475" applyNumberFormat="1" applyFont="1" applyFill="1" applyAlignment="1"/>
    <xf numFmtId="2" fontId="37" fillId="0" borderId="5" xfId="4475" applyNumberFormat="1" applyFont="1" applyFill="1" applyBorder="1"/>
    <xf numFmtId="43" fontId="37" fillId="0" borderId="5" xfId="4475" quotePrefix="1" applyNumberFormat="1" applyFont="1" applyFill="1" applyBorder="1" applyAlignment="1">
      <alignment horizontal="right"/>
    </xf>
    <xf numFmtId="43" fontId="37" fillId="0" borderId="0" xfId="4475" applyNumberFormat="1" applyFont="1" applyFill="1" applyAlignment="1"/>
    <xf numFmtId="0" fontId="90" fillId="0" borderId="0" xfId="4475" applyNumberFormat="1" applyFont="1" applyFill="1" applyAlignment="1">
      <alignment horizontal="left"/>
    </xf>
    <xf numFmtId="0" fontId="90" fillId="0" borderId="0" xfId="4475" applyFont="1" applyFill="1" applyAlignment="1"/>
    <xf numFmtId="184" fontId="37" fillId="0" borderId="0" xfId="4475" applyNumberFormat="1" applyFont="1" applyFill="1"/>
    <xf numFmtId="184" fontId="37" fillId="0" borderId="0" xfId="4475" quotePrefix="1" applyNumberFormat="1" applyFont="1" applyFill="1" applyAlignment="1">
      <alignment horizontal="center"/>
    </xf>
    <xf numFmtId="0" fontId="85" fillId="0" borderId="0" xfId="8667" applyFont="1" applyFill="1" applyBorder="1" applyAlignment="1">
      <alignment horizontal="center"/>
    </xf>
    <xf numFmtId="193" fontId="90" fillId="0" borderId="0" xfId="9375" applyNumberFormat="1" applyFont="1" applyAlignment="1">
      <alignment horizontal="right"/>
    </xf>
    <xf numFmtId="0" fontId="37" fillId="0" borderId="0" xfId="9375" applyFont="1"/>
    <xf numFmtId="0" fontId="37" fillId="0" borderId="0" xfId="9375" applyFont="1" applyBorder="1"/>
    <xf numFmtId="37" fontId="90" fillId="0" borderId="0" xfId="9290" applyFont="1" applyAlignment="1">
      <alignment horizontal="right"/>
    </xf>
    <xf numFmtId="179" fontId="37" fillId="0" borderId="0" xfId="3236" applyNumberFormat="1" applyFont="1"/>
    <xf numFmtId="193" fontId="37" fillId="0" borderId="0" xfId="9290" applyNumberFormat="1" applyFont="1" applyAlignment="1">
      <alignment horizontal="right"/>
    </xf>
    <xf numFmtId="37" fontId="37" fillId="0" borderId="0" xfId="9290" applyFont="1" applyAlignment="1">
      <alignment horizontal="centerContinuous"/>
    </xf>
    <xf numFmtId="37" fontId="37" fillId="0" borderId="0" xfId="9290" applyFont="1" applyBorder="1" applyAlignment="1">
      <alignment horizontal="centerContinuous"/>
    </xf>
    <xf numFmtId="0" fontId="138" fillId="0" borderId="0" xfId="9375" applyFont="1" applyAlignment="1">
      <alignment horizontal="center"/>
    </xf>
    <xf numFmtId="165" fontId="90" fillId="0" borderId="0" xfId="9375" quotePrefix="1" applyNumberFormat="1" applyFont="1" applyAlignment="1">
      <alignment horizontal="right"/>
    </xf>
    <xf numFmtId="37" fontId="37" fillId="0" borderId="0" xfId="9290" applyFont="1" applyAlignment="1">
      <alignment horizontal="center"/>
    </xf>
    <xf numFmtId="37" fontId="37" fillId="0" borderId="0" xfId="9290" applyFont="1" applyFill="1" applyAlignment="1">
      <alignment horizontal="center"/>
    </xf>
    <xf numFmtId="37" fontId="37" fillId="0" borderId="0" xfId="9290" quotePrefix="1" applyFont="1" applyAlignment="1">
      <alignment horizontal="center"/>
    </xf>
    <xf numFmtId="37" fontId="37" fillId="0" borderId="5" xfId="9290" applyFont="1" applyBorder="1" applyAlignment="1">
      <alignment horizontal="centerContinuous"/>
    </xf>
    <xf numFmtId="37" fontId="37" fillId="0" borderId="5" xfId="9290" applyFont="1" applyBorder="1" applyAlignment="1">
      <alignment horizontal="center"/>
    </xf>
    <xf numFmtId="165" fontId="37" fillId="0" borderId="0" xfId="9375" applyNumberFormat="1" applyFont="1" applyBorder="1"/>
    <xf numFmtId="193" fontId="37" fillId="0" borderId="0" xfId="9290" applyNumberFormat="1" applyFont="1" applyBorder="1" applyAlignment="1">
      <alignment horizontal="right"/>
    </xf>
    <xf numFmtId="37" fontId="37" fillId="0" borderId="0" xfId="9290" applyFont="1" applyAlignment="1">
      <alignment horizontal="left"/>
    </xf>
    <xf numFmtId="37" fontId="37" fillId="0" borderId="0" xfId="9290" applyFont="1" applyBorder="1" applyAlignment="1">
      <alignment horizontal="left"/>
    </xf>
    <xf numFmtId="173" fontId="37" fillId="0" borderId="0" xfId="3236" applyNumberFormat="1" applyFont="1" applyBorder="1" applyAlignment="1">
      <alignment horizontal="right"/>
    </xf>
    <xf numFmtId="188" fontId="37" fillId="0" borderId="0" xfId="3834" applyNumberFormat="1" applyFont="1" applyAlignment="1">
      <alignment horizontal="right"/>
    </xf>
    <xf numFmtId="188" fontId="37" fillId="0" borderId="0" xfId="9375" applyNumberFormat="1" applyFont="1" applyBorder="1"/>
    <xf numFmtId="173" fontId="37" fillId="0" borderId="0" xfId="3236" applyNumberFormat="1" applyFont="1" applyAlignment="1">
      <alignment horizontal="right"/>
    </xf>
    <xf numFmtId="173" fontId="37" fillId="0" borderId="6" xfId="3236" applyNumberFormat="1" applyFont="1" applyBorder="1" applyAlignment="1">
      <alignment horizontal="right"/>
    </xf>
    <xf numFmtId="179" fontId="140" fillId="0" borderId="0" xfId="3236" applyNumberFormat="1" applyFont="1"/>
    <xf numFmtId="178" fontId="37" fillId="0" borderId="0" xfId="6291" applyNumberFormat="1" applyFont="1" applyBorder="1" applyAlignment="1">
      <alignment horizontal="right"/>
    </xf>
    <xf numFmtId="173" fontId="37" fillId="0" borderId="0" xfId="3236" applyNumberFormat="1" applyFont="1" applyFill="1" applyBorder="1" applyAlignment="1">
      <alignment horizontal="right"/>
    </xf>
    <xf numFmtId="173" fontId="37" fillId="0" borderId="0" xfId="3236" applyNumberFormat="1" applyFont="1" applyFill="1" applyAlignment="1">
      <alignment horizontal="right"/>
    </xf>
    <xf numFmtId="37" fontId="37" fillId="0" borderId="0" xfId="9290" quotePrefix="1" applyFont="1"/>
    <xf numFmtId="179" fontId="139" fillId="0" borderId="0" xfId="3236" applyNumberFormat="1" applyFont="1"/>
    <xf numFmtId="37" fontId="37" fillId="0" borderId="0" xfId="9290" quotePrefix="1" applyFont="1" applyAlignment="1">
      <alignment horizontal="left"/>
    </xf>
    <xf numFmtId="37" fontId="37" fillId="0" borderId="0" xfId="9290" quotePrefix="1" applyFont="1" applyFill="1" applyAlignment="1">
      <alignment horizontal="left"/>
    </xf>
    <xf numFmtId="188" fontId="37" fillId="0" borderId="7" xfId="3834" applyNumberFormat="1" applyFont="1" applyBorder="1" applyAlignment="1">
      <alignment horizontal="right"/>
    </xf>
    <xf numFmtId="188" fontId="37" fillId="0" borderId="0" xfId="3834" applyNumberFormat="1" applyFont="1" applyBorder="1" applyAlignment="1">
      <alignment horizontal="right"/>
    </xf>
    <xf numFmtId="193" fontId="37" fillId="0" borderId="0" xfId="9375" applyNumberFormat="1" applyFont="1"/>
    <xf numFmtId="10" fontId="37" fillId="0" borderId="27" xfId="6291" applyNumberFormat="1" applyFont="1" applyBorder="1" applyAlignment="1">
      <alignment horizontal="right"/>
    </xf>
    <xf numFmtId="44" fontId="87" fillId="0" borderId="0" xfId="3834" applyFont="1" applyFill="1" applyBorder="1"/>
    <xf numFmtId="10" fontId="37" fillId="0" borderId="0" xfId="6291" applyNumberFormat="1" applyFont="1" applyBorder="1" applyAlignment="1">
      <alignment horizontal="right"/>
    </xf>
    <xf numFmtId="0" fontId="37" fillId="0" borderId="0" xfId="9375" applyFont="1" applyAlignment="1">
      <alignment horizontal="center"/>
    </xf>
    <xf numFmtId="0" fontId="37" fillId="0" borderId="0" xfId="9375" quotePrefix="1" applyFont="1" applyAlignment="1">
      <alignment horizontal="center"/>
    </xf>
    <xf numFmtId="37" fontId="37" fillId="0" borderId="0" xfId="9290" applyFont="1"/>
    <xf numFmtId="44" fontId="141" fillId="0" borderId="0" xfId="3834" applyFont="1" applyFill="1" applyBorder="1"/>
    <xf numFmtId="2" fontId="37" fillId="0" borderId="0" xfId="9375" applyNumberFormat="1" applyFont="1"/>
    <xf numFmtId="49" fontId="37" fillId="0" borderId="0" xfId="9290" applyNumberFormat="1" applyFont="1" applyAlignment="1">
      <alignment horizontal="right"/>
    </xf>
    <xf numFmtId="0" fontId="139" fillId="0" borderId="0" xfId="9375" applyFont="1"/>
    <xf numFmtId="49" fontId="37" fillId="0" borderId="0" xfId="9290" applyNumberFormat="1" applyFont="1" applyBorder="1" applyAlignment="1">
      <alignment horizontal="right"/>
    </xf>
    <xf numFmtId="39" fontId="37" fillId="0" borderId="0" xfId="9376" applyFont="1" applyAlignment="1">
      <alignment horizontal="left"/>
    </xf>
    <xf numFmtId="173" fontId="37" fillId="0" borderId="5" xfId="3236" applyNumberFormat="1" applyFont="1" applyBorder="1" applyAlignment="1">
      <alignment horizontal="right"/>
    </xf>
    <xf numFmtId="37" fontId="37" fillId="0" borderId="0" xfId="9290" quotePrefix="1" applyFont="1" applyBorder="1"/>
    <xf numFmtId="37" fontId="37" fillId="0" borderId="0" xfId="9290" applyFont="1" applyBorder="1"/>
    <xf numFmtId="0" fontId="37" fillId="0" borderId="5" xfId="9375" applyFont="1" applyBorder="1"/>
    <xf numFmtId="188" fontId="37" fillId="0" borderId="27" xfId="3834" applyNumberFormat="1" applyFont="1" applyBorder="1"/>
    <xf numFmtId="188" fontId="37" fillId="0" borderId="0" xfId="3834" applyNumberFormat="1" applyFont="1" applyBorder="1"/>
    <xf numFmtId="194" fontId="37" fillId="0" borderId="0" xfId="9375" applyNumberFormat="1" applyFont="1"/>
    <xf numFmtId="188" fontId="37" fillId="0" borderId="0" xfId="9375" applyNumberFormat="1" applyFont="1"/>
    <xf numFmtId="173" fontId="37" fillId="0" borderId="0" xfId="8782" applyNumberFormat="1" applyFont="1"/>
    <xf numFmtId="37" fontId="37" fillId="0" borderId="0" xfId="9290" applyFont="1" applyFill="1"/>
    <xf numFmtId="0" fontId="20" fillId="0" borderId="0" xfId="10007" applyFill="1"/>
    <xf numFmtId="49" fontId="19" fillId="0" borderId="0" xfId="8667" applyNumberFormat="1" applyFont="1" applyFill="1" applyBorder="1" applyAlignment="1">
      <alignment horizontal="center"/>
    </xf>
    <xf numFmtId="0" fontId="19" fillId="0" borderId="0" xfId="8667" applyFont="1" applyFill="1" applyBorder="1" applyAlignment="1">
      <alignment horizontal="center"/>
    </xf>
    <xf numFmtId="0" fontId="85" fillId="0" borderId="0" xfId="8667" applyFont="1" applyFill="1" applyBorder="1" applyAlignment="1">
      <alignment horizontal="center"/>
    </xf>
    <xf numFmtId="203" fontId="85" fillId="0" borderId="6" xfId="8668" applyNumberFormat="1" applyFont="1" applyFill="1" applyBorder="1" applyAlignment="1">
      <alignment horizontal="center" vertical="center" wrapText="1"/>
    </xf>
    <xf numFmtId="14" fontId="20" fillId="0" borderId="0" xfId="10007" applyNumberFormat="1" applyFill="1"/>
    <xf numFmtId="0" fontId="20" fillId="0" borderId="0" xfId="10007" applyFill="1" applyAlignment="1">
      <alignment horizontal="center"/>
    </xf>
    <xf numFmtId="43" fontId="20" fillId="0" borderId="0" xfId="10007" applyNumberFormat="1" applyFill="1"/>
    <xf numFmtId="0" fontId="20" fillId="0" borderId="0" xfId="10007" applyFont="1" applyFill="1" applyAlignment="1">
      <alignment horizontal="center"/>
    </xf>
    <xf numFmtId="0" fontId="21" fillId="0" borderId="0" xfId="10007" applyFont="1" applyFill="1" applyAlignment="1">
      <alignment horizontal="center"/>
    </xf>
    <xf numFmtId="43" fontId="21" fillId="0" borderId="0" xfId="10007" applyNumberFormat="1" applyFont="1" applyFill="1"/>
    <xf numFmtId="9" fontId="85" fillId="0" borderId="0" xfId="8779" applyNumberFormat="1" applyFont="1" applyFill="1" applyBorder="1" applyAlignment="1">
      <alignment horizontal="center"/>
    </xf>
    <xf numFmtId="9" fontId="85" fillId="0" borderId="0" xfId="8779" applyFont="1" applyFill="1" applyBorder="1" applyAlignment="1">
      <alignment horizontal="right"/>
    </xf>
    <xf numFmtId="43" fontId="85" fillId="0" borderId="0" xfId="57816" applyFont="1" applyFill="1" applyBorder="1" applyAlignment="1">
      <alignment horizontal="left"/>
    </xf>
    <xf numFmtId="49" fontId="85" fillId="0" borderId="6" xfId="8668" applyNumberFormat="1" applyFont="1" applyFill="1" applyBorder="1" applyAlignment="1">
      <alignment horizontal="center" wrapText="1"/>
    </xf>
    <xf numFmtId="173" fontId="85" fillId="0" borderId="6" xfId="8668" applyNumberFormat="1" applyFont="1" applyFill="1" applyBorder="1" applyAlignment="1">
      <alignment horizontal="center" wrapText="1"/>
    </xf>
    <xf numFmtId="49" fontId="114" fillId="0" borderId="0" xfId="57817" applyNumberFormat="1" applyFont="1" applyFill="1" applyAlignment="1"/>
    <xf numFmtId="43" fontId="85" fillId="0" borderId="0" xfId="8667" applyNumberFormat="1" applyFont="1" applyFill="1" applyBorder="1" applyAlignment="1">
      <alignment horizontal="left"/>
    </xf>
    <xf numFmtId="0" fontId="191" fillId="0" borderId="0" xfId="8667" applyFont="1" applyFill="1" applyBorder="1" applyAlignment="1">
      <alignment horizontal="left"/>
    </xf>
    <xf numFmtId="49" fontId="85" fillId="0" borderId="0" xfId="8668" applyNumberFormat="1" applyFont="1" applyFill="1" applyBorder="1" applyAlignment="1">
      <alignment horizontal="center" wrapText="1"/>
    </xf>
    <xf numFmtId="173" fontId="85" fillId="0" borderId="0" xfId="8668" applyNumberFormat="1" applyFont="1" applyFill="1" applyBorder="1" applyAlignment="1">
      <alignment horizontal="center" wrapText="1"/>
    </xf>
    <xf numFmtId="37" fontId="19" fillId="0" borderId="0" xfId="8674" applyNumberFormat="1" applyFont="1" applyFill="1" applyAlignment="1">
      <alignment horizontal="center"/>
    </xf>
    <xf numFmtId="37" fontId="75" fillId="0" borderId="0" xfId="8674" applyNumberFormat="1" applyFont="1" applyFill="1" applyAlignment="1">
      <alignment horizontal="center"/>
    </xf>
    <xf numFmtId="49" fontId="19" fillId="0" borderId="0" xfId="8667" applyNumberFormat="1" applyFont="1" applyFill="1" applyBorder="1" applyAlignment="1">
      <alignment horizontal="center"/>
    </xf>
    <xf numFmtId="37" fontId="18" fillId="0" borderId="0" xfId="9290" applyFont="1" applyAlignment="1">
      <alignment horizontal="right"/>
    </xf>
    <xf numFmtId="37" fontId="18" fillId="0" borderId="0" xfId="9290" quotePrefix="1" applyFont="1" applyAlignment="1">
      <alignment horizontal="right"/>
    </xf>
    <xf numFmtId="37" fontId="18" fillId="0" borderId="0" xfId="9290" quotePrefix="1" applyFont="1" applyFill="1" applyAlignment="1">
      <alignment horizontal="right"/>
    </xf>
    <xf numFmtId="0" fontId="18" fillId="0" borderId="0" xfId="8667" applyFont="1" applyFill="1" applyBorder="1" applyAlignment="1">
      <alignment horizontal="left"/>
    </xf>
    <xf numFmtId="0" fontId="192" fillId="0" borderId="0" xfId="8667" applyFont="1" applyFill="1" applyBorder="1" applyAlignment="1">
      <alignment horizontal="left"/>
    </xf>
    <xf numFmtId="49" fontId="19" fillId="0" borderId="0" xfId="8667" applyNumberFormat="1" applyFont="1" applyFill="1" applyBorder="1" applyAlignment="1">
      <alignment horizontal="center"/>
    </xf>
    <xf numFmtId="0" fontId="85" fillId="0" borderId="0" xfId="8667" applyFont="1" applyFill="1" applyBorder="1" applyAlignment="1">
      <alignment horizontal="center"/>
    </xf>
    <xf numFmtId="49" fontId="19" fillId="0" borderId="0" xfId="8667" applyNumberFormat="1" applyFont="1" applyFill="1" applyBorder="1" applyAlignment="1">
      <alignment horizontal="center"/>
    </xf>
    <xf numFmtId="0" fontId="85" fillId="0" borderId="0" xfId="8667" applyFont="1" applyFill="1" applyBorder="1" applyAlignment="1">
      <alignment horizontal="center"/>
    </xf>
    <xf numFmtId="173" fontId="85" fillId="0" borderId="0" xfId="8668" applyNumberFormat="1" applyFont="1" applyFill="1" applyBorder="1" applyAlignment="1">
      <alignment horizontal="left" wrapText="1"/>
    </xf>
    <xf numFmtId="181" fontId="85" fillId="0" borderId="0" xfId="8669" applyNumberFormat="1" applyFont="1" applyFill="1" applyBorder="1" applyAlignment="1">
      <alignment horizontal="center" wrapText="1"/>
    </xf>
    <xf numFmtId="0" fontId="85" fillId="0" borderId="0" xfId="8667" applyFont="1" applyFill="1" applyBorder="1" applyAlignment="1">
      <alignment horizontal="center" vertical="top"/>
    </xf>
    <xf numFmtId="49" fontId="19" fillId="0" borderId="0" xfId="8667" applyNumberFormat="1" applyFont="1" applyFill="1" applyBorder="1" applyAlignment="1">
      <alignment horizontal="center"/>
    </xf>
    <xf numFmtId="0" fontId="85" fillId="0" borderId="0" xfId="8667" applyFont="1" applyFill="1" applyBorder="1" applyAlignment="1">
      <alignment horizontal="center"/>
    </xf>
    <xf numFmtId="0" fontId="75" fillId="0" borderId="0" xfId="8667" applyFont="1" applyFill="1" applyBorder="1" applyAlignment="1">
      <alignment horizontal="left" wrapText="1"/>
    </xf>
    <xf numFmtId="0" fontId="75" fillId="0" borderId="0" xfId="8207" applyFont="1" applyAlignment="1"/>
    <xf numFmtId="0" fontId="88" fillId="0" borderId="0" xfId="8207" applyFont="1" applyAlignment="1"/>
    <xf numFmtId="0" fontId="19" fillId="0" borderId="0" xfId="8667" quotePrefix="1" applyFont="1" applyFill="1" applyBorder="1" applyAlignment="1">
      <alignment horizontal="center" wrapText="1"/>
    </xf>
    <xf numFmtId="0" fontId="19" fillId="0" borderId="0" xfId="8207" applyFont="1" applyAlignment="1"/>
    <xf numFmtId="0" fontId="75" fillId="0" borderId="0" xfId="8207" applyFont="1" applyFill="1" applyAlignment="1"/>
    <xf numFmtId="0" fontId="88" fillId="0" borderId="0" xfId="8207" applyFont="1" applyFill="1" applyAlignment="1"/>
    <xf numFmtId="0" fontId="19" fillId="0" borderId="0" xfId="8207" applyFont="1" applyFill="1" applyAlignment="1"/>
    <xf numFmtId="0" fontId="19" fillId="0" borderId="0" xfId="8667" applyFont="1" applyFill="1" applyBorder="1" applyAlignment="1">
      <alignment horizontal="center"/>
    </xf>
    <xf numFmtId="0" fontId="19" fillId="0" borderId="0" xfId="8667" applyFont="1" applyFill="1" applyBorder="1" applyAlignment="1">
      <alignment horizontal="center"/>
    </xf>
    <xf numFmtId="173" fontId="85" fillId="0" borderId="7" xfId="8668" applyNumberFormat="1" applyFont="1" applyFill="1" applyBorder="1" applyAlignment="1">
      <alignment horizontal="right"/>
    </xf>
    <xf numFmtId="173" fontId="85" fillId="0" borderId="0" xfId="8668" applyNumberFormat="1" applyFont="1" applyFill="1" applyBorder="1" applyAlignment="1">
      <alignment horizontal="right"/>
    </xf>
    <xf numFmtId="173" fontId="85" fillId="0" borderId="5" xfId="8668" applyNumberFormat="1" applyFont="1" applyFill="1" applyBorder="1" applyAlignment="1">
      <alignment horizontal="right"/>
    </xf>
    <xf numFmtId="173" fontId="19" fillId="0" borderId="7" xfId="8668" applyNumberFormat="1" applyFont="1" applyFill="1" applyBorder="1" applyAlignment="1">
      <alignment horizontal="right"/>
    </xf>
    <xf numFmtId="181" fontId="85" fillId="0" borderId="0" xfId="8779" applyNumberFormat="1" applyFont="1" applyFill="1" applyBorder="1" applyAlignment="1">
      <alignment horizontal="right"/>
    </xf>
    <xf numFmtId="173" fontId="19" fillId="0" borderId="0" xfId="8668" applyNumberFormat="1" applyFont="1" applyFill="1" applyBorder="1" applyAlignment="1">
      <alignment horizontal="right"/>
    </xf>
    <xf numFmtId="181" fontId="19" fillId="0" borderId="0" xfId="8669" applyNumberFormat="1" applyFont="1" applyFill="1" applyBorder="1" applyAlignment="1">
      <alignment horizontal="right"/>
    </xf>
    <xf numFmtId="181" fontId="19" fillId="0" borderId="0" xfId="8779" applyNumberFormat="1" applyFont="1" applyFill="1" applyBorder="1" applyAlignment="1">
      <alignment horizontal="right"/>
    </xf>
    <xf numFmtId="0" fontId="90" fillId="0" borderId="0" xfId="9370" applyFont="1" applyFill="1" applyAlignment="1">
      <alignment horizontal="center"/>
    </xf>
    <xf numFmtId="0" fontId="19" fillId="0" borderId="0" xfId="8667" quotePrefix="1" applyFont="1" applyFill="1" applyBorder="1" applyAlignment="1">
      <alignment horizontal="left"/>
    </xf>
    <xf numFmtId="0" fontId="85" fillId="0" borderId="28" xfId="8667" applyFont="1" applyFill="1" applyBorder="1" applyAlignment="1">
      <alignment horizontal="left"/>
    </xf>
    <xf numFmtId="49" fontId="131" fillId="0" borderId="0" xfId="1" applyNumberFormat="1" applyFont="1" applyFill="1" applyAlignment="1">
      <alignment horizontal="left"/>
    </xf>
    <xf numFmtId="49" fontId="20" fillId="0" borderId="0" xfId="1" applyNumberFormat="1" applyFont="1" applyFill="1" applyAlignment="1">
      <alignment horizontal="right" wrapText="1"/>
    </xf>
    <xf numFmtId="49" fontId="20" fillId="0" borderId="0" xfId="1" applyNumberFormat="1" applyFont="1" applyFill="1" applyAlignment="1">
      <alignment horizontal="left" wrapText="1"/>
    </xf>
    <xf numFmtId="186" fontId="132" fillId="0" borderId="0" xfId="1" applyNumberFormat="1" applyFont="1" applyFill="1" applyAlignment="1">
      <alignment horizontal="left"/>
    </xf>
    <xf numFmtId="192" fontId="20" fillId="0" borderId="0" xfId="1" applyNumberFormat="1" applyFont="1" applyFill="1" applyAlignment="1">
      <alignment horizontal="right"/>
    </xf>
    <xf numFmtId="0" fontId="20" fillId="0" borderId="0" xfId="10007" quotePrefix="1" applyFill="1"/>
    <xf numFmtId="14" fontId="20" fillId="0" borderId="0" xfId="10007" applyNumberFormat="1" applyFill="1" applyAlignment="1">
      <alignment horizontal="center"/>
    </xf>
    <xf numFmtId="43" fontId="20" fillId="0" borderId="0" xfId="10007" applyNumberFormat="1" applyFont="1" applyFill="1"/>
    <xf numFmtId="43" fontId="134" fillId="0" borderId="0" xfId="29406" applyFont="1" applyFill="1"/>
    <xf numFmtId="0" fontId="21" fillId="0" borderId="0" xfId="10007" applyFont="1" applyFill="1"/>
    <xf numFmtId="0" fontId="20" fillId="0" borderId="0" xfId="10007" applyFont="1" applyFill="1"/>
    <xf numFmtId="43" fontId="20" fillId="0" borderId="28" xfId="10007" applyNumberFormat="1" applyFont="1" applyFill="1" applyBorder="1"/>
    <xf numFmtId="43" fontId="21" fillId="0" borderId="28" xfId="10007" applyNumberFormat="1" applyFont="1" applyFill="1" applyBorder="1"/>
    <xf numFmtId="43" fontId="190" fillId="0" borderId="0" xfId="29406" applyFont="1" applyFill="1"/>
    <xf numFmtId="0" fontId="189" fillId="0" borderId="0" xfId="10007" applyFont="1" applyFill="1"/>
    <xf numFmtId="10" fontId="134" fillId="0" borderId="0" xfId="57815" applyNumberFormat="1" applyFont="1" applyFill="1"/>
    <xf numFmtId="43" fontId="20" fillId="0" borderId="28" xfId="10007" applyNumberFormat="1" applyFill="1" applyBorder="1"/>
    <xf numFmtId="43" fontId="134" fillId="0" borderId="28" xfId="29406" applyFont="1" applyFill="1" applyBorder="1"/>
    <xf numFmtId="43" fontId="0" fillId="0" borderId="0" xfId="29406" applyFont="1" applyFill="1"/>
    <xf numFmtId="186" fontId="132" fillId="0" borderId="0" xfId="10007" applyNumberFormat="1" applyFont="1" applyFill="1" applyAlignment="1">
      <alignment horizontal="left"/>
    </xf>
    <xf numFmtId="186" fontId="20" fillId="0" borderId="0" xfId="10007" applyNumberFormat="1" applyFont="1" applyFill="1" applyAlignment="1">
      <alignment horizontal="left"/>
    </xf>
    <xf numFmtId="0" fontId="20" fillId="0" borderId="0" xfId="10007" applyFill="1" applyAlignment="1">
      <alignment horizontal="right"/>
    </xf>
    <xf numFmtId="186" fontId="21" fillId="0" borderId="0" xfId="10007" applyNumberFormat="1" applyFont="1" applyFill="1" applyAlignment="1">
      <alignment horizontal="left"/>
    </xf>
    <xf numFmtId="202" fontId="20" fillId="0" borderId="0" xfId="10007" applyNumberFormat="1" applyFont="1" applyFill="1" applyAlignment="1">
      <alignment horizontal="left"/>
    </xf>
    <xf numFmtId="0" fontId="17" fillId="0" borderId="0" xfId="9370" quotePrefix="1" applyFont="1" applyFill="1" applyAlignment="1"/>
    <xf numFmtId="184" fontId="37" fillId="0" borderId="0" xfId="9370" quotePrefix="1" applyNumberFormat="1" applyFont="1" applyFill="1" applyAlignment="1">
      <alignment horizontal="center"/>
    </xf>
    <xf numFmtId="0" fontId="20" fillId="0" borderId="0" xfId="1" applyFill="1"/>
    <xf numFmtId="49" fontId="21" fillId="0" borderId="0" xfId="1" applyNumberFormat="1" applyFont="1" applyFill="1" applyAlignment="1">
      <alignment horizontal="left" wrapText="1"/>
    </xf>
    <xf numFmtId="0" fontId="21" fillId="0" borderId="0" xfId="1" applyFont="1" applyFill="1"/>
    <xf numFmtId="0" fontId="11" fillId="0" borderId="0" xfId="9372" applyFill="1"/>
    <xf numFmtId="49" fontId="11" fillId="0" borderId="0" xfId="9372" applyNumberFormat="1" applyFont="1" applyFill="1" applyAlignment="1">
      <alignment horizontal="right" wrapText="1"/>
    </xf>
    <xf numFmtId="0" fontId="19" fillId="0" borderId="0" xfId="4397"/>
    <xf numFmtId="0" fontId="85" fillId="0" borderId="0" xfId="8667" applyFont="1" applyFill="1" applyBorder="1" applyAlignment="1">
      <alignment horizontal="center"/>
    </xf>
    <xf numFmtId="0" fontId="85" fillId="0" borderId="0" xfId="8667" applyFont="1" applyFill="1" applyBorder="1" applyAlignment="1">
      <alignment horizontal="center" vertical="center"/>
    </xf>
    <xf numFmtId="49" fontId="19" fillId="0" borderId="0" xfId="8667" applyNumberFormat="1" applyFont="1" applyFill="1" applyBorder="1" applyAlignment="1">
      <alignment horizontal="center"/>
    </xf>
    <xf numFmtId="0" fontId="19" fillId="0" borderId="0" xfId="8667" applyFont="1" applyFill="1" applyBorder="1" applyAlignment="1">
      <alignment horizontal="center"/>
    </xf>
    <xf numFmtId="0" fontId="85" fillId="0" borderId="0" xfId="8667" applyFont="1" applyFill="1" applyBorder="1" applyAlignment="1">
      <alignment horizontal="center"/>
    </xf>
    <xf numFmtId="0" fontId="18" fillId="0" borderId="0" xfId="0" applyNumberFormat="1" applyFont="1" applyFill="1" applyAlignment="1" applyProtection="1">
      <alignment horizontal="center"/>
    </xf>
    <xf numFmtId="165" fontId="18" fillId="0" borderId="0" xfId="0" quotePrefix="1" applyNumberFormat="1" applyFont="1" applyFill="1" applyAlignment="1">
      <alignment horizontal="center"/>
    </xf>
    <xf numFmtId="165" fontId="18" fillId="0" borderId="0" xfId="0" applyNumberFormat="1" applyFont="1" applyFill="1" applyAlignment="1">
      <alignment horizontal="center"/>
    </xf>
    <xf numFmtId="186" fontId="20" fillId="0" borderId="0" xfId="9290" applyNumberFormat="1" applyFont="1" applyFill="1" applyAlignment="1">
      <alignment horizontal="center"/>
    </xf>
    <xf numFmtId="186" fontId="20" fillId="0" borderId="0" xfId="9290" applyNumberFormat="1" applyFont="1" applyFill="1" applyAlignment="1">
      <alignment horizontal="right"/>
    </xf>
    <xf numFmtId="186" fontId="20" fillId="0" borderId="0" xfId="9290" applyNumberFormat="1" applyFont="1" applyFill="1" applyAlignment="1">
      <alignment horizontal="left"/>
    </xf>
    <xf numFmtId="0" fontId="19" fillId="0" borderId="0" xfId="8667" applyFont="1" applyFill="1" applyBorder="1" applyAlignment="1">
      <alignment horizontal="right" wrapText="1"/>
    </xf>
    <xf numFmtId="49" fontId="131" fillId="0" borderId="0" xfId="9290" applyNumberFormat="1" applyFont="1" applyFill="1" applyAlignment="1">
      <alignment horizontal="left"/>
    </xf>
    <xf numFmtId="49" fontId="20" fillId="0" borderId="0" xfId="9290" applyNumberFormat="1" applyFont="1" applyFill="1" applyAlignment="1">
      <alignment horizontal="right" wrapText="1"/>
    </xf>
    <xf numFmtId="49" fontId="20" fillId="0" borderId="0" xfId="9290" applyNumberFormat="1" applyFont="1" applyFill="1" applyAlignment="1">
      <alignment horizontal="left" wrapText="1"/>
    </xf>
    <xf numFmtId="49" fontId="20" fillId="0" borderId="0" xfId="9290" applyNumberFormat="1" applyFont="1" applyFill="1" applyAlignment="1">
      <alignment horizontal="center" wrapText="1"/>
    </xf>
    <xf numFmtId="43" fontId="19" fillId="0" borderId="6" xfId="2" applyFont="1" applyFill="1" applyBorder="1"/>
    <xf numFmtId="0" fontId="19" fillId="0" borderId="0" xfId="2" applyNumberFormat="1" applyFont="1" applyFill="1" applyBorder="1"/>
    <xf numFmtId="37" fontId="18" fillId="0" borderId="0" xfId="0" applyFont="1" applyFill="1"/>
    <xf numFmtId="43" fontId="19" fillId="0" borderId="5" xfId="3236" applyFont="1" applyFill="1" applyBorder="1"/>
    <xf numFmtId="0" fontId="17" fillId="0" borderId="0" xfId="4" applyFont="1" applyFill="1" applyBorder="1" applyProtection="1">
      <protection locked="0"/>
    </xf>
    <xf numFmtId="49" fontId="6" fillId="0" borderId="0" xfId="8667" applyNumberFormat="1" applyFont="1" applyAlignment="1">
      <alignment horizontal="left" wrapText="1"/>
    </xf>
    <xf numFmtId="49" fontId="6" fillId="0" borderId="0" xfId="8667" applyNumberFormat="1" applyFont="1" applyAlignment="1">
      <alignment horizontal="right" wrapText="1"/>
    </xf>
    <xf numFmtId="202" fontId="6" fillId="0" borderId="0" xfId="8667" applyNumberFormat="1" applyFont="1" applyAlignment="1">
      <alignment horizontal="left"/>
    </xf>
    <xf numFmtId="202" fontId="16" fillId="0" borderId="6" xfId="8667" applyNumberFormat="1" applyFont="1" applyBorder="1" applyAlignment="1">
      <alignment horizontal="right"/>
    </xf>
    <xf numFmtId="202" fontId="209" fillId="0" borderId="0" xfId="8667" applyNumberFormat="1" applyFont="1" applyAlignment="1">
      <alignment horizontal="left"/>
    </xf>
    <xf numFmtId="202" fontId="16" fillId="0" borderId="0" xfId="8667" applyNumberFormat="1" applyFont="1" applyBorder="1" applyAlignment="1">
      <alignment horizontal="right"/>
    </xf>
    <xf numFmtId="202" fontId="6" fillId="0" borderId="0" xfId="8667" applyNumberFormat="1" applyFont="1" applyBorder="1" applyAlignment="1">
      <alignment horizontal="right"/>
    </xf>
    <xf numFmtId="186" fontId="6" fillId="0" borderId="0" xfId="8667" applyNumberFormat="1" applyFont="1" applyAlignment="1">
      <alignment horizontal="left"/>
    </xf>
    <xf numFmtId="186" fontId="6" fillId="0" borderId="0" xfId="8667" applyNumberFormat="1" applyFont="1" applyBorder="1" applyAlignment="1">
      <alignment horizontal="right"/>
    </xf>
    <xf numFmtId="49" fontId="6" fillId="0" borderId="0" xfId="8667" applyNumberFormat="1" applyFont="1" applyFill="1" applyAlignment="1">
      <alignment horizontal="right" wrapText="1"/>
    </xf>
    <xf numFmtId="49" fontId="131" fillId="0" borderId="0" xfId="9290" applyNumberFormat="1" applyFont="1" applyFill="1" applyAlignment="1">
      <alignment horizontal="center"/>
    </xf>
    <xf numFmtId="49" fontId="20" fillId="0" borderId="0" xfId="1" applyNumberFormat="1" applyFont="1" applyFill="1" applyAlignment="1">
      <alignment horizontal="center" wrapText="1"/>
    </xf>
    <xf numFmtId="49" fontId="6" fillId="0" borderId="0" xfId="8667" applyNumberFormat="1" applyFont="1" applyAlignment="1">
      <alignment horizontal="center" wrapText="1"/>
    </xf>
    <xf numFmtId="202" fontId="6" fillId="0" borderId="0" xfId="8667" applyNumberFormat="1" applyFont="1" applyAlignment="1">
      <alignment horizontal="center"/>
    </xf>
    <xf numFmtId="202" fontId="209" fillId="0" borderId="0" xfId="8667" applyNumberFormat="1" applyFont="1" applyAlignment="1">
      <alignment horizontal="center"/>
    </xf>
    <xf numFmtId="186" fontId="6" fillId="0" borderId="0" xfId="8667" applyNumberFormat="1" applyFont="1" applyAlignment="1">
      <alignment horizontal="center"/>
    </xf>
    <xf numFmtId="186" fontId="20" fillId="0" borderId="0" xfId="1" applyNumberFormat="1" applyFont="1" applyFill="1" applyAlignment="1">
      <alignment horizontal="center"/>
    </xf>
    <xf numFmtId="202" fontId="6" fillId="0" borderId="0" xfId="8667" applyNumberFormat="1" applyFont="1" applyAlignment="1">
      <alignment horizontal="right"/>
    </xf>
    <xf numFmtId="6" fontId="6" fillId="0" borderId="0" xfId="8667" applyNumberFormat="1" applyFont="1" applyBorder="1" applyAlignment="1">
      <alignment horizontal="right"/>
    </xf>
    <xf numFmtId="49" fontId="6" fillId="0" borderId="0" xfId="61971" applyNumberFormat="1" applyFont="1" applyAlignment="1">
      <alignment horizontal="left" wrapText="1"/>
    </xf>
    <xf numFmtId="49" fontId="6" fillId="0" borderId="0" xfId="61971" applyNumberFormat="1" applyFont="1" applyAlignment="1">
      <alignment horizontal="right" wrapText="1"/>
    </xf>
    <xf numFmtId="49" fontId="6" fillId="15" borderId="0" xfId="61971" applyNumberFormat="1" applyFont="1" applyFill="1" applyAlignment="1">
      <alignment horizontal="right" wrapText="1"/>
    </xf>
    <xf numFmtId="186" fontId="16" fillId="0" borderId="0" xfId="61971" applyNumberFormat="1" applyFont="1" applyAlignment="1">
      <alignment horizontal="left"/>
    </xf>
    <xf numFmtId="186" fontId="6" fillId="0" borderId="0" xfId="61971" applyNumberFormat="1" applyFont="1" applyAlignment="1">
      <alignment horizontal="right"/>
    </xf>
    <xf numFmtId="186" fontId="6" fillId="15" borderId="0" xfId="61971" applyNumberFormat="1" applyFont="1" applyFill="1" applyAlignment="1">
      <alignment horizontal="right"/>
    </xf>
    <xf numFmtId="186" fontId="6" fillId="0" borderId="0" xfId="61971" applyNumberFormat="1" applyFont="1" applyAlignment="1">
      <alignment horizontal="left"/>
    </xf>
    <xf numFmtId="186" fontId="6" fillId="87" borderId="0" xfId="61971" applyNumberFormat="1" applyFont="1" applyFill="1" applyAlignment="1">
      <alignment horizontal="left"/>
    </xf>
    <xf numFmtId="0" fontId="19" fillId="0" borderId="0" xfId="56077" applyFont="1"/>
    <xf numFmtId="0" fontId="18" fillId="0" borderId="5" xfId="56077" applyFont="1" applyBorder="1"/>
    <xf numFmtId="49" fontId="19" fillId="0" borderId="0" xfId="56077" applyNumberFormat="1" applyFont="1" applyAlignment="1">
      <alignment horizontal="left"/>
    </xf>
    <xf numFmtId="14" fontId="19" fillId="0" borderId="0" xfId="56077" applyNumberFormat="1" applyFont="1" applyAlignment="1">
      <alignment horizontal="left"/>
    </xf>
    <xf numFmtId="0" fontId="88" fillId="0" borderId="0" xfId="56077" applyFont="1"/>
    <xf numFmtId="37" fontId="19" fillId="0" borderId="0" xfId="8674" quotePrefix="1" applyNumberFormat="1" applyFont="1" applyFill="1" applyAlignment="1"/>
    <xf numFmtId="0" fontId="16" fillId="0" borderId="0" xfId="61972" applyFont="1"/>
    <xf numFmtId="0" fontId="5" fillId="0" borderId="0" xfId="61972"/>
    <xf numFmtId="49" fontId="5" fillId="0" borderId="0" xfId="61972" applyNumberFormat="1" applyFont="1" applyAlignment="1">
      <alignment horizontal="right" wrapText="1"/>
    </xf>
    <xf numFmtId="186" fontId="5" fillId="0" borderId="0" xfId="61972" applyNumberFormat="1" applyFont="1" applyAlignment="1">
      <alignment horizontal="right"/>
    </xf>
    <xf numFmtId="186" fontId="5" fillId="0" borderId="0" xfId="61972" applyNumberFormat="1" applyFont="1" applyAlignment="1">
      <alignment horizontal="left"/>
    </xf>
    <xf numFmtId="41" fontId="5" fillId="0" borderId="0" xfId="61972" applyNumberFormat="1" applyFont="1" applyAlignment="1">
      <alignment horizontal="right"/>
    </xf>
    <xf numFmtId="41" fontId="5" fillId="0" borderId="7" xfId="61972" applyNumberFormat="1" applyFont="1" applyBorder="1" applyAlignment="1">
      <alignment horizontal="right"/>
    </xf>
    <xf numFmtId="0" fontId="5" fillId="0" borderId="0" xfId="61972" applyAlignment="1">
      <alignment horizontal="left"/>
    </xf>
    <xf numFmtId="41" fontId="5" fillId="0" borderId="0" xfId="61972" applyNumberFormat="1"/>
    <xf numFmtId="186" fontId="16" fillId="0" borderId="0" xfId="61972" applyNumberFormat="1" applyFont="1" applyAlignment="1">
      <alignment horizontal="left"/>
    </xf>
    <xf numFmtId="186" fontId="5" fillId="0" borderId="0" xfId="61972" applyNumberFormat="1" applyFont="1" applyAlignment="1">
      <alignment horizontal="left" indent="2"/>
    </xf>
    <xf numFmtId="0" fontId="5" fillId="0" borderId="0" xfId="61972" applyAlignment="1">
      <alignment horizontal="left" indent="2"/>
    </xf>
    <xf numFmtId="41" fontId="5" fillId="0" borderId="5" xfId="61972" applyNumberFormat="1" applyBorder="1"/>
    <xf numFmtId="41" fontId="5" fillId="0" borderId="0" xfId="61972" applyNumberFormat="1" applyBorder="1"/>
    <xf numFmtId="41" fontId="5" fillId="0" borderId="7" xfId="61972" applyNumberFormat="1" applyBorder="1"/>
    <xf numFmtId="206" fontId="20" fillId="0" borderId="0" xfId="9285" applyNumberFormat="1" applyFont="1" applyAlignment="1">
      <alignment horizontal="right"/>
    </xf>
    <xf numFmtId="186" fontId="20" fillId="0" borderId="0" xfId="61973" applyNumberFormat="1" applyFont="1" applyAlignment="1">
      <alignment horizontal="right"/>
    </xf>
    <xf numFmtId="207" fontId="5" fillId="0" borderId="0" xfId="61972" applyNumberFormat="1"/>
    <xf numFmtId="43" fontId="5" fillId="0" borderId="0" xfId="61972" applyNumberFormat="1"/>
    <xf numFmtId="0" fontId="5" fillId="0" borderId="0" xfId="61972" applyBorder="1"/>
    <xf numFmtId="49" fontId="5" fillId="0" borderId="0" xfId="61972" applyNumberFormat="1" applyFont="1" applyBorder="1" applyAlignment="1">
      <alignment horizontal="right" wrapText="1"/>
    </xf>
    <xf numFmtId="41" fontId="5" fillId="0" borderId="0" xfId="61972" applyNumberFormat="1" applyFont="1" applyBorder="1" applyAlignment="1">
      <alignment horizontal="right"/>
    </xf>
    <xf numFmtId="206" fontId="20" fillId="0" borderId="0" xfId="9285" applyNumberFormat="1" applyFont="1" applyBorder="1" applyAlignment="1">
      <alignment horizontal="right"/>
    </xf>
    <xf numFmtId="208" fontId="5" fillId="0" borderId="0" xfId="61972" applyNumberFormat="1" applyBorder="1"/>
    <xf numFmtId="192" fontId="20" fillId="0" borderId="0" xfId="9285" applyNumberFormat="1" applyFont="1" applyBorder="1" applyAlignment="1">
      <alignment horizontal="right"/>
    </xf>
    <xf numFmtId="0" fontId="5" fillId="0" borderId="0" xfId="61974"/>
    <xf numFmtId="186" fontId="5" fillId="0" borderId="0" xfId="61974" applyNumberFormat="1" applyFont="1" applyAlignment="1">
      <alignment horizontal="right"/>
    </xf>
    <xf numFmtId="209" fontId="16" fillId="0" borderId="0" xfId="61974" applyNumberFormat="1" applyFont="1"/>
    <xf numFmtId="181" fontId="85" fillId="0" borderId="0" xfId="8779" applyNumberFormat="1" applyFont="1" applyFill="1" applyBorder="1" applyAlignment="1">
      <alignment horizontal="right" wrapText="1"/>
    </xf>
    <xf numFmtId="37" fontId="37" fillId="0" borderId="0" xfId="9290" quotePrefix="1" applyFont="1" applyFill="1"/>
    <xf numFmtId="0" fontId="113" fillId="0" borderId="0" xfId="8767" applyFont="1" applyFill="1" applyAlignment="1"/>
    <xf numFmtId="0" fontId="90" fillId="0" borderId="0" xfId="8767" applyFont="1" applyFill="1" applyAlignment="1">
      <alignment horizontal="centerContinuous"/>
    </xf>
    <xf numFmtId="0" fontId="90" fillId="0" borderId="0" xfId="8767" applyFont="1" applyFill="1" applyAlignment="1">
      <alignment horizontal="right"/>
    </xf>
    <xf numFmtId="185" fontId="113" fillId="0" borderId="0" xfId="61975" applyNumberFormat="1" applyFont="1" applyFill="1" applyAlignment="1"/>
    <xf numFmtId="0" fontId="90" fillId="0" borderId="0" xfId="8767" applyNumberFormat="1" applyFont="1" applyFill="1" applyAlignment="1">
      <alignment horizontal="centerContinuous"/>
    </xf>
    <xf numFmtId="0" fontId="113" fillId="0" borderId="0" xfId="8767" applyNumberFormat="1" applyFont="1" applyFill="1" applyAlignment="1">
      <alignment horizontal="right"/>
    </xf>
    <xf numFmtId="0" fontId="113" fillId="0" borderId="0" xfId="8767" applyNumberFormat="1" applyFont="1" applyFill="1" applyAlignment="1">
      <alignment horizontal="centerContinuous"/>
    </xf>
    <xf numFmtId="0" fontId="113" fillId="0" borderId="0" xfId="8767" applyNumberFormat="1" applyFont="1" applyFill="1" applyAlignment="1">
      <alignment horizontal="center"/>
    </xf>
    <xf numFmtId="183" fontId="113" fillId="0" borderId="0" xfId="8767" applyNumberFormat="1" applyFont="1" applyFill="1" applyAlignment="1">
      <alignment horizontal="center"/>
    </xf>
    <xf numFmtId="0" fontId="113" fillId="0" borderId="0" xfId="8767" applyFont="1" applyFill="1"/>
    <xf numFmtId="0" fontId="90" fillId="0" borderId="0" xfId="8767" applyNumberFormat="1" applyFont="1" applyFill="1" applyAlignment="1">
      <alignment horizontal="center"/>
    </xf>
    <xf numFmtId="183" fontId="90" fillId="0" borderId="0" xfId="8767" applyNumberFormat="1" applyFont="1" applyFill="1" applyAlignment="1">
      <alignment horizontal="center"/>
    </xf>
    <xf numFmtId="0" fontId="37" fillId="0" borderId="0" xfId="8767" applyNumberFormat="1" applyFont="1" applyFill="1" applyBorder="1" applyAlignment="1">
      <alignment horizontal="centerContinuous"/>
    </xf>
    <xf numFmtId="185" fontId="90" fillId="0" borderId="0" xfId="61975" applyNumberFormat="1" applyFont="1" applyFill="1" applyAlignment="1">
      <alignment horizontal="center"/>
    </xf>
    <xf numFmtId="0" fontId="90" fillId="0" borderId="0" xfId="8767" applyNumberFormat="1" applyFont="1" applyFill="1" applyBorder="1" applyAlignment="1">
      <alignment horizontal="center"/>
    </xf>
    <xf numFmtId="0" fontId="90" fillId="0" borderId="5" xfId="8767" applyFont="1" applyFill="1" applyBorder="1" applyAlignment="1">
      <alignment horizontal="center"/>
    </xf>
    <xf numFmtId="185" fontId="90" fillId="0" borderId="5" xfId="61975" applyNumberFormat="1" applyFont="1" applyFill="1" applyBorder="1" applyAlignment="1">
      <alignment horizontal="center"/>
    </xf>
    <xf numFmtId="37" fontId="113" fillId="0" borderId="0" xfId="8767" applyNumberFormat="1" applyFont="1" applyFill="1"/>
    <xf numFmtId="37" fontId="90" fillId="0" borderId="0" xfId="8767" applyNumberFormat="1" applyFont="1" applyFill="1" applyAlignment="1">
      <alignment horizontal="right"/>
    </xf>
    <xf numFmtId="37" fontId="90" fillId="0" borderId="25" xfId="8767" applyNumberFormat="1" applyFont="1" applyFill="1" applyBorder="1" applyAlignment="1">
      <alignment horizontal="center"/>
    </xf>
    <xf numFmtId="37" fontId="90" fillId="0" borderId="0" xfId="8767" applyNumberFormat="1" applyFont="1" applyFill="1" applyAlignment="1">
      <alignment horizontal="center"/>
    </xf>
    <xf numFmtId="37" fontId="113" fillId="0" borderId="0" xfId="8767" applyNumberFormat="1" applyFont="1" applyFill="1" applyAlignment="1"/>
    <xf numFmtId="3" fontId="90" fillId="0" borderId="0" xfId="8767" applyNumberFormat="1" applyFont="1" applyFill="1" applyAlignment="1">
      <alignment horizontal="center"/>
    </xf>
    <xf numFmtId="0" fontId="113" fillId="0" borderId="0" xfId="8767" applyFont="1" applyFill="1" applyAlignment="1">
      <alignment horizontal="right"/>
    </xf>
    <xf numFmtId="0" fontId="90" fillId="0" borderId="0" xfId="8767" applyNumberFormat="1" applyFont="1" applyFill="1" applyAlignment="1">
      <alignment horizontal="left"/>
    </xf>
    <xf numFmtId="0" fontId="113" fillId="0" borderId="0" xfId="8767" applyFont="1" applyFill="1" applyAlignment="1">
      <alignment horizontal="center"/>
    </xf>
    <xf numFmtId="0" fontId="90" fillId="0" borderId="5" xfId="8767" applyNumberFormat="1" applyFont="1" applyFill="1" applyBorder="1" applyAlignment="1">
      <alignment horizontal="center"/>
    </xf>
    <xf numFmtId="210" fontId="113" fillId="0" borderId="0" xfId="8767" applyNumberFormat="1" applyFont="1" applyFill="1" applyAlignment="1"/>
    <xf numFmtId="2" fontId="113" fillId="0" borderId="0" xfId="8767" applyNumberFormat="1" applyFont="1" applyFill="1"/>
    <xf numFmtId="0" fontId="37" fillId="0" borderId="0" xfId="8767" applyFont="1" applyFill="1" applyAlignment="1"/>
    <xf numFmtId="0" fontId="37" fillId="0" borderId="0" xfId="8767" applyNumberFormat="1" applyFont="1" applyFill="1" applyAlignment="1">
      <alignment horizontal="center"/>
    </xf>
    <xf numFmtId="183" fontId="37" fillId="0" borderId="0" xfId="8767" applyNumberFormat="1" applyFont="1" applyFill="1" applyAlignment="1">
      <alignment horizontal="center"/>
    </xf>
    <xf numFmtId="43" fontId="113" fillId="0" borderId="0" xfId="8767" applyNumberFormat="1" applyFont="1" applyFill="1"/>
    <xf numFmtId="43" fontId="113" fillId="0" borderId="5" xfId="8767" applyNumberFormat="1" applyFont="1" applyFill="1" applyBorder="1"/>
    <xf numFmtId="43" fontId="113" fillId="0" borderId="0" xfId="8767" applyNumberFormat="1" applyFont="1" applyFill="1" applyAlignment="1"/>
    <xf numFmtId="0" fontId="90" fillId="0" borderId="25" xfId="8767" applyNumberFormat="1" applyFont="1" applyFill="1" applyBorder="1" applyAlignment="1">
      <alignment horizontal="center"/>
    </xf>
    <xf numFmtId="0" fontId="37" fillId="0" borderId="0" xfId="8767" applyNumberFormat="1" applyFont="1" applyFill="1" applyAlignment="1"/>
    <xf numFmtId="0" fontId="91" fillId="0" borderId="0" xfId="8767" applyNumberFormat="1" applyFont="1" applyFill="1" applyAlignment="1"/>
    <xf numFmtId="2" fontId="37" fillId="0" borderId="0" xfId="8767" applyNumberFormat="1" applyFont="1" applyFill="1" applyAlignment="1">
      <alignment horizontal="right"/>
    </xf>
    <xf numFmtId="2" fontId="37" fillId="0" borderId="0" xfId="8767" applyNumberFormat="1" applyFont="1" applyFill="1" applyBorder="1" applyAlignment="1">
      <alignment horizontal="right"/>
    </xf>
    <xf numFmtId="0" fontId="113" fillId="0" borderId="0" xfId="8767" applyFont="1" applyFill="1" applyBorder="1" applyAlignment="1">
      <alignment horizontal="right"/>
    </xf>
    <xf numFmtId="0" fontId="37" fillId="0" borderId="0" xfId="8767" applyNumberFormat="1" applyFont="1" applyFill="1" applyBorder="1" applyAlignment="1"/>
    <xf numFmtId="0" fontId="37" fillId="0" borderId="0" xfId="8767" applyNumberFormat="1" applyFont="1" applyFill="1" applyBorder="1" applyAlignment="1">
      <alignment horizontal="center"/>
    </xf>
    <xf numFmtId="183" fontId="37" fillId="0" borderId="0" xfId="8767" applyNumberFormat="1" applyFont="1" applyFill="1" applyBorder="1" applyAlignment="1">
      <alignment horizontal="center"/>
    </xf>
    <xf numFmtId="0" fontId="113" fillId="0" borderId="0" xfId="8767" applyFont="1" applyFill="1" applyBorder="1" applyAlignment="1"/>
    <xf numFmtId="43" fontId="113" fillId="0" borderId="0" xfId="8767" applyNumberFormat="1" applyFont="1" applyFill="1" applyBorder="1"/>
    <xf numFmtId="185" fontId="113" fillId="0" borderId="0" xfId="61975" applyNumberFormat="1" applyFont="1" applyFill="1" applyBorder="1" applyAlignment="1"/>
    <xf numFmtId="2" fontId="113" fillId="0" borderId="0" xfId="8767" applyNumberFormat="1" applyFont="1" applyFill="1" applyBorder="1"/>
    <xf numFmtId="0" fontId="113" fillId="0" borderId="0" xfId="8767" applyFont="1" applyFill="1" applyBorder="1" applyAlignment="1">
      <alignment horizontal="center"/>
    </xf>
    <xf numFmtId="0" fontId="37" fillId="0" borderId="0" xfId="8767" applyNumberFormat="1" applyFont="1" applyFill="1" applyAlignment="1">
      <alignment horizontal="left"/>
    </xf>
    <xf numFmtId="0" fontId="91" fillId="0" borderId="0" xfId="8767" applyNumberFormat="1" applyFont="1" applyFill="1" applyAlignment="1">
      <alignment horizontal="left"/>
    </xf>
    <xf numFmtId="2" fontId="37" fillId="0" borderId="0" xfId="8767" applyNumberFormat="1" applyFont="1" applyFill="1"/>
    <xf numFmtId="0" fontId="37" fillId="0" borderId="0" xfId="8767" applyFont="1" applyFill="1" applyAlignment="1">
      <alignment horizontal="right"/>
    </xf>
    <xf numFmtId="185" fontId="37" fillId="0" borderId="0" xfId="61975" applyNumberFormat="1" applyFont="1" applyFill="1" applyAlignment="1"/>
    <xf numFmtId="2" fontId="90" fillId="0" borderId="0" xfId="8767" applyNumberFormat="1" applyFont="1" applyFill="1"/>
    <xf numFmtId="0" fontId="90" fillId="0" borderId="0" xfId="8767" applyFont="1" applyFill="1" applyAlignment="1"/>
    <xf numFmtId="210" fontId="90" fillId="0" borderId="0" xfId="8767" applyNumberFormat="1" applyFont="1" applyFill="1" applyAlignment="1"/>
    <xf numFmtId="185" fontId="90" fillId="0" borderId="0" xfId="61975" applyNumberFormat="1" applyFont="1" applyFill="1" applyAlignment="1"/>
    <xf numFmtId="0" fontId="113" fillId="0" borderId="25" xfId="8767" applyFont="1" applyFill="1" applyBorder="1"/>
    <xf numFmtId="0" fontId="113" fillId="0" borderId="0" xfId="8767" applyFont="1" applyFill="1" applyBorder="1" applyAlignment="1">
      <alignment horizontal="left"/>
    </xf>
    <xf numFmtId="210" fontId="113" fillId="0" borderId="0" xfId="8767" applyNumberFormat="1" applyFont="1" applyFill="1" applyBorder="1" applyAlignment="1"/>
    <xf numFmtId="0" fontId="37" fillId="0" borderId="0" xfId="8767" applyFont="1" applyFill="1" applyBorder="1" applyAlignment="1">
      <alignment horizontal="left"/>
    </xf>
    <xf numFmtId="0" fontId="91" fillId="0" borderId="0" xfId="8767" applyFont="1" applyFill="1" applyBorder="1" applyAlignment="1">
      <alignment horizontal="left"/>
    </xf>
    <xf numFmtId="0" fontId="37" fillId="0" borderId="0" xfId="8767" applyNumberFormat="1" applyFont="1" applyFill="1" applyBorder="1" applyAlignment="1">
      <alignment horizontal="left"/>
    </xf>
    <xf numFmtId="0" fontId="113" fillId="0" borderId="0" xfId="8767" applyNumberFormat="1" applyFont="1" applyFill="1" applyBorder="1" applyAlignment="1">
      <alignment horizontal="left"/>
    </xf>
    <xf numFmtId="0" fontId="90" fillId="0" borderId="0" xfId="8767" applyNumberFormat="1" applyFont="1" applyFill="1" applyAlignment="1"/>
    <xf numFmtId="0" fontId="37" fillId="0" borderId="0" xfId="8767" applyFont="1" applyFill="1" applyAlignment="1">
      <alignment horizontal="center"/>
    </xf>
    <xf numFmtId="0" fontId="113" fillId="0" borderId="0" xfId="8767" quotePrefix="1" applyFont="1" applyFill="1" applyAlignment="1">
      <alignment horizontal="left"/>
    </xf>
    <xf numFmtId="3" fontId="113" fillId="0" borderId="0" xfId="8767" applyNumberFormat="1" applyFont="1" applyFill="1"/>
    <xf numFmtId="2" fontId="113" fillId="0" borderId="0" xfId="8767" applyNumberFormat="1" applyFont="1" applyFill="1" applyAlignment="1"/>
    <xf numFmtId="0" fontId="211" fillId="0" borderId="0" xfId="8767" applyFont="1" applyFill="1" applyAlignment="1"/>
    <xf numFmtId="0" fontId="37" fillId="0" borderId="0" xfId="8767" quotePrefix="1" applyFont="1" applyFill="1" applyAlignment="1"/>
    <xf numFmtId="183" fontId="37" fillId="0" borderId="0" xfId="8767" quotePrefix="1" applyNumberFormat="1" applyFont="1" applyFill="1" applyAlignment="1">
      <alignment horizontal="center"/>
    </xf>
    <xf numFmtId="183" fontId="113" fillId="0" borderId="0" xfId="8767" quotePrefix="1" applyNumberFormat="1" applyFont="1" applyFill="1" applyAlignment="1">
      <alignment horizontal="center"/>
    </xf>
    <xf numFmtId="0" fontId="113" fillId="0" borderId="0" xfId="8767" quotePrefix="1" applyFont="1" applyFill="1" applyAlignment="1">
      <alignment horizontal="center"/>
    </xf>
    <xf numFmtId="185" fontId="113" fillId="0" borderId="0" xfId="61975" quotePrefix="1" applyNumberFormat="1" applyFont="1" applyFill="1" applyAlignment="1"/>
    <xf numFmtId="0" fontId="37" fillId="0" borderId="0" xfId="8767" quotePrefix="1" applyNumberFormat="1" applyFont="1" applyFill="1" applyAlignment="1">
      <alignment horizontal="center"/>
    </xf>
    <xf numFmtId="49" fontId="4" fillId="0" borderId="0" xfId="61976" applyNumberFormat="1" applyFont="1" applyAlignment="1">
      <alignment horizontal="left" wrapText="1"/>
    </xf>
    <xf numFmtId="49" fontId="4" fillId="0" borderId="0" xfId="61976" applyNumberFormat="1" applyFont="1" applyAlignment="1">
      <alignment horizontal="right" wrapText="1"/>
    </xf>
    <xf numFmtId="0" fontId="4" fillId="0" borderId="0" xfId="61976"/>
    <xf numFmtId="186" fontId="16" fillId="0" borderId="0" xfId="61976" applyNumberFormat="1" applyFont="1" applyAlignment="1">
      <alignment horizontal="left"/>
    </xf>
    <xf numFmtId="186" fontId="4" fillId="0" borderId="0" xfId="61976" applyNumberFormat="1" applyFont="1" applyAlignment="1">
      <alignment horizontal="left"/>
    </xf>
    <xf numFmtId="186" fontId="4" fillId="0" borderId="0" xfId="61976" applyNumberFormat="1" applyFont="1" applyAlignment="1">
      <alignment horizontal="right"/>
    </xf>
    <xf numFmtId="49" fontId="3" fillId="0" borderId="0" xfId="56125" applyNumberFormat="1" applyFont="1" applyAlignment="1">
      <alignment horizontal="right" wrapText="1"/>
    </xf>
    <xf numFmtId="44" fontId="9" fillId="0" borderId="0" xfId="56125" applyNumberFormat="1"/>
    <xf numFmtId="44" fontId="9" fillId="15" borderId="0" xfId="56125" applyNumberFormat="1" applyFill="1"/>
    <xf numFmtId="49" fontId="3" fillId="0" borderId="0" xfId="56127" applyNumberFormat="1" applyFont="1" applyAlignment="1">
      <alignment horizontal="right" wrapText="1"/>
    </xf>
    <xf numFmtId="43" fontId="9" fillId="0" borderId="0" xfId="56127" applyNumberFormat="1"/>
    <xf numFmtId="43" fontId="9" fillId="15" borderId="0" xfId="56127" applyNumberFormat="1" applyFill="1"/>
    <xf numFmtId="211" fontId="20" fillId="0" borderId="0" xfId="1" applyNumberFormat="1" applyFill="1"/>
    <xf numFmtId="212" fontId="20" fillId="0" borderId="0" xfId="1" applyNumberFormat="1" applyFont="1" applyFill="1" applyAlignment="1">
      <alignment horizontal="right"/>
    </xf>
    <xf numFmtId="192" fontId="20" fillId="0" borderId="0" xfId="1" applyNumberFormat="1" applyFont="1" applyFill="1" applyBorder="1" applyAlignment="1">
      <alignment horizontal="right"/>
    </xf>
    <xf numFmtId="192" fontId="20" fillId="0" borderId="28" xfId="1" applyNumberFormat="1" applyFont="1" applyFill="1" applyBorder="1" applyAlignment="1">
      <alignment horizontal="right"/>
    </xf>
    <xf numFmtId="192" fontId="20" fillId="0" borderId="0" xfId="9285" applyNumberFormat="1" applyFont="1" applyAlignment="1">
      <alignment horizontal="right"/>
    </xf>
    <xf numFmtId="173" fontId="85" fillId="0" borderId="0" xfId="8667" applyNumberFormat="1" applyFont="1" applyFill="1" applyBorder="1" applyAlignment="1">
      <alignment horizontal="left"/>
    </xf>
    <xf numFmtId="41" fontId="2" fillId="0" borderId="5" xfId="61973" applyNumberFormat="1" applyFont="1" applyBorder="1" applyAlignment="1">
      <alignment horizontal="right"/>
    </xf>
    <xf numFmtId="41" fontId="213" fillId="0" borderId="0" xfId="0" applyNumberFormat="1" applyFont="1" applyAlignment="1">
      <alignment horizontal="right"/>
    </xf>
    <xf numFmtId="41" fontId="213" fillId="0" borderId="7" xfId="0" applyNumberFormat="1" applyFont="1" applyBorder="1" applyAlignment="1">
      <alignment horizontal="right"/>
    </xf>
    <xf numFmtId="41" fontId="213" fillId="0" borderId="0" xfId="0" applyNumberFormat="1" applyFont="1"/>
    <xf numFmtId="41" fontId="213" fillId="0" borderId="5" xfId="0" applyNumberFormat="1" applyFont="1" applyBorder="1"/>
    <xf numFmtId="41" fontId="213" fillId="0" borderId="0" xfId="0" applyNumberFormat="1" applyFont="1" applyBorder="1"/>
    <xf numFmtId="41" fontId="213" fillId="0" borderId="7" xfId="0" applyNumberFormat="1" applyFont="1" applyBorder="1"/>
    <xf numFmtId="208" fontId="214" fillId="0" borderId="0" xfId="0" applyNumberFormat="1" applyFont="1" applyBorder="1"/>
    <xf numFmtId="49" fontId="1" fillId="0" borderId="0" xfId="8671" applyNumberFormat="1" applyFont="1" applyAlignment="1">
      <alignment horizontal="right" wrapText="1"/>
    </xf>
    <xf numFmtId="186" fontId="1" fillId="0" borderId="0" xfId="8671" applyNumberFormat="1" applyFont="1" applyAlignment="1">
      <alignment horizontal="right"/>
    </xf>
    <xf numFmtId="186" fontId="210" fillId="0" borderId="0" xfId="8671" applyNumberFormat="1" applyFont="1" applyAlignment="1">
      <alignment horizontal="right"/>
    </xf>
    <xf numFmtId="186" fontId="1" fillId="0" borderId="22" xfId="8671" applyNumberFormat="1" applyFont="1" applyBorder="1" applyAlignment="1">
      <alignment horizontal="right"/>
    </xf>
    <xf numFmtId="186" fontId="16" fillId="0" borderId="22" xfId="8671" applyNumberFormat="1" applyFont="1" applyBorder="1" applyAlignment="1">
      <alignment horizontal="right"/>
    </xf>
    <xf numFmtId="186" fontId="16" fillId="0" borderId="0" xfId="8671" applyNumberFormat="1" applyFont="1" applyAlignment="1">
      <alignment horizontal="right"/>
    </xf>
    <xf numFmtId="202" fontId="1" fillId="0" borderId="0" xfId="8667" applyNumberFormat="1" applyFont="1" applyAlignment="1">
      <alignment horizontal="left"/>
    </xf>
    <xf numFmtId="0" fontId="85" fillId="0" borderId="0" xfId="8667" applyFont="1" applyFill="1" applyBorder="1" applyAlignment="1">
      <alignment horizontal="center"/>
    </xf>
    <xf numFmtId="0" fontId="90" fillId="0" borderId="0" xfId="8767" applyFont="1" applyFill="1" applyAlignment="1">
      <alignment horizontal="center"/>
    </xf>
    <xf numFmtId="43" fontId="212" fillId="0" borderId="0" xfId="0" applyNumberFormat="1" applyFont="1" applyFill="1"/>
    <xf numFmtId="49" fontId="20" fillId="0" borderId="0" xfId="9285" applyNumberFormat="1" applyFont="1" applyFill="1" applyAlignment="1">
      <alignment horizontal="left" wrapText="1"/>
    </xf>
    <xf numFmtId="49" fontId="20" fillId="0" borderId="0" xfId="9285" applyNumberFormat="1" applyFont="1" applyFill="1" applyAlignment="1">
      <alignment horizontal="right" wrapText="1"/>
    </xf>
    <xf numFmtId="186" fontId="21" fillId="0" borderId="0" xfId="9285" applyNumberFormat="1" applyFont="1" applyFill="1" applyAlignment="1">
      <alignment horizontal="left"/>
    </xf>
    <xf numFmtId="49" fontId="21" fillId="0" borderId="0" xfId="9285" applyNumberFormat="1" applyFont="1" applyFill="1" applyAlignment="1">
      <alignment horizontal="left" wrapText="1"/>
    </xf>
    <xf numFmtId="186" fontId="20" fillId="0" borderId="0" xfId="9285" applyNumberFormat="1" applyFont="1" applyFill="1" applyAlignment="1">
      <alignment horizontal="right"/>
    </xf>
    <xf numFmtId="192" fontId="20" fillId="0" borderId="0" xfId="9285" applyNumberFormat="1" applyFont="1" applyFill="1" applyAlignment="1">
      <alignment horizontal="right"/>
    </xf>
    <xf numFmtId="192" fontId="20" fillId="0" borderId="0" xfId="9285" applyNumberFormat="1" applyFont="1" applyFill="1" applyBorder="1" applyAlignment="1">
      <alignment horizontal="right"/>
    </xf>
    <xf numFmtId="192" fontId="20" fillId="0" borderId="28" xfId="9285" applyNumberFormat="1" applyFont="1" applyFill="1" applyBorder="1" applyAlignment="1">
      <alignment horizontal="right"/>
    </xf>
    <xf numFmtId="186" fontId="21" fillId="0" borderId="0" xfId="1" applyNumberFormat="1" applyFont="1" applyFill="1" applyAlignment="1">
      <alignment horizontal="left"/>
    </xf>
    <xf numFmtId="213" fontId="20" fillId="0" borderId="0" xfId="9285" applyNumberFormat="1" applyFont="1" applyFill="1" applyAlignment="1">
      <alignment horizontal="right"/>
    </xf>
    <xf numFmtId="186" fontId="20" fillId="0" borderId="0" xfId="9285" applyNumberFormat="1" applyFont="1" applyFill="1" applyAlignment="1">
      <alignment horizontal="left"/>
    </xf>
    <xf numFmtId="186" fontId="132" fillId="0" borderId="0" xfId="9290" applyNumberFormat="1" applyFont="1" applyFill="1" applyAlignment="1">
      <alignment horizontal="left"/>
    </xf>
    <xf numFmtId="186" fontId="132" fillId="0" borderId="0" xfId="9290" applyNumberFormat="1" applyFont="1" applyFill="1" applyAlignment="1">
      <alignment horizontal="center"/>
    </xf>
    <xf numFmtId="0" fontId="20" fillId="0" borderId="0" xfId="9290" applyNumberFormat="1" applyFont="1" applyFill="1" applyAlignment="1">
      <alignment horizontal="right"/>
    </xf>
    <xf numFmtId="192" fontId="20" fillId="0" borderId="0" xfId="9290" applyNumberFormat="1" applyFont="1" applyFill="1" applyAlignment="1">
      <alignment horizontal="right"/>
    </xf>
    <xf numFmtId="186" fontId="21" fillId="0" borderId="0" xfId="9290" applyNumberFormat="1" applyFont="1" applyFill="1" applyAlignment="1">
      <alignment horizontal="left"/>
    </xf>
    <xf numFmtId="205" fontId="20" fillId="0" borderId="0" xfId="9290" applyNumberFormat="1" applyFont="1" applyFill="1" applyAlignment="1">
      <alignment horizontal="right"/>
    </xf>
    <xf numFmtId="165" fontId="19" fillId="0" borderId="0" xfId="0" applyNumberFormat="1" applyFont="1" applyFill="1" applyAlignment="1">
      <alignment horizontal="center"/>
    </xf>
    <xf numFmtId="49" fontId="21" fillId="0" borderId="0" xfId="9290" applyNumberFormat="1" applyFont="1" applyFill="1" applyAlignment="1">
      <alignment horizontal="center" wrapText="1"/>
    </xf>
    <xf numFmtId="49" fontId="21" fillId="0" borderId="0" xfId="1" applyNumberFormat="1" applyFont="1" applyFill="1" applyAlignment="1">
      <alignment horizontal="center" wrapText="1"/>
    </xf>
    <xf numFmtId="43" fontId="19" fillId="0" borderId="0" xfId="3236" applyFont="1" applyFill="1" applyBorder="1"/>
    <xf numFmtId="43" fontId="19" fillId="0" borderId="0" xfId="3236" applyFont="1" applyFill="1"/>
    <xf numFmtId="164" fontId="19" fillId="0" borderId="0" xfId="0" applyNumberFormat="1" applyFont="1" applyFill="1" applyBorder="1"/>
    <xf numFmtId="164" fontId="18" fillId="0" borderId="0" xfId="0" applyNumberFormat="1" applyFont="1" applyFill="1" applyBorder="1"/>
    <xf numFmtId="43" fontId="19" fillId="0" borderId="0" xfId="2" applyFont="1" applyFill="1" applyAlignment="1">
      <alignment horizontal="center"/>
    </xf>
    <xf numFmtId="165" fontId="19" fillId="0" borderId="0" xfId="0" applyNumberFormat="1" applyFont="1" applyFill="1" applyBorder="1" applyAlignment="1">
      <alignment horizontal="center"/>
    </xf>
    <xf numFmtId="43" fontId="18" fillId="0" borderId="0" xfId="3236" applyFont="1" applyFill="1" applyAlignment="1">
      <alignment horizontal="center"/>
    </xf>
    <xf numFmtId="43" fontId="18" fillId="0" borderId="0" xfId="3236" applyFont="1" applyFill="1" applyBorder="1" applyAlignment="1">
      <alignment horizontal="center"/>
    </xf>
    <xf numFmtId="43" fontId="18" fillId="0" borderId="5" xfId="3236" applyFont="1" applyFill="1" applyBorder="1" applyAlignment="1">
      <alignment horizontal="center"/>
    </xf>
    <xf numFmtId="37" fontId="0" fillId="0" borderId="0" xfId="0" applyFill="1" applyBorder="1"/>
    <xf numFmtId="43" fontId="19" fillId="0" borderId="7" xfId="3236" applyFont="1" applyFill="1" applyBorder="1"/>
    <xf numFmtId="0" fontId="19" fillId="0" borderId="0" xfId="4" applyFont="1" applyFill="1" applyBorder="1"/>
    <xf numFmtId="165" fontId="18" fillId="0" borderId="0" xfId="4" applyNumberFormat="1" applyFont="1" applyFill="1" applyAlignment="1">
      <alignment horizontal="center"/>
    </xf>
    <xf numFmtId="165" fontId="18" fillId="0" borderId="0" xfId="4" applyNumberFormat="1" applyFont="1" applyFill="1" applyBorder="1" applyAlignment="1">
      <alignment horizontal="center"/>
    </xf>
    <xf numFmtId="43" fontId="18" fillId="0" borderId="0" xfId="5" applyFont="1" applyFill="1" applyAlignment="1">
      <alignment horizontal="center"/>
    </xf>
    <xf numFmtId="43" fontId="19" fillId="0" borderId="0" xfId="5" applyFont="1" applyFill="1"/>
    <xf numFmtId="43" fontId="18" fillId="0" borderId="0" xfId="5" applyFont="1" applyFill="1" applyBorder="1" applyAlignment="1">
      <alignment horizontal="center"/>
    </xf>
    <xf numFmtId="43" fontId="18" fillId="0" borderId="5" xfId="5" applyFont="1" applyFill="1" applyBorder="1" applyAlignment="1">
      <alignment horizontal="center"/>
    </xf>
    <xf numFmtId="43" fontId="19" fillId="0" borderId="0" xfId="5" applyFont="1" applyFill="1" applyBorder="1"/>
    <xf numFmtId="43" fontId="19" fillId="0" borderId="5" xfId="5" applyFont="1" applyFill="1" applyBorder="1"/>
    <xf numFmtId="43" fontId="19" fillId="0" borderId="7" xfId="5" applyFont="1" applyFill="1" applyBorder="1"/>
    <xf numFmtId="0" fontId="19" fillId="0" borderId="0" xfId="0" applyNumberFormat="1" applyFont="1" applyFill="1" applyAlignment="1">
      <alignment horizontal="left"/>
    </xf>
    <xf numFmtId="193" fontId="136" fillId="0" borderId="0" xfId="9290" applyNumberFormat="1" applyFont="1" applyAlignment="1">
      <alignment horizontal="center"/>
    </xf>
    <xf numFmtId="37" fontId="136" fillId="0" borderId="0" xfId="9290" applyFont="1" applyAlignment="1">
      <alignment horizontal="center"/>
    </xf>
    <xf numFmtId="37" fontId="90" fillId="0" borderId="0" xfId="9290" applyFont="1" applyAlignment="1">
      <alignment horizontal="center"/>
    </xf>
    <xf numFmtId="193" fontId="90" fillId="0" borderId="0" xfId="9290" applyNumberFormat="1" applyFont="1" applyAlignment="1">
      <alignment horizontal="center"/>
    </xf>
    <xf numFmtId="0" fontId="87" fillId="0" borderId="0" xfId="56077" applyFont="1" applyAlignment="1">
      <alignment horizontal="center"/>
    </xf>
    <xf numFmtId="0" fontId="19" fillId="0" borderId="0" xfId="8677" applyFont="1" applyAlignment="1" applyProtection="1">
      <alignment horizontal="center"/>
    </xf>
    <xf numFmtId="49" fontId="19" fillId="0" borderId="0" xfId="8667" applyNumberFormat="1" applyFont="1" applyFill="1" applyBorder="1" applyAlignment="1">
      <alignment horizontal="center"/>
    </xf>
    <xf numFmtId="0" fontId="19" fillId="0" borderId="0" xfId="8667" applyFont="1" applyFill="1" applyBorder="1" applyAlignment="1">
      <alignment horizontal="center"/>
    </xf>
    <xf numFmtId="0" fontId="85" fillId="0" borderId="0" xfId="8667" applyFont="1" applyFill="1" applyBorder="1" applyAlignment="1">
      <alignment horizontal="center"/>
    </xf>
    <xf numFmtId="0" fontId="85" fillId="0" borderId="28" xfId="8667" applyFont="1" applyFill="1" applyBorder="1" applyAlignment="1">
      <alignment horizontal="center"/>
    </xf>
    <xf numFmtId="0" fontId="19" fillId="0" borderId="0" xfId="8667" applyNumberFormat="1" applyFont="1" applyFill="1" applyBorder="1" applyAlignment="1">
      <alignment horizontal="center"/>
    </xf>
    <xf numFmtId="37" fontId="19" fillId="0" borderId="0" xfId="8674" applyNumberFormat="1" applyFont="1" applyFill="1" applyAlignment="1">
      <alignment horizontal="center"/>
    </xf>
    <xf numFmtId="37" fontId="75" fillId="0" borderId="0" xfId="8674" applyNumberFormat="1" applyFont="1" applyFill="1" applyAlignment="1">
      <alignment horizontal="center"/>
    </xf>
    <xf numFmtId="0" fontId="90" fillId="0" borderId="0" xfId="9370" applyFont="1" applyFill="1" applyAlignment="1">
      <alignment horizontal="center"/>
    </xf>
    <xf numFmtId="0" fontId="90" fillId="0" borderId="5" xfId="9370" applyFont="1" applyFill="1" applyBorder="1" applyAlignment="1">
      <alignment horizontal="center"/>
    </xf>
    <xf numFmtId="0" fontId="90" fillId="0" borderId="0" xfId="8767" applyFont="1" applyFill="1" applyAlignment="1">
      <alignment horizontal="center"/>
    </xf>
  </cellXfs>
  <cellStyles count="61977">
    <cellStyle name="_x0013_" xfId="10008"/>
    <cellStyle name="%" xfId="8678"/>
    <cellStyle name="_Ebill Paper Bill ARC Recovery" xfId="8679"/>
    <cellStyle name="_MTC Resource Unit Baseline by state 050920 v2" xfId="8680"/>
    <cellStyle name="_Row1" xfId="6"/>
    <cellStyle name="_Row1 2" xfId="7"/>
    <cellStyle name="_Row1 3" xfId="10009"/>
    <cellStyle name="_Term for Change of Control" xfId="8681"/>
    <cellStyle name="_Term for Convenience" xfId="8682"/>
    <cellStyle name="_Transformation Projects Cap vs Exp Master" xfId="8683"/>
    <cellStyle name="=C:\WINNT\SYSTEM32\COMMAND.COM" xfId="8208"/>
    <cellStyle name="=C:\WINNT\SYSTEM32\COMMAND.COM 2" xfId="8209"/>
    <cellStyle name="=C:\WINNT\SYSTEM32\COMMAND.COM 2 2" xfId="9377"/>
    <cellStyle name="=C:\WINNT\SYSTEM32\COMMAND.COM 3" xfId="9378"/>
    <cellStyle name="=C:\WINNT35\SYSTEM32\COMMAND.COM" xfId="9379"/>
    <cellStyle name="20% - Accent1 10" xfId="8"/>
    <cellStyle name="20% - Accent1 10 2" xfId="9"/>
    <cellStyle name="20% - Accent1 10 2 2" xfId="10"/>
    <cellStyle name="20% - Accent1 10 3" xfId="11"/>
    <cellStyle name="20% - Accent1 10 4" xfId="57819"/>
    <cellStyle name="20% - Accent1 11" xfId="12"/>
    <cellStyle name="20% - Accent1 11 2" xfId="13"/>
    <cellStyle name="20% - Accent1 11 2 2" xfId="14"/>
    <cellStyle name="20% - Accent1 11 3" xfId="15"/>
    <cellStyle name="20% - Accent1 11 4" xfId="57820"/>
    <cellStyle name="20% - Accent1 12" xfId="16"/>
    <cellStyle name="20% - Accent1 12 2" xfId="17"/>
    <cellStyle name="20% - Accent1 12 3" xfId="57821"/>
    <cellStyle name="20% - Accent1 13" xfId="18"/>
    <cellStyle name="20% - Accent1 13 2" xfId="57822"/>
    <cellStyle name="20% - Accent1 14" xfId="8783"/>
    <cellStyle name="20% - Accent1 15" xfId="9380"/>
    <cellStyle name="20% - Accent1 16" xfId="9381"/>
    <cellStyle name="20% - Accent1 17" xfId="9382"/>
    <cellStyle name="20% - Accent1 17 2" xfId="57823"/>
    <cellStyle name="20% - Accent1 18" xfId="57824"/>
    <cellStyle name="20% - Accent1 19" xfId="57825"/>
    <cellStyle name="20% - Accent1 2" xfId="19"/>
    <cellStyle name="20% - Accent1 2 2" xfId="20"/>
    <cellStyle name="20% - Accent1 2 2 2" xfId="21"/>
    <cellStyle name="20% - Accent1 2 2 2 2" xfId="22"/>
    <cellStyle name="20% - Accent1 2 2 2 2 2" xfId="23"/>
    <cellStyle name="20% - Accent1 2 2 2 2 2 2" xfId="24"/>
    <cellStyle name="20% - Accent1 2 2 2 2 2 2 2" xfId="25"/>
    <cellStyle name="20% - Accent1 2 2 2 2 2 3" xfId="26"/>
    <cellStyle name="20% - Accent1 2 2 2 2 3" xfId="27"/>
    <cellStyle name="20% - Accent1 2 2 2 2 3 2" xfId="28"/>
    <cellStyle name="20% - Accent1 2 2 2 2 4" xfId="29"/>
    <cellStyle name="20% - Accent1 2 2 2 2 5" xfId="57826"/>
    <cellStyle name="20% - Accent1 2 2 2 3" xfId="30"/>
    <cellStyle name="20% - Accent1 2 2 2 3 2" xfId="31"/>
    <cellStyle name="20% - Accent1 2 2 2 3 2 2" xfId="32"/>
    <cellStyle name="20% - Accent1 2 2 2 3 3" xfId="33"/>
    <cellStyle name="20% - Accent1 2 2 2 4" xfId="34"/>
    <cellStyle name="20% - Accent1 2 2 2 4 2" xfId="35"/>
    <cellStyle name="20% - Accent1 2 2 2 5" xfId="36"/>
    <cellStyle name="20% - Accent1 2 2 2 6" xfId="57827"/>
    <cellStyle name="20% - Accent1 2 2 3" xfId="37"/>
    <cellStyle name="20% - Accent1 2 2 3 2" xfId="38"/>
    <cellStyle name="20% - Accent1 2 2 3 2 2" xfId="39"/>
    <cellStyle name="20% - Accent1 2 2 3 2 2 2" xfId="40"/>
    <cellStyle name="20% - Accent1 2 2 3 2 3" xfId="41"/>
    <cellStyle name="20% - Accent1 2 2 3 3" xfId="42"/>
    <cellStyle name="20% - Accent1 2 2 3 3 2" xfId="43"/>
    <cellStyle name="20% - Accent1 2 2 3 4" xfId="44"/>
    <cellStyle name="20% - Accent1 2 2 3 5" xfId="57828"/>
    <cellStyle name="20% - Accent1 2 2 4" xfId="45"/>
    <cellStyle name="20% - Accent1 2 2 4 2" xfId="46"/>
    <cellStyle name="20% - Accent1 2 2 4 2 2" xfId="47"/>
    <cellStyle name="20% - Accent1 2 2 4 3" xfId="48"/>
    <cellStyle name="20% - Accent1 2 2 5" xfId="49"/>
    <cellStyle name="20% - Accent1 2 2 5 2" xfId="50"/>
    <cellStyle name="20% - Accent1 2 2 6" xfId="51"/>
    <cellStyle name="20% - Accent1 2 2 7" xfId="57829"/>
    <cellStyle name="20% - Accent1 2 3" xfId="52"/>
    <cellStyle name="20% - Accent1 2 3 2" xfId="53"/>
    <cellStyle name="20% - Accent1 2 3 2 2" xfId="54"/>
    <cellStyle name="20% - Accent1 2 3 2 2 2" xfId="55"/>
    <cellStyle name="20% - Accent1 2 3 2 2 2 2" xfId="56"/>
    <cellStyle name="20% - Accent1 2 3 2 2 3" xfId="57"/>
    <cellStyle name="20% - Accent1 2 3 2 3" xfId="58"/>
    <cellStyle name="20% - Accent1 2 3 2 3 2" xfId="59"/>
    <cellStyle name="20% - Accent1 2 3 2 4" xfId="60"/>
    <cellStyle name="20% - Accent1 2 3 3" xfId="61"/>
    <cellStyle name="20% - Accent1 2 3 3 2" xfId="62"/>
    <cellStyle name="20% - Accent1 2 3 3 2 2" xfId="63"/>
    <cellStyle name="20% - Accent1 2 3 3 3" xfId="64"/>
    <cellStyle name="20% - Accent1 2 3 4" xfId="65"/>
    <cellStyle name="20% - Accent1 2 3 4 2" xfId="66"/>
    <cellStyle name="20% - Accent1 2 3 5" xfId="67"/>
    <cellStyle name="20% - Accent1 2 3 6" xfId="57830"/>
    <cellStyle name="20% - Accent1 2 4" xfId="68"/>
    <cellStyle name="20% - Accent1 2 4 2" xfId="69"/>
    <cellStyle name="20% - Accent1 2 4 2 2" xfId="70"/>
    <cellStyle name="20% - Accent1 2 4 2 2 2" xfId="71"/>
    <cellStyle name="20% - Accent1 2 4 2 3" xfId="72"/>
    <cellStyle name="20% - Accent1 2 4 3" xfId="73"/>
    <cellStyle name="20% - Accent1 2 4 3 2" xfId="74"/>
    <cellStyle name="20% - Accent1 2 4 4" xfId="75"/>
    <cellStyle name="20% - Accent1 2 4 5" xfId="57831"/>
    <cellStyle name="20% - Accent1 2 5" xfId="76"/>
    <cellStyle name="20% - Accent1 2 5 2" xfId="77"/>
    <cellStyle name="20% - Accent1 2 5 2 2" xfId="78"/>
    <cellStyle name="20% - Accent1 2 5 3" xfId="79"/>
    <cellStyle name="20% - Accent1 2 5 4" xfId="57832"/>
    <cellStyle name="20% - Accent1 2 6" xfId="80"/>
    <cellStyle name="20% - Accent1 2 6 2" xfId="81"/>
    <cellStyle name="20% - Accent1 2 6 3" xfId="57833"/>
    <cellStyle name="20% - Accent1 2 7" xfId="82"/>
    <cellStyle name="20% - Accent1 2 8" xfId="83"/>
    <cellStyle name="20% - Accent1 2 9" xfId="57834"/>
    <cellStyle name="20% - Accent1 20" xfId="57835"/>
    <cellStyle name="20% - Accent1 21" xfId="57836"/>
    <cellStyle name="20% - Accent1 3" xfId="84"/>
    <cellStyle name="20% - Accent1 3 2" xfId="85"/>
    <cellStyle name="20% - Accent1 3 2 2" xfId="86"/>
    <cellStyle name="20% - Accent1 3 2 2 2" xfId="87"/>
    <cellStyle name="20% - Accent1 3 2 2 2 2" xfId="88"/>
    <cellStyle name="20% - Accent1 3 2 2 2 2 2" xfId="89"/>
    <cellStyle name="20% - Accent1 3 2 2 2 2 2 2" xfId="90"/>
    <cellStyle name="20% - Accent1 3 2 2 2 2 3" xfId="91"/>
    <cellStyle name="20% - Accent1 3 2 2 2 3" xfId="92"/>
    <cellStyle name="20% - Accent1 3 2 2 2 3 2" xfId="93"/>
    <cellStyle name="20% - Accent1 3 2 2 2 4" xfId="94"/>
    <cellStyle name="20% - Accent1 3 2 2 2 5" xfId="8784"/>
    <cellStyle name="20% - Accent1 3 2 2 3" xfId="95"/>
    <cellStyle name="20% - Accent1 3 2 2 3 2" xfId="96"/>
    <cellStyle name="20% - Accent1 3 2 2 3 2 2" xfId="97"/>
    <cellStyle name="20% - Accent1 3 2 2 3 3" xfId="98"/>
    <cellStyle name="20% - Accent1 3 2 2 4" xfId="99"/>
    <cellStyle name="20% - Accent1 3 2 2 4 2" xfId="100"/>
    <cellStyle name="20% - Accent1 3 2 2 5" xfId="101"/>
    <cellStyle name="20% - Accent1 3 2 2 6" xfId="8785"/>
    <cellStyle name="20% - Accent1 3 2 3" xfId="102"/>
    <cellStyle name="20% - Accent1 3 2 3 2" xfId="103"/>
    <cellStyle name="20% - Accent1 3 2 3 2 2" xfId="104"/>
    <cellStyle name="20% - Accent1 3 2 3 2 2 2" xfId="105"/>
    <cellStyle name="20% - Accent1 3 2 3 2 3" xfId="106"/>
    <cellStyle name="20% - Accent1 3 2 3 3" xfId="107"/>
    <cellStyle name="20% - Accent1 3 2 3 3 2" xfId="108"/>
    <cellStyle name="20% - Accent1 3 2 3 4" xfId="109"/>
    <cellStyle name="20% - Accent1 3 2 3 5" xfId="8786"/>
    <cellStyle name="20% - Accent1 3 2 4" xfId="110"/>
    <cellStyle name="20% - Accent1 3 2 4 2" xfId="111"/>
    <cellStyle name="20% - Accent1 3 2 4 2 2" xfId="112"/>
    <cellStyle name="20% - Accent1 3 2 4 3" xfId="113"/>
    <cellStyle name="20% - Accent1 3 2 5" xfId="114"/>
    <cellStyle name="20% - Accent1 3 2 5 2" xfId="115"/>
    <cellStyle name="20% - Accent1 3 2 6" xfId="116"/>
    <cellStyle name="20% - Accent1 3 2 7" xfId="8787"/>
    <cellStyle name="20% - Accent1 3 3" xfId="117"/>
    <cellStyle name="20% - Accent1 3 3 2" xfId="118"/>
    <cellStyle name="20% - Accent1 3 3 2 2" xfId="119"/>
    <cellStyle name="20% - Accent1 3 3 2 2 2" xfId="120"/>
    <cellStyle name="20% - Accent1 3 3 2 2 2 2" xfId="121"/>
    <cellStyle name="20% - Accent1 3 3 2 2 3" xfId="122"/>
    <cellStyle name="20% - Accent1 3 3 2 3" xfId="123"/>
    <cellStyle name="20% - Accent1 3 3 2 3 2" xfId="124"/>
    <cellStyle name="20% - Accent1 3 3 2 4" xfId="125"/>
    <cellStyle name="20% - Accent1 3 3 2 5" xfId="8788"/>
    <cellStyle name="20% - Accent1 3 3 3" xfId="126"/>
    <cellStyle name="20% - Accent1 3 3 3 2" xfId="127"/>
    <cellStyle name="20% - Accent1 3 3 3 2 2" xfId="128"/>
    <cellStyle name="20% - Accent1 3 3 3 3" xfId="129"/>
    <cellStyle name="20% - Accent1 3 3 4" xfId="130"/>
    <cellStyle name="20% - Accent1 3 3 4 2" xfId="131"/>
    <cellStyle name="20% - Accent1 3 3 5" xfId="132"/>
    <cellStyle name="20% - Accent1 3 3 6" xfId="8789"/>
    <cellStyle name="20% - Accent1 3 4" xfId="133"/>
    <cellStyle name="20% - Accent1 3 4 2" xfId="134"/>
    <cellStyle name="20% - Accent1 3 4 2 2" xfId="135"/>
    <cellStyle name="20% - Accent1 3 4 2 2 2" xfId="136"/>
    <cellStyle name="20% - Accent1 3 4 2 3" xfId="137"/>
    <cellStyle name="20% - Accent1 3 4 3" xfId="138"/>
    <cellStyle name="20% - Accent1 3 4 3 2" xfId="139"/>
    <cellStyle name="20% - Accent1 3 4 4" xfId="140"/>
    <cellStyle name="20% - Accent1 3 4 5" xfId="8790"/>
    <cellStyle name="20% - Accent1 3 5" xfId="141"/>
    <cellStyle name="20% - Accent1 3 5 2" xfId="142"/>
    <cellStyle name="20% - Accent1 3 5 2 2" xfId="143"/>
    <cellStyle name="20% - Accent1 3 5 3" xfId="144"/>
    <cellStyle name="20% - Accent1 3 6" xfId="145"/>
    <cellStyle name="20% - Accent1 3 6 2" xfId="146"/>
    <cellStyle name="20% - Accent1 3 7" xfId="147"/>
    <cellStyle name="20% - Accent1 3 8" xfId="148"/>
    <cellStyle name="20% - Accent1 3 9" xfId="8791"/>
    <cellStyle name="20% - Accent1 4" xfId="149"/>
    <cellStyle name="20% - Accent1 4 10" xfId="10010"/>
    <cellStyle name="20% - Accent1 4 10 2" xfId="10011"/>
    <cellStyle name="20% - Accent1 4 10 2 2" xfId="10012"/>
    <cellStyle name="20% - Accent1 4 10 2 3" xfId="10013"/>
    <cellStyle name="20% - Accent1 4 10 3" xfId="10014"/>
    <cellStyle name="20% - Accent1 4 10 3 2" xfId="10015"/>
    <cellStyle name="20% - Accent1 4 10 4" xfId="10016"/>
    <cellStyle name="20% - Accent1 4 10 5" xfId="10017"/>
    <cellStyle name="20% - Accent1 4 11" xfId="10018"/>
    <cellStyle name="20% - Accent1 4 11 2" xfId="10019"/>
    <cellStyle name="20% - Accent1 4 11 3" xfId="10020"/>
    <cellStyle name="20% - Accent1 4 12" xfId="10021"/>
    <cellStyle name="20% - Accent1 4 12 2" xfId="10022"/>
    <cellStyle name="20% - Accent1 4 12 3" xfId="10023"/>
    <cellStyle name="20% - Accent1 4 13" xfId="10024"/>
    <cellStyle name="20% - Accent1 4 13 2" xfId="10025"/>
    <cellStyle name="20% - Accent1 4 14" xfId="10026"/>
    <cellStyle name="20% - Accent1 4 15" xfId="10027"/>
    <cellStyle name="20% - Accent1 4 16" xfId="10028"/>
    <cellStyle name="20% - Accent1 4 2" xfId="150"/>
    <cellStyle name="20% - Accent1 4 2 10" xfId="10029"/>
    <cellStyle name="20% - Accent1 4 2 10 2" xfId="10030"/>
    <cellStyle name="20% - Accent1 4 2 10 3" xfId="10031"/>
    <cellStyle name="20% - Accent1 4 2 11" xfId="10032"/>
    <cellStyle name="20% - Accent1 4 2 11 2" xfId="10033"/>
    <cellStyle name="20% - Accent1 4 2 11 3" xfId="10034"/>
    <cellStyle name="20% - Accent1 4 2 12" xfId="10035"/>
    <cellStyle name="20% - Accent1 4 2 12 2" xfId="10036"/>
    <cellStyle name="20% - Accent1 4 2 13" xfId="10037"/>
    <cellStyle name="20% - Accent1 4 2 14" xfId="10038"/>
    <cellStyle name="20% - Accent1 4 2 15" xfId="10039"/>
    <cellStyle name="20% - Accent1 4 2 2" xfId="151"/>
    <cellStyle name="20% - Accent1 4 2 2 10" xfId="10040"/>
    <cellStyle name="20% - Accent1 4 2 2 10 2" xfId="10041"/>
    <cellStyle name="20% - Accent1 4 2 2 10 3" xfId="10042"/>
    <cellStyle name="20% - Accent1 4 2 2 11" xfId="10043"/>
    <cellStyle name="20% - Accent1 4 2 2 11 2" xfId="10044"/>
    <cellStyle name="20% - Accent1 4 2 2 12" xfId="10045"/>
    <cellStyle name="20% - Accent1 4 2 2 13" xfId="10046"/>
    <cellStyle name="20% - Accent1 4 2 2 2" xfId="152"/>
    <cellStyle name="20% - Accent1 4 2 2 2 10" xfId="10047"/>
    <cellStyle name="20% - Accent1 4 2 2 2 10 2" xfId="10048"/>
    <cellStyle name="20% - Accent1 4 2 2 2 11" xfId="10049"/>
    <cellStyle name="20% - Accent1 4 2 2 2 12" xfId="10050"/>
    <cellStyle name="20% - Accent1 4 2 2 2 2" xfId="153"/>
    <cellStyle name="20% - Accent1 4 2 2 2 2 10" xfId="10051"/>
    <cellStyle name="20% - Accent1 4 2 2 2 2 2" xfId="154"/>
    <cellStyle name="20% - Accent1 4 2 2 2 2 2 2" xfId="10052"/>
    <cellStyle name="20% - Accent1 4 2 2 2 2 2 2 2" xfId="10053"/>
    <cellStyle name="20% - Accent1 4 2 2 2 2 2 2 2 2" xfId="10054"/>
    <cellStyle name="20% - Accent1 4 2 2 2 2 2 2 2 3" xfId="10055"/>
    <cellStyle name="20% - Accent1 4 2 2 2 2 2 2 3" xfId="10056"/>
    <cellStyle name="20% - Accent1 4 2 2 2 2 2 2 3 2" xfId="10057"/>
    <cellStyle name="20% - Accent1 4 2 2 2 2 2 2 3 3" xfId="10058"/>
    <cellStyle name="20% - Accent1 4 2 2 2 2 2 2 4" xfId="10059"/>
    <cellStyle name="20% - Accent1 4 2 2 2 2 2 2 4 2" xfId="10060"/>
    <cellStyle name="20% - Accent1 4 2 2 2 2 2 2 5" xfId="10061"/>
    <cellStyle name="20% - Accent1 4 2 2 2 2 2 2 6" xfId="10062"/>
    <cellStyle name="20% - Accent1 4 2 2 2 2 2 3" xfId="10063"/>
    <cellStyle name="20% - Accent1 4 2 2 2 2 2 3 2" xfId="10064"/>
    <cellStyle name="20% - Accent1 4 2 2 2 2 2 3 2 2" xfId="10065"/>
    <cellStyle name="20% - Accent1 4 2 2 2 2 2 3 2 3" xfId="10066"/>
    <cellStyle name="20% - Accent1 4 2 2 2 2 2 3 3" xfId="10067"/>
    <cellStyle name="20% - Accent1 4 2 2 2 2 2 3 3 2" xfId="10068"/>
    <cellStyle name="20% - Accent1 4 2 2 2 2 2 3 3 3" xfId="10069"/>
    <cellStyle name="20% - Accent1 4 2 2 2 2 2 3 4" xfId="10070"/>
    <cellStyle name="20% - Accent1 4 2 2 2 2 2 3 4 2" xfId="10071"/>
    <cellStyle name="20% - Accent1 4 2 2 2 2 2 3 5" xfId="10072"/>
    <cellStyle name="20% - Accent1 4 2 2 2 2 2 3 6" xfId="10073"/>
    <cellStyle name="20% - Accent1 4 2 2 2 2 2 4" xfId="10074"/>
    <cellStyle name="20% - Accent1 4 2 2 2 2 2 4 2" xfId="10075"/>
    <cellStyle name="20% - Accent1 4 2 2 2 2 2 4 2 2" xfId="10076"/>
    <cellStyle name="20% - Accent1 4 2 2 2 2 2 4 2 3" xfId="10077"/>
    <cellStyle name="20% - Accent1 4 2 2 2 2 2 4 3" xfId="10078"/>
    <cellStyle name="20% - Accent1 4 2 2 2 2 2 4 3 2" xfId="10079"/>
    <cellStyle name="20% - Accent1 4 2 2 2 2 2 4 4" xfId="10080"/>
    <cellStyle name="20% - Accent1 4 2 2 2 2 2 4 5" xfId="10081"/>
    <cellStyle name="20% - Accent1 4 2 2 2 2 2 5" xfId="10082"/>
    <cellStyle name="20% - Accent1 4 2 2 2 2 2 5 2" xfId="10083"/>
    <cellStyle name="20% - Accent1 4 2 2 2 2 2 5 3" xfId="10084"/>
    <cellStyle name="20% - Accent1 4 2 2 2 2 2 6" xfId="10085"/>
    <cellStyle name="20% - Accent1 4 2 2 2 2 2 6 2" xfId="10086"/>
    <cellStyle name="20% - Accent1 4 2 2 2 2 2 6 3" xfId="10087"/>
    <cellStyle name="20% - Accent1 4 2 2 2 2 2 7" xfId="10088"/>
    <cellStyle name="20% - Accent1 4 2 2 2 2 2 7 2" xfId="10089"/>
    <cellStyle name="20% - Accent1 4 2 2 2 2 2 8" xfId="10090"/>
    <cellStyle name="20% - Accent1 4 2 2 2 2 2 9" xfId="10091"/>
    <cellStyle name="20% - Accent1 4 2 2 2 2 3" xfId="10092"/>
    <cellStyle name="20% - Accent1 4 2 2 2 2 3 2" xfId="10093"/>
    <cellStyle name="20% - Accent1 4 2 2 2 2 3 2 2" xfId="10094"/>
    <cellStyle name="20% - Accent1 4 2 2 2 2 3 2 3" xfId="10095"/>
    <cellStyle name="20% - Accent1 4 2 2 2 2 3 3" xfId="10096"/>
    <cellStyle name="20% - Accent1 4 2 2 2 2 3 3 2" xfId="10097"/>
    <cellStyle name="20% - Accent1 4 2 2 2 2 3 3 3" xfId="10098"/>
    <cellStyle name="20% - Accent1 4 2 2 2 2 3 4" xfId="10099"/>
    <cellStyle name="20% - Accent1 4 2 2 2 2 3 4 2" xfId="10100"/>
    <cellStyle name="20% - Accent1 4 2 2 2 2 3 5" xfId="10101"/>
    <cellStyle name="20% - Accent1 4 2 2 2 2 3 6" xfId="10102"/>
    <cellStyle name="20% - Accent1 4 2 2 2 2 4" xfId="10103"/>
    <cellStyle name="20% - Accent1 4 2 2 2 2 4 2" xfId="10104"/>
    <cellStyle name="20% - Accent1 4 2 2 2 2 4 2 2" xfId="10105"/>
    <cellStyle name="20% - Accent1 4 2 2 2 2 4 2 3" xfId="10106"/>
    <cellStyle name="20% - Accent1 4 2 2 2 2 4 3" xfId="10107"/>
    <cellStyle name="20% - Accent1 4 2 2 2 2 4 3 2" xfId="10108"/>
    <cellStyle name="20% - Accent1 4 2 2 2 2 4 3 3" xfId="10109"/>
    <cellStyle name="20% - Accent1 4 2 2 2 2 4 4" xfId="10110"/>
    <cellStyle name="20% - Accent1 4 2 2 2 2 4 4 2" xfId="10111"/>
    <cellStyle name="20% - Accent1 4 2 2 2 2 4 5" xfId="10112"/>
    <cellStyle name="20% - Accent1 4 2 2 2 2 4 6" xfId="10113"/>
    <cellStyle name="20% - Accent1 4 2 2 2 2 5" xfId="10114"/>
    <cellStyle name="20% - Accent1 4 2 2 2 2 5 2" xfId="10115"/>
    <cellStyle name="20% - Accent1 4 2 2 2 2 5 2 2" xfId="10116"/>
    <cellStyle name="20% - Accent1 4 2 2 2 2 5 2 3" xfId="10117"/>
    <cellStyle name="20% - Accent1 4 2 2 2 2 5 3" xfId="10118"/>
    <cellStyle name="20% - Accent1 4 2 2 2 2 5 3 2" xfId="10119"/>
    <cellStyle name="20% - Accent1 4 2 2 2 2 5 4" xfId="10120"/>
    <cellStyle name="20% - Accent1 4 2 2 2 2 5 5" xfId="10121"/>
    <cellStyle name="20% - Accent1 4 2 2 2 2 6" xfId="10122"/>
    <cellStyle name="20% - Accent1 4 2 2 2 2 6 2" xfId="10123"/>
    <cellStyle name="20% - Accent1 4 2 2 2 2 6 3" xfId="10124"/>
    <cellStyle name="20% - Accent1 4 2 2 2 2 7" xfId="10125"/>
    <cellStyle name="20% - Accent1 4 2 2 2 2 7 2" xfId="10126"/>
    <cellStyle name="20% - Accent1 4 2 2 2 2 7 3" xfId="10127"/>
    <cellStyle name="20% - Accent1 4 2 2 2 2 8" xfId="10128"/>
    <cellStyle name="20% - Accent1 4 2 2 2 2 8 2" xfId="10129"/>
    <cellStyle name="20% - Accent1 4 2 2 2 2 9" xfId="10130"/>
    <cellStyle name="20% - Accent1 4 2 2 2 3" xfId="155"/>
    <cellStyle name="20% - Accent1 4 2 2 2 3 2" xfId="10131"/>
    <cellStyle name="20% - Accent1 4 2 2 2 3 2 2" xfId="10132"/>
    <cellStyle name="20% - Accent1 4 2 2 2 3 2 2 2" xfId="10133"/>
    <cellStyle name="20% - Accent1 4 2 2 2 3 2 2 3" xfId="10134"/>
    <cellStyle name="20% - Accent1 4 2 2 2 3 2 3" xfId="10135"/>
    <cellStyle name="20% - Accent1 4 2 2 2 3 2 3 2" xfId="10136"/>
    <cellStyle name="20% - Accent1 4 2 2 2 3 2 3 3" xfId="10137"/>
    <cellStyle name="20% - Accent1 4 2 2 2 3 2 4" xfId="10138"/>
    <cellStyle name="20% - Accent1 4 2 2 2 3 2 4 2" xfId="10139"/>
    <cellStyle name="20% - Accent1 4 2 2 2 3 2 5" xfId="10140"/>
    <cellStyle name="20% - Accent1 4 2 2 2 3 2 6" xfId="10141"/>
    <cellStyle name="20% - Accent1 4 2 2 2 3 3" xfId="10142"/>
    <cellStyle name="20% - Accent1 4 2 2 2 3 3 2" xfId="10143"/>
    <cellStyle name="20% - Accent1 4 2 2 2 3 3 2 2" xfId="10144"/>
    <cellStyle name="20% - Accent1 4 2 2 2 3 3 2 3" xfId="10145"/>
    <cellStyle name="20% - Accent1 4 2 2 2 3 3 3" xfId="10146"/>
    <cellStyle name="20% - Accent1 4 2 2 2 3 3 3 2" xfId="10147"/>
    <cellStyle name="20% - Accent1 4 2 2 2 3 3 3 3" xfId="10148"/>
    <cellStyle name="20% - Accent1 4 2 2 2 3 3 4" xfId="10149"/>
    <cellStyle name="20% - Accent1 4 2 2 2 3 3 4 2" xfId="10150"/>
    <cellStyle name="20% - Accent1 4 2 2 2 3 3 5" xfId="10151"/>
    <cellStyle name="20% - Accent1 4 2 2 2 3 3 6" xfId="10152"/>
    <cellStyle name="20% - Accent1 4 2 2 2 3 4" xfId="10153"/>
    <cellStyle name="20% - Accent1 4 2 2 2 3 4 2" xfId="10154"/>
    <cellStyle name="20% - Accent1 4 2 2 2 3 4 2 2" xfId="10155"/>
    <cellStyle name="20% - Accent1 4 2 2 2 3 4 2 3" xfId="10156"/>
    <cellStyle name="20% - Accent1 4 2 2 2 3 4 3" xfId="10157"/>
    <cellStyle name="20% - Accent1 4 2 2 2 3 4 3 2" xfId="10158"/>
    <cellStyle name="20% - Accent1 4 2 2 2 3 4 4" xfId="10159"/>
    <cellStyle name="20% - Accent1 4 2 2 2 3 4 5" xfId="10160"/>
    <cellStyle name="20% - Accent1 4 2 2 2 3 5" xfId="10161"/>
    <cellStyle name="20% - Accent1 4 2 2 2 3 5 2" xfId="10162"/>
    <cellStyle name="20% - Accent1 4 2 2 2 3 5 3" xfId="10163"/>
    <cellStyle name="20% - Accent1 4 2 2 2 3 6" xfId="10164"/>
    <cellStyle name="20% - Accent1 4 2 2 2 3 6 2" xfId="10165"/>
    <cellStyle name="20% - Accent1 4 2 2 2 3 6 3" xfId="10166"/>
    <cellStyle name="20% - Accent1 4 2 2 2 3 7" xfId="10167"/>
    <cellStyle name="20% - Accent1 4 2 2 2 3 7 2" xfId="10168"/>
    <cellStyle name="20% - Accent1 4 2 2 2 3 8" xfId="10169"/>
    <cellStyle name="20% - Accent1 4 2 2 2 3 9" xfId="10170"/>
    <cellStyle name="20% - Accent1 4 2 2 2 4" xfId="10171"/>
    <cellStyle name="20% - Accent1 4 2 2 2 4 2" xfId="10172"/>
    <cellStyle name="20% - Accent1 4 2 2 2 4 2 2" xfId="10173"/>
    <cellStyle name="20% - Accent1 4 2 2 2 4 2 2 2" xfId="10174"/>
    <cellStyle name="20% - Accent1 4 2 2 2 4 2 2 3" xfId="10175"/>
    <cellStyle name="20% - Accent1 4 2 2 2 4 2 3" xfId="10176"/>
    <cellStyle name="20% - Accent1 4 2 2 2 4 2 3 2" xfId="10177"/>
    <cellStyle name="20% - Accent1 4 2 2 2 4 2 3 3" xfId="10178"/>
    <cellStyle name="20% - Accent1 4 2 2 2 4 2 4" xfId="10179"/>
    <cellStyle name="20% - Accent1 4 2 2 2 4 2 4 2" xfId="10180"/>
    <cellStyle name="20% - Accent1 4 2 2 2 4 2 5" xfId="10181"/>
    <cellStyle name="20% - Accent1 4 2 2 2 4 2 6" xfId="10182"/>
    <cellStyle name="20% - Accent1 4 2 2 2 4 3" xfId="10183"/>
    <cellStyle name="20% - Accent1 4 2 2 2 4 3 2" xfId="10184"/>
    <cellStyle name="20% - Accent1 4 2 2 2 4 3 2 2" xfId="10185"/>
    <cellStyle name="20% - Accent1 4 2 2 2 4 3 2 3" xfId="10186"/>
    <cellStyle name="20% - Accent1 4 2 2 2 4 3 3" xfId="10187"/>
    <cellStyle name="20% - Accent1 4 2 2 2 4 3 3 2" xfId="10188"/>
    <cellStyle name="20% - Accent1 4 2 2 2 4 3 3 3" xfId="10189"/>
    <cellStyle name="20% - Accent1 4 2 2 2 4 3 4" xfId="10190"/>
    <cellStyle name="20% - Accent1 4 2 2 2 4 3 4 2" xfId="10191"/>
    <cellStyle name="20% - Accent1 4 2 2 2 4 3 5" xfId="10192"/>
    <cellStyle name="20% - Accent1 4 2 2 2 4 3 6" xfId="10193"/>
    <cellStyle name="20% - Accent1 4 2 2 2 4 4" xfId="10194"/>
    <cellStyle name="20% - Accent1 4 2 2 2 4 4 2" xfId="10195"/>
    <cellStyle name="20% - Accent1 4 2 2 2 4 4 2 2" xfId="10196"/>
    <cellStyle name="20% - Accent1 4 2 2 2 4 4 2 3" xfId="10197"/>
    <cellStyle name="20% - Accent1 4 2 2 2 4 4 3" xfId="10198"/>
    <cellStyle name="20% - Accent1 4 2 2 2 4 4 3 2" xfId="10199"/>
    <cellStyle name="20% - Accent1 4 2 2 2 4 4 4" xfId="10200"/>
    <cellStyle name="20% - Accent1 4 2 2 2 4 4 5" xfId="10201"/>
    <cellStyle name="20% - Accent1 4 2 2 2 4 5" xfId="10202"/>
    <cellStyle name="20% - Accent1 4 2 2 2 4 5 2" xfId="10203"/>
    <cellStyle name="20% - Accent1 4 2 2 2 4 5 3" xfId="10204"/>
    <cellStyle name="20% - Accent1 4 2 2 2 4 6" xfId="10205"/>
    <cellStyle name="20% - Accent1 4 2 2 2 4 6 2" xfId="10206"/>
    <cellStyle name="20% - Accent1 4 2 2 2 4 6 3" xfId="10207"/>
    <cellStyle name="20% - Accent1 4 2 2 2 4 7" xfId="10208"/>
    <cellStyle name="20% - Accent1 4 2 2 2 4 7 2" xfId="10209"/>
    <cellStyle name="20% - Accent1 4 2 2 2 4 8" xfId="10210"/>
    <cellStyle name="20% - Accent1 4 2 2 2 4 9" xfId="10211"/>
    <cellStyle name="20% - Accent1 4 2 2 2 5" xfId="10212"/>
    <cellStyle name="20% - Accent1 4 2 2 2 5 2" xfId="10213"/>
    <cellStyle name="20% - Accent1 4 2 2 2 5 2 2" xfId="10214"/>
    <cellStyle name="20% - Accent1 4 2 2 2 5 2 3" xfId="10215"/>
    <cellStyle name="20% - Accent1 4 2 2 2 5 3" xfId="10216"/>
    <cellStyle name="20% - Accent1 4 2 2 2 5 3 2" xfId="10217"/>
    <cellStyle name="20% - Accent1 4 2 2 2 5 3 3" xfId="10218"/>
    <cellStyle name="20% - Accent1 4 2 2 2 5 4" xfId="10219"/>
    <cellStyle name="20% - Accent1 4 2 2 2 5 4 2" xfId="10220"/>
    <cellStyle name="20% - Accent1 4 2 2 2 5 5" xfId="10221"/>
    <cellStyle name="20% - Accent1 4 2 2 2 5 6" xfId="10222"/>
    <cellStyle name="20% - Accent1 4 2 2 2 6" xfId="10223"/>
    <cellStyle name="20% - Accent1 4 2 2 2 6 2" xfId="10224"/>
    <cellStyle name="20% - Accent1 4 2 2 2 6 2 2" xfId="10225"/>
    <cellStyle name="20% - Accent1 4 2 2 2 6 2 3" xfId="10226"/>
    <cellStyle name="20% - Accent1 4 2 2 2 6 3" xfId="10227"/>
    <cellStyle name="20% - Accent1 4 2 2 2 6 3 2" xfId="10228"/>
    <cellStyle name="20% - Accent1 4 2 2 2 6 3 3" xfId="10229"/>
    <cellStyle name="20% - Accent1 4 2 2 2 6 4" xfId="10230"/>
    <cellStyle name="20% - Accent1 4 2 2 2 6 4 2" xfId="10231"/>
    <cellStyle name="20% - Accent1 4 2 2 2 6 5" xfId="10232"/>
    <cellStyle name="20% - Accent1 4 2 2 2 6 6" xfId="10233"/>
    <cellStyle name="20% - Accent1 4 2 2 2 7" xfId="10234"/>
    <cellStyle name="20% - Accent1 4 2 2 2 7 2" xfId="10235"/>
    <cellStyle name="20% - Accent1 4 2 2 2 7 2 2" xfId="10236"/>
    <cellStyle name="20% - Accent1 4 2 2 2 7 2 3" xfId="10237"/>
    <cellStyle name="20% - Accent1 4 2 2 2 7 3" xfId="10238"/>
    <cellStyle name="20% - Accent1 4 2 2 2 7 3 2" xfId="10239"/>
    <cellStyle name="20% - Accent1 4 2 2 2 7 4" xfId="10240"/>
    <cellStyle name="20% - Accent1 4 2 2 2 7 5" xfId="10241"/>
    <cellStyle name="20% - Accent1 4 2 2 2 8" xfId="10242"/>
    <cellStyle name="20% - Accent1 4 2 2 2 8 2" xfId="10243"/>
    <cellStyle name="20% - Accent1 4 2 2 2 8 3" xfId="10244"/>
    <cellStyle name="20% - Accent1 4 2 2 2 9" xfId="10245"/>
    <cellStyle name="20% - Accent1 4 2 2 2 9 2" xfId="10246"/>
    <cellStyle name="20% - Accent1 4 2 2 2 9 3" xfId="10247"/>
    <cellStyle name="20% - Accent1 4 2 2 3" xfId="156"/>
    <cellStyle name="20% - Accent1 4 2 2 3 10" xfId="10248"/>
    <cellStyle name="20% - Accent1 4 2 2 3 2" xfId="157"/>
    <cellStyle name="20% - Accent1 4 2 2 3 2 2" xfId="10249"/>
    <cellStyle name="20% - Accent1 4 2 2 3 2 2 2" xfId="10250"/>
    <cellStyle name="20% - Accent1 4 2 2 3 2 2 2 2" xfId="10251"/>
    <cellStyle name="20% - Accent1 4 2 2 3 2 2 2 3" xfId="10252"/>
    <cellStyle name="20% - Accent1 4 2 2 3 2 2 3" xfId="10253"/>
    <cellStyle name="20% - Accent1 4 2 2 3 2 2 3 2" xfId="10254"/>
    <cellStyle name="20% - Accent1 4 2 2 3 2 2 3 3" xfId="10255"/>
    <cellStyle name="20% - Accent1 4 2 2 3 2 2 4" xfId="10256"/>
    <cellStyle name="20% - Accent1 4 2 2 3 2 2 4 2" xfId="10257"/>
    <cellStyle name="20% - Accent1 4 2 2 3 2 2 5" xfId="10258"/>
    <cellStyle name="20% - Accent1 4 2 2 3 2 2 6" xfId="10259"/>
    <cellStyle name="20% - Accent1 4 2 2 3 2 3" xfId="10260"/>
    <cellStyle name="20% - Accent1 4 2 2 3 2 3 2" xfId="10261"/>
    <cellStyle name="20% - Accent1 4 2 2 3 2 3 2 2" xfId="10262"/>
    <cellStyle name="20% - Accent1 4 2 2 3 2 3 2 3" xfId="10263"/>
    <cellStyle name="20% - Accent1 4 2 2 3 2 3 3" xfId="10264"/>
    <cellStyle name="20% - Accent1 4 2 2 3 2 3 3 2" xfId="10265"/>
    <cellStyle name="20% - Accent1 4 2 2 3 2 3 3 3" xfId="10266"/>
    <cellStyle name="20% - Accent1 4 2 2 3 2 3 4" xfId="10267"/>
    <cellStyle name="20% - Accent1 4 2 2 3 2 3 4 2" xfId="10268"/>
    <cellStyle name="20% - Accent1 4 2 2 3 2 3 5" xfId="10269"/>
    <cellStyle name="20% - Accent1 4 2 2 3 2 3 6" xfId="10270"/>
    <cellStyle name="20% - Accent1 4 2 2 3 2 4" xfId="10271"/>
    <cellStyle name="20% - Accent1 4 2 2 3 2 4 2" xfId="10272"/>
    <cellStyle name="20% - Accent1 4 2 2 3 2 4 2 2" xfId="10273"/>
    <cellStyle name="20% - Accent1 4 2 2 3 2 4 2 3" xfId="10274"/>
    <cellStyle name="20% - Accent1 4 2 2 3 2 4 3" xfId="10275"/>
    <cellStyle name="20% - Accent1 4 2 2 3 2 4 3 2" xfId="10276"/>
    <cellStyle name="20% - Accent1 4 2 2 3 2 4 4" xfId="10277"/>
    <cellStyle name="20% - Accent1 4 2 2 3 2 4 5" xfId="10278"/>
    <cellStyle name="20% - Accent1 4 2 2 3 2 5" xfId="10279"/>
    <cellStyle name="20% - Accent1 4 2 2 3 2 5 2" xfId="10280"/>
    <cellStyle name="20% - Accent1 4 2 2 3 2 5 3" xfId="10281"/>
    <cellStyle name="20% - Accent1 4 2 2 3 2 6" xfId="10282"/>
    <cellStyle name="20% - Accent1 4 2 2 3 2 6 2" xfId="10283"/>
    <cellStyle name="20% - Accent1 4 2 2 3 2 6 3" xfId="10284"/>
    <cellStyle name="20% - Accent1 4 2 2 3 2 7" xfId="10285"/>
    <cellStyle name="20% - Accent1 4 2 2 3 2 7 2" xfId="10286"/>
    <cellStyle name="20% - Accent1 4 2 2 3 2 8" xfId="10287"/>
    <cellStyle name="20% - Accent1 4 2 2 3 2 9" xfId="10288"/>
    <cellStyle name="20% - Accent1 4 2 2 3 3" xfId="10289"/>
    <cellStyle name="20% - Accent1 4 2 2 3 3 2" xfId="10290"/>
    <cellStyle name="20% - Accent1 4 2 2 3 3 2 2" xfId="10291"/>
    <cellStyle name="20% - Accent1 4 2 2 3 3 2 3" xfId="10292"/>
    <cellStyle name="20% - Accent1 4 2 2 3 3 3" xfId="10293"/>
    <cellStyle name="20% - Accent1 4 2 2 3 3 3 2" xfId="10294"/>
    <cellStyle name="20% - Accent1 4 2 2 3 3 3 3" xfId="10295"/>
    <cellStyle name="20% - Accent1 4 2 2 3 3 4" xfId="10296"/>
    <cellStyle name="20% - Accent1 4 2 2 3 3 4 2" xfId="10297"/>
    <cellStyle name="20% - Accent1 4 2 2 3 3 5" xfId="10298"/>
    <cellStyle name="20% - Accent1 4 2 2 3 3 6" xfId="10299"/>
    <cellStyle name="20% - Accent1 4 2 2 3 4" xfId="10300"/>
    <cellStyle name="20% - Accent1 4 2 2 3 4 2" xfId="10301"/>
    <cellStyle name="20% - Accent1 4 2 2 3 4 2 2" xfId="10302"/>
    <cellStyle name="20% - Accent1 4 2 2 3 4 2 3" xfId="10303"/>
    <cellStyle name="20% - Accent1 4 2 2 3 4 3" xfId="10304"/>
    <cellStyle name="20% - Accent1 4 2 2 3 4 3 2" xfId="10305"/>
    <cellStyle name="20% - Accent1 4 2 2 3 4 3 3" xfId="10306"/>
    <cellStyle name="20% - Accent1 4 2 2 3 4 4" xfId="10307"/>
    <cellStyle name="20% - Accent1 4 2 2 3 4 4 2" xfId="10308"/>
    <cellStyle name="20% - Accent1 4 2 2 3 4 5" xfId="10309"/>
    <cellStyle name="20% - Accent1 4 2 2 3 4 6" xfId="10310"/>
    <cellStyle name="20% - Accent1 4 2 2 3 5" xfId="10311"/>
    <cellStyle name="20% - Accent1 4 2 2 3 5 2" xfId="10312"/>
    <cellStyle name="20% - Accent1 4 2 2 3 5 2 2" xfId="10313"/>
    <cellStyle name="20% - Accent1 4 2 2 3 5 2 3" xfId="10314"/>
    <cellStyle name="20% - Accent1 4 2 2 3 5 3" xfId="10315"/>
    <cellStyle name="20% - Accent1 4 2 2 3 5 3 2" xfId="10316"/>
    <cellStyle name="20% - Accent1 4 2 2 3 5 4" xfId="10317"/>
    <cellStyle name="20% - Accent1 4 2 2 3 5 5" xfId="10318"/>
    <cellStyle name="20% - Accent1 4 2 2 3 6" xfId="10319"/>
    <cellStyle name="20% - Accent1 4 2 2 3 6 2" xfId="10320"/>
    <cellStyle name="20% - Accent1 4 2 2 3 6 3" xfId="10321"/>
    <cellStyle name="20% - Accent1 4 2 2 3 7" xfId="10322"/>
    <cellStyle name="20% - Accent1 4 2 2 3 7 2" xfId="10323"/>
    <cellStyle name="20% - Accent1 4 2 2 3 7 3" xfId="10324"/>
    <cellStyle name="20% - Accent1 4 2 2 3 8" xfId="10325"/>
    <cellStyle name="20% - Accent1 4 2 2 3 8 2" xfId="10326"/>
    <cellStyle name="20% - Accent1 4 2 2 3 9" xfId="10327"/>
    <cellStyle name="20% - Accent1 4 2 2 4" xfId="158"/>
    <cellStyle name="20% - Accent1 4 2 2 4 2" xfId="10328"/>
    <cellStyle name="20% - Accent1 4 2 2 4 2 2" xfId="10329"/>
    <cellStyle name="20% - Accent1 4 2 2 4 2 2 2" xfId="10330"/>
    <cellStyle name="20% - Accent1 4 2 2 4 2 2 3" xfId="10331"/>
    <cellStyle name="20% - Accent1 4 2 2 4 2 3" xfId="10332"/>
    <cellStyle name="20% - Accent1 4 2 2 4 2 3 2" xfId="10333"/>
    <cellStyle name="20% - Accent1 4 2 2 4 2 3 3" xfId="10334"/>
    <cellStyle name="20% - Accent1 4 2 2 4 2 4" xfId="10335"/>
    <cellStyle name="20% - Accent1 4 2 2 4 2 4 2" xfId="10336"/>
    <cellStyle name="20% - Accent1 4 2 2 4 2 5" xfId="10337"/>
    <cellStyle name="20% - Accent1 4 2 2 4 2 6" xfId="10338"/>
    <cellStyle name="20% - Accent1 4 2 2 4 3" xfId="10339"/>
    <cellStyle name="20% - Accent1 4 2 2 4 3 2" xfId="10340"/>
    <cellStyle name="20% - Accent1 4 2 2 4 3 2 2" xfId="10341"/>
    <cellStyle name="20% - Accent1 4 2 2 4 3 2 3" xfId="10342"/>
    <cellStyle name="20% - Accent1 4 2 2 4 3 3" xfId="10343"/>
    <cellStyle name="20% - Accent1 4 2 2 4 3 3 2" xfId="10344"/>
    <cellStyle name="20% - Accent1 4 2 2 4 3 3 3" xfId="10345"/>
    <cellStyle name="20% - Accent1 4 2 2 4 3 4" xfId="10346"/>
    <cellStyle name="20% - Accent1 4 2 2 4 3 4 2" xfId="10347"/>
    <cellStyle name="20% - Accent1 4 2 2 4 3 5" xfId="10348"/>
    <cellStyle name="20% - Accent1 4 2 2 4 3 6" xfId="10349"/>
    <cellStyle name="20% - Accent1 4 2 2 4 4" xfId="10350"/>
    <cellStyle name="20% - Accent1 4 2 2 4 4 2" xfId="10351"/>
    <cellStyle name="20% - Accent1 4 2 2 4 4 2 2" xfId="10352"/>
    <cellStyle name="20% - Accent1 4 2 2 4 4 2 3" xfId="10353"/>
    <cellStyle name="20% - Accent1 4 2 2 4 4 3" xfId="10354"/>
    <cellStyle name="20% - Accent1 4 2 2 4 4 3 2" xfId="10355"/>
    <cellStyle name="20% - Accent1 4 2 2 4 4 4" xfId="10356"/>
    <cellStyle name="20% - Accent1 4 2 2 4 4 5" xfId="10357"/>
    <cellStyle name="20% - Accent1 4 2 2 4 5" xfId="10358"/>
    <cellStyle name="20% - Accent1 4 2 2 4 5 2" xfId="10359"/>
    <cellStyle name="20% - Accent1 4 2 2 4 5 3" xfId="10360"/>
    <cellStyle name="20% - Accent1 4 2 2 4 6" xfId="10361"/>
    <cellStyle name="20% - Accent1 4 2 2 4 6 2" xfId="10362"/>
    <cellStyle name="20% - Accent1 4 2 2 4 6 3" xfId="10363"/>
    <cellStyle name="20% - Accent1 4 2 2 4 7" xfId="10364"/>
    <cellStyle name="20% - Accent1 4 2 2 4 7 2" xfId="10365"/>
    <cellStyle name="20% - Accent1 4 2 2 4 8" xfId="10366"/>
    <cellStyle name="20% - Accent1 4 2 2 4 9" xfId="10367"/>
    <cellStyle name="20% - Accent1 4 2 2 5" xfId="10368"/>
    <cellStyle name="20% - Accent1 4 2 2 5 2" xfId="10369"/>
    <cellStyle name="20% - Accent1 4 2 2 5 2 2" xfId="10370"/>
    <cellStyle name="20% - Accent1 4 2 2 5 2 2 2" xfId="10371"/>
    <cellStyle name="20% - Accent1 4 2 2 5 2 2 3" xfId="10372"/>
    <cellStyle name="20% - Accent1 4 2 2 5 2 3" xfId="10373"/>
    <cellStyle name="20% - Accent1 4 2 2 5 2 3 2" xfId="10374"/>
    <cellStyle name="20% - Accent1 4 2 2 5 2 3 3" xfId="10375"/>
    <cellStyle name="20% - Accent1 4 2 2 5 2 4" xfId="10376"/>
    <cellStyle name="20% - Accent1 4 2 2 5 2 4 2" xfId="10377"/>
    <cellStyle name="20% - Accent1 4 2 2 5 2 5" xfId="10378"/>
    <cellStyle name="20% - Accent1 4 2 2 5 2 6" xfId="10379"/>
    <cellStyle name="20% - Accent1 4 2 2 5 3" xfId="10380"/>
    <cellStyle name="20% - Accent1 4 2 2 5 3 2" xfId="10381"/>
    <cellStyle name="20% - Accent1 4 2 2 5 3 2 2" xfId="10382"/>
    <cellStyle name="20% - Accent1 4 2 2 5 3 2 3" xfId="10383"/>
    <cellStyle name="20% - Accent1 4 2 2 5 3 3" xfId="10384"/>
    <cellStyle name="20% - Accent1 4 2 2 5 3 3 2" xfId="10385"/>
    <cellStyle name="20% - Accent1 4 2 2 5 3 3 3" xfId="10386"/>
    <cellStyle name="20% - Accent1 4 2 2 5 3 4" xfId="10387"/>
    <cellStyle name="20% - Accent1 4 2 2 5 3 4 2" xfId="10388"/>
    <cellStyle name="20% - Accent1 4 2 2 5 3 5" xfId="10389"/>
    <cellStyle name="20% - Accent1 4 2 2 5 3 6" xfId="10390"/>
    <cellStyle name="20% - Accent1 4 2 2 5 4" xfId="10391"/>
    <cellStyle name="20% - Accent1 4 2 2 5 4 2" xfId="10392"/>
    <cellStyle name="20% - Accent1 4 2 2 5 4 2 2" xfId="10393"/>
    <cellStyle name="20% - Accent1 4 2 2 5 4 2 3" xfId="10394"/>
    <cellStyle name="20% - Accent1 4 2 2 5 4 3" xfId="10395"/>
    <cellStyle name="20% - Accent1 4 2 2 5 4 3 2" xfId="10396"/>
    <cellStyle name="20% - Accent1 4 2 2 5 4 4" xfId="10397"/>
    <cellStyle name="20% - Accent1 4 2 2 5 4 5" xfId="10398"/>
    <cellStyle name="20% - Accent1 4 2 2 5 5" xfId="10399"/>
    <cellStyle name="20% - Accent1 4 2 2 5 5 2" xfId="10400"/>
    <cellStyle name="20% - Accent1 4 2 2 5 5 3" xfId="10401"/>
    <cellStyle name="20% - Accent1 4 2 2 5 6" xfId="10402"/>
    <cellStyle name="20% - Accent1 4 2 2 5 6 2" xfId="10403"/>
    <cellStyle name="20% - Accent1 4 2 2 5 6 3" xfId="10404"/>
    <cellStyle name="20% - Accent1 4 2 2 5 7" xfId="10405"/>
    <cellStyle name="20% - Accent1 4 2 2 5 7 2" xfId="10406"/>
    <cellStyle name="20% - Accent1 4 2 2 5 8" xfId="10407"/>
    <cellStyle name="20% - Accent1 4 2 2 5 9" xfId="10408"/>
    <cellStyle name="20% - Accent1 4 2 2 6" xfId="10409"/>
    <cellStyle name="20% - Accent1 4 2 2 6 2" xfId="10410"/>
    <cellStyle name="20% - Accent1 4 2 2 6 2 2" xfId="10411"/>
    <cellStyle name="20% - Accent1 4 2 2 6 2 3" xfId="10412"/>
    <cellStyle name="20% - Accent1 4 2 2 6 3" xfId="10413"/>
    <cellStyle name="20% - Accent1 4 2 2 6 3 2" xfId="10414"/>
    <cellStyle name="20% - Accent1 4 2 2 6 3 3" xfId="10415"/>
    <cellStyle name="20% - Accent1 4 2 2 6 4" xfId="10416"/>
    <cellStyle name="20% - Accent1 4 2 2 6 4 2" xfId="10417"/>
    <cellStyle name="20% - Accent1 4 2 2 6 5" xfId="10418"/>
    <cellStyle name="20% - Accent1 4 2 2 6 6" xfId="10419"/>
    <cellStyle name="20% - Accent1 4 2 2 7" xfId="10420"/>
    <cellStyle name="20% - Accent1 4 2 2 7 2" xfId="10421"/>
    <cellStyle name="20% - Accent1 4 2 2 7 2 2" xfId="10422"/>
    <cellStyle name="20% - Accent1 4 2 2 7 2 3" xfId="10423"/>
    <cellStyle name="20% - Accent1 4 2 2 7 3" xfId="10424"/>
    <cellStyle name="20% - Accent1 4 2 2 7 3 2" xfId="10425"/>
    <cellStyle name="20% - Accent1 4 2 2 7 3 3" xfId="10426"/>
    <cellStyle name="20% - Accent1 4 2 2 7 4" xfId="10427"/>
    <cellStyle name="20% - Accent1 4 2 2 7 4 2" xfId="10428"/>
    <cellStyle name="20% - Accent1 4 2 2 7 5" xfId="10429"/>
    <cellStyle name="20% - Accent1 4 2 2 7 6" xfId="10430"/>
    <cellStyle name="20% - Accent1 4 2 2 8" xfId="10431"/>
    <cellStyle name="20% - Accent1 4 2 2 8 2" xfId="10432"/>
    <cellStyle name="20% - Accent1 4 2 2 8 2 2" xfId="10433"/>
    <cellStyle name="20% - Accent1 4 2 2 8 2 3" xfId="10434"/>
    <cellStyle name="20% - Accent1 4 2 2 8 3" xfId="10435"/>
    <cellStyle name="20% - Accent1 4 2 2 8 3 2" xfId="10436"/>
    <cellStyle name="20% - Accent1 4 2 2 8 4" xfId="10437"/>
    <cellStyle name="20% - Accent1 4 2 2 8 5" xfId="10438"/>
    <cellStyle name="20% - Accent1 4 2 2 9" xfId="10439"/>
    <cellStyle name="20% - Accent1 4 2 2 9 2" xfId="10440"/>
    <cellStyle name="20% - Accent1 4 2 2 9 3" xfId="10441"/>
    <cellStyle name="20% - Accent1 4 2 3" xfId="159"/>
    <cellStyle name="20% - Accent1 4 2 3 10" xfId="10442"/>
    <cellStyle name="20% - Accent1 4 2 3 10 2" xfId="10443"/>
    <cellStyle name="20% - Accent1 4 2 3 11" xfId="10444"/>
    <cellStyle name="20% - Accent1 4 2 3 12" xfId="10445"/>
    <cellStyle name="20% - Accent1 4 2 3 2" xfId="160"/>
    <cellStyle name="20% - Accent1 4 2 3 2 10" xfId="10446"/>
    <cellStyle name="20% - Accent1 4 2 3 2 2" xfId="161"/>
    <cellStyle name="20% - Accent1 4 2 3 2 2 2" xfId="10447"/>
    <cellStyle name="20% - Accent1 4 2 3 2 2 2 2" xfId="10448"/>
    <cellStyle name="20% - Accent1 4 2 3 2 2 2 2 2" xfId="10449"/>
    <cellStyle name="20% - Accent1 4 2 3 2 2 2 2 3" xfId="10450"/>
    <cellStyle name="20% - Accent1 4 2 3 2 2 2 3" xfId="10451"/>
    <cellStyle name="20% - Accent1 4 2 3 2 2 2 3 2" xfId="10452"/>
    <cellStyle name="20% - Accent1 4 2 3 2 2 2 3 3" xfId="10453"/>
    <cellStyle name="20% - Accent1 4 2 3 2 2 2 4" xfId="10454"/>
    <cellStyle name="20% - Accent1 4 2 3 2 2 2 4 2" xfId="10455"/>
    <cellStyle name="20% - Accent1 4 2 3 2 2 2 5" xfId="10456"/>
    <cellStyle name="20% - Accent1 4 2 3 2 2 2 6" xfId="10457"/>
    <cellStyle name="20% - Accent1 4 2 3 2 2 3" xfId="10458"/>
    <cellStyle name="20% - Accent1 4 2 3 2 2 3 2" xfId="10459"/>
    <cellStyle name="20% - Accent1 4 2 3 2 2 3 2 2" xfId="10460"/>
    <cellStyle name="20% - Accent1 4 2 3 2 2 3 2 3" xfId="10461"/>
    <cellStyle name="20% - Accent1 4 2 3 2 2 3 3" xfId="10462"/>
    <cellStyle name="20% - Accent1 4 2 3 2 2 3 3 2" xfId="10463"/>
    <cellStyle name="20% - Accent1 4 2 3 2 2 3 3 3" xfId="10464"/>
    <cellStyle name="20% - Accent1 4 2 3 2 2 3 4" xfId="10465"/>
    <cellStyle name="20% - Accent1 4 2 3 2 2 3 4 2" xfId="10466"/>
    <cellStyle name="20% - Accent1 4 2 3 2 2 3 5" xfId="10467"/>
    <cellStyle name="20% - Accent1 4 2 3 2 2 3 6" xfId="10468"/>
    <cellStyle name="20% - Accent1 4 2 3 2 2 4" xfId="10469"/>
    <cellStyle name="20% - Accent1 4 2 3 2 2 4 2" xfId="10470"/>
    <cellStyle name="20% - Accent1 4 2 3 2 2 4 2 2" xfId="10471"/>
    <cellStyle name="20% - Accent1 4 2 3 2 2 4 2 3" xfId="10472"/>
    <cellStyle name="20% - Accent1 4 2 3 2 2 4 3" xfId="10473"/>
    <cellStyle name="20% - Accent1 4 2 3 2 2 4 3 2" xfId="10474"/>
    <cellStyle name="20% - Accent1 4 2 3 2 2 4 4" xfId="10475"/>
    <cellStyle name="20% - Accent1 4 2 3 2 2 4 5" xfId="10476"/>
    <cellStyle name="20% - Accent1 4 2 3 2 2 5" xfId="10477"/>
    <cellStyle name="20% - Accent1 4 2 3 2 2 5 2" xfId="10478"/>
    <cellStyle name="20% - Accent1 4 2 3 2 2 5 3" xfId="10479"/>
    <cellStyle name="20% - Accent1 4 2 3 2 2 6" xfId="10480"/>
    <cellStyle name="20% - Accent1 4 2 3 2 2 6 2" xfId="10481"/>
    <cellStyle name="20% - Accent1 4 2 3 2 2 6 3" xfId="10482"/>
    <cellStyle name="20% - Accent1 4 2 3 2 2 7" xfId="10483"/>
    <cellStyle name="20% - Accent1 4 2 3 2 2 7 2" xfId="10484"/>
    <cellStyle name="20% - Accent1 4 2 3 2 2 8" xfId="10485"/>
    <cellStyle name="20% - Accent1 4 2 3 2 2 9" xfId="10486"/>
    <cellStyle name="20% - Accent1 4 2 3 2 3" xfId="10487"/>
    <cellStyle name="20% - Accent1 4 2 3 2 3 2" xfId="10488"/>
    <cellStyle name="20% - Accent1 4 2 3 2 3 2 2" xfId="10489"/>
    <cellStyle name="20% - Accent1 4 2 3 2 3 2 3" xfId="10490"/>
    <cellStyle name="20% - Accent1 4 2 3 2 3 3" xfId="10491"/>
    <cellStyle name="20% - Accent1 4 2 3 2 3 3 2" xfId="10492"/>
    <cellStyle name="20% - Accent1 4 2 3 2 3 3 3" xfId="10493"/>
    <cellStyle name="20% - Accent1 4 2 3 2 3 4" xfId="10494"/>
    <cellStyle name="20% - Accent1 4 2 3 2 3 4 2" xfId="10495"/>
    <cellStyle name="20% - Accent1 4 2 3 2 3 5" xfId="10496"/>
    <cellStyle name="20% - Accent1 4 2 3 2 3 6" xfId="10497"/>
    <cellStyle name="20% - Accent1 4 2 3 2 4" xfId="10498"/>
    <cellStyle name="20% - Accent1 4 2 3 2 4 2" xfId="10499"/>
    <cellStyle name="20% - Accent1 4 2 3 2 4 2 2" xfId="10500"/>
    <cellStyle name="20% - Accent1 4 2 3 2 4 2 3" xfId="10501"/>
    <cellStyle name="20% - Accent1 4 2 3 2 4 3" xfId="10502"/>
    <cellStyle name="20% - Accent1 4 2 3 2 4 3 2" xfId="10503"/>
    <cellStyle name="20% - Accent1 4 2 3 2 4 3 3" xfId="10504"/>
    <cellStyle name="20% - Accent1 4 2 3 2 4 4" xfId="10505"/>
    <cellStyle name="20% - Accent1 4 2 3 2 4 4 2" xfId="10506"/>
    <cellStyle name="20% - Accent1 4 2 3 2 4 5" xfId="10507"/>
    <cellStyle name="20% - Accent1 4 2 3 2 4 6" xfId="10508"/>
    <cellStyle name="20% - Accent1 4 2 3 2 5" xfId="10509"/>
    <cellStyle name="20% - Accent1 4 2 3 2 5 2" xfId="10510"/>
    <cellStyle name="20% - Accent1 4 2 3 2 5 2 2" xfId="10511"/>
    <cellStyle name="20% - Accent1 4 2 3 2 5 2 3" xfId="10512"/>
    <cellStyle name="20% - Accent1 4 2 3 2 5 3" xfId="10513"/>
    <cellStyle name="20% - Accent1 4 2 3 2 5 3 2" xfId="10514"/>
    <cellStyle name="20% - Accent1 4 2 3 2 5 4" xfId="10515"/>
    <cellStyle name="20% - Accent1 4 2 3 2 5 5" xfId="10516"/>
    <cellStyle name="20% - Accent1 4 2 3 2 6" xfId="10517"/>
    <cellStyle name="20% - Accent1 4 2 3 2 6 2" xfId="10518"/>
    <cellStyle name="20% - Accent1 4 2 3 2 6 3" xfId="10519"/>
    <cellStyle name="20% - Accent1 4 2 3 2 7" xfId="10520"/>
    <cellStyle name="20% - Accent1 4 2 3 2 7 2" xfId="10521"/>
    <cellStyle name="20% - Accent1 4 2 3 2 7 3" xfId="10522"/>
    <cellStyle name="20% - Accent1 4 2 3 2 8" xfId="10523"/>
    <cellStyle name="20% - Accent1 4 2 3 2 8 2" xfId="10524"/>
    <cellStyle name="20% - Accent1 4 2 3 2 9" xfId="10525"/>
    <cellStyle name="20% - Accent1 4 2 3 3" xfId="162"/>
    <cellStyle name="20% - Accent1 4 2 3 3 2" xfId="10526"/>
    <cellStyle name="20% - Accent1 4 2 3 3 2 2" xfId="10527"/>
    <cellStyle name="20% - Accent1 4 2 3 3 2 2 2" xfId="10528"/>
    <cellStyle name="20% - Accent1 4 2 3 3 2 2 3" xfId="10529"/>
    <cellStyle name="20% - Accent1 4 2 3 3 2 3" xfId="10530"/>
    <cellStyle name="20% - Accent1 4 2 3 3 2 3 2" xfId="10531"/>
    <cellStyle name="20% - Accent1 4 2 3 3 2 3 3" xfId="10532"/>
    <cellStyle name="20% - Accent1 4 2 3 3 2 4" xfId="10533"/>
    <cellStyle name="20% - Accent1 4 2 3 3 2 4 2" xfId="10534"/>
    <cellStyle name="20% - Accent1 4 2 3 3 2 5" xfId="10535"/>
    <cellStyle name="20% - Accent1 4 2 3 3 2 6" xfId="10536"/>
    <cellStyle name="20% - Accent1 4 2 3 3 3" xfId="10537"/>
    <cellStyle name="20% - Accent1 4 2 3 3 3 2" xfId="10538"/>
    <cellStyle name="20% - Accent1 4 2 3 3 3 2 2" xfId="10539"/>
    <cellStyle name="20% - Accent1 4 2 3 3 3 2 3" xfId="10540"/>
    <cellStyle name="20% - Accent1 4 2 3 3 3 3" xfId="10541"/>
    <cellStyle name="20% - Accent1 4 2 3 3 3 3 2" xfId="10542"/>
    <cellStyle name="20% - Accent1 4 2 3 3 3 3 3" xfId="10543"/>
    <cellStyle name="20% - Accent1 4 2 3 3 3 4" xfId="10544"/>
    <cellStyle name="20% - Accent1 4 2 3 3 3 4 2" xfId="10545"/>
    <cellStyle name="20% - Accent1 4 2 3 3 3 5" xfId="10546"/>
    <cellStyle name="20% - Accent1 4 2 3 3 3 6" xfId="10547"/>
    <cellStyle name="20% - Accent1 4 2 3 3 4" xfId="10548"/>
    <cellStyle name="20% - Accent1 4 2 3 3 4 2" xfId="10549"/>
    <cellStyle name="20% - Accent1 4 2 3 3 4 2 2" xfId="10550"/>
    <cellStyle name="20% - Accent1 4 2 3 3 4 2 3" xfId="10551"/>
    <cellStyle name="20% - Accent1 4 2 3 3 4 3" xfId="10552"/>
    <cellStyle name="20% - Accent1 4 2 3 3 4 3 2" xfId="10553"/>
    <cellStyle name="20% - Accent1 4 2 3 3 4 4" xfId="10554"/>
    <cellStyle name="20% - Accent1 4 2 3 3 4 5" xfId="10555"/>
    <cellStyle name="20% - Accent1 4 2 3 3 5" xfId="10556"/>
    <cellStyle name="20% - Accent1 4 2 3 3 5 2" xfId="10557"/>
    <cellStyle name="20% - Accent1 4 2 3 3 5 3" xfId="10558"/>
    <cellStyle name="20% - Accent1 4 2 3 3 6" xfId="10559"/>
    <cellStyle name="20% - Accent1 4 2 3 3 6 2" xfId="10560"/>
    <cellStyle name="20% - Accent1 4 2 3 3 6 3" xfId="10561"/>
    <cellStyle name="20% - Accent1 4 2 3 3 7" xfId="10562"/>
    <cellStyle name="20% - Accent1 4 2 3 3 7 2" xfId="10563"/>
    <cellStyle name="20% - Accent1 4 2 3 3 8" xfId="10564"/>
    <cellStyle name="20% - Accent1 4 2 3 3 9" xfId="10565"/>
    <cellStyle name="20% - Accent1 4 2 3 4" xfId="10566"/>
    <cellStyle name="20% - Accent1 4 2 3 4 2" xfId="10567"/>
    <cellStyle name="20% - Accent1 4 2 3 4 2 2" xfId="10568"/>
    <cellStyle name="20% - Accent1 4 2 3 4 2 2 2" xfId="10569"/>
    <cellStyle name="20% - Accent1 4 2 3 4 2 2 3" xfId="10570"/>
    <cellStyle name="20% - Accent1 4 2 3 4 2 3" xfId="10571"/>
    <cellStyle name="20% - Accent1 4 2 3 4 2 3 2" xfId="10572"/>
    <cellStyle name="20% - Accent1 4 2 3 4 2 3 3" xfId="10573"/>
    <cellStyle name="20% - Accent1 4 2 3 4 2 4" xfId="10574"/>
    <cellStyle name="20% - Accent1 4 2 3 4 2 4 2" xfId="10575"/>
    <cellStyle name="20% - Accent1 4 2 3 4 2 5" xfId="10576"/>
    <cellStyle name="20% - Accent1 4 2 3 4 2 6" xfId="10577"/>
    <cellStyle name="20% - Accent1 4 2 3 4 3" xfId="10578"/>
    <cellStyle name="20% - Accent1 4 2 3 4 3 2" xfId="10579"/>
    <cellStyle name="20% - Accent1 4 2 3 4 3 2 2" xfId="10580"/>
    <cellStyle name="20% - Accent1 4 2 3 4 3 2 3" xfId="10581"/>
    <cellStyle name="20% - Accent1 4 2 3 4 3 3" xfId="10582"/>
    <cellStyle name="20% - Accent1 4 2 3 4 3 3 2" xfId="10583"/>
    <cellStyle name="20% - Accent1 4 2 3 4 3 3 3" xfId="10584"/>
    <cellStyle name="20% - Accent1 4 2 3 4 3 4" xfId="10585"/>
    <cellStyle name="20% - Accent1 4 2 3 4 3 4 2" xfId="10586"/>
    <cellStyle name="20% - Accent1 4 2 3 4 3 5" xfId="10587"/>
    <cellStyle name="20% - Accent1 4 2 3 4 3 6" xfId="10588"/>
    <cellStyle name="20% - Accent1 4 2 3 4 4" xfId="10589"/>
    <cellStyle name="20% - Accent1 4 2 3 4 4 2" xfId="10590"/>
    <cellStyle name="20% - Accent1 4 2 3 4 4 2 2" xfId="10591"/>
    <cellStyle name="20% - Accent1 4 2 3 4 4 2 3" xfId="10592"/>
    <cellStyle name="20% - Accent1 4 2 3 4 4 3" xfId="10593"/>
    <cellStyle name="20% - Accent1 4 2 3 4 4 3 2" xfId="10594"/>
    <cellStyle name="20% - Accent1 4 2 3 4 4 4" xfId="10595"/>
    <cellStyle name="20% - Accent1 4 2 3 4 4 5" xfId="10596"/>
    <cellStyle name="20% - Accent1 4 2 3 4 5" xfId="10597"/>
    <cellStyle name="20% - Accent1 4 2 3 4 5 2" xfId="10598"/>
    <cellStyle name="20% - Accent1 4 2 3 4 5 3" xfId="10599"/>
    <cellStyle name="20% - Accent1 4 2 3 4 6" xfId="10600"/>
    <cellStyle name="20% - Accent1 4 2 3 4 6 2" xfId="10601"/>
    <cellStyle name="20% - Accent1 4 2 3 4 6 3" xfId="10602"/>
    <cellStyle name="20% - Accent1 4 2 3 4 7" xfId="10603"/>
    <cellStyle name="20% - Accent1 4 2 3 4 7 2" xfId="10604"/>
    <cellStyle name="20% - Accent1 4 2 3 4 8" xfId="10605"/>
    <cellStyle name="20% - Accent1 4 2 3 4 9" xfId="10606"/>
    <cellStyle name="20% - Accent1 4 2 3 5" xfId="10607"/>
    <cellStyle name="20% - Accent1 4 2 3 5 2" xfId="10608"/>
    <cellStyle name="20% - Accent1 4 2 3 5 2 2" xfId="10609"/>
    <cellStyle name="20% - Accent1 4 2 3 5 2 3" xfId="10610"/>
    <cellStyle name="20% - Accent1 4 2 3 5 3" xfId="10611"/>
    <cellStyle name="20% - Accent1 4 2 3 5 3 2" xfId="10612"/>
    <cellStyle name="20% - Accent1 4 2 3 5 3 3" xfId="10613"/>
    <cellStyle name="20% - Accent1 4 2 3 5 4" xfId="10614"/>
    <cellStyle name="20% - Accent1 4 2 3 5 4 2" xfId="10615"/>
    <cellStyle name="20% - Accent1 4 2 3 5 5" xfId="10616"/>
    <cellStyle name="20% - Accent1 4 2 3 5 6" xfId="10617"/>
    <cellStyle name="20% - Accent1 4 2 3 6" xfId="10618"/>
    <cellStyle name="20% - Accent1 4 2 3 6 2" xfId="10619"/>
    <cellStyle name="20% - Accent1 4 2 3 6 2 2" xfId="10620"/>
    <cellStyle name="20% - Accent1 4 2 3 6 2 3" xfId="10621"/>
    <cellStyle name="20% - Accent1 4 2 3 6 3" xfId="10622"/>
    <cellStyle name="20% - Accent1 4 2 3 6 3 2" xfId="10623"/>
    <cellStyle name="20% - Accent1 4 2 3 6 3 3" xfId="10624"/>
    <cellStyle name="20% - Accent1 4 2 3 6 4" xfId="10625"/>
    <cellStyle name="20% - Accent1 4 2 3 6 4 2" xfId="10626"/>
    <cellStyle name="20% - Accent1 4 2 3 6 5" xfId="10627"/>
    <cellStyle name="20% - Accent1 4 2 3 6 6" xfId="10628"/>
    <cellStyle name="20% - Accent1 4 2 3 7" xfId="10629"/>
    <cellStyle name="20% - Accent1 4 2 3 7 2" xfId="10630"/>
    <cellStyle name="20% - Accent1 4 2 3 7 2 2" xfId="10631"/>
    <cellStyle name="20% - Accent1 4 2 3 7 2 3" xfId="10632"/>
    <cellStyle name="20% - Accent1 4 2 3 7 3" xfId="10633"/>
    <cellStyle name="20% - Accent1 4 2 3 7 3 2" xfId="10634"/>
    <cellStyle name="20% - Accent1 4 2 3 7 4" xfId="10635"/>
    <cellStyle name="20% - Accent1 4 2 3 7 5" xfId="10636"/>
    <cellStyle name="20% - Accent1 4 2 3 8" xfId="10637"/>
    <cellStyle name="20% - Accent1 4 2 3 8 2" xfId="10638"/>
    <cellStyle name="20% - Accent1 4 2 3 8 3" xfId="10639"/>
    <cellStyle name="20% - Accent1 4 2 3 9" xfId="10640"/>
    <cellStyle name="20% - Accent1 4 2 3 9 2" xfId="10641"/>
    <cellStyle name="20% - Accent1 4 2 3 9 3" xfId="10642"/>
    <cellStyle name="20% - Accent1 4 2 4" xfId="163"/>
    <cellStyle name="20% - Accent1 4 2 4 10" xfId="10643"/>
    <cellStyle name="20% - Accent1 4 2 4 2" xfId="164"/>
    <cellStyle name="20% - Accent1 4 2 4 2 2" xfId="10644"/>
    <cellStyle name="20% - Accent1 4 2 4 2 2 2" xfId="10645"/>
    <cellStyle name="20% - Accent1 4 2 4 2 2 2 2" xfId="10646"/>
    <cellStyle name="20% - Accent1 4 2 4 2 2 2 3" xfId="10647"/>
    <cellStyle name="20% - Accent1 4 2 4 2 2 3" xfId="10648"/>
    <cellStyle name="20% - Accent1 4 2 4 2 2 3 2" xfId="10649"/>
    <cellStyle name="20% - Accent1 4 2 4 2 2 3 3" xfId="10650"/>
    <cellStyle name="20% - Accent1 4 2 4 2 2 4" xfId="10651"/>
    <cellStyle name="20% - Accent1 4 2 4 2 2 4 2" xfId="10652"/>
    <cellStyle name="20% - Accent1 4 2 4 2 2 5" xfId="10653"/>
    <cellStyle name="20% - Accent1 4 2 4 2 2 6" xfId="10654"/>
    <cellStyle name="20% - Accent1 4 2 4 2 3" xfId="10655"/>
    <cellStyle name="20% - Accent1 4 2 4 2 3 2" xfId="10656"/>
    <cellStyle name="20% - Accent1 4 2 4 2 3 2 2" xfId="10657"/>
    <cellStyle name="20% - Accent1 4 2 4 2 3 2 3" xfId="10658"/>
    <cellStyle name="20% - Accent1 4 2 4 2 3 3" xfId="10659"/>
    <cellStyle name="20% - Accent1 4 2 4 2 3 3 2" xfId="10660"/>
    <cellStyle name="20% - Accent1 4 2 4 2 3 3 3" xfId="10661"/>
    <cellStyle name="20% - Accent1 4 2 4 2 3 4" xfId="10662"/>
    <cellStyle name="20% - Accent1 4 2 4 2 3 4 2" xfId="10663"/>
    <cellStyle name="20% - Accent1 4 2 4 2 3 5" xfId="10664"/>
    <cellStyle name="20% - Accent1 4 2 4 2 3 6" xfId="10665"/>
    <cellStyle name="20% - Accent1 4 2 4 2 4" xfId="10666"/>
    <cellStyle name="20% - Accent1 4 2 4 2 4 2" xfId="10667"/>
    <cellStyle name="20% - Accent1 4 2 4 2 4 2 2" xfId="10668"/>
    <cellStyle name="20% - Accent1 4 2 4 2 4 2 3" xfId="10669"/>
    <cellStyle name="20% - Accent1 4 2 4 2 4 3" xfId="10670"/>
    <cellStyle name="20% - Accent1 4 2 4 2 4 3 2" xfId="10671"/>
    <cellStyle name="20% - Accent1 4 2 4 2 4 4" xfId="10672"/>
    <cellStyle name="20% - Accent1 4 2 4 2 4 5" xfId="10673"/>
    <cellStyle name="20% - Accent1 4 2 4 2 5" xfId="10674"/>
    <cellStyle name="20% - Accent1 4 2 4 2 5 2" xfId="10675"/>
    <cellStyle name="20% - Accent1 4 2 4 2 5 3" xfId="10676"/>
    <cellStyle name="20% - Accent1 4 2 4 2 6" xfId="10677"/>
    <cellStyle name="20% - Accent1 4 2 4 2 6 2" xfId="10678"/>
    <cellStyle name="20% - Accent1 4 2 4 2 6 3" xfId="10679"/>
    <cellStyle name="20% - Accent1 4 2 4 2 7" xfId="10680"/>
    <cellStyle name="20% - Accent1 4 2 4 2 7 2" xfId="10681"/>
    <cellStyle name="20% - Accent1 4 2 4 2 8" xfId="10682"/>
    <cellStyle name="20% - Accent1 4 2 4 2 9" xfId="10683"/>
    <cellStyle name="20% - Accent1 4 2 4 3" xfId="10684"/>
    <cellStyle name="20% - Accent1 4 2 4 3 2" xfId="10685"/>
    <cellStyle name="20% - Accent1 4 2 4 3 2 2" xfId="10686"/>
    <cellStyle name="20% - Accent1 4 2 4 3 2 3" xfId="10687"/>
    <cellStyle name="20% - Accent1 4 2 4 3 3" xfId="10688"/>
    <cellStyle name="20% - Accent1 4 2 4 3 3 2" xfId="10689"/>
    <cellStyle name="20% - Accent1 4 2 4 3 3 3" xfId="10690"/>
    <cellStyle name="20% - Accent1 4 2 4 3 4" xfId="10691"/>
    <cellStyle name="20% - Accent1 4 2 4 3 4 2" xfId="10692"/>
    <cellStyle name="20% - Accent1 4 2 4 3 5" xfId="10693"/>
    <cellStyle name="20% - Accent1 4 2 4 3 6" xfId="10694"/>
    <cellStyle name="20% - Accent1 4 2 4 4" xfId="10695"/>
    <cellStyle name="20% - Accent1 4 2 4 4 2" xfId="10696"/>
    <cellStyle name="20% - Accent1 4 2 4 4 2 2" xfId="10697"/>
    <cellStyle name="20% - Accent1 4 2 4 4 2 3" xfId="10698"/>
    <cellStyle name="20% - Accent1 4 2 4 4 3" xfId="10699"/>
    <cellStyle name="20% - Accent1 4 2 4 4 3 2" xfId="10700"/>
    <cellStyle name="20% - Accent1 4 2 4 4 3 3" xfId="10701"/>
    <cellStyle name="20% - Accent1 4 2 4 4 4" xfId="10702"/>
    <cellStyle name="20% - Accent1 4 2 4 4 4 2" xfId="10703"/>
    <cellStyle name="20% - Accent1 4 2 4 4 5" xfId="10704"/>
    <cellStyle name="20% - Accent1 4 2 4 4 6" xfId="10705"/>
    <cellStyle name="20% - Accent1 4 2 4 5" xfId="10706"/>
    <cellStyle name="20% - Accent1 4 2 4 5 2" xfId="10707"/>
    <cellStyle name="20% - Accent1 4 2 4 5 2 2" xfId="10708"/>
    <cellStyle name="20% - Accent1 4 2 4 5 2 3" xfId="10709"/>
    <cellStyle name="20% - Accent1 4 2 4 5 3" xfId="10710"/>
    <cellStyle name="20% - Accent1 4 2 4 5 3 2" xfId="10711"/>
    <cellStyle name="20% - Accent1 4 2 4 5 4" xfId="10712"/>
    <cellStyle name="20% - Accent1 4 2 4 5 5" xfId="10713"/>
    <cellStyle name="20% - Accent1 4 2 4 6" xfId="10714"/>
    <cellStyle name="20% - Accent1 4 2 4 6 2" xfId="10715"/>
    <cellStyle name="20% - Accent1 4 2 4 6 3" xfId="10716"/>
    <cellStyle name="20% - Accent1 4 2 4 7" xfId="10717"/>
    <cellStyle name="20% - Accent1 4 2 4 7 2" xfId="10718"/>
    <cellStyle name="20% - Accent1 4 2 4 7 3" xfId="10719"/>
    <cellStyle name="20% - Accent1 4 2 4 8" xfId="10720"/>
    <cellStyle name="20% - Accent1 4 2 4 8 2" xfId="10721"/>
    <cellStyle name="20% - Accent1 4 2 4 9" xfId="10722"/>
    <cellStyle name="20% - Accent1 4 2 5" xfId="165"/>
    <cellStyle name="20% - Accent1 4 2 5 2" xfId="10723"/>
    <cellStyle name="20% - Accent1 4 2 5 2 2" xfId="10724"/>
    <cellStyle name="20% - Accent1 4 2 5 2 2 2" xfId="10725"/>
    <cellStyle name="20% - Accent1 4 2 5 2 2 3" xfId="10726"/>
    <cellStyle name="20% - Accent1 4 2 5 2 3" xfId="10727"/>
    <cellStyle name="20% - Accent1 4 2 5 2 3 2" xfId="10728"/>
    <cellStyle name="20% - Accent1 4 2 5 2 3 3" xfId="10729"/>
    <cellStyle name="20% - Accent1 4 2 5 2 4" xfId="10730"/>
    <cellStyle name="20% - Accent1 4 2 5 2 4 2" xfId="10731"/>
    <cellStyle name="20% - Accent1 4 2 5 2 5" xfId="10732"/>
    <cellStyle name="20% - Accent1 4 2 5 2 6" xfId="10733"/>
    <cellStyle name="20% - Accent1 4 2 5 3" xfId="10734"/>
    <cellStyle name="20% - Accent1 4 2 5 3 2" xfId="10735"/>
    <cellStyle name="20% - Accent1 4 2 5 3 2 2" xfId="10736"/>
    <cellStyle name="20% - Accent1 4 2 5 3 2 3" xfId="10737"/>
    <cellStyle name="20% - Accent1 4 2 5 3 3" xfId="10738"/>
    <cellStyle name="20% - Accent1 4 2 5 3 3 2" xfId="10739"/>
    <cellStyle name="20% - Accent1 4 2 5 3 3 3" xfId="10740"/>
    <cellStyle name="20% - Accent1 4 2 5 3 4" xfId="10741"/>
    <cellStyle name="20% - Accent1 4 2 5 3 4 2" xfId="10742"/>
    <cellStyle name="20% - Accent1 4 2 5 3 5" xfId="10743"/>
    <cellStyle name="20% - Accent1 4 2 5 3 6" xfId="10744"/>
    <cellStyle name="20% - Accent1 4 2 5 4" xfId="10745"/>
    <cellStyle name="20% - Accent1 4 2 5 4 2" xfId="10746"/>
    <cellStyle name="20% - Accent1 4 2 5 4 2 2" xfId="10747"/>
    <cellStyle name="20% - Accent1 4 2 5 4 2 3" xfId="10748"/>
    <cellStyle name="20% - Accent1 4 2 5 4 3" xfId="10749"/>
    <cellStyle name="20% - Accent1 4 2 5 4 3 2" xfId="10750"/>
    <cellStyle name="20% - Accent1 4 2 5 4 4" xfId="10751"/>
    <cellStyle name="20% - Accent1 4 2 5 4 5" xfId="10752"/>
    <cellStyle name="20% - Accent1 4 2 5 5" xfId="10753"/>
    <cellStyle name="20% - Accent1 4 2 5 5 2" xfId="10754"/>
    <cellStyle name="20% - Accent1 4 2 5 5 3" xfId="10755"/>
    <cellStyle name="20% - Accent1 4 2 5 6" xfId="10756"/>
    <cellStyle name="20% - Accent1 4 2 5 6 2" xfId="10757"/>
    <cellStyle name="20% - Accent1 4 2 5 6 3" xfId="10758"/>
    <cellStyle name="20% - Accent1 4 2 5 7" xfId="10759"/>
    <cellStyle name="20% - Accent1 4 2 5 7 2" xfId="10760"/>
    <cellStyle name="20% - Accent1 4 2 5 8" xfId="10761"/>
    <cellStyle name="20% - Accent1 4 2 5 9" xfId="10762"/>
    <cellStyle name="20% - Accent1 4 2 6" xfId="10763"/>
    <cellStyle name="20% - Accent1 4 2 6 2" xfId="10764"/>
    <cellStyle name="20% - Accent1 4 2 6 2 2" xfId="10765"/>
    <cellStyle name="20% - Accent1 4 2 6 2 2 2" xfId="10766"/>
    <cellStyle name="20% - Accent1 4 2 6 2 2 3" xfId="10767"/>
    <cellStyle name="20% - Accent1 4 2 6 2 3" xfId="10768"/>
    <cellStyle name="20% - Accent1 4 2 6 2 3 2" xfId="10769"/>
    <cellStyle name="20% - Accent1 4 2 6 2 3 3" xfId="10770"/>
    <cellStyle name="20% - Accent1 4 2 6 2 4" xfId="10771"/>
    <cellStyle name="20% - Accent1 4 2 6 2 4 2" xfId="10772"/>
    <cellStyle name="20% - Accent1 4 2 6 2 5" xfId="10773"/>
    <cellStyle name="20% - Accent1 4 2 6 2 6" xfId="10774"/>
    <cellStyle name="20% - Accent1 4 2 6 3" xfId="10775"/>
    <cellStyle name="20% - Accent1 4 2 6 3 2" xfId="10776"/>
    <cellStyle name="20% - Accent1 4 2 6 3 2 2" xfId="10777"/>
    <cellStyle name="20% - Accent1 4 2 6 3 2 3" xfId="10778"/>
    <cellStyle name="20% - Accent1 4 2 6 3 3" xfId="10779"/>
    <cellStyle name="20% - Accent1 4 2 6 3 3 2" xfId="10780"/>
    <cellStyle name="20% - Accent1 4 2 6 3 3 3" xfId="10781"/>
    <cellStyle name="20% - Accent1 4 2 6 3 4" xfId="10782"/>
    <cellStyle name="20% - Accent1 4 2 6 3 4 2" xfId="10783"/>
    <cellStyle name="20% - Accent1 4 2 6 3 5" xfId="10784"/>
    <cellStyle name="20% - Accent1 4 2 6 3 6" xfId="10785"/>
    <cellStyle name="20% - Accent1 4 2 6 4" xfId="10786"/>
    <cellStyle name="20% - Accent1 4 2 6 4 2" xfId="10787"/>
    <cellStyle name="20% - Accent1 4 2 6 4 2 2" xfId="10788"/>
    <cellStyle name="20% - Accent1 4 2 6 4 2 3" xfId="10789"/>
    <cellStyle name="20% - Accent1 4 2 6 4 3" xfId="10790"/>
    <cellStyle name="20% - Accent1 4 2 6 4 3 2" xfId="10791"/>
    <cellStyle name="20% - Accent1 4 2 6 4 4" xfId="10792"/>
    <cellStyle name="20% - Accent1 4 2 6 4 5" xfId="10793"/>
    <cellStyle name="20% - Accent1 4 2 6 5" xfId="10794"/>
    <cellStyle name="20% - Accent1 4 2 6 5 2" xfId="10795"/>
    <cellStyle name="20% - Accent1 4 2 6 5 3" xfId="10796"/>
    <cellStyle name="20% - Accent1 4 2 6 6" xfId="10797"/>
    <cellStyle name="20% - Accent1 4 2 6 6 2" xfId="10798"/>
    <cellStyle name="20% - Accent1 4 2 6 6 3" xfId="10799"/>
    <cellStyle name="20% - Accent1 4 2 6 7" xfId="10800"/>
    <cellStyle name="20% - Accent1 4 2 6 7 2" xfId="10801"/>
    <cellStyle name="20% - Accent1 4 2 6 8" xfId="10802"/>
    <cellStyle name="20% - Accent1 4 2 6 9" xfId="10803"/>
    <cellStyle name="20% - Accent1 4 2 7" xfId="10804"/>
    <cellStyle name="20% - Accent1 4 2 7 2" xfId="10805"/>
    <cellStyle name="20% - Accent1 4 2 7 2 2" xfId="10806"/>
    <cellStyle name="20% - Accent1 4 2 7 2 3" xfId="10807"/>
    <cellStyle name="20% - Accent1 4 2 7 3" xfId="10808"/>
    <cellStyle name="20% - Accent1 4 2 7 3 2" xfId="10809"/>
    <cellStyle name="20% - Accent1 4 2 7 3 3" xfId="10810"/>
    <cellStyle name="20% - Accent1 4 2 7 4" xfId="10811"/>
    <cellStyle name="20% - Accent1 4 2 7 4 2" xfId="10812"/>
    <cellStyle name="20% - Accent1 4 2 7 5" xfId="10813"/>
    <cellStyle name="20% - Accent1 4 2 7 6" xfId="10814"/>
    <cellStyle name="20% - Accent1 4 2 8" xfId="10815"/>
    <cellStyle name="20% - Accent1 4 2 8 2" xfId="10816"/>
    <cellStyle name="20% - Accent1 4 2 8 2 2" xfId="10817"/>
    <cellStyle name="20% - Accent1 4 2 8 2 3" xfId="10818"/>
    <cellStyle name="20% - Accent1 4 2 8 3" xfId="10819"/>
    <cellStyle name="20% - Accent1 4 2 8 3 2" xfId="10820"/>
    <cellStyle name="20% - Accent1 4 2 8 3 3" xfId="10821"/>
    <cellStyle name="20% - Accent1 4 2 8 4" xfId="10822"/>
    <cellStyle name="20% - Accent1 4 2 8 4 2" xfId="10823"/>
    <cellStyle name="20% - Accent1 4 2 8 5" xfId="10824"/>
    <cellStyle name="20% - Accent1 4 2 8 6" xfId="10825"/>
    <cellStyle name="20% - Accent1 4 2 9" xfId="10826"/>
    <cellStyle name="20% - Accent1 4 2 9 2" xfId="10827"/>
    <cellStyle name="20% - Accent1 4 2 9 2 2" xfId="10828"/>
    <cellStyle name="20% - Accent1 4 2 9 2 3" xfId="10829"/>
    <cellStyle name="20% - Accent1 4 2 9 3" xfId="10830"/>
    <cellStyle name="20% - Accent1 4 2 9 3 2" xfId="10831"/>
    <cellStyle name="20% - Accent1 4 2 9 4" xfId="10832"/>
    <cellStyle name="20% - Accent1 4 2 9 5" xfId="10833"/>
    <cellStyle name="20% - Accent1 4 3" xfId="166"/>
    <cellStyle name="20% - Accent1 4 3 10" xfId="10834"/>
    <cellStyle name="20% - Accent1 4 3 10 2" xfId="10835"/>
    <cellStyle name="20% - Accent1 4 3 10 3" xfId="10836"/>
    <cellStyle name="20% - Accent1 4 3 11" xfId="10837"/>
    <cellStyle name="20% - Accent1 4 3 11 2" xfId="10838"/>
    <cellStyle name="20% - Accent1 4 3 12" xfId="10839"/>
    <cellStyle name="20% - Accent1 4 3 13" xfId="10840"/>
    <cellStyle name="20% - Accent1 4 3 14" xfId="10841"/>
    <cellStyle name="20% - Accent1 4 3 2" xfId="167"/>
    <cellStyle name="20% - Accent1 4 3 2 10" xfId="10842"/>
    <cellStyle name="20% - Accent1 4 3 2 10 2" xfId="10843"/>
    <cellStyle name="20% - Accent1 4 3 2 11" xfId="10844"/>
    <cellStyle name="20% - Accent1 4 3 2 12" xfId="10845"/>
    <cellStyle name="20% - Accent1 4 3 2 2" xfId="168"/>
    <cellStyle name="20% - Accent1 4 3 2 2 10" xfId="10846"/>
    <cellStyle name="20% - Accent1 4 3 2 2 2" xfId="169"/>
    <cellStyle name="20% - Accent1 4 3 2 2 2 2" xfId="10847"/>
    <cellStyle name="20% - Accent1 4 3 2 2 2 2 2" xfId="10848"/>
    <cellStyle name="20% - Accent1 4 3 2 2 2 2 2 2" xfId="10849"/>
    <cellStyle name="20% - Accent1 4 3 2 2 2 2 2 3" xfId="10850"/>
    <cellStyle name="20% - Accent1 4 3 2 2 2 2 3" xfId="10851"/>
    <cellStyle name="20% - Accent1 4 3 2 2 2 2 3 2" xfId="10852"/>
    <cellStyle name="20% - Accent1 4 3 2 2 2 2 3 3" xfId="10853"/>
    <cellStyle name="20% - Accent1 4 3 2 2 2 2 4" xfId="10854"/>
    <cellStyle name="20% - Accent1 4 3 2 2 2 2 4 2" xfId="10855"/>
    <cellStyle name="20% - Accent1 4 3 2 2 2 2 5" xfId="10856"/>
    <cellStyle name="20% - Accent1 4 3 2 2 2 2 6" xfId="10857"/>
    <cellStyle name="20% - Accent1 4 3 2 2 2 3" xfId="10858"/>
    <cellStyle name="20% - Accent1 4 3 2 2 2 3 2" xfId="10859"/>
    <cellStyle name="20% - Accent1 4 3 2 2 2 3 2 2" xfId="10860"/>
    <cellStyle name="20% - Accent1 4 3 2 2 2 3 2 3" xfId="10861"/>
    <cellStyle name="20% - Accent1 4 3 2 2 2 3 3" xfId="10862"/>
    <cellStyle name="20% - Accent1 4 3 2 2 2 3 3 2" xfId="10863"/>
    <cellStyle name="20% - Accent1 4 3 2 2 2 3 3 3" xfId="10864"/>
    <cellStyle name="20% - Accent1 4 3 2 2 2 3 4" xfId="10865"/>
    <cellStyle name="20% - Accent1 4 3 2 2 2 3 4 2" xfId="10866"/>
    <cellStyle name="20% - Accent1 4 3 2 2 2 3 5" xfId="10867"/>
    <cellStyle name="20% - Accent1 4 3 2 2 2 3 6" xfId="10868"/>
    <cellStyle name="20% - Accent1 4 3 2 2 2 4" xfId="10869"/>
    <cellStyle name="20% - Accent1 4 3 2 2 2 4 2" xfId="10870"/>
    <cellStyle name="20% - Accent1 4 3 2 2 2 4 2 2" xfId="10871"/>
    <cellStyle name="20% - Accent1 4 3 2 2 2 4 2 3" xfId="10872"/>
    <cellStyle name="20% - Accent1 4 3 2 2 2 4 3" xfId="10873"/>
    <cellStyle name="20% - Accent1 4 3 2 2 2 4 3 2" xfId="10874"/>
    <cellStyle name="20% - Accent1 4 3 2 2 2 4 4" xfId="10875"/>
    <cellStyle name="20% - Accent1 4 3 2 2 2 4 5" xfId="10876"/>
    <cellStyle name="20% - Accent1 4 3 2 2 2 5" xfId="10877"/>
    <cellStyle name="20% - Accent1 4 3 2 2 2 5 2" xfId="10878"/>
    <cellStyle name="20% - Accent1 4 3 2 2 2 5 3" xfId="10879"/>
    <cellStyle name="20% - Accent1 4 3 2 2 2 6" xfId="10880"/>
    <cellStyle name="20% - Accent1 4 3 2 2 2 6 2" xfId="10881"/>
    <cellStyle name="20% - Accent1 4 3 2 2 2 6 3" xfId="10882"/>
    <cellStyle name="20% - Accent1 4 3 2 2 2 7" xfId="10883"/>
    <cellStyle name="20% - Accent1 4 3 2 2 2 7 2" xfId="10884"/>
    <cellStyle name="20% - Accent1 4 3 2 2 2 8" xfId="10885"/>
    <cellStyle name="20% - Accent1 4 3 2 2 2 9" xfId="10886"/>
    <cellStyle name="20% - Accent1 4 3 2 2 3" xfId="10887"/>
    <cellStyle name="20% - Accent1 4 3 2 2 3 2" xfId="10888"/>
    <cellStyle name="20% - Accent1 4 3 2 2 3 2 2" xfId="10889"/>
    <cellStyle name="20% - Accent1 4 3 2 2 3 2 3" xfId="10890"/>
    <cellStyle name="20% - Accent1 4 3 2 2 3 3" xfId="10891"/>
    <cellStyle name="20% - Accent1 4 3 2 2 3 3 2" xfId="10892"/>
    <cellStyle name="20% - Accent1 4 3 2 2 3 3 3" xfId="10893"/>
    <cellStyle name="20% - Accent1 4 3 2 2 3 4" xfId="10894"/>
    <cellStyle name="20% - Accent1 4 3 2 2 3 4 2" xfId="10895"/>
    <cellStyle name="20% - Accent1 4 3 2 2 3 5" xfId="10896"/>
    <cellStyle name="20% - Accent1 4 3 2 2 3 6" xfId="10897"/>
    <cellStyle name="20% - Accent1 4 3 2 2 4" xfId="10898"/>
    <cellStyle name="20% - Accent1 4 3 2 2 4 2" xfId="10899"/>
    <cellStyle name="20% - Accent1 4 3 2 2 4 2 2" xfId="10900"/>
    <cellStyle name="20% - Accent1 4 3 2 2 4 2 3" xfId="10901"/>
    <cellStyle name="20% - Accent1 4 3 2 2 4 3" xfId="10902"/>
    <cellStyle name="20% - Accent1 4 3 2 2 4 3 2" xfId="10903"/>
    <cellStyle name="20% - Accent1 4 3 2 2 4 3 3" xfId="10904"/>
    <cellStyle name="20% - Accent1 4 3 2 2 4 4" xfId="10905"/>
    <cellStyle name="20% - Accent1 4 3 2 2 4 4 2" xfId="10906"/>
    <cellStyle name="20% - Accent1 4 3 2 2 4 5" xfId="10907"/>
    <cellStyle name="20% - Accent1 4 3 2 2 4 6" xfId="10908"/>
    <cellStyle name="20% - Accent1 4 3 2 2 5" xfId="10909"/>
    <cellStyle name="20% - Accent1 4 3 2 2 5 2" xfId="10910"/>
    <cellStyle name="20% - Accent1 4 3 2 2 5 2 2" xfId="10911"/>
    <cellStyle name="20% - Accent1 4 3 2 2 5 2 3" xfId="10912"/>
    <cellStyle name="20% - Accent1 4 3 2 2 5 3" xfId="10913"/>
    <cellStyle name="20% - Accent1 4 3 2 2 5 3 2" xfId="10914"/>
    <cellStyle name="20% - Accent1 4 3 2 2 5 4" xfId="10915"/>
    <cellStyle name="20% - Accent1 4 3 2 2 5 5" xfId="10916"/>
    <cellStyle name="20% - Accent1 4 3 2 2 6" xfId="10917"/>
    <cellStyle name="20% - Accent1 4 3 2 2 6 2" xfId="10918"/>
    <cellStyle name="20% - Accent1 4 3 2 2 6 3" xfId="10919"/>
    <cellStyle name="20% - Accent1 4 3 2 2 7" xfId="10920"/>
    <cellStyle name="20% - Accent1 4 3 2 2 7 2" xfId="10921"/>
    <cellStyle name="20% - Accent1 4 3 2 2 7 3" xfId="10922"/>
    <cellStyle name="20% - Accent1 4 3 2 2 8" xfId="10923"/>
    <cellStyle name="20% - Accent1 4 3 2 2 8 2" xfId="10924"/>
    <cellStyle name="20% - Accent1 4 3 2 2 9" xfId="10925"/>
    <cellStyle name="20% - Accent1 4 3 2 3" xfId="170"/>
    <cellStyle name="20% - Accent1 4 3 2 3 2" xfId="10926"/>
    <cellStyle name="20% - Accent1 4 3 2 3 2 2" xfId="10927"/>
    <cellStyle name="20% - Accent1 4 3 2 3 2 2 2" xfId="10928"/>
    <cellStyle name="20% - Accent1 4 3 2 3 2 2 3" xfId="10929"/>
    <cellStyle name="20% - Accent1 4 3 2 3 2 3" xfId="10930"/>
    <cellStyle name="20% - Accent1 4 3 2 3 2 3 2" xfId="10931"/>
    <cellStyle name="20% - Accent1 4 3 2 3 2 3 3" xfId="10932"/>
    <cellStyle name="20% - Accent1 4 3 2 3 2 4" xfId="10933"/>
    <cellStyle name="20% - Accent1 4 3 2 3 2 4 2" xfId="10934"/>
    <cellStyle name="20% - Accent1 4 3 2 3 2 5" xfId="10935"/>
    <cellStyle name="20% - Accent1 4 3 2 3 2 6" xfId="10936"/>
    <cellStyle name="20% - Accent1 4 3 2 3 3" xfId="10937"/>
    <cellStyle name="20% - Accent1 4 3 2 3 3 2" xfId="10938"/>
    <cellStyle name="20% - Accent1 4 3 2 3 3 2 2" xfId="10939"/>
    <cellStyle name="20% - Accent1 4 3 2 3 3 2 3" xfId="10940"/>
    <cellStyle name="20% - Accent1 4 3 2 3 3 3" xfId="10941"/>
    <cellStyle name="20% - Accent1 4 3 2 3 3 3 2" xfId="10942"/>
    <cellStyle name="20% - Accent1 4 3 2 3 3 3 3" xfId="10943"/>
    <cellStyle name="20% - Accent1 4 3 2 3 3 4" xfId="10944"/>
    <cellStyle name="20% - Accent1 4 3 2 3 3 4 2" xfId="10945"/>
    <cellStyle name="20% - Accent1 4 3 2 3 3 5" xfId="10946"/>
    <cellStyle name="20% - Accent1 4 3 2 3 3 6" xfId="10947"/>
    <cellStyle name="20% - Accent1 4 3 2 3 4" xfId="10948"/>
    <cellStyle name="20% - Accent1 4 3 2 3 4 2" xfId="10949"/>
    <cellStyle name="20% - Accent1 4 3 2 3 4 2 2" xfId="10950"/>
    <cellStyle name="20% - Accent1 4 3 2 3 4 2 3" xfId="10951"/>
    <cellStyle name="20% - Accent1 4 3 2 3 4 3" xfId="10952"/>
    <cellStyle name="20% - Accent1 4 3 2 3 4 3 2" xfId="10953"/>
    <cellStyle name="20% - Accent1 4 3 2 3 4 4" xfId="10954"/>
    <cellStyle name="20% - Accent1 4 3 2 3 4 5" xfId="10955"/>
    <cellStyle name="20% - Accent1 4 3 2 3 5" xfId="10956"/>
    <cellStyle name="20% - Accent1 4 3 2 3 5 2" xfId="10957"/>
    <cellStyle name="20% - Accent1 4 3 2 3 5 3" xfId="10958"/>
    <cellStyle name="20% - Accent1 4 3 2 3 6" xfId="10959"/>
    <cellStyle name="20% - Accent1 4 3 2 3 6 2" xfId="10960"/>
    <cellStyle name="20% - Accent1 4 3 2 3 6 3" xfId="10961"/>
    <cellStyle name="20% - Accent1 4 3 2 3 7" xfId="10962"/>
    <cellStyle name="20% - Accent1 4 3 2 3 7 2" xfId="10963"/>
    <cellStyle name="20% - Accent1 4 3 2 3 8" xfId="10964"/>
    <cellStyle name="20% - Accent1 4 3 2 3 9" xfId="10965"/>
    <cellStyle name="20% - Accent1 4 3 2 4" xfId="10966"/>
    <cellStyle name="20% - Accent1 4 3 2 4 2" xfId="10967"/>
    <cellStyle name="20% - Accent1 4 3 2 4 2 2" xfId="10968"/>
    <cellStyle name="20% - Accent1 4 3 2 4 2 2 2" xfId="10969"/>
    <cellStyle name="20% - Accent1 4 3 2 4 2 2 3" xfId="10970"/>
    <cellStyle name="20% - Accent1 4 3 2 4 2 3" xfId="10971"/>
    <cellStyle name="20% - Accent1 4 3 2 4 2 3 2" xfId="10972"/>
    <cellStyle name="20% - Accent1 4 3 2 4 2 3 3" xfId="10973"/>
    <cellStyle name="20% - Accent1 4 3 2 4 2 4" xfId="10974"/>
    <cellStyle name="20% - Accent1 4 3 2 4 2 4 2" xfId="10975"/>
    <cellStyle name="20% - Accent1 4 3 2 4 2 5" xfId="10976"/>
    <cellStyle name="20% - Accent1 4 3 2 4 2 6" xfId="10977"/>
    <cellStyle name="20% - Accent1 4 3 2 4 3" xfId="10978"/>
    <cellStyle name="20% - Accent1 4 3 2 4 3 2" xfId="10979"/>
    <cellStyle name="20% - Accent1 4 3 2 4 3 2 2" xfId="10980"/>
    <cellStyle name="20% - Accent1 4 3 2 4 3 2 3" xfId="10981"/>
    <cellStyle name="20% - Accent1 4 3 2 4 3 3" xfId="10982"/>
    <cellStyle name="20% - Accent1 4 3 2 4 3 3 2" xfId="10983"/>
    <cellStyle name="20% - Accent1 4 3 2 4 3 3 3" xfId="10984"/>
    <cellStyle name="20% - Accent1 4 3 2 4 3 4" xfId="10985"/>
    <cellStyle name="20% - Accent1 4 3 2 4 3 4 2" xfId="10986"/>
    <cellStyle name="20% - Accent1 4 3 2 4 3 5" xfId="10987"/>
    <cellStyle name="20% - Accent1 4 3 2 4 3 6" xfId="10988"/>
    <cellStyle name="20% - Accent1 4 3 2 4 4" xfId="10989"/>
    <cellStyle name="20% - Accent1 4 3 2 4 4 2" xfId="10990"/>
    <cellStyle name="20% - Accent1 4 3 2 4 4 2 2" xfId="10991"/>
    <cellStyle name="20% - Accent1 4 3 2 4 4 2 3" xfId="10992"/>
    <cellStyle name="20% - Accent1 4 3 2 4 4 3" xfId="10993"/>
    <cellStyle name="20% - Accent1 4 3 2 4 4 3 2" xfId="10994"/>
    <cellStyle name="20% - Accent1 4 3 2 4 4 4" xfId="10995"/>
    <cellStyle name="20% - Accent1 4 3 2 4 4 5" xfId="10996"/>
    <cellStyle name="20% - Accent1 4 3 2 4 5" xfId="10997"/>
    <cellStyle name="20% - Accent1 4 3 2 4 5 2" xfId="10998"/>
    <cellStyle name="20% - Accent1 4 3 2 4 5 3" xfId="10999"/>
    <cellStyle name="20% - Accent1 4 3 2 4 6" xfId="11000"/>
    <cellStyle name="20% - Accent1 4 3 2 4 6 2" xfId="11001"/>
    <cellStyle name="20% - Accent1 4 3 2 4 6 3" xfId="11002"/>
    <cellStyle name="20% - Accent1 4 3 2 4 7" xfId="11003"/>
    <cellStyle name="20% - Accent1 4 3 2 4 7 2" xfId="11004"/>
    <cellStyle name="20% - Accent1 4 3 2 4 8" xfId="11005"/>
    <cellStyle name="20% - Accent1 4 3 2 4 9" xfId="11006"/>
    <cellStyle name="20% - Accent1 4 3 2 5" xfId="11007"/>
    <cellStyle name="20% - Accent1 4 3 2 5 2" xfId="11008"/>
    <cellStyle name="20% - Accent1 4 3 2 5 2 2" xfId="11009"/>
    <cellStyle name="20% - Accent1 4 3 2 5 2 3" xfId="11010"/>
    <cellStyle name="20% - Accent1 4 3 2 5 3" xfId="11011"/>
    <cellStyle name="20% - Accent1 4 3 2 5 3 2" xfId="11012"/>
    <cellStyle name="20% - Accent1 4 3 2 5 3 3" xfId="11013"/>
    <cellStyle name="20% - Accent1 4 3 2 5 4" xfId="11014"/>
    <cellStyle name="20% - Accent1 4 3 2 5 4 2" xfId="11015"/>
    <cellStyle name="20% - Accent1 4 3 2 5 5" xfId="11016"/>
    <cellStyle name="20% - Accent1 4 3 2 5 6" xfId="11017"/>
    <cellStyle name="20% - Accent1 4 3 2 6" xfId="11018"/>
    <cellStyle name="20% - Accent1 4 3 2 6 2" xfId="11019"/>
    <cellStyle name="20% - Accent1 4 3 2 6 2 2" xfId="11020"/>
    <cellStyle name="20% - Accent1 4 3 2 6 2 3" xfId="11021"/>
    <cellStyle name="20% - Accent1 4 3 2 6 3" xfId="11022"/>
    <cellStyle name="20% - Accent1 4 3 2 6 3 2" xfId="11023"/>
    <cellStyle name="20% - Accent1 4 3 2 6 3 3" xfId="11024"/>
    <cellStyle name="20% - Accent1 4 3 2 6 4" xfId="11025"/>
    <cellStyle name="20% - Accent1 4 3 2 6 4 2" xfId="11026"/>
    <cellStyle name="20% - Accent1 4 3 2 6 5" xfId="11027"/>
    <cellStyle name="20% - Accent1 4 3 2 6 6" xfId="11028"/>
    <cellStyle name="20% - Accent1 4 3 2 7" xfId="11029"/>
    <cellStyle name="20% - Accent1 4 3 2 7 2" xfId="11030"/>
    <cellStyle name="20% - Accent1 4 3 2 7 2 2" xfId="11031"/>
    <cellStyle name="20% - Accent1 4 3 2 7 2 3" xfId="11032"/>
    <cellStyle name="20% - Accent1 4 3 2 7 3" xfId="11033"/>
    <cellStyle name="20% - Accent1 4 3 2 7 3 2" xfId="11034"/>
    <cellStyle name="20% - Accent1 4 3 2 7 4" xfId="11035"/>
    <cellStyle name="20% - Accent1 4 3 2 7 5" xfId="11036"/>
    <cellStyle name="20% - Accent1 4 3 2 8" xfId="11037"/>
    <cellStyle name="20% - Accent1 4 3 2 8 2" xfId="11038"/>
    <cellStyle name="20% - Accent1 4 3 2 8 3" xfId="11039"/>
    <cellStyle name="20% - Accent1 4 3 2 9" xfId="11040"/>
    <cellStyle name="20% - Accent1 4 3 2 9 2" xfId="11041"/>
    <cellStyle name="20% - Accent1 4 3 2 9 3" xfId="11042"/>
    <cellStyle name="20% - Accent1 4 3 3" xfId="171"/>
    <cellStyle name="20% - Accent1 4 3 3 10" xfId="11043"/>
    <cellStyle name="20% - Accent1 4 3 3 2" xfId="172"/>
    <cellStyle name="20% - Accent1 4 3 3 2 2" xfId="11044"/>
    <cellStyle name="20% - Accent1 4 3 3 2 2 2" xfId="11045"/>
    <cellStyle name="20% - Accent1 4 3 3 2 2 2 2" xfId="11046"/>
    <cellStyle name="20% - Accent1 4 3 3 2 2 2 3" xfId="11047"/>
    <cellStyle name="20% - Accent1 4 3 3 2 2 3" xfId="11048"/>
    <cellStyle name="20% - Accent1 4 3 3 2 2 3 2" xfId="11049"/>
    <cellStyle name="20% - Accent1 4 3 3 2 2 3 3" xfId="11050"/>
    <cellStyle name="20% - Accent1 4 3 3 2 2 4" xfId="11051"/>
    <cellStyle name="20% - Accent1 4 3 3 2 2 4 2" xfId="11052"/>
    <cellStyle name="20% - Accent1 4 3 3 2 2 5" xfId="11053"/>
    <cellStyle name="20% - Accent1 4 3 3 2 2 6" xfId="11054"/>
    <cellStyle name="20% - Accent1 4 3 3 2 3" xfId="11055"/>
    <cellStyle name="20% - Accent1 4 3 3 2 3 2" xfId="11056"/>
    <cellStyle name="20% - Accent1 4 3 3 2 3 2 2" xfId="11057"/>
    <cellStyle name="20% - Accent1 4 3 3 2 3 2 3" xfId="11058"/>
    <cellStyle name="20% - Accent1 4 3 3 2 3 3" xfId="11059"/>
    <cellStyle name="20% - Accent1 4 3 3 2 3 3 2" xfId="11060"/>
    <cellStyle name="20% - Accent1 4 3 3 2 3 3 3" xfId="11061"/>
    <cellStyle name="20% - Accent1 4 3 3 2 3 4" xfId="11062"/>
    <cellStyle name="20% - Accent1 4 3 3 2 3 4 2" xfId="11063"/>
    <cellStyle name="20% - Accent1 4 3 3 2 3 5" xfId="11064"/>
    <cellStyle name="20% - Accent1 4 3 3 2 3 6" xfId="11065"/>
    <cellStyle name="20% - Accent1 4 3 3 2 4" xfId="11066"/>
    <cellStyle name="20% - Accent1 4 3 3 2 4 2" xfId="11067"/>
    <cellStyle name="20% - Accent1 4 3 3 2 4 2 2" xfId="11068"/>
    <cellStyle name="20% - Accent1 4 3 3 2 4 2 3" xfId="11069"/>
    <cellStyle name="20% - Accent1 4 3 3 2 4 3" xfId="11070"/>
    <cellStyle name="20% - Accent1 4 3 3 2 4 3 2" xfId="11071"/>
    <cellStyle name="20% - Accent1 4 3 3 2 4 4" xfId="11072"/>
    <cellStyle name="20% - Accent1 4 3 3 2 4 5" xfId="11073"/>
    <cellStyle name="20% - Accent1 4 3 3 2 5" xfId="11074"/>
    <cellStyle name="20% - Accent1 4 3 3 2 5 2" xfId="11075"/>
    <cellStyle name="20% - Accent1 4 3 3 2 5 3" xfId="11076"/>
    <cellStyle name="20% - Accent1 4 3 3 2 6" xfId="11077"/>
    <cellStyle name="20% - Accent1 4 3 3 2 6 2" xfId="11078"/>
    <cellStyle name="20% - Accent1 4 3 3 2 6 3" xfId="11079"/>
    <cellStyle name="20% - Accent1 4 3 3 2 7" xfId="11080"/>
    <cellStyle name="20% - Accent1 4 3 3 2 7 2" xfId="11081"/>
    <cellStyle name="20% - Accent1 4 3 3 2 8" xfId="11082"/>
    <cellStyle name="20% - Accent1 4 3 3 2 9" xfId="11083"/>
    <cellStyle name="20% - Accent1 4 3 3 3" xfId="11084"/>
    <cellStyle name="20% - Accent1 4 3 3 3 2" xfId="11085"/>
    <cellStyle name="20% - Accent1 4 3 3 3 2 2" xfId="11086"/>
    <cellStyle name="20% - Accent1 4 3 3 3 2 3" xfId="11087"/>
    <cellStyle name="20% - Accent1 4 3 3 3 3" xfId="11088"/>
    <cellStyle name="20% - Accent1 4 3 3 3 3 2" xfId="11089"/>
    <cellStyle name="20% - Accent1 4 3 3 3 3 3" xfId="11090"/>
    <cellStyle name="20% - Accent1 4 3 3 3 4" xfId="11091"/>
    <cellStyle name="20% - Accent1 4 3 3 3 4 2" xfId="11092"/>
    <cellStyle name="20% - Accent1 4 3 3 3 5" xfId="11093"/>
    <cellStyle name="20% - Accent1 4 3 3 3 6" xfId="11094"/>
    <cellStyle name="20% - Accent1 4 3 3 4" xfId="11095"/>
    <cellStyle name="20% - Accent1 4 3 3 4 2" xfId="11096"/>
    <cellStyle name="20% - Accent1 4 3 3 4 2 2" xfId="11097"/>
    <cellStyle name="20% - Accent1 4 3 3 4 2 3" xfId="11098"/>
    <cellStyle name="20% - Accent1 4 3 3 4 3" xfId="11099"/>
    <cellStyle name="20% - Accent1 4 3 3 4 3 2" xfId="11100"/>
    <cellStyle name="20% - Accent1 4 3 3 4 3 3" xfId="11101"/>
    <cellStyle name="20% - Accent1 4 3 3 4 4" xfId="11102"/>
    <cellStyle name="20% - Accent1 4 3 3 4 4 2" xfId="11103"/>
    <cellStyle name="20% - Accent1 4 3 3 4 5" xfId="11104"/>
    <cellStyle name="20% - Accent1 4 3 3 4 6" xfId="11105"/>
    <cellStyle name="20% - Accent1 4 3 3 5" xfId="11106"/>
    <cellStyle name="20% - Accent1 4 3 3 5 2" xfId="11107"/>
    <cellStyle name="20% - Accent1 4 3 3 5 2 2" xfId="11108"/>
    <cellStyle name="20% - Accent1 4 3 3 5 2 3" xfId="11109"/>
    <cellStyle name="20% - Accent1 4 3 3 5 3" xfId="11110"/>
    <cellStyle name="20% - Accent1 4 3 3 5 3 2" xfId="11111"/>
    <cellStyle name="20% - Accent1 4 3 3 5 4" xfId="11112"/>
    <cellStyle name="20% - Accent1 4 3 3 5 5" xfId="11113"/>
    <cellStyle name="20% - Accent1 4 3 3 6" xfId="11114"/>
    <cellStyle name="20% - Accent1 4 3 3 6 2" xfId="11115"/>
    <cellStyle name="20% - Accent1 4 3 3 6 3" xfId="11116"/>
    <cellStyle name="20% - Accent1 4 3 3 7" xfId="11117"/>
    <cellStyle name="20% - Accent1 4 3 3 7 2" xfId="11118"/>
    <cellStyle name="20% - Accent1 4 3 3 7 3" xfId="11119"/>
    <cellStyle name="20% - Accent1 4 3 3 8" xfId="11120"/>
    <cellStyle name="20% - Accent1 4 3 3 8 2" xfId="11121"/>
    <cellStyle name="20% - Accent1 4 3 3 9" xfId="11122"/>
    <cellStyle name="20% - Accent1 4 3 4" xfId="173"/>
    <cellStyle name="20% - Accent1 4 3 4 2" xfId="11123"/>
    <cellStyle name="20% - Accent1 4 3 4 2 2" xfId="11124"/>
    <cellStyle name="20% - Accent1 4 3 4 2 2 2" xfId="11125"/>
    <cellStyle name="20% - Accent1 4 3 4 2 2 3" xfId="11126"/>
    <cellStyle name="20% - Accent1 4 3 4 2 3" xfId="11127"/>
    <cellStyle name="20% - Accent1 4 3 4 2 3 2" xfId="11128"/>
    <cellStyle name="20% - Accent1 4 3 4 2 3 3" xfId="11129"/>
    <cellStyle name="20% - Accent1 4 3 4 2 4" xfId="11130"/>
    <cellStyle name="20% - Accent1 4 3 4 2 4 2" xfId="11131"/>
    <cellStyle name="20% - Accent1 4 3 4 2 5" xfId="11132"/>
    <cellStyle name="20% - Accent1 4 3 4 2 6" xfId="11133"/>
    <cellStyle name="20% - Accent1 4 3 4 3" xfId="11134"/>
    <cellStyle name="20% - Accent1 4 3 4 3 2" xfId="11135"/>
    <cellStyle name="20% - Accent1 4 3 4 3 2 2" xfId="11136"/>
    <cellStyle name="20% - Accent1 4 3 4 3 2 3" xfId="11137"/>
    <cellStyle name="20% - Accent1 4 3 4 3 3" xfId="11138"/>
    <cellStyle name="20% - Accent1 4 3 4 3 3 2" xfId="11139"/>
    <cellStyle name="20% - Accent1 4 3 4 3 3 3" xfId="11140"/>
    <cellStyle name="20% - Accent1 4 3 4 3 4" xfId="11141"/>
    <cellStyle name="20% - Accent1 4 3 4 3 4 2" xfId="11142"/>
    <cellStyle name="20% - Accent1 4 3 4 3 5" xfId="11143"/>
    <cellStyle name="20% - Accent1 4 3 4 3 6" xfId="11144"/>
    <cellStyle name="20% - Accent1 4 3 4 4" xfId="11145"/>
    <cellStyle name="20% - Accent1 4 3 4 4 2" xfId="11146"/>
    <cellStyle name="20% - Accent1 4 3 4 4 2 2" xfId="11147"/>
    <cellStyle name="20% - Accent1 4 3 4 4 2 3" xfId="11148"/>
    <cellStyle name="20% - Accent1 4 3 4 4 3" xfId="11149"/>
    <cellStyle name="20% - Accent1 4 3 4 4 3 2" xfId="11150"/>
    <cellStyle name="20% - Accent1 4 3 4 4 4" xfId="11151"/>
    <cellStyle name="20% - Accent1 4 3 4 4 5" xfId="11152"/>
    <cellStyle name="20% - Accent1 4 3 4 5" xfId="11153"/>
    <cellStyle name="20% - Accent1 4 3 4 5 2" xfId="11154"/>
    <cellStyle name="20% - Accent1 4 3 4 5 3" xfId="11155"/>
    <cellStyle name="20% - Accent1 4 3 4 6" xfId="11156"/>
    <cellStyle name="20% - Accent1 4 3 4 6 2" xfId="11157"/>
    <cellStyle name="20% - Accent1 4 3 4 6 3" xfId="11158"/>
    <cellStyle name="20% - Accent1 4 3 4 7" xfId="11159"/>
    <cellStyle name="20% - Accent1 4 3 4 7 2" xfId="11160"/>
    <cellStyle name="20% - Accent1 4 3 4 8" xfId="11161"/>
    <cellStyle name="20% - Accent1 4 3 4 9" xfId="11162"/>
    <cellStyle name="20% - Accent1 4 3 5" xfId="11163"/>
    <cellStyle name="20% - Accent1 4 3 5 2" xfId="11164"/>
    <cellStyle name="20% - Accent1 4 3 5 2 2" xfId="11165"/>
    <cellStyle name="20% - Accent1 4 3 5 2 2 2" xfId="11166"/>
    <cellStyle name="20% - Accent1 4 3 5 2 2 3" xfId="11167"/>
    <cellStyle name="20% - Accent1 4 3 5 2 3" xfId="11168"/>
    <cellStyle name="20% - Accent1 4 3 5 2 3 2" xfId="11169"/>
    <cellStyle name="20% - Accent1 4 3 5 2 3 3" xfId="11170"/>
    <cellStyle name="20% - Accent1 4 3 5 2 4" xfId="11171"/>
    <cellStyle name="20% - Accent1 4 3 5 2 4 2" xfId="11172"/>
    <cellStyle name="20% - Accent1 4 3 5 2 5" xfId="11173"/>
    <cellStyle name="20% - Accent1 4 3 5 2 6" xfId="11174"/>
    <cellStyle name="20% - Accent1 4 3 5 3" xfId="11175"/>
    <cellStyle name="20% - Accent1 4 3 5 3 2" xfId="11176"/>
    <cellStyle name="20% - Accent1 4 3 5 3 2 2" xfId="11177"/>
    <cellStyle name="20% - Accent1 4 3 5 3 2 3" xfId="11178"/>
    <cellStyle name="20% - Accent1 4 3 5 3 3" xfId="11179"/>
    <cellStyle name="20% - Accent1 4 3 5 3 3 2" xfId="11180"/>
    <cellStyle name="20% - Accent1 4 3 5 3 3 3" xfId="11181"/>
    <cellStyle name="20% - Accent1 4 3 5 3 4" xfId="11182"/>
    <cellStyle name="20% - Accent1 4 3 5 3 4 2" xfId="11183"/>
    <cellStyle name="20% - Accent1 4 3 5 3 5" xfId="11184"/>
    <cellStyle name="20% - Accent1 4 3 5 3 6" xfId="11185"/>
    <cellStyle name="20% - Accent1 4 3 5 4" xfId="11186"/>
    <cellStyle name="20% - Accent1 4 3 5 4 2" xfId="11187"/>
    <cellStyle name="20% - Accent1 4 3 5 4 2 2" xfId="11188"/>
    <cellStyle name="20% - Accent1 4 3 5 4 2 3" xfId="11189"/>
    <cellStyle name="20% - Accent1 4 3 5 4 3" xfId="11190"/>
    <cellStyle name="20% - Accent1 4 3 5 4 3 2" xfId="11191"/>
    <cellStyle name="20% - Accent1 4 3 5 4 4" xfId="11192"/>
    <cellStyle name="20% - Accent1 4 3 5 4 5" xfId="11193"/>
    <cellStyle name="20% - Accent1 4 3 5 5" xfId="11194"/>
    <cellStyle name="20% - Accent1 4 3 5 5 2" xfId="11195"/>
    <cellStyle name="20% - Accent1 4 3 5 5 3" xfId="11196"/>
    <cellStyle name="20% - Accent1 4 3 5 6" xfId="11197"/>
    <cellStyle name="20% - Accent1 4 3 5 6 2" xfId="11198"/>
    <cellStyle name="20% - Accent1 4 3 5 6 3" xfId="11199"/>
    <cellStyle name="20% - Accent1 4 3 5 7" xfId="11200"/>
    <cellStyle name="20% - Accent1 4 3 5 7 2" xfId="11201"/>
    <cellStyle name="20% - Accent1 4 3 5 8" xfId="11202"/>
    <cellStyle name="20% - Accent1 4 3 5 9" xfId="11203"/>
    <cellStyle name="20% - Accent1 4 3 6" xfId="11204"/>
    <cellStyle name="20% - Accent1 4 3 6 2" xfId="11205"/>
    <cellStyle name="20% - Accent1 4 3 6 2 2" xfId="11206"/>
    <cellStyle name="20% - Accent1 4 3 6 2 3" xfId="11207"/>
    <cellStyle name="20% - Accent1 4 3 6 3" xfId="11208"/>
    <cellStyle name="20% - Accent1 4 3 6 3 2" xfId="11209"/>
    <cellStyle name="20% - Accent1 4 3 6 3 3" xfId="11210"/>
    <cellStyle name="20% - Accent1 4 3 6 4" xfId="11211"/>
    <cellStyle name="20% - Accent1 4 3 6 4 2" xfId="11212"/>
    <cellStyle name="20% - Accent1 4 3 6 5" xfId="11213"/>
    <cellStyle name="20% - Accent1 4 3 6 6" xfId="11214"/>
    <cellStyle name="20% - Accent1 4 3 7" xfId="11215"/>
    <cellStyle name="20% - Accent1 4 3 7 2" xfId="11216"/>
    <cellStyle name="20% - Accent1 4 3 7 2 2" xfId="11217"/>
    <cellStyle name="20% - Accent1 4 3 7 2 3" xfId="11218"/>
    <cellStyle name="20% - Accent1 4 3 7 3" xfId="11219"/>
    <cellStyle name="20% - Accent1 4 3 7 3 2" xfId="11220"/>
    <cellStyle name="20% - Accent1 4 3 7 3 3" xfId="11221"/>
    <cellStyle name="20% - Accent1 4 3 7 4" xfId="11222"/>
    <cellStyle name="20% - Accent1 4 3 7 4 2" xfId="11223"/>
    <cellStyle name="20% - Accent1 4 3 7 5" xfId="11224"/>
    <cellStyle name="20% - Accent1 4 3 7 6" xfId="11225"/>
    <cellStyle name="20% - Accent1 4 3 8" xfId="11226"/>
    <cellStyle name="20% - Accent1 4 3 8 2" xfId="11227"/>
    <cellStyle name="20% - Accent1 4 3 8 2 2" xfId="11228"/>
    <cellStyle name="20% - Accent1 4 3 8 2 3" xfId="11229"/>
    <cellStyle name="20% - Accent1 4 3 8 3" xfId="11230"/>
    <cellStyle name="20% - Accent1 4 3 8 3 2" xfId="11231"/>
    <cellStyle name="20% - Accent1 4 3 8 4" xfId="11232"/>
    <cellStyle name="20% - Accent1 4 3 8 5" xfId="11233"/>
    <cellStyle name="20% - Accent1 4 3 9" xfId="11234"/>
    <cellStyle name="20% - Accent1 4 3 9 2" xfId="11235"/>
    <cellStyle name="20% - Accent1 4 3 9 3" xfId="11236"/>
    <cellStyle name="20% - Accent1 4 4" xfId="174"/>
    <cellStyle name="20% - Accent1 4 4 10" xfId="11237"/>
    <cellStyle name="20% - Accent1 4 4 10 2" xfId="11238"/>
    <cellStyle name="20% - Accent1 4 4 11" xfId="11239"/>
    <cellStyle name="20% - Accent1 4 4 12" xfId="11240"/>
    <cellStyle name="20% - Accent1 4 4 2" xfId="175"/>
    <cellStyle name="20% - Accent1 4 4 2 10" xfId="11241"/>
    <cellStyle name="20% - Accent1 4 4 2 2" xfId="176"/>
    <cellStyle name="20% - Accent1 4 4 2 2 2" xfId="11242"/>
    <cellStyle name="20% - Accent1 4 4 2 2 2 2" xfId="11243"/>
    <cellStyle name="20% - Accent1 4 4 2 2 2 2 2" xfId="11244"/>
    <cellStyle name="20% - Accent1 4 4 2 2 2 2 3" xfId="11245"/>
    <cellStyle name="20% - Accent1 4 4 2 2 2 3" xfId="11246"/>
    <cellStyle name="20% - Accent1 4 4 2 2 2 3 2" xfId="11247"/>
    <cellStyle name="20% - Accent1 4 4 2 2 2 3 3" xfId="11248"/>
    <cellStyle name="20% - Accent1 4 4 2 2 2 4" xfId="11249"/>
    <cellStyle name="20% - Accent1 4 4 2 2 2 4 2" xfId="11250"/>
    <cellStyle name="20% - Accent1 4 4 2 2 2 5" xfId="11251"/>
    <cellStyle name="20% - Accent1 4 4 2 2 2 6" xfId="11252"/>
    <cellStyle name="20% - Accent1 4 4 2 2 3" xfId="11253"/>
    <cellStyle name="20% - Accent1 4 4 2 2 3 2" xfId="11254"/>
    <cellStyle name="20% - Accent1 4 4 2 2 3 2 2" xfId="11255"/>
    <cellStyle name="20% - Accent1 4 4 2 2 3 2 3" xfId="11256"/>
    <cellStyle name="20% - Accent1 4 4 2 2 3 3" xfId="11257"/>
    <cellStyle name="20% - Accent1 4 4 2 2 3 3 2" xfId="11258"/>
    <cellStyle name="20% - Accent1 4 4 2 2 3 3 3" xfId="11259"/>
    <cellStyle name="20% - Accent1 4 4 2 2 3 4" xfId="11260"/>
    <cellStyle name="20% - Accent1 4 4 2 2 3 4 2" xfId="11261"/>
    <cellStyle name="20% - Accent1 4 4 2 2 3 5" xfId="11262"/>
    <cellStyle name="20% - Accent1 4 4 2 2 3 6" xfId="11263"/>
    <cellStyle name="20% - Accent1 4 4 2 2 4" xfId="11264"/>
    <cellStyle name="20% - Accent1 4 4 2 2 4 2" xfId="11265"/>
    <cellStyle name="20% - Accent1 4 4 2 2 4 2 2" xfId="11266"/>
    <cellStyle name="20% - Accent1 4 4 2 2 4 2 3" xfId="11267"/>
    <cellStyle name="20% - Accent1 4 4 2 2 4 3" xfId="11268"/>
    <cellStyle name="20% - Accent1 4 4 2 2 4 3 2" xfId="11269"/>
    <cellStyle name="20% - Accent1 4 4 2 2 4 4" xfId="11270"/>
    <cellStyle name="20% - Accent1 4 4 2 2 4 5" xfId="11271"/>
    <cellStyle name="20% - Accent1 4 4 2 2 5" xfId="11272"/>
    <cellStyle name="20% - Accent1 4 4 2 2 5 2" xfId="11273"/>
    <cellStyle name="20% - Accent1 4 4 2 2 5 3" xfId="11274"/>
    <cellStyle name="20% - Accent1 4 4 2 2 6" xfId="11275"/>
    <cellStyle name="20% - Accent1 4 4 2 2 6 2" xfId="11276"/>
    <cellStyle name="20% - Accent1 4 4 2 2 6 3" xfId="11277"/>
    <cellStyle name="20% - Accent1 4 4 2 2 7" xfId="11278"/>
    <cellStyle name="20% - Accent1 4 4 2 2 7 2" xfId="11279"/>
    <cellStyle name="20% - Accent1 4 4 2 2 8" xfId="11280"/>
    <cellStyle name="20% - Accent1 4 4 2 2 9" xfId="11281"/>
    <cellStyle name="20% - Accent1 4 4 2 3" xfId="11282"/>
    <cellStyle name="20% - Accent1 4 4 2 3 2" xfId="11283"/>
    <cellStyle name="20% - Accent1 4 4 2 3 2 2" xfId="11284"/>
    <cellStyle name="20% - Accent1 4 4 2 3 2 3" xfId="11285"/>
    <cellStyle name="20% - Accent1 4 4 2 3 3" xfId="11286"/>
    <cellStyle name="20% - Accent1 4 4 2 3 3 2" xfId="11287"/>
    <cellStyle name="20% - Accent1 4 4 2 3 3 3" xfId="11288"/>
    <cellStyle name="20% - Accent1 4 4 2 3 4" xfId="11289"/>
    <cellStyle name="20% - Accent1 4 4 2 3 4 2" xfId="11290"/>
    <cellStyle name="20% - Accent1 4 4 2 3 5" xfId="11291"/>
    <cellStyle name="20% - Accent1 4 4 2 3 6" xfId="11292"/>
    <cellStyle name="20% - Accent1 4 4 2 4" xfId="11293"/>
    <cellStyle name="20% - Accent1 4 4 2 4 2" xfId="11294"/>
    <cellStyle name="20% - Accent1 4 4 2 4 2 2" xfId="11295"/>
    <cellStyle name="20% - Accent1 4 4 2 4 2 3" xfId="11296"/>
    <cellStyle name="20% - Accent1 4 4 2 4 3" xfId="11297"/>
    <cellStyle name="20% - Accent1 4 4 2 4 3 2" xfId="11298"/>
    <cellStyle name="20% - Accent1 4 4 2 4 3 3" xfId="11299"/>
    <cellStyle name="20% - Accent1 4 4 2 4 4" xfId="11300"/>
    <cellStyle name="20% - Accent1 4 4 2 4 4 2" xfId="11301"/>
    <cellStyle name="20% - Accent1 4 4 2 4 5" xfId="11302"/>
    <cellStyle name="20% - Accent1 4 4 2 4 6" xfId="11303"/>
    <cellStyle name="20% - Accent1 4 4 2 5" xfId="11304"/>
    <cellStyle name="20% - Accent1 4 4 2 5 2" xfId="11305"/>
    <cellStyle name="20% - Accent1 4 4 2 5 2 2" xfId="11306"/>
    <cellStyle name="20% - Accent1 4 4 2 5 2 3" xfId="11307"/>
    <cellStyle name="20% - Accent1 4 4 2 5 3" xfId="11308"/>
    <cellStyle name="20% - Accent1 4 4 2 5 3 2" xfId="11309"/>
    <cellStyle name="20% - Accent1 4 4 2 5 4" xfId="11310"/>
    <cellStyle name="20% - Accent1 4 4 2 5 5" xfId="11311"/>
    <cellStyle name="20% - Accent1 4 4 2 6" xfId="11312"/>
    <cellStyle name="20% - Accent1 4 4 2 6 2" xfId="11313"/>
    <cellStyle name="20% - Accent1 4 4 2 6 3" xfId="11314"/>
    <cellStyle name="20% - Accent1 4 4 2 7" xfId="11315"/>
    <cellStyle name="20% - Accent1 4 4 2 7 2" xfId="11316"/>
    <cellStyle name="20% - Accent1 4 4 2 7 3" xfId="11317"/>
    <cellStyle name="20% - Accent1 4 4 2 8" xfId="11318"/>
    <cellStyle name="20% - Accent1 4 4 2 8 2" xfId="11319"/>
    <cellStyle name="20% - Accent1 4 4 2 9" xfId="11320"/>
    <cellStyle name="20% - Accent1 4 4 3" xfId="177"/>
    <cellStyle name="20% - Accent1 4 4 3 2" xfId="11321"/>
    <cellStyle name="20% - Accent1 4 4 3 2 2" xfId="11322"/>
    <cellStyle name="20% - Accent1 4 4 3 2 2 2" xfId="11323"/>
    <cellStyle name="20% - Accent1 4 4 3 2 2 3" xfId="11324"/>
    <cellStyle name="20% - Accent1 4 4 3 2 3" xfId="11325"/>
    <cellStyle name="20% - Accent1 4 4 3 2 3 2" xfId="11326"/>
    <cellStyle name="20% - Accent1 4 4 3 2 3 3" xfId="11327"/>
    <cellStyle name="20% - Accent1 4 4 3 2 4" xfId="11328"/>
    <cellStyle name="20% - Accent1 4 4 3 2 4 2" xfId="11329"/>
    <cellStyle name="20% - Accent1 4 4 3 2 5" xfId="11330"/>
    <cellStyle name="20% - Accent1 4 4 3 2 6" xfId="11331"/>
    <cellStyle name="20% - Accent1 4 4 3 3" xfId="11332"/>
    <cellStyle name="20% - Accent1 4 4 3 3 2" xfId="11333"/>
    <cellStyle name="20% - Accent1 4 4 3 3 2 2" xfId="11334"/>
    <cellStyle name="20% - Accent1 4 4 3 3 2 3" xfId="11335"/>
    <cellStyle name="20% - Accent1 4 4 3 3 3" xfId="11336"/>
    <cellStyle name="20% - Accent1 4 4 3 3 3 2" xfId="11337"/>
    <cellStyle name="20% - Accent1 4 4 3 3 3 3" xfId="11338"/>
    <cellStyle name="20% - Accent1 4 4 3 3 4" xfId="11339"/>
    <cellStyle name="20% - Accent1 4 4 3 3 4 2" xfId="11340"/>
    <cellStyle name="20% - Accent1 4 4 3 3 5" xfId="11341"/>
    <cellStyle name="20% - Accent1 4 4 3 3 6" xfId="11342"/>
    <cellStyle name="20% - Accent1 4 4 3 4" xfId="11343"/>
    <cellStyle name="20% - Accent1 4 4 3 4 2" xfId="11344"/>
    <cellStyle name="20% - Accent1 4 4 3 4 2 2" xfId="11345"/>
    <cellStyle name="20% - Accent1 4 4 3 4 2 3" xfId="11346"/>
    <cellStyle name="20% - Accent1 4 4 3 4 3" xfId="11347"/>
    <cellStyle name="20% - Accent1 4 4 3 4 3 2" xfId="11348"/>
    <cellStyle name="20% - Accent1 4 4 3 4 4" xfId="11349"/>
    <cellStyle name="20% - Accent1 4 4 3 4 5" xfId="11350"/>
    <cellStyle name="20% - Accent1 4 4 3 5" xfId="11351"/>
    <cellStyle name="20% - Accent1 4 4 3 5 2" xfId="11352"/>
    <cellStyle name="20% - Accent1 4 4 3 5 3" xfId="11353"/>
    <cellStyle name="20% - Accent1 4 4 3 6" xfId="11354"/>
    <cellStyle name="20% - Accent1 4 4 3 6 2" xfId="11355"/>
    <cellStyle name="20% - Accent1 4 4 3 6 3" xfId="11356"/>
    <cellStyle name="20% - Accent1 4 4 3 7" xfId="11357"/>
    <cellStyle name="20% - Accent1 4 4 3 7 2" xfId="11358"/>
    <cellStyle name="20% - Accent1 4 4 3 8" xfId="11359"/>
    <cellStyle name="20% - Accent1 4 4 3 9" xfId="11360"/>
    <cellStyle name="20% - Accent1 4 4 4" xfId="11361"/>
    <cellStyle name="20% - Accent1 4 4 4 2" xfId="11362"/>
    <cellStyle name="20% - Accent1 4 4 4 2 2" xfId="11363"/>
    <cellStyle name="20% - Accent1 4 4 4 2 2 2" xfId="11364"/>
    <cellStyle name="20% - Accent1 4 4 4 2 2 3" xfId="11365"/>
    <cellStyle name="20% - Accent1 4 4 4 2 3" xfId="11366"/>
    <cellStyle name="20% - Accent1 4 4 4 2 3 2" xfId="11367"/>
    <cellStyle name="20% - Accent1 4 4 4 2 3 3" xfId="11368"/>
    <cellStyle name="20% - Accent1 4 4 4 2 4" xfId="11369"/>
    <cellStyle name="20% - Accent1 4 4 4 2 4 2" xfId="11370"/>
    <cellStyle name="20% - Accent1 4 4 4 2 5" xfId="11371"/>
    <cellStyle name="20% - Accent1 4 4 4 2 6" xfId="11372"/>
    <cellStyle name="20% - Accent1 4 4 4 3" xfId="11373"/>
    <cellStyle name="20% - Accent1 4 4 4 3 2" xfId="11374"/>
    <cellStyle name="20% - Accent1 4 4 4 3 2 2" xfId="11375"/>
    <cellStyle name="20% - Accent1 4 4 4 3 2 3" xfId="11376"/>
    <cellStyle name="20% - Accent1 4 4 4 3 3" xfId="11377"/>
    <cellStyle name="20% - Accent1 4 4 4 3 3 2" xfId="11378"/>
    <cellStyle name="20% - Accent1 4 4 4 3 3 3" xfId="11379"/>
    <cellStyle name="20% - Accent1 4 4 4 3 4" xfId="11380"/>
    <cellStyle name="20% - Accent1 4 4 4 3 4 2" xfId="11381"/>
    <cellStyle name="20% - Accent1 4 4 4 3 5" xfId="11382"/>
    <cellStyle name="20% - Accent1 4 4 4 3 6" xfId="11383"/>
    <cellStyle name="20% - Accent1 4 4 4 4" xfId="11384"/>
    <cellStyle name="20% - Accent1 4 4 4 4 2" xfId="11385"/>
    <cellStyle name="20% - Accent1 4 4 4 4 2 2" xfId="11386"/>
    <cellStyle name="20% - Accent1 4 4 4 4 2 3" xfId="11387"/>
    <cellStyle name="20% - Accent1 4 4 4 4 3" xfId="11388"/>
    <cellStyle name="20% - Accent1 4 4 4 4 3 2" xfId="11389"/>
    <cellStyle name="20% - Accent1 4 4 4 4 4" xfId="11390"/>
    <cellStyle name="20% - Accent1 4 4 4 4 5" xfId="11391"/>
    <cellStyle name="20% - Accent1 4 4 4 5" xfId="11392"/>
    <cellStyle name="20% - Accent1 4 4 4 5 2" xfId="11393"/>
    <cellStyle name="20% - Accent1 4 4 4 5 3" xfId="11394"/>
    <cellStyle name="20% - Accent1 4 4 4 6" xfId="11395"/>
    <cellStyle name="20% - Accent1 4 4 4 6 2" xfId="11396"/>
    <cellStyle name="20% - Accent1 4 4 4 6 3" xfId="11397"/>
    <cellStyle name="20% - Accent1 4 4 4 7" xfId="11398"/>
    <cellStyle name="20% - Accent1 4 4 4 7 2" xfId="11399"/>
    <cellStyle name="20% - Accent1 4 4 4 8" xfId="11400"/>
    <cellStyle name="20% - Accent1 4 4 4 9" xfId="11401"/>
    <cellStyle name="20% - Accent1 4 4 5" xfId="11402"/>
    <cellStyle name="20% - Accent1 4 4 5 2" xfId="11403"/>
    <cellStyle name="20% - Accent1 4 4 5 2 2" xfId="11404"/>
    <cellStyle name="20% - Accent1 4 4 5 2 3" xfId="11405"/>
    <cellStyle name="20% - Accent1 4 4 5 3" xfId="11406"/>
    <cellStyle name="20% - Accent1 4 4 5 3 2" xfId="11407"/>
    <cellStyle name="20% - Accent1 4 4 5 3 3" xfId="11408"/>
    <cellStyle name="20% - Accent1 4 4 5 4" xfId="11409"/>
    <cellStyle name="20% - Accent1 4 4 5 4 2" xfId="11410"/>
    <cellStyle name="20% - Accent1 4 4 5 5" xfId="11411"/>
    <cellStyle name="20% - Accent1 4 4 5 6" xfId="11412"/>
    <cellStyle name="20% - Accent1 4 4 6" xfId="11413"/>
    <cellStyle name="20% - Accent1 4 4 6 2" xfId="11414"/>
    <cellStyle name="20% - Accent1 4 4 6 2 2" xfId="11415"/>
    <cellStyle name="20% - Accent1 4 4 6 2 3" xfId="11416"/>
    <cellStyle name="20% - Accent1 4 4 6 3" xfId="11417"/>
    <cellStyle name="20% - Accent1 4 4 6 3 2" xfId="11418"/>
    <cellStyle name="20% - Accent1 4 4 6 3 3" xfId="11419"/>
    <cellStyle name="20% - Accent1 4 4 6 4" xfId="11420"/>
    <cellStyle name="20% - Accent1 4 4 6 4 2" xfId="11421"/>
    <cellStyle name="20% - Accent1 4 4 6 5" xfId="11422"/>
    <cellStyle name="20% - Accent1 4 4 6 6" xfId="11423"/>
    <cellStyle name="20% - Accent1 4 4 7" xfId="11424"/>
    <cellStyle name="20% - Accent1 4 4 7 2" xfId="11425"/>
    <cellStyle name="20% - Accent1 4 4 7 2 2" xfId="11426"/>
    <cellStyle name="20% - Accent1 4 4 7 2 3" xfId="11427"/>
    <cellStyle name="20% - Accent1 4 4 7 3" xfId="11428"/>
    <cellStyle name="20% - Accent1 4 4 7 3 2" xfId="11429"/>
    <cellStyle name="20% - Accent1 4 4 7 4" xfId="11430"/>
    <cellStyle name="20% - Accent1 4 4 7 5" xfId="11431"/>
    <cellStyle name="20% - Accent1 4 4 8" xfId="11432"/>
    <cellStyle name="20% - Accent1 4 4 8 2" xfId="11433"/>
    <cellStyle name="20% - Accent1 4 4 8 3" xfId="11434"/>
    <cellStyle name="20% - Accent1 4 4 9" xfId="11435"/>
    <cellStyle name="20% - Accent1 4 4 9 2" xfId="11436"/>
    <cellStyle name="20% - Accent1 4 4 9 3" xfId="11437"/>
    <cellStyle name="20% - Accent1 4 5" xfId="178"/>
    <cellStyle name="20% - Accent1 4 5 10" xfId="11438"/>
    <cellStyle name="20% - Accent1 4 5 2" xfId="179"/>
    <cellStyle name="20% - Accent1 4 5 2 2" xfId="11439"/>
    <cellStyle name="20% - Accent1 4 5 2 2 2" xfId="11440"/>
    <cellStyle name="20% - Accent1 4 5 2 2 2 2" xfId="11441"/>
    <cellStyle name="20% - Accent1 4 5 2 2 2 3" xfId="11442"/>
    <cellStyle name="20% - Accent1 4 5 2 2 3" xfId="11443"/>
    <cellStyle name="20% - Accent1 4 5 2 2 3 2" xfId="11444"/>
    <cellStyle name="20% - Accent1 4 5 2 2 3 3" xfId="11445"/>
    <cellStyle name="20% - Accent1 4 5 2 2 4" xfId="11446"/>
    <cellStyle name="20% - Accent1 4 5 2 2 4 2" xfId="11447"/>
    <cellStyle name="20% - Accent1 4 5 2 2 5" xfId="11448"/>
    <cellStyle name="20% - Accent1 4 5 2 2 6" xfId="11449"/>
    <cellStyle name="20% - Accent1 4 5 2 3" xfId="11450"/>
    <cellStyle name="20% - Accent1 4 5 2 3 2" xfId="11451"/>
    <cellStyle name="20% - Accent1 4 5 2 3 2 2" xfId="11452"/>
    <cellStyle name="20% - Accent1 4 5 2 3 2 3" xfId="11453"/>
    <cellStyle name="20% - Accent1 4 5 2 3 3" xfId="11454"/>
    <cellStyle name="20% - Accent1 4 5 2 3 3 2" xfId="11455"/>
    <cellStyle name="20% - Accent1 4 5 2 3 3 3" xfId="11456"/>
    <cellStyle name="20% - Accent1 4 5 2 3 4" xfId="11457"/>
    <cellStyle name="20% - Accent1 4 5 2 3 4 2" xfId="11458"/>
    <cellStyle name="20% - Accent1 4 5 2 3 5" xfId="11459"/>
    <cellStyle name="20% - Accent1 4 5 2 3 6" xfId="11460"/>
    <cellStyle name="20% - Accent1 4 5 2 4" xfId="11461"/>
    <cellStyle name="20% - Accent1 4 5 2 4 2" xfId="11462"/>
    <cellStyle name="20% - Accent1 4 5 2 4 2 2" xfId="11463"/>
    <cellStyle name="20% - Accent1 4 5 2 4 2 3" xfId="11464"/>
    <cellStyle name="20% - Accent1 4 5 2 4 3" xfId="11465"/>
    <cellStyle name="20% - Accent1 4 5 2 4 3 2" xfId="11466"/>
    <cellStyle name="20% - Accent1 4 5 2 4 4" xfId="11467"/>
    <cellStyle name="20% - Accent1 4 5 2 4 5" xfId="11468"/>
    <cellStyle name="20% - Accent1 4 5 2 5" xfId="11469"/>
    <cellStyle name="20% - Accent1 4 5 2 5 2" xfId="11470"/>
    <cellStyle name="20% - Accent1 4 5 2 5 3" xfId="11471"/>
    <cellStyle name="20% - Accent1 4 5 2 6" xfId="11472"/>
    <cellStyle name="20% - Accent1 4 5 2 6 2" xfId="11473"/>
    <cellStyle name="20% - Accent1 4 5 2 6 3" xfId="11474"/>
    <cellStyle name="20% - Accent1 4 5 2 7" xfId="11475"/>
    <cellStyle name="20% - Accent1 4 5 2 7 2" xfId="11476"/>
    <cellStyle name="20% - Accent1 4 5 2 8" xfId="11477"/>
    <cellStyle name="20% - Accent1 4 5 2 9" xfId="11478"/>
    <cellStyle name="20% - Accent1 4 5 3" xfId="11479"/>
    <cellStyle name="20% - Accent1 4 5 3 2" xfId="11480"/>
    <cellStyle name="20% - Accent1 4 5 3 2 2" xfId="11481"/>
    <cellStyle name="20% - Accent1 4 5 3 2 3" xfId="11482"/>
    <cellStyle name="20% - Accent1 4 5 3 3" xfId="11483"/>
    <cellStyle name="20% - Accent1 4 5 3 3 2" xfId="11484"/>
    <cellStyle name="20% - Accent1 4 5 3 3 3" xfId="11485"/>
    <cellStyle name="20% - Accent1 4 5 3 4" xfId="11486"/>
    <cellStyle name="20% - Accent1 4 5 3 4 2" xfId="11487"/>
    <cellStyle name="20% - Accent1 4 5 3 5" xfId="11488"/>
    <cellStyle name="20% - Accent1 4 5 3 6" xfId="11489"/>
    <cellStyle name="20% - Accent1 4 5 4" xfId="11490"/>
    <cellStyle name="20% - Accent1 4 5 4 2" xfId="11491"/>
    <cellStyle name="20% - Accent1 4 5 4 2 2" xfId="11492"/>
    <cellStyle name="20% - Accent1 4 5 4 2 3" xfId="11493"/>
    <cellStyle name="20% - Accent1 4 5 4 3" xfId="11494"/>
    <cellStyle name="20% - Accent1 4 5 4 3 2" xfId="11495"/>
    <cellStyle name="20% - Accent1 4 5 4 3 3" xfId="11496"/>
    <cellStyle name="20% - Accent1 4 5 4 4" xfId="11497"/>
    <cellStyle name="20% - Accent1 4 5 4 4 2" xfId="11498"/>
    <cellStyle name="20% - Accent1 4 5 4 5" xfId="11499"/>
    <cellStyle name="20% - Accent1 4 5 4 6" xfId="11500"/>
    <cellStyle name="20% - Accent1 4 5 5" xfId="11501"/>
    <cellStyle name="20% - Accent1 4 5 5 2" xfId="11502"/>
    <cellStyle name="20% - Accent1 4 5 5 2 2" xfId="11503"/>
    <cellStyle name="20% - Accent1 4 5 5 2 3" xfId="11504"/>
    <cellStyle name="20% - Accent1 4 5 5 3" xfId="11505"/>
    <cellStyle name="20% - Accent1 4 5 5 3 2" xfId="11506"/>
    <cellStyle name="20% - Accent1 4 5 5 4" xfId="11507"/>
    <cellStyle name="20% - Accent1 4 5 5 5" xfId="11508"/>
    <cellStyle name="20% - Accent1 4 5 6" xfId="11509"/>
    <cellStyle name="20% - Accent1 4 5 6 2" xfId="11510"/>
    <cellStyle name="20% - Accent1 4 5 6 3" xfId="11511"/>
    <cellStyle name="20% - Accent1 4 5 7" xfId="11512"/>
    <cellStyle name="20% - Accent1 4 5 7 2" xfId="11513"/>
    <cellStyle name="20% - Accent1 4 5 7 3" xfId="11514"/>
    <cellStyle name="20% - Accent1 4 5 8" xfId="11515"/>
    <cellStyle name="20% - Accent1 4 5 8 2" xfId="11516"/>
    <cellStyle name="20% - Accent1 4 5 9" xfId="11517"/>
    <cellStyle name="20% - Accent1 4 6" xfId="180"/>
    <cellStyle name="20% - Accent1 4 6 2" xfId="11518"/>
    <cellStyle name="20% - Accent1 4 6 2 2" xfId="11519"/>
    <cellStyle name="20% - Accent1 4 6 2 2 2" xfId="11520"/>
    <cellStyle name="20% - Accent1 4 6 2 2 3" xfId="11521"/>
    <cellStyle name="20% - Accent1 4 6 2 3" xfId="11522"/>
    <cellStyle name="20% - Accent1 4 6 2 3 2" xfId="11523"/>
    <cellStyle name="20% - Accent1 4 6 2 3 3" xfId="11524"/>
    <cellStyle name="20% - Accent1 4 6 2 4" xfId="11525"/>
    <cellStyle name="20% - Accent1 4 6 2 4 2" xfId="11526"/>
    <cellStyle name="20% - Accent1 4 6 2 5" xfId="11527"/>
    <cellStyle name="20% - Accent1 4 6 2 6" xfId="11528"/>
    <cellStyle name="20% - Accent1 4 6 3" xfId="11529"/>
    <cellStyle name="20% - Accent1 4 6 3 2" xfId="11530"/>
    <cellStyle name="20% - Accent1 4 6 3 2 2" xfId="11531"/>
    <cellStyle name="20% - Accent1 4 6 3 2 3" xfId="11532"/>
    <cellStyle name="20% - Accent1 4 6 3 3" xfId="11533"/>
    <cellStyle name="20% - Accent1 4 6 3 3 2" xfId="11534"/>
    <cellStyle name="20% - Accent1 4 6 3 3 3" xfId="11535"/>
    <cellStyle name="20% - Accent1 4 6 3 4" xfId="11536"/>
    <cellStyle name="20% - Accent1 4 6 3 4 2" xfId="11537"/>
    <cellStyle name="20% - Accent1 4 6 3 5" xfId="11538"/>
    <cellStyle name="20% - Accent1 4 6 3 6" xfId="11539"/>
    <cellStyle name="20% - Accent1 4 6 4" xfId="11540"/>
    <cellStyle name="20% - Accent1 4 6 4 2" xfId="11541"/>
    <cellStyle name="20% - Accent1 4 6 4 2 2" xfId="11542"/>
    <cellStyle name="20% - Accent1 4 6 4 2 3" xfId="11543"/>
    <cellStyle name="20% - Accent1 4 6 4 3" xfId="11544"/>
    <cellStyle name="20% - Accent1 4 6 4 3 2" xfId="11545"/>
    <cellStyle name="20% - Accent1 4 6 4 4" xfId="11546"/>
    <cellStyle name="20% - Accent1 4 6 4 5" xfId="11547"/>
    <cellStyle name="20% - Accent1 4 6 5" xfId="11548"/>
    <cellStyle name="20% - Accent1 4 6 5 2" xfId="11549"/>
    <cellStyle name="20% - Accent1 4 6 5 3" xfId="11550"/>
    <cellStyle name="20% - Accent1 4 6 6" xfId="11551"/>
    <cellStyle name="20% - Accent1 4 6 6 2" xfId="11552"/>
    <cellStyle name="20% - Accent1 4 6 6 3" xfId="11553"/>
    <cellStyle name="20% - Accent1 4 6 7" xfId="11554"/>
    <cellStyle name="20% - Accent1 4 6 7 2" xfId="11555"/>
    <cellStyle name="20% - Accent1 4 6 8" xfId="11556"/>
    <cellStyle name="20% - Accent1 4 6 9" xfId="11557"/>
    <cellStyle name="20% - Accent1 4 7" xfId="8792"/>
    <cellStyle name="20% - Accent1 4 7 2" xfId="11558"/>
    <cellStyle name="20% - Accent1 4 7 2 2" xfId="11559"/>
    <cellStyle name="20% - Accent1 4 7 2 2 2" xfId="11560"/>
    <cellStyle name="20% - Accent1 4 7 2 2 3" xfId="11561"/>
    <cellStyle name="20% - Accent1 4 7 2 3" xfId="11562"/>
    <cellStyle name="20% - Accent1 4 7 2 3 2" xfId="11563"/>
    <cellStyle name="20% - Accent1 4 7 2 3 3" xfId="11564"/>
    <cellStyle name="20% - Accent1 4 7 2 4" xfId="11565"/>
    <cellStyle name="20% - Accent1 4 7 2 4 2" xfId="11566"/>
    <cellStyle name="20% - Accent1 4 7 2 5" xfId="11567"/>
    <cellStyle name="20% - Accent1 4 7 2 6" xfId="11568"/>
    <cellStyle name="20% - Accent1 4 7 3" xfId="11569"/>
    <cellStyle name="20% - Accent1 4 7 3 2" xfId="11570"/>
    <cellStyle name="20% - Accent1 4 7 3 2 2" xfId="11571"/>
    <cellStyle name="20% - Accent1 4 7 3 2 3" xfId="11572"/>
    <cellStyle name="20% - Accent1 4 7 3 3" xfId="11573"/>
    <cellStyle name="20% - Accent1 4 7 3 3 2" xfId="11574"/>
    <cellStyle name="20% - Accent1 4 7 3 3 3" xfId="11575"/>
    <cellStyle name="20% - Accent1 4 7 3 4" xfId="11576"/>
    <cellStyle name="20% - Accent1 4 7 3 4 2" xfId="11577"/>
    <cellStyle name="20% - Accent1 4 7 3 5" xfId="11578"/>
    <cellStyle name="20% - Accent1 4 7 3 6" xfId="11579"/>
    <cellStyle name="20% - Accent1 4 7 4" xfId="11580"/>
    <cellStyle name="20% - Accent1 4 7 4 2" xfId="11581"/>
    <cellStyle name="20% - Accent1 4 7 4 2 2" xfId="11582"/>
    <cellStyle name="20% - Accent1 4 7 4 2 3" xfId="11583"/>
    <cellStyle name="20% - Accent1 4 7 4 3" xfId="11584"/>
    <cellStyle name="20% - Accent1 4 7 4 3 2" xfId="11585"/>
    <cellStyle name="20% - Accent1 4 7 4 4" xfId="11586"/>
    <cellStyle name="20% - Accent1 4 7 4 5" xfId="11587"/>
    <cellStyle name="20% - Accent1 4 7 5" xfId="11588"/>
    <cellStyle name="20% - Accent1 4 7 5 2" xfId="11589"/>
    <cellStyle name="20% - Accent1 4 7 5 3" xfId="11590"/>
    <cellStyle name="20% - Accent1 4 7 6" xfId="11591"/>
    <cellStyle name="20% - Accent1 4 7 6 2" xfId="11592"/>
    <cellStyle name="20% - Accent1 4 7 6 3" xfId="11593"/>
    <cellStyle name="20% - Accent1 4 7 7" xfId="11594"/>
    <cellStyle name="20% - Accent1 4 7 7 2" xfId="11595"/>
    <cellStyle name="20% - Accent1 4 7 8" xfId="11596"/>
    <cellStyle name="20% - Accent1 4 7 9" xfId="11597"/>
    <cellStyle name="20% - Accent1 4 8" xfId="11598"/>
    <cellStyle name="20% - Accent1 4 8 2" xfId="11599"/>
    <cellStyle name="20% - Accent1 4 8 2 2" xfId="11600"/>
    <cellStyle name="20% - Accent1 4 8 2 3" xfId="11601"/>
    <cellStyle name="20% - Accent1 4 8 3" xfId="11602"/>
    <cellStyle name="20% - Accent1 4 8 3 2" xfId="11603"/>
    <cellStyle name="20% - Accent1 4 8 3 3" xfId="11604"/>
    <cellStyle name="20% - Accent1 4 8 4" xfId="11605"/>
    <cellStyle name="20% - Accent1 4 8 4 2" xfId="11606"/>
    <cellStyle name="20% - Accent1 4 8 5" xfId="11607"/>
    <cellStyle name="20% - Accent1 4 8 6" xfId="11608"/>
    <cellStyle name="20% - Accent1 4 9" xfId="11609"/>
    <cellStyle name="20% - Accent1 4 9 2" xfId="11610"/>
    <cellStyle name="20% - Accent1 4 9 2 2" xfId="11611"/>
    <cellStyle name="20% - Accent1 4 9 2 3" xfId="11612"/>
    <cellStyle name="20% - Accent1 4 9 3" xfId="11613"/>
    <cellStyle name="20% - Accent1 4 9 3 2" xfId="11614"/>
    <cellStyle name="20% - Accent1 4 9 3 3" xfId="11615"/>
    <cellStyle name="20% - Accent1 4 9 4" xfId="11616"/>
    <cellStyle name="20% - Accent1 4 9 4 2" xfId="11617"/>
    <cellStyle name="20% - Accent1 4 9 5" xfId="11618"/>
    <cellStyle name="20% - Accent1 4 9 6" xfId="11619"/>
    <cellStyle name="20% - Accent1 5" xfId="181"/>
    <cellStyle name="20% - Accent1 5 2" xfId="182"/>
    <cellStyle name="20% - Accent1 5 2 2" xfId="183"/>
    <cellStyle name="20% - Accent1 5 2 2 2" xfId="184"/>
    <cellStyle name="20% - Accent1 5 2 2 2 2" xfId="185"/>
    <cellStyle name="20% - Accent1 5 2 2 3" xfId="186"/>
    <cellStyle name="20% - Accent1 5 2 3" xfId="187"/>
    <cellStyle name="20% - Accent1 5 2 3 2" xfId="188"/>
    <cellStyle name="20% - Accent1 5 2 4" xfId="189"/>
    <cellStyle name="20% - Accent1 5 2 5" xfId="57837"/>
    <cellStyle name="20% - Accent1 5 3" xfId="190"/>
    <cellStyle name="20% - Accent1 5 3 2" xfId="191"/>
    <cellStyle name="20% - Accent1 5 3 2 2" xfId="192"/>
    <cellStyle name="20% - Accent1 5 3 3" xfId="193"/>
    <cellStyle name="20% - Accent1 5 4" xfId="194"/>
    <cellStyle name="20% - Accent1 5 4 2" xfId="195"/>
    <cellStyle name="20% - Accent1 5 5" xfId="196"/>
    <cellStyle name="20% - Accent1 5 6" xfId="8793"/>
    <cellStyle name="20% - Accent1 6" xfId="197"/>
    <cellStyle name="20% - Accent1 6 2" xfId="198"/>
    <cellStyle name="20% - Accent1 6 2 2" xfId="199"/>
    <cellStyle name="20% - Accent1 6 2 2 2" xfId="200"/>
    <cellStyle name="20% - Accent1 6 2 3" xfId="201"/>
    <cellStyle name="20% - Accent1 6 2 4" xfId="57838"/>
    <cellStyle name="20% - Accent1 6 2 5" xfId="57839"/>
    <cellStyle name="20% - Accent1 6 3" xfId="202"/>
    <cellStyle name="20% - Accent1 6 3 2" xfId="203"/>
    <cellStyle name="20% - Accent1 6 4" xfId="204"/>
    <cellStyle name="20% - Accent1 6 5" xfId="57840"/>
    <cellStyle name="20% - Accent1 7" xfId="205"/>
    <cellStyle name="20% - Accent1 7 2" xfId="206"/>
    <cellStyle name="20% - Accent1 7 2 2" xfId="207"/>
    <cellStyle name="20% - Accent1 7 2 2 2" xfId="208"/>
    <cellStyle name="20% - Accent1 7 2 3" xfId="209"/>
    <cellStyle name="20% - Accent1 7 3" xfId="210"/>
    <cellStyle name="20% - Accent1 7 3 2" xfId="211"/>
    <cellStyle name="20% - Accent1 7 4" xfId="212"/>
    <cellStyle name="20% - Accent1 7 5" xfId="57841"/>
    <cellStyle name="20% - Accent1 8" xfId="213"/>
    <cellStyle name="20% - Accent1 8 2" xfId="214"/>
    <cellStyle name="20% - Accent1 8 2 2" xfId="215"/>
    <cellStyle name="20% - Accent1 8 2 2 2" xfId="216"/>
    <cellStyle name="20% - Accent1 8 2 3" xfId="217"/>
    <cellStyle name="20% - Accent1 8 3" xfId="218"/>
    <cellStyle name="20% - Accent1 8 3 2" xfId="219"/>
    <cellStyle name="20% - Accent1 8 4" xfId="220"/>
    <cellStyle name="20% - Accent1 8 5" xfId="57842"/>
    <cellStyle name="20% - Accent1 9" xfId="221"/>
    <cellStyle name="20% - Accent1 9 2" xfId="222"/>
    <cellStyle name="20% - Accent1 9 2 2" xfId="223"/>
    <cellStyle name="20% - Accent1 9 3" xfId="224"/>
    <cellStyle name="20% - Accent1 9 4" xfId="57843"/>
    <cellStyle name="20% - Accent2 10" xfId="225"/>
    <cellStyle name="20% - Accent2 10 2" xfId="226"/>
    <cellStyle name="20% - Accent2 10 2 2" xfId="227"/>
    <cellStyle name="20% - Accent2 10 3" xfId="228"/>
    <cellStyle name="20% - Accent2 10 4" xfId="57844"/>
    <cellStyle name="20% - Accent2 11" xfId="229"/>
    <cellStyle name="20% - Accent2 11 2" xfId="230"/>
    <cellStyle name="20% - Accent2 11 2 2" xfId="231"/>
    <cellStyle name="20% - Accent2 11 3" xfId="232"/>
    <cellStyle name="20% - Accent2 11 4" xfId="57845"/>
    <cellStyle name="20% - Accent2 12" xfId="233"/>
    <cellStyle name="20% - Accent2 12 2" xfId="234"/>
    <cellStyle name="20% - Accent2 12 3" xfId="57846"/>
    <cellStyle name="20% - Accent2 13" xfId="235"/>
    <cellStyle name="20% - Accent2 13 2" xfId="57847"/>
    <cellStyle name="20% - Accent2 14" xfId="8794"/>
    <cellStyle name="20% - Accent2 15" xfId="9383"/>
    <cellStyle name="20% - Accent2 16" xfId="9384"/>
    <cellStyle name="20% - Accent2 17" xfId="9385"/>
    <cellStyle name="20% - Accent2 17 2" xfId="57848"/>
    <cellStyle name="20% - Accent2 18" xfId="57849"/>
    <cellStyle name="20% - Accent2 19" xfId="57850"/>
    <cellStyle name="20% - Accent2 2" xfId="236"/>
    <cellStyle name="20% - Accent2 2 2" xfId="237"/>
    <cellStyle name="20% - Accent2 2 2 2" xfId="238"/>
    <cellStyle name="20% - Accent2 2 2 2 2" xfId="239"/>
    <cellStyle name="20% - Accent2 2 2 2 2 2" xfId="240"/>
    <cellStyle name="20% - Accent2 2 2 2 2 2 2" xfId="241"/>
    <cellStyle name="20% - Accent2 2 2 2 2 2 2 2" xfId="242"/>
    <cellStyle name="20% - Accent2 2 2 2 2 2 3" xfId="243"/>
    <cellStyle name="20% - Accent2 2 2 2 2 3" xfId="244"/>
    <cellStyle name="20% - Accent2 2 2 2 2 3 2" xfId="245"/>
    <cellStyle name="20% - Accent2 2 2 2 2 4" xfId="246"/>
    <cellStyle name="20% - Accent2 2 2 2 2 5" xfId="57851"/>
    <cellStyle name="20% - Accent2 2 2 2 3" xfId="247"/>
    <cellStyle name="20% - Accent2 2 2 2 3 2" xfId="248"/>
    <cellStyle name="20% - Accent2 2 2 2 3 2 2" xfId="249"/>
    <cellStyle name="20% - Accent2 2 2 2 3 3" xfId="250"/>
    <cellStyle name="20% - Accent2 2 2 2 4" xfId="251"/>
    <cellStyle name="20% - Accent2 2 2 2 4 2" xfId="252"/>
    <cellStyle name="20% - Accent2 2 2 2 5" xfId="253"/>
    <cellStyle name="20% - Accent2 2 2 2 6" xfId="57852"/>
    <cellStyle name="20% - Accent2 2 2 3" xfId="254"/>
    <cellStyle name="20% - Accent2 2 2 3 2" xfId="255"/>
    <cellStyle name="20% - Accent2 2 2 3 2 2" xfId="256"/>
    <cellStyle name="20% - Accent2 2 2 3 2 2 2" xfId="257"/>
    <cellStyle name="20% - Accent2 2 2 3 2 3" xfId="258"/>
    <cellStyle name="20% - Accent2 2 2 3 3" xfId="259"/>
    <cellStyle name="20% - Accent2 2 2 3 3 2" xfId="260"/>
    <cellStyle name="20% - Accent2 2 2 3 4" xfId="261"/>
    <cellStyle name="20% - Accent2 2 2 3 5" xfId="57853"/>
    <cellStyle name="20% - Accent2 2 2 4" xfId="262"/>
    <cellStyle name="20% - Accent2 2 2 4 2" xfId="263"/>
    <cellStyle name="20% - Accent2 2 2 4 2 2" xfId="264"/>
    <cellStyle name="20% - Accent2 2 2 4 3" xfId="265"/>
    <cellStyle name="20% - Accent2 2 2 5" xfId="266"/>
    <cellStyle name="20% - Accent2 2 2 5 2" xfId="267"/>
    <cellStyle name="20% - Accent2 2 2 6" xfId="268"/>
    <cellStyle name="20% - Accent2 2 2 7" xfId="57854"/>
    <cellStyle name="20% - Accent2 2 3" xfId="269"/>
    <cellStyle name="20% - Accent2 2 3 2" xfId="270"/>
    <cellStyle name="20% - Accent2 2 3 2 2" xfId="271"/>
    <cellStyle name="20% - Accent2 2 3 2 2 2" xfId="272"/>
    <cellStyle name="20% - Accent2 2 3 2 2 2 2" xfId="273"/>
    <cellStyle name="20% - Accent2 2 3 2 2 3" xfId="274"/>
    <cellStyle name="20% - Accent2 2 3 2 3" xfId="275"/>
    <cellStyle name="20% - Accent2 2 3 2 3 2" xfId="276"/>
    <cellStyle name="20% - Accent2 2 3 2 4" xfId="277"/>
    <cellStyle name="20% - Accent2 2 3 3" xfId="278"/>
    <cellStyle name="20% - Accent2 2 3 3 2" xfId="279"/>
    <cellStyle name="20% - Accent2 2 3 3 2 2" xfId="280"/>
    <cellStyle name="20% - Accent2 2 3 3 3" xfId="281"/>
    <cellStyle name="20% - Accent2 2 3 4" xfId="282"/>
    <cellStyle name="20% - Accent2 2 3 4 2" xfId="283"/>
    <cellStyle name="20% - Accent2 2 3 5" xfId="284"/>
    <cellStyle name="20% - Accent2 2 3 6" xfId="57855"/>
    <cellStyle name="20% - Accent2 2 4" xfId="285"/>
    <cellStyle name="20% - Accent2 2 4 2" xfId="286"/>
    <cellStyle name="20% - Accent2 2 4 2 2" xfId="287"/>
    <cellStyle name="20% - Accent2 2 4 2 2 2" xfId="288"/>
    <cellStyle name="20% - Accent2 2 4 2 3" xfId="289"/>
    <cellStyle name="20% - Accent2 2 4 3" xfId="290"/>
    <cellStyle name="20% - Accent2 2 4 3 2" xfId="291"/>
    <cellStyle name="20% - Accent2 2 4 4" xfId="292"/>
    <cellStyle name="20% - Accent2 2 4 5" xfId="57856"/>
    <cellStyle name="20% - Accent2 2 5" xfId="293"/>
    <cellStyle name="20% - Accent2 2 5 2" xfId="294"/>
    <cellStyle name="20% - Accent2 2 5 2 2" xfId="295"/>
    <cellStyle name="20% - Accent2 2 5 3" xfId="296"/>
    <cellStyle name="20% - Accent2 2 5 4" xfId="57857"/>
    <cellStyle name="20% - Accent2 2 6" xfId="297"/>
    <cellStyle name="20% - Accent2 2 6 2" xfId="298"/>
    <cellStyle name="20% - Accent2 2 6 3" xfId="57858"/>
    <cellStyle name="20% - Accent2 2 7" xfId="299"/>
    <cellStyle name="20% - Accent2 2 8" xfId="300"/>
    <cellStyle name="20% - Accent2 2 9" xfId="57859"/>
    <cellStyle name="20% - Accent2 20" xfId="57860"/>
    <cellStyle name="20% - Accent2 21" xfId="57861"/>
    <cellStyle name="20% - Accent2 3" xfId="301"/>
    <cellStyle name="20% - Accent2 3 2" xfId="302"/>
    <cellStyle name="20% - Accent2 3 2 2" xfId="303"/>
    <cellStyle name="20% - Accent2 3 2 2 2" xfId="304"/>
    <cellStyle name="20% - Accent2 3 2 2 2 2" xfId="305"/>
    <cellStyle name="20% - Accent2 3 2 2 2 2 2" xfId="306"/>
    <cellStyle name="20% - Accent2 3 2 2 2 2 2 2" xfId="307"/>
    <cellStyle name="20% - Accent2 3 2 2 2 2 3" xfId="308"/>
    <cellStyle name="20% - Accent2 3 2 2 2 3" xfId="309"/>
    <cellStyle name="20% - Accent2 3 2 2 2 3 2" xfId="310"/>
    <cellStyle name="20% - Accent2 3 2 2 2 4" xfId="311"/>
    <cellStyle name="20% - Accent2 3 2 2 2 5" xfId="8795"/>
    <cellStyle name="20% - Accent2 3 2 2 3" xfId="312"/>
    <cellStyle name="20% - Accent2 3 2 2 3 2" xfId="313"/>
    <cellStyle name="20% - Accent2 3 2 2 3 2 2" xfId="314"/>
    <cellStyle name="20% - Accent2 3 2 2 3 3" xfId="315"/>
    <cellStyle name="20% - Accent2 3 2 2 4" xfId="316"/>
    <cellStyle name="20% - Accent2 3 2 2 4 2" xfId="317"/>
    <cellStyle name="20% - Accent2 3 2 2 5" xfId="318"/>
    <cellStyle name="20% - Accent2 3 2 2 6" xfId="8796"/>
    <cellStyle name="20% - Accent2 3 2 3" xfId="319"/>
    <cellStyle name="20% - Accent2 3 2 3 2" xfId="320"/>
    <cellStyle name="20% - Accent2 3 2 3 2 2" xfId="321"/>
    <cellStyle name="20% - Accent2 3 2 3 2 2 2" xfId="322"/>
    <cellStyle name="20% - Accent2 3 2 3 2 3" xfId="323"/>
    <cellStyle name="20% - Accent2 3 2 3 3" xfId="324"/>
    <cellStyle name="20% - Accent2 3 2 3 3 2" xfId="325"/>
    <cellStyle name="20% - Accent2 3 2 3 4" xfId="326"/>
    <cellStyle name="20% - Accent2 3 2 3 5" xfId="8797"/>
    <cellStyle name="20% - Accent2 3 2 4" xfId="327"/>
    <cellStyle name="20% - Accent2 3 2 4 2" xfId="328"/>
    <cellStyle name="20% - Accent2 3 2 4 2 2" xfId="329"/>
    <cellStyle name="20% - Accent2 3 2 4 3" xfId="330"/>
    <cellStyle name="20% - Accent2 3 2 5" xfId="331"/>
    <cellStyle name="20% - Accent2 3 2 5 2" xfId="332"/>
    <cellStyle name="20% - Accent2 3 2 6" xfId="333"/>
    <cellStyle name="20% - Accent2 3 2 7" xfId="8798"/>
    <cellStyle name="20% - Accent2 3 3" xfId="334"/>
    <cellStyle name="20% - Accent2 3 3 2" xfId="335"/>
    <cellStyle name="20% - Accent2 3 3 2 2" xfId="336"/>
    <cellStyle name="20% - Accent2 3 3 2 2 2" xfId="337"/>
    <cellStyle name="20% - Accent2 3 3 2 2 2 2" xfId="338"/>
    <cellStyle name="20% - Accent2 3 3 2 2 3" xfId="339"/>
    <cellStyle name="20% - Accent2 3 3 2 3" xfId="340"/>
    <cellStyle name="20% - Accent2 3 3 2 3 2" xfId="341"/>
    <cellStyle name="20% - Accent2 3 3 2 4" xfId="342"/>
    <cellStyle name="20% - Accent2 3 3 2 5" xfId="8799"/>
    <cellStyle name="20% - Accent2 3 3 3" xfId="343"/>
    <cellStyle name="20% - Accent2 3 3 3 2" xfId="344"/>
    <cellStyle name="20% - Accent2 3 3 3 2 2" xfId="345"/>
    <cellStyle name="20% - Accent2 3 3 3 3" xfId="346"/>
    <cellStyle name="20% - Accent2 3 3 4" xfId="347"/>
    <cellStyle name="20% - Accent2 3 3 4 2" xfId="348"/>
    <cellStyle name="20% - Accent2 3 3 5" xfId="349"/>
    <cellStyle name="20% - Accent2 3 3 6" xfId="8800"/>
    <cellStyle name="20% - Accent2 3 4" xfId="350"/>
    <cellStyle name="20% - Accent2 3 4 2" xfId="351"/>
    <cellStyle name="20% - Accent2 3 4 2 2" xfId="352"/>
    <cellStyle name="20% - Accent2 3 4 2 2 2" xfId="353"/>
    <cellStyle name="20% - Accent2 3 4 2 3" xfId="354"/>
    <cellStyle name="20% - Accent2 3 4 3" xfId="355"/>
    <cellStyle name="20% - Accent2 3 4 3 2" xfId="356"/>
    <cellStyle name="20% - Accent2 3 4 4" xfId="357"/>
    <cellStyle name="20% - Accent2 3 4 5" xfId="8801"/>
    <cellStyle name="20% - Accent2 3 5" xfId="358"/>
    <cellStyle name="20% - Accent2 3 5 2" xfId="359"/>
    <cellStyle name="20% - Accent2 3 5 2 2" xfId="360"/>
    <cellStyle name="20% - Accent2 3 5 3" xfId="361"/>
    <cellStyle name="20% - Accent2 3 6" xfId="362"/>
    <cellStyle name="20% - Accent2 3 6 2" xfId="363"/>
    <cellStyle name="20% - Accent2 3 7" xfId="364"/>
    <cellStyle name="20% - Accent2 3 8" xfId="365"/>
    <cellStyle name="20% - Accent2 3 9" xfId="8802"/>
    <cellStyle name="20% - Accent2 4" xfId="366"/>
    <cellStyle name="20% - Accent2 4 10" xfId="11620"/>
    <cellStyle name="20% - Accent2 4 10 2" xfId="11621"/>
    <cellStyle name="20% - Accent2 4 10 2 2" xfId="11622"/>
    <cellStyle name="20% - Accent2 4 10 2 3" xfId="11623"/>
    <cellStyle name="20% - Accent2 4 10 3" xfId="11624"/>
    <cellStyle name="20% - Accent2 4 10 3 2" xfId="11625"/>
    <cellStyle name="20% - Accent2 4 10 4" xfId="11626"/>
    <cellStyle name="20% - Accent2 4 10 5" xfId="11627"/>
    <cellStyle name="20% - Accent2 4 11" xfId="11628"/>
    <cellStyle name="20% - Accent2 4 11 2" xfId="11629"/>
    <cellStyle name="20% - Accent2 4 11 3" xfId="11630"/>
    <cellStyle name="20% - Accent2 4 12" xfId="11631"/>
    <cellStyle name="20% - Accent2 4 12 2" xfId="11632"/>
    <cellStyle name="20% - Accent2 4 12 3" xfId="11633"/>
    <cellStyle name="20% - Accent2 4 13" xfId="11634"/>
    <cellStyle name="20% - Accent2 4 13 2" xfId="11635"/>
    <cellStyle name="20% - Accent2 4 14" xfId="11636"/>
    <cellStyle name="20% - Accent2 4 15" xfId="11637"/>
    <cellStyle name="20% - Accent2 4 16" xfId="11638"/>
    <cellStyle name="20% - Accent2 4 2" xfId="367"/>
    <cellStyle name="20% - Accent2 4 2 10" xfId="11639"/>
    <cellStyle name="20% - Accent2 4 2 10 2" xfId="11640"/>
    <cellStyle name="20% - Accent2 4 2 10 3" xfId="11641"/>
    <cellStyle name="20% - Accent2 4 2 11" xfId="11642"/>
    <cellStyle name="20% - Accent2 4 2 11 2" xfId="11643"/>
    <cellStyle name="20% - Accent2 4 2 11 3" xfId="11644"/>
    <cellStyle name="20% - Accent2 4 2 12" xfId="11645"/>
    <cellStyle name="20% - Accent2 4 2 12 2" xfId="11646"/>
    <cellStyle name="20% - Accent2 4 2 13" xfId="11647"/>
    <cellStyle name="20% - Accent2 4 2 14" xfId="11648"/>
    <cellStyle name="20% - Accent2 4 2 15" xfId="11649"/>
    <cellStyle name="20% - Accent2 4 2 2" xfId="368"/>
    <cellStyle name="20% - Accent2 4 2 2 10" xfId="11650"/>
    <cellStyle name="20% - Accent2 4 2 2 10 2" xfId="11651"/>
    <cellStyle name="20% - Accent2 4 2 2 10 3" xfId="11652"/>
    <cellStyle name="20% - Accent2 4 2 2 11" xfId="11653"/>
    <cellStyle name="20% - Accent2 4 2 2 11 2" xfId="11654"/>
    <cellStyle name="20% - Accent2 4 2 2 12" xfId="11655"/>
    <cellStyle name="20% - Accent2 4 2 2 13" xfId="11656"/>
    <cellStyle name="20% - Accent2 4 2 2 2" xfId="369"/>
    <cellStyle name="20% - Accent2 4 2 2 2 10" xfId="11657"/>
    <cellStyle name="20% - Accent2 4 2 2 2 10 2" xfId="11658"/>
    <cellStyle name="20% - Accent2 4 2 2 2 11" xfId="11659"/>
    <cellStyle name="20% - Accent2 4 2 2 2 12" xfId="11660"/>
    <cellStyle name="20% - Accent2 4 2 2 2 2" xfId="370"/>
    <cellStyle name="20% - Accent2 4 2 2 2 2 10" xfId="11661"/>
    <cellStyle name="20% - Accent2 4 2 2 2 2 2" xfId="371"/>
    <cellStyle name="20% - Accent2 4 2 2 2 2 2 2" xfId="11662"/>
    <cellStyle name="20% - Accent2 4 2 2 2 2 2 2 2" xfId="11663"/>
    <cellStyle name="20% - Accent2 4 2 2 2 2 2 2 2 2" xfId="11664"/>
    <cellStyle name="20% - Accent2 4 2 2 2 2 2 2 2 3" xfId="11665"/>
    <cellStyle name="20% - Accent2 4 2 2 2 2 2 2 3" xfId="11666"/>
    <cellStyle name="20% - Accent2 4 2 2 2 2 2 2 3 2" xfId="11667"/>
    <cellStyle name="20% - Accent2 4 2 2 2 2 2 2 3 3" xfId="11668"/>
    <cellStyle name="20% - Accent2 4 2 2 2 2 2 2 4" xfId="11669"/>
    <cellStyle name="20% - Accent2 4 2 2 2 2 2 2 4 2" xfId="11670"/>
    <cellStyle name="20% - Accent2 4 2 2 2 2 2 2 5" xfId="11671"/>
    <cellStyle name="20% - Accent2 4 2 2 2 2 2 2 6" xfId="11672"/>
    <cellStyle name="20% - Accent2 4 2 2 2 2 2 3" xfId="11673"/>
    <cellStyle name="20% - Accent2 4 2 2 2 2 2 3 2" xfId="11674"/>
    <cellStyle name="20% - Accent2 4 2 2 2 2 2 3 2 2" xfId="11675"/>
    <cellStyle name="20% - Accent2 4 2 2 2 2 2 3 2 3" xfId="11676"/>
    <cellStyle name="20% - Accent2 4 2 2 2 2 2 3 3" xfId="11677"/>
    <cellStyle name="20% - Accent2 4 2 2 2 2 2 3 3 2" xfId="11678"/>
    <cellStyle name="20% - Accent2 4 2 2 2 2 2 3 3 3" xfId="11679"/>
    <cellStyle name="20% - Accent2 4 2 2 2 2 2 3 4" xfId="11680"/>
    <cellStyle name="20% - Accent2 4 2 2 2 2 2 3 4 2" xfId="11681"/>
    <cellStyle name="20% - Accent2 4 2 2 2 2 2 3 5" xfId="11682"/>
    <cellStyle name="20% - Accent2 4 2 2 2 2 2 3 6" xfId="11683"/>
    <cellStyle name="20% - Accent2 4 2 2 2 2 2 4" xfId="11684"/>
    <cellStyle name="20% - Accent2 4 2 2 2 2 2 4 2" xfId="11685"/>
    <cellStyle name="20% - Accent2 4 2 2 2 2 2 4 2 2" xfId="11686"/>
    <cellStyle name="20% - Accent2 4 2 2 2 2 2 4 2 3" xfId="11687"/>
    <cellStyle name="20% - Accent2 4 2 2 2 2 2 4 3" xfId="11688"/>
    <cellStyle name="20% - Accent2 4 2 2 2 2 2 4 3 2" xfId="11689"/>
    <cellStyle name="20% - Accent2 4 2 2 2 2 2 4 4" xfId="11690"/>
    <cellStyle name="20% - Accent2 4 2 2 2 2 2 4 5" xfId="11691"/>
    <cellStyle name="20% - Accent2 4 2 2 2 2 2 5" xfId="11692"/>
    <cellStyle name="20% - Accent2 4 2 2 2 2 2 5 2" xfId="11693"/>
    <cellStyle name="20% - Accent2 4 2 2 2 2 2 5 3" xfId="11694"/>
    <cellStyle name="20% - Accent2 4 2 2 2 2 2 6" xfId="11695"/>
    <cellStyle name="20% - Accent2 4 2 2 2 2 2 6 2" xfId="11696"/>
    <cellStyle name="20% - Accent2 4 2 2 2 2 2 6 3" xfId="11697"/>
    <cellStyle name="20% - Accent2 4 2 2 2 2 2 7" xfId="11698"/>
    <cellStyle name="20% - Accent2 4 2 2 2 2 2 7 2" xfId="11699"/>
    <cellStyle name="20% - Accent2 4 2 2 2 2 2 8" xfId="11700"/>
    <cellStyle name="20% - Accent2 4 2 2 2 2 2 9" xfId="11701"/>
    <cellStyle name="20% - Accent2 4 2 2 2 2 3" xfId="11702"/>
    <cellStyle name="20% - Accent2 4 2 2 2 2 3 2" xfId="11703"/>
    <cellStyle name="20% - Accent2 4 2 2 2 2 3 2 2" xfId="11704"/>
    <cellStyle name="20% - Accent2 4 2 2 2 2 3 2 3" xfId="11705"/>
    <cellStyle name="20% - Accent2 4 2 2 2 2 3 3" xfId="11706"/>
    <cellStyle name="20% - Accent2 4 2 2 2 2 3 3 2" xfId="11707"/>
    <cellStyle name="20% - Accent2 4 2 2 2 2 3 3 3" xfId="11708"/>
    <cellStyle name="20% - Accent2 4 2 2 2 2 3 4" xfId="11709"/>
    <cellStyle name="20% - Accent2 4 2 2 2 2 3 4 2" xfId="11710"/>
    <cellStyle name="20% - Accent2 4 2 2 2 2 3 5" xfId="11711"/>
    <cellStyle name="20% - Accent2 4 2 2 2 2 3 6" xfId="11712"/>
    <cellStyle name="20% - Accent2 4 2 2 2 2 4" xfId="11713"/>
    <cellStyle name="20% - Accent2 4 2 2 2 2 4 2" xfId="11714"/>
    <cellStyle name="20% - Accent2 4 2 2 2 2 4 2 2" xfId="11715"/>
    <cellStyle name="20% - Accent2 4 2 2 2 2 4 2 3" xfId="11716"/>
    <cellStyle name="20% - Accent2 4 2 2 2 2 4 3" xfId="11717"/>
    <cellStyle name="20% - Accent2 4 2 2 2 2 4 3 2" xfId="11718"/>
    <cellStyle name="20% - Accent2 4 2 2 2 2 4 3 3" xfId="11719"/>
    <cellStyle name="20% - Accent2 4 2 2 2 2 4 4" xfId="11720"/>
    <cellStyle name="20% - Accent2 4 2 2 2 2 4 4 2" xfId="11721"/>
    <cellStyle name="20% - Accent2 4 2 2 2 2 4 5" xfId="11722"/>
    <cellStyle name="20% - Accent2 4 2 2 2 2 4 6" xfId="11723"/>
    <cellStyle name="20% - Accent2 4 2 2 2 2 5" xfId="11724"/>
    <cellStyle name="20% - Accent2 4 2 2 2 2 5 2" xfId="11725"/>
    <cellStyle name="20% - Accent2 4 2 2 2 2 5 2 2" xfId="11726"/>
    <cellStyle name="20% - Accent2 4 2 2 2 2 5 2 3" xfId="11727"/>
    <cellStyle name="20% - Accent2 4 2 2 2 2 5 3" xfId="11728"/>
    <cellStyle name="20% - Accent2 4 2 2 2 2 5 3 2" xfId="11729"/>
    <cellStyle name="20% - Accent2 4 2 2 2 2 5 4" xfId="11730"/>
    <cellStyle name="20% - Accent2 4 2 2 2 2 5 5" xfId="11731"/>
    <cellStyle name="20% - Accent2 4 2 2 2 2 6" xfId="11732"/>
    <cellStyle name="20% - Accent2 4 2 2 2 2 6 2" xfId="11733"/>
    <cellStyle name="20% - Accent2 4 2 2 2 2 6 3" xfId="11734"/>
    <cellStyle name="20% - Accent2 4 2 2 2 2 7" xfId="11735"/>
    <cellStyle name="20% - Accent2 4 2 2 2 2 7 2" xfId="11736"/>
    <cellStyle name="20% - Accent2 4 2 2 2 2 7 3" xfId="11737"/>
    <cellStyle name="20% - Accent2 4 2 2 2 2 8" xfId="11738"/>
    <cellStyle name="20% - Accent2 4 2 2 2 2 8 2" xfId="11739"/>
    <cellStyle name="20% - Accent2 4 2 2 2 2 9" xfId="11740"/>
    <cellStyle name="20% - Accent2 4 2 2 2 3" xfId="372"/>
    <cellStyle name="20% - Accent2 4 2 2 2 3 2" xfId="11741"/>
    <cellStyle name="20% - Accent2 4 2 2 2 3 2 2" xfId="11742"/>
    <cellStyle name="20% - Accent2 4 2 2 2 3 2 2 2" xfId="11743"/>
    <cellStyle name="20% - Accent2 4 2 2 2 3 2 2 3" xfId="11744"/>
    <cellStyle name="20% - Accent2 4 2 2 2 3 2 3" xfId="11745"/>
    <cellStyle name="20% - Accent2 4 2 2 2 3 2 3 2" xfId="11746"/>
    <cellStyle name="20% - Accent2 4 2 2 2 3 2 3 3" xfId="11747"/>
    <cellStyle name="20% - Accent2 4 2 2 2 3 2 4" xfId="11748"/>
    <cellStyle name="20% - Accent2 4 2 2 2 3 2 4 2" xfId="11749"/>
    <cellStyle name="20% - Accent2 4 2 2 2 3 2 5" xfId="11750"/>
    <cellStyle name="20% - Accent2 4 2 2 2 3 2 6" xfId="11751"/>
    <cellStyle name="20% - Accent2 4 2 2 2 3 3" xfId="11752"/>
    <cellStyle name="20% - Accent2 4 2 2 2 3 3 2" xfId="11753"/>
    <cellStyle name="20% - Accent2 4 2 2 2 3 3 2 2" xfId="11754"/>
    <cellStyle name="20% - Accent2 4 2 2 2 3 3 2 3" xfId="11755"/>
    <cellStyle name="20% - Accent2 4 2 2 2 3 3 3" xfId="11756"/>
    <cellStyle name="20% - Accent2 4 2 2 2 3 3 3 2" xfId="11757"/>
    <cellStyle name="20% - Accent2 4 2 2 2 3 3 3 3" xfId="11758"/>
    <cellStyle name="20% - Accent2 4 2 2 2 3 3 4" xfId="11759"/>
    <cellStyle name="20% - Accent2 4 2 2 2 3 3 4 2" xfId="11760"/>
    <cellStyle name="20% - Accent2 4 2 2 2 3 3 5" xfId="11761"/>
    <cellStyle name="20% - Accent2 4 2 2 2 3 3 6" xfId="11762"/>
    <cellStyle name="20% - Accent2 4 2 2 2 3 4" xfId="11763"/>
    <cellStyle name="20% - Accent2 4 2 2 2 3 4 2" xfId="11764"/>
    <cellStyle name="20% - Accent2 4 2 2 2 3 4 2 2" xfId="11765"/>
    <cellStyle name="20% - Accent2 4 2 2 2 3 4 2 3" xfId="11766"/>
    <cellStyle name="20% - Accent2 4 2 2 2 3 4 3" xfId="11767"/>
    <cellStyle name="20% - Accent2 4 2 2 2 3 4 3 2" xfId="11768"/>
    <cellStyle name="20% - Accent2 4 2 2 2 3 4 4" xfId="11769"/>
    <cellStyle name="20% - Accent2 4 2 2 2 3 4 5" xfId="11770"/>
    <cellStyle name="20% - Accent2 4 2 2 2 3 5" xfId="11771"/>
    <cellStyle name="20% - Accent2 4 2 2 2 3 5 2" xfId="11772"/>
    <cellStyle name="20% - Accent2 4 2 2 2 3 5 3" xfId="11773"/>
    <cellStyle name="20% - Accent2 4 2 2 2 3 6" xfId="11774"/>
    <cellStyle name="20% - Accent2 4 2 2 2 3 6 2" xfId="11775"/>
    <cellStyle name="20% - Accent2 4 2 2 2 3 6 3" xfId="11776"/>
    <cellStyle name="20% - Accent2 4 2 2 2 3 7" xfId="11777"/>
    <cellStyle name="20% - Accent2 4 2 2 2 3 7 2" xfId="11778"/>
    <cellStyle name="20% - Accent2 4 2 2 2 3 8" xfId="11779"/>
    <cellStyle name="20% - Accent2 4 2 2 2 3 9" xfId="11780"/>
    <cellStyle name="20% - Accent2 4 2 2 2 4" xfId="11781"/>
    <cellStyle name="20% - Accent2 4 2 2 2 4 2" xfId="11782"/>
    <cellStyle name="20% - Accent2 4 2 2 2 4 2 2" xfId="11783"/>
    <cellStyle name="20% - Accent2 4 2 2 2 4 2 2 2" xfId="11784"/>
    <cellStyle name="20% - Accent2 4 2 2 2 4 2 2 3" xfId="11785"/>
    <cellStyle name="20% - Accent2 4 2 2 2 4 2 3" xfId="11786"/>
    <cellStyle name="20% - Accent2 4 2 2 2 4 2 3 2" xfId="11787"/>
    <cellStyle name="20% - Accent2 4 2 2 2 4 2 3 3" xfId="11788"/>
    <cellStyle name="20% - Accent2 4 2 2 2 4 2 4" xfId="11789"/>
    <cellStyle name="20% - Accent2 4 2 2 2 4 2 4 2" xfId="11790"/>
    <cellStyle name="20% - Accent2 4 2 2 2 4 2 5" xfId="11791"/>
    <cellStyle name="20% - Accent2 4 2 2 2 4 2 6" xfId="11792"/>
    <cellStyle name="20% - Accent2 4 2 2 2 4 3" xfId="11793"/>
    <cellStyle name="20% - Accent2 4 2 2 2 4 3 2" xfId="11794"/>
    <cellStyle name="20% - Accent2 4 2 2 2 4 3 2 2" xfId="11795"/>
    <cellStyle name="20% - Accent2 4 2 2 2 4 3 2 3" xfId="11796"/>
    <cellStyle name="20% - Accent2 4 2 2 2 4 3 3" xfId="11797"/>
    <cellStyle name="20% - Accent2 4 2 2 2 4 3 3 2" xfId="11798"/>
    <cellStyle name="20% - Accent2 4 2 2 2 4 3 3 3" xfId="11799"/>
    <cellStyle name="20% - Accent2 4 2 2 2 4 3 4" xfId="11800"/>
    <cellStyle name="20% - Accent2 4 2 2 2 4 3 4 2" xfId="11801"/>
    <cellStyle name="20% - Accent2 4 2 2 2 4 3 5" xfId="11802"/>
    <cellStyle name="20% - Accent2 4 2 2 2 4 3 6" xfId="11803"/>
    <cellStyle name="20% - Accent2 4 2 2 2 4 4" xfId="11804"/>
    <cellStyle name="20% - Accent2 4 2 2 2 4 4 2" xfId="11805"/>
    <cellStyle name="20% - Accent2 4 2 2 2 4 4 2 2" xfId="11806"/>
    <cellStyle name="20% - Accent2 4 2 2 2 4 4 2 3" xfId="11807"/>
    <cellStyle name="20% - Accent2 4 2 2 2 4 4 3" xfId="11808"/>
    <cellStyle name="20% - Accent2 4 2 2 2 4 4 3 2" xfId="11809"/>
    <cellStyle name="20% - Accent2 4 2 2 2 4 4 4" xfId="11810"/>
    <cellStyle name="20% - Accent2 4 2 2 2 4 4 5" xfId="11811"/>
    <cellStyle name="20% - Accent2 4 2 2 2 4 5" xfId="11812"/>
    <cellStyle name="20% - Accent2 4 2 2 2 4 5 2" xfId="11813"/>
    <cellStyle name="20% - Accent2 4 2 2 2 4 5 3" xfId="11814"/>
    <cellStyle name="20% - Accent2 4 2 2 2 4 6" xfId="11815"/>
    <cellStyle name="20% - Accent2 4 2 2 2 4 6 2" xfId="11816"/>
    <cellStyle name="20% - Accent2 4 2 2 2 4 6 3" xfId="11817"/>
    <cellStyle name="20% - Accent2 4 2 2 2 4 7" xfId="11818"/>
    <cellStyle name="20% - Accent2 4 2 2 2 4 7 2" xfId="11819"/>
    <cellStyle name="20% - Accent2 4 2 2 2 4 8" xfId="11820"/>
    <cellStyle name="20% - Accent2 4 2 2 2 4 9" xfId="11821"/>
    <cellStyle name="20% - Accent2 4 2 2 2 5" xfId="11822"/>
    <cellStyle name="20% - Accent2 4 2 2 2 5 2" xfId="11823"/>
    <cellStyle name="20% - Accent2 4 2 2 2 5 2 2" xfId="11824"/>
    <cellStyle name="20% - Accent2 4 2 2 2 5 2 3" xfId="11825"/>
    <cellStyle name="20% - Accent2 4 2 2 2 5 3" xfId="11826"/>
    <cellStyle name="20% - Accent2 4 2 2 2 5 3 2" xfId="11827"/>
    <cellStyle name="20% - Accent2 4 2 2 2 5 3 3" xfId="11828"/>
    <cellStyle name="20% - Accent2 4 2 2 2 5 4" xfId="11829"/>
    <cellStyle name="20% - Accent2 4 2 2 2 5 4 2" xfId="11830"/>
    <cellStyle name="20% - Accent2 4 2 2 2 5 5" xfId="11831"/>
    <cellStyle name="20% - Accent2 4 2 2 2 5 6" xfId="11832"/>
    <cellStyle name="20% - Accent2 4 2 2 2 6" xfId="11833"/>
    <cellStyle name="20% - Accent2 4 2 2 2 6 2" xfId="11834"/>
    <cellStyle name="20% - Accent2 4 2 2 2 6 2 2" xfId="11835"/>
    <cellStyle name="20% - Accent2 4 2 2 2 6 2 3" xfId="11836"/>
    <cellStyle name="20% - Accent2 4 2 2 2 6 3" xfId="11837"/>
    <cellStyle name="20% - Accent2 4 2 2 2 6 3 2" xfId="11838"/>
    <cellStyle name="20% - Accent2 4 2 2 2 6 3 3" xfId="11839"/>
    <cellStyle name="20% - Accent2 4 2 2 2 6 4" xfId="11840"/>
    <cellStyle name="20% - Accent2 4 2 2 2 6 4 2" xfId="11841"/>
    <cellStyle name="20% - Accent2 4 2 2 2 6 5" xfId="11842"/>
    <cellStyle name="20% - Accent2 4 2 2 2 6 6" xfId="11843"/>
    <cellStyle name="20% - Accent2 4 2 2 2 7" xfId="11844"/>
    <cellStyle name="20% - Accent2 4 2 2 2 7 2" xfId="11845"/>
    <cellStyle name="20% - Accent2 4 2 2 2 7 2 2" xfId="11846"/>
    <cellStyle name="20% - Accent2 4 2 2 2 7 2 3" xfId="11847"/>
    <cellStyle name="20% - Accent2 4 2 2 2 7 3" xfId="11848"/>
    <cellStyle name="20% - Accent2 4 2 2 2 7 3 2" xfId="11849"/>
    <cellStyle name="20% - Accent2 4 2 2 2 7 4" xfId="11850"/>
    <cellStyle name="20% - Accent2 4 2 2 2 7 5" xfId="11851"/>
    <cellStyle name="20% - Accent2 4 2 2 2 8" xfId="11852"/>
    <cellStyle name="20% - Accent2 4 2 2 2 8 2" xfId="11853"/>
    <cellStyle name="20% - Accent2 4 2 2 2 8 3" xfId="11854"/>
    <cellStyle name="20% - Accent2 4 2 2 2 9" xfId="11855"/>
    <cellStyle name="20% - Accent2 4 2 2 2 9 2" xfId="11856"/>
    <cellStyle name="20% - Accent2 4 2 2 2 9 3" xfId="11857"/>
    <cellStyle name="20% - Accent2 4 2 2 3" xfId="373"/>
    <cellStyle name="20% - Accent2 4 2 2 3 10" xfId="11858"/>
    <cellStyle name="20% - Accent2 4 2 2 3 2" xfId="374"/>
    <cellStyle name="20% - Accent2 4 2 2 3 2 2" xfId="11859"/>
    <cellStyle name="20% - Accent2 4 2 2 3 2 2 2" xfId="11860"/>
    <cellStyle name="20% - Accent2 4 2 2 3 2 2 2 2" xfId="11861"/>
    <cellStyle name="20% - Accent2 4 2 2 3 2 2 2 3" xfId="11862"/>
    <cellStyle name="20% - Accent2 4 2 2 3 2 2 3" xfId="11863"/>
    <cellStyle name="20% - Accent2 4 2 2 3 2 2 3 2" xfId="11864"/>
    <cellStyle name="20% - Accent2 4 2 2 3 2 2 3 3" xfId="11865"/>
    <cellStyle name="20% - Accent2 4 2 2 3 2 2 4" xfId="11866"/>
    <cellStyle name="20% - Accent2 4 2 2 3 2 2 4 2" xfId="11867"/>
    <cellStyle name="20% - Accent2 4 2 2 3 2 2 5" xfId="11868"/>
    <cellStyle name="20% - Accent2 4 2 2 3 2 2 6" xfId="11869"/>
    <cellStyle name="20% - Accent2 4 2 2 3 2 3" xfId="11870"/>
    <cellStyle name="20% - Accent2 4 2 2 3 2 3 2" xfId="11871"/>
    <cellStyle name="20% - Accent2 4 2 2 3 2 3 2 2" xfId="11872"/>
    <cellStyle name="20% - Accent2 4 2 2 3 2 3 2 3" xfId="11873"/>
    <cellStyle name="20% - Accent2 4 2 2 3 2 3 3" xfId="11874"/>
    <cellStyle name="20% - Accent2 4 2 2 3 2 3 3 2" xfId="11875"/>
    <cellStyle name="20% - Accent2 4 2 2 3 2 3 3 3" xfId="11876"/>
    <cellStyle name="20% - Accent2 4 2 2 3 2 3 4" xfId="11877"/>
    <cellStyle name="20% - Accent2 4 2 2 3 2 3 4 2" xfId="11878"/>
    <cellStyle name="20% - Accent2 4 2 2 3 2 3 5" xfId="11879"/>
    <cellStyle name="20% - Accent2 4 2 2 3 2 3 6" xfId="11880"/>
    <cellStyle name="20% - Accent2 4 2 2 3 2 4" xfId="11881"/>
    <cellStyle name="20% - Accent2 4 2 2 3 2 4 2" xfId="11882"/>
    <cellStyle name="20% - Accent2 4 2 2 3 2 4 2 2" xfId="11883"/>
    <cellStyle name="20% - Accent2 4 2 2 3 2 4 2 3" xfId="11884"/>
    <cellStyle name="20% - Accent2 4 2 2 3 2 4 3" xfId="11885"/>
    <cellStyle name="20% - Accent2 4 2 2 3 2 4 3 2" xfId="11886"/>
    <cellStyle name="20% - Accent2 4 2 2 3 2 4 4" xfId="11887"/>
    <cellStyle name="20% - Accent2 4 2 2 3 2 4 5" xfId="11888"/>
    <cellStyle name="20% - Accent2 4 2 2 3 2 5" xfId="11889"/>
    <cellStyle name="20% - Accent2 4 2 2 3 2 5 2" xfId="11890"/>
    <cellStyle name="20% - Accent2 4 2 2 3 2 5 3" xfId="11891"/>
    <cellStyle name="20% - Accent2 4 2 2 3 2 6" xfId="11892"/>
    <cellStyle name="20% - Accent2 4 2 2 3 2 6 2" xfId="11893"/>
    <cellStyle name="20% - Accent2 4 2 2 3 2 6 3" xfId="11894"/>
    <cellStyle name="20% - Accent2 4 2 2 3 2 7" xfId="11895"/>
    <cellStyle name="20% - Accent2 4 2 2 3 2 7 2" xfId="11896"/>
    <cellStyle name="20% - Accent2 4 2 2 3 2 8" xfId="11897"/>
    <cellStyle name="20% - Accent2 4 2 2 3 2 9" xfId="11898"/>
    <cellStyle name="20% - Accent2 4 2 2 3 3" xfId="11899"/>
    <cellStyle name="20% - Accent2 4 2 2 3 3 2" xfId="11900"/>
    <cellStyle name="20% - Accent2 4 2 2 3 3 2 2" xfId="11901"/>
    <cellStyle name="20% - Accent2 4 2 2 3 3 2 3" xfId="11902"/>
    <cellStyle name="20% - Accent2 4 2 2 3 3 3" xfId="11903"/>
    <cellStyle name="20% - Accent2 4 2 2 3 3 3 2" xfId="11904"/>
    <cellStyle name="20% - Accent2 4 2 2 3 3 3 3" xfId="11905"/>
    <cellStyle name="20% - Accent2 4 2 2 3 3 4" xfId="11906"/>
    <cellStyle name="20% - Accent2 4 2 2 3 3 4 2" xfId="11907"/>
    <cellStyle name="20% - Accent2 4 2 2 3 3 5" xfId="11908"/>
    <cellStyle name="20% - Accent2 4 2 2 3 3 6" xfId="11909"/>
    <cellStyle name="20% - Accent2 4 2 2 3 4" xfId="11910"/>
    <cellStyle name="20% - Accent2 4 2 2 3 4 2" xfId="11911"/>
    <cellStyle name="20% - Accent2 4 2 2 3 4 2 2" xfId="11912"/>
    <cellStyle name="20% - Accent2 4 2 2 3 4 2 3" xfId="11913"/>
    <cellStyle name="20% - Accent2 4 2 2 3 4 3" xfId="11914"/>
    <cellStyle name="20% - Accent2 4 2 2 3 4 3 2" xfId="11915"/>
    <cellStyle name="20% - Accent2 4 2 2 3 4 3 3" xfId="11916"/>
    <cellStyle name="20% - Accent2 4 2 2 3 4 4" xfId="11917"/>
    <cellStyle name="20% - Accent2 4 2 2 3 4 4 2" xfId="11918"/>
    <cellStyle name="20% - Accent2 4 2 2 3 4 5" xfId="11919"/>
    <cellStyle name="20% - Accent2 4 2 2 3 4 6" xfId="11920"/>
    <cellStyle name="20% - Accent2 4 2 2 3 5" xfId="11921"/>
    <cellStyle name="20% - Accent2 4 2 2 3 5 2" xfId="11922"/>
    <cellStyle name="20% - Accent2 4 2 2 3 5 2 2" xfId="11923"/>
    <cellStyle name="20% - Accent2 4 2 2 3 5 2 3" xfId="11924"/>
    <cellStyle name="20% - Accent2 4 2 2 3 5 3" xfId="11925"/>
    <cellStyle name="20% - Accent2 4 2 2 3 5 3 2" xfId="11926"/>
    <cellStyle name="20% - Accent2 4 2 2 3 5 4" xfId="11927"/>
    <cellStyle name="20% - Accent2 4 2 2 3 5 5" xfId="11928"/>
    <cellStyle name="20% - Accent2 4 2 2 3 6" xfId="11929"/>
    <cellStyle name="20% - Accent2 4 2 2 3 6 2" xfId="11930"/>
    <cellStyle name="20% - Accent2 4 2 2 3 6 3" xfId="11931"/>
    <cellStyle name="20% - Accent2 4 2 2 3 7" xfId="11932"/>
    <cellStyle name="20% - Accent2 4 2 2 3 7 2" xfId="11933"/>
    <cellStyle name="20% - Accent2 4 2 2 3 7 3" xfId="11934"/>
    <cellStyle name="20% - Accent2 4 2 2 3 8" xfId="11935"/>
    <cellStyle name="20% - Accent2 4 2 2 3 8 2" xfId="11936"/>
    <cellStyle name="20% - Accent2 4 2 2 3 9" xfId="11937"/>
    <cellStyle name="20% - Accent2 4 2 2 4" xfId="375"/>
    <cellStyle name="20% - Accent2 4 2 2 4 2" xfId="11938"/>
    <cellStyle name="20% - Accent2 4 2 2 4 2 2" xfId="11939"/>
    <cellStyle name="20% - Accent2 4 2 2 4 2 2 2" xfId="11940"/>
    <cellStyle name="20% - Accent2 4 2 2 4 2 2 3" xfId="11941"/>
    <cellStyle name="20% - Accent2 4 2 2 4 2 3" xfId="11942"/>
    <cellStyle name="20% - Accent2 4 2 2 4 2 3 2" xfId="11943"/>
    <cellStyle name="20% - Accent2 4 2 2 4 2 3 3" xfId="11944"/>
    <cellStyle name="20% - Accent2 4 2 2 4 2 4" xfId="11945"/>
    <cellStyle name="20% - Accent2 4 2 2 4 2 4 2" xfId="11946"/>
    <cellStyle name="20% - Accent2 4 2 2 4 2 5" xfId="11947"/>
    <cellStyle name="20% - Accent2 4 2 2 4 2 6" xfId="11948"/>
    <cellStyle name="20% - Accent2 4 2 2 4 3" xfId="11949"/>
    <cellStyle name="20% - Accent2 4 2 2 4 3 2" xfId="11950"/>
    <cellStyle name="20% - Accent2 4 2 2 4 3 2 2" xfId="11951"/>
    <cellStyle name="20% - Accent2 4 2 2 4 3 2 3" xfId="11952"/>
    <cellStyle name="20% - Accent2 4 2 2 4 3 3" xfId="11953"/>
    <cellStyle name="20% - Accent2 4 2 2 4 3 3 2" xfId="11954"/>
    <cellStyle name="20% - Accent2 4 2 2 4 3 3 3" xfId="11955"/>
    <cellStyle name="20% - Accent2 4 2 2 4 3 4" xfId="11956"/>
    <cellStyle name="20% - Accent2 4 2 2 4 3 4 2" xfId="11957"/>
    <cellStyle name="20% - Accent2 4 2 2 4 3 5" xfId="11958"/>
    <cellStyle name="20% - Accent2 4 2 2 4 3 6" xfId="11959"/>
    <cellStyle name="20% - Accent2 4 2 2 4 4" xfId="11960"/>
    <cellStyle name="20% - Accent2 4 2 2 4 4 2" xfId="11961"/>
    <cellStyle name="20% - Accent2 4 2 2 4 4 2 2" xfId="11962"/>
    <cellStyle name="20% - Accent2 4 2 2 4 4 2 3" xfId="11963"/>
    <cellStyle name="20% - Accent2 4 2 2 4 4 3" xfId="11964"/>
    <cellStyle name="20% - Accent2 4 2 2 4 4 3 2" xfId="11965"/>
    <cellStyle name="20% - Accent2 4 2 2 4 4 4" xfId="11966"/>
    <cellStyle name="20% - Accent2 4 2 2 4 4 5" xfId="11967"/>
    <cellStyle name="20% - Accent2 4 2 2 4 5" xfId="11968"/>
    <cellStyle name="20% - Accent2 4 2 2 4 5 2" xfId="11969"/>
    <cellStyle name="20% - Accent2 4 2 2 4 5 3" xfId="11970"/>
    <cellStyle name="20% - Accent2 4 2 2 4 6" xfId="11971"/>
    <cellStyle name="20% - Accent2 4 2 2 4 6 2" xfId="11972"/>
    <cellStyle name="20% - Accent2 4 2 2 4 6 3" xfId="11973"/>
    <cellStyle name="20% - Accent2 4 2 2 4 7" xfId="11974"/>
    <cellStyle name="20% - Accent2 4 2 2 4 7 2" xfId="11975"/>
    <cellStyle name="20% - Accent2 4 2 2 4 8" xfId="11976"/>
    <cellStyle name="20% - Accent2 4 2 2 4 9" xfId="11977"/>
    <cellStyle name="20% - Accent2 4 2 2 5" xfId="11978"/>
    <cellStyle name="20% - Accent2 4 2 2 5 2" xfId="11979"/>
    <cellStyle name="20% - Accent2 4 2 2 5 2 2" xfId="11980"/>
    <cellStyle name="20% - Accent2 4 2 2 5 2 2 2" xfId="11981"/>
    <cellStyle name="20% - Accent2 4 2 2 5 2 2 3" xfId="11982"/>
    <cellStyle name="20% - Accent2 4 2 2 5 2 3" xfId="11983"/>
    <cellStyle name="20% - Accent2 4 2 2 5 2 3 2" xfId="11984"/>
    <cellStyle name="20% - Accent2 4 2 2 5 2 3 3" xfId="11985"/>
    <cellStyle name="20% - Accent2 4 2 2 5 2 4" xfId="11986"/>
    <cellStyle name="20% - Accent2 4 2 2 5 2 4 2" xfId="11987"/>
    <cellStyle name="20% - Accent2 4 2 2 5 2 5" xfId="11988"/>
    <cellStyle name="20% - Accent2 4 2 2 5 2 6" xfId="11989"/>
    <cellStyle name="20% - Accent2 4 2 2 5 3" xfId="11990"/>
    <cellStyle name="20% - Accent2 4 2 2 5 3 2" xfId="11991"/>
    <cellStyle name="20% - Accent2 4 2 2 5 3 2 2" xfId="11992"/>
    <cellStyle name="20% - Accent2 4 2 2 5 3 2 3" xfId="11993"/>
    <cellStyle name="20% - Accent2 4 2 2 5 3 3" xfId="11994"/>
    <cellStyle name="20% - Accent2 4 2 2 5 3 3 2" xfId="11995"/>
    <cellStyle name="20% - Accent2 4 2 2 5 3 3 3" xfId="11996"/>
    <cellStyle name="20% - Accent2 4 2 2 5 3 4" xfId="11997"/>
    <cellStyle name="20% - Accent2 4 2 2 5 3 4 2" xfId="11998"/>
    <cellStyle name="20% - Accent2 4 2 2 5 3 5" xfId="11999"/>
    <cellStyle name="20% - Accent2 4 2 2 5 3 6" xfId="12000"/>
    <cellStyle name="20% - Accent2 4 2 2 5 4" xfId="12001"/>
    <cellStyle name="20% - Accent2 4 2 2 5 4 2" xfId="12002"/>
    <cellStyle name="20% - Accent2 4 2 2 5 4 2 2" xfId="12003"/>
    <cellStyle name="20% - Accent2 4 2 2 5 4 2 3" xfId="12004"/>
    <cellStyle name="20% - Accent2 4 2 2 5 4 3" xfId="12005"/>
    <cellStyle name="20% - Accent2 4 2 2 5 4 3 2" xfId="12006"/>
    <cellStyle name="20% - Accent2 4 2 2 5 4 4" xfId="12007"/>
    <cellStyle name="20% - Accent2 4 2 2 5 4 5" xfId="12008"/>
    <cellStyle name="20% - Accent2 4 2 2 5 5" xfId="12009"/>
    <cellStyle name="20% - Accent2 4 2 2 5 5 2" xfId="12010"/>
    <cellStyle name="20% - Accent2 4 2 2 5 5 3" xfId="12011"/>
    <cellStyle name="20% - Accent2 4 2 2 5 6" xfId="12012"/>
    <cellStyle name="20% - Accent2 4 2 2 5 6 2" xfId="12013"/>
    <cellStyle name="20% - Accent2 4 2 2 5 6 3" xfId="12014"/>
    <cellStyle name="20% - Accent2 4 2 2 5 7" xfId="12015"/>
    <cellStyle name="20% - Accent2 4 2 2 5 7 2" xfId="12016"/>
    <cellStyle name="20% - Accent2 4 2 2 5 8" xfId="12017"/>
    <cellStyle name="20% - Accent2 4 2 2 5 9" xfId="12018"/>
    <cellStyle name="20% - Accent2 4 2 2 6" xfId="12019"/>
    <cellStyle name="20% - Accent2 4 2 2 6 2" xfId="12020"/>
    <cellStyle name="20% - Accent2 4 2 2 6 2 2" xfId="12021"/>
    <cellStyle name="20% - Accent2 4 2 2 6 2 3" xfId="12022"/>
    <cellStyle name="20% - Accent2 4 2 2 6 3" xfId="12023"/>
    <cellStyle name="20% - Accent2 4 2 2 6 3 2" xfId="12024"/>
    <cellStyle name="20% - Accent2 4 2 2 6 3 3" xfId="12025"/>
    <cellStyle name="20% - Accent2 4 2 2 6 4" xfId="12026"/>
    <cellStyle name="20% - Accent2 4 2 2 6 4 2" xfId="12027"/>
    <cellStyle name="20% - Accent2 4 2 2 6 5" xfId="12028"/>
    <cellStyle name="20% - Accent2 4 2 2 6 6" xfId="12029"/>
    <cellStyle name="20% - Accent2 4 2 2 7" xfId="12030"/>
    <cellStyle name="20% - Accent2 4 2 2 7 2" xfId="12031"/>
    <cellStyle name="20% - Accent2 4 2 2 7 2 2" xfId="12032"/>
    <cellStyle name="20% - Accent2 4 2 2 7 2 3" xfId="12033"/>
    <cellStyle name="20% - Accent2 4 2 2 7 3" xfId="12034"/>
    <cellStyle name="20% - Accent2 4 2 2 7 3 2" xfId="12035"/>
    <cellStyle name="20% - Accent2 4 2 2 7 3 3" xfId="12036"/>
    <cellStyle name="20% - Accent2 4 2 2 7 4" xfId="12037"/>
    <cellStyle name="20% - Accent2 4 2 2 7 4 2" xfId="12038"/>
    <cellStyle name="20% - Accent2 4 2 2 7 5" xfId="12039"/>
    <cellStyle name="20% - Accent2 4 2 2 7 6" xfId="12040"/>
    <cellStyle name="20% - Accent2 4 2 2 8" xfId="12041"/>
    <cellStyle name="20% - Accent2 4 2 2 8 2" xfId="12042"/>
    <cellStyle name="20% - Accent2 4 2 2 8 2 2" xfId="12043"/>
    <cellStyle name="20% - Accent2 4 2 2 8 2 3" xfId="12044"/>
    <cellStyle name="20% - Accent2 4 2 2 8 3" xfId="12045"/>
    <cellStyle name="20% - Accent2 4 2 2 8 3 2" xfId="12046"/>
    <cellStyle name="20% - Accent2 4 2 2 8 4" xfId="12047"/>
    <cellStyle name="20% - Accent2 4 2 2 8 5" xfId="12048"/>
    <cellStyle name="20% - Accent2 4 2 2 9" xfId="12049"/>
    <cellStyle name="20% - Accent2 4 2 2 9 2" xfId="12050"/>
    <cellStyle name="20% - Accent2 4 2 2 9 3" xfId="12051"/>
    <cellStyle name="20% - Accent2 4 2 3" xfId="376"/>
    <cellStyle name="20% - Accent2 4 2 3 10" xfId="12052"/>
    <cellStyle name="20% - Accent2 4 2 3 10 2" xfId="12053"/>
    <cellStyle name="20% - Accent2 4 2 3 11" xfId="12054"/>
    <cellStyle name="20% - Accent2 4 2 3 12" xfId="12055"/>
    <cellStyle name="20% - Accent2 4 2 3 2" xfId="377"/>
    <cellStyle name="20% - Accent2 4 2 3 2 10" xfId="12056"/>
    <cellStyle name="20% - Accent2 4 2 3 2 2" xfId="378"/>
    <cellStyle name="20% - Accent2 4 2 3 2 2 2" xfId="12057"/>
    <cellStyle name="20% - Accent2 4 2 3 2 2 2 2" xfId="12058"/>
    <cellStyle name="20% - Accent2 4 2 3 2 2 2 2 2" xfId="12059"/>
    <cellStyle name="20% - Accent2 4 2 3 2 2 2 2 3" xfId="12060"/>
    <cellStyle name="20% - Accent2 4 2 3 2 2 2 3" xfId="12061"/>
    <cellStyle name="20% - Accent2 4 2 3 2 2 2 3 2" xfId="12062"/>
    <cellStyle name="20% - Accent2 4 2 3 2 2 2 3 3" xfId="12063"/>
    <cellStyle name="20% - Accent2 4 2 3 2 2 2 4" xfId="12064"/>
    <cellStyle name="20% - Accent2 4 2 3 2 2 2 4 2" xfId="12065"/>
    <cellStyle name="20% - Accent2 4 2 3 2 2 2 5" xfId="12066"/>
    <cellStyle name="20% - Accent2 4 2 3 2 2 2 6" xfId="12067"/>
    <cellStyle name="20% - Accent2 4 2 3 2 2 3" xfId="12068"/>
    <cellStyle name="20% - Accent2 4 2 3 2 2 3 2" xfId="12069"/>
    <cellStyle name="20% - Accent2 4 2 3 2 2 3 2 2" xfId="12070"/>
    <cellStyle name="20% - Accent2 4 2 3 2 2 3 2 3" xfId="12071"/>
    <cellStyle name="20% - Accent2 4 2 3 2 2 3 3" xfId="12072"/>
    <cellStyle name="20% - Accent2 4 2 3 2 2 3 3 2" xfId="12073"/>
    <cellStyle name="20% - Accent2 4 2 3 2 2 3 3 3" xfId="12074"/>
    <cellStyle name="20% - Accent2 4 2 3 2 2 3 4" xfId="12075"/>
    <cellStyle name="20% - Accent2 4 2 3 2 2 3 4 2" xfId="12076"/>
    <cellStyle name="20% - Accent2 4 2 3 2 2 3 5" xfId="12077"/>
    <cellStyle name="20% - Accent2 4 2 3 2 2 3 6" xfId="12078"/>
    <cellStyle name="20% - Accent2 4 2 3 2 2 4" xfId="12079"/>
    <cellStyle name="20% - Accent2 4 2 3 2 2 4 2" xfId="12080"/>
    <cellStyle name="20% - Accent2 4 2 3 2 2 4 2 2" xfId="12081"/>
    <cellStyle name="20% - Accent2 4 2 3 2 2 4 2 3" xfId="12082"/>
    <cellStyle name="20% - Accent2 4 2 3 2 2 4 3" xfId="12083"/>
    <cellStyle name="20% - Accent2 4 2 3 2 2 4 3 2" xfId="12084"/>
    <cellStyle name="20% - Accent2 4 2 3 2 2 4 4" xfId="12085"/>
    <cellStyle name="20% - Accent2 4 2 3 2 2 4 5" xfId="12086"/>
    <cellStyle name="20% - Accent2 4 2 3 2 2 5" xfId="12087"/>
    <cellStyle name="20% - Accent2 4 2 3 2 2 5 2" xfId="12088"/>
    <cellStyle name="20% - Accent2 4 2 3 2 2 5 3" xfId="12089"/>
    <cellStyle name="20% - Accent2 4 2 3 2 2 6" xfId="12090"/>
    <cellStyle name="20% - Accent2 4 2 3 2 2 6 2" xfId="12091"/>
    <cellStyle name="20% - Accent2 4 2 3 2 2 6 3" xfId="12092"/>
    <cellStyle name="20% - Accent2 4 2 3 2 2 7" xfId="12093"/>
    <cellStyle name="20% - Accent2 4 2 3 2 2 7 2" xfId="12094"/>
    <cellStyle name="20% - Accent2 4 2 3 2 2 8" xfId="12095"/>
    <cellStyle name="20% - Accent2 4 2 3 2 2 9" xfId="12096"/>
    <cellStyle name="20% - Accent2 4 2 3 2 3" xfId="12097"/>
    <cellStyle name="20% - Accent2 4 2 3 2 3 2" xfId="12098"/>
    <cellStyle name="20% - Accent2 4 2 3 2 3 2 2" xfId="12099"/>
    <cellStyle name="20% - Accent2 4 2 3 2 3 2 3" xfId="12100"/>
    <cellStyle name="20% - Accent2 4 2 3 2 3 3" xfId="12101"/>
    <cellStyle name="20% - Accent2 4 2 3 2 3 3 2" xfId="12102"/>
    <cellStyle name="20% - Accent2 4 2 3 2 3 3 3" xfId="12103"/>
    <cellStyle name="20% - Accent2 4 2 3 2 3 4" xfId="12104"/>
    <cellStyle name="20% - Accent2 4 2 3 2 3 4 2" xfId="12105"/>
    <cellStyle name="20% - Accent2 4 2 3 2 3 5" xfId="12106"/>
    <cellStyle name="20% - Accent2 4 2 3 2 3 6" xfId="12107"/>
    <cellStyle name="20% - Accent2 4 2 3 2 4" xfId="12108"/>
    <cellStyle name="20% - Accent2 4 2 3 2 4 2" xfId="12109"/>
    <cellStyle name="20% - Accent2 4 2 3 2 4 2 2" xfId="12110"/>
    <cellStyle name="20% - Accent2 4 2 3 2 4 2 3" xfId="12111"/>
    <cellStyle name="20% - Accent2 4 2 3 2 4 3" xfId="12112"/>
    <cellStyle name="20% - Accent2 4 2 3 2 4 3 2" xfId="12113"/>
    <cellStyle name="20% - Accent2 4 2 3 2 4 3 3" xfId="12114"/>
    <cellStyle name="20% - Accent2 4 2 3 2 4 4" xfId="12115"/>
    <cellStyle name="20% - Accent2 4 2 3 2 4 4 2" xfId="12116"/>
    <cellStyle name="20% - Accent2 4 2 3 2 4 5" xfId="12117"/>
    <cellStyle name="20% - Accent2 4 2 3 2 4 6" xfId="12118"/>
    <cellStyle name="20% - Accent2 4 2 3 2 5" xfId="12119"/>
    <cellStyle name="20% - Accent2 4 2 3 2 5 2" xfId="12120"/>
    <cellStyle name="20% - Accent2 4 2 3 2 5 2 2" xfId="12121"/>
    <cellStyle name="20% - Accent2 4 2 3 2 5 2 3" xfId="12122"/>
    <cellStyle name="20% - Accent2 4 2 3 2 5 3" xfId="12123"/>
    <cellStyle name="20% - Accent2 4 2 3 2 5 3 2" xfId="12124"/>
    <cellStyle name="20% - Accent2 4 2 3 2 5 4" xfId="12125"/>
    <cellStyle name="20% - Accent2 4 2 3 2 5 5" xfId="12126"/>
    <cellStyle name="20% - Accent2 4 2 3 2 6" xfId="12127"/>
    <cellStyle name="20% - Accent2 4 2 3 2 6 2" xfId="12128"/>
    <cellStyle name="20% - Accent2 4 2 3 2 6 3" xfId="12129"/>
    <cellStyle name="20% - Accent2 4 2 3 2 7" xfId="12130"/>
    <cellStyle name="20% - Accent2 4 2 3 2 7 2" xfId="12131"/>
    <cellStyle name="20% - Accent2 4 2 3 2 7 3" xfId="12132"/>
    <cellStyle name="20% - Accent2 4 2 3 2 8" xfId="12133"/>
    <cellStyle name="20% - Accent2 4 2 3 2 8 2" xfId="12134"/>
    <cellStyle name="20% - Accent2 4 2 3 2 9" xfId="12135"/>
    <cellStyle name="20% - Accent2 4 2 3 3" xfId="379"/>
    <cellStyle name="20% - Accent2 4 2 3 3 2" xfId="12136"/>
    <cellStyle name="20% - Accent2 4 2 3 3 2 2" xfId="12137"/>
    <cellStyle name="20% - Accent2 4 2 3 3 2 2 2" xfId="12138"/>
    <cellStyle name="20% - Accent2 4 2 3 3 2 2 3" xfId="12139"/>
    <cellStyle name="20% - Accent2 4 2 3 3 2 3" xfId="12140"/>
    <cellStyle name="20% - Accent2 4 2 3 3 2 3 2" xfId="12141"/>
    <cellStyle name="20% - Accent2 4 2 3 3 2 3 3" xfId="12142"/>
    <cellStyle name="20% - Accent2 4 2 3 3 2 4" xfId="12143"/>
    <cellStyle name="20% - Accent2 4 2 3 3 2 4 2" xfId="12144"/>
    <cellStyle name="20% - Accent2 4 2 3 3 2 5" xfId="12145"/>
    <cellStyle name="20% - Accent2 4 2 3 3 2 6" xfId="12146"/>
    <cellStyle name="20% - Accent2 4 2 3 3 3" xfId="12147"/>
    <cellStyle name="20% - Accent2 4 2 3 3 3 2" xfId="12148"/>
    <cellStyle name="20% - Accent2 4 2 3 3 3 2 2" xfId="12149"/>
    <cellStyle name="20% - Accent2 4 2 3 3 3 2 3" xfId="12150"/>
    <cellStyle name="20% - Accent2 4 2 3 3 3 3" xfId="12151"/>
    <cellStyle name="20% - Accent2 4 2 3 3 3 3 2" xfId="12152"/>
    <cellStyle name="20% - Accent2 4 2 3 3 3 3 3" xfId="12153"/>
    <cellStyle name="20% - Accent2 4 2 3 3 3 4" xfId="12154"/>
    <cellStyle name="20% - Accent2 4 2 3 3 3 4 2" xfId="12155"/>
    <cellStyle name="20% - Accent2 4 2 3 3 3 5" xfId="12156"/>
    <cellStyle name="20% - Accent2 4 2 3 3 3 6" xfId="12157"/>
    <cellStyle name="20% - Accent2 4 2 3 3 4" xfId="12158"/>
    <cellStyle name="20% - Accent2 4 2 3 3 4 2" xfId="12159"/>
    <cellStyle name="20% - Accent2 4 2 3 3 4 2 2" xfId="12160"/>
    <cellStyle name="20% - Accent2 4 2 3 3 4 2 3" xfId="12161"/>
    <cellStyle name="20% - Accent2 4 2 3 3 4 3" xfId="12162"/>
    <cellStyle name="20% - Accent2 4 2 3 3 4 3 2" xfId="12163"/>
    <cellStyle name="20% - Accent2 4 2 3 3 4 4" xfId="12164"/>
    <cellStyle name="20% - Accent2 4 2 3 3 4 5" xfId="12165"/>
    <cellStyle name="20% - Accent2 4 2 3 3 5" xfId="12166"/>
    <cellStyle name="20% - Accent2 4 2 3 3 5 2" xfId="12167"/>
    <cellStyle name="20% - Accent2 4 2 3 3 5 3" xfId="12168"/>
    <cellStyle name="20% - Accent2 4 2 3 3 6" xfId="12169"/>
    <cellStyle name="20% - Accent2 4 2 3 3 6 2" xfId="12170"/>
    <cellStyle name="20% - Accent2 4 2 3 3 6 3" xfId="12171"/>
    <cellStyle name="20% - Accent2 4 2 3 3 7" xfId="12172"/>
    <cellStyle name="20% - Accent2 4 2 3 3 7 2" xfId="12173"/>
    <cellStyle name="20% - Accent2 4 2 3 3 8" xfId="12174"/>
    <cellStyle name="20% - Accent2 4 2 3 3 9" xfId="12175"/>
    <cellStyle name="20% - Accent2 4 2 3 4" xfId="12176"/>
    <cellStyle name="20% - Accent2 4 2 3 4 2" xfId="12177"/>
    <cellStyle name="20% - Accent2 4 2 3 4 2 2" xfId="12178"/>
    <cellStyle name="20% - Accent2 4 2 3 4 2 2 2" xfId="12179"/>
    <cellStyle name="20% - Accent2 4 2 3 4 2 2 3" xfId="12180"/>
    <cellStyle name="20% - Accent2 4 2 3 4 2 3" xfId="12181"/>
    <cellStyle name="20% - Accent2 4 2 3 4 2 3 2" xfId="12182"/>
    <cellStyle name="20% - Accent2 4 2 3 4 2 3 3" xfId="12183"/>
    <cellStyle name="20% - Accent2 4 2 3 4 2 4" xfId="12184"/>
    <cellStyle name="20% - Accent2 4 2 3 4 2 4 2" xfId="12185"/>
    <cellStyle name="20% - Accent2 4 2 3 4 2 5" xfId="12186"/>
    <cellStyle name="20% - Accent2 4 2 3 4 2 6" xfId="12187"/>
    <cellStyle name="20% - Accent2 4 2 3 4 3" xfId="12188"/>
    <cellStyle name="20% - Accent2 4 2 3 4 3 2" xfId="12189"/>
    <cellStyle name="20% - Accent2 4 2 3 4 3 2 2" xfId="12190"/>
    <cellStyle name="20% - Accent2 4 2 3 4 3 2 3" xfId="12191"/>
    <cellStyle name="20% - Accent2 4 2 3 4 3 3" xfId="12192"/>
    <cellStyle name="20% - Accent2 4 2 3 4 3 3 2" xfId="12193"/>
    <cellStyle name="20% - Accent2 4 2 3 4 3 3 3" xfId="12194"/>
    <cellStyle name="20% - Accent2 4 2 3 4 3 4" xfId="12195"/>
    <cellStyle name="20% - Accent2 4 2 3 4 3 4 2" xfId="12196"/>
    <cellStyle name="20% - Accent2 4 2 3 4 3 5" xfId="12197"/>
    <cellStyle name="20% - Accent2 4 2 3 4 3 6" xfId="12198"/>
    <cellStyle name="20% - Accent2 4 2 3 4 4" xfId="12199"/>
    <cellStyle name="20% - Accent2 4 2 3 4 4 2" xfId="12200"/>
    <cellStyle name="20% - Accent2 4 2 3 4 4 2 2" xfId="12201"/>
    <cellStyle name="20% - Accent2 4 2 3 4 4 2 3" xfId="12202"/>
    <cellStyle name="20% - Accent2 4 2 3 4 4 3" xfId="12203"/>
    <cellStyle name="20% - Accent2 4 2 3 4 4 3 2" xfId="12204"/>
    <cellStyle name="20% - Accent2 4 2 3 4 4 4" xfId="12205"/>
    <cellStyle name="20% - Accent2 4 2 3 4 4 5" xfId="12206"/>
    <cellStyle name="20% - Accent2 4 2 3 4 5" xfId="12207"/>
    <cellStyle name="20% - Accent2 4 2 3 4 5 2" xfId="12208"/>
    <cellStyle name="20% - Accent2 4 2 3 4 5 3" xfId="12209"/>
    <cellStyle name="20% - Accent2 4 2 3 4 6" xfId="12210"/>
    <cellStyle name="20% - Accent2 4 2 3 4 6 2" xfId="12211"/>
    <cellStyle name="20% - Accent2 4 2 3 4 6 3" xfId="12212"/>
    <cellStyle name="20% - Accent2 4 2 3 4 7" xfId="12213"/>
    <cellStyle name="20% - Accent2 4 2 3 4 7 2" xfId="12214"/>
    <cellStyle name="20% - Accent2 4 2 3 4 8" xfId="12215"/>
    <cellStyle name="20% - Accent2 4 2 3 4 9" xfId="12216"/>
    <cellStyle name="20% - Accent2 4 2 3 5" xfId="12217"/>
    <cellStyle name="20% - Accent2 4 2 3 5 2" xfId="12218"/>
    <cellStyle name="20% - Accent2 4 2 3 5 2 2" xfId="12219"/>
    <cellStyle name="20% - Accent2 4 2 3 5 2 3" xfId="12220"/>
    <cellStyle name="20% - Accent2 4 2 3 5 3" xfId="12221"/>
    <cellStyle name="20% - Accent2 4 2 3 5 3 2" xfId="12222"/>
    <cellStyle name="20% - Accent2 4 2 3 5 3 3" xfId="12223"/>
    <cellStyle name="20% - Accent2 4 2 3 5 4" xfId="12224"/>
    <cellStyle name="20% - Accent2 4 2 3 5 4 2" xfId="12225"/>
    <cellStyle name="20% - Accent2 4 2 3 5 5" xfId="12226"/>
    <cellStyle name="20% - Accent2 4 2 3 5 6" xfId="12227"/>
    <cellStyle name="20% - Accent2 4 2 3 6" xfId="12228"/>
    <cellStyle name="20% - Accent2 4 2 3 6 2" xfId="12229"/>
    <cellStyle name="20% - Accent2 4 2 3 6 2 2" xfId="12230"/>
    <cellStyle name="20% - Accent2 4 2 3 6 2 3" xfId="12231"/>
    <cellStyle name="20% - Accent2 4 2 3 6 3" xfId="12232"/>
    <cellStyle name="20% - Accent2 4 2 3 6 3 2" xfId="12233"/>
    <cellStyle name="20% - Accent2 4 2 3 6 3 3" xfId="12234"/>
    <cellStyle name="20% - Accent2 4 2 3 6 4" xfId="12235"/>
    <cellStyle name="20% - Accent2 4 2 3 6 4 2" xfId="12236"/>
    <cellStyle name="20% - Accent2 4 2 3 6 5" xfId="12237"/>
    <cellStyle name="20% - Accent2 4 2 3 6 6" xfId="12238"/>
    <cellStyle name="20% - Accent2 4 2 3 7" xfId="12239"/>
    <cellStyle name="20% - Accent2 4 2 3 7 2" xfId="12240"/>
    <cellStyle name="20% - Accent2 4 2 3 7 2 2" xfId="12241"/>
    <cellStyle name="20% - Accent2 4 2 3 7 2 3" xfId="12242"/>
    <cellStyle name="20% - Accent2 4 2 3 7 3" xfId="12243"/>
    <cellStyle name="20% - Accent2 4 2 3 7 3 2" xfId="12244"/>
    <cellStyle name="20% - Accent2 4 2 3 7 4" xfId="12245"/>
    <cellStyle name="20% - Accent2 4 2 3 7 5" xfId="12246"/>
    <cellStyle name="20% - Accent2 4 2 3 8" xfId="12247"/>
    <cellStyle name="20% - Accent2 4 2 3 8 2" xfId="12248"/>
    <cellStyle name="20% - Accent2 4 2 3 8 3" xfId="12249"/>
    <cellStyle name="20% - Accent2 4 2 3 9" xfId="12250"/>
    <cellStyle name="20% - Accent2 4 2 3 9 2" xfId="12251"/>
    <cellStyle name="20% - Accent2 4 2 3 9 3" xfId="12252"/>
    <cellStyle name="20% - Accent2 4 2 4" xfId="380"/>
    <cellStyle name="20% - Accent2 4 2 4 10" xfId="12253"/>
    <cellStyle name="20% - Accent2 4 2 4 2" xfId="381"/>
    <cellStyle name="20% - Accent2 4 2 4 2 2" xfId="12254"/>
    <cellStyle name="20% - Accent2 4 2 4 2 2 2" xfId="12255"/>
    <cellStyle name="20% - Accent2 4 2 4 2 2 2 2" xfId="12256"/>
    <cellStyle name="20% - Accent2 4 2 4 2 2 2 3" xfId="12257"/>
    <cellStyle name="20% - Accent2 4 2 4 2 2 3" xfId="12258"/>
    <cellStyle name="20% - Accent2 4 2 4 2 2 3 2" xfId="12259"/>
    <cellStyle name="20% - Accent2 4 2 4 2 2 3 3" xfId="12260"/>
    <cellStyle name="20% - Accent2 4 2 4 2 2 4" xfId="12261"/>
    <cellStyle name="20% - Accent2 4 2 4 2 2 4 2" xfId="12262"/>
    <cellStyle name="20% - Accent2 4 2 4 2 2 5" xfId="12263"/>
    <cellStyle name="20% - Accent2 4 2 4 2 2 6" xfId="12264"/>
    <cellStyle name="20% - Accent2 4 2 4 2 3" xfId="12265"/>
    <cellStyle name="20% - Accent2 4 2 4 2 3 2" xfId="12266"/>
    <cellStyle name="20% - Accent2 4 2 4 2 3 2 2" xfId="12267"/>
    <cellStyle name="20% - Accent2 4 2 4 2 3 2 3" xfId="12268"/>
    <cellStyle name="20% - Accent2 4 2 4 2 3 3" xfId="12269"/>
    <cellStyle name="20% - Accent2 4 2 4 2 3 3 2" xfId="12270"/>
    <cellStyle name="20% - Accent2 4 2 4 2 3 3 3" xfId="12271"/>
    <cellStyle name="20% - Accent2 4 2 4 2 3 4" xfId="12272"/>
    <cellStyle name="20% - Accent2 4 2 4 2 3 4 2" xfId="12273"/>
    <cellStyle name="20% - Accent2 4 2 4 2 3 5" xfId="12274"/>
    <cellStyle name="20% - Accent2 4 2 4 2 3 6" xfId="12275"/>
    <cellStyle name="20% - Accent2 4 2 4 2 4" xfId="12276"/>
    <cellStyle name="20% - Accent2 4 2 4 2 4 2" xfId="12277"/>
    <cellStyle name="20% - Accent2 4 2 4 2 4 2 2" xfId="12278"/>
    <cellStyle name="20% - Accent2 4 2 4 2 4 2 3" xfId="12279"/>
    <cellStyle name="20% - Accent2 4 2 4 2 4 3" xfId="12280"/>
    <cellStyle name="20% - Accent2 4 2 4 2 4 3 2" xfId="12281"/>
    <cellStyle name="20% - Accent2 4 2 4 2 4 4" xfId="12282"/>
    <cellStyle name="20% - Accent2 4 2 4 2 4 5" xfId="12283"/>
    <cellStyle name="20% - Accent2 4 2 4 2 5" xfId="12284"/>
    <cellStyle name="20% - Accent2 4 2 4 2 5 2" xfId="12285"/>
    <cellStyle name="20% - Accent2 4 2 4 2 5 3" xfId="12286"/>
    <cellStyle name="20% - Accent2 4 2 4 2 6" xfId="12287"/>
    <cellStyle name="20% - Accent2 4 2 4 2 6 2" xfId="12288"/>
    <cellStyle name="20% - Accent2 4 2 4 2 6 3" xfId="12289"/>
    <cellStyle name="20% - Accent2 4 2 4 2 7" xfId="12290"/>
    <cellStyle name="20% - Accent2 4 2 4 2 7 2" xfId="12291"/>
    <cellStyle name="20% - Accent2 4 2 4 2 8" xfId="12292"/>
    <cellStyle name="20% - Accent2 4 2 4 2 9" xfId="12293"/>
    <cellStyle name="20% - Accent2 4 2 4 3" xfId="12294"/>
    <cellStyle name="20% - Accent2 4 2 4 3 2" xfId="12295"/>
    <cellStyle name="20% - Accent2 4 2 4 3 2 2" xfId="12296"/>
    <cellStyle name="20% - Accent2 4 2 4 3 2 3" xfId="12297"/>
    <cellStyle name="20% - Accent2 4 2 4 3 3" xfId="12298"/>
    <cellStyle name="20% - Accent2 4 2 4 3 3 2" xfId="12299"/>
    <cellStyle name="20% - Accent2 4 2 4 3 3 3" xfId="12300"/>
    <cellStyle name="20% - Accent2 4 2 4 3 4" xfId="12301"/>
    <cellStyle name="20% - Accent2 4 2 4 3 4 2" xfId="12302"/>
    <cellStyle name="20% - Accent2 4 2 4 3 5" xfId="12303"/>
    <cellStyle name="20% - Accent2 4 2 4 3 6" xfId="12304"/>
    <cellStyle name="20% - Accent2 4 2 4 4" xfId="12305"/>
    <cellStyle name="20% - Accent2 4 2 4 4 2" xfId="12306"/>
    <cellStyle name="20% - Accent2 4 2 4 4 2 2" xfId="12307"/>
    <cellStyle name="20% - Accent2 4 2 4 4 2 3" xfId="12308"/>
    <cellStyle name="20% - Accent2 4 2 4 4 3" xfId="12309"/>
    <cellStyle name="20% - Accent2 4 2 4 4 3 2" xfId="12310"/>
    <cellStyle name="20% - Accent2 4 2 4 4 3 3" xfId="12311"/>
    <cellStyle name="20% - Accent2 4 2 4 4 4" xfId="12312"/>
    <cellStyle name="20% - Accent2 4 2 4 4 4 2" xfId="12313"/>
    <cellStyle name="20% - Accent2 4 2 4 4 5" xfId="12314"/>
    <cellStyle name="20% - Accent2 4 2 4 4 6" xfId="12315"/>
    <cellStyle name="20% - Accent2 4 2 4 5" xfId="12316"/>
    <cellStyle name="20% - Accent2 4 2 4 5 2" xfId="12317"/>
    <cellStyle name="20% - Accent2 4 2 4 5 2 2" xfId="12318"/>
    <cellStyle name="20% - Accent2 4 2 4 5 2 3" xfId="12319"/>
    <cellStyle name="20% - Accent2 4 2 4 5 3" xfId="12320"/>
    <cellStyle name="20% - Accent2 4 2 4 5 3 2" xfId="12321"/>
    <cellStyle name="20% - Accent2 4 2 4 5 4" xfId="12322"/>
    <cellStyle name="20% - Accent2 4 2 4 5 5" xfId="12323"/>
    <cellStyle name="20% - Accent2 4 2 4 6" xfId="12324"/>
    <cellStyle name="20% - Accent2 4 2 4 6 2" xfId="12325"/>
    <cellStyle name="20% - Accent2 4 2 4 6 3" xfId="12326"/>
    <cellStyle name="20% - Accent2 4 2 4 7" xfId="12327"/>
    <cellStyle name="20% - Accent2 4 2 4 7 2" xfId="12328"/>
    <cellStyle name="20% - Accent2 4 2 4 7 3" xfId="12329"/>
    <cellStyle name="20% - Accent2 4 2 4 8" xfId="12330"/>
    <cellStyle name="20% - Accent2 4 2 4 8 2" xfId="12331"/>
    <cellStyle name="20% - Accent2 4 2 4 9" xfId="12332"/>
    <cellStyle name="20% - Accent2 4 2 5" xfId="382"/>
    <cellStyle name="20% - Accent2 4 2 5 2" xfId="12333"/>
    <cellStyle name="20% - Accent2 4 2 5 2 2" xfId="12334"/>
    <cellStyle name="20% - Accent2 4 2 5 2 2 2" xfId="12335"/>
    <cellStyle name="20% - Accent2 4 2 5 2 2 3" xfId="12336"/>
    <cellStyle name="20% - Accent2 4 2 5 2 3" xfId="12337"/>
    <cellStyle name="20% - Accent2 4 2 5 2 3 2" xfId="12338"/>
    <cellStyle name="20% - Accent2 4 2 5 2 3 3" xfId="12339"/>
    <cellStyle name="20% - Accent2 4 2 5 2 4" xfId="12340"/>
    <cellStyle name="20% - Accent2 4 2 5 2 4 2" xfId="12341"/>
    <cellStyle name="20% - Accent2 4 2 5 2 5" xfId="12342"/>
    <cellStyle name="20% - Accent2 4 2 5 2 6" xfId="12343"/>
    <cellStyle name="20% - Accent2 4 2 5 3" xfId="12344"/>
    <cellStyle name="20% - Accent2 4 2 5 3 2" xfId="12345"/>
    <cellStyle name="20% - Accent2 4 2 5 3 2 2" xfId="12346"/>
    <cellStyle name="20% - Accent2 4 2 5 3 2 3" xfId="12347"/>
    <cellStyle name="20% - Accent2 4 2 5 3 3" xfId="12348"/>
    <cellStyle name="20% - Accent2 4 2 5 3 3 2" xfId="12349"/>
    <cellStyle name="20% - Accent2 4 2 5 3 3 3" xfId="12350"/>
    <cellStyle name="20% - Accent2 4 2 5 3 4" xfId="12351"/>
    <cellStyle name="20% - Accent2 4 2 5 3 4 2" xfId="12352"/>
    <cellStyle name="20% - Accent2 4 2 5 3 5" xfId="12353"/>
    <cellStyle name="20% - Accent2 4 2 5 3 6" xfId="12354"/>
    <cellStyle name="20% - Accent2 4 2 5 4" xfId="12355"/>
    <cellStyle name="20% - Accent2 4 2 5 4 2" xfId="12356"/>
    <cellStyle name="20% - Accent2 4 2 5 4 2 2" xfId="12357"/>
    <cellStyle name="20% - Accent2 4 2 5 4 2 3" xfId="12358"/>
    <cellStyle name="20% - Accent2 4 2 5 4 3" xfId="12359"/>
    <cellStyle name="20% - Accent2 4 2 5 4 3 2" xfId="12360"/>
    <cellStyle name="20% - Accent2 4 2 5 4 4" xfId="12361"/>
    <cellStyle name="20% - Accent2 4 2 5 4 5" xfId="12362"/>
    <cellStyle name="20% - Accent2 4 2 5 5" xfId="12363"/>
    <cellStyle name="20% - Accent2 4 2 5 5 2" xfId="12364"/>
    <cellStyle name="20% - Accent2 4 2 5 5 3" xfId="12365"/>
    <cellStyle name="20% - Accent2 4 2 5 6" xfId="12366"/>
    <cellStyle name="20% - Accent2 4 2 5 6 2" xfId="12367"/>
    <cellStyle name="20% - Accent2 4 2 5 6 3" xfId="12368"/>
    <cellStyle name="20% - Accent2 4 2 5 7" xfId="12369"/>
    <cellStyle name="20% - Accent2 4 2 5 7 2" xfId="12370"/>
    <cellStyle name="20% - Accent2 4 2 5 8" xfId="12371"/>
    <cellStyle name="20% - Accent2 4 2 5 9" xfId="12372"/>
    <cellStyle name="20% - Accent2 4 2 6" xfId="12373"/>
    <cellStyle name="20% - Accent2 4 2 6 2" xfId="12374"/>
    <cellStyle name="20% - Accent2 4 2 6 2 2" xfId="12375"/>
    <cellStyle name="20% - Accent2 4 2 6 2 2 2" xfId="12376"/>
    <cellStyle name="20% - Accent2 4 2 6 2 2 3" xfId="12377"/>
    <cellStyle name="20% - Accent2 4 2 6 2 3" xfId="12378"/>
    <cellStyle name="20% - Accent2 4 2 6 2 3 2" xfId="12379"/>
    <cellStyle name="20% - Accent2 4 2 6 2 3 3" xfId="12380"/>
    <cellStyle name="20% - Accent2 4 2 6 2 4" xfId="12381"/>
    <cellStyle name="20% - Accent2 4 2 6 2 4 2" xfId="12382"/>
    <cellStyle name="20% - Accent2 4 2 6 2 5" xfId="12383"/>
    <cellStyle name="20% - Accent2 4 2 6 2 6" xfId="12384"/>
    <cellStyle name="20% - Accent2 4 2 6 3" xfId="12385"/>
    <cellStyle name="20% - Accent2 4 2 6 3 2" xfId="12386"/>
    <cellStyle name="20% - Accent2 4 2 6 3 2 2" xfId="12387"/>
    <cellStyle name="20% - Accent2 4 2 6 3 2 3" xfId="12388"/>
    <cellStyle name="20% - Accent2 4 2 6 3 3" xfId="12389"/>
    <cellStyle name="20% - Accent2 4 2 6 3 3 2" xfId="12390"/>
    <cellStyle name="20% - Accent2 4 2 6 3 3 3" xfId="12391"/>
    <cellStyle name="20% - Accent2 4 2 6 3 4" xfId="12392"/>
    <cellStyle name="20% - Accent2 4 2 6 3 4 2" xfId="12393"/>
    <cellStyle name="20% - Accent2 4 2 6 3 5" xfId="12394"/>
    <cellStyle name="20% - Accent2 4 2 6 3 6" xfId="12395"/>
    <cellStyle name="20% - Accent2 4 2 6 4" xfId="12396"/>
    <cellStyle name="20% - Accent2 4 2 6 4 2" xfId="12397"/>
    <cellStyle name="20% - Accent2 4 2 6 4 2 2" xfId="12398"/>
    <cellStyle name="20% - Accent2 4 2 6 4 2 3" xfId="12399"/>
    <cellStyle name="20% - Accent2 4 2 6 4 3" xfId="12400"/>
    <cellStyle name="20% - Accent2 4 2 6 4 3 2" xfId="12401"/>
    <cellStyle name="20% - Accent2 4 2 6 4 4" xfId="12402"/>
    <cellStyle name="20% - Accent2 4 2 6 4 5" xfId="12403"/>
    <cellStyle name="20% - Accent2 4 2 6 5" xfId="12404"/>
    <cellStyle name="20% - Accent2 4 2 6 5 2" xfId="12405"/>
    <cellStyle name="20% - Accent2 4 2 6 5 3" xfId="12406"/>
    <cellStyle name="20% - Accent2 4 2 6 6" xfId="12407"/>
    <cellStyle name="20% - Accent2 4 2 6 6 2" xfId="12408"/>
    <cellStyle name="20% - Accent2 4 2 6 6 3" xfId="12409"/>
    <cellStyle name="20% - Accent2 4 2 6 7" xfId="12410"/>
    <cellStyle name="20% - Accent2 4 2 6 7 2" xfId="12411"/>
    <cellStyle name="20% - Accent2 4 2 6 8" xfId="12412"/>
    <cellStyle name="20% - Accent2 4 2 6 9" xfId="12413"/>
    <cellStyle name="20% - Accent2 4 2 7" xfId="12414"/>
    <cellStyle name="20% - Accent2 4 2 7 2" xfId="12415"/>
    <cellStyle name="20% - Accent2 4 2 7 2 2" xfId="12416"/>
    <cellStyle name="20% - Accent2 4 2 7 2 3" xfId="12417"/>
    <cellStyle name="20% - Accent2 4 2 7 3" xfId="12418"/>
    <cellStyle name="20% - Accent2 4 2 7 3 2" xfId="12419"/>
    <cellStyle name="20% - Accent2 4 2 7 3 3" xfId="12420"/>
    <cellStyle name="20% - Accent2 4 2 7 4" xfId="12421"/>
    <cellStyle name="20% - Accent2 4 2 7 4 2" xfId="12422"/>
    <cellStyle name="20% - Accent2 4 2 7 5" xfId="12423"/>
    <cellStyle name="20% - Accent2 4 2 7 6" xfId="12424"/>
    <cellStyle name="20% - Accent2 4 2 8" xfId="12425"/>
    <cellStyle name="20% - Accent2 4 2 8 2" xfId="12426"/>
    <cellStyle name="20% - Accent2 4 2 8 2 2" xfId="12427"/>
    <cellStyle name="20% - Accent2 4 2 8 2 3" xfId="12428"/>
    <cellStyle name="20% - Accent2 4 2 8 3" xfId="12429"/>
    <cellStyle name="20% - Accent2 4 2 8 3 2" xfId="12430"/>
    <cellStyle name="20% - Accent2 4 2 8 3 3" xfId="12431"/>
    <cellStyle name="20% - Accent2 4 2 8 4" xfId="12432"/>
    <cellStyle name="20% - Accent2 4 2 8 4 2" xfId="12433"/>
    <cellStyle name="20% - Accent2 4 2 8 5" xfId="12434"/>
    <cellStyle name="20% - Accent2 4 2 8 6" xfId="12435"/>
    <cellStyle name="20% - Accent2 4 2 9" xfId="12436"/>
    <cellStyle name="20% - Accent2 4 2 9 2" xfId="12437"/>
    <cellStyle name="20% - Accent2 4 2 9 2 2" xfId="12438"/>
    <cellStyle name="20% - Accent2 4 2 9 2 3" xfId="12439"/>
    <cellStyle name="20% - Accent2 4 2 9 3" xfId="12440"/>
    <cellStyle name="20% - Accent2 4 2 9 3 2" xfId="12441"/>
    <cellStyle name="20% - Accent2 4 2 9 4" xfId="12442"/>
    <cellStyle name="20% - Accent2 4 2 9 5" xfId="12443"/>
    <cellStyle name="20% - Accent2 4 3" xfId="383"/>
    <cellStyle name="20% - Accent2 4 3 10" xfId="12444"/>
    <cellStyle name="20% - Accent2 4 3 10 2" xfId="12445"/>
    <cellStyle name="20% - Accent2 4 3 10 3" xfId="12446"/>
    <cellStyle name="20% - Accent2 4 3 11" xfId="12447"/>
    <cellStyle name="20% - Accent2 4 3 11 2" xfId="12448"/>
    <cellStyle name="20% - Accent2 4 3 12" xfId="12449"/>
    <cellStyle name="20% - Accent2 4 3 13" xfId="12450"/>
    <cellStyle name="20% - Accent2 4 3 14" xfId="12451"/>
    <cellStyle name="20% - Accent2 4 3 2" xfId="384"/>
    <cellStyle name="20% - Accent2 4 3 2 10" xfId="12452"/>
    <cellStyle name="20% - Accent2 4 3 2 10 2" xfId="12453"/>
    <cellStyle name="20% - Accent2 4 3 2 11" xfId="12454"/>
    <cellStyle name="20% - Accent2 4 3 2 12" xfId="12455"/>
    <cellStyle name="20% - Accent2 4 3 2 2" xfId="385"/>
    <cellStyle name="20% - Accent2 4 3 2 2 10" xfId="12456"/>
    <cellStyle name="20% - Accent2 4 3 2 2 2" xfId="386"/>
    <cellStyle name="20% - Accent2 4 3 2 2 2 2" xfId="12457"/>
    <cellStyle name="20% - Accent2 4 3 2 2 2 2 2" xfId="12458"/>
    <cellStyle name="20% - Accent2 4 3 2 2 2 2 2 2" xfId="12459"/>
    <cellStyle name="20% - Accent2 4 3 2 2 2 2 2 3" xfId="12460"/>
    <cellStyle name="20% - Accent2 4 3 2 2 2 2 3" xfId="12461"/>
    <cellStyle name="20% - Accent2 4 3 2 2 2 2 3 2" xfId="12462"/>
    <cellStyle name="20% - Accent2 4 3 2 2 2 2 3 3" xfId="12463"/>
    <cellStyle name="20% - Accent2 4 3 2 2 2 2 4" xfId="12464"/>
    <cellStyle name="20% - Accent2 4 3 2 2 2 2 4 2" xfId="12465"/>
    <cellStyle name="20% - Accent2 4 3 2 2 2 2 5" xfId="12466"/>
    <cellStyle name="20% - Accent2 4 3 2 2 2 2 6" xfId="12467"/>
    <cellStyle name="20% - Accent2 4 3 2 2 2 3" xfId="12468"/>
    <cellStyle name="20% - Accent2 4 3 2 2 2 3 2" xfId="12469"/>
    <cellStyle name="20% - Accent2 4 3 2 2 2 3 2 2" xfId="12470"/>
    <cellStyle name="20% - Accent2 4 3 2 2 2 3 2 3" xfId="12471"/>
    <cellStyle name="20% - Accent2 4 3 2 2 2 3 3" xfId="12472"/>
    <cellStyle name="20% - Accent2 4 3 2 2 2 3 3 2" xfId="12473"/>
    <cellStyle name="20% - Accent2 4 3 2 2 2 3 3 3" xfId="12474"/>
    <cellStyle name="20% - Accent2 4 3 2 2 2 3 4" xfId="12475"/>
    <cellStyle name="20% - Accent2 4 3 2 2 2 3 4 2" xfId="12476"/>
    <cellStyle name="20% - Accent2 4 3 2 2 2 3 5" xfId="12477"/>
    <cellStyle name="20% - Accent2 4 3 2 2 2 3 6" xfId="12478"/>
    <cellStyle name="20% - Accent2 4 3 2 2 2 4" xfId="12479"/>
    <cellStyle name="20% - Accent2 4 3 2 2 2 4 2" xfId="12480"/>
    <cellStyle name="20% - Accent2 4 3 2 2 2 4 2 2" xfId="12481"/>
    <cellStyle name="20% - Accent2 4 3 2 2 2 4 2 3" xfId="12482"/>
    <cellStyle name="20% - Accent2 4 3 2 2 2 4 3" xfId="12483"/>
    <cellStyle name="20% - Accent2 4 3 2 2 2 4 3 2" xfId="12484"/>
    <cellStyle name="20% - Accent2 4 3 2 2 2 4 4" xfId="12485"/>
    <cellStyle name="20% - Accent2 4 3 2 2 2 4 5" xfId="12486"/>
    <cellStyle name="20% - Accent2 4 3 2 2 2 5" xfId="12487"/>
    <cellStyle name="20% - Accent2 4 3 2 2 2 5 2" xfId="12488"/>
    <cellStyle name="20% - Accent2 4 3 2 2 2 5 3" xfId="12489"/>
    <cellStyle name="20% - Accent2 4 3 2 2 2 6" xfId="12490"/>
    <cellStyle name="20% - Accent2 4 3 2 2 2 6 2" xfId="12491"/>
    <cellStyle name="20% - Accent2 4 3 2 2 2 6 3" xfId="12492"/>
    <cellStyle name="20% - Accent2 4 3 2 2 2 7" xfId="12493"/>
    <cellStyle name="20% - Accent2 4 3 2 2 2 7 2" xfId="12494"/>
    <cellStyle name="20% - Accent2 4 3 2 2 2 8" xfId="12495"/>
    <cellStyle name="20% - Accent2 4 3 2 2 2 9" xfId="12496"/>
    <cellStyle name="20% - Accent2 4 3 2 2 3" xfId="12497"/>
    <cellStyle name="20% - Accent2 4 3 2 2 3 2" xfId="12498"/>
    <cellStyle name="20% - Accent2 4 3 2 2 3 2 2" xfId="12499"/>
    <cellStyle name="20% - Accent2 4 3 2 2 3 2 3" xfId="12500"/>
    <cellStyle name="20% - Accent2 4 3 2 2 3 3" xfId="12501"/>
    <cellStyle name="20% - Accent2 4 3 2 2 3 3 2" xfId="12502"/>
    <cellStyle name="20% - Accent2 4 3 2 2 3 3 3" xfId="12503"/>
    <cellStyle name="20% - Accent2 4 3 2 2 3 4" xfId="12504"/>
    <cellStyle name="20% - Accent2 4 3 2 2 3 4 2" xfId="12505"/>
    <cellStyle name="20% - Accent2 4 3 2 2 3 5" xfId="12506"/>
    <cellStyle name="20% - Accent2 4 3 2 2 3 6" xfId="12507"/>
    <cellStyle name="20% - Accent2 4 3 2 2 4" xfId="12508"/>
    <cellStyle name="20% - Accent2 4 3 2 2 4 2" xfId="12509"/>
    <cellStyle name="20% - Accent2 4 3 2 2 4 2 2" xfId="12510"/>
    <cellStyle name="20% - Accent2 4 3 2 2 4 2 3" xfId="12511"/>
    <cellStyle name="20% - Accent2 4 3 2 2 4 3" xfId="12512"/>
    <cellStyle name="20% - Accent2 4 3 2 2 4 3 2" xfId="12513"/>
    <cellStyle name="20% - Accent2 4 3 2 2 4 3 3" xfId="12514"/>
    <cellStyle name="20% - Accent2 4 3 2 2 4 4" xfId="12515"/>
    <cellStyle name="20% - Accent2 4 3 2 2 4 4 2" xfId="12516"/>
    <cellStyle name="20% - Accent2 4 3 2 2 4 5" xfId="12517"/>
    <cellStyle name="20% - Accent2 4 3 2 2 4 6" xfId="12518"/>
    <cellStyle name="20% - Accent2 4 3 2 2 5" xfId="12519"/>
    <cellStyle name="20% - Accent2 4 3 2 2 5 2" xfId="12520"/>
    <cellStyle name="20% - Accent2 4 3 2 2 5 2 2" xfId="12521"/>
    <cellStyle name="20% - Accent2 4 3 2 2 5 2 3" xfId="12522"/>
    <cellStyle name="20% - Accent2 4 3 2 2 5 3" xfId="12523"/>
    <cellStyle name="20% - Accent2 4 3 2 2 5 3 2" xfId="12524"/>
    <cellStyle name="20% - Accent2 4 3 2 2 5 4" xfId="12525"/>
    <cellStyle name="20% - Accent2 4 3 2 2 5 5" xfId="12526"/>
    <cellStyle name="20% - Accent2 4 3 2 2 6" xfId="12527"/>
    <cellStyle name="20% - Accent2 4 3 2 2 6 2" xfId="12528"/>
    <cellStyle name="20% - Accent2 4 3 2 2 6 3" xfId="12529"/>
    <cellStyle name="20% - Accent2 4 3 2 2 7" xfId="12530"/>
    <cellStyle name="20% - Accent2 4 3 2 2 7 2" xfId="12531"/>
    <cellStyle name="20% - Accent2 4 3 2 2 7 3" xfId="12532"/>
    <cellStyle name="20% - Accent2 4 3 2 2 8" xfId="12533"/>
    <cellStyle name="20% - Accent2 4 3 2 2 8 2" xfId="12534"/>
    <cellStyle name="20% - Accent2 4 3 2 2 9" xfId="12535"/>
    <cellStyle name="20% - Accent2 4 3 2 3" xfId="387"/>
    <cellStyle name="20% - Accent2 4 3 2 3 2" xfId="12536"/>
    <cellStyle name="20% - Accent2 4 3 2 3 2 2" xfId="12537"/>
    <cellStyle name="20% - Accent2 4 3 2 3 2 2 2" xfId="12538"/>
    <cellStyle name="20% - Accent2 4 3 2 3 2 2 3" xfId="12539"/>
    <cellStyle name="20% - Accent2 4 3 2 3 2 3" xfId="12540"/>
    <cellStyle name="20% - Accent2 4 3 2 3 2 3 2" xfId="12541"/>
    <cellStyle name="20% - Accent2 4 3 2 3 2 3 3" xfId="12542"/>
    <cellStyle name="20% - Accent2 4 3 2 3 2 4" xfId="12543"/>
    <cellStyle name="20% - Accent2 4 3 2 3 2 4 2" xfId="12544"/>
    <cellStyle name="20% - Accent2 4 3 2 3 2 5" xfId="12545"/>
    <cellStyle name="20% - Accent2 4 3 2 3 2 6" xfId="12546"/>
    <cellStyle name="20% - Accent2 4 3 2 3 3" xfId="12547"/>
    <cellStyle name="20% - Accent2 4 3 2 3 3 2" xfId="12548"/>
    <cellStyle name="20% - Accent2 4 3 2 3 3 2 2" xfId="12549"/>
    <cellStyle name="20% - Accent2 4 3 2 3 3 2 3" xfId="12550"/>
    <cellStyle name="20% - Accent2 4 3 2 3 3 3" xfId="12551"/>
    <cellStyle name="20% - Accent2 4 3 2 3 3 3 2" xfId="12552"/>
    <cellStyle name="20% - Accent2 4 3 2 3 3 3 3" xfId="12553"/>
    <cellStyle name="20% - Accent2 4 3 2 3 3 4" xfId="12554"/>
    <cellStyle name="20% - Accent2 4 3 2 3 3 4 2" xfId="12555"/>
    <cellStyle name="20% - Accent2 4 3 2 3 3 5" xfId="12556"/>
    <cellStyle name="20% - Accent2 4 3 2 3 3 6" xfId="12557"/>
    <cellStyle name="20% - Accent2 4 3 2 3 4" xfId="12558"/>
    <cellStyle name="20% - Accent2 4 3 2 3 4 2" xfId="12559"/>
    <cellStyle name="20% - Accent2 4 3 2 3 4 2 2" xfId="12560"/>
    <cellStyle name="20% - Accent2 4 3 2 3 4 2 3" xfId="12561"/>
    <cellStyle name="20% - Accent2 4 3 2 3 4 3" xfId="12562"/>
    <cellStyle name="20% - Accent2 4 3 2 3 4 3 2" xfId="12563"/>
    <cellStyle name="20% - Accent2 4 3 2 3 4 4" xfId="12564"/>
    <cellStyle name="20% - Accent2 4 3 2 3 4 5" xfId="12565"/>
    <cellStyle name="20% - Accent2 4 3 2 3 5" xfId="12566"/>
    <cellStyle name="20% - Accent2 4 3 2 3 5 2" xfId="12567"/>
    <cellStyle name="20% - Accent2 4 3 2 3 5 3" xfId="12568"/>
    <cellStyle name="20% - Accent2 4 3 2 3 6" xfId="12569"/>
    <cellStyle name="20% - Accent2 4 3 2 3 6 2" xfId="12570"/>
    <cellStyle name="20% - Accent2 4 3 2 3 6 3" xfId="12571"/>
    <cellStyle name="20% - Accent2 4 3 2 3 7" xfId="12572"/>
    <cellStyle name="20% - Accent2 4 3 2 3 7 2" xfId="12573"/>
    <cellStyle name="20% - Accent2 4 3 2 3 8" xfId="12574"/>
    <cellStyle name="20% - Accent2 4 3 2 3 9" xfId="12575"/>
    <cellStyle name="20% - Accent2 4 3 2 4" xfId="12576"/>
    <cellStyle name="20% - Accent2 4 3 2 4 2" xfId="12577"/>
    <cellStyle name="20% - Accent2 4 3 2 4 2 2" xfId="12578"/>
    <cellStyle name="20% - Accent2 4 3 2 4 2 2 2" xfId="12579"/>
    <cellStyle name="20% - Accent2 4 3 2 4 2 2 3" xfId="12580"/>
    <cellStyle name="20% - Accent2 4 3 2 4 2 3" xfId="12581"/>
    <cellStyle name="20% - Accent2 4 3 2 4 2 3 2" xfId="12582"/>
    <cellStyle name="20% - Accent2 4 3 2 4 2 3 3" xfId="12583"/>
    <cellStyle name="20% - Accent2 4 3 2 4 2 4" xfId="12584"/>
    <cellStyle name="20% - Accent2 4 3 2 4 2 4 2" xfId="12585"/>
    <cellStyle name="20% - Accent2 4 3 2 4 2 5" xfId="12586"/>
    <cellStyle name="20% - Accent2 4 3 2 4 2 6" xfId="12587"/>
    <cellStyle name="20% - Accent2 4 3 2 4 3" xfId="12588"/>
    <cellStyle name="20% - Accent2 4 3 2 4 3 2" xfId="12589"/>
    <cellStyle name="20% - Accent2 4 3 2 4 3 2 2" xfId="12590"/>
    <cellStyle name="20% - Accent2 4 3 2 4 3 2 3" xfId="12591"/>
    <cellStyle name="20% - Accent2 4 3 2 4 3 3" xfId="12592"/>
    <cellStyle name="20% - Accent2 4 3 2 4 3 3 2" xfId="12593"/>
    <cellStyle name="20% - Accent2 4 3 2 4 3 3 3" xfId="12594"/>
    <cellStyle name="20% - Accent2 4 3 2 4 3 4" xfId="12595"/>
    <cellStyle name="20% - Accent2 4 3 2 4 3 4 2" xfId="12596"/>
    <cellStyle name="20% - Accent2 4 3 2 4 3 5" xfId="12597"/>
    <cellStyle name="20% - Accent2 4 3 2 4 3 6" xfId="12598"/>
    <cellStyle name="20% - Accent2 4 3 2 4 4" xfId="12599"/>
    <cellStyle name="20% - Accent2 4 3 2 4 4 2" xfId="12600"/>
    <cellStyle name="20% - Accent2 4 3 2 4 4 2 2" xfId="12601"/>
    <cellStyle name="20% - Accent2 4 3 2 4 4 2 3" xfId="12602"/>
    <cellStyle name="20% - Accent2 4 3 2 4 4 3" xfId="12603"/>
    <cellStyle name="20% - Accent2 4 3 2 4 4 3 2" xfId="12604"/>
    <cellStyle name="20% - Accent2 4 3 2 4 4 4" xfId="12605"/>
    <cellStyle name="20% - Accent2 4 3 2 4 4 5" xfId="12606"/>
    <cellStyle name="20% - Accent2 4 3 2 4 5" xfId="12607"/>
    <cellStyle name="20% - Accent2 4 3 2 4 5 2" xfId="12608"/>
    <cellStyle name="20% - Accent2 4 3 2 4 5 3" xfId="12609"/>
    <cellStyle name="20% - Accent2 4 3 2 4 6" xfId="12610"/>
    <cellStyle name="20% - Accent2 4 3 2 4 6 2" xfId="12611"/>
    <cellStyle name="20% - Accent2 4 3 2 4 6 3" xfId="12612"/>
    <cellStyle name="20% - Accent2 4 3 2 4 7" xfId="12613"/>
    <cellStyle name="20% - Accent2 4 3 2 4 7 2" xfId="12614"/>
    <cellStyle name="20% - Accent2 4 3 2 4 8" xfId="12615"/>
    <cellStyle name="20% - Accent2 4 3 2 4 9" xfId="12616"/>
    <cellStyle name="20% - Accent2 4 3 2 5" xfId="12617"/>
    <cellStyle name="20% - Accent2 4 3 2 5 2" xfId="12618"/>
    <cellStyle name="20% - Accent2 4 3 2 5 2 2" xfId="12619"/>
    <cellStyle name="20% - Accent2 4 3 2 5 2 3" xfId="12620"/>
    <cellStyle name="20% - Accent2 4 3 2 5 3" xfId="12621"/>
    <cellStyle name="20% - Accent2 4 3 2 5 3 2" xfId="12622"/>
    <cellStyle name="20% - Accent2 4 3 2 5 3 3" xfId="12623"/>
    <cellStyle name="20% - Accent2 4 3 2 5 4" xfId="12624"/>
    <cellStyle name="20% - Accent2 4 3 2 5 4 2" xfId="12625"/>
    <cellStyle name="20% - Accent2 4 3 2 5 5" xfId="12626"/>
    <cellStyle name="20% - Accent2 4 3 2 5 6" xfId="12627"/>
    <cellStyle name="20% - Accent2 4 3 2 6" xfId="12628"/>
    <cellStyle name="20% - Accent2 4 3 2 6 2" xfId="12629"/>
    <cellStyle name="20% - Accent2 4 3 2 6 2 2" xfId="12630"/>
    <cellStyle name="20% - Accent2 4 3 2 6 2 3" xfId="12631"/>
    <cellStyle name="20% - Accent2 4 3 2 6 3" xfId="12632"/>
    <cellStyle name="20% - Accent2 4 3 2 6 3 2" xfId="12633"/>
    <cellStyle name="20% - Accent2 4 3 2 6 3 3" xfId="12634"/>
    <cellStyle name="20% - Accent2 4 3 2 6 4" xfId="12635"/>
    <cellStyle name="20% - Accent2 4 3 2 6 4 2" xfId="12636"/>
    <cellStyle name="20% - Accent2 4 3 2 6 5" xfId="12637"/>
    <cellStyle name="20% - Accent2 4 3 2 6 6" xfId="12638"/>
    <cellStyle name="20% - Accent2 4 3 2 7" xfId="12639"/>
    <cellStyle name="20% - Accent2 4 3 2 7 2" xfId="12640"/>
    <cellStyle name="20% - Accent2 4 3 2 7 2 2" xfId="12641"/>
    <cellStyle name="20% - Accent2 4 3 2 7 2 3" xfId="12642"/>
    <cellStyle name="20% - Accent2 4 3 2 7 3" xfId="12643"/>
    <cellStyle name="20% - Accent2 4 3 2 7 3 2" xfId="12644"/>
    <cellStyle name="20% - Accent2 4 3 2 7 4" xfId="12645"/>
    <cellStyle name="20% - Accent2 4 3 2 7 5" xfId="12646"/>
    <cellStyle name="20% - Accent2 4 3 2 8" xfId="12647"/>
    <cellStyle name="20% - Accent2 4 3 2 8 2" xfId="12648"/>
    <cellStyle name="20% - Accent2 4 3 2 8 3" xfId="12649"/>
    <cellStyle name="20% - Accent2 4 3 2 9" xfId="12650"/>
    <cellStyle name="20% - Accent2 4 3 2 9 2" xfId="12651"/>
    <cellStyle name="20% - Accent2 4 3 2 9 3" xfId="12652"/>
    <cellStyle name="20% - Accent2 4 3 3" xfId="388"/>
    <cellStyle name="20% - Accent2 4 3 3 10" xfId="12653"/>
    <cellStyle name="20% - Accent2 4 3 3 2" xfId="389"/>
    <cellStyle name="20% - Accent2 4 3 3 2 2" xfId="12654"/>
    <cellStyle name="20% - Accent2 4 3 3 2 2 2" xfId="12655"/>
    <cellStyle name="20% - Accent2 4 3 3 2 2 2 2" xfId="12656"/>
    <cellStyle name="20% - Accent2 4 3 3 2 2 2 3" xfId="12657"/>
    <cellStyle name="20% - Accent2 4 3 3 2 2 3" xfId="12658"/>
    <cellStyle name="20% - Accent2 4 3 3 2 2 3 2" xfId="12659"/>
    <cellStyle name="20% - Accent2 4 3 3 2 2 3 3" xfId="12660"/>
    <cellStyle name="20% - Accent2 4 3 3 2 2 4" xfId="12661"/>
    <cellStyle name="20% - Accent2 4 3 3 2 2 4 2" xfId="12662"/>
    <cellStyle name="20% - Accent2 4 3 3 2 2 5" xfId="12663"/>
    <cellStyle name="20% - Accent2 4 3 3 2 2 6" xfId="12664"/>
    <cellStyle name="20% - Accent2 4 3 3 2 3" xfId="12665"/>
    <cellStyle name="20% - Accent2 4 3 3 2 3 2" xfId="12666"/>
    <cellStyle name="20% - Accent2 4 3 3 2 3 2 2" xfId="12667"/>
    <cellStyle name="20% - Accent2 4 3 3 2 3 2 3" xfId="12668"/>
    <cellStyle name="20% - Accent2 4 3 3 2 3 3" xfId="12669"/>
    <cellStyle name="20% - Accent2 4 3 3 2 3 3 2" xfId="12670"/>
    <cellStyle name="20% - Accent2 4 3 3 2 3 3 3" xfId="12671"/>
    <cellStyle name="20% - Accent2 4 3 3 2 3 4" xfId="12672"/>
    <cellStyle name="20% - Accent2 4 3 3 2 3 4 2" xfId="12673"/>
    <cellStyle name="20% - Accent2 4 3 3 2 3 5" xfId="12674"/>
    <cellStyle name="20% - Accent2 4 3 3 2 3 6" xfId="12675"/>
    <cellStyle name="20% - Accent2 4 3 3 2 4" xfId="12676"/>
    <cellStyle name="20% - Accent2 4 3 3 2 4 2" xfId="12677"/>
    <cellStyle name="20% - Accent2 4 3 3 2 4 2 2" xfId="12678"/>
    <cellStyle name="20% - Accent2 4 3 3 2 4 2 3" xfId="12679"/>
    <cellStyle name="20% - Accent2 4 3 3 2 4 3" xfId="12680"/>
    <cellStyle name="20% - Accent2 4 3 3 2 4 3 2" xfId="12681"/>
    <cellStyle name="20% - Accent2 4 3 3 2 4 4" xfId="12682"/>
    <cellStyle name="20% - Accent2 4 3 3 2 4 5" xfId="12683"/>
    <cellStyle name="20% - Accent2 4 3 3 2 5" xfId="12684"/>
    <cellStyle name="20% - Accent2 4 3 3 2 5 2" xfId="12685"/>
    <cellStyle name="20% - Accent2 4 3 3 2 5 3" xfId="12686"/>
    <cellStyle name="20% - Accent2 4 3 3 2 6" xfId="12687"/>
    <cellStyle name="20% - Accent2 4 3 3 2 6 2" xfId="12688"/>
    <cellStyle name="20% - Accent2 4 3 3 2 6 3" xfId="12689"/>
    <cellStyle name="20% - Accent2 4 3 3 2 7" xfId="12690"/>
    <cellStyle name="20% - Accent2 4 3 3 2 7 2" xfId="12691"/>
    <cellStyle name="20% - Accent2 4 3 3 2 8" xfId="12692"/>
    <cellStyle name="20% - Accent2 4 3 3 2 9" xfId="12693"/>
    <cellStyle name="20% - Accent2 4 3 3 3" xfId="12694"/>
    <cellStyle name="20% - Accent2 4 3 3 3 2" xfId="12695"/>
    <cellStyle name="20% - Accent2 4 3 3 3 2 2" xfId="12696"/>
    <cellStyle name="20% - Accent2 4 3 3 3 2 3" xfId="12697"/>
    <cellStyle name="20% - Accent2 4 3 3 3 3" xfId="12698"/>
    <cellStyle name="20% - Accent2 4 3 3 3 3 2" xfId="12699"/>
    <cellStyle name="20% - Accent2 4 3 3 3 3 3" xfId="12700"/>
    <cellStyle name="20% - Accent2 4 3 3 3 4" xfId="12701"/>
    <cellStyle name="20% - Accent2 4 3 3 3 4 2" xfId="12702"/>
    <cellStyle name="20% - Accent2 4 3 3 3 5" xfId="12703"/>
    <cellStyle name="20% - Accent2 4 3 3 3 6" xfId="12704"/>
    <cellStyle name="20% - Accent2 4 3 3 4" xfId="12705"/>
    <cellStyle name="20% - Accent2 4 3 3 4 2" xfId="12706"/>
    <cellStyle name="20% - Accent2 4 3 3 4 2 2" xfId="12707"/>
    <cellStyle name="20% - Accent2 4 3 3 4 2 3" xfId="12708"/>
    <cellStyle name="20% - Accent2 4 3 3 4 3" xfId="12709"/>
    <cellStyle name="20% - Accent2 4 3 3 4 3 2" xfId="12710"/>
    <cellStyle name="20% - Accent2 4 3 3 4 3 3" xfId="12711"/>
    <cellStyle name="20% - Accent2 4 3 3 4 4" xfId="12712"/>
    <cellStyle name="20% - Accent2 4 3 3 4 4 2" xfId="12713"/>
    <cellStyle name="20% - Accent2 4 3 3 4 5" xfId="12714"/>
    <cellStyle name="20% - Accent2 4 3 3 4 6" xfId="12715"/>
    <cellStyle name="20% - Accent2 4 3 3 5" xfId="12716"/>
    <cellStyle name="20% - Accent2 4 3 3 5 2" xfId="12717"/>
    <cellStyle name="20% - Accent2 4 3 3 5 2 2" xfId="12718"/>
    <cellStyle name="20% - Accent2 4 3 3 5 2 3" xfId="12719"/>
    <cellStyle name="20% - Accent2 4 3 3 5 3" xfId="12720"/>
    <cellStyle name="20% - Accent2 4 3 3 5 3 2" xfId="12721"/>
    <cellStyle name="20% - Accent2 4 3 3 5 4" xfId="12722"/>
    <cellStyle name="20% - Accent2 4 3 3 5 5" xfId="12723"/>
    <cellStyle name="20% - Accent2 4 3 3 6" xfId="12724"/>
    <cellStyle name="20% - Accent2 4 3 3 6 2" xfId="12725"/>
    <cellStyle name="20% - Accent2 4 3 3 6 3" xfId="12726"/>
    <cellStyle name="20% - Accent2 4 3 3 7" xfId="12727"/>
    <cellStyle name="20% - Accent2 4 3 3 7 2" xfId="12728"/>
    <cellStyle name="20% - Accent2 4 3 3 7 3" xfId="12729"/>
    <cellStyle name="20% - Accent2 4 3 3 8" xfId="12730"/>
    <cellStyle name="20% - Accent2 4 3 3 8 2" xfId="12731"/>
    <cellStyle name="20% - Accent2 4 3 3 9" xfId="12732"/>
    <cellStyle name="20% - Accent2 4 3 4" xfId="390"/>
    <cellStyle name="20% - Accent2 4 3 4 2" xfId="12733"/>
    <cellStyle name="20% - Accent2 4 3 4 2 2" xfId="12734"/>
    <cellStyle name="20% - Accent2 4 3 4 2 2 2" xfId="12735"/>
    <cellStyle name="20% - Accent2 4 3 4 2 2 3" xfId="12736"/>
    <cellStyle name="20% - Accent2 4 3 4 2 3" xfId="12737"/>
    <cellStyle name="20% - Accent2 4 3 4 2 3 2" xfId="12738"/>
    <cellStyle name="20% - Accent2 4 3 4 2 3 3" xfId="12739"/>
    <cellStyle name="20% - Accent2 4 3 4 2 4" xfId="12740"/>
    <cellStyle name="20% - Accent2 4 3 4 2 4 2" xfId="12741"/>
    <cellStyle name="20% - Accent2 4 3 4 2 5" xfId="12742"/>
    <cellStyle name="20% - Accent2 4 3 4 2 6" xfId="12743"/>
    <cellStyle name="20% - Accent2 4 3 4 3" xfId="12744"/>
    <cellStyle name="20% - Accent2 4 3 4 3 2" xfId="12745"/>
    <cellStyle name="20% - Accent2 4 3 4 3 2 2" xfId="12746"/>
    <cellStyle name="20% - Accent2 4 3 4 3 2 3" xfId="12747"/>
    <cellStyle name="20% - Accent2 4 3 4 3 3" xfId="12748"/>
    <cellStyle name="20% - Accent2 4 3 4 3 3 2" xfId="12749"/>
    <cellStyle name="20% - Accent2 4 3 4 3 3 3" xfId="12750"/>
    <cellStyle name="20% - Accent2 4 3 4 3 4" xfId="12751"/>
    <cellStyle name="20% - Accent2 4 3 4 3 4 2" xfId="12752"/>
    <cellStyle name="20% - Accent2 4 3 4 3 5" xfId="12753"/>
    <cellStyle name="20% - Accent2 4 3 4 3 6" xfId="12754"/>
    <cellStyle name="20% - Accent2 4 3 4 4" xfId="12755"/>
    <cellStyle name="20% - Accent2 4 3 4 4 2" xfId="12756"/>
    <cellStyle name="20% - Accent2 4 3 4 4 2 2" xfId="12757"/>
    <cellStyle name="20% - Accent2 4 3 4 4 2 3" xfId="12758"/>
    <cellStyle name="20% - Accent2 4 3 4 4 3" xfId="12759"/>
    <cellStyle name="20% - Accent2 4 3 4 4 3 2" xfId="12760"/>
    <cellStyle name="20% - Accent2 4 3 4 4 4" xfId="12761"/>
    <cellStyle name="20% - Accent2 4 3 4 4 5" xfId="12762"/>
    <cellStyle name="20% - Accent2 4 3 4 5" xfId="12763"/>
    <cellStyle name="20% - Accent2 4 3 4 5 2" xfId="12764"/>
    <cellStyle name="20% - Accent2 4 3 4 5 3" xfId="12765"/>
    <cellStyle name="20% - Accent2 4 3 4 6" xfId="12766"/>
    <cellStyle name="20% - Accent2 4 3 4 6 2" xfId="12767"/>
    <cellStyle name="20% - Accent2 4 3 4 6 3" xfId="12768"/>
    <cellStyle name="20% - Accent2 4 3 4 7" xfId="12769"/>
    <cellStyle name="20% - Accent2 4 3 4 7 2" xfId="12770"/>
    <cellStyle name="20% - Accent2 4 3 4 8" xfId="12771"/>
    <cellStyle name="20% - Accent2 4 3 4 9" xfId="12772"/>
    <cellStyle name="20% - Accent2 4 3 5" xfId="12773"/>
    <cellStyle name="20% - Accent2 4 3 5 2" xfId="12774"/>
    <cellStyle name="20% - Accent2 4 3 5 2 2" xfId="12775"/>
    <cellStyle name="20% - Accent2 4 3 5 2 2 2" xfId="12776"/>
    <cellStyle name="20% - Accent2 4 3 5 2 2 3" xfId="12777"/>
    <cellStyle name="20% - Accent2 4 3 5 2 3" xfId="12778"/>
    <cellStyle name="20% - Accent2 4 3 5 2 3 2" xfId="12779"/>
    <cellStyle name="20% - Accent2 4 3 5 2 3 3" xfId="12780"/>
    <cellStyle name="20% - Accent2 4 3 5 2 4" xfId="12781"/>
    <cellStyle name="20% - Accent2 4 3 5 2 4 2" xfId="12782"/>
    <cellStyle name="20% - Accent2 4 3 5 2 5" xfId="12783"/>
    <cellStyle name="20% - Accent2 4 3 5 2 6" xfId="12784"/>
    <cellStyle name="20% - Accent2 4 3 5 3" xfId="12785"/>
    <cellStyle name="20% - Accent2 4 3 5 3 2" xfId="12786"/>
    <cellStyle name="20% - Accent2 4 3 5 3 2 2" xfId="12787"/>
    <cellStyle name="20% - Accent2 4 3 5 3 2 3" xfId="12788"/>
    <cellStyle name="20% - Accent2 4 3 5 3 3" xfId="12789"/>
    <cellStyle name="20% - Accent2 4 3 5 3 3 2" xfId="12790"/>
    <cellStyle name="20% - Accent2 4 3 5 3 3 3" xfId="12791"/>
    <cellStyle name="20% - Accent2 4 3 5 3 4" xfId="12792"/>
    <cellStyle name="20% - Accent2 4 3 5 3 4 2" xfId="12793"/>
    <cellStyle name="20% - Accent2 4 3 5 3 5" xfId="12794"/>
    <cellStyle name="20% - Accent2 4 3 5 3 6" xfId="12795"/>
    <cellStyle name="20% - Accent2 4 3 5 4" xfId="12796"/>
    <cellStyle name="20% - Accent2 4 3 5 4 2" xfId="12797"/>
    <cellStyle name="20% - Accent2 4 3 5 4 2 2" xfId="12798"/>
    <cellStyle name="20% - Accent2 4 3 5 4 2 3" xfId="12799"/>
    <cellStyle name="20% - Accent2 4 3 5 4 3" xfId="12800"/>
    <cellStyle name="20% - Accent2 4 3 5 4 3 2" xfId="12801"/>
    <cellStyle name="20% - Accent2 4 3 5 4 4" xfId="12802"/>
    <cellStyle name="20% - Accent2 4 3 5 4 5" xfId="12803"/>
    <cellStyle name="20% - Accent2 4 3 5 5" xfId="12804"/>
    <cellStyle name="20% - Accent2 4 3 5 5 2" xfId="12805"/>
    <cellStyle name="20% - Accent2 4 3 5 5 3" xfId="12806"/>
    <cellStyle name="20% - Accent2 4 3 5 6" xfId="12807"/>
    <cellStyle name="20% - Accent2 4 3 5 6 2" xfId="12808"/>
    <cellStyle name="20% - Accent2 4 3 5 6 3" xfId="12809"/>
    <cellStyle name="20% - Accent2 4 3 5 7" xfId="12810"/>
    <cellStyle name="20% - Accent2 4 3 5 7 2" xfId="12811"/>
    <cellStyle name="20% - Accent2 4 3 5 8" xfId="12812"/>
    <cellStyle name="20% - Accent2 4 3 5 9" xfId="12813"/>
    <cellStyle name="20% - Accent2 4 3 6" xfId="12814"/>
    <cellStyle name="20% - Accent2 4 3 6 2" xfId="12815"/>
    <cellStyle name="20% - Accent2 4 3 6 2 2" xfId="12816"/>
    <cellStyle name="20% - Accent2 4 3 6 2 3" xfId="12817"/>
    <cellStyle name="20% - Accent2 4 3 6 3" xfId="12818"/>
    <cellStyle name="20% - Accent2 4 3 6 3 2" xfId="12819"/>
    <cellStyle name="20% - Accent2 4 3 6 3 3" xfId="12820"/>
    <cellStyle name="20% - Accent2 4 3 6 4" xfId="12821"/>
    <cellStyle name="20% - Accent2 4 3 6 4 2" xfId="12822"/>
    <cellStyle name="20% - Accent2 4 3 6 5" xfId="12823"/>
    <cellStyle name="20% - Accent2 4 3 6 6" xfId="12824"/>
    <cellStyle name="20% - Accent2 4 3 7" xfId="12825"/>
    <cellStyle name="20% - Accent2 4 3 7 2" xfId="12826"/>
    <cellStyle name="20% - Accent2 4 3 7 2 2" xfId="12827"/>
    <cellStyle name="20% - Accent2 4 3 7 2 3" xfId="12828"/>
    <cellStyle name="20% - Accent2 4 3 7 3" xfId="12829"/>
    <cellStyle name="20% - Accent2 4 3 7 3 2" xfId="12830"/>
    <cellStyle name="20% - Accent2 4 3 7 3 3" xfId="12831"/>
    <cellStyle name="20% - Accent2 4 3 7 4" xfId="12832"/>
    <cellStyle name="20% - Accent2 4 3 7 4 2" xfId="12833"/>
    <cellStyle name="20% - Accent2 4 3 7 5" xfId="12834"/>
    <cellStyle name="20% - Accent2 4 3 7 6" xfId="12835"/>
    <cellStyle name="20% - Accent2 4 3 8" xfId="12836"/>
    <cellStyle name="20% - Accent2 4 3 8 2" xfId="12837"/>
    <cellStyle name="20% - Accent2 4 3 8 2 2" xfId="12838"/>
    <cellStyle name="20% - Accent2 4 3 8 2 3" xfId="12839"/>
    <cellStyle name="20% - Accent2 4 3 8 3" xfId="12840"/>
    <cellStyle name="20% - Accent2 4 3 8 3 2" xfId="12841"/>
    <cellStyle name="20% - Accent2 4 3 8 4" xfId="12842"/>
    <cellStyle name="20% - Accent2 4 3 8 5" xfId="12843"/>
    <cellStyle name="20% - Accent2 4 3 9" xfId="12844"/>
    <cellStyle name="20% - Accent2 4 3 9 2" xfId="12845"/>
    <cellStyle name="20% - Accent2 4 3 9 3" xfId="12846"/>
    <cellStyle name="20% - Accent2 4 4" xfId="391"/>
    <cellStyle name="20% - Accent2 4 4 10" xfId="12847"/>
    <cellStyle name="20% - Accent2 4 4 10 2" xfId="12848"/>
    <cellStyle name="20% - Accent2 4 4 11" xfId="12849"/>
    <cellStyle name="20% - Accent2 4 4 12" xfId="12850"/>
    <cellStyle name="20% - Accent2 4 4 2" xfId="392"/>
    <cellStyle name="20% - Accent2 4 4 2 10" xfId="12851"/>
    <cellStyle name="20% - Accent2 4 4 2 2" xfId="393"/>
    <cellStyle name="20% - Accent2 4 4 2 2 2" xfId="12852"/>
    <cellStyle name="20% - Accent2 4 4 2 2 2 2" xfId="12853"/>
    <cellStyle name="20% - Accent2 4 4 2 2 2 2 2" xfId="12854"/>
    <cellStyle name="20% - Accent2 4 4 2 2 2 2 3" xfId="12855"/>
    <cellStyle name="20% - Accent2 4 4 2 2 2 3" xfId="12856"/>
    <cellStyle name="20% - Accent2 4 4 2 2 2 3 2" xfId="12857"/>
    <cellStyle name="20% - Accent2 4 4 2 2 2 3 3" xfId="12858"/>
    <cellStyle name="20% - Accent2 4 4 2 2 2 4" xfId="12859"/>
    <cellStyle name="20% - Accent2 4 4 2 2 2 4 2" xfId="12860"/>
    <cellStyle name="20% - Accent2 4 4 2 2 2 5" xfId="12861"/>
    <cellStyle name="20% - Accent2 4 4 2 2 2 6" xfId="12862"/>
    <cellStyle name="20% - Accent2 4 4 2 2 3" xfId="12863"/>
    <cellStyle name="20% - Accent2 4 4 2 2 3 2" xfId="12864"/>
    <cellStyle name="20% - Accent2 4 4 2 2 3 2 2" xfId="12865"/>
    <cellStyle name="20% - Accent2 4 4 2 2 3 2 3" xfId="12866"/>
    <cellStyle name="20% - Accent2 4 4 2 2 3 3" xfId="12867"/>
    <cellStyle name="20% - Accent2 4 4 2 2 3 3 2" xfId="12868"/>
    <cellStyle name="20% - Accent2 4 4 2 2 3 3 3" xfId="12869"/>
    <cellStyle name="20% - Accent2 4 4 2 2 3 4" xfId="12870"/>
    <cellStyle name="20% - Accent2 4 4 2 2 3 4 2" xfId="12871"/>
    <cellStyle name="20% - Accent2 4 4 2 2 3 5" xfId="12872"/>
    <cellStyle name="20% - Accent2 4 4 2 2 3 6" xfId="12873"/>
    <cellStyle name="20% - Accent2 4 4 2 2 4" xfId="12874"/>
    <cellStyle name="20% - Accent2 4 4 2 2 4 2" xfId="12875"/>
    <cellStyle name="20% - Accent2 4 4 2 2 4 2 2" xfId="12876"/>
    <cellStyle name="20% - Accent2 4 4 2 2 4 2 3" xfId="12877"/>
    <cellStyle name="20% - Accent2 4 4 2 2 4 3" xfId="12878"/>
    <cellStyle name="20% - Accent2 4 4 2 2 4 3 2" xfId="12879"/>
    <cellStyle name="20% - Accent2 4 4 2 2 4 4" xfId="12880"/>
    <cellStyle name="20% - Accent2 4 4 2 2 4 5" xfId="12881"/>
    <cellStyle name="20% - Accent2 4 4 2 2 5" xfId="12882"/>
    <cellStyle name="20% - Accent2 4 4 2 2 5 2" xfId="12883"/>
    <cellStyle name="20% - Accent2 4 4 2 2 5 3" xfId="12884"/>
    <cellStyle name="20% - Accent2 4 4 2 2 6" xfId="12885"/>
    <cellStyle name="20% - Accent2 4 4 2 2 6 2" xfId="12886"/>
    <cellStyle name="20% - Accent2 4 4 2 2 6 3" xfId="12887"/>
    <cellStyle name="20% - Accent2 4 4 2 2 7" xfId="12888"/>
    <cellStyle name="20% - Accent2 4 4 2 2 7 2" xfId="12889"/>
    <cellStyle name="20% - Accent2 4 4 2 2 8" xfId="12890"/>
    <cellStyle name="20% - Accent2 4 4 2 2 9" xfId="12891"/>
    <cellStyle name="20% - Accent2 4 4 2 3" xfId="12892"/>
    <cellStyle name="20% - Accent2 4 4 2 3 2" xfId="12893"/>
    <cellStyle name="20% - Accent2 4 4 2 3 2 2" xfId="12894"/>
    <cellStyle name="20% - Accent2 4 4 2 3 2 3" xfId="12895"/>
    <cellStyle name="20% - Accent2 4 4 2 3 3" xfId="12896"/>
    <cellStyle name="20% - Accent2 4 4 2 3 3 2" xfId="12897"/>
    <cellStyle name="20% - Accent2 4 4 2 3 3 3" xfId="12898"/>
    <cellStyle name="20% - Accent2 4 4 2 3 4" xfId="12899"/>
    <cellStyle name="20% - Accent2 4 4 2 3 4 2" xfId="12900"/>
    <cellStyle name="20% - Accent2 4 4 2 3 5" xfId="12901"/>
    <cellStyle name="20% - Accent2 4 4 2 3 6" xfId="12902"/>
    <cellStyle name="20% - Accent2 4 4 2 4" xfId="12903"/>
    <cellStyle name="20% - Accent2 4 4 2 4 2" xfId="12904"/>
    <cellStyle name="20% - Accent2 4 4 2 4 2 2" xfId="12905"/>
    <cellStyle name="20% - Accent2 4 4 2 4 2 3" xfId="12906"/>
    <cellStyle name="20% - Accent2 4 4 2 4 3" xfId="12907"/>
    <cellStyle name="20% - Accent2 4 4 2 4 3 2" xfId="12908"/>
    <cellStyle name="20% - Accent2 4 4 2 4 3 3" xfId="12909"/>
    <cellStyle name="20% - Accent2 4 4 2 4 4" xfId="12910"/>
    <cellStyle name="20% - Accent2 4 4 2 4 4 2" xfId="12911"/>
    <cellStyle name="20% - Accent2 4 4 2 4 5" xfId="12912"/>
    <cellStyle name="20% - Accent2 4 4 2 4 6" xfId="12913"/>
    <cellStyle name="20% - Accent2 4 4 2 5" xfId="12914"/>
    <cellStyle name="20% - Accent2 4 4 2 5 2" xfId="12915"/>
    <cellStyle name="20% - Accent2 4 4 2 5 2 2" xfId="12916"/>
    <cellStyle name="20% - Accent2 4 4 2 5 2 3" xfId="12917"/>
    <cellStyle name="20% - Accent2 4 4 2 5 3" xfId="12918"/>
    <cellStyle name="20% - Accent2 4 4 2 5 3 2" xfId="12919"/>
    <cellStyle name="20% - Accent2 4 4 2 5 4" xfId="12920"/>
    <cellStyle name="20% - Accent2 4 4 2 5 5" xfId="12921"/>
    <cellStyle name="20% - Accent2 4 4 2 6" xfId="12922"/>
    <cellStyle name="20% - Accent2 4 4 2 6 2" xfId="12923"/>
    <cellStyle name="20% - Accent2 4 4 2 6 3" xfId="12924"/>
    <cellStyle name="20% - Accent2 4 4 2 7" xfId="12925"/>
    <cellStyle name="20% - Accent2 4 4 2 7 2" xfId="12926"/>
    <cellStyle name="20% - Accent2 4 4 2 7 3" xfId="12927"/>
    <cellStyle name="20% - Accent2 4 4 2 8" xfId="12928"/>
    <cellStyle name="20% - Accent2 4 4 2 8 2" xfId="12929"/>
    <cellStyle name="20% - Accent2 4 4 2 9" xfId="12930"/>
    <cellStyle name="20% - Accent2 4 4 3" xfId="394"/>
    <cellStyle name="20% - Accent2 4 4 3 2" xfId="12931"/>
    <cellStyle name="20% - Accent2 4 4 3 2 2" xfId="12932"/>
    <cellStyle name="20% - Accent2 4 4 3 2 2 2" xfId="12933"/>
    <cellStyle name="20% - Accent2 4 4 3 2 2 3" xfId="12934"/>
    <cellStyle name="20% - Accent2 4 4 3 2 3" xfId="12935"/>
    <cellStyle name="20% - Accent2 4 4 3 2 3 2" xfId="12936"/>
    <cellStyle name="20% - Accent2 4 4 3 2 3 3" xfId="12937"/>
    <cellStyle name="20% - Accent2 4 4 3 2 4" xfId="12938"/>
    <cellStyle name="20% - Accent2 4 4 3 2 4 2" xfId="12939"/>
    <cellStyle name="20% - Accent2 4 4 3 2 5" xfId="12940"/>
    <cellStyle name="20% - Accent2 4 4 3 2 6" xfId="12941"/>
    <cellStyle name="20% - Accent2 4 4 3 3" xfId="12942"/>
    <cellStyle name="20% - Accent2 4 4 3 3 2" xfId="12943"/>
    <cellStyle name="20% - Accent2 4 4 3 3 2 2" xfId="12944"/>
    <cellStyle name="20% - Accent2 4 4 3 3 2 3" xfId="12945"/>
    <cellStyle name="20% - Accent2 4 4 3 3 3" xfId="12946"/>
    <cellStyle name="20% - Accent2 4 4 3 3 3 2" xfId="12947"/>
    <cellStyle name="20% - Accent2 4 4 3 3 3 3" xfId="12948"/>
    <cellStyle name="20% - Accent2 4 4 3 3 4" xfId="12949"/>
    <cellStyle name="20% - Accent2 4 4 3 3 4 2" xfId="12950"/>
    <cellStyle name="20% - Accent2 4 4 3 3 5" xfId="12951"/>
    <cellStyle name="20% - Accent2 4 4 3 3 6" xfId="12952"/>
    <cellStyle name="20% - Accent2 4 4 3 4" xfId="12953"/>
    <cellStyle name="20% - Accent2 4 4 3 4 2" xfId="12954"/>
    <cellStyle name="20% - Accent2 4 4 3 4 2 2" xfId="12955"/>
    <cellStyle name="20% - Accent2 4 4 3 4 2 3" xfId="12956"/>
    <cellStyle name="20% - Accent2 4 4 3 4 3" xfId="12957"/>
    <cellStyle name="20% - Accent2 4 4 3 4 3 2" xfId="12958"/>
    <cellStyle name="20% - Accent2 4 4 3 4 4" xfId="12959"/>
    <cellStyle name="20% - Accent2 4 4 3 4 5" xfId="12960"/>
    <cellStyle name="20% - Accent2 4 4 3 5" xfId="12961"/>
    <cellStyle name="20% - Accent2 4 4 3 5 2" xfId="12962"/>
    <cellStyle name="20% - Accent2 4 4 3 5 3" xfId="12963"/>
    <cellStyle name="20% - Accent2 4 4 3 6" xfId="12964"/>
    <cellStyle name="20% - Accent2 4 4 3 6 2" xfId="12965"/>
    <cellStyle name="20% - Accent2 4 4 3 6 3" xfId="12966"/>
    <cellStyle name="20% - Accent2 4 4 3 7" xfId="12967"/>
    <cellStyle name="20% - Accent2 4 4 3 7 2" xfId="12968"/>
    <cellStyle name="20% - Accent2 4 4 3 8" xfId="12969"/>
    <cellStyle name="20% - Accent2 4 4 3 9" xfId="12970"/>
    <cellStyle name="20% - Accent2 4 4 4" xfId="12971"/>
    <cellStyle name="20% - Accent2 4 4 4 2" xfId="12972"/>
    <cellStyle name="20% - Accent2 4 4 4 2 2" xfId="12973"/>
    <cellStyle name="20% - Accent2 4 4 4 2 2 2" xfId="12974"/>
    <cellStyle name="20% - Accent2 4 4 4 2 2 3" xfId="12975"/>
    <cellStyle name="20% - Accent2 4 4 4 2 3" xfId="12976"/>
    <cellStyle name="20% - Accent2 4 4 4 2 3 2" xfId="12977"/>
    <cellStyle name="20% - Accent2 4 4 4 2 3 3" xfId="12978"/>
    <cellStyle name="20% - Accent2 4 4 4 2 4" xfId="12979"/>
    <cellStyle name="20% - Accent2 4 4 4 2 4 2" xfId="12980"/>
    <cellStyle name="20% - Accent2 4 4 4 2 5" xfId="12981"/>
    <cellStyle name="20% - Accent2 4 4 4 2 6" xfId="12982"/>
    <cellStyle name="20% - Accent2 4 4 4 3" xfId="12983"/>
    <cellStyle name="20% - Accent2 4 4 4 3 2" xfId="12984"/>
    <cellStyle name="20% - Accent2 4 4 4 3 2 2" xfId="12985"/>
    <cellStyle name="20% - Accent2 4 4 4 3 2 3" xfId="12986"/>
    <cellStyle name="20% - Accent2 4 4 4 3 3" xfId="12987"/>
    <cellStyle name="20% - Accent2 4 4 4 3 3 2" xfId="12988"/>
    <cellStyle name="20% - Accent2 4 4 4 3 3 3" xfId="12989"/>
    <cellStyle name="20% - Accent2 4 4 4 3 4" xfId="12990"/>
    <cellStyle name="20% - Accent2 4 4 4 3 4 2" xfId="12991"/>
    <cellStyle name="20% - Accent2 4 4 4 3 5" xfId="12992"/>
    <cellStyle name="20% - Accent2 4 4 4 3 6" xfId="12993"/>
    <cellStyle name="20% - Accent2 4 4 4 4" xfId="12994"/>
    <cellStyle name="20% - Accent2 4 4 4 4 2" xfId="12995"/>
    <cellStyle name="20% - Accent2 4 4 4 4 2 2" xfId="12996"/>
    <cellStyle name="20% - Accent2 4 4 4 4 2 3" xfId="12997"/>
    <cellStyle name="20% - Accent2 4 4 4 4 3" xfId="12998"/>
    <cellStyle name="20% - Accent2 4 4 4 4 3 2" xfId="12999"/>
    <cellStyle name="20% - Accent2 4 4 4 4 4" xfId="13000"/>
    <cellStyle name="20% - Accent2 4 4 4 4 5" xfId="13001"/>
    <cellStyle name="20% - Accent2 4 4 4 5" xfId="13002"/>
    <cellStyle name="20% - Accent2 4 4 4 5 2" xfId="13003"/>
    <cellStyle name="20% - Accent2 4 4 4 5 3" xfId="13004"/>
    <cellStyle name="20% - Accent2 4 4 4 6" xfId="13005"/>
    <cellStyle name="20% - Accent2 4 4 4 6 2" xfId="13006"/>
    <cellStyle name="20% - Accent2 4 4 4 6 3" xfId="13007"/>
    <cellStyle name="20% - Accent2 4 4 4 7" xfId="13008"/>
    <cellStyle name="20% - Accent2 4 4 4 7 2" xfId="13009"/>
    <cellStyle name="20% - Accent2 4 4 4 8" xfId="13010"/>
    <cellStyle name="20% - Accent2 4 4 4 9" xfId="13011"/>
    <cellStyle name="20% - Accent2 4 4 5" xfId="13012"/>
    <cellStyle name="20% - Accent2 4 4 5 2" xfId="13013"/>
    <cellStyle name="20% - Accent2 4 4 5 2 2" xfId="13014"/>
    <cellStyle name="20% - Accent2 4 4 5 2 3" xfId="13015"/>
    <cellStyle name="20% - Accent2 4 4 5 3" xfId="13016"/>
    <cellStyle name="20% - Accent2 4 4 5 3 2" xfId="13017"/>
    <cellStyle name="20% - Accent2 4 4 5 3 3" xfId="13018"/>
    <cellStyle name="20% - Accent2 4 4 5 4" xfId="13019"/>
    <cellStyle name="20% - Accent2 4 4 5 4 2" xfId="13020"/>
    <cellStyle name="20% - Accent2 4 4 5 5" xfId="13021"/>
    <cellStyle name="20% - Accent2 4 4 5 6" xfId="13022"/>
    <cellStyle name="20% - Accent2 4 4 6" xfId="13023"/>
    <cellStyle name="20% - Accent2 4 4 6 2" xfId="13024"/>
    <cellStyle name="20% - Accent2 4 4 6 2 2" xfId="13025"/>
    <cellStyle name="20% - Accent2 4 4 6 2 3" xfId="13026"/>
    <cellStyle name="20% - Accent2 4 4 6 3" xfId="13027"/>
    <cellStyle name="20% - Accent2 4 4 6 3 2" xfId="13028"/>
    <cellStyle name="20% - Accent2 4 4 6 3 3" xfId="13029"/>
    <cellStyle name="20% - Accent2 4 4 6 4" xfId="13030"/>
    <cellStyle name="20% - Accent2 4 4 6 4 2" xfId="13031"/>
    <cellStyle name="20% - Accent2 4 4 6 5" xfId="13032"/>
    <cellStyle name="20% - Accent2 4 4 6 6" xfId="13033"/>
    <cellStyle name="20% - Accent2 4 4 7" xfId="13034"/>
    <cellStyle name="20% - Accent2 4 4 7 2" xfId="13035"/>
    <cellStyle name="20% - Accent2 4 4 7 2 2" xfId="13036"/>
    <cellStyle name="20% - Accent2 4 4 7 2 3" xfId="13037"/>
    <cellStyle name="20% - Accent2 4 4 7 3" xfId="13038"/>
    <cellStyle name="20% - Accent2 4 4 7 3 2" xfId="13039"/>
    <cellStyle name="20% - Accent2 4 4 7 4" xfId="13040"/>
    <cellStyle name="20% - Accent2 4 4 7 5" xfId="13041"/>
    <cellStyle name="20% - Accent2 4 4 8" xfId="13042"/>
    <cellStyle name="20% - Accent2 4 4 8 2" xfId="13043"/>
    <cellStyle name="20% - Accent2 4 4 8 3" xfId="13044"/>
    <cellStyle name="20% - Accent2 4 4 9" xfId="13045"/>
    <cellStyle name="20% - Accent2 4 4 9 2" xfId="13046"/>
    <cellStyle name="20% - Accent2 4 4 9 3" xfId="13047"/>
    <cellStyle name="20% - Accent2 4 5" xfId="395"/>
    <cellStyle name="20% - Accent2 4 5 10" xfId="13048"/>
    <cellStyle name="20% - Accent2 4 5 2" xfId="396"/>
    <cellStyle name="20% - Accent2 4 5 2 2" xfId="13049"/>
    <cellStyle name="20% - Accent2 4 5 2 2 2" xfId="13050"/>
    <cellStyle name="20% - Accent2 4 5 2 2 2 2" xfId="13051"/>
    <cellStyle name="20% - Accent2 4 5 2 2 2 3" xfId="13052"/>
    <cellStyle name="20% - Accent2 4 5 2 2 3" xfId="13053"/>
    <cellStyle name="20% - Accent2 4 5 2 2 3 2" xfId="13054"/>
    <cellStyle name="20% - Accent2 4 5 2 2 3 3" xfId="13055"/>
    <cellStyle name="20% - Accent2 4 5 2 2 4" xfId="13056"/>
    <cellStyle name="20% - Accent2 4 5 2 2 4 2" xfId="13057"/>
    <cellStyle name="20% - Accent2 4 5 2 2 5" xfId="13058"/>
    <cellStyle name="20% - Accent2 4 5 2 2 6" xfId="13059"/>
    <cellStyle name="20% - Accent2 4 5 2 3" xfId="13060"/>
    <cellStyle name="20% - Accent2 4 5 2 3 2" xfId="13061"/>
    <cellStyle name="20% - Accent2 4 5 2 3 2 2" xfId="13062"/>
    <cellStyle name="20% - Accent2 4 5 2 3 2 3" xfId="13063"/>
    <cellStyle name="20% - Accent2 4 5 2 3 3" xfId="13064"/>
    <cellStyle name="20% - Accent2 4 5 2 3 3 2" xfId="13065"/>
    <cellStyle name="20% - Accent2 4 5 2 3 3 3" xfId="13066"/>
    <cellStyle name="20% - Accent2 4 5 2 3 4" xfId="13067"/>
    <cellStyle name="20% - Accent2 4 5 2 3 4 2" xfId="13068"/>
    <cellStyle name="20% - Accent2 4 5 2 3 5" xfId="13069"/>
    <cellStyle name="20% - Accent2 4 5 2 3 6" xfId="13070"/>
    <cellStyle name="20% - Accent2 4 5 2 4" xfId="13071"/>
    <cellStyle name="20% - Accent2 4 5 2 4 2" xfId="13072"/>
    <cellStyle name="20% - Accent2 4 5 2 4 2 2" xfId="13073"/>
    <cellStyle name="20% - Accent2 4 5 2 4 2 3" xfId="13074"/>
    <cellStyle name="20% - Accent2 4 5 2 4 3" xfId="13075"/>
    <cellStyle name="20% - Accent2 4 5 2 4 3 2" xfId="13076"/>
    <cellStyle name="20% - Accent2 4 5 2 4 4" xfId="13077"/>
    <cellStyle name="20% - Accent2 4 5 2 4 5" xfId="13078"/>
    <cellStyle name="20% - Accent2 4 5 2 5" xfId="13079"/>
    <cellStyle name="20% - Accent2 4 5 2 5 2" xfId="13080"/>
    <cellStyle name="20% - Accent2 4 5 2 5 3" xfId="13081"/>
    <cellStyle name="20% - Accent2 4 5 2 6" xfId="13082"/>
    <cellStyle name="20% - Accent2 4 5 2 6 2" xfId="13083"/>
    <cellStyle name="20% - Accent2 4 5 2 6 3" xfId="13084"/>
    <cellStyle name="20% - Accent2 4 5 2 7" xfId="13085"/>
    <cellStyle name="20% - Accent2 4 5 2 7 2" xfId="13086"/>
    <cellStyle name="20% - Accent2 4 5 2 8" xfId="13087"/>
    <cellStyle name="20% - Accent2 4 5 2 9" xfId="13088"/>
    <cellStyle name="20% - Accent2 4 5 3" xfId="13089"/>
    <cellStyle name="20% - Accent2 4 5 3 2" xfId="13090"/>
    <cellStyle name="20% - Accent2 4 5 3 2 2" xfId="13091"/>
    <cellStyle name="20% - Accent2 4 5 3 2 3" xfId="13092"/>
    <cellStyle name="20% - Accent2 4 5 3 3" xfId="13093"/>
    <cellStyle name="20% - Accent2 4 5 3 3 2" xfId="13094"/>
    <cellStyle name="20% - Accent2 4 5 3 3 3" xfId="13095"/>
    <cellStyle name="20% - Accent2 4 5 3 4" xfId="13096"/>
    <cellStyle name="20% - Accent2 4 5 3 4 2" xfId="13097"/>
    <cellStyle name="20% - Accent2 4 5 3 5" xfId="13098"/>
    <cellStyle name="20% - Accent2 4 5 3 6" xfId="13099"/>
    <cellStyle name="20% - Accent2 4 5 4" xfId="13100"/>
    <cellStyle name="20% - Accent2 4 5 4 2" xfId="13101"/>
    <cellStyle name="20% - Accent2 4 5 4 2 2" xfId="13102"/>
    <cellStyle name="20% - Accent2 4 5 4 2 3" xfId="13103"/>
    <cellStyle name="20% - Accent2 4 5 4 3" xfId="13104"/>
    <cellStyle name="20% - Accent2 4 5 4 3 2" xfId="13105"/>
    <cellStyle name="20% - Accent2 4 5 4 3 3" xfId="13106"/>
    <cellStyle name="20% - Accent2 4 5 4 4" xfId="13107"/>
    <cellStyle name="20% - Accent2 4 5 4 4 2" xfId="13108"/>
    <cellStyle name="20% - Accent2 4 5 4 5" xfId="13109"/>
    <cellStyle name="20% - Accent2 4 5 4 6" xfId="13110"/>
    <cellStyle name="20% - Accent2 4 5 5" xfId="13111"/>
    <cellStyle name="20% - Accent2 4 5 5 2" xfId="13112"/>
    <cellStyle name="20% - Accent2 4 5 5 2 2" xfId="13113"/>
    <cellStyle name="20% - Accent2 4 5 5 2 3" xfId="13114"/>
    <cellStyle name="20% - Accent2 4 5 5 3" xfId="13115"/>
    <cellStyle name="20% - Accent2 4 5 5 3 2" xfId="13116"/>
    <cellStyle name="20% - Accent2 4 5 5 4" xfId="13117"/>
    <cellStyle name="20% - Accent2 4 5 5 5" xfId="13118"/>
    <cellStyle name="20% - Accent2 4 5 6" xfId="13119"/>
    <cellStyle name="20% - Accent2 4 5 6 2" xfId="13120"/>
    <cellStyle name="20% - Accent2 4 5 6 3" xfId="13121"/>
    <cellStyle name="20% - Accent2 4 5 7" xfId="13122"/>
    <cellStyle name="20% - Accent2 4 5 7 2" xfId="13123"/>
    <cellStyle name="20% - Accent2 4 5 7 3" xfId="13124"/>
    <cellStyle name="20% - Accent2 4 5 8" xfId="13125"/>
    <cellStyle name="20% - Accent2 4 5 8 2" xfId="13126"/>
    <cellStyle name="20% - Accent2 4 5 9" xfId="13127"/>
    <cellStyle name="20% - Accent2 4 6" xfId="397"/>
    <cellStyle name="20% - Accent2 4 6 2" xfId="13128"/>
    <cellStyle name="20% - Accent2 4 6 2 2" xfId="13129"/>
    <cellStyle name="20% - Accent2 4 6 2 2 2" xfId="13130"/>
    <cellStyle name="20% - Accent2 4 6 2 2 3" xfId="13131"/>
    <cellStyle name="20% - Accent2 4 6 2 3" xfId="13132"/>
    <cellStyle name="20% - Accent2 4 6 2 3 2" xfId="13133"/>
    <cellStyle name="20% - Accent2 4 6 2 3 3" xfId="13134"/>
    <cellStyle name="20% - Accent2 4 6 2 4" xfId="13135"/>
    <cellStyle name="20% - Accent2 4 6 2 4 2" xfId="13136"/>
    <cellStyle name="20% - Accent2 4 6 2 5" xfId="13137"/>
    <cellStyle name="20% - Accent2 4 6 2 6" xfId="13138"/>
    <cellStyle name="20% - Accent2 4 6 3" xfId="13139"/>
    <cellStyle name="20% - Accent2 4 6 3 2" xfId="13140"/>
    <cellStyle name="20% - Accent2 4 6 3 2 2" xfId="13141"/>
    <cellStyle name="20% - Accent2 4 6 3 2 3" xfId="13142"/>
    <cellStyle name="20% - Accent2 4 6 3 3" xfId="13143"/>
    <cellStyle name="20% - Accent2 4 6 3 3 2" xfId="13144"/>
    <cellStyle name="20% - Accent2 4 6 3 3 3" xfId="13145"/>
    <cellStyle name="20% - Accent2 4 6 3 4" xfId="13146"/>
    <cellStyle name="20% - Accent2 4 6 3 4 2" xfId="13147"/>
    <cellStyle name="20% - Accent2 4 6 3 5" xfId="13148"/>
    <cellStyle name="20% - Accent2 4 6 3 6" xfId="13149"/>
    <cellStyle name="20% - Accent2 4 6 4" xfId="13150"/>
    <cellStyle name="20% - Accent2 4 6 4 2" xfId="13151"/>
    <cellStyle name="20% - Accent2 4 6 4 2 2" xfId="13152"/>
    <cellStyle name="20% - Accent2 4 6 4 2 3" xfId="13153"/>
    <cellStyle name="20% - Accent2 4 6 4 3" xfId="13154"/>
    <cellStyle name="20% - Accent2 4 6 4 3 2" xfId="13155"/>
    <cellStyle name="20% - Accent2 4 6 4 4" xfId="13156"/>
    <cellStyle name="20% - Accent2 4 6 4 5" xfId="13157"/>
    <cellStyle name="20% - Accent2 4 6 5" xfId="13158"/>
    <cellStyle name="20% - Accent2 4 6 5 2" xfId="13159"/>
    <cellStyle name="20% - Accent2 4 6 5 3" xfId="13160"/>
    <cellStyle name="20% - Accent2 4 6 6" xfId="13161"/>
    <cellStyle name="20% - Accent2 4 6 6 2" xfId="13162"/>
    <cellStyle name="20% - Accent2 4 6 6 3" xfId="13163"/>
    <cellStyle name="20% - Accent2 4 6 7" xfId="13164"/>
    <cellStyle name="20% - Accent2 4 6 7 2" xfId="13165"/>
    <cellStyle name="20% - Accent2 4 6 8" xfId="13166"/>
    <cellStyle name="20% - Accent2 4 6 9" xfId="13167"/>
    <cellStyle name="20% - Accent2 4 7" xfId="8803"/>
    <cellStyle name="20% - Accent2 4 7 2" xfId="13168"/>
    <cellStyle name="20% - Accent2 4 7 2 2" xfId="13169"/>
    <cellStyle name="20% - Accent2 4 7 2 2 2" xfId="13170"/>
    <cellStyle name="20% - Accent2 4 7 2 2 3" xfId="13171"/>
    <cellStyle name="20% - Accent2 4 7 2 3" xfId="13172"/>
    <cellStyle name="20% - Accent2 4 7 2 3 2" xfId="13173"/>
    <cellStyle name="20% - Accent2 4 7 2 3 3" xfId="13174"/>
    <cellStyle name="20% - Accent2 4 7 2 4" xfId="13175"/>
    <cellStyle name="20% - Accent2 4 7 2 4 2" xfId="13176"/>
    <cellStyle name="20% - Accent2 4 7 2 5" xfId="13177"/>
    <cellStyle name="20% - Accent2 4 7 2 6" xfId="13178"/>
    <cellStyle name="20% - Accent2 4 7 3" xfId="13179"/>
    <cellStyle name="20% - Accent2 4 7 3 2" xfId="13180"/>
    <cellStyle name="20% - Accent2 4 7 3 2 2" xfId="13181"/>
    <cellStyle name="20% - Accent2 4 7 3 2 3" xfId="13182"/>
    <cellStyle name="20% - Accent2 4 7 3 3" xfId="13183"/>
    <cellStyle name="20% - Accent2 4 7 3 3 2" xfId="13184"/>
    <cellStyle name="20% - Accent2 4 7 3 3 3" xfId="13185"/>
    <cellStyle name="20% - Accent2 4 7 3 4" xfId="13186"/>
    <cellStyle name="20% - Accent2 4 7 3 4 2" xfId="13187"/>
    <cellStyle name="20% - Accent2 4 7 3 5" xfId="13188"/>
    <cellStyle name="20% - Accent2 4 7 3 6" xfId="13189"/>
    <cellStyle name="20% - Accent2 4 7 4" xfId="13190"/>
    <cellStyle name="20% - Accent2 4 7 4 2" xfId="13191"/>
    <cellStyle name="20% - Accent2 4 7 4 2 2" xfId="13192"/>
    <cellStyle name="20% - Accent2 4 7 4 2 3" xfId="13193"/>
    <cellStyle name="20% - Accent2 4 7 4 3" xfId="13194"/>
    <cellStyle name="20% - Accent2 4 7 4 3 2" xfId="13195"/>
    <cellStyle name="20% - Accent2 4 7 4 4" xfId="13196"/>
    <cellStyle name="20% - Accent2 4 7 4 5" xfId="13197"/>
    <cellStyle name="20% - Accent2 4 7 5" xfId="13198"/>
    <cellStyle name="20% - Accent2 4 7 5 2" xfId="13199"/>
    <cellStyle name="20% - Accent2 4 7 5 3" xfId="13200"/>
    <cellStyle name="20% - Accent2 4 7 6" xfId="13201"/>
    <cellStyle name="20% - Accent2 4 7 6 2" xfId="13202"/>
    <cellStyle name="20% - Accent2 4 7 6 3" xfId="13203"/>
    <cellStyle name="20% - Accent2 4 7 7" xfId="13204"/>
    <cellStyle name="20% - Accent2 4 7 7 2" xfId="13205"/>
    <cellStyle name="20% - Accent2 4 7 8" xfId="13206"/>
    <cellStyle name="20% - Accent2 4 7 9" xfId="13207"/>
    <cellStyle name="20% - Accent2 4 8" xfId="13208"/>
    <cellStyle name="20% - Accent2 4 8 2" xfId="13209"/>
    <cellStyle name="20% - Accent2 4 8 2 2" xfId="13210"/>
    <cellStyle name="20% - Accent2 4 8 2 3" xfId="13211"/>
    <cellStyle name="20% - Accent2 4 8 3" xfId="13212"/>
    <cellStyle name="20% - Accent2 4 8 3 2" xfId="13213"/>
    <cellStyle name="20% - Accent2 4 8 3 3" xfId="13214"/>
    <cellStyle name="20% - Accent2 4 8 4" xfId="13215"/>
    <cellStyle name="20% - Accent2 4 8 4 2" xfId="13216"/>
    <cellStyle name="20% - Accent2 4 8 5" xfId="13217"/>
    <cellStyle name="20% - Accent2 4 8 6" xfId="13218"/>
    <cellStyle name="20% - Accent2 4 9" xfId="13219"/>
    <cellStyle name="20% - Accent2 4 9 2" xfId="13220"/>
    <cellStyle name="20% - Accent2 4 9 2 2" xfId="13221"/>
    <cellStyle name="20% - Accent2 4 9 2 3" xfId="13222"/>
    <cellStyle name="20% - Accent2 4 9 3" xfId="13223"/>
    <cellStyle name="20% - Accent2 4 9 3 2" xfId="13224"/>
    <cellStyle name="20% - Accent2 4 9 3 3" xfId="13225"/>
    <cellStyle name="20% - Accent2 4 9 4" xfId="13226"/>
    <cellStyle name="20% - Accent2 4 9 4 2" xfId="13227"/>
    <cellStyle name="20% - Accent2 4 9 5" xfId="13228"/>
    <cellStyle name="20% - Accent2 4 9 6" xfId="13229"/>
    <cellStyle name="20% - Accent2 5" xfId="398"/>
    <cellStyle name="20% - Accent2 5 2" xfId="399"/>
    <cellStyle name="20% - Accent2 5 2 2" xfId="400"/>
    <cellStyle name="20% - Accent2 5 2 2 2" xfId="401"/>
    <cellStyle name="20% - Accent2 5 2 2 2 2" xfId="402"/>
    <cellStyle name="20% - Accent2 5 2 2 3" xfId="403"/>
    <cellStyle name="20% - Accent2 5 2 3" xfId="404"/>
    <cellStyle name="20% - Accent2 5 2 3 2" xfId="405"/>
    <cellStyle name="20% - Accent2 5 2 4" xfId="406"/>
    <cellStyle name="20% - Accent2 5 2 5" xfId="57862"/>
    <cellStyle name="20% - Accent2 5 3" xfId="407"/>
    <cellStyle name="20% - Accent2 5 3 2" xfId="408"/>
    <cellStyle name="20% - Accent2 5 3 2 2" xfId="409"/>
    <cellStyle name="20% - Accent2 5 3 3" xfId="410"/>
    <cellStyle name="20% - Accent2 5 4" xfId="411"/>
    <cellStyle name="20% - Accent2 5 4 2" xfId="412"/>
    <cellStyle name="20% - Accent2 5 5" xfId="413"/>
    <cellStyle name="20% - Accent2 5 6" xfId="8804"/>
    <cellStyle name="20% - Accent2 6" xfId="414"/>
    <cellStyle name="20% - Accent2 6 2" xfId="415"/>
    <cellStyle name="20% - Accent2 6 2 2" xfId="416"/>
    <cellStyle name="20% - Accent2 6 2 2 2" xfId="417"/>
    <cellStyle name="20% - Accent2 6 2 3" xfId="418"/>
    <cellStyle name="20% - Accent2 6 2 4" xfId="57863"/>
    <cellStyle name="20% - Accent2 6 2 5" xfId="57864"/>
    <cellStyle name="20% - Accent2 6 3" xfId="419"/>
    <cellStyle name="20% - Accent2 6 3 2" xfId="420"/>
    <cellStyle name="20% - Accent2 6 4" xfId="421"/>
    <cellStyle name="20% - Accent2 6 5" xfId="57865"/>
    <cellStyle name="20% - Accent2 7" xfId="422"/>
    <cellStyle name="20% - Accent2 7 2" xfId="423"/>
    <cellStyle name="20% - Accent2 7 2 2" xfId="424"/>
    <cellStyle name="20% - Accent2 7 2 2 2" xfId="425"/>
    <cellStyle name="20% - Accent2 7 2 3" xfId="426"/>
    <cellStyle name="20% - Accent2 7 3" xfId="427"/>
    <cellStyle name="20% - Accent2 7 3 2" xfId="428"/>
    <cellStyle name="20% - Accent2 7 4" xfId="429"/>
    <cellStyle name="20% - Accent2 7 5" xfId="57866"/>
    <cellStyle name="20% - Accent2 8" xfId="430"/>
    <cellStyle name="20% - Accent2 8 2" xfId="431"/>
    <cellStyle name="20% - Accent2 8 2 2" xfId="432"/>
    <cellStyle name="20% - Accent2 8 2 2 2" xfId="433"/>
    <cellStyle name="20% - Accent2 8 2 3" xfId="434"/>
    <cellStyle name="20% - Accent2 8 3" xfId="435"/>
    <cellStyle name="20% - Accent2 8 3 2" xfId="436"/>
    <cellStyle name="20% - Accent2 8 4" xfId="437"/>
    <cellStyle name="20% - Accent2 8 5" xfId="57867"/>
    <cellStyle name="20% - Accent2 9" xfId="438"/>
    <cellStyle name="20% - Accent2 9 2" xfId="439"/>
    <cellStyle name="20% - Accent2 9 2 2" xfId="440"/>
    <cellStyle name="20% - Accent2 9 3" xfId="441"/>
    <cellStyle name="20% - Accent2 9 4" xfId="57868"/>
    <cellStyle name="20% - Accent3 10" xfId="442"/>
    <cellStyle name="20% - Accent3 10 2" xfId="443"/>
    <cellStyle name="20% - Accent3 10 2 2" xfId="444"/>
    <cellStyle name="20% - Accent3 10 3" xfId="445"/>
    <cellStyle name="20% - Accent3 10 4" xfId="57869"/>
    <cellStyle name="20% - Accent3 11" xfId="446"/>
    <cellStyle name="20% - Accent3 11 2" xfId="447"/>
    <cellStyle name="20% - Accent3 11 2 2" xfId="448"/>
    <cellStyle name="20% - Accent3 11 3" xfId="449"/>
    <cellStyle name="20% - Accent3 11 4" xfId="57870"/>
    <cellStyle name="20% - Accent3 12" xfId="450"/>
    <cellStyle name="20% - Accent3 12 2" xfId="451"/>
    <cellStyle name="20% - Accent3 12 3" xfId="57871"/>
    <cellStyle name="20% - Accent3 13" xfId="452"/>
    <cellStyle name="20% - Accent3 13 2" xfId="57872"/>
    <cellStyle name="20% - Accent3 14" xfId="8805"/>
    <cellStyle name="20% - Accent3 15" xfId="9386"/>
    <cellStyle name="20% - Accent3 16" xfId="9387"/>
    <cellStyle name="20% - Accent3 17" xfId="9388"/>
    <cellStyle name="20% - Accent3 17 2" xfId="57873"/>
    <cellStyle name="20% - Accent3 18" xfId="57874"/>
    <cellStyle name="20% - Accent3 19" xfId="57875"/>
    <cellStyle name="20% - Accent3 2" xfId="453"/>
    <cellStyle name="20% - Accent3 2 2" xfId="454"/>
    <cellStyle name="20% - Accent3 2 2 2" xfId="455"/>
    <cellStyle name="20% - Accent3 2 2 2 2" xfId="456"/>
    <cellStyle name="20% - Accent3 2 2 2 2 2" xfId="457"/>
    <cellStyle name="20% - Accent3 2 2 2 2 2 2" xfId="458"/>
    <cellStyle name="20% - Accent3 2 2 2 2 2 2 2" xfId="459"/>
    <cellStyle name="20% - Accent3 2 2 2 2 2 3" xfId="460"/>
    <cellStyle name="20% - Accent3 2 2 2 2 3" xfId="461"/>
    <cellStyle name="20% - Accent3 2 2 2 2 3 2" xfId="462"/>
    <cellStyle name="20% - Accent3 2 2 2 2 4" xfId="463"/>
    <cellStyle name="20% - Accent3 2 2 2 2 5" xfId="57876"/>
    <cellStyle name="20% - Accent3 2 2 2 3" xfId="464"/>
    <cellStyle name="20% - Accent3 2 2 2 3 2" xfId="465"/>
    <cellStyle name="20% - Accent3 2 2 2 3 2 2" xfId="466"/>
    <cellStyle name="20% - Accent3 2 2 2 3 3" xfId="467"/>
    <cellStyle name="20% - Accent3 2 2 2 4" xfId="468"/>
    <cellStyle name="20% - Accent3 2 2 2 4 2" xfId="469"/>
    <cellStyle name="20% - Accent3 2 2 2 5" xfId="470"/>
    <cellStyle name="20% - Accent3 2 2 2 6" xfId="57877"/>
    <cellStyle name="20% - Accent3 2 2 3" xfId="471"/>
    <cellStyle name="20% - Accent3 2 2 3 2" xfId="472"/>
    <cellStyle name="20% - Accent3 2 2 3 2 2" xfId="473"/>
    <cellStyle name="20% - Accent3 2 2 3 2 2 2" xfId="474"/>
    <cellStyle name="20% - Accent3 2 2 3 2 3" xfId="475"/>
    <cellStyle name="20% - Accent3 2 2 3 3" xfId="476"/>
    <cellStyle name="20% - Accent3 2 2 3 3 2" xfId="477"/>
    <cellStyle name="20% - Accent3 2 2 3 4" xfId="478"/>
    <cellStyle name="20% - Accent3 2 2 3 5" xfId="57878"/>
    <cellStyle name="20% - Accent3 2 2 4" xfId="479"/>
    <cellStyle name="20% - Accent3 2 2 4 2" xfId="480"/>
    <cellStyle name="20% - Accent3 2 2 4 2 2" xfId="481"/>
    <cellStyle name="20% - Accent3 2 2 4 3" xfId="482"/>
    <cellStyle name="20% - Accent3 2 2 5" xfId="483"/>
    <cellStyle name="20% - Accent3 2 2 5 2" xfId="484"/>
    <cellStyle name="20% - Accent3 2 2 6" xfId="485"/>
    <cellStyle name="20% - Accent3 2 2 7" xfId="57879"/>
    <cellStyle name="20% - Accent3 2 3" xfId="486"/>
    <cellStyle name="20% - Accent3 2 3 2" xfId="487"/>
    <cellStyle name="20% - Accent3 2 3 2 2" xfId="488"/>
    <cellStyle name="20% - Accent3 2 3 2 2 2" xfId="489"/>
    <cellStyle name="20% - Accent3 2 3 2 2 2 2" xfId="490"/>
    <cellStyle name="20% - Accent3 2 3 2 2 3" xfId="491"/>
    <cellStyle name="20% - Accent3 2 3 2 3" xfId="492"/>
    <cellStyle name="20% - Accent3 2 3 2 3 2" xfId="493"/>
    <cellStyle name="20% - Accent3 2 3 2 4" xfId="494"/>
    <cellStyle name="20% - Accent3 2 3 3" xfId="495"/>
    <cellStyle name="20% - Accent3 2 3 3 2" xfId="496"/>
    <cellStyle name="20% - Accent3 2 3 3 2 2" xfId="497"/>
    <cellStyle name="20% - Accent3 2 3 3 3" xfId="498"/>
    <cellStyle name="20% - Accent3 2 3 4" xfId="499"/>
    <cellStyle name="20% - Accent3 2 3 4 2" xfId="500"/>
    <cellStyle name="20% - Accent3 2 3 5" xfId="501"/>
    <cellStyle name="20% - Accent3 2 3 6" xfId="57880"/>
    <cellStyle name="20% - Accent3 2 4" xfId="502"/>
    <cellStyle name="20% - Accent3 2 4 2" xfId="503"/>
    <cellStyle name="20% - Accent3 2 4 2 2" xfId="504"/>
    <cellStyle name="20% - Accent3 2 4 2 2 2" xfId="505"/>
    <cellStyle name="20% - Accent3 2 4 2 3" xfId="506"/>
    <cellStyle name="20% - Accent3 2 4 3" xfId="507"/>
    <cellStyle name="20% - Accent3 2 4 3 2" xfId="508"/>
    <cellStyle name="20% - Accent3 2 4 4" xfId="509"/>
    <cellStyle name="20% - Accent3 2 4 5" xfId="57881"/>
    <cellStyle name="20% - Accent3 2 5" xfId="510"/>
    <cellStyle name="20% - Accent3 2 5 2" xfId="511"/>
    <cellStyle name="20% - Accent3 2 5 2 2" xfId="512"/>
    <cellStyle name="20% - Accent3 2 5 3" xfId="513"/>
    <cellStyle name="20% - Accent3 2 5 4" xfId="57882"/>
    <cellStyle name="20% - Accent3 2 6" xfId="514"/>
    <cellStyle name="20% - Accent3 2 6 2" xfId="515"/>
    <cellStyle name="20% - Accent3 2 6 3" xfId="57883"/>
    <cellStyle name="20% - Accent3 2 7" xfId="516"/>
    <cellStyle name="20% - Accent3 2 8" xfId="517"/>
    <cellStyle name="20% - Accent3 2 9" xfId="57884"/>
    <cellStyle name="20% - Accent3 20" xfId="57885"/>
    <cellStyle name="20% - Accent3 21" xfId="57886"/>
    <cellStyle name="20% - Accent3 3" xfId="518"/>
    <cellStyle name="20% - Accent3 3 2" xfId="519"/>
    <cellStyle name="20% - Accent3 3 2 2" xfId="520"/>
    <cellStyle name="20% - Accent3 3 2 2 2" xfId="521"/>
    <cellStyle name="20% - Accent3 3 2 2 2 2" xfId="522"/>
    <cellStyle name="20% - Accent3 3 2 2 2 2 2" xfId="523"/>
    <cellStyle name="20% - Accent3 3 2 2 2 2 2 2" xfId="524"/>
    <cellStyle name="20% - Accent3 3 2 2 2 2 3" xfId="525"/>
    <cellStyle name="20% - Accent3 3 2 2 2 3" xfId="526"/>
    <cellStyle name="20% - Accent3 3 2 2 2 3 2" xfId="527"/>
    <cellStyle name="20% - Accent3 3 2 2 2 4" xfId="528"/>
    <cellStyle name="20% - Accent3 3 2 2 2 5" xfId="8806"/>
    <cellStyle name="20% - Accent3 3 2 2 3" xfId="529"/>
    <cellStyle name="20% - Accent3 3 2 2 3 2" xfId="530"/>
    <cellStyle name="20% - Accent3 3 2 2 3 2 2" xfId="531"/>
    <cellStyle name="20% - Accent3 3 2 2 3 3" xfId="532"/>
    <cellStyle name="20% - Accent3 3 2 2 4" xfId="533"/>
    <cellStyle name="20% - Accent3 3 2 2 4 2" xfId="534"/>
    <cellStyle name="20% - Accent3 3 2 2 5" xfId="535"/>
    <cellStyle name="20% - Accent3 3 2 2 6" xfId="8807"/>
    <cellStyle name="20% - Accent3 3 2 3" xfId="536"/>
    <cellStyle name="20% - Accent3 3 2 3 2" xfId="537"/>
    <cellStyle name="20% - Accent3 3 2 3 2 2" xfId="538"/>
    <cellStyle name="20% - Accent3 3 2 3 2 2 2" xfId="539"/>
    <cellStyle name="20% - Accent3 3 2 3 2 3" xfId="540"/>
    <cellStyle name="20% - Accent3 3 2 3 3" xfId="541"/>
    <cellStyle name="20% - Accent3 3 2 3 3 2" xfId="542"/>
    <cellStyle name="20% - Accent3 3 2 3 4" xfId="543"/>
    <cellStyle name="20% - Accent3 3 2 3 5" xfId="8808"/>
    <cellStyle name="20% - Accent3 3 2 4" xfId="544"/>
    <cellStyle name="20% - Accent3 3 2 4 2" xfId="545"/>
    <cellStyle name="20% - Accent3 3 2 4 2 2" xfId="546"/>
    <cellStyle name="20% - Accent3 3 2 4 3" xfId="547"/>
    <cellStyle name="20% - Accent3 3 2 5" xfId="548"/>
    <cellStyle name="20% - Accent3 3 2 5 2" xfId="549"/>
    <cellStyle name="20% - Accent3 3 2 6" xfId="550"/>
    <cellStyle name="20% - Accent3 3 2 7" xfId="8809"/>
    <cellStyle name="20% - Accent3 3 3" xfId="551"/>
    <cellStyle name="20% - Accent3 3 3 2" xfId="552"/>
    <cellStyle name="20% - Accent3 3 3 2 2" xfId="553"/>
    <cellStyle name="20% - Accent3 3 3 2 2 2" xfId="554"/>
    <cellStyle name="20% - Accent3 3 3 2 2 2 2" xfId="555"/>
    <cellStyle name="20% - Accent3 3 3 2 2 3" xfId="556"/>
    <cellStyle name="20% - Accent3 3 3 2 3" xfId="557"/>
    <cellStyle name="20% - Accent3 3 3 2 3 2" xfId="558"/>
    <cellStyle name="20% - Accent3 3 3 2 4" xfId="559"/>
    <cellStyle name="20% - Accent3 3 3 2 5" xfId="8810"/>
    <cellStyle name="20% - Accent3 3 3 3" xfId="560"/>
    <cellStyle name="20% - Accent3 3 3 3 2" xfId="561"/>
    <cellStyle name="20% - Accent3 3 3 3 2 2" xfId="562"/>
    <cellStyle name="20% - Accent3 3 3 3 3" xfId="563"/>
    <cellStyle name="20% - Accent3 3 3 4" xfId="564"/>
    <cellStyle name="20% - Accent3 3 3 4 2" xfId="565"/>
    <cellStyle name="20% - Accent3 3 3 5" xfId="566"/>
    <cellStyle name="20% - Accent3 3 3 6" xfId="8811"/>
    <cellStyle name="20% - Accent3 3 4" xfId="567"/>
    <cellStyle name="20% - Accent3 3 4 2" xfId="568"/>
    <cellStyle name="20% - Accent3 3 4 2 2" xfId="569"/>
    <cellStyle name="20% - Accent3 3 4 2 2 2" xfId="570"/>
    <cellStyle name="20% - Accent3 3 4 2 3" xfId="571"/>
    <cellStyle name="20% - Accent3 3 4 3" xfId="572"/>
    <cellStyle name="20% - Accent3 3 4 3 2" xfId="573"/>
    <cellStyle name="20% - Accent3 3 4 4" xfId="574"/>
    <cellStyle name="20% - Accent3 3 4 5" xfId="8812"/>
    <cellStyle name="20% - Accent3 3 5" xfId="575"/>
    <cellStyle name="20% - Accent3 3 5 2" xfId="576"/>
    <cellStyle name="20% - Accent3 3 5 2 2" xfId="577"/>
    <cellStyle name="20% - Accent3 3 5 3" xfId="578"/>
    <cellStyle name="20% - Accent3 3 6" xfId="579"/>
    <cellStyle name="20% - Accent3 3 6 2" xfId="580"/>
    <cellStyle name="20% - Accent3 3 7" xfId="581"/>
    <cellStyle name="20% - Accent3 3 8" xfId="582"/>
    <cellStyle name="20% - Accent3 3 9" xfId="8813"/>
    <cellStyle name="20% - Accent3 4" xfId="583"/>
    <cellStyle name="20% - Accent3 4 10" xfId="13230"/>
    <cellStyle name="20% - Accent3 4 10 2" xfId="13231"/>
    <cellStyle name="20% - Accent3 4 10 2 2" xfId="13232"/>
    <cellStyle name="20% - Accent3 4 10 2 3" xfId="13233"/>
    <cellStyle name="20% - Accent3 4 10 3" xfId="13234"/>
    <cellStyle name="20% - Accent3 4 10 3 2" xfId="13235"/>
    <cellStyle name="20% - Accent3 4 10 4" xfId="13236"/>
    <cellStyle name="20% - Accent3 4 10 5" xfId="13237"/>
    <cellStyle name="20% - Accent3 4 11" xfId="13238"/>
    <cellStyle name="20% - Accent3 4 11 2" xfId="13239"/>
    <cellStyle name="20% - Accent3 4 11 3" xfId="13240"/>
    <cellStyle name="20% - Accent3 4 12" xfId="13241"/>
    <cellStyle name="20% - Accent3 4 12 2" xfId="13242"/>
    <cellStyle name="20% - Accent3 4 12 3" xfId="13243"/>
    <cellStyle name="20% - Accent3 4 13" xfId="13244"/>
    <cellStyle name="20% - Accent3 4 13 2" xfId="13245"/>
    <cellStyle name="20% - Accent3 4 14" xfId="13246"/>
    <cellStyle name="20% - Accent3 4 15" xfId="13247"/>
    <cellStyle name="20% - Accent3 4 16" xfId="13248"/>
    <cellStyle name="20% - Accent3 4 2" xfId="584"/>
    <cellStyle name="20% - Accent3 4 2 10" xfId="13249"/>
    <cellStyle name="20% - Accent3 4 2 10 2" xfId="13250"/>
    <cellStyle name="20% - Accent3 4 2 10 3" xfId="13251"/>
    <cellStyle name="20% - Accent3 4 2 11" xfId="13252"/>
    <cellStyle name="20% - Accent3 4 2 11 2" xfId="13253"/>
    <cellStyle name="20% - Accent3 4 2 11 3" xfId="13254"/>
    <cellStyle name="20% - Accent3 4 2 12" xfId="13255"/>
    <cellStyle name="20% - Accent3 4 2 12 2" xfId="13256"/>
    <cellStyle name="20% - Accent3 4 2 13" xfId="13257"/>
    <cellStyle name="20% - Accent3 4 2 14" xfId="13258"/>
    <cellStyle name="20% - Accent3 4 2 15" xfId="13259"/>
    <cellStyle name="20% - Accent3 4 2 2" xfId="585"/>
    <cellStyle name="20% - Accent3 4 2 2 10" xfId="13260"/>
    <cellStyle name="20% - Accent3 4 2 2 10 2" xfId="13261"/>
    <cellStyle name="20% - Accent3 4 2 2 10 3" xfId="13262"/>
    <cellStyle name="20% - Accent3 4 2 2 11" xfId="13263"/>
    <cellStyle name="20% - Accent3 4 2 2 11 2" xfId="13264"/>
    <cellStyle name="20% - Accent3 4 2 2 12" xfId="13265"/>
    <cellStyle name="20% - Accent3 4 2 2 13" xfId="13266"/>
    <cellStyle name="20% - Accent3 4 2 2 2" xfId="586"/>
    <cellStyle name="20% - Accent3 4 2 2 2 10" xfId="13267"/>
    <cellStyle name="20% - Accent3 4 2 2 2 10 2" xfId="13268"/>
    <cellStyle name="20% - Accent3 4 2 2 2 11" xfId="13269"/>
    <cellStyle name="20% - Accent3 4 2 2 2 12" xfId="13270"/>
    <cellStyle name="20% - Accent3 4 2 2 2 2" xfId="587"/>
    <cellStyle name="20% - Accent3 4 2 2 2 2 10" xfId="13271"/>
    <cellStyle name="20% - Accent3 4 2 2 2 2 2" xfId="588"/>
    <cellStyle name="20% - Accent3 4 2 2 2 2 2 2" xfId="13272"/>
    <cellStyle name="20% - Accent3 4 2 2 2 2 2 2 2" xfId="13273"/>
    <cellStyle name="20% - Accent3 4 2 2 2 2 2 2 2 2" xfId="13274"/>
    <cellStyle name="20% - Accent3 4 2 2 2 2 2 2 2 3" xfId="13275"/>
    <cellStyle name="20% - Accent3 4 2 2 2 2 2 2 3" xfId="13276"/>
    <cellStyle name="20% - Accent3 4 2 2 2 2 2 2 3 2" xfId="13277"/>
    <cellStyle name="20% - Accent3 4 2 2 2 2 2 2 3 3" xfId="13278"/>
    <cellStyle name="20% - Accent3 4 2 2 2 2 2 2 4" xfId="13279"/>
    <cellStyle name="20% - Accent3 4 2 2 2 2 2 2 4 2" xfId="13280"/>
    <cellStyle name="20% - Accent3 4 2 2 2 2 2 2 5" xfId="13281"/>
    <cellStyle name="20% - Accent3 4 2 2 2 2 2 2 6" xfId="13282"/>
    <cellStyle name="20% - Accent3 4 2 2 2 2 2 3" xfId="13283"/>
    <cellStyle name="20% - Accent3 4 2 2 2 2 2 3 2" xfId="13284"/>
    <cellStyle name="20% - Accent3 4 2 2 2 2 2 3 2 2" xfId="13285"/>
    <cellStyle name="20% - Accent3 4 2 2 2 2 2 3 2 3" xfId="13286"/>
    <cellStyle name="20% - Accent3 4 2 2 2 2 2 3 3" xfId="13287"/>
    <cellStyle name="20% - Accent3 4 2 2 2 2 2 3 3 2" xfId="13288"/>
    <cellStyle name="20% - Accent3 4 2 2 2 2 2 3 3 3" xfId="13289"/>
    <cellStyle name="20% - Accent3 4 2 2 2 2 2 3 4" xfId="13290"/>
    <cellStyle name="20% - Accent3 4 2 2 2 2 2 3 4 2" xfId="13291"/>
    <cellStyle name="20% - Accent3 4 2 2 2 2 2 3 5" xfId="13292"/>
    <cellStyle name="20% - Accent3 4 2 2 2 2 2 3 6" xfId="13293"/>
    <cellStyle name="20% - Accent3 4 2 2 2 2 2 4" xfId="13294"/>
    <cellStyle name="20% - Accent3 4 2 2 2 2 2 4 2" xfId="13295"/>
    <cellStyle name="20% - Accent3 4 2 2 2 2 2 4 2 2" xfId="13296"/>
    <cellStyle name="20% - Accent3 4 2 2 2 2 2 4 2 3" xfId="13297"/>
    <cellStyle name="20% - Accent3 4 2 2 2 2 2 4 3" xfId="13298"/>
    <cellStyle name="20% - Accent3 4 2 2 2 2 2 4 3 2" xfId="13299"/>
    <cellStyle name="20% - Accent3 4 2 2 2 2 2 4 4" xfId="13300"/>
    <cellStyle name="20% - Accent3 4 2 2 2 2 2 4 5" xfId="13301"/>
    <cellStyle name="20% - Accent3 4 2 2 2 2 2 5" xfId="13302"/>
    <cellStyle name="20% - Accent3 4 2 2 2 2 2 5 2" xfId="13303"/>
    <cellStyle name="20% - Accent3 4 2 2 2 2 2 5 3" xfId="13304"/>
    <cellStyle name="20% - Accent3 4 2 2 2 2 2 6" xfId="13305"/>
    <cellStyle name="20% - Accent3 4 2 2 2 2 2 6 2" xfId="13306"/>
    <cellStyle name="20% - Accent3 4 2 2 2 2 2 6 3" xfId="13307"/>
    <cellStyle name="20% - Accent3 4 2 2 2 2 2 7" xfId="13308"/>
    <cellStyle name="20% - Accent3 4 2 2 2 2 2 7 2" xfId="13309"/>
    <cellStyle name="20% - Accent3 4 2 2 2 2 2 8" xfId="13310"/>
    <cellStyle name="20% - Accent3 4 2 2 2 2 2 9" xfId="13311"/>
    <cellStyle name="20% - Accent3 4 2 2 2 2 3" xfId="13312"/>
    <cellStyle name="20% - Accent3 4 2 2 2 2 3 2" xfId="13313"/>
    <cellStyle name="20% - Accent3 4 2 2 2 2 3 2 2" xfId="13314"/>
    <cellStyle name="20% - Accent3 4 2 2 2 2 3 2 3" xfId="13315"/>
    <cellStyle name="20% - Accent3 4 2 2 2 2 3 3" xfId="13316"/>
    <cellStyle name="20% - Accent3 4 2 2 2 2 3 3 2" xfId="13317"/>
    <cellStyle name="20% - Accent3 4 2 2 2 2 3 3 3" xfId="13318"/>
    <cellStyle name="20% - Accent3 4 2 2 2 2 3 4" xfId="13319"/>
    <cellStyle name="20% - Accent3 4 2 2 2 2 3 4 2" xfId="13320"/>
    <cellStyle name="20% - Accent3 4 2 2 2 2 3 5" xfId="13321"/>
    <cellStyle name="20% - Accent3 4 2 2 2 2 3 6" xfId="13322"/>
    <cellStyle name="20% - Accent3 4 2 2 2 2 4" xfId="13323"/>
    <cellStyle name="20% - Accent3 4 2 2 2 2 4 2" xfId="13324"/>
    <cellStyle name="20% - Accent3 4 2 2 2 2 4 2 2" xfId="13325"/>
    <cellStyle name="20% - Accent3 4 2 2 2 2 4 2 3" xfId="13326"/>
    <cellStyle name="20% - Accent3 4 2 2 2 2 4 3" xfId="13327"/>
    <cellStyle name="20% - Accent3 4 2 2 2 2 4 3 2" xfId="13328"/>
    <cellStyle name="20% - Accent3 4 2 2 2 2 4 3 3" xfId="13329"/>
    <cellStyle name="20% - Accent3 4 2 2 2 2 4 4" xfId="13330"/>
    <cellStyle name="20% - Accent3 4 2 2 2 2 4 4 2" xfId="13331"/>
    <cellStyle name="20% - Accent3 4 2 2 2 2 4 5" xfId="13332"/>
    <cellStyle name="20% - Accent3 4 2 2 2 2 4 6" xfId="13333"/>
    <cellStyle name="20% - Accent3 4 2 2 2 2 5" xfId="13334"/>
    <cellStyle name="20% - Accent3 4 2 2 2 2 5 2" xfId="13335"/>
    <cellStyle name="20% - Accent3 4 2 2 2 2 5 2 2" xfId="13336"/>
    <cellStyle name="20% - Accent3 4 2 2 2 2 5 2 3" xfId="13337"/>
    <cellStyle name="20% - Accent3 4 2 2 2 2 5 3" xfId="13338"/>
    <cellStyle name="20% - Accent3 4 2 2 2 2 5 3 2" xfId="13339"/>
    <cellStyle name="20% - Accent3 4 2 2 2 2 5 4" xfId="13340"/>
    <cellStyle name="20% - Accent3 4 2 2 2 2 5 5" xfId="13341"/>
    <cellStyle name="20% - Accent3 4 2 2 2 2 6" xfId="13342"/>
    <cellStyle name="20% - Accent3 4 2 2 2 2 6 2" xfId="13343"/>
    <cellStyle name="20% - Accent3 4 2 2 2 2 6 3" xfId="13344"/>
    <cellStyle name="20% - Accent3 4 2 2 2 2 7" xfId="13345"/>
    <cellStyle name="20% - Accent3 4 2 2 2 2 7 2" xfId="13346"/>
    <cellStyle name="20% - Accent3 4 2 2 2 2 7 3" xfId="13347"/>
    <cellStyle name="20% - Accent3 4 2 2 2 2 8" xfId="13348"/>
    <cellStyle name="20% - Accent3 4 2 2 2 2 8 2" xfId="13349"/>
    <cellStyle name="20% - Accent3 4 2 2 2 2 9" xfId="13350"/>
    <cellStyle name="20% - Accent3 4 2 2 2 3" xfId="589"/>
    <cellStyle name="20% - Accent3 4 2 2 2 3 2" xfId="13351"/>
    <cellStyle name="20% - Accent3 4 2 2 2 3 2 2" xfId="13352"/>
    <cellStyle name="20% - Accent3 4 2 2 2 3 2 2 2" xfId="13353"/>
    <cellStyle name="20% - Accent3 4 2 2 2 3 2 2 3" xfId="13354"/>
    <cellStyle name="20% - Accent3 4 2 2 2 3 2 3" xfId="13355"/>
    <cellStyle name="20% - Accent3 4 2 2 2 3 2 3 2" xfId="13356"/>
    <cellStyle name="20% - Accent3 4 2 2 2 3 2 3 3" xfId="13357"/>
    <cellStyle name="20% - Accent3 4 2 2 2 3 2 4" xfId="13358"/>
    <cellStyle name="20% - Accent3 4 2 2 2 3 2 4 2" xfId="13359"/>
    <cellStyle name="20% - Accent3 4 2 2 2 3 2 5" xfId="13360"/>
    <cellStyle name="20% - Accent3 4 2 2 2 3 2 6" xfId="13361"/>
    <cellStyle name="20% - Accent3 4 2 2 2 3 3" xfId="13362"/>
    <cellStyle name="20% - Accent3 4 2 2 2 3 3 2" xfId="13363"/>
    <cellStyle name="20% - Accent3 4 2 2 2 3 3 2 2" xfId="13364"/>
    <cellStyle name="20% - Accent3 4 2 2 2 3 3 2 3" xfId="13365"/>
    <cellStyle name="20% - Accent3 4 2 2 2 3 3 3" xfId="13366"/>
    <cellStyle name="20% - Accent3 4 2 2 2 3 3 3 2" xfId="13367"/>
    <cellStyle name="20% - Accent3 4 2 2 2 3 3 3 3" xfId="13368"/>
    <cellStyle name="20% - Accent3 4 2 2 2 3 3 4" xfId="13369"/>
    <cellStyle name="20% - Accent3 4 2 2 2 3 3 4 2" xfId="13370"/>
    <cellStyle name="20% - Accent3 4 2 2 2 3 3 5" xfId="13371"/>
    <cellStyle name="20% - Accent3 4 2 2 2 3 3 6" xfId="13372"/>
    <cellStyle name="20% - Accent3 4 2 2 2 3 4" xfId="13373"/>
    <cellStyle name="20% - Accent3 4 2 2 2 3 4 2" xfId="13374"/>
    <cellStyle name="20% - Accent3 4 2 2 2 3 4 2 2" xfId="13375"/>
    <cellStyle name="20% - Accent3 4 2 2 2 3 4 2 3" xfId="13376"/>
    <cellStyle name="20% - Accent3 4 2 2 2 3 4 3" xfId="13377"/>
    <cellStyle name="20% - Accent3 4 2 2 2 3 4 3 2" xfId="13378"/>
    <cellStyle name="20% - Accent3 4 2 2 2 3 4 4" xfId="13379"/>
    <cellStyle name="20% - Accent3 4 2 2 2 3 4 5" xfId="13380"/>
    <cellStyle name="20% - Accent3 4 2 2 2 3 5" xfId="13381"/>
    <cellStyle name="20% - Accent3 4 2 2 2 3 5 2" xfId="13382"/>
    <cellStyle name="20% - Accent3 4 2 2 2 3 5 3" xfId="13383"/>
    <cellStyle name="20% - Accent3 4 2 2 2 3 6" xfId="13384"/>
    <cellStyle name="20% - Accent3 4 2 2 2 3 6 2" xfId="13385"/>
    <cellStyle name="20% - Accent3 4 2 2 2 3 6 3" xfId="13386"/>
    <cellStyle name="20% - Accent3 4 2 2 2 3 7" xfId="13387"/>
    <cellStyle name="20% - Accent3 4 2 2 2 3 7 2" xfId="13388"/>
    <cellStyle name="20% - Accent3 4 2 2 2 3 8" xfId="13389"/>
    <cellStyle name="20% - Accent3 4 2 2 2 3 9" xfId="13390"/>
    <cellStyle name="20% - Accent3 4 2 2 2 4" xfId="13391"/>
    <cellStyle name="20% - Accent3 4 2 2 2 4 2" xfId="13392"/>
    <cellStyle name="20% - Accent3 4 2 2 2 4 2 2" xfId="13393"/>
    <cellStyle name="20% - Accent3 4 2 2 2 4 2 2 2" xfId="13394"/>
    <cellStyle name="20% - Accent3 4 2 2 2 4 2 2 3" xfId="13395"/>
    <cellStyle name="20% - Accent3 4 2 2 2 4 2 3" xfId="13396"/>
    <cellStyle name="20% - Accent3 4 2 2 2 4 2 3 2" xfId="13397"/>
    <cellStyle name="20% - Accent3 4 2 2 2 4 2 3 3" xfId="13398"/>
    <cellStyle name="20% - Accent3 4 2 2 2 4 2 4" xfId="13399"/>
    <cellStyle name="20% - Accent3 4 2 2 2 4 2 4 2" xfId="13400"/>
    <cellStyle name="20% - Accent3 4 2 2 2 4 2 5" xfId="13401"/>
    <cellStyle name="20% - Accent3 4 2 2 2 4 2 6" xfId="13402"/>
    <cellStyle name="20% - Accent3 4 2 2 2 4 3" xfId="13403"/>
    <cellStyle name="20% - Accent3 4 2 2 2 4 3 2" xfId="13404"/>
    <cellStyle name="20% - Accent3 4 2 2 2 4 3 2 2" xfId="13405"/>
    <cellStyle name="20% - Accent3 4 2 2 2 4 3 2 3" xfId="13406"/>
    <cellStyle name="20% - Accent3 4 2 2 2 4 3 3" xfId="13407"/>
    <cellStyle name="20% - Accent3 4 2 2 2 4 3 3 2" xfId="13408"/>
    <cellStyle name="20% - Accent3 4 2 2 2 4 3 3 3" xfId="13409"/>
    <cellStyle name="20% - Accent3 4 2 2 2 4 3 4" xfId="13410"/>
    <cellStyle name="20% - Accent3 4 2 2 2 4 3 4 2" xfId="13411"/>
    <cellStyle name="20% - Accent3 4 2 2 2 4 3 5" xfId="13412"/>
    <cellStyle name="20% - Accent3 4 2 2 2 4 3 6" xfId="13413"/>
    <cellStyle name="20% - Accent3 4 2 2 2 4 4" xfId="13414"/>
    <cellStyle name="20% - Accent3 4 2 2 2 4 4 2" xfId="13415"/>
    <cellStyle name="20% - Accent3 4 2 2 2 4 4 2 2" xfId="13416"/>
    <cellStyle name="20% - Accent3 4 2 2 2 4 4 2 3" xfId="13417"/>
    <cellStyle name="20% - Accent3 4 2 2 2 4 4 3" xfId="13418"/>
    <cellStyle name="20% - Accent3 4 2 2 2 4 4 3 2" xfId="13419"/>
    <cellStyle name="20% - Accent3 4 2 2 2 4 4 4" xfId="13420"/>
    <cellStyle name="20% - Accent3 4 2 2 2 4 4 5" xfId="13421"/>
    <cellStyle name="20% - Accent3 4 2 2 2 4 5" xfId="13422"/>
    <cellStyle name="20% - Accent3 4 2 2 2 4 5 2" xfId="13423"/>
    <cellStyle name="20% - Accent3 4 2 2 2 4 5 3" xfId="13424"/>
    <cellStyle name="20% - Accent3 4 2 2 2 4 6" xfId="13425"/>
    <cellStyle name="20% - Accent3 4 2 2 2 4 6 2" xfId="13426"/>
    <cellStyle name="20% - Accent3 4 2 2 2 4 6 3" xfId="13427"/>
    <cellStyle name="20% - Accent3 4 2 2 2 4 7" xfId="13428"/>
    <cellStyle name="20% - Accent3 4 2 2 2 4 7 2" xfId="13429"/>
    <cellStyle name="20% - Accent3 4 2 2 2 4 8" xfId="13430"/>
    <cellStyle name="20% - Accent3 4 2 2 2 4 9" xfId="13431"/>
    <cellStyle name="20% - Accent3 4 2 2 2 5" xfId="13432"/>
    <cellStyle name="20% - Accent3 4 2 2 2 5 2" xfId="13433"/>
    <cellStyle name="20% - Accent3 4 2 2 2 5 2 2" xfId="13434"/>
    <cellStyle name="20% - Accent3 4 2 2 2 5 2 3" xfId="13435"/>
    <cellStyle name="20% - Accent3 4 2 2 2 5 3" xfId="13436"/>
    <cellStyle name="20% - Accent3 4 2 2 2 5 3 2" xfId="13437"/>
    <cellStyle name="20% - Accent3 4 2 2 2 5 3 3" xfId="13438"/>
    <cellStyle name="20% - Accent3 4 2 2 2 5 4" xfId="13439"/>
    <cellStyle name="20% - Accent3 4 2 2 2 5 4 2" xfId="13440"/>
    <cellStyle name="20% - Accent3 4 2 2 2 5 5" xfId="13441"/>
    <cellStyle name="20% - Accent3 4 2 2 2 5 6" xfId="13442"/>
    <cellStyle name="20% - Accent3 4 2 2 2 6" xfId="13443"/>
    <cellStyle name="20% - Accent3 4 2 2 2 6 2" xfId="13444"/>
    <cellStyle name="20% - Accent3 4 2 2 2 6 2 2" xfId="13445"/>
    <cellStyle name="20% - Accent3 4 2 2 2 6 2 3" xfId="13446"/>
    <cellStyle name="20% - Accent3 4 2 2 2 6 3" xfId="13447"/>
    <cellStyle name="20% - Accent3 4 2 2 2 6 3 2" xfId="13448"/>
    <cellStyle name="20% - Accent3 4 2 2 2 6 3 3" xfId="13449"/>
    <cellStyle name="20% - Accent3 4 2 2 2 6 4" xfId="13450"/>
    <cellStyle name="20% - Accent3 4 2 2 2 6 4 2" xfId="13451"/>
    <cellStyle name="20% - Accent3 4 2 2 2 6 5" xfId="13452"/>
    <cellStyle name="20% - Accent3 4 2 2 2 6 6" xfId="13453"/>
    <cellStyle name="20% - Accent3 4 2 2 2 7" xfId="13454"/>
    <cellStyle name="20% - Accent3 4 2 2 2 7 2" xfId="13455"/>
    <cellStyle name="20% - Accent3 4 2 2 2 7 2 2" xfId="13456"/>
    <cellStyle name="20% - Accent3 4 2 2 2 7 2 3" xfId="13457"/>
    <cellStyle name="20% - Accent3 4 2 2 2 7 3" xfId="13458"/>
    <cellStyle name="20% - Accent3 4 2 2 2 7 3 2" xfId="13459"/>
    <cellStyle name="20% - Accent3 4 2 2 2 7 4" xfId="13460"/>
    <cellStyle name="20% - Accent3 4 2 2 2 7 5" xfId="13461"/>
    <cellStyle name="20% - Accent3 4 2 2 2 8" xfId="13462"/>
    <cellStyle name="20% - Accent3 4 2 2 2 8 2" xfId="13463"/>
    <cellStyle name="20% - Accent3 4 2 2 2 8 3" xfId="13464"/>
    <cellStyle name="20% - Accent3 4 2 2 2 9" xfId="13465"/>
    <cellStyle name="20% - Accent3 4 2 2 2 9 2" xfId="13466"/>
    <cellStyle name="20% - Accent3 4 2 2 2 9 3" xfId="13467"/>
    <cellStyle name="20% - Accent3 4 2 2 3" xfId="590"/>
    <cellStyle name="20% - Accent3 4 2 2 3 10" xfId="13468"/>
    <cellStyle name="20% - Accent3 4 2 2 3 2" xfId="591"/>
    <cellStyle name="20% - Accent3 4 2 2 3 2 2" xfId="13469"/>
    <cellStyle name="20% - Accent3 4 2 2 3 2 2 2" xfId="13470"/>
    <cellStyle name="20% - Accent3 4 2 2 3 2 2 2 2" xfId="13471"/>
    <cellStyle name="20% - Accent3 4 2 2 3 2 2 2 3" xfId="13472"/>
    <cellStyle name="20% - Accent3 4 2 2 3 2 2 3" xfId="13473"/>
    <cellStyle name="20% - Accent3 4 2 2 3 2 2 3 2" xfId="13474"/>
    <cellStyle name="20% - Accent3 4 2 2 3 2 2 3 3" xfId="13475"/>
    <cellStyle name="20% - Accent3 4 2 2 3 2 2 4" xfId="13476"/>
    <cellStyle name="20% - Accent3 4 2 2 3 2 2 4 2" xfId="13477"/>
    <cellStyle name="20% - Accent3 4 2 2 3 2 2 5" xfId="13478"/>
    <cellStyle name="20% - Accent3 4 2 2 3 2 2 6" xfId="13479"/>
    <cellStyle name="20% - Accent3 4 2 2 3 2 3" xfId="13480"/>
    <cellStyle name="20% - Accent3 4 2 2 3 2 3 2" xfId="13481"/>
    <cellStyle name="20% - Accent3 4 2 2 3 2 3 2 2" xfId="13482"/>
    <cellStyle name="20% - Accent3 4 2 2 3 2 3 2 3" xfId="13483"/>
    <cellStyle name="20% - Accent3 4 2 2 3 2 3 3" xfId="13484"/>
    <cellStyle name="20% - Accent3 4 2 2 3 2 3 3 2" xfId="13485"/>
    <cellStyle name="20% - Accent3 4 2 2 3 2 3 3 3" xfId="13486"/>
    <cellStyle name="20% - Accent3 4 2 2 3 2 3 4" xfId="13487"/>
    <cellStyle name="20% - Accent3 4 2 2 3 2 3 4 2" xfId="13488"/>
    <cellStyle name="20% - Accent3 4 2 2 3 2 3 5" xfId="13489"/>
    <cellStyle name="20% - Accent3 4 2 2 3 2 3 6" xfId="13490"/>
    <cellStyle name="20% - Accent3 4 2 2 3 2 4" xfId="13491"/>
    <cellStyle name="20% - Accent3 4 2 2 3 2 4 2" xfId="13492"/>
    <cellStyle name="20% - Accent3 4 2 2 3 2 4 2 2" xfId="13493"/>
    <cellStyle name="20% - Accent3 4 2 2 3 2 4 2 3" xfId="13494"/>
    <cellStyle name="20% - Accent3 4 2 2 3 2 4 3" xfId="13495"/>
    <cellStyle name="20% - Accent3 4 2 2 3 2 4 3 2" xfId="13496"/>
    <cellStyle name="20% - Accent3 4 2 2 3 2 4 4" xfId="13497"/>
    <cellStyle name="20% - Accent3 4 2 2 3 2 4 5" xfId="13498"/>
    <cellStyle name="20% - Accent3 4 2 2 3 2 5" xfId="13499"/>
    <cellStyle name="20% - Accent3 4 2 2 3 2 5 2" xfId="13500"/>
    <cellStyle name="20% - Accent3 4 2 2 3 2 5 3" xfId="13501"/>
    <cellStyle name="20% - Accent3 4 2 2 3 2 6" xfId="13502"/>
    <cellStyle name="20% - Accent3 4 2 2 3 2 6 2" xfId="13503"/>
    <cellStyle name="20% - Accent3 4 2 2 3 2 6 3" xfId="13504"/>
    <cellStyle name="20% - Accent3 4 2 2 3 2 7" xfId="13505"/>
    <cellStyle name="20% - Accent3 4 2 2 3 2 7 2" xfId="13506"/>
    <cellStyle name="20% - Accent3 4 2 2 3 2 8" xfId="13507"/>
    <cellStyle name="20% - Accent3 4 2 2 3 2 9" xfId="13508"/>
    <cellStyle name="20% - Accent3 4 2 2 3 3" xfId="13509"/>
    <cellStyle name="20% - Accent3 4 2 2 3 3 2" xfId="13510"/>
    <cellStyle name="20% - Accent3 4 2 2 3 3 2 2" xfId="13511"/>
    <cellStyle name="20% - Accent3 4 2 2 3 3 2 3" xfId="13512"/>
    <cellStyle name="20% - Accent3 4 2 2 3 3 3" xfId="13513"/>
    <cellStyle name="20% - Accent3 4 2 2 3 3 3 2" xfId="13514"/>
    <cellStyle name="20% - Accent3 4 2 2 3 3 3 3" xfId="13515"/>
    <cellStyle name="20% - Accent3 4 2 2 3 3 4" xfId="13516"/>
    <cellStyle name="20% - Accent3 4 2 2 3 3 4 2" xfId="13517"/>
    <cellStyle name="20% - Accent3 4 2 2 3 3 5" xfId="13518"/>
    <cellStyle name="20% - Accent3 4 2 2 3 3 6" xfId="13519"/>
    <cellStyle name="20% - Accent3 4 2 2 3 4" xfId="13520"/>
    <cellStyle name="20% - Accent3 4 2 2 3 4 2" xfId="13521"/>
    <cellStyle name="20% - Accent3 4 2 2 3 4 2 2" xfId="13522"/>
    <cellStyle name="20% - Accent3 4 2 2 3 4 2 3" xfId="13523"/>
    <cellStyle name="20% - Accent3 4 2 2 3 4 3" xfId="13524"/>
    <cellStyle name="20% - Accent3 4 2 2 3 4 3 2" xfId="13525"/>
    <cellStyle name="20% - Accent3 4 2 2 3 4 3 3" xfId="13526"/>
    <cellStyle name="20% - Accent3 4 2 2 3 4 4" xfId="13527"/>
    <cellStyle name="20% - Accent3 4 2 2 3 4 4 2" xfId="13528"/>
    <cellStyle name="20% - Accent3 4 2 2 3 4 5" xfId="13529"/>
    <cellStyle name="20% - Accent3 4 2 2 3 4 6" xfId="13530"/>
    <cellStyle name="20% - Accent3 4 2 2 3 5" xfId="13531"/>
    <cellStyle name="20% - Accent3 4 2 2 3 5 2" xfId="13532"/>
    <cellStyle name="20% - Accent3 4 2 2 3 5 2 2" xfId="13533"/>
    <cellStyle name="20% - Accent3 4 2 2 3 5 2 3" xfId="13534"/>
    <cellStyle name="20% - Accent3 4 2 2 3 5 3" xfId="13535"/>
    <cellStyle name="20% - Accent3 4 2 2 3 5 3 2" xfId="13536"/>
    <cellStyle name="20% - Accent3 4 2 2 3 5 4" xfId="13537"/>
    <cellStyle name="20% - Accent3 4 2 2 3 5 5" xfId="13538"/>
    <cellStyle name="20% - Accent3 4 2 2 3 6" xfId="13539"/>
    <cellStyle name="20% - Accent3 4 2 2 3 6 2" xfId="13540"/>
    <cellStyle name="20% - Accent3 4 2 2 3 6 3" xfId="13541"/>
    <cellStyle name="20% - Accent3 4 2 2 3 7" xfId="13542"/>
    <cellStyle name="20% - Accent3 4 2 2 3 7 2" xfId="13543"/>
    <cellStyle name="20% - Accent3 4 2 2 3 7 3" xfId="13544"/>
    <cellStyle name="20% - Accent3 4 2 2 3 8" xfId="13545"/>
    <cellStyle name="20% - Accent3 4 2 2 3 8 2" xfId="13546"/>
    <cellStyle name="20% - Accent3 4 2 2 3 9" xfId="13547"/>
    <cellStyle name="20% - Accent3 4 2 2 4" xfId="592"/>
    <cellStyle name="20% - Accent3 4 2 2 4 2" xfId="13548"/>
    <cellStyle name="20% - Accent3 4 2 2 4 2 2" xfId="13549"/>
    <cellStyle name="20% - Accent3 4 2 2 4 2 2 2" xfId="13550"/>
    <cellStyle name="20% - Accent3 4 2 2 4 2 2 3" xfId="13551"/>
    <cellStyle name="20% - Accent3 4 2 2 4 2 3" xfId="13552"/>
    <cellStyle name="20% - Accent3 4 2 2 4 2 3 2" xfId="13553"/>
    <cellStyle name="20% - Accent3 4 2 2 4 2 3 3" xfId="13554"/>
    <cellStyle name="20% - Accent3 4 2 2 4 2 4" xfId="13555"/>
    <cellStyle name="20% - Accent3 4 2 2 4 2 4 2" xfId="13556"/>
    <cellStyle name="20% - Accent3 4 2 2 4 2 5" xfId="13557"/>
    <cellStyle name="20% - Accent3 4 2 2 4 2 6" xfId="13558"/>
    <cellStyle name="20% - Accent3 4 2 2 4 3" xfId="13559"/>
    <cellStyle name="20% - Accent3 4 2 2 4 3 2" xfId="13560"/>
    <cellStyle name="20% - Accent3 4 2 2 4 3 2 2" xfId="13561"/>
    <cellStyle name="20% - Accent3 4 2 2 4 3 2 3" xfId="13562"/>
    <cellStyle name="20% - Accent3 4 2 2 4 3 3" xfId="13563"/>
    <cellStyle name="20% - Accent3 4 2 2 4 3 3 2" xfId="13564"/>
    <cellStyle name="20% - Accent3 4 2 2 4 3 3 3" xfId="13565"/>
    <cellStyle name="20% - Accent3 4 2 2 4 3 4" xfId="13566"/>
    <cellStyle name="20% - Accent3 4 2 2 4 3 4 2" xfId="13567"/>
    <cellStyle name="20% - Accent3 4 2 2 4 3 5" xfId="13568"/>
    <cellStyle name="20% - Accent3 4 2 2 4 3 6" xfId="13569"/>
    <cellStyle name="20% - Accent3 4 2 2 4 4" xfId="13570"/>
    <cellStyle name="20% - Accent3 4 2 2 4 4 2" xfId="13571"/>
    <cellStyle name="20% - Accent3 4 2 2 4 4 2 2" xfId="13572"/>
    <cellStyle name="20% - Accent3 4 2 2 4 4 2 3" xfId="13573"/>
    <cellStyle name="20% - Accent3 4 2 2 4 4 3" xfId="13574"/>
    <cellStyle name="20% - Accent3 4 2 2 4 4 3 2" xfId="13575"/>
    <cellStyle name="20% - Accent3 4 2 2 4 4 4" xfId="13576"/>
    <cellStyle name="20% - Accent3 4 2 2 4 4 5" xfId="13577"/>
    <cellStyle name="20% - Accent3 4 2 2 4 5" xfId="13578"/>
    <cellStyle name="20% - Accent3 4 2 2 4 5 2" xfId="13579"/>
    <cellStyle name="20% - Accent3 4 2 2 4 5 3" xfId="13580"/>
    <cellStyle name="20% - Accent3 4 2 2 4 6" xfId="13581"/>
    <cellStyle name="20% - Accent3 4 2 2 4 6 2" xfId="13582"/>
    <cellStyle name="20% - Accent3 4 2 2 4 6 3" xfId="13583"/>
    <cellStyle name="20% - Accent3 4 2 2 4 7" xfId="13584"/>
    <cellStyle name="20% - Accent3 4 2 2 4 7 2" xfId="13585"/>
    <cellStyle name="20% - Accent3 4 2 2 4 8" xfId="13586"/>
    <cellStyle name="20% - Accent3 4 2 2 4 9" xfId="13587"/>
    <cellStyle name="20% - Accent3 4 2 2 5" xfId="13588"/>
    <cellStyle name="20% - Accent3 4 2 2 5 2" xfId="13589"/>
    <cellStyle name="20% - Accent3 4 2 2 5 2 2" xfId="13590"/>
    <cellStyle name="20% - Accent3 4 2 2 5 2 2 2" xfId="13591"/>
    <cellStyle name="20% - Accent3 4 2 2 5 2 2 3" xfId="13592"/>
    <cellStyle name="20% - Accent3 4 2 2 5 2 3" xfId="13593"/>
    <cellStyle name="20% - Accent3 4 2 2 5 2 3 2" xfId="13594"/>
    <cellStyle name="20% - Accent3 4 2 2 5 2 3 3" xfId="13595"/>
    <cellStyle name="20% - Accent3 4 2 2 5 2 4" xfId="13596"/>
    <cellStyle name="20% - Accent3 4 2 2 5 2 4 2" xfId="13597"/>
    <cellStyle name="20% - Accent3 4 2 2 5 2 5" xfId="13598"/>
    <cellStyle name="20% - Accent3 4 2 2 5 2 6" xfId="13599"/>
    <cellStyle name="20% - Accent3 4 2 2 5 3" xfId="13600"/>
    <cellStyle name="20% - Accent3 4 2 2 5 3 2" xfId="13601"/>
    <cellStyle name="20% - Accent3 4 2 2 5 3 2 2" xfId="13602"/>
    <cellStyle name="20% - Accent3 4 2 2 5 3 2 3" xfId="13603"/>
    <cellStyle name="20% - Accent3 4 2 2 5 3 3" xfId="13604"/>
    <cellStyle name="20% - Accent3 4 2 2 5 3 3 2" xfId="13605"/>
    <cellStyle name="20% - Accent3 4 2 2 5 3 3 3" xfId="13606"/>
    <cellStyle name="20% - Accent3 4 2 2 5 3 4" xfId="13607"/>
    <cellStyle name="20% - Accent3 4 2 2 5 3 4 2" xfId="13608"/>
    <cellStyle name="20% - Accent3 4 2 2 5 3 5" xfId="13609"/>
    <cellStyle name="20% - Accent3 4 2 2 5 3 6" xfId="13610"/>
    <cellStyle name="20% - Accent3 4 2 2 5 4" xfId="13611"/>
    <cellStyle name="20% - Accent3 4 2 2 5 4 2" xfId="13612"/>
    <cellStyle name="20% - Accent3 4 2 2 5 4 2 2" xfId="13613"/>
    <cellStyle name="20% - Accent3 4 2 2 5 4 2 3" xfId="13614"/>
    <cellStyle name="20% - Accent3 4 2 2 5 4 3" xfId="13615"/>
    <cellStyle name="20% - Accent3 4 2 2 5 4 3 2" xfId="13616"/>
    <cellStyle name="20% - Accent3 4 2 2 5 4 4" xfId="13617"/>
    <cellStyle name="20% - Accent3 4 2 2 5 4 5" xfId="13618"/>
    <cellStyle name="20% - Accent3 4 2 2 5 5" xfId="13619"/>
    <cellStyle name="20% - Accent3 4 2 2 5 5 2" xfId="13620"/>
    <cellStyle name="20% - Accent3 4 2 2 5 5 3" xfId="13621"/>
    <cellStyle name="20% - Accent3 4 2 2 5 6" xfId="13622"/>
    <cellStyle name="20% - Accent3 4 2 2 5 6 2" xfId="13623"/>
    <cellStyle name="20% - Accent3 4 2 2 5 6 3" xfId="13624"/>
    <cellStyle name="20% - Accent3 4 2 2 5 7" xfId="13625"/>
    <cellStyle name="20% - Accent3 4 2 2 5 7 2" xfId="13626"/>
    <cellStyle name="20% - Accent3 4 2 2 5 8" xfId="13627"/>
    <cellStyle name="20% - Accent3 4 2 2 5 9" xfId="13628"/>
    <cellStyle name="20% - Accent3 4 2 2 6" xfId="13629"/>
    <cellStyle name="20% - Accent3 4 2 2 6 2" xfId="13630"/>
    <cellStyle name="20% - Accent3 4 2 2 6 2 2" xfId="13631"/>
    <cellStyle name="20% - Accent3 4 2 2 6 2 3" xfId="13632"/>
    <cellStyle name="20% - Accent3 4 2 2 6 3" xfId="13633"/>
    <cellStyle name="20% - Accent3 4 2 2 6 3 2" xfId="13634"/>
    <cellStyle name="20% - Accent3 4 2 2 6 3 3" xfId="13635"/>
    <cellStyle name="20% - Accent3 4 2 2 6 4" xfId="13636"/>
    <cellStyle name="20% - Accent3 4 2 2 6 4 2" xfId="13637"/>
    <cellStyle name="20% - Accent3 4 2 2 6 5" xfId="13638"/>
    <cellStyle name="20% - Accent3 4 2 2 6 6" xfId="13639"/>
    <cellStyle name="20% - Accent3 4 2 2 7" xfId="13640"/>
    <cellStyle name="20% - Accent3 4 2 2 7 2" xfId="13641"/>
    <cellStyle name="20% - Accent3 4 2 2 7 2 2" xfId="13642"/>
    <cellStyle name="20% - Accent3 4 2 2 7 2 3" xfId="13643"/>
    <cellStyle name="20% - Accent3 4 2 2 7 3" xfId="13644"/>
    <cellStyle name="20% - Accent3 4 2 2 7 3 2" xfId="13645"/>
    <cellStyle name="20% - Accent3 4 2 2 7 3 3" xfId="13646"/>
    <cellStyle name="20% - Accent3 4 2 2 7 4" xfId="13647"/>
    <cellStyle name="20% - Accent3 4 2 2 7 4 2" xfId="13648"/>
    <cellStyle name="20% - Accent3 4 2 2 7 5" xfId="13649"/>
    <cellStyle name="20% - Accent3 4 2 2 7 6" xfId="13650"/>
    <cellStyle name="20% - Accent3 4 2 2 8" xfId="13651"/>
    <cellStyle name="20% - Accent3 4 2 2 8 2" xfId="13652"/>
    <cellStyle name="20% - Accent3 4 2 2 8 2 2" xfId="13653"/>
    <cellStyle name="20% - Accent3 4 2 2 8 2 3" xfId="13654"/>
    <cellStyle name="20% - Accent3 4 2 2 8 3" xfId="13655"/>
    <cellStyle name="20% - Accent3 4 2 2 8 3 2" xfId="13656"/>
    <cellStyle name="20% - Accent3 4 2 2 8 4" xfId="13657"/>
    <cellStyle name="20% - Accent3 4 2 2 8 5" xfId="13658"/>
    <cellStyle name="20% - Accent3 4 2 2 9" xfId="13659"/>
    <cellStyle name="20% - Accent3 4 2 2 9 2" xfId="13660"/>
    <cellStyle name="20% - Accent3 4 2 2 9 3" xfId="13661"/>
    <cellStyle name="20% - Accent3 4 2 3" xfId="593"/>
    <cellStyle name="20% - Accent3 4 2 3 10" xfId="13662"/>
    <cellStyle name="20% - Accent3 4 2 3 10 2" xfId="13663"/>
    <cellStyle name="20% - Accent3 4 2 3 11" xfId="13664"/>
    <cellStyle name="20% - Accent3 4 2 3 12" xfId="13665"/>
    <cellStyle name="20% - Accent3 4 2 3 2" xfId="594"/>
    <cellStyle name="20% - Accent3 4 2 3 2 10" xfId="13666"/>
    <cellStyle name="20% - Accent3 4 2 3 2 2" xfId="595"/>
    <cellStyle name="20% - Accent3 4 2 3 2 2 2" xfId="13667"/>
    <cellStyle name="20% - Accent3 4 2 3 2 2 2 2" xfId="13668"/>
    <cellStyle name="20% - Accent3 4 2 3 2 2 2 2 2" xfId="13669"/>
    <cellStyle name="20% - Accent3 4 2 3 2 2 2 2 3" xfId="13670"/>
    <cellStyle name="20% - Accent3 4 2 3 2 2 2 3" xfId="13671"/>
    <cellStyle name="20% - Accent3 4 2 3 2 2 2 3 2" xfId="13672"/>
    <cellStyle name="20% - Accent3 4 2 3 2 2 2 3 3" xfId="13673"/>
    <cellStyle name="20% - Accent3 4 2 3 2 2 2 4" xfId="13674"/>
    <cellStyle name="20% - Accent3 4 2 3 2 2 2 4 2" xfId="13675"/>
    <cellStyle name="20% - Accent3 4 2 3 2 2 2 5" xfId="13676"/>
    <cellStyle name="20% - Accent3 4 2 3 2 2 2 6" xfId="13677"/>
    <cellStyle name="20% - Accent3 4 2 3 2 2 3" xfId="13678"/>
    <cellStyle name="20% - Accent3 4 2 3 2 2 3 2" xfId="13679"/>
    <cellStyle name="20% - Accent3 4 2 3 2 2 3 2 2" xfId="13680"/>
    <cellStyle name="20% - Accent3 4 2 3 2 2 3 2 3" xfId="13681"/>
    <cellStyle name="20% - Accent3 4 2 3 2 2 3 3" xfId="13682"/>
    <cellStyle name="20% - Accent3 4 2 3 2 2 3 3 2" xfId="13683"/>
    <cellStyle name="20% - Accent3 4 2 3 2 2 3 3 3" xfId="13684"/>
    <cellStyle name="20% - Accent3 4 2 3 2 2 3 4" xfId="13685"/>
    <cellStyle name="20% - Accent3 4 2 3 2 2 3 4 2" xfId="13686"/>
    <cellStyle name="20% - Accent3 4 2 3 2 2 3 5" xfId="13687"/>
    <cellStyle name="20% - Accent3 4 2 3 2 2 3 6" xfId="13688"/>
    <cellStyle name="20% - Accent3 4 2 3 2 2 4" xfId="13689"/>
    <cellStyle name="20% - Accent3 4 2 3 2 2 4 2" xfId="13690"/>
    <cellStyle name="20% - Accent3 4 2 3 2 2 4 2 2" xfId="13691"/>
    <cellStyle name="20% - Accent3 4 2 3 2 2 4 2 3" xfId="13692"/>
    <cellStyle name="20% - Accent3 4 2 3 2 2 4 3" xfId="13693"/>
    <cellStyle name="20% - Accent3 4 2 3 2 2 4 3 2" xfId="13694"/>
    <cellStyle name="20% - Accent3 4 2 3 2 2 4 4" xfId="13695"/>
    <cellStyle name="20% - Accent3 4 2 3 2 2 4 5" xfId="13696"/>
    <cellStyle name="20% - Accent3 4 2 3 2 2 5" xfId="13697"/>
    <cellStyle name="20% - Accent3 4 2 3 2 2 5 2" xfId="13698"/>
    <cellStyle name="20% - Accent3 4 2 3 2 2 5 3" xfId="13699"/>
    <cellStyle name="20% - Accent3 4 2 3 2 2 6" xfId="13700"/>
    <cellStyle name="20% - Accent3 4 2 3 2 2 6 2" xfId="13701"/>
    <cellStyle name="20% - Accent3 4 2 3 2 2 6 3" xfId="13702"/>
    <cellStyle name="20% - Accent3 4 2 3 2 2 7" xfId="13703"/>
    <cellStyle name="20% - Accent3 4 2 3 2 2 7 2" xfId="13704"/>
    <cellStyle name="20% - Accent3 4 2 3 2 2 8" xfId="13705"/>
    <cellStyle name="20% - Accent3 4 2 3 2 2 9" xfId="13706"/>
    <cellStyle name="20% - Accent3 4 2 3 2 3" xfId="13707"/>
    <cellStyle name="20% - Accent3 4 2 3 2 3 2" xfId="13708"/>
    <cellStyle name="20% - Accent3 4 2 3 2 3 2 2" xfId="13709"/>
    <cellStyle name="20% - Accent3 4 2 3 2 3 2 3" xfId="13710"/>
    <cellStyle name="20% - Accent3 4 2 3 2 3 3" xfId="13711"/>
    <cellStyle name="20% - Accent3 4 2 3 2 3 3 2" xfId="13712"/>
    <cellStyle name="20% - Accent3 4 2 3 2 3 3 3" xfId="13713"/>
    <cellStyle name="20% - Accent3 4 2 3 2 3 4" xfId="13714"/>
    <cellStyle name="20% - Accent3 4 2 3 2 3 4 2" xfId="13715"/>
    <cellStyle name="20% - Accent3 4 2 3 2 3 5" xfId="13716"/>
    <cellStyle name="20% - Accent3 4 2 3 2 3 6" xfId="13717"/>
    <cellStyle name="20% - Accent3 4 2 3 2 4" xfId="13718"/>
    <cellStyle name="20% - Accent3 4 2 3 2 4 2" xfId="13719"/>
    <cellStyle name="20% - Accent3 4 2 3 2 4 2 2" xfId="13720"/>
    <cellStyle name="20% - Accent3 4 2 3 2 4 2 3" xfId="13721"/>
    <cellStyle name="20% - Accent3 4 2 3 2 4 3" xfId="13722"/>
    <cellStyle name="20% - Accent3 4 2 3 2 4 3 2" xfId="13723"/>
    <cellStyle name="20% - Accent3 4 2 3 2 4 3 3" xfId="13724"/>
    <cellStyle name="20% - Accent3 4 2 3 2 4 4" xfId="13725"/>
    <cellStyle name="20% - Accent3 4 2 3 2 4 4 2" xfId="13726"/>
    <cellStyle name="20% - Accent3 4 2 3 2 4 5" xfId="13727"/>
    <cellStyle name="20% - Accent3 4 2 3 2 4 6" xfId="13728"/>
    <cellStyle name="20% - Accent3 4 2 3 2 5" xfId="13729"/>
    <cellStyle name="20% - Accent3 4 2 3 2 5 2" xfId="13730"/>
    <cellStyle name="20% - Accent3 4 2 3 2 5 2 2" xfId="13731"/>
    <cellStyle name="20% - Accent3 4 2 3 2 5 2 3" xfId="13732"/>
    <cellStyle name="20% - Accent3 4 2 3 2 5 3" xfId="13733"/>
    <cellStyle name="20% - Accent3 4 2 3 2 5 3 2" xfId="13734"/>
    <cellStyle name="20% - Accent3 4 2 3 2 5 4" xfId="13735"/>
    <cellStyle name="20% - Accent3 4 2 3 2 5 5" xfId="13736"/>
    <cellStyle name="20% - Accent3 4 2 3 2 6" xfId="13737"/>
    <cellStyle name="20% - Accent3 4 2 3 2 6 2" xfId="13738"/>
    <cellStyle name="20% - Accent3 4 2 3 2 6 3" xfId="13739"/>
    <cellStyle name="20% - Accent3 4 2 3 2 7" xfId="13740"/>
    <cellStyle name="20% - Accent3 4 2 3 2 7 2" xfId="13741"/>
    <cellStyle name="20% - Accent3 4 2 3 2 7 3" xfId="13742"/>
    <cellStyle name="20% - Accent3 4 2 3 2 8" xfId="13743"/>
    <cellStyle name="20% - Accent3 4 2 3 2 8 2" xfId="13744"/>
    <cellStyle name="20% - Accent3 4 2 3 2 9" xfId="13745"/>
    <cellStyle name="20% - Accent3 4 2 3 3" xfId="596"/>
    <cellStyle name="20% - Accent3 4 2 3 3 2" xfId="13746"/>
    <cellStyle name="20% - Accent3 4 2 3 3 2 2" xfId="13747"/>
    <cellStyle name="20% - Accent3 4 2 3 3 2 2 2" xfId="13748"/>
    <cellStyle name="20% - Accent3 4 2 3 3 2 2 3" xfId="13749"/>
    <cellStyle name="20% - Accent3 4 2 3 3 2 3" xfId="13750"/>
    <cellStyle name="20% - Accent3 4 2 3 3 2 3 2" xfId="13751"/>
    <cellStyle name="20% - Accent3 4 2 3 3 2 3 3" xfId="13752"/>
    <cellStyle name="20% - Accent3 4 2 3 3 2 4" xfId="13753"/>
    <cellStyle name="20% - Accent3 4 2 3 3 2 4 2" xfId="13754"/>
    <cellStyle name="20% - Accent3 4 2 3 3 2 5" xfId="13755"/>
    <cellStyle name="20% - Accent3 4 2 3 3 2 6" xfId="13756"/>
    <cellStyle name="20% - Accent3 4 2 3 3 3" xfId="13757"/>
    <cellStyle name="20% - Accent3 4 2 3 3 3 2" xfId="13758"/>
    <cellStyle name="20% - Accent3 4 2 3 3 3 2 2" xfId="13759"/>
    <cellStyle name="20% - Accent3 4 2 3 3 3 2 3" xfId="13760"/>
    <cellStyle name="20% - Accent3 4 2 3 3 3 3" xfId="13761"/>
    <cellStyle name="20% - Accent3 4 2 3 3 3 3 2" xfId="13762"/>
    <cellStyle name="20% - Accent3 4 2 3 3 3 3 3" xfId="13763"/>
    <cellStyle name="20% - Accent3 4 2 3 3 3 4" xfId="13764"/>
    <cellStyle name="20% - Accent3 4 2 3 3 3 4 2" xfId="13765"/>
    <cellStyle name="20% - Accent3 4 2 3 3 3 5" xfId="13766"/>
    <cellStyle name="20% - Accent3 4 2 3 3 3 6" xfId="13767"/>
    <cellStyle name="20% - Accent3 4 2 3 3 4" xfId="13768"/>
    <cellStyle name="20% - Accent3 4 2 3 3 4 2" xfId="13769"/>
    <cellStyle name="20% - Accent3 4 2 3 3 4 2 2" xfId="13770"/>
    <cellStyle name="20% - Accent3 4 2 3 3 4 2 3" xfId="13771"/>
    <cellStyle name="20% - Accent3 4 2 3 3 4 3" xfId="13772"/>
    <cellStyle name="20% - Accent3 4 2 3 3 4 3 2" xfId="13773"/>
    <cellStyle name="20% - Accent3 4 2 3 3 4 4" xfId="13774"/>
    <cellStyle name="20% - Accent3 4 2 3 3 4 5" xfId="13775"/>
    <cellStyle name="20% - Accent3 4 2 3 3 5" xfId="13776"/>
    <cellStyle name="20% - Accent3 4 2 3 3 5 2" xfId="13777"/>
    <cellStyle name="20% - Accent3 4 2 3 3 5 3" xfId="13778"/>
    <cellStyle name="20% - Accent3 4 2 3 3 6" xfId="13779"/>
    <cellStyle name="20% - Accent3 4 2 3 3 6 2" xfId="13780"/>
    <cellStyle name="20% - Accent3 4 2 3 3 6 3" xfId="13781"/>
    <cellStyle name="20% - Accent3 4 2 3 3 7" xfId="13782"/>
    <cellStyle name="20% - Accent3 4 2 3 3 7 2" xfId="13783"/>
    <cellStyle name="20% - Accent3 4 2 3 3 8" xfId="13784"/>
    <cellStyle name="20% - Accent3 4 2 3 3 9" xfId="13785"/>
    <cellStyle name="20% - Accent3 4 2 3 4" xfId="13786"/>
    <cellStyle name="20% - Accent3 4 2 3 4 2" xfId="13787"/>
    <cellStyle name="20% - Accent3 4 2 3 4 2 2" xfId="13788"/>
    <cellStyle name="20% - Accent3 4 2 3 4 2 2 2" xfId="13789"/>
    <cellStyle name="20% - Accent3 4 2 3 4 2 2 3" xfId="13790"/>
    <cellStyle name="20% - Accent3 4 2 3 4 2 3" xfId="13791"/>
    <cellStyle name="20% - Accent3 4 2 3 4 2 3 2" xfId="13792"/>
    <cellStyle name="20% - Accent3 4 2 3 4 2 3 3" xfId="13793"/>
    <cellStyle name="20% - Accent3 4 2 3 4 2 4" xfId="13794"/>
    <cellStyle name="20% - Accent3 4 2 3 4 2 4 2" xfId="13795"/>
    <cellStyle name="20% - Accent3 4 2 3 4 2 5" xfId="13796"/>
    <cellStyle name="20% - Accent3 4 2 3 4 2 6" xfId="13797"/>
    <cellStyle name="20% - Accent3 4 2 3 4 3" xfId="13798"/>
    <cellStyle name="20% - Accent3 4 2 3 4 3 2" xfId="13799"/>
    <cellStyle name="20% - Accent3 4 2 3 4 3 2 2" xfId="13800"/>
    <cellStyle name="20% - Accent3 4 2 3 4 3 2 3" xfId="13801"/>
    <cellStyle name="20% - Accent3 4 2 3 4 3 3" xfId="13802"/>
    <cellStyle name="20% - Accent3 4 2 3 4 3 3 2" xfId="13803"/>
    <cellStyle name="20% - Accent3 4 2 3 4 3 3 3" xfId="13804"/>
    <cellStyle name="20% - Accent3 4 2 3 4 3 4" xfId="13805"/>
    <cellStyle name="20% - Accent3 4 2 3 4 3 4 2" xfId="13806"/>
    <cellStyle name="20% - Accent3 4 2 3 4 3 5" xfId="13807"/>
    <cellStyle name="20% - Accent3 4 2 3 4 3 6" xfId="13808"/>
    <cellStyle name="20% - Accent3 4 2 3 4 4" xfId="13809"/>
    <cellStyle name="20% - Accent3 4 2 3 4 4 2" xfId="13810"/>
    <cellStyle name="20% - Accent3 4 2 3 4 4 2 2" xfId="13811"/>
    <cellStyle name="20% - Accent3 4 2 3 4 4 2 3" xfId="13812"/>
    <cellStyle name="20% - Accent3 4 2 3 4 4 3" xfId="13813"/>
    <cellStyle name="20% - Accent3 4 2 3 4 4 3 2" xfId="13814"/>
    <cellStyle name="20% - Accent3 4 2 3 4 4 4" xfId="13815"/>
    <cellStyle name="20% - Accent3 4 2 3 4 4 5" xfId="13816"/>
    <cellStyle name="20% - Accent3 4 2 3 4 5" xfId="13817"/>
    <cellStyle name="20% - Accent3 4 2 3 4 5 2" xfId="13818"/>
    <cellStyle name="20% - Accent3 4 2 3 4 5 3" xfId="13819"/>
    <cellStyle name="20% - Accent3 4 2 3 4 6" xfId="13820"/>
    <cellStyle name="20% - Accent3 4 2 3 4 6 2" xfId="13821"/>
    <cellStyle name="20% - Accent3 4 2 3 4 6 3" xfId="13822"/>
    <cellStyle name="20% - Accent3 4 2 3 4 7" xfId="13823"/>
    <cellStyle name="20% - Accent3 4 2 3 4 7 2" xfId="13824"/>
    <cellStyle name="20% - Accent3 4 2 3 4 8" xfId="13825"/>
    <cellStyle name="20% - Accent3 4 2 3 4 9" xfId="13826"/>
    <cellStyle name="20% - Accent3 4 2 3 5" xfId="13827"/>
    <cellStyle name="20% - Accent3 4 2 3 5 2" xfId="13828"/>
    <cellStyle name="20% - Accent3 4 2 3 5 2 2" xfId="13829"/>
    <cellStyle name="20% - Accent3 4 2 3 5 2 3" xfId="13830"/>
    <cellStyle name="20% - Accent3 4 2 3 5 3" xfId="13831"/>
    <cellStyle name="20% - Accent3 4 2 3 5 3 2" xfId="13832"/>
    <cellStyle name="20% - Accent3 4 2 3 5 3 3" xfId="13833"/>
    <cellStyle name="20% - Accent3 4 2 3 5 4" xfId="13834"/>
    <cellStyle name="20% - Accent3 4 2 3 5 4 2" xfId="13835"/>
    <cellStyle name="20% - Accent3 4 2 3 5 5" xfId="13836"/>
    <cellStyle name="20% - Accent3 4 2 3 5 6" xfId="13837"/>
    <cellStyle name="20% - Accent3 4 2 3 6" xfId="13838"/>
    <cellStyle name="20% - Accent3 4 2 3 6 2" xfId="13839"/>
    <cellStyle name="20% - Accent3 4 2 3 6 2 2" xfId="13840"/>
    <cellStyle name="20% - Accent3 4 2 3 6 2 3" xfId="13841"/>
    <cellStyle name="20% - Accent3 4 2 3 6 3" xfId="13842"/>
    <cellStyle name="20% - Accent3 4 2 3 6 3 2" xfId="13843"/>
    <cellStyle name="20% - Accent3 4 2 3 6 3 3" xfId="13844"/>
    <cellStyle name="20% - Accent3 4 2 3 6 4" xfId="13845"/>
    <cellStyle name="20% - Accent3 4 2 3 6 4 2" xfId="13846"/>
    <cellStyle name="20% - Accent3 4 2 3 6 5" xfId="13847"/>
    <cellStyle name="20% - Accent3 4 2 3 6 6" xfId="13848"/>
    <cellStyle name="20% - Accent3 4 2 3 7" xfId="13849"/>
    <cellStyle name="20% - Accent3 4 2 3 7 2" xfId="13850"/>
    <cellStyle name="20% - Accent3 4 2 3 7 2 2" xfId="13851"/>
    <cellStyle name="20% - Accent3 4 2 3 7 2 3" xfId="13852"/>
    <cellStyle name="20% - Accent3 4 2 3 7 3" xfId="13853"/>
    <cellStyle name="20% - Accent3 4 2 3 7 3 2" xfId="13854"/>
    <cellStyle name="20% - Accent3 4 2 3 7 4" xfId="13855"/>
    <cellStyle name="20% - Accent3 4 2 3 7 5" xfId="13856"/>
    <cellStyle name="20% - Accent3 4 2 3 8" xfId="13857"/>
    <cellStyle name="20% - Accent3 4 2 3 8 2" xfId="13858"/>
    <cellStyle name="20% - Accent3 4 2 3 8 3" xfId="13859"/>
    <cellStyle name="20% - Accent3 4 2 3 9" xfId="13860"/>
    <cellStyle name="20% - Accent3 4 2 3 9 2" xfId="13861"/>
    <cellStyle name="20% - Accent3 4 2 3 9 3" xfId="13862"/>
    <cellStyle name="20% - Accent3 4 2 4" xfId="597"/>
    <cellStyle name="20% - Accent3 4 2 4 10" xfId="13863"/>
    <cellStyle name="20% - Accent3 4 2 4 2" xfId="598"/>
    <cellStyle name="20% - Accent3 4 2 4 2 2" xfId="13864"/>
    <cellStyle name="20% - Accent3 4 2 4 2 2 2" xfId="13865"/>
    <cellStyle name="20% - Accent3 4 2 4 2 2 2 2" xfId="13866"/>
    <cellStyle name="20% - Accent3 4 2 4 2 2 2 3" xfId="13867"/>
    <cellStyle name="20% - Accent3 4 2 4 2 2 3" xfId="13868"/>
    <cellStyle name="20% - Accent3 4 2 4 2 2 3 2" xfId="13869"/>
    <cellStyle name="20% - Accent3 4 2 4 2 2 3 3" xfId="13870"/>
    <cellStyle name="20% - Accent3 4 2 4 2 2 4" xfId="13871"/>
    <cellStyle name="20% - Accent3 4 2 4 2 2 4 2" xfId="13872"/>
    <cellStyle name="20% - Accent3 4 2 4 2 2 5" xfId="13873"/>
    <cellStyle name="20% - Accent3 4 2 4 2 2 6" xfId="13874"/>
    <cellStyle name="20% - Accent3 4 2 4 2 3" xfId="13875"/>
    <cellStyle name="20% - Accent3 4 2 4 2 3 2" xfId="13876"/>
    <cellStyle name="20% - Accent3 4 2 4 2 3 2 2" xfId="13877"/>
    <cellStyle name="20% - Accent3 4 2 4 2 3 2 3" xfId="13878"/>
    <cellStyle name="20% - Accent3 4 2 4 2 3 3" xfId="13879"/>
    <cellStyle name="20% - Accent3 4 2 4 2 3 3 2" xfId="13880"/>
    <cellStyle name="20% - Accent3 4 2 4 2 3 3 3" xfId="13881"/>
    <cellStyle name="20% - Accent3 4 2 4 2 3 4" xfId="13882"/>
    <cellStyle name="20% - Accent3 4 2 4 2 3 4 2" xfId="13883"/>
    <cellStyle name="20% - Accent3 4 2 4 2 3 5" xfId="13884"/>
    <cellStyle name="20% - Accent3 4 2 4 2 3 6" xfId="13885"/>
    <cellStyle name="20% - Accent3 4 2 4 2 4" xfId="13886"/>
    <cellStyle name="20% - Accent3 4 2 4 2 4 2" xfId="13887"/>
    <cellStyle name="20% - Accent3 4 2 4 2 4 2 2" xfId="13888"/>
    <cellStyle name="20% - Accent3 4 2 4 2 4 2 3" xfId="13889"/>
    <cellStyle name="20% - Accent3 4 2 4 2 4 3" xfId="13890"/>
    <cellStyle name="20% - Accent3 4 2 4 2 4 3 2" xfId="13891"/>
    <cellStyle name="20% - Accent3 4 2 4 2 4 4" xfId="13892"/>
    <cellStyle name="20% - Accent3 4 2 4 2 4 5" xfId="13893"/>
    <cellStyle name="20% - Accent3 4 2 4 2 5" xfId="13894"/>
    <cellStyle name="20% - Accent3 4 2 4 2 5 2" xfId="13895"/>
    <cellStyle name="20% - Accent3 4 2 4 2 5 3" xfId="13896"/>
    <cellStyle name="20% - Accent3 4 2 4 2 6" xfId="13897"/>
    <cellStyle name="20% - Accent3 4 2 4 2 6 2" xfId="13898"/>
    <cellStyle name="20% - Accent3 4 2 4 2 6 3" xfId="13899"/>
    <cellStyle name="20% - Accent3 4 2 4 2 7" xfId="13900"/>
    <cellStyle name="20% - Accent3 4 2 4 2 7 2" xfId="13901"/>
    <cellStyle name="20% - Accent3 4 2 4 2 8" xfId="13902"/>
    <cellStyle name="20% - Accent3 4 2 4 2 9" xfId="13903"/>
    <cellStyle name="20% - Accent3 4 2 4 3" xfId="13904"/>
    <cellStyle name="20% - Accent3 4 2 4 3 2" xfId="13905"/>
    <cellStyle name="20% - Accent3 4 2 4 3 2 2" xfId="13906"/>
    <cellStyle name="20% - Accent3 4 2 4 3 2 3" xfId="13907"/>
    <cellStyle name="20% - Accent3 4 2 4 3 3" xfId="13908"/>
    <cellStyle name="20% - Accent3 4 2 4 3 3 2" xfId="13909"/>
    <cellStyle name="20% - Accent3 4 2 4 3 3 3" xfId="13910"/>
    <cellStyle name="20% - Accent3 4 2 4 3 4" xfId="13911"/>
    <cellStyle name="20% - Accent3 4 2 4 3 4 2" xfId="13912"/>
    <cellStyle name="20% - Accent3 4 2 4 3 5" xfId="13913"/>
    <cellStyle name="20% - Accent3 4 2 4 3 6" xfId="13914"/>
    <cellStyle name="20% - Accent3 4 2 4 4" xfId="13915"/>
    <cellStyle name="20% - Accent3 4 2 4 4 2" xfId="13916"/>
    <cellStyle name="20% - Accent3 4 2 4 4 2 2" xfId="13917"/>
    <cellStyle name="20% - Accent3 4 2 4 4 2 3" xfId="13918"/>
    <cellStyle name="20% - Accent3 4 2 4 4 3" xfId="13919"/>
    <cellStyle name="20% - Accent3 4 2 4 4 3 2" xfId="13920"/>
    <cellStyle name="20% - Accent3 4 2 4 4 3 3" xfId="13921"/>
    <cellStyle name="20% - Accent3 4 2 4 4 4" xfId="13922"/>
    <cellStyle name="20% - Accent3 4 2 4 4 4 2" xfId="13923"/>
    <cellStyle name="20% - Accent3 4 2 4 4 5" xfId="13924"/>
    <cellStyle name="20% - Accent3 4 2 4 4 6" xfId="13925"/>
    <cellStyle name="20% - Accent3 4 2 4 5" xfId="13926"/>
    <cellStyle name="20% - Accent3 4 2 4 5 2" xfId="13927"/>
    <cellStyle name="20% - Accent3 4 2 4 5 2 2" xfId="13928"/>
    <cellStyle name="20% - Accent3 4 2 4 5 2 3" xfId="13929"/>
    <cellStyle name="20% - Accent3 4 2 4 5 3" xfId="13930"/>
    <cellStyle name="20% - Accent3 4 2 4 5 3 2" xfId="13931"/>
    <cellStyle name="20% - Accent3 4 2 4 5 4" xfId="13932"/>
    <cellStyle name="20% - Accent3 4 2 4 5 5" xfId="13933"/>
    <cellStyle name="20% - Accent3 4 2 4 6" xfId="13934"/>
    <cellStyle name="20% - Accent3 4 2 4 6 2" xfId="13935"/>
    <cellStyle name="20% - Accent3 4 2 4 6 3" xfId="13936"/>
    <cellStyle name="20% - Accent3 4 2 4 7" xfId="13937"/>
    <cellStyle name="20% - Accent3 4 2 4 7 2" xfId="13938"/>
    <cellStyle name="20% - Accent3 4 2 4 7 3" xfId="13939"/>
    <cellStyle name="20% - Accent3 4 2 4 8" xfId="13940"/>
    <cellStyle name="20% - Accent3 4 2 4 8 2" xfId="13941"/>
    <cellStyle name="20% - Accent3 4 2 4 9" xfId="13942"/>
    <cellStyle name="20% - Accent3 4 2 5" xfId="599"/>
    <cellStyle name="20% - Accent3 4 2 5 2" xfId="13943"/>
    <cellStyle name="20% - Accent3 4 2 5 2 2" xfId="13944"/>
    <cellStyle name="20% - Accent3 4 2 5 2 2 2" xfId="13945"/>
    <cellStyle name="20% - Accent3 4 2 5 2 2 3" xfId="13946"/>
    <cellStyle name="20% - Accent3 4 2 5 2 3" xfId="13947"/>
    <cellStyle name="20% - Accent3 4 2 5 2 3 2" xfId="13948"/>
    <cellStyle name="20% - Accent3 4 2 5 2 3 3" xfId="13949"/>
    <cellStyle name="20% - Accent3 4 2 5 2 4" xfId="13950"/>
    <cellStyle name="20% - Accent3 4 2 5 2 4 2" xfId="13951"/>
    <cellStyle name="20% - Accent3 4 2 5 2 5" xfId="13952"/>
    <cellStyle name="20% - Accent3 4 2 5 2 6" xfId="13953"/>
    <cellStyle name="20% - Accent3 4 2 5 3" xfId="13954"/>
    <cellStyle name="20% - Accent3 4 2 5 3 2" xfId="13955"/>
    <cellStyle name="20% - Accent3 4 2 5 3 2 2" xfId="13956"/>
    <cellStyle name="20% - Accent3 4 2 5 3 2 3" xfId="13957"/>
    <cellStyle name="20% - Accent3 4 2 5 3 3" xfId="13958"/>
    <cellStyle name="20% - Accent3 4 2 5 3 3 2" xfId="13959"/>
    <cellStyle name="20% - Accent3 4 2 5 3 3 3" xfId="13960"/>
    <cellStyle name="20% - Accent3 4 2 5 3 4" xfId="13961"/>
    <cellStyle name="20% - Accent3 4 2 5 3 4 2" xfId="13962"/>
    <cellStyle name="20% - Accent3 4 2 5 3 5" xfId="13963"/>
    <cellStyle name="20% - Accent3 4 2 5 3 6" xfId="13964"/>
    <cellStyle name="20% - Accent3 4 2 5 4" xfId="13965"/>
    <cellStyle name="20% - Accent3 4 2 5 4 2" xfId="13966"/>
    <cellStyle name="20% - Accent3 4 2 5 4 2 2" xfId="13967"/>
    <cellStyle name="20% - Accent3 4 2 5 4 2 3" xfId="13968"/>
    <cellStyle name="20% - Accent3 4 2 5 4 3" xfId="13969"/>
    <cellStyle name="20% - Accent3 4 2 5 4 3 2" xfId="13970"/>
    <cellStyle name="20% - Accent3 4 2 5 4 4" xfId="13971"/>
    <cellStyle name="20% - Accent3 4 2 5 4 5" xfId="13972"/>
    <cellStyle name="20% - Accent3 4 2 5 5" xfId="13973"/>
    <cellStyle name="20% - Accent3 4 2 5 5 2" xfId="13974"/>
    <cellStyle name="20% - Accent3 4 2 5 5 3" xfId="13975"/>
    <cellStyle name="20% - Accent3 4 2 5 6" xfId="13976"/>
    <cellStyle name="20% - Accent3 4 2 5 6 2" xfId="13977"/>
    <cellStyle name="20% - Accent3 4 2 5 6 3" xfId="13978"/>
    <cellStyle name="20% - Accent3 4 2 5 7" xfId="13979"/>
    <cellStyle name="20% - Accent3 4 2 5 7 2" xfId="13980"/>
    <cellStyle name="20% - Accent3 4 2 5 8" xfId="13981"/>
    <cellStyle name="20% - Accent3 4 2 5 9" xfId="13982"/>
    <cellStyle name="20% - Accent3 4 2 6" xfId="13983"/>
    <cellStyle name="20% - Accent3 4 2 6 2" xfId="13984"/>
    <cellStyle name="20% - Accent3 4 2 6 2 2" xfId="13985"/>
    <cellStyle name="20% - Accent3 4 2 6 2 2 2" xfId="13986"/>
    <cellStyle name="20% - Accent3 4 2 6 2 2 3" xfId="13987"/>
    <cellStyle name="20% - Accent3 4 2 6 2 3" xfId="13988"/>
    <cellStyle name="20% - Accent3 4 2 6 2 3 2" xfId="13989"/>
    <cellStyle name="20% - Accent3 4 2 6 2 3 3" xfId="13990"/>
    <cellStyle name="20% - Accent3 4 2 6 2 4" xfId="13991"/>
    <cellStyle name="20% - Accent3 4 2 6 2 4 2" xfId="13992"/>
    <cellStyle name="20% - Accent3 4 2 6 2 5" xfId="13993"/>
    <cellStyle name="20% - Accent3 4 2 6 2 6" xfId="13994"/>
    <cellStyle name="20% - Accent3 4 2 6 3" xfId="13995"/>
    <cellStyle name="20% - Accent3 4 2 6 3 2" xfId="13996"/>
    <cellStyle name="20% - Accent3 4 2 6 3 2 2" xfId="13997"/>
    <cellStyle name="20% - Accent3 4 2 6 3 2 3" xfId="13998"/>
    <cellStyle name="20% - Accent3 4 2 6 3 3" xfId="13999"/>
    <cellStyle name="20% - Accent3 4 2 6 3 3 2" xfId="14000"/>
    <cellStyle name="20% - Accent3 4 2 6 3 3 3" xfId="14001"/>
    <cellStyle name="20% - Accent3 4 2 6 3 4" xfId="14002"/>
    <cellStyle name="20% - Accent3 4 2 6 3 4 2" xfId="14003"/>
    <cellStyle name="20% - Accent3 4 2 6 3 5" xfId="14004"/>
    <cellStyle name="20% - Accent3 4 2 6 3 6" xfId="14005"/>
    <cellStyle name="20% - Accent3 4 2 6 4" xfId="14006"/>
    <cellStyle name="20% - Accent3 4 2 6 4 2" xfId="14007"/>
    <cellStyle name="20% - Accent3 4 2 6 4 2 2" xfId="14008"/>
    <cellStyle name="20% - Accent3 4 2 6 4 2 3" xfId="14009"/>
    <cellStyle name="20% - Accent3 4 2 6 4 3" xfId="14010"/>
    <cellStyle name="20% - Accent3 4 2 6 4 3 2" xfId="14011"/>
    <cellStyle name="20% - Accent3 4 2 6 4 4" xfId="14012"/>
    <cellStyle name="20% - Accent3 4 2 6 4 5" xfId="14013"/>
    <cellStyle name="20% - Accent3 4 2 6 5" xfId="14014"/>
    <cellStyle name="20% - Accent3 4 2 6 5 2" xfId="14015"/>
    <cellStyle name="20% - Accent3 4 2 6 5 3" xfId="14016"/>
    <cellStyle name="20% - Accent3 4 2 6 6" xfId="14017"/>
    <cellStyle name="20% - Accent3 4 2 6 6 2" xfId="14018"/>
    <cellStyle name="20% - Accent3 4 2 6 6 3" xfId="14019"/>
    <cellStyle name="20% - Accent3 4 2 6 7" xfId="14020"/>
    <cellStyle name="20% - Accent3 4 2 6 7 2" xfId="14021"/>
    <cellStyle name="20% - Accent3 4 2 6 8" xfId="14022"/>
    <cellStyle name="20% - Accent3 4 2 6 9" xfId="14023"/>
    <cellStyle name="20% - Accent3 4 2 7" xfId="14024"/>
    <cellStyle name="20% - Accent3 4 2 7 2" xfId="14025"/>
    <cellStyle name="20% - Accent3 4 2 7 2 2" xfId="14026"/>
    <cellStyle name="20% - Accent3 4 2 7 2 3" xfId="14027"/>
    <cellStyle name="20% - Accent3 4 2 7 3" xfId="14028"/>
    <cellStyle name="20% - Accent3 4 2 7 3 2" xfId="14029"/>
    <cellStyle name="20% - Accent3 4 2 7 3 3" xfId="14030"/>
    <cellStyle name="20% - Accent3 4 2 7 4" xfId="14031"/>
    <cellStyle name="20% - Accent3 4 2 7 4 2" xfId="14032"/>
    <cellStyle name="20% - Accent3 4 2 7 5" xfId="14033"/>
    <cellStyle name="20% - Accent3 4 2 7 6" xfId="14034"/>
    <cellStyle name="20% - Accent3 4 2 8" xfId="14035"/>
    <cellStyle name="20% - Accent3 4 2 8 2" xfId="14036"/>
    <cellStyle name="20% - Accent3 4 2 8 2 2" xfId="14037"/>
    <cellStyle name="20% - Accent3 4 2 8 2 3" xfId="14038"/>
    <cellStyle name="20% - Accent3 4 2 8 3" xfId="14039"/>
    <cellStyle name="20% - Accent3 4 2 8 3 2" xfId="14040"/>
    <cellStyle name="20% - Accent3 4 2 8 3 3" xfId="14041"/>
    <cellStyle name="20% - Accent3 4 2 8 4" xfId="14042"/>
    <cellStyle name="20% - Accent3 4 2 8 4 2" xfId="14043"/>
    <cellStyle name="20% - Accent3 4 2 8 5" xfId="14044"/>
    <cellStyle name="20% - Accent3 4 2 8 6" xfId="14045"/>
    <cellStyle name="20% - Accent3 4 2 9" xfId="14046"/>
    <cellStyle name="20% - Accent3 4 2 9 2" xfId="14047"/>
    <cellStyle name="20% - Accent3 4 2 9 2 2" xfId="14048"/>
    <cellStyle name="20% - Accent3 4 2 9 2 3" xfId="14049"/>
    <cellStyle name="20% - Accent3 4 2 9 3" xfId="14050"/>
    <cellStyle name="20% - Accent3 4 2 9 3 2" xfId="14051"/>
    <cellStyle name="20% - Accent3 4 2 9 4" xfId="14052"/>
    <cellStyle name="20% - Accent3 4 2 9 5" xfId="14053"/>
    <cellStyle name="20% - Accent3 4 3" xfId="600"/>
    <cellStyle name="20% - Accent3 4 3 10" xfId="14054"/>
    <cellStyle name="20% - Accent3 4 3 10 2" xfId="14055"/>
    <cellStyle name="20% - Accent3 4 3 10 3" xfId="14056"/>
    <cellStyle name="20% - Accent3 4 3 11" xfId="14057"/>
    <cellStyle name="20% - Accent3 4 3 11 2" xfId="14058"/>
    <cellStyle name="20% - Accent3 4 3 12" xfId="14059"/>
    <cellStyle name="20% - Accent3 4 3 13" xfId="14060"/>
    <cellStyle name="20% - Accent3 4 3 14" xfId="14061"/>
    <cellStyle name="20% - Accent3 4 3 2" xfId="601"/>
    <cellStyle name="20% - Accent3 4 3 2 10" xfId="14062"/>
    <cellStyle name="20% - Accent3 4 3 2 10 2" xfId="14063"/>
    <cellStyle name="20% - Accent3 4 3 2 11" xfId="14064"/>
    <cellStyle name="20% - Accent3 4 3 2 12" xfId="14065"/>
    <cellStyle name="20% - Accent3 4 3 2 2" xfId="602"/>
    <cellStyle name="20% - Accent3 4 3 2 2 10" xfId="14066"/>
    <cellStyle name="20% - Accent3 4 3 2 2 2" xfId="603"/>
    <cellStyle name="20% - Accent3 4 3 2 2 2 2" xfId="14067"/>
    <cellStyle name="20% - Accent3 4 3 2 2 2 2 2" xfId="14068"/>
    <cellStyle name="20% - Accent3 4 3 2 2 2 2 2 2" xfId="14069"/>
    <cellStyle name="20% - Accent3 4 3 2 2 2 2 2 3" xfId="14070"/>
    <cellStyle name="20% - Accent3 4 3 2 2 2 2 3" xfId="14071"/>
    <cellStyle name="20% - Accent3 4 3 2 2 2 2 3 2" xfId="14072"/>
    <cellStyle name="20% - Accent3 4 3 2 2 2 2 3 3" xfId="14073"/>
    <cellStyle name="20% - Accent3 4 3 2 2 2 2 4" xfId="14074"/>
    <cellStyle name="20% - Accent3 4 3 2 2 2 2 4 2" xfId="14075"/>
    <cellStyle name="20% - Accent3 4 3 2 2 2 2 5" xfId="14076"/>
    <cellStyle name="20% - Accent3 4 3 2 2 2 2 6" xfId="14077"/>
    <cellStyle name="20% - Accent3 4 3 2 2 2 3" xfId="14078"/>
    <cellStyle name="20% - Accent3 4 3 2 2 2 3 2" xfId="14079"/>
    <cellStyle name="20% - Accent3 4 3 2 2 2 3 2 2" xfId="14080"/>
    <cellStyle name="20% - Accent3 4 3 2 2 2 3 2 3" xfId="14081"/>
    <cellStyle name="20% - Accent3 4 3 2 2 2 3 3" xfId="14082"/>
    <cellStyle name="20% - Accent3 4 3 2 2 2 3 3 2" xfId="14083"/>
    <cellStyle name="20% - Accent3 4 3 2 2 2 3 3 3" xfId="14084"/>
    <cellStyle name="20% - Accent3 4 3 2 2 2 3 4" xfId="14085"/>
    <cellStyle name="20% - Accent3 4 3 2 2 2 3 4 2" xfId="14086"/>
    <cellStyle name="20% - Accent3 4 3 2 2 2 3 5" xfId="14087"/>
    <cellStyle name="20% - Accent3 4 3 2 2 2 3 6" xfId="14088"/>
    <cellStyle name="20% - Accent3 4 3 2 2 2 4" xfId="14089"/>
    <cellStyle name="20% - Accent3 4 3 2 2 2 4 2" xfId="14090"/>
    <cellStyle name="20% - Accent3 4 3 2 2 2 4 2 2" xfId="14091"/>
    <cellStyle name="20% - Accent3 4 3 2 2 2 4 2 3" xfId="14092"/>
    <cellStyle name="20% - Accent3 4 3 2 2 2 4 3" xfId="14093"/>
    <cellStyle name="20% - Accent3 4 3 2 2 2 4 3 2" xfId="14094"/>
    <cellStyle name="20% - Accent3 4 3 2 2 2 4 4" xfId="14095"/>
    <cellStyle name="20% - Accent3 4 3 2 2 2 4 5" xfId="14096"/>
    <cellStyle name="20% - Accent3 4 3 2 2 2 5" xfId="14097"/>
    <cellStyle name="20% - Accent3 4 3 2 2 2 5 2" xfId="14098"/>
    <cellStyle name="20% - Accent3 4 3 2 2 2 5 3" xfId="14099"/>
    <cellStyle name="20% - Accent3 4 3 2 2 2 6" xfId="14100"/>
    <cellStyle name="20% - Accent3 4 3 2 2 2 6 2" xfId="14101"/>
    <cellStyle name="20% - Accent3 4 3 2 2 2 6 3" xfId="14102"/>
    <cellStyle name="20% - Accent3 4 3 2 2 2 7" xfId="14103"/>
    <cellStyle name="20% - Accent3 4 3 2 2 2 7 2" xfId="14104"/>
    <cellStyle name="20% - Accent3 4 3 2 2 2 8" xfId="14105"/>
    <cellStyle name="20% - Accent3 4 3 2 2 2 9" xfId="14106"/>
    <cellStyle name="20% - Accent3 4 3 2 2 3" xfId="14107"/>
    <cellStyle name="20% - Accent3 4 3 2 2 3 2" xfId="14108"/>
    <cellStyle name="20% - Accent3 4 3 2 2 3 2 2" xfId="14109"/>
    <cellStyle name="20% - Accent3 4 3 2 2 3 2 3" xfId="14110"/>
    <cellStyle name="20% - Accent3 4 3 2 2 3 3" xfId="14111"/>
    <cellStyle name="20% - Accent3 4 3 2 2 3 3 2" xfId="14112"/>
    <cellStyle name="20% - Accent3 4 3 2 2 3 3 3" xfId="14113"/>
    <cellStyle name="20% - Accent3 4 3 2 2 3 4" xfId="14114"/>
    <cellStyle name="20% - Accent3 4 3 2 2 3 4 2" xfId="14115"/>
    <cellStyle name="20% - Accent3 4 3 2 2 3 5" xfId="14116"/>
    <cellStyle name="20% - Accent3 4 3 2 2 3 6" xfId="14117"/>
    <cellStyle name="20% - Accent3 4 3 2 2 4" xfId="14118"/>
    <cellStyle name="20% - Accent3 4 3 2 2 4 2" xfId="14119"/>
    <cellStyle name="20% - Accent3 4 3 2 2 4 2 2" xfId="14120"/>
    <cellStyle name="20% - Accent3 4 3 2 2 4 2 3" xfId="14121"/>
    <cellStyle name="20% - Accent3 4 3 2 2 4 3" xfId="14122"/>
    <cellStyle name="20% - Accent3 4 3 2 2 4 3 2" xfId="14123"/>
    <cellStyle name="20% - Accent3 4 3 2 2 4 3 3" xfId="14124"/>
    <cellStyle name="20% - Accent3 4 3 2 2 4 4" xfId="14125"/>
    <cellStyle name="20% - Accent3 4 3 2 2 4 4 2" xfId="14126"/>
    <cellStyle name="20% - Accent3 4 3 2 2 4 5" xfId="14127"/>
    <cellStyle name="20% - Accent3 4 3 2 2 4 6" xfId="14128"/>
    <cellStyle name="20% - Accent3 4 3 2 2 5" xfId="14129"/>
    <cellStyle name="20% - Accent3 4 3 2 2 5 2" xfId="14130"/>
    <cellStyle name="20% - Accent3 4 3 2 2 5 2 2" xfId="14131"/>
    <cellStyle name="20% - Accent3 4 3 2 2 5 2 3" xfId="14132"/>
    <cellStyle name="20% - Accent3 4 3 2 2 5 3" xfId="14133"/>
    <cellStyle name="20% - Accent3 4 3 2 2 5 3 2" xfId="14134"/>
    <cellStyle name="20% - Accent3 4 3 2 2 5 4" xfId="14135"/>
    <cellStyle name="20% - Accent3 4 3 2 2 5 5" xfId="14136"/>
    <cellStyle name="20% - Accent3 4 3 2 2 6" xfId="14137"/>
    <cellStyle name="20% - Accent3 4 3 2 2 6 2" xfId="14138"/>
    <cellStyle name="20% - Accent3 4 3 2 2 6 3" xfId="14139"/>
    <cellStyle name="20% - Accent3 4 3 2 2 7" xfId="14140"/>
    <cellStyle name="20% - Accent3 4 3 2 2 7 2" xfId="14141"/>
    <cellStyle name="20% - Accent3 4 3 2 2 7 3" xfId="14142"/>
    <cellStyle name="20% - Accent3 4 3 2 2 8" xfId="14143"/>
    <cellStyle name="20% - Accent3 4 3 2 2 8 2" xfId="14144"/>
    <cellStyle name="20% - Accent3 4 3 2 2 9" xfId="14145"/>
    <cellStyle name="20% - Accent3 4 3 2 3" xfId="604"/>
    <cellStyle name="20% - Accent3 4 3 2 3 2" xfId="14146"/>
    <cellStyle name="20% - Accent3 4 3 2 3 2 2" xfId="14147"/>
    <cellStyle name="20% - Accent3 4 3 2 3 2 2 2" xfId="14148"/>
    <cellStyle name="20% - Accent3 4 3 2 3 2 2 3" xfId="14149"/>
    <cellStyle name="20% - Accent3 4 3 2 3 2 3" xfId="14150"/>
    <cellStyle name="20% - Accent3 4 3 2 3 2 3 2" xfId="14151"/>
    <cellStyle name="20% - Accent3 4 3 2 3 2 3 3" xfId="14152"/>
    <cellStyle name="20% - Accent3 4 3 2 3 2 4" xfId="14153"/>
    <cellStyle name="20% - Accent3 4 3 2 3 2 4 2" xfId="14154"/>
    <cellStyle name="20% - Accent3 4 3 2 3 2 5" xfId="14155"/>
    <cellStyle name="20% - Accent3 4 3 2 3 2 6" xfId="14156"/>
    <cellStyle name="20% - Accent3 4 3 2 3 3" xfId="14157"/>
    <cellStyle name="20% - Accent3 4 3 2 3 3 2" xfId="14158"/>
    <cellStyle name="20% - Accent3 4 3 2 3 3 2 2" xfId="14159"/>
    <cellStyle name="20% - Accent3 4 3 2 3 3 2 3" xfId="14160"/>
    <cellStyle name="20% - Accent3 4 3 2 3 3 3" xfId="14161"/>
    <cellStyle name="20% - Accent3 4 3 2 3 3 3 2" xfId="14162"/>
    <cellStyle name="20% - Accent3 4 3 2 3 3 3 3" xfId="14163"/>
    <cellStyle name="20% - Accent3 4 3 2 3 3 4" xfId="14164"/>
    <cellStyle name="20% - Accent3 4 3 2 3 3 4 2" xfId="14165"/>
    <cellStyle name="20% - Accent3 4 3 2 3 3 5" xfId="14166"/>
    <cellStyle name="20% - Accent3 4 3 2 3 3 6" xfId="14167"/>
    <cellStyle name="20% - Accent3 4 3 2 3 4" xfId="14168"/>
    <cellStyle name="20% - Accent3 4 3 2 3 4 2" xfId="14169"/>
    <cellStyle name="20% - Accent3 4 3 2 3 4 2 2" xfId="14170"/>
    <cellStyle name="20% - Accent3 4 3 2 3 4 2 3" xfId="14171"/>
    <cellStyle name="20% - Accent3 4 3 2 3 4 3" xfId="14172"/>
    <cellStyle name="20% - Accent3 4 3 2 3 4 3 2" xfId="14173"/>
    <cellStyle name="20% - Accent3 4 3 2 3 4 4" xfId="14174"/>
    <cellStyle name="20% - Accent3 4 3 2 3 4 5" xfId="14175"/>
    <cellStyle name="20% - Accent3 4 3 2 3 5" xfId="14176"/>
    <cellStyle name="20% - Accent3 4 3 2 3 5 2" xfId="14177"/>
    <cellStyle name="20% - Accent3 4 3 2 3 5 3" xfId="14178"/>
    <cellStyle name="20% - Accent3 4 3 2 3 6" xfId="14179"/>
    <cellStyle name="20% - Accent3 4 3 2 3 6 2" xfId="14180"/>
    <cellStyle name="20% - Accent3 4 3 2 3 6 3" xfId="14181"/>
    <cellStyle name="20% - Accent3 4 3 2 3 7" xfId="14182"/>
    <cellStyle name="20% - Accent3 4 3 2 3 7 2" xfId="14183"/>
    <cellStyle name="20% - Accent3 4 3 2 3 8" xfId="14184"/>
    <cellStyle name="20% - Accent3 4 3 2 3 9" xfId="14185"/>
    <cellStyle name="20% - Accent3 4 3 2 4" xfId="14186"/>
    <cellStyle name="20% - Accent3 4 3 2 4 2" xfId="14187"/>
    <cellStyle name="20% - Accent3 4 3 2 4 2 2" xfId="14188"/>
    <cellStyle name="20% - Accent3 4 3 2 4 2 2 2" xfId="14189"/>
    <cellStyle name="20% - Accent3 4 3 2 4 2 2 3" xfId="14190"/>
    <cellStyle name="20% - Accent3 4 3 2 4 2 3" xfId="14191"/>
    <cellStyle name="20% - Accent3 4 3 2 4 2 3 2" xfId="14192"/>
    <cellStyle name="20% - Accent3 4 3 2 4 2 3 3" xfId="14193"/>
    <cellStyle name="20% - Accent3 4 3 2 4 2 4" xfId="14194"/>
    <cellStyle name="20% - Accent3 4 3 2 4 2 4 2" xfId="14195"/>
    <cellStyle name="20% - Accent3 4 3 2 4 2 5" xfId="14196"/>
    <cellStyle name="20% - Accent3 4 3 2 4 2 6" xfId="14197"/>
    <cellStyle name="20% - Accent3 4 3 2 4 3" xfId="14198"/>
    <cellStyle name="20% - Accent3 4 3 2 4 3 2" xfId="14199"/>
    <cellStyle name="20% - Accent3 4 3 2 4 3 2 2" xfId="14200"/>
    <cellStyle name="20% - Accent3 4 3 2 4 3 2 3" xfId="14201"/>
    <cellStyle name="20% - Accent3 4 3 2 4 3 3" xfId="14202"/>
    <cellStyle name="20% - Accent3 4 3 2 4 3 3 2" xfId="14203"/>
    <cellStyle name="20% - Accent3 4 3 2 4 3 3 3" xfId="14204"/>
    <cellStyle name="20% - Accent3 4 3 2 4 3 4" xfId="14205"/>
    <cellStyle name="20% - Accent3 4 3 2 4 3 4 2" xfId="14206"/>
    <cellStyle name="20% - Accent3 4 3 2 4 3 5" xfId="14207"/>
    <cellStyle name="20% - Accent3 4 3 2 4 3 6" xfId="14208"/>
    <cellStyle name="20% - Accent3 4 3 2 4 4" xfId="14209"/>
    <cellStyle name="20% - Accent3 4 3 2 4 4 2" xfId="14210"/>
    <cellStyle name="20% - Accent3 4 3 2 4 4 2 2" xfId="14211"/>
    <cellStyle name="20% - Accent3 4 3 2 4 4 2 3" xfId="14212"/>
    <cellStyle name="20% - Accent3 4 3 2 4 4 3" xfId="14213"/>
    <cellStyle name="20% - Accent3 4 3 2 4 4 3 2" xfId="14214"/>
    <cellStyle name="20% - Accent3 4 3 2 4 4 4" xfId="14215"/>
    <cellStyle name="20% - Accent3 4 3 2 4 4 5" xfId="14216"/>
    <cellStyle name="20% - Accent3 4 3 2 4 5" xfId="14217"/>
    <cellStyle name="20% - Accent3 4 3 2 4 5 2" xfId="14218"/>
    <cellStyle name="20% - Accent3 4 3 2 4 5 3" xfId="14219"/>
    <cellStyle name="20% - Accent3 4 3 2 4 6" xfId="14220"/>
    <cellStyle name="20% - Accent3 4 3 2 4 6 2" xfId="14221"/>
    <cellStyle name="20% - Accent3 4 3 2 4 6 3" xfId="14222"/>
    <cellStyle name="20% - Accent3 4 3 2 4 7" xfId="14223"/>
    <cellStyle name="20% - Accent3 4 3 2 4 7 2" xfId="14224"/>
    <cellStyle name="20% - Accent3 4 3 2 4 8" xfId="14225"/>
    <cellStyle name="20% - Accent3 4 3 2 4 9" xfId="14226"/>
    <cellStyle name="20% - Accent3 4 3 2 5" xfId="14227"/>
    <cellStyle name="20% - Accent3 4 3 2 5 2" xfId="14228"/>
    <cellStyle name="20% - Accent3 4 3 2 5 2 2" xfId="14229"/>
    <cellStyle name="20% - Accent3 4 3 2 5 2 3" xfId="14230"/>
    <cellStyle name="20% - Accent3 4 3 2 5 3" xfId="14231"/>
    <cellStyle name="20% - Accent3 4 3 2 5 3 2" xfId="14232"/>
    <cellStyle name="20% - Accent3 4 3 2 5 3 3" xfId="14233"/>
    <cellStyle name="20% - Accent3 4 3 2 5 4" xfId="14234"/>
    <cellStyle name="20% - Accent3 4 3 2 5 4 2" xfId="14235"/>
    <cellStyle name="20% - Accent3 4 3 2 5 5" xfId="14236"/>
    <cellStyle name="20% - Accent3 4 3 2 5 6" xfId="14237"/>
    <cellStyle name="20% - Accent3 4 3 2 6" xfId="14238"/>
    <cellStyle name="20% - Accent3 4 3 2 6 2" xfId="14239"/>
    <cellStyle name="20% - Accent3 4 3 2 6 2 2" xfId="14240"/>
    <cellStyle name="20% - Accent3 4 3 2 6 2 3" xfId="14241"/>
    <cellStyle name="20% - Accent3 4 3 2 6 3" xfId="14242"/>
    <cellStyle name="20% - Accent3 4 3 2 6 3 2" xfId="14243"/>
    <cellStyle name="20% - Accent3 4 3 2 6 3 3" xfId="14244"/>
    <cellStyle name="20% - Accent3 4 3 2 6 4" xfId="14245"/>
    <cellStyle name="20% - Accent3 4 3 2 6 4 2" xfId="14246"/>
    <cellStyle name="20% - Accent3 4 3 2 6 5" xfId="14247"/>
    <cellStyle name="20% - Accent3 4 3 2 6 6" xfId="14248"/>
    <cellStyle name="20% - Accent3 4 3 2 7" xfId="14249"/>
    <cellStyle name="20% - Accent3 4 3 2 7 2" xfId="14250"/>
    <cellStyle name="20% - Accent3 4 3 2 7 2 2" xfId="14251"/>
    <cellStyle name="20% - Accent3 4 3 2 7 2 3" xfId="14252"/>
    <cellStyle name="20% - Accent3 4 3 2 7 3" xfId="14253"/>
    <cellStyle name="20% - Accent3 4 3 2 7 3 2" xfId="14254"/>
    <cellStyle name="20% - Accent3 4 3 2 7 4" xfId="14255"/>
    <cellStyle name="20% - Accent3 4 3 2 7 5" xfId="14256"/>
    <cellStyle name="20% - Accent3 4 3 2 8" xfId="14257"/>
    <cellStyle name="20% - Accent3 4 3 2 8 2" xfId="14258"/>
    <cellStyle name="20% - Accent3 4 3 2 8 3" xfId="14259"/>
    <cellStyle name="20% - Accent3 4 3 2 9" xfId="14260"/>
    <cellStyle name="20% - Accent3 4 3 2 9 2" xfId="14261"/>
    <cellStyle name="20% - Accent3 4 3 2 9 3" xfId="14262"/>
    <cellStyle name="20% - Accent3 4 3 3" xfId="605"/>
    <cellStyle name="20% - Accent3 4 3 3 10" xfId="14263"/>
    <cellStyle name="20% - Accent3 4 3 3 2" xfId="606"/>
    <cellStyle name="20% - Accent3 4 3 3 2 2" xfId="14264"/>
    <cellStyle name="20% - Accent3 4 3 3 2 2 2" xfId="14265"/>
    <cellStyle name="20% - Accent3 4 3 3 2 2 2 2" xfId="14266"/>
    <cellStyle name="20% - Accent3 4 3 3 2 2 2 3" xfId="14267"/>
    <cellStyle name="20% - Accent3 4 3 3 2 2 3" xfId="14268"/>
    <cellStyle name="20% - Accent3 4 3 3 2 2 3 2" xfId="14269"/>
    <cellStyle name="20% - Accent3 4 3 3 2 2 3 3" xfId="14270"/>
    <cellStyle name="20% - Accent3 4 3 3 2 2 4" xfId="14271"/>
    <cellStyle name="20% - Accent3 4 3 3 2 2 4 2" xfId="14272"/>
    <cellStyle name="20% - Accent3 4 3 3 2 2 5" xfId="14273"/>
    <cellStyle name="20% - Accent3 4 3 3 2 2 6" xfId="14274"/>
    <cellStyle name="20% - Accent3 4 3 3 2 3" xfId="14275"/>
    <cellStyle name="20% - Accent3 4 3 3 2 3 2" xfId="14276"/>
    <cellStyle name="20% - Accent3 4 3 3 2 3 2 2" xfId="14277"/>
    <cellStyle name="20% - Accent3 4 3 3 2 3 2 3" xfId="14278"/>
    <cellStyle name="20% - Accent3 4 3 3 2 3 3" xfId="14279"/>
    <cellStyle name="20% - Accent3 4 3 3 2 3 3 2" xfId="14280"/>
    <cellStyle name="20% - Accent3 4 3 3 2 3 3 3" xfId="14281"/>
    <cellStyle name="20% - Accent3 4 3 3 2 3 4" xfId="14282"/>
    <cellStyle name="20% - Accent3 4 3 3 2 3 4 2" xfId="14283"/>
    <cellStyle name="20% - Accent3 4 3 3 2 3 5" xfId="14284"/>
    <cellStyle name="20% - Accent3 4 3 3 2 3 6" xfId="14285"/>
    <cellStyle name="20% - Accent3 4 3 3 2 4" xfId="14286"/>
    <cellStyle name="20% - Accent3 4 3 3 2 4 2" xfId="14287"/>
    <cellStyle name="20% - Accent3 4 3 3 2 4 2 2" xfId="14288"/>
    <cellStyle name="20% - Accent3 4 3 3 2 4 2 3" xfId="14289"/>
    <cellStyle name="20% - Accent3 4 3 3 2 4 3" xfId="14290"/>
    <cellStyle name="20% - Accent3 4 3 3 2 4 3 2" xfId="14291"/>
    <cellStyle name="20% - Accent3 4 3 3 2 4 4" xfId="14292"/>
    <cellStyle name="20% - Accent3 4 3 3 2 4 5" xfId="14293"/>
    <cellStyle name="20% - Accent3 4 3 3 2 5" xfId="14294"/>
    <cellStyle name="20% - Accent3 4 3 3 2 5 2" xfId="14295"/>
    <cellStyle name="20% - Accent3 4 3 3 2 5 3" xfId="14296"/>
    <cellStyle name="20% - Accent3 4 3 3 2 6" xfId="14297"/>
    <cellStyle name="20% - Accent3 4 3 3 2 6 2" xfId="14298"/>
    <cellStyle name="20% - Accent3 4 3 3 2 6 3" xfId="14299"/>
    <cellStyle name="20% - Accent3 4 3 3 2 7" xfId="14300"/>
    <cellStyle name="20% - Accent3 4 3 3 2 7 2" xfId="14301"/>
    <cellStyle name="20% - Accent3 4 3 3 2 8" xfId="14302"/>
    <cellStyle name="20% - Accent3 4 3 3 2 9" xfId="14303"/>
    <cellStyle name="20% - Accent3 4 3 3 3" xfId="14304"/>
    <cellStyle name="20% - Accent3 4 3 3 3 2" xfId="14305"/>
    <cellStyle name="20% - Accent3 4 3 3 3 2 2" xfId="14306"/>
    <cellStyle name="20% - Accent3 4 3 3 3 2 3" xfId="14307"/>
    <cellStyle name="20% - Accent3 4 3 3 3 3" xfId="14308"/>
    <cellStyle name="20% - Accent3 4 3 3 3 3 2" xfId="14309"/>
    <cellStyle name="20% - Accent3 4 3 3 3 3 3" xfId="14310"/>
    <cellStyle name="20% - Accent3 4 3 3 3 4" xfId="14311"/>
    <cellStyle name="20% - Accent3 4 3 3 3 4 2" xfId="14312"/>
    <cellStyle name="20% - Accent3 4 3 3 3 5" xfId="14313"/>
    <cellStyle name="20% - Accent3 4 3 3 3 6" xfId="14314"/>
    <cellStyle name="20% - Accent3 4 3 3 4" xfId="14315"/>
    <cellStyle name="20% - Accent3 4 3 3 4 2" xfId="14316"/>
    <cellStyle name="20% - Accent3 4 3 3 4 2 2" xfId="14317"/>
    <cellStyle name="20% - Accent3 4 3 3 4 2 3" xfId="14318"/>
    <cellStyle name="20% - Accent3 4 3 3 4 3" xfId="14319"/>
    <cellStyle name="20% - Accent3 4 3 3 4 3 2" xfId="14320"/>
    <cellStyle name="20% - Accent3 4 3 3 4 3 3" xfId="14321"/>
    <cellStyle name="20% - Accent3 4 3 3 4 4" xfId="14322"/>
    <cellStyle name="20% - Accent3 4 3 3 4 4 2" xfId="14323"/>
    <cellStyle name="20% - Accent3 4 3 3 4 5" xfId="14324"/>
    <cellStyle name="20% - Accent3 4 3 3 4 6" xfId="14325"/>
    <cellStyle name="20% - Accent3 4 3 3 5" xfId="14326"/>
    <cellStyle name="20% - Accent3 4 3 3 5 2" xfId="14327"/>
    <cellStyle name="20% - Accent3 4 3 3 5 2 2" xfId="14328"/>
    <cellStyle name="20% - Accent3 4 3 3 5 2 3" xfId="14329"/>
    <cellStyle name="20% - Accent3 4 3 3 5 3" xfId="14330"/>
    <cellStyle name="20% - Accent3 4 3 3 5 3 2" xfId="14331"/>
    <cellStyle name="20% - Accent3 4 3 3 5 4" xfId="14332"/>
    <cellStyle name="20% - Accent3 4 3 3 5 5" xfId="14333"/>
    <cellStyle name="20% - Accent3 4 3 3 6" xfId="14334"/>
    <cellStyle name="20% - Accent3 4 3 3 6 2" xfId="14335"/>
    <cellStyle name="20% - Accent3 4 3 3 6 3" xfId="14336"/>
    <cellStyle name="20% - Accent3 4 3 3 7" xfId="14337"/>
    <cellStyle name="20% - Accent3 4 3 3 7 2" xfId="14338"/>
    <cellStyle name="20% - Accent3 4 3 3 7 3" xfId="14339"/>
    <cellStyle name="20% - Accent3 4 3 3 8" xfId="14340"/>
    <cellStyle name="20% - Accent3 4 3 3 8 2" xfId="14341"/>
    <cellStyle name="20% - Accent3 4 3 3 9" xfId="14342"/>
    <cellStyle name="20% - Accent3 4 3 4" xfId="607"/>
    <cellStyle name="20% - Accent3 4 3 4 2" xfId="14343"/>
    <cellStyle name="20% - Accent3 4 3 4 2 2" xfId="14344"/>
    <cellStyle name="20% - Accent3 4 3 4 2 2 2" xfId="14345"/>
    <cellStyle name="20% - Accent3 4 3 4 2 2 3" xfId="14346"/>
    <cellStyle name="20% - Accent3 4 3 4 2 3" xfId="14347"/>
    <cellStyle name="20% - Accent3 4 3 4 2 3 2" xfId="14348"/>
    <cellStyle name="20% - Accent3 4 3 4 2 3 3" xfId="14349"/>
    <cellStyle name="20% - Accent3 4 3 4 2 4" xfId="14350"/>
    <cellStyle name="20% - Accent3 4 3 4 2 4 2" xfId="14351"/>
    <cellStyle name="20% - Accent3 4 3 4 2 5" xfId="14352"/>
    <cellStyle name="20% - Accent3 4 3 4 2 6" xfId="14353"/>
    <cellStyle name="20% - Accent3 4 3 4 3" xfId="14354"/>
    <cellStyle name="20% - Accent3 4 3 4 3 2" xfId="14355"/>
    <cellStyle name="20% - Accent3 4 3 4 3 2 2" xfId="14356"/>
    <cellStyle name="20% - Accent3 4 3 4 3 2 3" xfId="14357"/>
    <cellStyle name="20% - Accent3 4 3 4 3 3" xfId="14358"/>
    <cellStyle name="20% - Accent3 4 3 4 3 3 2" xfId="14359"/>
    <cellStyle name="20% - Accent3 4 3 4 3 3 3" xfId="14360"/>
    <cellStyle name="20% - Accent3 4 3 4 3 4" xfId="14361"/>
    <cellStyle name="20% - Accent3 4 3 4 3 4 2" xfId="14362"/>
    <cellStyle name="20% - Accent3 4 3 4 3 5" xfId="14363"/>
    <cellStyle name="20% - Accent3 4 3 4 3 6" xfId="14364"/>
    <cellStyle name="20% - Accent3 4 3 4 4" xfId="14365"/>
    <cellStyle name="20% - Accent3 4 3 4 4 2" xfId="14366"/>
    <cellStyle name="20% - Accent3 4 3 4 4 2 2" xfId="14367"/>
    <cellStyle name="20% - Accent3 4 3 4 4 2 3" xfId="14368"/>
    <cellStyle name="20% - Accent3 4 3 4 4 3" xfId="14369"/>
    <cellStyle name="20% - Accent3 4 3 4 4 3 2" xfId="14370"/>
    <cellStyle name="20% - Accent3 4 3 4 4 4" xfId="14371"/>
    <cellStyle name="20% - Accent3 4 3 4 4 5" xfId="14372"/>
    <cellStyle name="20% - Accent3 4 3 4 5" xfId="14373"/>
    <cellStyle name="20% - Accent3 4 3 4 5 2" xfId="14374"/>
    <cellStyle name="20% - Accent3 4 3 4 5 3" xfId="14375"/>
    <cellStyle name="20% - Accent3 4 3 4 6" xfId="14376"/>
    <cellStyle name="20% - Accent3 4 3 4 6 2" xfId="14377"/>
    <cellStyle name="20% - Accent3 4 3 4 6 3" xfId="14378"/>
    <cellStyle name="20% - Accent3 4 3 4 7" xfId="14379"/>
    <cellStyle name="20% - Accent3 4 3 4 7 2" xfId="14380"/>
    <cellStyle name="20% - Accent3 4 3 4 8" xfId="14381"/>
    <cellStyle name="20% - Accent3 4 3 4 9" xfId="14382"/>
    <cellStyle name="20% - Accent3 4 3 5" xfId="14383"/>
    <cellStyle name="20% - Accent3 4 3 5 2" xfId="14384"/>
    <cellStyle name="20% - Accent3 4 3 5 2 2" xfId="14385"/>
    <cellStyle name="20% - Accent3 4 3 5 2 2 2" xfId="14386"/>
    <cellStyle name="20% - Accent3 4 3 5 2 2 3" xfId="14387"/>
    <cellStyle name="20% - Accent3 4 3 5 2 3" xfId="14388"/>
    <cellStyle name="20% - Accent3 4 3 5 2 3 2" xfId="14389"/>
    <cellStyle name="20% - Accent3 4 3 5 2 3 3" xfId="14390"/>
    <cellStyle name="20% - Accent3 4 3 5 2 4" xfId="14391"/>
    <cellStyle name="20% - Accent3 4 3 5 2 4 2" xfId="14392"/>
    <cellStyle name="20% - Accent3 4 3 5 2 5" xfId="14393"/>
    <cellStyle name="20% - Accent3 4 3 5 2 6" xfId="14394"/>
    <cellStyle name="20% - Accent3 4 3 5 3" xfId="14395"/>
    <cellStyle name="20% - Accent3 4 3 5 3 2" xfId="14396"/>
    <cellStyle name="20% - Accent3 4 3 5 3 2 2" xfId="14397"/>
    <cellStyle name="20% - Accent3 4 3 5 3 2 3" xfId="14398"/>
    <cellStyle name="20% - Accent3 4 3 5 3 3" xfId="14399"/>
    <cellStyle name="20% - Accent3 4 3 5 3 3 2" xfId="14400"/>
    <cellStyle name="20% - Accent3 4 3 5 3 3 3" xfId="14401"/>
    <cellStyle name="20% - Accent3 4 3 5 3 4" xfId="14402"/>
    <cellStyle name="20% - Accent3 4 3 5 3 4 2" xfId="14403"/>
    <cellStyle name="20% - Accent3 4 3 5 3 5" xfId="14404"/>
    <cellStyle name="20% - Accent3 4 3 5 3 6" xfId="14405"/>
    <cellStyle name="20% - Accent3 4 3 5 4" xfId="14406"/>
    <cellStyle name="20% - Accent3 4 3 5 4 2" xfId="14407"/>
    <cellStyle name="20% - Accent3 4 3 5 4 2 2" xfId="14408"/>
    <cellStyle name="20% - Accent3 4 3 5 4 2 3" xfId="14409"/>
    <cellStyle name="20% - Accent3 4 3 5 4 3" xfId="14410"/>
    <cellStyle name="20% - Accent3 4 3 5 4 3 2" xfId="14411"/>
    <cellStyle name="20% - Accent3 4 3 5 4 4" xfId="14412"/>
    <cellStyle name="20% - Accent3 4 3 5 4 5" xfId="14413"/>
    <cellStyle name="20% - Accent3 4 3 5 5" xfId="14414"/>
    <cellStyle name="20% - Accent3 4 3 5 5 2" xfId="14415"/>
    <cellStyle name="20% - Accent3 4 3 5 5 3" xfId="14416"/>
    <cellStyle name="20% - Accent3 4 3 5 6" xfId="14417"/>
    <cellStyle name="20% - Accent3 4 3 5 6 2" xfId="14418"/>
    <cellStyle name="20% - Accent3 4 3 5 6 3" xfId="14419"/>
    <cellStyle name="20% - Accent3 4 3 5 7" xfId="14420"/>
    <cellStyle name="20% - Accent3 4 3 5 7 2" xfId="14421"/>
    <cellStyle name="20% - Accent3 4 3 5 8" xfId="14422"/>
    <cellStyle name="20% - Accent3 4 3 5 9" xfId="14423"/>
    <cellStyle name="20% - Accent3 4 3 6" xfId="14424"/>
    <cellStyle name="20% - Accent3 4 3 6 2" xfId="14425"/>
    <cellStyle name="20% - Accent3 4 3 6 2 2" xfId="14426"/>
    <cellStyle name="20% - Accent3 4 3 6 2 3" xfId="14427"/>
    <cellStyle name="20% - Accent3 4 3 6 3" xfId="14428"/>
    <cellStyle name="20% - Accent3 4 3 6 3 2" xfId="14429"/>
    <cellStyle name="20% - Accent3 4 3 6 3 3" xfId="14430"/>
    <cellStyle name="20% - Accent3 4 3 6 4" xfId="14431"/>
    <cellStyle name="20% - Accent3 4 3 6 4 2" xfId="14432"/>
    <cellStyle name="20% - Accent3 4 3 6 5" xfId="14433"/>
    <cellStyle name="20% - Accent3 4 3 6 6" xfId="14434"/>
    <cellStyle name="20% - Accent3 4 3 7" xfId="14435"/>
    <cellStyle name="20% - Accent3 4 3 7 2" xfId="14436"/>
    <cellStyle name="20% - Accent3 4 3 7 2 2" xfId="14437"/>
    <cellStyle name="20% - Accent3 4 3 7 2 3" xfId="14438"/>
    <cellStyle name="20% - Accent3 4 3 7 3" xfId="14439"/>
    <cellStyle name="20% - Accent3 4 3 7 3 2" xfId="14440"/>
    <cellStyle name="20% - Accent3 4 3 7 3 3" xfId="14441"/>
    <cellStyle name="20% - Accent3 4 3 7 4" xfId="14442"/>
    <cellStyle name="20% - Accent3 4 3 7 4 2" xfId="14443"/>
    <cellStyle name="20% - Accent3 4 3 7 5" xfId="14444"/>
    <cellStyle name="20% - Accent3 4 3 7 6" xfId="14445"/>
    <cellStyle name="20% - Accent3 4 3 8" xfId="14446"/>
    <cellStyle name="20% - Accent3 4 3 8 2" xfId="14447"/>
    <cellStyle name="20% - Accent3 4 3 8 2 2" xfId="14448"/>
    <cellStyle name="20% - Accent3 4 3 8 2 3" xfId="14449"/>
    <cellStyle name="20% - Accent3 4 3 8 3" xfId="14450"/>
    <cellStyle name="20% - Accent3 4 3 8 3 2" xfId="14451"/>
    <cellStyle name="20% - Accent3 4 3 8 4" xfId="14452"/>
    <cellStyle name="20% - Accent3 4 3 8 5" xfId="14453"/>
    <cellStyle name="20% - Accent3 4 3 9" xfId="14454"/>
    <cellStyle name="20% - Accent3 4 3 9 2" xfId="14455"/>
    <cellStyle name="20% - Accent3 4 3 9 3" xfId="14456"/>
    <cellStyle name="20% - Accent3 4 4" xfId="608"/>
    <cellStyle name="20% - Accent3 4 4 10" xfId="14457"/>
    <cellStyle name="20% - Accent3 4 4 10 2" xfId="14458"/>
    <cellStyle name="20% - Accent3 4 4 11" xfId="14459"/>
    <cellStyle name="20% - Accent3 4 4 12" xfId="14460"/>
    <cellStyle name="20% - Accent3 4 4 2" xfId="609"/>
    <cellStyle name="20% - Accent3 4 4 2 10" xfId="14461"/>
    <cellStyle name="20% - Accent3 4 4 2 2" xfId="610"/>
    <cellStyle name="20% - Accent3 4 4 2 2 2" xfId="14462"/>
    <cellStyle name="20% - Accent3 4 4 2 2 2 2" xfId="14463"/>
    <cellStyle name="20% - Accent3 4 4 2 2 2 2 2" xfId="14464"/>
    <cellStyle name="20% - Accent3 4 4 2 2 2 2 3" xfId="14465"/>
    <cellStyle name="20% - Accent3 4 4 2 2 2 3" xfId="14466"/>
    <cellStyle name="20% - Accent3 4 4 2 2 2 3 2" xfId="14467"/>
    <cellStyle name="20% - Accent3 4 4 2 2 2 3 3" xfId="14468"/>
    <cellStyle name="20% - Accent3 4 4 2 2 2 4" xfId="14469"/>
    <cellStyle name="20% - Accent3 4 4 2 2 2 4 2" xfId="14470"/>
    <cellStyle name="20% - Accent3 4 4 2 2 2 5" xfId="14471"/>
    <cellStyle name="20% - Accent3 4 4 2 2 2 6" xfId="14472"/>
    <cellStyle name="20% - Accent3 4 4 2 2 3" xfId="14473"/>
    <cellStyle name="20% - Accent3 4 4 2 2 3 2" xfId="14474"/>
    <cellStyle name="20% - Accent3 4 4 2 2 3 2 2" xfId="14475"/>
    <cellStyle name="20% - Accent3 4 4 2 2 3 2 3" xfId="14476"/>
    <cellStyle name="20% - Accent3 4 4 2 2 3 3" xfId="14477"/>
    <cellStyle name="20% - Accent3 4 4 2 2 3 3 2" xfId="14478"/>
    <cellStyle name="20% - Accent3 4 4 2 2 3 3 3" xfId="14479"/>
    <cellStyle name="20% - Accent3 4 4 2 2 3 4" xfId="14480"/>
    <cellStyle name="20% - Accent3 4 4 2 2 3 4 2" xfId="14481"/>
    <cellStyle name="20% - Accent3 4 4 2 2 3 5" xfId="14482"/>
    <cellStyle name="20% - Accent3 4 4 2 2 3 6" xfId="14483"/>
    <cellStyle name="20% - Accent3 4 4 2 2 4" xfId="14484"/>
    <cellStyle name="20% - Accent3 4 4 2 2 4 2" xfId="14485"/>
    <cellStyle name="20% - Accent3 4 4 2 2 4 2 2" xfId="14486"/>
    <cellStyle name="20% - Accent3 4 4 2 2 4 2 3" xfId="14487"/>
    <cellStyle name="20% - Accent3 4 4 2 2 4 3" xfId="14488"/>
    <cellStyle name="20% - Accent3 4 4 2 2 4 3 2" xfId="14489"/>
    <cellStyle name="20% - Accent3 4 4 2 2 4 4" xfId="14490"/>
    <cellStyle name="20% - Accent3 4 4 2 2 4 5" xfId="14491"/>
    <cellStyle name="20% - Accent3 4 4 2 2 5" xfId="14492"/>
    <cellStyle name="20% - Accent3 4 4 2 2 5 2" xfId="14493"/>
    <cellStyle name="20% - Accent3 4 4 2 2 5 3" xfId="14494"/>
    <cellStyle name="20% - Accent3 4 4 2 2 6" xfId="14495"/>
    <cellStyle name="20% - Accent3 4 4 2 2 6 2" xfId="14496"/>
    <cellStyle name="20% - Accent3 4 4 2 2 6 3" xfId="14497"/>
    <cellStyle name="20% - Accent3 4 4 2 2 7" xfId="14498"/>
    <cellStyle name="20% - Accent3 4 4 2 2 7 2" xfId="14499"/>
    <cellStyle name="20% - Accent3 4 4 2 2 8" xfId="14500"/>
    <cellStyle name="20% - Accent3 4 4 2 2 9" xfId="14501"/>
    <cellStyle name="20% - Accent3 4 4 2 3" xfId="14502"/>
    <cellStyle name="20% - Accent3 4 4 2 3 2" xfId="14503"/>
    <cellStyle name="20% - Accent3 4 4 2 3 2 2" xfId="14504"/>
    <cellStyle name="20% - Accent3 4 4 2 3 2 3" xfId="14505"/>
    <cellStyle name="20% - Accent3 4 4 2 3 3" xfId="14506"/>
    <cellStyle name="20% - Accent3 4 4 2 3 3 2" xfId="14507"/>
    <cellStyle name="20% - Accent3 4 4 2 3 3 3" xfId="14508"/>
    <cellStyle name="20% - Accent3 4 4 2 3 4" xfId="14509"/>
    <cellStyle name="20% - Accent3 4 4 2 3 4 2" xfId="14510"/>
    <cellStyle name="20% - Accent3 4 4 2 3 5" xfId="14511"/>
    <cellStyle name="20% - Accent3 4 4 2 3 6" xfId="14512"/>
    <cellStyle name="20% - Accent3 4 4 2 4" xfId="14513"/>
    <cellStyle name="20% - Accent3 4 4 2 4 2" xfId="14514"/>
    <cellStyle name="20% - Accent3 4 4 2 4 2 2" xfId="14515"/>
    <cellStyle name="20% - Accent3 4 4 2 4 2 3" xfId="14516"/>
    <cellStyle name="20% - Accent3 4 4 2 4 3" xfId="14517"/>
    <cellStyle name="20% - Accent3 4 4 2 4 3 2" xfId="14518"/>
    <cellStyle name="20% - Accent3 4 4 2 4 3 3" xfId="14519"/>
    <cellStyle name="20% - Accent3 4 4 2 4 4" xfId="14520"/>
    <cellStyle name="20% - Accent3 4 4 2 4 4 2" xfId="14521"/>
    <cellStyle name="20% - Accent3 4 4 2 4 5" xfId="14522"/>
    <cellStyle name="20% - Accent3 4 4 2 4 6" xfId="14523"/>
    <cellStyle name="20% - Accent3 4 4 2 5" xfId="14524"/>
    <cellStyle name="20% - Accent3 4 4 2 5 2" xfId="14525"/>
    <cellStyle name="20% - Accent3 4 4 2 5 2 2" xfId="14526"/>
    <cellStyle name="20% - Accent3 4 4 2 5 2 3" xfId="14527"/>
    <cellStyle name="20% - Accent3 4 4 2 5 3" xfId="14528"/>
    <cellStyle name="20% - Accent3 4 4 2 5 3 2" xfId="14529"/>
    <cellStyle name="20% - Accent3 4 4 2 5 4" xfId="14530"/>
    <cellStyle name="20% - Accent3 4 4 2 5 5" xfId="14531"/>
    <cellStyle name="20% - Accent3 4 4 2 6" xfId="14532"/>
    <cellStyle name="20% - Accent3 4 4 2 6 2" xfId="14533"/>
    <cellStyle name="20% - Accent3 4 4 2 6 3" xfId="14534"/>
    <cellStyle name="20% - Accent3 4 4 2 7" xfId="14535"/>
    <cellStyle name="20% - Accent3 4 4 2 7 2" xfId="14536"/>
    <cellStyle name="20% - Accent3 4 4 2 7 3" xfId="14537"/>
    <cellStyle name="20% - Accent3 4 4 2 8" xfId="14538"/>
    <cellStyle name="20% - Accent3 4 4 2 8 2" xfId="14539"/>
    <cellStyle name="20% - Accent3 4 4 2 9" xfId="14540"/>
    <cellStyle name="20% - Accent3 4 4 3" xfId="611"/>
    <cellStyle name="20% - Accent3 4 4 3 2" xfId="14541"/>
    <cellStyle name="20% - Accent3 4 4 3 2 2" xfId="14542"/>
    <cellStyle name="20% - Accent3 4 4 3 2 2 2" xfId="14543"/>
    <cellStyle name="20% - Accent3 4 4 3 2 2 3" xfId="14544"/>
    <cellStyle name="20% - Accent3 4 4 3 2 3" xfId="14545"/>
    <cellStyle name="20% - Accent3 4 4 3 2 3 2" xfId="14546"/>
    <cellStyle name="20% - Accent3 4 4 3 2 3 3" xfId="14547"/>
    <cellStyle name="20% - Accent3 4 4 3 2 4" xfId="14548"/>
    <cellStyle name="20% - Accent3 4 4 3 2 4 2" xfId="14549"/>
    <cellStyle name="20% - Accent3 4 4 3 2 5" xfId="14550"/>
    <cellStyle name="20% - Accent3 4 4 3 2 6" xfId="14551"/>
    <cellStyle name="20% - Accent3 4 4 3 3" xfId="14552"/>
    <cellStyle name="20% - Accent3 4 4 3 3 2" xfId="14553"/>
    <cellStyle name="20% - Accent3 4 4 3 3 2 2" xfId="14554"/>
    <cellStyle name="20% - Accent3 4 4 3 3 2 3" xfId="14555"/>
    <cellStyle name="20% - Accent3 4 4 3 3 3" xfId="14556"/>
    <cellStyle name="20% - Accent3 4 4 3 3 3 2" xfId="14557"/>
    <cellStyle name="20% - Accent3 4 4 3 3 3 3" xfId="14558"/>
    <cellStyle name="20% - Accent3 4 4 3 3 4" xfId="14559"/>
    <cellStyle name="20% - Accent3 4 4 3 3 4 2" xfId="14560"/>
    <cellStyle name="20% - Accent3 4 4 3 3 5" xfId="14561"/>
    <cellStyle name="20% - Accent3 4 4 3 3 6" xfId="14562"/>
    <cellStyle name="20% - Accent3 4 4 3 4" xfId="14563"/>
    <cellStyle name="20% - Accent3 4 4 3 4 2" xfId="14564"/>
    <cellStyle name="20% - Accent3 4 4 3 4 2 2" xfId="14565"/>
    <cellStyle name="20% - Accent3 4 4 3 4 2 3" xfId="14566"/>
    <cellStyle name="20% - Accent3 4 4 3 4 3" xfId="14567"/>
    <cellStyle name="20% - Accent3 4 4 3 4 3 2" xfId="14568"/>
    <cellStyle name="20% - Accent3 4 4 3 4 4" xfId="14569"/>
    <cellStyle name="20% - Accent3 4 4 3 4 5" xfId="14570"/>
    <cellStyle name="20% - Accent3 4 4 3 5" xfId="14571"/>
    <cellStyle name="20% - Accent3 4 4 3 5 2" xfId="14572"/>
    <cellStyle name="20% - Accent3 4 4 3 5 3" xfId="14573"/>
    <cellStyle name="20% - Accent3 4 4 3 6" xfId="14574"/>
    <cellStyle name="20% - Accent3 4 4 3 6 2" xfId="14575"/>
    <cellStyle name="20% - Accent3 4 4 3 6 3" xfId="14576"/>
    <cellStyle name="20% - Accent3 4 4 3 7" xfId="14577"/>
    <cellStyle name="20% - Accent3 4 4 3 7 2" xfId="14578"/>
    <cellStyle name="20% - Accent3 4 4 3 8" xfId="14579"/>
    <cellStyle name="20% - Accent3 4 4 3 9" xfId="14580"/>
    <cellStyle name="20% - Accent3 4 4 4" xfId="14581"/>
    <cellStyle name="20% - Accent3 4 4 4 2" xfId="14582"/>
    <cellStyle name="20% - Accent3 4 4 4 2 2" xfId="14583"/>
    <cellStyle name="20% - Accent3 4 4 4 2 2 2" xfId="14584"/>
    <cellStyle name="20% - Accent3 4 4 4 2 2 3" xfId="14585"/>
    <cellStyle name="20% - Accent3 4 4 4 2 3" xfId="14586"/>
    <cellStyle name="20% - Accent3 4 4 4 2 3 2" xfId="14587"/>
    <cellStyle name="20% - Accent3 4 4 4 2 3 3" xfId="14588"/>
    <cellStyle name="20% - Accent3 4 4 4 2 4" xfId="14589"/>
    <cellStyle name="20% - Accent3 4 4 4 2 4 2" xfId="14590"/>
    <cellStyle name="20% - Accent3 4 4 4 2 5" xfId="14591"/>
    <cellStyle name="20% - Accent3 4 4 4 2 6" xfId="14592"/>
    <cellStyle name="20% - Accent3 4 4 4 3" xfId="14593"/>
    <cellStyle name="20% - Accent3 4 4 4 3 2" xfId="14594"/>
    <cellStyle name="20% - Accent3 4 4 4 3 2 2" xfId="14595"/>
    <cellStyle name="20% - Accent3 4 4 4 3 2 3" xfId="14596"/>
    <cellStyle name="20% - Accent3 4 4 4 3 3" xfId="14597"/>
    <cellStyle name="20% - Accent3 4 4 4 3 3 2" xfId="14598"/>
    <cellStyle name="20% - Accent3 4 4 4 3 3 3" xfId="14599"/>
    <cellStyle name="20% - Accent3 4 4 4 3 4" xfId="14600"/>
    <cellStyle name="20% - Accent3 4 4 4 3 4 2" xfId="14601"/>
    <cellStyle name="20% - Accent3 4 4 4 3 5" xfId="14602"/>
    <cellStyle name="20% - Accent3 4 4 4 3 6" xfId="14603"/>
    <cellStyle name="20% - Accent3 4 4 4 4" xfId="14604"/>
    <cellStyle name="20% - Accent3 4 4 4 4 2" xfId="14605"/>
    <cellStyle name="20% - Accent3 4 4 4 4 2 2" xfId="14606"/>
    <cellStyle name="20% - Accent3 4 4 4 4 2 3" xfId="14607"/>
    <cellStyle name="20% - Accent3 4 4 4 4 3" xfId="14608"/>
    <cellStyle name="20% - Accent3 4 4 4 4 3 2" xfId="14609"/>
    <cellStyle name="20% - Accent3 4 4 4 4 4" xfId="14610"/>
    <cellStyle name="20% - Accent3 4 4 4 4 5" xfId="14611"/>
    <cellStyle name="20% - Accent3 4 4 4 5" xfId="14612"/>
    <cellStyle name="20% - Accent3 4 4 4 5 2" xfId="14613"/>
    <cellStyle name="20% - Accent3 4 4 4 5 3" xfId="14614"/>
    <cellStyle name="20% - Accent3 4 4 4 6" xfId="14615"/>
    <cellStyle name="20% - Accent3 4 4 4 6 2" xfId="14616"/>
    <cellStyle name="20% - Accent3 4 4 4 6 3" xfId="14617"/>
    <cellStyle name="20% - Accent3 4 4 4 7" xfId="14618"/>
    <cellStyle name="20% - Accent3 4 4 4 7 2" xfId="14619"/>
    <cellStyle name="20% - Accent3 4 4 4 8" xfId="14620"/>
    <cellStyle name="20% - Accent3 4 4 4 9" xfId="14621"/>
    <cellStyle name="20% - Accent3 4 4 5" xfId="14622"/>
    <cellStyle name="20% - Accent3 4 4 5 2" xfId="14623"/>
    <cellStyle name="20% - Accent3 4 4 5 2 2" xfId="14624"/>
    <cellStyle name="20% - Accent3 4 4 5 2 3" xfId="14625"/>
    <cellStyle name="20% - Accent3 4 4 5 3" xfId="14626"/>
    <cellStyle name="20% - Accent3 4 4 5 3 2" xfId="14627"/>
    <cellStyle name="20% - Accent3 4 4 5 3 3" xfId="14628"/>
    <cellStyle name="20% - Accent3 4 4 5 4" xfId="14629"/>
    <cellStyle name="20% - Accent3 4 4 5 4 2" xfId="14630"/>
    <cellStyle name="20% - Accent3 4 4 5 5" xfId="14631"/>
    <cellStyle name="20% - Accent3 4 4 5 6" xfId="14632"/>
    <cellStyle name="20% - Accent3 4 4 6" xfId="14633"/>
    <cellStyle name="20% - Accent3 4 4 6 2" xfId="14634"/>
    <cellStyle name="20% - Accent3 4 4 6 2 2" xfId="14635"/>
    <cellStyle name="20% - Accent3 4 4 6 2 3" xfId="14636"/>
    <cellStyle name="20% - Accent3 4 4 6 3" xfId="14637"/>
    <cellStyle name="20% - Accent3 4 4 6 3 2" xfId="14638"/>
    <cellStyle name="20% - Accent3 4 4 6 3 3" xfId="14639"/>
    <cellStyle name="20% - Accent3 4 4 6 4" xfId="14640"/>
    <cellStyle name="20% - Accent3 4 4 6 4 2" xfId="14641"/>
    <cellStyle name="20% - Accent3 4 4 6 5" xfId="14642"/>
    <cellStyle name="20% - Accent3 4 4 6 6" xfId="14643"/>
    <cellStyle name="20% - Accent3 4 4 7" xfId="14644"/>
    <cellStyle name="20% - Accent3 4 4 7 2" xfId="14645"/>
    <cellStyle name="20% - Accent3 4 4 7 2 2" xfId="14646"/>
    <cellStyle name="20% - Accent3 4 4 7 2 3" xfId="14647"/>
    <cellStyle name="20% - Accent3 4 4 7 3" xfId="14648"/>
    <cellStyle name="20% - Accent3 4 4 7 3 2" xfId="14649"/>
    <cellStyle name="20% - Accent3 4 4 7 4" xfId="14650"/>
    <cellStyle name="20% - Accent3 4 4 7 5" xfId="14651"/>
    <cellStyle name="20% - Accent3 4 4 8" xfId="14652"/>
    <cellStyle name="20% - Accent3 4 4 8 2" xfId="14653"/>
    <cellStyle name="20% - Accent3 4 4 8 3" xfId="14654"/>
    <cellStyle name="20% - Accent3 4 4 9" xfId="14655"/>
    <cellStyle name="20% - Accent3 4 4 9 2" xfId="14656"/>
    <cellStyle name="20% - Accent3 4 4 9 3" xfId="14657"/>
    <cellStyle name="20% - Accent3 4 5" xfId="612"/>
    <cellStyle name="20% - Accent3 4 5 10" xfId="14658"/>
    <cellStyle name="20% - Accent3 4 5 2" xfId="613"/>
    <cellStyle name="20% - Accent3 4 5 2 2" xfId="14659"/>
    <cellStyle name="20% - Accent3 4 5 2 2 2" xfId="14660"/>
    <cellStyle name="20% - Accent3 4 5 2 2 2 2" xfId="14661"/>
    <cellStyle name="20% - Accent3 4 5 2 2 2 3" xfId="14662"/>
    <cellStyle name="20% - Accent3 4 5 2 2 3" xfId="14663"/>
    <cellStyle name="20% - Accent3 4 5 2 2 3 2" xfId="14664"/>
    <cellStyle name="20% - Accent3 4 5 2 2 3 3" xfId="14665"/>
    <cellStyle name="20% - Accent3 4 5 2 2 4" xfId="14666"/>
    <cellStyle name="20% - Accent3 4 5 2 2 4 2" xfId="14667"/>
    <cellStyle name="20% - Accent3 4 5 2 2 5" xfId="14668"/>
    <cellStyle name="20% - Accent3 4 5 2 2 6" xfId="14669"/>
    <cellStyle name="20% - Accent3 4 5 2 3" xfId="14670"/>
    <cellStyle name="20% - Accent3 4 5 2 3 2" xfId="14671"/>
    <cellStyle name="20% - Accent3 4 5 2 3 2 2" xfId="14672"/>
    <cellStyle name="20% - Accent3 4 5 2 3 2 3" xfId="14673"/>
    <cellStyle name="20% - Accent3 4 5 2 3 3" xfId="14674"/>
    <cellStyle name="20% - Accent3 4 5 2 3 3 2" xfId="14675"/>
    <cellStyle name="20% - Accent3 4 5 2 3 3 3" xfId="14676"/>
    <cellStyle name="20% - Accent3 4 5 2 3 4" xfId="14677"/>
    <cellStyle name="20% - Accent3 4 5 2 3 4 2" xfId="14678"/>
    <cellStyle name="20% - Accent3 4 5 2 3 5" xfId="14679"/>
    <cellStyle name="20% - Accent3 4 5 2 3 6" xfId="14680"/>
    <cellStyle name="20% - Accent3 4 5 2 4" xfId="14681"/>
    <cellStyle name="20% - Accent3 4 5 2 4 2" xfId="14682"/>
    <cellStyle name="20% - Accent3 4 5 2 4 2 2" xfId="14683"/>
    <cellStyle name="20% - Accent3 4 5 2 4 2 3" xfId="14684"/>
    <cellStyle name="20% - Accent3 4 5 2 4 3" xfId="14685"/>
    <cellStyle name="20% - Accent3 4 5 2 4 3 2" xfId="14686"/>
    <cellStyle name="20% - Accent3 4 5 2 4 4" xfId="14687"/>
    <cellStyle name="20% - Accent3 4 5 2 4 5" xfId="14688"/>
    <cellStyle name="20% - Accent3 4 5 2 5" xfId="14689"/>
    <cellStyle name="20% - Accent3 4 5 2 5 2" xfId="14690"/>
    <cellStyle name="20% - Accent3 4 5 2 5 3" xfId="14691"/>
    <cellStyle name="20% - Accent3 4 5 2 6" xfId="14692"/>
    <cellStyle name="20% - Accent3 4 5 2 6 2" xfId="14693"/>
    <cellStyle name="20% - Accent3 4 5 2 6 3" xfId="14694"/>
    <cellStyle name="20% - Accent3 4 5 2 7" xfId="14695"/>
    <cellStyle name="20% - Accent3 4 5 2 7 2" xfId="14696"/>
    <cellStyle name="20% - Accent3 4 5 2 8" xfId="14697"/>
    <cellStyle name="20% - Accent3 4 5 2 9" xfId="14698"/>
    <cellStyle name="20% - Accent3 4 5 3" xfId="14699"/>
    <cellStyle name="20% - Accent3 4 5 3 2" xfId="14700"/>
    <cellStyle name="20% - Accent3 4 5 3 2 2" xfId="14701"/>
    <cellStyle name="20% - Accent3 4 5 3 2 3" xfId="14702"/>
    <cellStyle name="20% - Accent3 4 5 3 3" xfId="14703"/>
    <cellStyle name="20% - Accent3 4 5 3 3 2" xfId="14704"/>
    <cellStyle name="20% - Accent3 4 5 3 3 3" xfId="14705"/>
    <cellStyle name="20% - Accent3 4 5 3 4" xfId="14706"/>
    <cellStyle name="20% - Accent3 4 5 3 4 2" xfId="14707"/>
    <cellStyle name="20% - Accent3 4 5 3 5" xfId="14708"/>
    <cellStyle name="20% - Accent3 4 5 3 6" xfId="14709"/>
    <cellStyle name="20% - Accent3 4 5 4" xfId="14710"/>
    <cellStyle name="20% - Accent3 4 5 4 2" xfId="14711"/>
    <cellStyle name="20% - Accent3 4 5 4 2 2" xfId="14712"/>
    <cellStyle name="20% - Accent3 4 5 4 2 3" xfId="14713"/>
    <cellStyle name="20% - Accent3 4 5 4 3" xfId="14714"/>
    <cellStyle name="20% - Accent3 4 5 4 3 2" xfId="14715"/>
    <cellStyle name="20% - Accent3 4 5 4 3 3" xfId="14716"/>
    <cellStyle name="20% - Accent3 4 5 4 4" xfId="14717"/>
    <cellStyle name="20% - Accent3 4 5 4 4 2" xfId="14718"/>
    <cellStyle name="20% - Accent3 4 5 4 5" xfId="14719"/>
    <cellStyle name="20% - Accent3 4 5 4 6" xfId="14720"/>
    <cellStyle name="20% - Accent3 4 5 5" xfId="14721"/>
    <cellStyle name="20% - Accent3 4 5 5 2" xfId="14722"/>
    <cellStyle name="20% - Accent3 4 5 5 2 2" xfId="14723"/>
    <cellStyle name="20% - Accent3 4 5 5 2 3" xfId="14724"/>
    <cellStyle name="20% - Accent3 4 5 5 3" xfId="14725"/>
    <cellStyle name="20% - Accent3 4 5 5 3 2" xfId="14726"/>
    <cellStyle name="20% - Accent3 4 5 5 4" xfId="14727"/>
    <cellStyle name="20% - Accent3 4 5 5 5" xfId="14728"/>
    <cellStyle name="20% - Accent3 4 5 6" xfId="14729"/>
    <cellStyle name="20% - Accent3 4 5 6 2" xfId="14730"/>
    <cellStyle name="20% - Accent3 4 5 6 3" xfId="14731"/>
    <cellStyle name="20% - Accent3 4 5 7" xfId="14732"/>
    <cellStyle name="20% - Accent3 4 5 7 2" xfId="14733"/>
    <cellStyle name="20% - Accent3 4 5 7 3" xfId="14734"/>
    <cellStyle name="20% - Accent3 4 5 8" xfId="14735"/>
    <cellStyle name="20% - Accent3 4 5 8 2" xfId="14736"/>
    <cellStyle name="20% - Accent3 4 5 9" xfId="14737"/>
    <cellStyle name="20% - Accent3 4 6" xfId="614"/>
    <cellStyle name="20% - Accent3 4 6 2" xfId="14738"/>
    <cellStyle name="20% - Accent3 4 6 2 2" xfId="14739"/>
    <cellStyle name="20% - Accent3 4 6 2 2 2" xfId="14740"/>
    <cellStyle name="20% - Accent3 4 6 2 2 3" xfId="14741"/>
    <cellStyle name="20% - Accent3 4 6 2 3" xfId="14742"/>
    <cellStyle name="20% - Accent3 4 6 2 3 2" xfId="14743"/>
    <cellStyle name="20% - Accent3 4 6 2 3 3" xfId="14744"/>
    <cellStyle name="20% - Accent3 4 6 2 4" xfId="14745"/>
    <cellStyle name="20% - Accent3 4 6 2 4 2" xfId="14746"/>
    <cellStyle name="20% - Accent3 4 6 2 5" xfId="14747"/>
    <cellStyle name="20% - Accent3 4 6 2 6" xfId="14748"/>
    <cellStyle name="20% - Accent3 4 6 3" xfId="14749"/>
    <cellStyle name="20% - Accent3 4 6 3 2" xfId="14750"/>
    <cellStyle name="20% - Accent3 4 6 3 2 2" xfId="14751"/>
    <cellStyle name="20% - Accent3 4 6 3 2 3" xfId="14752"/>
    <cellStyle name="20% - Accent3 4 6 3 3" xfId="14753"/>
    <cellStyle name="20% - Accent3 4 6 3 3 2" xfId="14754"/>
    <cellStyle name="20% - Accent3 4 6 3 3 3" xfId="14755"/>
    <cellStyle name="20% - Accent3 4 6 3 4" xfId="14756"/>
    <cellStyle name="20% - Accent3 4 6 3 4 2" xfId="14757"/>
    <cellStyle name="20% - Accent3 4 6 3 5" xfId="14758"/>
    <cellStyle name="20% - Accent3 4 6 3 6" xfId="14759"/>
    <cellStyle name="20% - Accent3 4 6 4" xfId="14760"/>
    <cellStyle name="20% - Accent3 4 6 4 2" xfId="14761"/>
    <cellStyle name="20% - Accent3 4 6 4 2 2" xfId="14762"/>
    <cellStyle name="20% - Accent3 4 6 4 2 3" xfId="14763"/>
    <cellStyle name="20% - Accent3 4 6 4 3" xfId="14764"/>
    <cellStyle name="20% - Accent3 4 6 4 3 2" xfId="14765"/>
    <cellStyle name="20% - Accent3 4 6 4 4" xfId="14766"/>
    <cellStyle name="20% - Accent3 4 6 4 5" xfId="14767"/>
    <cellStyle name="20% - Accent3 4 6 5" xfId="14768"/>
    <cellStyle name="20% - Accent3 4 6 5 2" xfId="14769"/>
    <cellStyle name="20% - Accent3 4 6 5 3" xfId="14770"/>
    <cellStyle name="20% - Accent3 4 6 6" xfId="14771"/>
    <cellStyle name="20% - Accent3 4 6 6 2" xfId="14772"/>
    <cellStyle name="20% - Accent3 4 6 6 3" xfId="14773"/>
    <cellStyle name="20% - Accent3 4 6 7" xfId="14774"/>
    <cellStyle name="20% - Accent3 4 6 7 2" xfId="14775"/>
    <cellStyle name="20% - Accent3 4 6 8" xfId="14776"/>
    <cellStyle name="20% - Accent3 4 6 9" xfId="14777"/>
    <cellStyle name="20% - Accent3 4 7" xfId="8814"/>
    <cellStyle name="20% - Accent3 4 7 2" xfId="14778"/>
    <cellStyle name="20% - Accent3 4 7 2 2" xfId="14779"/>
    <cellStyle name="20% - Accent3 4 7 2 2 2" xfId="14780"/>
    <cellStyle name="20% - Accent3 4 7 2 2 3" xfId="14781"/>
    <cellStyle name="20% - Accent3 4 7 2 3" xfId="14782"/>
    <cellStyle name="20% - Accent3 4 7 2 3 2" xfId="14783"/>
    <cellStyle name="20% - Accent3 4 7 2 3 3" xfId="14784"/>
    <cellStyle name="20% - Accent3 4 7 2 4" xfId="14785"/>
    <cellStyle name="20% - Accent3 4 7 2 4 2" xfId="14786"/>
    <cellStyle name="20% - Accent3 4 7 2 5" xfId="14787"/>
    <cellStyle name="20% - Accent3 4 7 2 6" xfId="14788"/>
    <cellStyle name="20% - Accent3 4 7 3" xfId="14789"/>
    <cellStyle name="20% - Accent3 4 7 3 2" xfId="14790"/>
    <cellStyle name="20% - Accent3 4 7 3 2 2" xfId="14791"/>
    <cellStyle name="20% - Accent3 4 7 3 2 3" xfId="14792"/>
    <cellStyle name="20% - Accent3 4 7 3 3" xfId="14793"/>
    <cellStyle name="20% - Accent3 4 7 3 3 2" xfId="14794"/>
    <cellStyle name="20% - Accent3 4 7 3 3 3" xfId="14795"/>
    <cellStyle name="20% - Accent3 4 7 3 4" xfId="14796"/>
    <cellStyle name="20% - Accent3 4 7 3 4 2" xfId="14797"/>
    <cellStyle name="20% - Accent3 4 7 3 5" xfId="14798"/>
    <cellStyle name="20% - Accent3 4 7 3 6" xfId="14799"/>
    <cellStyle name="20% - Accent3 4 7 4" xfId="14800"/>
    <cellStyle name="20% - Accent3 4 7 4 2" xfId="14801"/>
    <cellStyle name="20% - Accent3 4 7 4 2 2" xfId="14802"/>
    <cellStyle name="20% - Accent3 4 7 4 2 3" xfId="14803"/>
    <cellStyle name="20% - Accent3 4 7 4 3" xfId="14804"/>
    <cellStyle name="20% - Accent3 4 7 4 3 2" xfId="14805"/>
    <cellStyle name="20% - Accent3 4 7 4 4" xfId="14806"/>
    <cellStyle name="20% - Accent3 4 7 4 5" xfId="14807"/>
    <cellStyle name="20% - Accent3 4 7 5" xfId="14808"/>
    <cellStyle name="20% - Accent3 4 7 5 2" xfId="14809"/>
    <cellStyle name="20% - Accent3 4 7 5 3" xfId="14810"/>
    <cellStyle name="20% - Accent3 4 7 6" xfId="14811"/>
    <cellStyle name="20% - Accent3 4 7 6 2" xfId="14812"/>
    <cellStyle name="20% - Accent3 4 7 6 3" xfId="14813"/>
    <cellStyle name="20% - Accent3 4 7 7" xfId="14814"/>
    <cellStyle name="20% - Accent3 4 7 7 2" xfId="14815"/>
    <cellStyle name="20% - Accent3 4 7 8" xfId="14816"/>
    <cellStyle name="20% - Accent3 4 7 9" xfId="14817"/>
    <cellStyle name="20% - Accent3 4 8" xfId="14818"/>
    <cellStyle name="20% - Accent3 4 8 2" xfId="14819"/>
    <cellStyle name="20% - Accent3 4 8 2 2" xfId="14820"/>
    <cellStyle name="20% - Accent3 4 8 2 3" xfId="14821"/>
    <cellStyle name="20% - Accent3 4 8 3" xfId="14822"/>
    <cellStyle name="20% - Accent3 4 8 3 2" xfId="14823"/>
    <cellStyle name="20% - Accent3 4 8 3 3" xfId="14824"/>
    <cellStyle name="20% - Accent3 4 8 4" xfId="14825"/>
    <cellStyle name="20% - Accent3 4 8 4 2" xfId="14826"/>
    <cellStyle name="20% - Accent3 4 8 5" xfId="14827"/>
    <cellStyle name="20% - Accent3 4 8 6" xfId="14828"/>
    <cellStyle name="20% - Accent3 4 9" xfId="14829"/>
    <cellStyle name="20% - Accent3 4 9 2" xfId="14830"/>
    <cellStyle name="20% - Accent3 4 9 2 2" xfId="14831"/>
    <cellStyle name="20% - Accent3 4 9 2 3" xfId="14832"/>
    <cellStyle name="20% - Accent3 4 9 3" xfId="14833"/>
    <cellStyle name="20% - Accent3 4 9 3 2" xfId="14834"/>
    <cellStyle name="20% - Accent3 4 9 3 3" xfId="14835"/>
    <cellStyle name="20% - Accent3 4 9 4" xfId="14836"/>
    <cellStyle name="20% - Accent3 4 9 4 2" xfId="14837"/>
    <cellStyle name="20% - Accent3 4 9 5" xfId="14838"/>
    <cellStyle name="20% - Accent3 4 9 6" xfId="14839"/>
    <cellStyle name="20% - Accent3 5" xfId="615"/>
    <cellStyle name="20% - Accent3 5 2" xfId="616"/>
    <cellStyle name="20% - Accent3 5 2 2" xfId="617"/>
    <cellStyle name="20% - Accent3 5 2 2 2" xfId="618"/>
    <cellStyle name="20% - Accent3 5 2 2 2 2" xfId="619"/>
    <cellStyle name="20% - Accent3 5 2 2 3" xfId="620"/>
    <cellStyle name="20% - Accent3 5 2 3" xfId="621"/>
    <cellStyle name="20% - Accent3 5 2 3 2" xfId="622"/>
    <cellStyle name="20% - Accent3 5 2 4" xfId="623"/>
    <cellStyle name="20% - Accent3 5 2 5" xfId="57887"/>
    <cellStyle name="20% - Accent3 5 3" xfId="624"/>
    <cellStyle name="20% - Accent3 5 3 2" xfId="625"/>
    <cellStyle name="20% - Accent3 5 3 2 2" xfId="626"/>
    <cellStyle name="20% - Accent3 5 3 3" xfId="627"/>
    <cellStyle name="20% - Accent3 5 4" xfId="628"/>
    <cellStyle name="20% - Accent3 5 4 2" xfId="629"/>
    <cellStyle name="20% - Accent3 5 5" xfId="630"/>
    <cellStyle name="20% - Accent3 5 6" xfId="8815"/>
    <cellStyle name="20% - Accent3 6" xfId="631"/>
    <cellStyle name="20% - Accent3 6 2" xfId="632"/>
    <cellStyle name="20% - Accent3 6 2 2" xfId="633"/>
    <cellStyle name="20% - Accent3 6 2 2 2" xfId="634"/>
    <cellStyle name="20% - Accent3 6 2 3" xfId="635"/>
    <cellStyle name="20% - Accent3 6 2 4" xfId="57888"/>
    <cellStyle name="20% - Accent3 6 2 5" xfId="57889"/>
    <cellStyle name="20% - Accent3 6 3" xfId="636"/>
    <cellStyle name="20% - Accent3 6 3 2" xfId="637"/>
    <cellStyle name="20% - Accent3 6 4" xfId="638"/>
    <cellStyle name="20% - Accent3 6 5" xfId="57890"/>
    <cellStyle name="20% - Accent3 7" xfId="639"/>
    <cellStyle name="20% - Accent3 7 2" xfId="640"/>
    <cellStyle name="20% - Accent3 7 2 2" xfId="641"/>
    <cellStyle name="20% - Accent3 7 2 2 2" xfId="642"/>
    <cellStyle name="20% - Accent3 7 2 3" xfId="643"/>
    <cellStyle name="20% - Accent3 7 3" xfId="644"/>
    <cellStyle name="20% - Accent3 7 3 2" xfId="645"/>
    <cellStyle name="20% - Accent3 7 4" xfId="646"/>
    <cellStyle name="20% - Accent3 7 5" xfId="57891"/>
    <cellStyle name="20% - Accent3 8" xfId="647"/>
    <cellStyle name="20% - Accent3 8 2" xfId="648"/>
    <cellStyle name="20% - Accent3 8 2 2" xfId="649"/>
    <cellStyle name="20% - Accent3 8 2 2 2" xfId="650"/>
    <cellStyle name="20% - Accent3 8 2 3" xfId="651"/>
    <cellStyle name="20% - Accent3 8 3" xfId="652"/>
    <cellStyle name="20% - Accent3 8 3 2" xfId="653"/>
    <cellStyle name="20% - Accent3 8 4" xfId="654"/>
    <cellStyle name="20% - Accent3 8 5" xfId="57892"/>
    <cellStyle name="20% - Accent3 9" xfId="655"/>
    <cellStyle name="20% - Accent3 9 2" xfId="656"/>
    <cellStyle name="20% - Accent3 9 2 2" xfId="657"/>
    <cellStyle name="20% - Accent3 9 3" xfId="658"/>
    <cellStyle name="20% - Accent3 9 4" xfId="57893"/>
    <cellStyle name="20% - Accent4 10" xfId="659"/>
    <cellStyle name="20% - Accent4 10 2" xfId="660"/>
    <cellStyle name="20% - Accent4 10 2 2" xfId="661"/>
    <cellStyle name="20% - Accent4 10 3" xfId="662"/>
    <cellStyle name="20% - Accent4 10 4" xfId="57894"/>
    <cellStyle name="20% - Accent4 11" xfId="663"/>
    <cellStyle name="20% - Accent4 11 2" xfId="664"/>
    <cellStyle name="20% - Accent4 11 2 2" xfId="665"/>
    <cellStyle name="20% - Accent4 11 3" xfId="666"/>
    <cellStyle name="20% - Accent4 11 4" xfId="57895"/>
    <cellStyle name="20% - Accent4 12" xfId="667"/>
    <cellStyle name="20% - Accent4 12 2" xfId="668"/>
    <cellStyle name="20% - Accent4 12 2 2" xfId="669"/>
    <cellStyle name="20% - Accent4 12 3" xfId="670"/>
    <cellStyle name="20% - Accent4 12 4" xfId="57896"/>
    <cellStyle name="20% - Accent4 13" xfId="671"/>
    <cellStyle name="20% - Accent4 13 2" xfId="672"/>
    <cellStyle name="20% - Accent4 13 3" xfId="57897"/>
    <cellStyle name="20% - Accent4 14" xfId="673"/>
    <cellStyle name="20% - Accent4 14 2" xfId="57898"/>
    <cellStyle name="20% - Accent4 15" xfId="8816"/>
    <cellStyle name="20% - Accent4 16" xfId="9389"/>
    <cellStyle name="20% - Accent4 17" xfId="9390"/>
    <cellStyle name="20% - Accent4 17 2" xfId="57899"/>
    <cellStyle name="20% - Accent4 18" xfId="57900"/>
    <cellStyle name="20% - Accent4 19" xfId="57901"/>
    <cellStyle name="20% - Accent4 2" xfId="674"/>
    <cellStyle name="20% - Accent4 2 10" xfId="57902"/>
    <cellStyle name="20% - Accent4 2 11" xfId="57903"/>
    <cellStyle name="20% - Accent4 2 12" xfId="57904"/>
    <cellStyle name="20% - Accent4 2 13" xfId="57905"/>
    <cellStyle name="20% - Accent4 2 2" xfId="675"/>
    <cellStyle name="20% - Accent4 2 2 10" xfId="57906"/>
    <cellStyle name="20% - Accent4 2 2 2" xfId="676"/>
    <cellStyle name="20% - Accent4 2 2 2 2" xfId="677"/>
    <cellStyle name="20% - Accent4 2 2 2 2 2" xfId="678"/>
    <cellStyle name="20% - Accent4 2 2 2 2 2 2" xfId="679"/>
    <cellStyle name="20% - Accent4 2 2 2 2 2 2 2" xfId="680"/>
    <cellStyle name="20% - Accent4 2 2 2 2 2 3" xfId="681"/>
    <cellStyle name="20% - Accent4 2 2 2 2 2 4" xfId="8817"/>
    <cellStyle name="20% - Accent4 2 2 2 2 3" xfId="682"/>
    <cellStyle name="20% - Accent4 2 2 2 2 3 2" xfId="683"/>
    <cellStyle name="20% - Accent4 2 2 2 2 4" xfId="684"/>
    <cellStyle name="20% - Accent4 2 2 2 2 5" xfId="685"/>
    <cellStyle name="20% - Accent4 2 2 2 2 6" xfId="8818"/>
    <cellStyle name="20% - Accent4 2 2 2 3" xfId="686"/>
    <cellStyle name="20% - Accent4 2 2 2 3 2" xfId="687"/>
    <cellStyle name="20% - Accent4 2 2 2 3 2 2" xfId="688"/>
    <cellStyle name="20% - Accent4 2 2 2 3 3" xfId="689"/>
    <cellStyle name="20% - Accent4 2 2 2 3 4" xfId="8819"/>
    <cellStyle name="20% - Accent4 2 2 2 4" xfId="690"/>
    <cellStyle name="20% - Accent4 2 2 2 4 2" xfId="691"/>
    <cellStyle name="20% - Accent4 2 2 2 5" xfId="692"/>
    <cellStyle name="20% - Accent4 2 2 2 6" xfId="693"/>
    <cellStyle name="20% - Accent4 2 2 2 7" xfId="8820"/>
    <cellStyle name="20% - Accent4 2 2 3" xfId="694"/>
    <cellStyle name="20% - Accent4 2 2 3 2" xfId="695"/>
    <cellStyle name="20% - Accent4 2 2 3 2 2" xfId="696"/>
    <cellStyle name="20% - Accent4 2 2 3 2 2 2" xfId="697"/>
    <cellStyle name="20% - Accent4 2 2 3 2 3" xfId="698"/>
    <cellStyle name="20% - Accent4 2 2 3 2 4" xfId="8821"/>
    <cellStyle name="20% - Accent4 2 2 3 3" xfId="699"/>
    <cellStyle name="20% - Accent4 2 2 3 3 2" xfId="700"/>
    <cellStyle name="20% - Accent4 2 2 3 4" xfId="701"/>
    <cellStyle name="20% - Accent4 2 2 3 5" xfId="702"/>
    <cellStyle name="20% - Accent4 2 2 3 6" xfId="8822"/>
    <cellStyle name="20% - Accent4 2 2 4" xfId="703"/>
    <cellStyle name="20% - Accent4 2 2 4 2" xfId="704"/>
    <cellStyle name="20% - Accent4 2 2 4 2 2" xfId="705"/>
    <cellStyle name="20% - Accent4 2 2 4 3" xfId="706"/>
    <cellStyle name="20% - Accent4 2 2 4 4" xfId="8823"/>
    <cellStyle name="20% - Accent4 2 2 5" xfId="707"/>
    <cellStyle name="20% - Accent4 2 2 5 2" xfId="708"/>
    <cellStyle name="20% - Accent4 2 2 5 3" xfId="57907"/>
    <cellStyle name="20% - Accent4 2 2 6" xfId="709"/>
    <cellStyle name="20% - Accent4 2 2 6 2" xfId="57908"/>
    <cellStyle name="20% - Accent4 2 2 7" xfId="710"/>
    <cellStyle name="20% - Accent4 2 2 8" xfId="8824"/>
    <cellStyle name="20% - Accent4 2 2 9" xfId="57909"/>
    <cellStyle name="20% - Accent4 2 3" xfId="711"/>
    <cellStyle name="20% - Accent4 2 3 2" xfId="712"/>
    <cellStyle name="20% - Accent4 2 3 2 2" xfId="713"/>
    <cellStyle name="20% - Accent4 2 3 2 2 2" xfId="714"/>
    <cellStyle name="20% - Accent4 2 3 2 2 2 2" xfId="715"/>
    <cellStyle name="20% - Accent4 2 3 2 2 2 3" xfId="8825"/>
    <cellStyle name="20% - Accent4 2 3 2 2 3" xfId="716"/>
    <cellStyle name="20% - Accent4 2 3 2 2 4" xfId="717"/>
    <cellStyle name="20% - Accent4 2 3 2 2 5" xfId="8826"/>
    <cellStyle name="20% - Accent4 2 3 2 3" xfId="718"/>
    <cellStyle name="20% - Accent4 2 3 2 3 2" xfId="719"/>
    <cellStyle name="20% - Accent4 2 3 2 3 3" xfId="8827"/>
    <cellStyle name="20% - Accent4 2 3 2 4" xfId="720"/>
    <cellStyle name="20% - Accent4 2 3 2 5" xfId="721"/>
    <cellStyle name="20% - Accent4 2 3 2 6" xfId="8828"/>
    <cellStyle name="20% - Accent4 2 3 3" xfId="722"/>
    <cellStyle name="20% - Accent4 2 3 3 2" xfId="723"/>
    <cellStyle name="20% - Accent4 2 3 3 2 2" xfId="724"/>
    <cellStyle name="20% - Accent4 2 3 3 2 3" xfId="8829"/>
    <cellStyle name="20% - Accent4 2 3 3 3" xfId="725"/>
    <cellStyle name="20% - Accent4 2 3 3 4" xfId="726"/>
    <cellStyle name="20% - Accent4 2 3 3 5" xfId="8830"/>
    <cellStyle name="20% - Accent4 2 3 4" xfId="727"/>
    <cellStyle name="20% - Accent4 2 3 4 2" xfId="728"/>
    <cellStyle name="20% - Accent4 2 3 4 3" xfId="8831"/>
    <cellStyle name="20% - Accent4 2 3 5" xfId="729"/>
    <cellStyle name="20% - Accent4 2 3 6" xfId="730"/>
    <cellStyle name="20% - Accent4 2 3 7" xfId="8832"/>
    <cellStyle name="20% - Accent4 2 4" xfId="731"/>
    <cellStyle name="20% - Accent4 2 4 2" xfId="732"/>
    <cellStyle name="20% - Accent4 2 4 2 2" xfId="733"/>
    <cellStyle name="20% - Accent4 2 4 2 2 2" xfId="734"/>
    <cellStyle name="20% - Accent4 2 4 2 2 2 2" xfId="8833"/>
    <cellStyle name="20% - Accent4 2 4 2 2 3" xfId="735"/>
    <cellStyle name="20% - Accent4 2 4 2 2 4" xfId="8834"/>
    <cellStyle name="20% - Accent4 2 4 2 3" xfId="736"/>
    <cellStyle name="20% - Accent4 2 4 2 3 2" xfId="8835"/>
    <cellStyle name="20% - Accent4 2 4 2 4" xfId="737"/>
    <cellStyle name="20% - Accent4 2 4 2 5" xfId="8836"/>
    <cellStyle name="20% - Accent4 2 4 3" xfId="738"/>
    <cellStyle name="20% - Accent4 2 4 3 2" xfId="739"/>
    <cellStyle name="20% - Accent4 2 4 3 2 2" xfId="8837"/>
    <cellStyle name="20% - Accent4 2 4 3 3" xfId="740"/>
    <cellStyle name="20% - Accent4 2 4 3 4" xfId="8838"/>
    <cellStyle name="20% - Accent4 2 4 4" xfId="741"/>
    <cellStyle name="20% - Accent4 2 4 4 2" xfId="8839"/>
    <cellStyle name="20% - Accent4 2 4 5" xfId="742"/>
    <cellStyle name="20% - Accent4 2 4 6" xfId="8840"/>
    <cellStyle name="20% - Accent4 2 4 7" xfId="57910"/>
    <cellStyle name="20% - Accent4 2 5" xfId="743"/>
    <cellStyle name="20% - Accent4 2 5 2" xfId="744"/>
    <cellStyle name="20% - Accent4 2 5 2 2" xfId="745"/>
    <cellStyle name="20% - Accent4 2 5 2 2 2" xfId="8841"/>
    <cellStyle name="20% - Accent4 2 5 2 3" xfId="746"/>
    <cellStyle name="20% - Accent4 2 5 2 4" xfId="8842"/>
    <cellStyle name="20% - Accent4 2 5 3" xfId="747"/>
    <cellStyle name="20% - Accent4 2 5 3 2" xfId="8843"/>
    <cellStyle name="20% - Accent4 2 5 4" xfId="748"/>
    <cellStyle name="20% - Accent4 2 5 5" xfId="8844"/>
    <cellStyle name="20% - Accent4 2 5 6" xfId="57911"/>
    <cellStyle name="20% - Accent4 2 6" xfId="749"/>
    <cellStyle name="20% - Accent4 2 6 2" xfId="750"/>
    <cellStyle name="20% - Accent4 2 6 2 2" xfId="8845"/>
    <cellStyle name="20% - Accent4 2 6 3" xfId="751"/>
    <cellStyle name="20% - Accent4 2 6 4" xfId="8846"/>
    <cellStyle name="20% - Accent4 2 6 5" xfId="57912"/>
    <cellStyle name="20% - Accent4 2 7" xfId="752"/>
    <cellStyle name="20% - Accent4 2 7 2" xfId="8847"/>
    <cellStyle name="20% - Accent4 2 7 3" xfId="57913"/>
    <cellStyle name="20% - Accent4 2 7 4" xfId="57914"/>
    <cellStyle name="20% - Accent4 2 8" xfId="753"/>
    <cellStyle name="20% - Accent4 2 8 2" xfId="57915"/>
    <cellStyle name="20% - Accent4 2 8 3" xfId="57916"/>
    <cellStyle name="20% - Accent4 2 9" xfId="8848"/>
    <cellStyle name="20% - Accent4 2 9 2" xfId="57917"/>
    <cellStyle name="20% - Accent4 20" xfId="57918"/>
    <cellStyle name="20% - Accent4 21" xfId="57919"/>
    <cellStyle name="20% - Accent4 3" xfId="754"/>
    <cellStyle name="20% - Accent4 3 2" xfId="755"/>
    <cellStyle name="20% - Accent4 3 2 2" xfId="756"/>
    <cellStyle name="20% - Accent4 3 2 2 2" xfId="757"/>
    <cellStyle name="20% - Accent4 3 2 2 2 2" xfId="758"/>
    <cellStyle name="20% - Accent4 3 2 2 2 2 2" xfId="759"/>
    <cellStyle name="20% - Accent4 3 2 2 2 2 2 2" xfId="760"/>
    <cellStyle name="20% - Accent4 3 2 2 2 2 3" xfId="761"/>
    <cellStyle name="20% - Accent4 3 2 2 2 2 4" xfId="8849"/>
    <cellStyle name="20% - Accent4 3 2 2 2 3" xfId="762"/>
    <cellStyle name="20% - Accent4 3 2 2 2 3 2" xfId="763"/>
    <cellStyle name="20% - Accent4 3 2 2 2 4" xfId="764"/>
    <cellStyle name="20% - Accent4 3 2 2 2 5" xfId="765"/>
    <cellStyle name="20% - Accent4 3 2 2 2 6" xfId="8850"/>
    <cellStyle name="20% - Accent4 3 2 2 3" xfId="766"/>
    <cellStyle name="20% - Accent4 3 2 2 3 2" xfId="767"/>
    <cellStyle name="20% - Accent4 3 2 2 3 2 2" xfId="768"/>
    <cellStyle name="20% - Accent4 3 2 2 3 3" xfId="769"/>
    <cellStyle name="20% - Accent4 3 2 2 3 4" xfId="8851"/>
    <cellStyle name="20% - Accent4 3 2 2 4" xfId="770"/>
    <cellStyle name="20% - Accent4 3 2 2 4 2" xfId="771"/>
    <cellStyle name="20% - Accent4 3 2 2 5" xfId="772"/>
    <cellStyle name="20% - Accent4 3 2 2 6" xfId="773"/>
    <cellStyle name="20% - Accent4 3 2 2 7" xfId="8852"/>
    <cellStyle name="20% - Accent4 3 2 3" xfId="774"/>
    <cellStyle name="20% - Accent4 3 2 3 2" xfId="775"/>
    <cellStyle name="20% - Accent4 3 2 3 2 2" xfId="776"/>
    <cellStyle name="20% - Accent4 3 2 3 2 2 2" xfId="777"/>
    <cellStyle name="20% - Accent4 3 2 3 2 3" xfId="778"/>
    <cellStyle name="20% - Accent4 3 2 3 2 4" xfId="8853"/>
    <cellStyle name="20% - Accent4 3 2 3 3" xfId="779"/>
    <cellStyle name="20% - Accent4 3 2 3 3 2" xfId="780"/>
    <cellStyle name="20% - Accent4 3 2 3 4" xfId="781"/>
    <cellStyle name="20% - Accent4 3 2 3 5" xfId="782"/>
    <cellStyle name="20% - Accent4 3 2 3 6" xfId="8854"/>
    <cellStyle name="20% - Accent4 3 2 4" xfId="783"/>
    <cellStyle name="20% - Accent4 3 2 4 2" xfId="784"/>
    <cellStyle name="20% - Accent4 3 2 4 2 2" xfId="785"/>
    <cellStyle name="20% - Accent4 3 2 4 3" xfId="786"/>
    <cellStyle name="20% - Accent4 3 2 4 4" xfId="8855"/>
    <cellStyle name="20% - Accent4 3 2 5" xfId="787"/>
    <cellStyle name="20% - Accent4 3 2 5 2" xfId="788"/>
    <cellStyle name="20% - Accent4 3 2 6" xfId="789"/>
    <cellStyle name="20% - Accent4 3 2 7" xfId="790"/>
    <cellStyle name="20% - Accent4 3 2 8" xfId="8856"/>
    <cellStyle name="20% - Accent4 3 2 9" xfId="57920"/>
    <cellStyle name="20% - Accent4 3 3" xfId="791"/>
    <cellStyle name="20% - Accent4 3 3 2" xfId="792"/>
    <cellStyle name="20% - Accent4 3 3 2 2" xfId="793"/>
    <cellStyle name="20% - Accent4 3 3 2 2 2" xfId="794"/>
    <cellStyle name="20% - Accent4 3 3 2 2 2 2" xfId="795"/>
    <cellStyle name="20% - Accent4 3 3 2 2 2 3" xfId="8857"/>
    <cellStyle name="20% - Accent4 3 3 2 2 3" xfId="796"/>
    <cellStyle name="20% - Accent4 3 3 2 2 4" xfId="797"/>
    <cellStyle name="20% - Accent4 3 3 2 2 5" xfId="8858"/>
    <cellStyle name="20% - Accent4 3 3 2 3" xfId="798"/>
    <cellStyle name="20% - Accent4 3 3 2 3 2" xfId="799"/>
    <cellStyle name="20% - Accent4 3 3 2 3 3" xfId="8859"/>
    <cellStyle name="20% - Accent4 3 3 2 4" xfId="800"/>
    <cellStyle name="20% - Accent4 3 3 2 5" xfId="801"/>
    <cellStyle name="20% - Accent4 3 3 2 6" xfId="8860"/>
    <cellStyle name="20% - Accent4 3 3 3" xfId="802"/>
    <cellStyle name="20% - Accent4 3 3 3 2" xfId="803"/>
    <cellStyle name="20% - Accent4 3 3 3 2 2" xfId="804"/>
    <cellStyle name="20% - Accent4 3 3 3 2 3" xfId="8861"/>
    <cellStyle name="20% - Accent4 3 3 3 3" xfId="805"/>
    <cellStyle name="20% - Accent4 3 3 3 4" xfId="806"/>
    <cellStyle name="20% - Accent4 3 3 3 5" xfId="8862"/>
    <cellStyle name="20% - Accent4 3 3 4" xfId="807"/>
    <cellStyle name="20% - Accent4 3 3 4 2" xfId="808"/>
    <cellStyle name="20% - Accent4 3 3 4 3" xfId="8863"/>
    <cellStyle name="20% - Accent4 3 3 4 4" xfId="57921"/>
    <cellStyle name="20% - Accent4 3 3 5" xfId="809"/>
    <cellStyle name="20% - Accent4 3 3 5 2" xfId="57922"/>
    <cellStyle name="20% - Accent4 3 3 6" xfId="810"/>
    <cellStyle name="20% - Accent4 3 3 7" xfId="8864"/>
    <cellStyle name="20% - Accent4 3 3 8" xfId="57923"/>
    <cellStyle name="20% - Accent4 3 3 9" xfId="57924"/>
    <cellStyle name="20% - Accent4 3 4" xfId="811"/>
    <cellStyle name="20% - Accent4 3 4 2" xfId="812"/>
    <cellStyle name="20% - Accent4 3 4 2 2" xfId="813"/>
    <cellStyle name="20% - Accent4 3 4 2 2 2" xfId="814"/>
    <cellStyle name="20% - Accent4 3 4 2 2 2 2" xfId="8865"/>
    <cellStyle name="20% - Accent4 3 4 2 2 3" xfId="815"/>
    <cellStyle name="20% - Accent4 3 4 2 2 4" xfId="8866"/>
    <cellStyle name="20% - Accent4 3 4 2 3" xfId="816"/>
    <cellStyle name="20% - Accent4 3 4 2 3 2" xfId="8867"/>
    <cellStyle name="20% - Accent4 3 4 2 4" xfId="817"/>
    <cellStyle name="20% - Accent4 3 4 2 5" xfId="8868"/>
    <cellStyle name="20% - Accent4 3 4 3" xfId="818"/>
    <cellStyle name="20% - Accent4 3 4 3 2" xfId="819"/>
    <cellStyle name="20% - Accent4 3 4 3 2 2" xfId="8869"/>
    <cellStyle name="20% - Accent4 3 4 3 3" xfId="820"/>
    <cellStyle name="20% - Accent4 3 4 3 4" xfId="8870"/>
    <cellStyle name="20% - Accent4 3 4 4" xfId="821"/>
    <cellStyle name="20% - Accent4 3 4 4 2" xfId="8871"/>
    <cellStyle name="20% - Accent4 3 4 4 3" xfId="57925"/>
    <cellStyle name="20% - Accent4 3 4 4 4" xfId="57926"/>
    <cellStyle name="20% - Accent4 3 4 5" xfId="822"/>
    <cellStyle name="20% - Accent4 3 4 5 2" xfId="57927"/>
    <cellStyle name="20% - Accent4 3 4 6" xfId="8872"/>
    <cellStyle name="20% - Accent4 3 4 7" xfId="57928"/>
    <cellStyle name="20% - Accent4 3 4 8" xfId="57929"/>
    <cellStyle name="20% - Accent4 3 4 9" xfId="57930"/>
    <cellStyle name="20% - Accent4 3 5" xfId="823"/>
    <cellStyle name="20% - Accent4 3 5 2" xfId="824"/>
    <cellStyle name="20% - Accent4 3 5 2 2" xfId="825"/>
    <cellStyle name="20% - Accent4 3 5 2 2 2" xfId="8873"/>
    <cellStyle name="20% - Accent4 3 5 2 3" xfId="826"/>
    <cellStyle name="20% - Accent4 3 5 2 4" xfId="8874"/>
    <cellStyle name="20% - Accent4 3 5 3" xfId="827"/>
    <cellStyle name="20% - Accent4 3 5 3 2" xfId="8875"/>
    <cellStyle name="20% - Accent4 3 5 4" xfId="828"/>
    <cellStyle name="20% - Accent4 3 5 5" xfId="8876"/>
    <cellStyle name="20% - Accent4 3 6" xfId="829"/>
    <cellStyle name="20% - Accent4 3 6 2" xfId="830"/>
    <cellStyle name="20% - Accent4 3 6 2 2" xfId="8877"/>
    <cellStyle name="20% - Accent4 3 6 3" xfId="831"/>
    <cellStyle name="20% - Accent4 3 6 4" xfId="8878"/>
    <cellStyle name="20% - Accent4 3 7" xfId="832"/>
    <cellStyle name="20% - Accent4 3 7 2" xfId="8879"/>
    <cellStyle name="20% - Accent4 3 7 3" xfId="57931"/>
    <cellStyle name="20% - Accent4 3 7 4" xfId="57932"/>
    <cellStyle name="20% - Accent4 3 8" xfId="833"/>
    <cellStyle name="20% - Accent4 3 9" xfId="8880"/>
    <cellStyle name="20% - Accent4 4" xfId="834"/>
    <cellStyle name="20% - Accent4 4 10" xfId="14840"/>
    <cellStyle name="20% - Accent4 4 10 2" xfId="14841"/>
    <cellStyle name="20% - Accent4 4 10 2 2" xfId="14842"/>
    <cellStyle name="20% - Accent4 4 10 2 3" xfId="14843"/>
    <cellStyle name="20% - Accent4 4 10 3" xfId="14844"/>
    <cellStyle name="20% - Accent4 4 10 3 2" xfId="14845"/>
    <cellStyle name="20% - Accent4 4 10 4" xfId="14846"/>
    <cellStyle name="20% - Accent4 4 10 5" xfId="14847"/>
    <cellStyle name="20% - Accent4 4 11" xfId="14848"/>
    <cellStyle name="20% - Accent4 4 11 2" xfId="14849"/>
    <cellStyle name="20% - Accent4 4 11 3" xfId="14850"/>
    <cellStyle name="20% - Accent4 4 12" xfId="14851"/>
    <cellStyle name="20% - Accent4 4 12 2" xfId="14852"/>
    <cellStyle name="20% - Accent4 4 12 3" xfId="14853"/>
    <cellStyle name="20% - Accent4 4 13" xfId="14854"/>
    <cellStyle name="20% - Accent4 4 13 2" xfId="14855"/>
    <cellStyle name="20% - Accent4 4 14" xfId="14856"/>
    <cellStyle name="20% - Accent4 4 15" xfId="14857"/>
    <cellStyle name="20% - Accent4 4 16" xfId="14858"/>
    <cellStyle name="20% - Accent4 4 2" xfId="835"/>
    <cellStyle name="20% - Accent4 4 2 10" xfId="14859"/>
    <cellStyle name="20% - Accent4 4 2 10 2" xfId="14860"/>
    <cellStyle name="20% - Accent4 4 2 10 3" xfId="14861"/>
    <cellStyle name="20% - Accent4 4 2 11" xfId="14862"/>
    <cellStyle name="20% - Accent4 4 2 11 2" xfId="14863"/>
    <cellStyle name="20% - Accent4 4 2 11 3" xfId="14864"/>
    <cellStyle name="20% - Accent4 4 2 12" xfId="14865"/>
    <cellStyle name="20% - Accent4 4 2 12 2" xfId="14866"/>
    <cellStyle name="20% - Accent4 4 2 13" xfId="14867"/>
    <cellStyle name="20% - Accent4 4 2 14" xfId="14868"/>
    <cellStyle name="20% - Accent4 4 2 15" xfId="14869"/>
    <cellStyle name="20% - Accent4 4 2 2" xfId="836"/>
    <cellStyle name="20% - Accent4 4 2 2 10" xfId="14870"/>
    <cellStyle name="20% - Accent4 4 2 2 10 2" xfId="14871"/>
    <cellStyle name="20% - Accent4 4 2 2 10 3" xfId="14872"/>
    <cellStyle name="20% - Accent4 4 2 2 11" xfId="14873"/>
    <cellStyle name="20% - Accent4 4 2 2 11 2" xfId="14874"/>
    <cellStyle name="20% - Accent4 4 2 2 12" xfId="14875"/>
    <cellStyle name="20% - Accent4 4 2 2 13" xfId="14876"/>
    <cellStyle name="20% - Accent4 4 2 2 2" xfId="837"/>
    <cellStyle name="20% - Accent4 4 2 2 2 10" xfId="14877"/>
    <cellStyle name="20% - Accent4 4 2 2 2 10 2" xfId="14878"/>
    <cellStyle name="20% - Accent4 4 2 2 2 11" xfId="14879"/>
    <cellStyle name="20% - Accent4 4 2 2 2 12" xfId="14880"/>
    <cellStyle name="20% - Accent4 4 2 2 2 2" xfId="838"/>
    <cellStyle name="20% - Accent4 4 2 2 2 2 10" xfId="14881"/>
    <cellStyle name="20% - Accent4 4 2 2 2 2 2" xfId="839"/>
    <cellStyle name="20% - Accent4 4 2 2 2 2 2 2" xfId="840"/>
    <cellStyle name="20% - Accent4 4 2 2 2 2 2 2 2" xfId="14882"/>
    <cellStyle name="20% - Accent4 4 2 2 2 2 2 2 2 2" xfId="14883"/>
    <cellStyle name="20% - Accent4 4 2 2 2 2 2 2 2 3" xfId="14884"/>
    <cellStyle name="20% - Accent4 4 2 2 2 2 2 2 3" xfId="14885"/>
    <cellStyle name="20% - Accent4 4 2 2 2 2 2 2 3 2" xfId="14886"/>
    <cellStyle name="20% - Accent4 4 2 2 2 2 2 2 3 3" xfId="14887"/>
    <cellStyle name="20% - Accent4 4 2 2 2 2 2 2 4" xfId="14888"/>
    <cellStyle name="20% - Accent4 4 2 2 2 2 2 2 4 2" xfId="14889"/>
    <cellStyle name="20% - Accent4 4 2 2 2 2 2 2 5" xfId="14890"/>
    <cellStyle name="20% - Accent4 4 2 2 2 2 2 2 6" xfId="14891"/>
    <cellStyle name="20% - Accent4 4 2 2 2 2 2 3" xfId="14892"/>
    <cellStyle name="20% - Accent4 4 2 2 2 2 2 3 2" xfId="14893"/>
    <cellStyle name="20% - Accent4 4 2 2 2 2 2 3 2 2" xfId="14894"/>
    <cellStyle name="20% - Accent4 4 2 2 2 2 2 3 2 3" xfId="14895"/>
    <cellStyle name="20% - Accent4 4 2 2 2 2 2 3 3" xfId="14896"/>
    <cellStyle name="20% - Accent4 4 2 2 2 2 2 3 3 2" xfId="14897"/>
    <cellStyle name="20% - Accent4 4 2 2 2 2 2 3 3 3" xfId="14898"/>
    <cellStyle name="20% - Accent4 4 2 2 2 2 2 3 4" xfId="14899"/>
    <cellStyle name="20% - Accent4 4 2 2 2 2 2 3 4 2" xfId="14900"/>
    <cellStyle name="20% - Accent4 4 2 2 2 2 2 3 5" xfId="14901"/>
    <cellStyle name="20% - Accent4 4 2 2 2 2 2 3 6" xfId="14902"/>
    <cellStyle name="20% - Accent4 4 2 2 2 2 2 4" xfId="14903"/>
    <cellStyle name="20% - Accent4 4 2 2 2 2 2 4 2" xfId="14904"/>
    <cellStyle name="20% - Accent4 4 2 2 2 2 2 4 2 2" xfId="14905"/>
    <cellStyle name="20% - Accent4 4 2 2 2 2 2 4 2 3" xfId="14906"/>
    <cellStyle name="20% - Accent4 4 2 2 2 2 2 4 3" xfId="14907"/>
    <cellStyle name="20% - Accent4 4 2 2 2 2 2 4 3 2" xfId="14908"/>
    <cellStyle name="20% - Accent4 4 2 2 2 2 2 4 4" xfId="14909"/>
    <cellStyle name="20% - Accent4 4 2 2 2 2 2 4 5" xfId="14910"/>
    <cellStyle name="20% - Accent4 4 2 2 2 2 2 5" xfId="14911"/>
    <cellStyle name="20% - Accent4 4 2 2 2 2 2 5 2" xfId="14912"/>
    <cellStyle name="20% - Accent4 4 2 2 2 2 2 5 3" xfId="14913"/>
    <cellStyle name="20% - Accent4 4 2 2 2 2 2 6" xfId="14914"/>
    <cellStyle name="20% - Accent4 4 2 2 2 2 2 6 2" xfId="14915"/>
    <cellStyle name="20% - Accent4 4 2 2 2 2 2 6 3" xfId="14916"/>
    <cellStyle name="20% - Accent4 4 2 2 2 2 2 7" xfId="14917"/>
    <cellStyle name="20% - Accent4 4 2 2 2 2 2 7 2" xfId="14918"/>
    <cellStyle name="20% - Accent4 4 2 2 2 2 2 8" xfId="14919"/>
    <cellStyle name="20% - Accent4 4 2 2 2 2 2 9" xfId="14920"/>
    <cellStyle name="20% - Accent4 4 2 2 2 2 3" xfId="841"/>
    <cellStyle name="20% - Accent4 4 2 2 2 2 3 2" xfId="14921"/>
    <cellStyle name="20% - Accent4 4 2 2 2 2 3 2 2" xfId="14922"/>
    <cellStyle name="20% - Accent4 4 2 2 2 2 3 2 3" xfId="14923"/>
    <cellStyle name="20% - Accent4 4 2 2 2 2 3 3" xfId="14924"/>
    <cellStyle name="20% - Accent4 4 2 2 2 2 3 3 2" xfId="14925"/>
    <cellStyle name="20% - Accent4 4 2 2 2 2 3 3 3" xfId="14926"/>
    <cellStyle name="20% - Accent4 4 2 2 2 2 3 4" xfId="14927"/>
    <cellStyle name="20% - Accent4 4 2 2 2 2 3 4 2" xfId="14928"/>
    <cellStyle name="20% - Accent4 4 2 2 2 2 3 5" xfId="14929"/>
    <cellStyle name="20% - Accent4 4 2 2 2 2 3 6" xfId="14930"/>
    <cellStyle name="20% - Accent4 4 2 2 2 2 4" xfId="8881"/>
    <cellStyle name="20% - Accent4 4 2 2 2 2 4 2" xfId="14931"/>
    <cellStyle name="20% - Accent4 4 2 2 2 2 4 2 2" xfId="14932"/>
    <cellStyle name="20% - Accent4 4 2 2 2 2 4 2 3" xfId="14933"/>
    <cellStyle name="20% - Accent4 4 2 2 2 2 4 3" xfId="14934"/>
    <cellStyle name="20% - Accent4 4 2 2 2 2 4 3 2" xfId="14935"/>
    <cellStyle name="20% - Accent4 4 2 2 2 2 4 3 3" xfId="14936"/>
    <cellStyle name="20% - Accent4 4 2 2 2 2 4 4" xfId="14937"/>
    <cellStyle name="20% - Accent4 4 2 2 2 2 4 4 2" xfId="14938"/>
    <cellStyle name="20% - Accent4 4 2 2 2 2 4 5" xfId="14939"/>
    <cellStyle name="20% - Accent4 4 2 2 2 2 4 6" xfId="14940"/>
    <cellStyle name="20% - Accent4 4 2 2 2 2 5" xfId="14941"/>
    <cellStyle name="20% - Accent4 4 2 2 2 2 5 2" xfId="14942"/>
    <cellStyle name="20% - Accent4 4 2 2 2 2 5 2 2" xfId="14943"/>
    <cellStyle name="20% - Accent4 4 2 2 2 2 5 2 3" xfId="14944"/>
    <cellStyle name="20% - Accent4 4 2 2 2 2 5 3" xfId="14945"/>
    <cellStyle name="20% - Accent4 4 2 2 2 2 5 3 2" xfId="14946"/>
    <cellStyle name="20% - Accent4 4 2 2 2 2 5 4" xfId="14947"/>
    <cellStyle name="20% - Accent4 4 2 2 2 2 5 5" xfId="14948"/>
    <cellStyle name="20% - Accent4 4 2 2 2 2 6" xfId="14949"/>
    <cellStyle name="20% - Accent4 4 2 2 2 2 6 2" xfId="14950"/>
    <cellStyle name="20% - Accent4 4 2 2 2 2 6 3" xfId="14951"/>
    <cellStyle name="20% - Accent4 4 2 2 2 2 7" xfId="14952"/>
    <cellStyle name="20% - Accent4 4 2 2 2 2 7 2" xfId="14953"/>
    <cellStyle name="20% - Accent4 4 2 2 2 2 7 3" xfId="14954"/>
    <cellStyle name="20% - Accent4 4 2 2 2 2 8" xfId="14955"/>
    <cellStyle name="20% - Accent4 4 2 2 2 2 8 2" xfId="14956"/>
    <cellStyle name="20% - Accent4 4 2 2 2 2 9" xfId="14957"/>
    <cellStyle name="20% - Accent4 4 2 2 2 3" xfId="842"/>
    <cellStyle name="20% - Accent4 4 2 2 2 3 2" xfId="843"/>
    <cellStyle name="20% - Accent4 4 2 2 2 3 2 2" xfId="14958"/>
    <cellStyle name="20% - Accent4 4 2 2 2 3 2 2 2" xfId="14959"/>
    <cellStyle name="20% - Accent4 4 2 2 2 3 2 2 3" xfId="14960"/>
    <cellStyle name="20% - Accent4 4 2 2 2 3 2 3" xfId="14961"/>
    <cellStyle name="20% - Accent4 4 2 2 2 3 2 3 2" xfId="14962"/>
    <cellStyle name="20% - Accent4 4 2 2 2 3 2 3 3" xfId="14963"/>
    <cellStyle name="20% - Accent4 4 2 2 2 3 2 4" xfId="14964"/>
    <cellStyle name="20% - Accent4 4 2 2 2 3 2 4 2" xfId="14965"/>
    <cellStyle name="20% - Accent4 4 2 2 2 3 2 5" xfId="14966"/>
    <cellStyle name="20% - Accent4 4 2 2 2 3 2 6" xfId="14967"/>
    <cellStyle name="20% - Accent4 4 2 2 2 3 3" xfId="14968"/>
    <cellStyle name="20% - Accent4 4 2 2 2 3 3 2" xfId="14969"/>
    <cellStyle name="20% - Accent4 4 2 2 2 3 3 2 2" xfId="14970"/>
    <cellStyle name="20% - Accent4 4 2 2 2 3 3 2 3" xfId="14971"/>
    <cellStyle name="20% - Accent4 4 2 2 2 3 3 3" xfId="14972"/>
    <cellStyle name="20% - Accent4 4 2 2 2 3 3 3 2" xfId="14973"/>
    <cellStyle name="20% - Accent4 4 2 2 2 3 3 3 3" xfId="14974"/>
    <cellStyle name="20% - Accent4 4 2 2 2 3 3 4" xfId="14975"/>
    <cellStyle name="20% - Accent4 4 2 2 2 3 3 4 2" xfId="14976"/>
    <cellStyle name="20% - Accent4 4 2 2 2 3 3 5" xfId="14977"/>
    <cellStyle name="20% - Accent4 4 2 2 2 3 3 6" xfId="14978"/>
    <cellStyle name="20% - Accent4 4 2 2 2 3 4" xfId="14979"/>
    <cellStyle name="20% - Accent4 4 2 2 2 3 4 2" xfId="14980"/>
    <cellStyle name="20% - Accent4 4 2 2 2 3 4 2 2" xfId="14981"/>
    <cellStyle name="20% - Accent4 4 2 2 2 3 4 2 3" xfId="14982"/>
    <cellStyle name="20% - Accent4 4 2 2 2 3 4 3" xfId="14983"/>
    <cellStyle name="20% - Accent4 4 2 2 2 3 4 3 2" xfId="14984"/>
    <cellStyle name="20% - Accent4 4 2 2 2 3 4 4" xfId="14985"/>
    <cellStyle name="20% - Accent4 4 2 2 2 3 4 5" xfId="14986"/>
    <cellStyle name="20% - Accent4 4 2 2 2 3 5" xfId="14987"/>
    <cellStyle name="20% - Accent4 4 2 2 2 3 5 2" xfId="14988"/>
    <cellStyle name="20% - Accent4 4 2 2 2 3 5 3" xfId="14989"/>
    <cellStyle name="20% - Accent4 4 2 2 2 3 6" xfId="14990"/>
    <cellStyle name="20% - Accent4 4 2 2 2 3 6 2" xfId="14991"/>
    <cellStyle name="20% - Accent4 4 2 2 2 3 6 3" xfId="14992"/>
    <cellStyle name="20% - Accent4 4 2 2 2 3 7" xfId="14993"/>
    <cellStyle name="20% - Accent4 4 2 2 2 3 7 2" xfId="14994"/>
    <cellStyle name="20% - Accent4 4 2 2 2 3 8" xfId="14995"/>
    <cellStyle name="20% - Accent4 4 2 2 2 3 9" xfId="14996"/>
    <cellStyle name="20% - Accent4 4 2 2 2 4" xfId="844"/>
    <cellStyle name="20% - Accent4 4 2 2 2 4 2" xfId="14997"/>
    <cellStyle name="20% - Accent4 4 2 2 2 4 2 2" xfId="14998"/>
    <cellStyle name="20% - Accent4 4 2 2 2 4 2 2 2" xfId="14999"/>
    <cellStyle name="20% - Accent4 4 2 2 2 4 2 2 3" xfId="15000"/>
    <cellStyle name="20% - Accent4 4 2 2 2 4 2 3" xfId="15001"/>
    <cellStyle name="20% - Accent4 4 2 2 2 4 2 3 2" xfId="15002"/>
    <cellStyle name="20% - Accent4 4 2 2 2 4 2 3 3" xfId="15003"/>
    <cellStyle name="20% - Accent4 4 2 2 2 4 2 4" xfId="15004"/>
    <cellStyle name="20% - Accent4 4 2 2 2 4 2 4 2" xfId="15005"/>
    <cellStyle name="20% - Accent4 4 2 2 2 4 2 5" xfId="15006"/>
    <cellStyle name="20% - Accent4 4 2 2 2 4 2 6" xfId="15007"/>
    <cellStyle name="20% - Accent4 4 2 2 2 4 3" xfId="15008"/>
    <cellStyle name="20% - Accent4 4 2 2 2 4 3 2" xfId="15009"/>
    <cellStyle name="20% - Accent4 4 2 2 2 4 3 2 2" xfId="15010"/>
    <cellStyle name="20% - Accent4 4 2 2 2 4 3 2 3" xfId="15011"/>
    <cellStyle name="20% - Accent4 4 2 2 2 4 3 3" xfId="15012"/>
    <cellStyle name="20% - Accent4 4 2 2 2 4 3 3 2" xfId="15013"/>
    <cellStyle name="20% - Accent4 4 2 2 2 4 3 3 3" xfId="15014"/>
    <cellStyle name="20% - Accent4 4 2 2 2 4 3 4" xfId="15015"/>
    <cellStyle name="20% - Accent4 4 2 2 2 4 3 4 2" xfId="15016"/>
    <cellStyle name="20% - Accent4 4 2 2 2 4 3 5" xfId="15017"/>
    <cellStyle name="20% - Accent4 4 2 2 2 4 3 6" xfId="15018"/>
    <cellStyle name="20% - Accent4 4 2 2 2 4 4" xfId="15019"/>
    <cellStyle name="20% - Accent4 4 2 2 2 4 4 2" xfId="15020"/>
    <cellStyle name="20% - Accent4 4 2 2 2 4 4 2 2" xfId="15021"/>
    <cellStyle name="20% - Accent4 4 2 2 2 4 4 2 3" xfId="15022"/>
    <cellStyle name="20% - Accent4 4 2 2 2 4 4 3" xfId="15023"/>
    <cellStyle name="20% - Accent4 4 2 2 2 4 4 3 2" xfId="15024"/>
    <cellStyle name="20% - Accent4 4 2 2 2 4 4 4" xfId="15025"/>
    <cellStyle name="20% - Accent4 4 2 2 2 4 4 5" xfId="15026"/>
    <cellStyle name="20% - Accent4 4 2 2 2 4 5" xfId="15027"/>
    <cellStyle name="20% - Accent4 4 2 2 2 4 5 2" xfId="15028"/>
    <cellStyle name="20% - Accent4 4 2 2 2 4 5 3" xfId="15029"/>
    <cellStyle name="20% - Accent4 4 2 2 2 4 6" xfId="15030"/>
    <cellStyle name="20% - Accent4 4 2 2 2 4 6 2" xfId="15031"/>
    <cellStyle name="20% - Accent4 4 2 2 2 4 6 3" xfId="15032"/>
    <cellStyle name="20% - Accent4 4 2 2 2 4 7" xfId="15033"/>
    <cellStyle name="20% - Accent4 4 2 2 2 4 7 2" xfId="15034"/>
    <cellStyle name="20% - Accent4 4 2 2 2 4 8" xfId="15035"/>
    <cellStyle name="20% - Accent4 4 2 2 2 4 9" xfId="15036"/>
    <cellStyle name="20% - Accent4 4 2 2 2 5" xfId="845"/>
    <cellStyle name="20% - Accent4 4 2 2 2 5 2" xfId="15037"/>
    <cellStyle name="20% - Accent4 4 2 2 2 5 2 2" xfId="15038"/>
    <cellStyle name="20% - Accent4 4 2 2 2 5 2 3" xfId="15039"/>
    <cellStyle name="20% - Accent4 4 2 2 2 5 3" xfId="15040"/>
    <cellStyle name="20% - Accent4 4 2 2 2 5 3 2" xfId="15041"/>
    <cellStyle name="20% - Accent4 4 2 2 2 5 3 3" xfId="15042"/>
    <cellStyle name="20% - Accent4 4 2 2 2 5 4" xfId="15043"/>
    <cellStyle name="20% - Accent4 4 2 2 2 5 4 2" xfId="15044"/>
    <cellStyle name="20% - Accent4 4 2 2 2 5 5" xfId="15045"/>
    <cellStyle name="20% - Accent4 4 2 2 2 5 6" xfId="15046"/>
    <cellStyle name="20% - Accent4 4 2 2 2 6" xfId="8882"/>
    <cellStyle name="20% - Accent4 4 2 2 2 6 2" xfId="15047"/>
    <cellStyle name="20% - Accent4 4 2 2 2 6 2 2" xfId="15048"/>
    <cellStyle name="20% - Accent4 4 2 2 2 6 2 3" xfId="15049"/>
    <cellStyle name="20% - Accent4 4 2 2 2 6 3" xfId="15050"/>
    <cellStyle name="20% - Accent4 4 2 2 2 6 3 2" xfId="15051"/>
    <cellStyle name="20% - Accent4 4 2 2 2 6 3 3" xfId="15052"/>
    <cellStyle name="20% - Accent4 4 2 2 2 6 4" xfId="15053"/>
    <cellStyle name="20% - Accent4 4 2 2 2 6 4 2" xfId="15054"/>
    <cellStyle name="20% - Accent4 4 2 2 2 6 5" xfId="15055"/>
    <cellStyle name="20% - Accent4 4 2 2 2 6 6" xfId="15056"/>
    <cellStyle name="20% - Accent4 4 2 2 2 7" xfId="15057"/>
    <cellStyle name="20% - Accent4 4 2 2 2 7 2" xfId="15058"/>
    <cellStyle name="20% - Accent4 4 2 2 2 7 2 2" xfId="15059"/>
    <cellStyle name="20% - Accent4 4 2 2 2 7 2 3" xfId="15060"/>
    <cellStyle name="20% - Accent4 4 2 2 2 7 3" xfId="15061"/>
    <cellStyle name="20% - Accent4 4 2 2 2 7 3 2" xfId="15062"/>
    <cellStyle name="20% - Accent4 4 2 2 2 7 4" xfId="15063"/>
    <cellStyle name="20% - Accent4 4 2 2 2 7 5" xfId="15064"/>
    <cellStyle name="20% - Accent4 4 2 2 2 8" xfId="15065"/>
    <cellStyle name="20% - Accent4 4 2 2 2 8 2" xfId="15066"/>
    <cellStyle name="20% - Accent4 4 2 2 2 8 3" xfId="15067"/>
    <cellStyle name="20% - Accent4 4 2 2 2 9" xfId="15068"/>
    <cellStyle name="20% - Accent4 4 2 2 2 9 2" xfId="15069"/>
    <cellStyle name="20% - Accent4 4 2 2 2 9 3" xfId="15070"/>
    <cellStyle name="20% - Accent4 4 2 2 3" xfId="846"/>
    <cellStyle name="20% - Accent4 4 2 2 3 10" xfId="15071"/>
    <cellStyle name="20% - Accent4 4 2 2 3 2" xfId="847"/>
    <cellStyle name="20% - Accent4 4 2 2 3 2 2" xfId="848"/>
    <cellStyle name="20% - Accent4 4 2 2 3 2 2 2" xfId="15072"/>
    <cellStyle name="20% - Accent4 4 2 2 3 2 2 2 2" xfId="15073"/>
    <cellStyle name="20% - Accent4 4 2 2 3 2 2 2 3" xfId="15074"/>
    <cellStyle name="20% - Accent4 4 2 2 3 2 2 3" xfId="15075"/>
    <cellStyle name="20% - Accent4 4 2 2 3 2 2 3 2" xfId="15076"/>
    <cellStyle name="20% - Accent4 4 2 2 3 2 2 3 3" xfId="15077"/>
    <cellStyle name="20% - Accent4 4 2 2 3 2 2 4" xfId="15078"/>
    <cellStyle name="20% - Accent4 4 2 2 3 2 2 4 2" xfId="15079"/>
    <cellStyle name="20% - Accent4 4 2 2 3 2 2 5" xfId="15080"/>
    <cellStyle name="20% - Accent4 4 2 2 3 2 2 6" xfId="15081"/>
    <cellStyle name="20% - Accent4 4 2 2 3 2 3" xfId="15082"/>
    <cellStyle name="20% - Accent4 4 2 2 3 2 3 2" xfId="15083"/>
    <cellStyle name="20% - Accent4 4 2 2 3 2 3 2 2" xfId="15084"/>
    <cellStyle name="20% - Accent4 4 2 2 3 2 3 2 3" xfId="15085"/>
    <cellStyle name="20% - Accent4 4 2 2 3 2 3 3" xfId="15086"/>
    <cellStyle name="20% - Accent4 4 2 2 3 2 3 3 2" xfId="15087"/>
    <cellStyle name="20% - Accent4 4 2 2 3 2 3 3 3" xfId="15088"/>
    <cellStyle name="20% - Accent4 4 2 2 3 2 3 4" xfId="15089"/>
    <cellStyle name="20% - Accent4 4 2 2 3 2 3 4 2" xfId="15090"/>
    <cellStyle name="20% - Accent4 4 2 2 3 2 3 5" xfId="15091"/>
    <cellStyle name="20% - Accent4 4 2 2 3 2 3 6" xfId="15092"/>
    <cellStyle name="20% - Accent4 4 2 2 3 2 4" xfId="15093"/>
    <cellStyle name="20% - Accent4 4 2 2 3 2 4 2" xfId="15094"/>
    <cellStyle name="20% - Accent4 4 2 2 3 2 4 2 2" xfId="15095"/>
    <cellStyle name="20% - Accent4 4 2 2 3 2 4 2 3" xfId="15096"/>
    <cellStyle name="20% - Accent4 4 2 2 3 2 4 3" xfId="15097"/>
    <cellStyle name="20% - Accent4 4 2 2 3 2 4 3 2" xfId="15098"/>
    <cellStyle name="20% - Accent4 4 2 2 3 2 4 4" xfId="15099"/>
    <cellStyle name="20% - Accent4 4 2 2 3 2 4 5" xfId="15100"/>
    <cellStyle name="20% - Accent4 4 2 2 3 2 5" xfId="15101"/>
    <cellStyle name="20% - Accent4 4 2 2 3 2 5 2" xfId="15102"/>
    <cellStyle name="20% - Accent4 4 2 2 3 2 5 3" xfId="15103"/>
    <cellStyle name="20% - Accent4 4 2 2 3 2 6" xfId="15104"/>
    <cellStyle name="20% - Accent4 4 2 2 3 2 6 2" xfId="15105"/>
    <cellStyle name="20% - Accent4 4 2 2 3 2 6 3" xfId="15106"/>
    <cellStyle name="20% - Accent4 4 2 2 3 2 7" xfId="15107"/>
    <cellStyle name="20% - Accent4 4 2 2 3 2 7 2" xfId="15108"/>
    <cellStyle name="20% - Accent4 4 2 2 3 2 8" xfId="15109"/>
    <cellStyle name="20% - Accent4 4 2 2 3 2 9" xfId="15110"/>
    <cellStyle name="20% - Accent4 4 2 2 3 3" xfId="849"/>
    <cellStyle name="20% - Accent4 4 2 2 3 3 2" xfId="15111"/>
    <cellStyle name="20% - Accent4 4 2 2 3 3 2 2" xfId="15112"/>
    <cellStyle name="20% - Accent4 4 2 2 3 3 2 3" xfId="15113"/>
    <cellStyle name="20% - Accent4 4 2 2 3 3 3" xfId="15114"/>
    <cellStyle name="20% - Accent4 4 2 2 3 3 3 2" xfId="15115"/>
    <cellStyle name="20% - Accent4 4 2 2 3 3 3 3" xfId="15116"/>
    <cellStyle name="20% - Accent4 4 2 2 3 3 4" xfId="15117"/>
    <cellStyle name="20% - Accent4 4 2 2 3 3 4 2" xfId="15118"/>
    <cellStyle name="20% - Accent4 4 2 2 3 3 5" xfId="15119"/>
    <cellStyle name="20% - Accent4 4 2 2 3 3 6" xfId="15120"/>
    <cellStyle name="20% - Accent4 4 2 2 3 4" xfId="8883"/>
    <cellStyle name="20% - Accent4 4 2 2 3 4 2" xfId="15121"/>
    <cellStyle name="20% - Accent4 4 2 2 3 4 2 2" xfId="15122"/>
    <cellStyle name="20% - Accent4 4 2 2 3 4 2 3" xfId="15123"/>
    <cellStyle name="20% - Accent4 4 2 2 3 4 3" xfId="15124"/>
    <cellStyle name="20% - Accent4 4 2 2 3 4 3 2" xfId="15125"/>
    <cellStyle name="20% - Accent4 4 2 2 3 4 3 3" xfId="15126"/>
    <cellStyle name="20% - Accent4 4 2 2 3 4 4" xfId="15127"/>
    <cellStyle name="20% - Accent4 4 2 2 3 4 4 2" xfId="15128"/>
    <cellStyle name="20% - Accent4 4 2 2 3 4 5" xfId="15129"/>
    <cellStyle name="20% - Accent4 4 2 2 3 4 6" xfId="15130"/>
    <cellStyle name="20% - Accent4 4 2 2 3 5" xfId="15131"/>
    <cellStyle name="20% - Accent4 4 2 2 3 5 2" xfId="15132"/>
    <cellStyle name="20% - Accent4 4 2 2 3 5 2 2" xfId="15133"/>
    <cellStyle name="20% - Accent4 4 2 2 3 5 2 3" xfId="15134"/>
    <cellStyle name="20% - Accent4 4 2 2 3 5 3" xfId="15135"/>
    <cellStyle name="20% - Accent4 4 2 2 3 5 3 2" xfId="15136"/>
    <cellStyle name="20% - Accent4 4 2 2 3 5 4" xfId="15137"/>
    <cellStyle name="20% - Accent4 4 2 2 3 5 5" xfId="15138"/>
    <cellStyle name="20% - Accent4 4 2 2 3 6" xfId="15139"/>
    <cellStyle name="20% - Accent4 4 2 2 3 6 2" xfId="15140"/>
    <cellStyle name="20% - Accent4 4 2 2 3 6 3" xfId="15141"/>
    <cellStyle name="20% - Accent4 4 2 2 3 7" xfId="15142"/>
    <cellStyle name="20% - Accent4 4 2 2 3 7 2" xfId="15143"/>
    <cellStyle name="20% - Accent4 4 2 2 3 7 3" xfId="15144"/>
    <cellStyle name="20% - Accent4 4 2 2 3 8" xfId="15145"/>
    <cellStyle name="20% - Accent4 4 2 2 3 8 2" xfId="15146"/>
    <cellStyle name="20% - Accent4 4 2 2 3 9" xfId="15147"/>
    <cellStyle name="20% - Accent4 4 2 2 4" xfId="850"/>
    <cellStyle name="20% - Accent4 4 2 2 4 2" xfId="851"/>
    <cellStyle name="20% - Accent4 4 2 2 4 2 2" xfId="15148"/>
    <cellStyle name="20% - Accent4 4 2 2 4 2 2 2" xfId="15149"/>
    <cellStyle name="20% - Accent4 4 2 2 4 2 2 3" xfId="15150"/>
    <cellStyle name="20% - Accent4 4 2 2 4 2 3" xfId="15151"/>
    <cellStyle name="20% - Accent4 4 2 2 4 2 3 2" xfId="15152"/>
    <cellStyle name="20% - Accent4 4 2 2 4 2 3 3" xfId="15153"/>
    <cellStyle name="20% - Accent4 4 2 2 4 2 4" xfId="15154"/>
    <cellStyle name="20% - Accent4 4 2 2 4 2 4 2" xfId="15155"/>
    <cellStyle name="20% - Accent4 4 2 2 4 2 5" xfId="15156"/>
    <cellStyle name="20% - Accent4 4 2 2 4 2 6" xfId="15157"/>
    <cellStyle name="20% - Accent4 4 2 2 4 3" xfId="15158"/>
    <cellStyle name="20% - Accent4 4 2 2 4 3 2" xfId="15159"/>
    <cellStyle name="20% - Accent4 4 2 2 4 3 2 2" xfId="15160"/>
    <cellStyle name="20% - Accent4 4 2 2 4 3 2 3" xfId="15161"/>
    <cellStyle name="20% - Accent4 4 2 2 4 3 3" xfId="15162"/>
    <cellStyle name="20% - Accent4 4 2 2 4 3 3 2" xfId="15163"/>
    <cellStyle name="20% - Accent4 4 2 2 4 3 3 3" xfId="15164"/>
    <cellStyle name="20% - Accent4 4 2 2 4 3 4" xfId="15165"/>
    <cellStyle name="20% - Accent4 4 2 2 4 3 4 2" xfId="15166"/>
    <cellStyle name="20% - Accent4 4 2 2 4 3 5" xfId="15167"/>
    <cellStyle name="20% - Accent4 4 2 2 4 3 6" xfId="15168"/>
    <cellStyle name="20% - Accent4 4 2 2 4 4" xfId="15169"/>
    <cellStyle name="20% - Accent4 4 2 2 4 4 2" xfId="15170"/>
    <cellStyle name="20% - Accent4 4 2 2 4 4 2 2" xfId="15171"/>
    <cellStyle name="20% - Accent4 4 2 2 4 4 2 3" xfId="15172"/>
    <cellStyle name="20% - Accent4 4 2 2 4 4 3" xfId="15173"/>
    <cellStyle name="20% - Accent4 4 2 2 4 4 3 2" xfId="15174"/>
    <cellStyle name="20% - Accent4 4 2 2 4 4 4" xfId="15175"/>
    <cellStyle name="20% - Accent4 4 2 2 4 4 5" xfId="15176"/>
    <cellStyle name="20% - Accent4 4 2 2 4 5" xfId="15177"/>
    <cellStyle name="20% - Accent4 4 2 2 4 5 2" xfId="15178"/>
    <cellStyle name="20% - Accent4 4 2 2 4 5 3" xfId="15179"/>
    <cellStyle name="20% - Accent4 4 2 2 4 6" xfId="15180"/>
    <cellStyle name="20% - Accent4 4 2 2 4 6 2" xfId="15181"/>
    <cellStyle name="20% - Accent4 4 2 2 4 6 3" xfId="15182"/>
    <cellStyle name="20% - Accent4 4 2 2 4 7" xfId="15183"/>
    <cellStyle name="20% - Accent4 4 2 2 4 7 2" xfId="15184"/>
    <cellStyle name="20% - Accent4 4 2 2 4 8" xfId="15185"/>
    <cellStyle name="20% - Accent4 4 2 2 4 9" xfId="15186"/>
    <cellStyle name="20% - Accent4 4 2 2 5" xfId="852"/>
    <cellStyle name="20% - Accent4 4 2 2 5 2" xfId="15187"/>
    <cellStyle name="20% - Accent4 4 2 2 5 2 2" xfId="15188"/>
    <cellStyle name="20% - Accent4 4 2 2 5 2 2 2" xfId="15189"/>
    <cellStyle name="20% - Accent4 4 2 2 5 2 2 3" xfId="15190"/>
    <cellStyle name="20% - Accent4 4 2 2 5 2 3" xfId="15191"/>
    <cellStyle name="20% - Accent4 4 2 2 5 2 3 2" xfId="15192"/>
    <cellStyle name="20% - Accent4 4 2 2 5 2 3 3" xfId="15193"/>
    <cellStyle name="20% - Accent4 4 2 2 5 2 4" xfId="15194"/>
    <cellStyle name="20% - Accent4 4 2 2 5 2 4 2" xfId="15195"/>
    <cellStyle name="20% - Accent4 4 2 2 5 2 5" xfId="15196"/>
    <cellStyle name="20% - Accent4 4 2 2 5 2 6" xfId="15197"/>
    <cellStyle name="20% - Accent4 4 2 2 5 3" xfId="15198"/>
    <cellStyle name="20% - Accent4 4 2 2 5 3 2" xfId="15199"/>
    <cellStyle name="20% - Accent4 4 2 2 5 3 2 2" xfId="15200"/>
    <cellStyle name="20% - Accent4 4 2 2 5 3 2 3" xfId="15201"/>
    <cellStyle name="20% - Accent4 4 2 2 5 3 3" xfId="15202"/>
    <cellStyle name="20% - Accent4 4 2 2 5 3 3 2" xfId="15203"/>
    <cellStyle name="20% - Accent4 4 2 2 5 3 3 3" xfId="15204"/>
    <cellStyle name="20% - Accent4 4 2 2 5 3 4" xfId="15205"/>
    <cellStyle name="20% - Accent4 4 2 2 5 3 4 2" xfId="15206"/>
    <cellStyle name="20% - Accent4 4 2 2 5 3 5" xfId="15207"/>
    <cellStyle name="20% - Accent4 4 2 2 5 3 6" xfId="15208"/>
    <cellStyle name="20% - Accent4 4 2 2 5 4" xfId="15209"/>
    <cellStyle name="20% - Accent4 4 2 2 5 4 2" xfId="15210"/>
    <cellStyle name="20% - Accent4 4 2 2 5 4 2 2" xfId="15211"/>
    <cellStyle name="20% - Accent4 4 2 2 5 4 2 3" xfId="15212"/>
    <cellStyle name="20% - Accent4 4 2 2 5 4 3" xfId="15213"/>
    <cellStyle name="20% - Accent4 4 2 2 5 4 3 2" xfId="15214"/>
    <cellStyle name="20% - Accent4 4 2 2 5 4 4" xfId="15215"/>
    <cellStyle name="20% - Accent4 4 2 2 5 4 5" xfId="15216"/>
    <cellStyle name="20% - Accent4 4 2 2 5 5" xfId="15217"/>
    <cellStyle name="20% - Accent4 4 2 2 5 5 2" xfId="15218"/>
    <cellStyle name="20% - Accent4 4 2 2 5 5 3" xfId="15219"/>
    <cellStyle name="20% - Accent4 4 2 2 5 6" xfId="15220"/>
    <cellStyle name="20% - Accent4 4 2 2 5 6 2" xfId="15221"/>
    <cellStyle name="20% - Accent4 4 2 2 5 6 3" xfId="15222"/>
    <cellStyle name="20% - Accent4 4 2 2 5 7" xfId="15223"/>
    <cellStyle name="20% - Accent4 4 2 2 5 7 2" xfId="15224"/>
    <cellStyle name="20% - Accent4 4 2 2 5 8" xfId="15225"/>
    <cellStyle name="20% - Accent4 4 2 2 5 9" xfId="15226"/>
    <cellStyle name="20% - Accent4 4 2 2 6" xfId="853"/>
    <cellStyle name="20% - Accent4 4 2 2 6 2" xfId="15227"/>
    <cellStyle name="20% - Accent4 4 2 2 6 2 2" xfId="15228"/>
    <cellStyle name="20% - Accent4 4 2 2 6 2 3" xfId="15229"/>
    <cellStyle name="20% - Accent4 4 2 2 6 3" xfId="15230"/>
    <cellStyle name="20% - Accent4 4 2 2 6 3 2" xfId="15231"/>
    <cellStyle name="20% - Accent4 4 2 2 6 3 3" xfId="15232"/>
    <cellStyle name="20% - Accent4 4 2 2 6 4" xfId="15233"/>
    <cellStyle name="20% - Accent4 4 2 2 6 4 2" xfId="15234"/>
    <cellStyle name="20% - Accent4 4 2 2 6 5" xfId="15235"/>
    <cellStyle name="20% - Accent4 4 2 2 6 6" xfId="15236"/>
    <cellStyle name="20% - Accent4 4 2 2 7" xfId="8884"/>
    <cellStyle name="20% - Accent4 4 2 2 7 2" xfId="15237"/>
    <cellStyle name="20% - Accent4 4 2 2 7 2 2" xfId="15238"/>
    <cellStyle name="20% - Accent4 4 2 2 7 2 3" xfId="15239"/>
    <cellStyle name="20% - Accent4 4 2 2 7 3" xfId="15240"/>
    <cellStyle name="20% - Accent4 4 2 2 7 3 2" xfId="15241"/>
    <cellStyle name="20% - Accent4 4 2 2 7 3 3" xfId="15242"/>
    <cellStyle name="20% - Accent4 4 2 2 7 4" xfId="15243"/>
    <cellStyle name="20% - Accent4 4 2 2 7 4 2" xfId="15244"/>
    <cellStyle name="20% - Accent4 4 2 2 7 5" xfId="15245"/>
    <cellStyle name="20% - Accent4 4 2 2 7 6" xfId="15246"/>
    <cellStyle name="20% - Accent4 4 2 2 8" xfId="15247"/>
    <cellStyle name="20% - Accent4 4 2 2 8 2" xfId="15248"/>
    <cellStyle name="20% - Accent4 4 2 2 8 2 2" xfId="15249"/>
    <cellStyle name="20% - Accent4 4 2 2 8 2 3" xfId="15250"/>
    <cellStyle name="20% - Accent4 4 2 2 8 3" xfId="15251"/>
    <cellStyle name="20% - Accent4 4 2 2 8 3 2" xfId="15252"/>
    <cellStyle name="20% - Accent4 4 2 2 8 4" xfId="15253"/>
    <cellStyle name="20% - Accent4 4 2 2 8 5" xfId="15254"/>
    <cellStyle name="20% - Accent4 4 2 2 9" xfId="15255"/>
    <cellStyle name="20% - Accent4 4 2 2 9 2" xfId="15256"/>
    <cellStyle name="20% - Accent4 4 2 2 9 3" xfId="15257"/>
    <cellStyle name="20% - Accent4 4 2 3" xfId="854"/>
    <cellStyle name="20% - Accent4 4 2 3 10" xfId="15258"/>
    <cellStyle name="20% - Accent4 4 2 3 10 2" xfId="15259"/>
    <cellStyle name="20% - Accent4 4 2 3 11" xfId="15260"/>
    <cellStyle name="20% - Accent4 4 2 3 12" xfId="15261"/>
    <cellStyle name="20% - Accent4 4 2 3 2" xfId="855"/>
    <cellStyle name="20% - Accent4 4 2 3 2 10" xfId="15262"/>
    <cellStyle name="20% - Accent4 4 2 3 2 2" xfId="856"/>
    <cellStyle name="20% - Accent4 4 2 3 2 2 2" xfId="857"/>
    <cellStyle name="20% - Accent4 4 2 3 2 2 2 2" xfId="15263"/>
    <cellStyle name="20% - Accent4 4 2 3 2 2 2 2 2" xfId="15264"/>
    <cellStyle name="20% - Accent4 4 2 3 2 2 2 2 3" xfId="15265"/>
    <cellStyle name="20% - Accent4 4 2 3 2 2 2 3" xfId="15266"/>
    <cellStyle name="20% - Accent4 4 2 3 2 2 2 3 2" xfId="15267"/>
    <cellStyle name="20% - Accent4 4 2 3 2 2 2 3 3" xfId="15268"/>
    <cellStyle name="20% - Accent4 4 2 3 2 2 2 4" xfId="15269"/>
    <cellStyle name="20% - Accent4 4 2 3 2 2 2 4 2" xfId="15270"/>
    <cellStyle name="20% - Accent4 4 2 3 2 2 2 5" xfId="15271"/>
    <cellStyle name="20% - Accent4 4 2 3 2 2 2 6" xfId="15272"/>
    <cellStyle name="20% - Accent4 4 2 3 2 2 3" xfId="15273"/>
    <cellStyle name="20% - Accent4 4 2 3 2 2 3 2" xfId="15274"/>
    <cellStyle name="20% - Accent4 4 2 3 2 2 3 2 2" xfId="15275"/>
    <cellStyle name="20% - Accent4 4 2 3 2 2 3 2 3" xfId="15276"/>
    <cellStyle name="20% - Accent4 4 2 3 2 2 3 3" xfId="15277"/>
    <cellStyle name="20% - Accent4 4 2 3 2 2 3 3 2" xfId="15278"/>
    <cellStyle name="20% - Accent4 4 2 3 2 2 3 3 3" xfId="15279"/>
    <cellStyle name="20% - Accent4 4 2 3 2 2 3 4" xfId="15280"/>
    <cellStyle name="20% - Accent4 4 2 3 2 2 3 4 2" xfId="15281"/>
    <cellStyle name="20% - Accent4 4 2 3 2 2 3 5" xfId="15282"/>
    <cellStyle name="20% - Accent4 4 2 3 2 2 3 6" xfId="15283"/>
    <cellStyle name="20% - Accent4 4 2 3 2 2 4" xfId="15284"/>
    <cellStyle name="20% - Accent4 4 2 3 2 2 4 2" xfId="15285"/>
    <cellStyle name="20% - Accent4 4 2 3 2 2 4 2 2" xfId="15286"/>
    <cellStyle name="20% - Accent4 4 2 3 2 2 4 2 3" xfId="15287"/>
    <cellStyle name="20% - Accent4 4 2 3 2 2 4 3" xfId="15288"/>
    <cellStyle name="20% - Accent4 4 2 3 2 2 4 3 2" xfId="15289"/>
    <cellStyle name="20% - Accent4 4 2 3 2 2 4 4" xfId="15290"/>
    <cellStyle name="20% - Accent4 4 2 3 2 2 4 5" xfId="15291"/>
    <cellStyle name="20% - Accent4 4 2 3 2 2 5" xfId="15292"/>
    <cellStyle name="20% - Accent4 4 2 3 2 2 5 2" xfId="15293"/>
    <cellStyle name="20% - Accent4 4 2 3 2 2 5 3" xfId="15294"/>
    <cellStyle name="20% - Accent4 4 2 3 2 2 6" xfId="15295"/>
    <cellStyle name="20% - Accent4 4 2 3 2 2 6 2" xfId="15296"/>
    <cellStyle name="20% - Accent4 4 2 3 2 2 6 3" xfId="15297"/>
    <cellStyle name="20% - Accent4 4 2 3 2 2 7" xfId="15298"/>
    <cellStyle name="20% - Accent4 4 2 3 2 2 7 2" xfId="15299"/>
    <cellStyle name="20% - Accent4 4 2 3 2 2 8" xfId="15300"/>
    <cellStyle name="20% - Accent4 4 2 3 2 2 9" xfId="15301"/>
    <cellStyle name="20% - Accent4 4 2 3 2 3" xfId="858"/>
    <cellStyle name="20% - Accent4 4 2 3 2 3 2" xfId="15302"/>
    <cellStyle name="20% - Accent4 4 2 3 2 3 2 2" xfId="15303"/>
    <cellStyle name="20% - Accent4 4 2 3 2 3 2 3" xfId="15304"/>
    <cellStyle name="20% - Accent4 4 2 3 2 3 3" xfId="15305"/>
    <cellStyle name="20% - Accent4 4 2 3 2 3 3 2" xfId="15306"/>
    <cellStyle name="20% - Accent4 4 2 3 2 3 3 3" xfId="15307"/>
    <cellStyle name="20% - Accent4 4 2 3 2 3 4" xfId="15308"/>
    <cellStyle name="20% - Accent4 4 2 3 2 3 4 2" xfId="15309"/>
    <cellStyle name="20% - Accent4 4 2 3 2 3 5" xfId="15310"/>
    <cellStyle name="20% - Accent4 4 2 3 2 3 6" xfId="15311"/>
    <cellStyle name="20% - Accent4 4 2 3 2 4" xfId="8885"/>
    <cellStyle name="20% - Accent4 4 2 3 2 4 2" xfId="15312"/>
    <cellStyle name="20% - Accent4 4 2 3 2 4 2 2" xfId="15313"/>
    <cellStyle name="20% - Accent4 4 2 3 2 4 2 3" xfId="15314"/>
    <cellStyle name="20% - Accent4 4 2 3 2 4 3" xfId="15315"/>
    <cellStyle name="20% - Accent4 4 2 3 2 4 3 2" xfId="15316"/>
    <cellStyle name="20% - Accent4 4 2 3 2 4 3 3" xfId="15317"/>
    <cellStyle name="20% - Accent4 4 2 3 2 4 4" xfId="15318"/>
    <cellStyle name="20% - Accent4 4 2 3 2 4 4 2" xfId="15319"/>
    <cellStyle name="20% - Accent4 4 2 3 2 4 5" xfId="15320"/>
    <cellStyle name="20% - Accent4 4 2 3 2 4 6" xfId="15321"/>
    <cellStyle name="20% - Accent4 4 2 3 2 5" xfId="15322"/>
    <cellStyle name="20% - Accent4 4 2 3 2 5 2" xfId="15323"/>
    <cellStyle name="20% - Accent4 4 2 3 2 5 2 2" xfId="15324"/>
    <cellStyle name="20% - Accent4 4 2 3 2 5 2 3" xfId="15325"/>
    <cellStyle name="20% - Accent4 4 2 3 2 5 3" xfId="15326"/>
    <cellStyle name="20% - Accent4 4 2 3 2 5 3 2" xfId="15327"/>
    <cellStyle name="20% - Accent4 4 2 3 2 5 4" xfId="15328"/>
    <cellStyle name="20% - Accent4 4 2 3 2 5 5" xfId="15329"/>
    <cellStyle name="20% - Accent4 4 2 3 2 6" xfId="15330"/>
    <cellStyle name="20% - Accent4 4 2 3 2 6 2" xfId="15331"/>
    <cellStyle name="20% - Accent4 4 2 3 2 6 3" xfId="15332"/>
    <cellStyle name="20% - Accent4 4 2 3 2 7" xfId="15333"/>
    <cellStyle name="20% - Accent4 4 2 3 2 7 2" xfId="15334"/>
    <cellStyle name="20% - Accent4 4 2 3 2 7 3" xfId="15335"/>
    <cellStyle name="20% - Accent4 4 2 3 2 8" xfId="15336"/>
    <cellStyle name="20% - Accent4 4 2 3 2 8 2" xfId="15337"/>
    <cellStyle name="20% - Accent4 4 2 3 2 9" xfId="15338"/>
    <cellStyle name="20% - Accent4 4 2 3 3" xfId="859"/>
    <cellStyle name="20% - Accent4 4 2 3 3 2" xfId="860"/>
    <cellStyle name="20% - Accent4 4 2 3 3 2 2" xfId="15339"/>
    <cellStyle name="20% - Accent4 4 2 3 3 2 2 2" xfId="15340"/>
    <cellStyle name="20% - Accent4 4 2 3 3 2 2 3" xfId="15341"/>
    <cellStyle name="20% - Accent4 4 2 3 3 2 3" xfId="15342"/>
    <cellStyle name="20% - Accent4 4 2 3 3 2 3 2" xfId="15343"/>
    <cellStyle name="20% - Accent4 4 2 3 3 2 3 3" xfId="15344"/>
    <cellStyle name="20% - Accent4 4 2 3 3 2 4" xfId="15345"/>
    <cellStyle name="20% - Accent4 4 2 3 3 2 4 2" xfId="15346"/>
    <cellStyle name="20% - Accent4 4 2 3 3 2 5" xfId="15347"/>
    <cellStyle name="20% - Accent4 4 2 3 3 2 6" xfId="15348"/>
    <cellStyle name="20% - Accent4 4 2 3 3 3" xfId="15349"/>
    <cellStyle name="20% - Accent4 4 2 3 3 3 2" xfId="15350"/>
    <cellStyle name="20% - Accent4 4 2 3 3 3 2 2" xfId="15351"/>
    <cellStyle name="20% - Accent4 4 2 3 3 3 2 3" xfId="15352"/>
    <cellStyle name="20% - Accent4 4 2 3 3 3 3" xfId="15353"/>
    <cellStyle name="20% - Accent4 4 2 3 3 3 3 2" xfId="15354"/>
    <cellStyle name="20% - Accent4 4 2 3 3 3 3 3" xfId="15355"/>
    <cellStyle name="20% - Accent4 4 2 3 3 3 4" xfId="15356"/>
    <cellStyle name="20% - Accent4 4 2 3 3 3 4 2" xfId="15357"/>
    <cellStyle name="20% - Accent4 4 2 3 3 3 5" xfId="15358"/>
    <cellStyle name="20% - Accent4 4 2 3 3 3 6" xfId="15359"/>
    <cellStyle name="20% - Accent4 4 2 3 3 4" xfId="15360"/>
    <cellStyle name="20% - Accent4 4 2 3 3 4 2" xfId="15361"/>
    <cellStyle name="20% - Accent4 4 2 3 3 4 2 2" xfId="15362"/>
    <cellStyle name="20% - Accent4 4 2 3 3 4 2 3" xfId="15363"/>
    <cellStyle name="20% - Accent4 4 2 3 3 4 3" xfId="15364"/>
    <cellStyle name="20% - Accent4 4 2 3 3 4 3 2" xfId="15365"/>
    <cellStyle name="20% - Accent4 4 2 3 3 4 4" xfId="15366"/>
    <cellStyle name="20% - Accent4 4 2 3 3 4 5" xfId="15367"/>
    <cellStyle name="20% - Accent4 4 2 3 3 5" xfId="15368"/>
    <cellStyle name="20% - Accent4 4 2 3 3 5 2" xfId="15369"/>
    <cellStyle name="20% - Accent4 4 2 3 3 5 3" xfId="15370"/>
    <cellStyle name="20% - Accent4 4 2 3 3 6" xfId="15371"/>
    <cellStyle name="20% - Accent4 4 2 3 3 6 2" xfId="15372"/>
    <cellStyle name="20% - Accent4 4 2 3 3 6 3" xfId="15373"/>
    <cellStyle name="20% - Accent4 4 2 3 3 7" xfId="15374"/>
    <cellStyle name="20% - Accent4 4 2 3 3 7 2" xfId="15375"/>
    <cellStyle name="20% - Accent4 4 2 3 3 8" xfId="15376"/>
    <cellStyle name="20% - Accent4 4 2 3 3 9" xfId="15377"/>
    <cellStyle name="20% - Accent4 4 2 3 4" xfId="861"/>
    <cellStyle name="20% - Accent4 4 2 3 4 2" xfId="15378"/>
    <cellStyle name="20% - Accent4 4 2 3 4 2 2" xfId="15379"/>
    <cellStyle name="20% - Accent4 4 2 3 4 2 2 2" xfId="15380"/>
    <cellStyle name="20% - Accent4 4 2 3 4 2 2 3" xfId="15381"/>
    <cellStyle name="20% - Accent4 4 2 3 4 2 3" xfId="15382"/>
    <cellStyle name="20% - Accent4 4 2 3 4 2 3 2" xfId="15383"/>
    <cellStyle name="20% - Accent4 4 2 3 4 2 3 3" xfId="15384"/>
    <cellStyle name="20% - Accent4 4 2 3 4 2 4" xfId="15385"/>
    <cellStyle name="20% - Accent4 4 2 3 4 2 4 2" xfId="15386"/>
    <cellStyle name="20% - Accent4 4 2 3 4 2 5" xfId="15387"/>
    <cellStyle name="20% - Accent4 4 2 3 4 2 6" xfId="15388"/>
    <cellStyle name="20% - Accent4 4 2 3 4 3" xfId="15389"/>
    <cellStyle name="20% - Accent4 4 2 3 4 3 2" xfId="15390"/>
    <cellStyle name="20% - Accent4 4 2 3 4 3 2 2" xfId="15391"/>
    <cellStyle name="20% - Accent4 4 2 3 4 3 2 3" xfId="15392"/>
    <cellStyle name="20% - Accent4 4 2 3 4 3 3" xfId="15393"/>
    <cellStyle name="20% - Accent4 4 2 3 4 3 3 2" xfId="15394"/>
    <cellStyle name="20% - Accent4 4 2 3 4 3 3 3" xfId="15395"/>
    <cellStyle name="20% - Accent4 4 2 3 4 3 4" xfId="15396"/>
    <cellStyle name="20% - Accent4 4 2 3 4 3 4 2" xfId="15397"/>
    <cellStyle name="20% - Accent4 4 2 3 4 3 5" xfId="15398"/>
    <cellStyle name="20% - Accent4 4 2 3 4 3 6" xfId="15399"/>
    <cellStyle name="20% - Accent4 4 2 3 4 4" xfId="15400"/>
    <cellStyle name="20% - Accent4 4 2 3 4 4 2" xfId="15401"/>
    <cellStyle name="20% - Accent4 4 2 3 4 4 2 2" xfId="15402"/>
    <cellStyle name="20% - Accent4 4 2 3 4 4 2 3" xfId="15403"/>
    <cellStyle name="20% - Accent4 4 2 3 4 4 3" xfId="15404"/>
    <cellStyle name="20% - Accent4 4 2 3 4 4 3 2" xfId="15405"/>
    <cellStyle name="20% - Accent4 4 2 3 4 4 4" xfId="15406"/>
    <cellStyle name="20% - Accent4 4 2 3 4 4 5" xfId="15407"/>
    <cellStyle name="20% - Accent4 4 2 3 4 5" xfId="15408"/>
    <cellStyle name="20% - Accent4 4 2 3 4 5 2" xfId="15409"/>
    <cellStyle name="20% - Accent4 4 2 3 4 5 3" xfId="15410"/>
    <cellStyle name="20% - Accent4 4 2 3 4 6" xfId="15411"/>
    <cellStyle name="20% - Accent4 4 2 3 4 6 2" xfId="15412"/>
    <cellStyle name="20% - Accent4 4 2 3 4 6 3" xfId="15413"/>
    <cellStyle name="20% - Accent4 4 2 3 4 7" xfId="15414"/>
    <cellStyle name="20% - Accent4 4 2 3 4 7 2" xfId="15415"/>
    <cellStyle name="20% - Accent4 4 2 3 4 8" xfId="15416"/>
    <cellStyle name="20% - Accent4 4 2 3 4 9" xfId="15417"/>
    <cellStyle name="20% - Accent4 4 2 3 5" xfId="862"/>
    <cellStyle name="20% - Accent4 4 2 3 5 2" xfId="15418"/>
    <cellStyle name="20% - Accent4 4 2 3 5 2 2" xfId="15419"/>
    <cellStyle name="20% - Accent4 4 2 3 5 2 3" xfId="15420"/>
    <cellStyle name="20% - Accent4 4 2 3 5 3" xfId="15421"/>
    <cellStyle name="20% - Accent4 4 2 3 5 3 2" xfId="15422"/>
    <cellStyle name="20% - Accent4 4 2 3 5 3 3" xfId="15423"/>
    <cellStyle name="20% - Accent4 4 2 3 5 4" xfId="15424"/>
    <cellStyle name="20% - Accent4 4 2 3 5 4 2" xfId="15425"/>
    <cellStyle name="20% - Accent4 4 2 3 5 5" xfId="15426"/>
    <cellStyle name="20% - Accent4 4 2 3 5 6" xfId="15427"/>
    <cellStyle name="20% - Accent4 4 2 3 6" xfId="8886"/>
    <cellStyle name="20% - Accent4 4 2 3 6 2" xfId="15428"/>
    <cellStyle name="20% - Accent4 4 2 3 6 2 2" xfId="15429"/>
    <cellStyle name="20% - Accent4 4 2 3 6 2 3" xfId="15430"/>
    <cellStyle name="20% - Accent4 4 2 3 6 3" xfId="15431"/>
    <cellStyle name="20% - Accent4 4 2 3 6 3 2" xfId="15432"/>
    <cellStyle name="20% - Accent4 4 2 3 6 3 3" xfId="15433"/>
    <cellStyle name="20% - Accent4 4 2 3 6 4" xfId="15434"/>
    <cellStyle name="20% - Accent4 4 2 3 6 4 2" xfId="15435"/>
    <cellStyle name="20% - Accent4 4 2 3 6 5" xfId="15436"/>
    <cellStyle name="20% - Accent4 4 2 3 6 6" xfId="15437"/>
    <cellStyle name="20% - Accent4 4 2 3 7" xfId="15438"/>
    <cellStyle name="20% - Accent4 4 2 3 7 2" xfId="15439"/>
    <cellStyle name="20% - Accent4 4 2 3 7 2 2" xfId="15440"/>
    <cellStyle name="20% - Accent4 4 2 3 7 2 3" xfId="15441"/>
    <cellStyle name="20% - Accent4 4 2 3 7 3" xfId="15442"/>
    <cellStyle name="20% - Accent4 4 2 3 7 3 2" xfId="15443"/>
    <cellStyle name="20% - Accent4 4 2 3 7 4" xfId="15444"/>
    <cellStyle name="20% - Accent4 4 2 3 7 5" xfId="15445"/>
    <cellStyle name="20% - Accent4 4 2 3 8" xfId="15446"/>
    <cellStyle name="20% - Accent4 4 2 3 8 2" xfId="15447"/>
    <cellStyle name="20% - Accent4 4 2 3 8 3" xfId="15448"/>
    <cellStyle name="20% - Accent4 4 2 3 9" xfId="15449"/>
    <cellStyle name="20% - Accent4 4 2 3 9 2" xfId="15450"/>
    <cellStyle name="20% - Accent4 4 2 3 9 3" xfId="15451"/>
    <cellStyle name="20% - Accent4 4 2 4" xfId="863"/>
    <cellStyle name="20% - Accent4 4 2 4 10" xfId="15452"/>
    <cellStyle name="20% - Accent4 4 2 4 2" xfId="864"/>
    <cellStyle name="20% - Accent4 4 2 4 2 2" xfId="865"/>
    <cellStyle name="20% - Accent4 4 2 4 2 2 2" xfId="15453"/>
    <cellStyle name="20% - Accent4 4 2 4 2 2 2 2" xfId="15454"/>
    <cellStyle name="20% - Accent4 4 2 4 2 2 2 3" xfId="15455"/>
    <cellStyle name="20% - Accent4 4 2 4 2 2 3" xfId="15456"/>
    <cellStyle name="20% - Accent4 4 2 4 2 2 3 2" xfId="15457"/>
    <cellStyle name="20% - Accent4 4 2 4 2 2 3 3" xfId="15458"/>
    <cellStyle name="20% - Accent4 4 2 4 2 2 4" xfId="15459"/>
    <cellStyle name="20% - Accent4 4 2 4 2 2 4 2" xfId="15460"/>
    <cellStyle name="20% - Accent4 4 2 4 2 2 5" xfId="15461"/>
    <cellStyle name="20% - Accent4 4 2 4 2 2 6" xfId="15462"/>
    <cellStyle name="20% - Accent4 4 2 4 2 3" xfId="15463"/>
    <cellStyle name="20% - Accent4 4 2 4 2 3 2" xfId="15464"/>
    <cellStyle name="20% - Accent4 4 2 4 2 3 2 2" xfId="15465"/>
    <cellStyle name="20% - Accent4 4 2 4 2 3 2 3" xfId="15466"/>
    <cellStyle name="20% - Accent4 4 2 4 2 3 3" xfId="15467"/>
    <cellStyle name="20% - Accent4 4 2 4 2 3 3 2" xfId="15468"/>
    <cellStyle name="20% - Accent4 4 2 4 2 3 3 3" xfId="15469"/>
    <cellStyle name="20% - Accent4 4 2 4 2 3 4" xfId="15470"/>
    <cellStyle name="20% - Accent4 4 2 4 2 3 4 2" xfId="15471"/>
    <cellStyle name="20% - Accent4 4 2 4 2 3 5" xfId="15472"/>
    <cellStyle name="20% - Accent4 4 2 4 2 3 6" xfId="15473"/>
    <cellStyle name="20% - Accent4 4 2 4 2 4" xfId="15474"/>
    <cellStyle name="20% - Accent4 4 2 4 2 4 2" xfId="15475"/>
    <cellStyle name="20% - Accent4 4 2 4 2 4 2 2" xfId="15476"/>
    <cellStyle name="20% - Accent4 4 2 4 2 4 2 3" xfId="15477"/>
    <cellStyle name="20% - Accent4 4 2 4 2 4 3" xfId="15478"/>
    <cellStyle name="20% - Accent4 4 2 4 2 4 3 2" xfId="15479"/>
    <cellStyle name="20% - Accent4 4 2 4 2 4 4" xfId="15480"/>
    <cellStyle name="20% - Accent4 4 2 4 2 4 5" xfId="15481"/>
    <cellStyle name="20% - Accent4 4 2 4 2 5" xfId="15482"/>
    <cellStyle name="20% - Accent4 4 2 4 2 5 2" xfId="15483"/>
    <cellStyle name="20% - Accent4 4 2 4 2 5 3" xfId="15484"/>
    <cellStyle name="20% - Accent4 4 2 4 2 6" xfId="15485"/>
    <cellStyle name="20% - Accent4 4 2 4 2 6 2" xfId="15486"/>
    <cellStyle name="20% - Accent4 4 2 4 2 6 3" xfId="15487"/>
    <cellStyle name="20% - Accent4 4 2 4 2 7" xfId="15488"/>
    <cellStyle name="20% - Accent4 4 2 4 2 7 2" xfId="15489"/>
    <cellStyle name="20% - Accent4 4 2 4 2 8" xfId="15490"/>
    <cellStyle name="20% - Accent4 4 2 4 2 9" xfId="15491"/>
    <cellStyle name="20% - Accent4 4 2 4 3" xfId="866"/>
    <cellStyle name="20% - Accent4 4 2 4 3 2" xfId="15492"/>
    <cellStyle name="20% - Accent4 4 2 4 3 2 2" xfId="15493"/>
    <cellStyle name="20% - Accent4 4 2 4 3 2 3" xfId="15494"/>
    <cellStyle name="20% - Accent4 4 2 4 3 3" xfId="15495"/>
    <cellStyle name="20% - Accent4 4 2 4 3 3 2" xfId="15496"/>
    <cellStyle name="20% - Accent4 4 2 4 3 3 3" xfId="15497"/>
    <cellStyle name="20% - Accent4 4 2 4 3 4" xfId="15498"/>
    <cellStyle name="20% - Accent4 4 2 4 3 4 2" xfId="15499"/>
    <cellStyle name="20% - Accent4 4 2 4 3 5" xfId="15500"/>
    <cellStyle name="20% - Accent4 4 2 4 3 6" xfId="15501"/>
    <cellStyle name="20% - Accent4 4 2 4 4" xfId="8887"/>
    <cellStyle name="20% - Accent4 4 2 4 4 2" xfId="15502"/>
    <cellStyle name="20% - Accent4 4 2 4 4 2 2" xfId="15503"/>
    <cellStyle name="20% - Accent4 4 2 4 4 2 3" xfId="15504"/>
    <cellStyle name="20% - Accent4 4 2 4 4 3" xfId="15505"/>
    <cellStyle name="20% - Accent4 4 2 4 4 3 2" xfId="15506"/>
    <cellStyle name="20% - Accent4 4 2 4 4 3 3" xfId="15507"/>
    <cellStyle name="20% - Accent4 4 2 4 4 4" xfId="15508"/>
    <cellStyle name="20% - Accent4 4 2 4 4 4 2" xfId="15509"/>
    <cellStyle name="20% - Accent4 4 2 4 4 5" xfId="15510"/>
    <cellStyle name="20% - Accent4 4 2 4 4 6" xfId="15511"/>
    <cellStyle name="20% - Accent4 4 2 4 5" xfId="15512"/>
    <cellStyle name="20% - Accent4 4 2 4 5 2" xfId="15513"/>
    <cellStyle name="20% - Accent4 4 2 4 5 2 2" xfId="15514"/>
    <cellStyle name="20% - Accent4 4 2 4 5 2 3" xfId="15515"/>
    <cellStyle name="20% - Accent4 4 2 4 5 3" xfId="15516"/>
    <cellStyle name="20% - Accent4 4 2 4 5 3 2" xfId="15517"/>
    <cellStyle name="20% - Accent4 4 2 4 5 4" xfId="15518"/>
    <cellStyle name="20% - Accent4 4 2 4 5 5" xfId="15519"/>
    <cellStyle name="20% - Accent4 4 2 4 6" xfId="15520"/>
    <cellStyle name="20% - Accent4 4 2 4 6 2" xfId="15521"/>
    <cellStyle name="20% - Accent4 4 2 4 6 3" xfId="15522"/>
    <cellStyle name="20% - Accent4 4 2 4 7" xfId="15523"/>
    <cellStyle name="20% - Accent4 4 2 4 7 2" xfId="15524"/>
    <cellStyle name="20% - Accent4 4 2 4 7 3" xfId="15525"/>
    <cellStyle name="20% - Accent4 4 2 4 8" xfId="15526"/>
    <cellStyle name="20% - Accent4 4 2 4 8 2" xfId="15527"/>
    <cellStyle name="20% - Accent4 4 2 4 9" xfId="15528"/>
    <cellStyle name="20% - Accent4 4 2 5" xfId="867"/>
    <cellStyle name="20% - Accent4 4 2 5 2" xfId="868"/>
    <cellStyle name="20% - Accent4 4 2 5 2 2" xfId="15529"/>
    <cellStyle name="20% - Accent4 4 2 5 2 2 2" xfId="15530"/>
    <cellStyle name="20% - Accent4 4 2 5 2 2 3" xfId="15531"/>
    <cellStyle name="20% - Accent4 4 2 5 2 3" xfId="15532"/>
    <cellStyle name="20% - Accent4 4 2 5 2 3 2" xfId="15533"/>
    <cellStyle name="20% - Accent4 4 2 5 2 3 3" xfId="15534"/>
    <cellStyle name="20% - Accent4 4 2 5 2 4" xfId="15535"/>
    <cellStyle name="20% - Accent4 4 2 5 2 4 2" xfId="15536"/>
    <cellStyle name="20% - Accent4 4 2 5 2 5" xfId="15537"/>
    <cellStyle name="20% - Accent4 4 2 5 2 6" xfId="15538"/>
    <cellStyle name="20% - Accent4 4 2 5 3" xfId="15539"/>
    <cellStyle name="20% - Accent4 4 2 5 3 2" xfId="15540"/>
    <cellStyle name="20% - Accent4 4 2 5 3 2 2" xfId="15541"/>
    <cellStyle name="20% - Accent4 4 2 5 3 2 3" xfId="15542"/>
    <cellStyle name="20% - Accent4 4 2 5 3 3" xfId="15543"/>
    <cellStyle name="20% - Accent4 4 2 5 3 3 2" xfId="15544"/>
    <cellStyle name="20% - Accent4 4 2 5 3 3 3" xfId="15545"/>
    <cellStyle name="20% - Accent4 4 2 5 3 4" xfId="15546"/>
    <cellStyle name="20% - Accent4 4 2 5 3 4 2" xfId="15547"/>
    <cellStyle name="20% - Accent4 4 2 5 3 5" xfId="15548"/>
    <cellStyle name="20% - Accent4 4 2 5 3 6" xfId="15549"/>
    <cellStyle name="20% - Accent4 4 2 5 4" xfId="15550"/>
    <cellStyle name="20% - Accent4 4 2 5 4 2" xfId="15551"/>
    <cellStyle name="20% - Accent4 4 2 5 4 2 2" xfId="15552"/>
    <cellStyle name="20% - Accent4 4 2 5 4 2 3" xfId="15553"/>
    <cellStyle name="20% - Accent4 4 2 5 4 3" xfId="15554"/>
    <cellStyle name="20% - Accent4 4 2 5 4 3 2" xfId="15555"/>
    <cellStyle name="20% - Accent4 4 2 5 4 4" xfId="15556"/>
    <cellStyle name="20% - Accent4 4 2 5 4 5" xfId="15557"/>
    <cellStyle name="20% - Accent4 4 2 5 5" xfId="15558"/>
    <cellStyle name="20% - Accent4 4 2 5 5 2" xfId="15559"/>
    <cellStyle name="20% - Accent4 4 2 5 5 3" xfId="15560"/>
    <cellStyle name="20% - Accent4 4 2 5 6" xfId="15561"/>
    <cellStyle name="20% - Accent4 4 2 5 6 2" xfId="15562"/>
    <cellStyle name="20% - Accent4 4 2 5 6 3" xfId="15563"/>
    <cellStyle name="20% - Accent4 4 2 5 7" xfId="15564"/>
    <cellStyle name="20% - Accent4 4 2 5 7 2" xfId="15565"/>
    <cellStyle name="20% - Accent4 4 2 5 8" xfId="15566"/>
    <cellStyle name="20% - Accent4 4 2 5 9" xfId="15567"/>
    <cellStyle name="20% - Accent4 4 2 6" xfId="869"/>
    <cellStyle name="20% - Accent4 4 2 6 2" xfId="15568"/>
    <cellStyle name="20% - Accent4 4 2 6 2 2" xfId="15569"/>
    <cellStyle name="20% - Accent4 4 2 6 2 2 2" xfId="15570"/>
    <cellStyle name="20% - Accent4 4 2 6 2 2 3" xfId="15571"/>
    <cellStyle name="20% - Accent4 4 2 6 2 3" xfId="15572"/>
    <cellStyle name="20% - Accent4 4 2 6 2 3 2" xfId="15573"/>
    <cellStyle name="20% - Accent4 4 2 6 2 3 3" xfId="15574"/>
    <cellStyle name="20% - Accent4 4 2 6 2 4" xfId="15575"/>
    <cellStyle name="20% - Accent4 4 2 6 2 4 2" xfId="15576"/>
    <cellStyle name="20% - Accent4 4 2 6 2 5" xfId="15577"/>
    <cellStyle name="20% - Accent4 4 2 6 2 6" xfId="15578"/>
    <cellStyle name="20% - Accent4 4 2 6 3" xfId="15579"/>
    <cellStyle name="20% - Accent4 4 2 6 3 2" xfId="15580"/>
    <cellStyle name="20% - Accent4 4 2 6 3 2 2" xfId="15581"/>
    <cellStyle name="20% - Accent4 4 2 6 3 2 3" xfId="15582"/>
    <cellStyle name="20% - Accent4 4 2 6 3 3" xfId="15583"/>
    <cellStyle name="20% - Accent4 4 2 6 3 3 2" xfId="15584"/>
    <cellStyle name="20% - Accent4 4 2 6 3 3 3" xfId="15585"/>
    <cellStyle name="20% - Accent4 4 2 6 3 4" xfId="15586"/>
    <cellStyle name="20% - Accent4 4 2 6 3 4 2" xfId="15587"/>
    <cellStyle name="20% - Accent4 4 2 6 3 5" xfId="15588"/>
    <cellStyle name="20% - Accent4 4 2 6 3 6" xfId="15589"/>
    <cellStyle name="20% - Accent4 4 2 6 4" xfId="15590"/>
    <cellStyle name="20% - Accent4 4 2 6 4 2" xfId="15591"/>
    <cellStyle name="20% - Accent4 4 2 6 4 2 2" xfId="15592"/>
    <cellStyle name="20% - Accent4 4 2 6 4 2 3" xfId="15593"/>
    <cellStyle name="20% - Accent4 4 2 6 4 3" xfId="15594"/>
    <cellStyle name="20% - Accent4 4 2 6 4 3 2" xfId="15595"/>
    <cellStyle name="20% - Accent4 4 2 6 4 4" xfId="15596"/>
    <cellStyle name="20% - Accent4 4 2 6 4 5" xfId="15597"/>
    <cellStyle name="20% - Accent4 4 2 6 5" xfId="15598"/>
    <cellStyle name="20% - Accent4 4 2 6 5 2" xfId="15599"/>
    <cellStyle name="20% - Accent4 4 2 6 5 3" xfId="15600"/>
    <cellStyle name="20% - Accent4 4 2 6 6" xfId="15601"/>
    <cellStyle name="20% - Accent4 4 2 6 6 2" xfId="15602"/>
    <cellStyle name="20% - Accent4 4 2 6 6 3" xfId="15603"/>
    <cellStyle name="20% - Accent4 4 2 6 7" xfId="15604"/>
    <cellStyle name="20% - Accent4 4 2 6 7 2" xfId="15605"/>
    <cellStyle name="20% - Accent4 4 2 6 8" xfId="15606"/>
    <cellStyle name="20% - Accent4 4 2 6 9" xfId="15607"/>
    <cellStyle name="20% - Accent4 4 2 7" xfId="870"/>
    <cellStyle name="20% - Accent4 4 2 7 2" xfId="15608"/>
    <cellStyle name="20% - Accent4 4 2 7 2 2" xfId="15609"/>
    <cellStyle name="20% - Accent4 4 2 7 2 3" xfId="15610"/>
    <cellStyle name="20% - Accent4 4 2 7 3" xfId="15611"/>
    <cellStyle name="20% - Accent4 4 2 7 3 2" xfId="15612"/>
    <cellStyle name="20% - Accent4 4 2 7 3 3" xfId="15613"/>
    <cellStyle name="20% - Accent4 4 2 7 4" xfId="15614"/>
    <cellStyle name="20% - Accent4 4 2 7 4 2" xfId="15615"/>
    <cellStyle name="20% - Accent4 4 2 7 5" xfId="15616"/>
    <cellStyle name="20% - Accent4 4 2 7 6" xfId="15617"/>
    <cellStyle name="20% - Accent4 4 2 8" xfId="8888"/>
    <cellStyle name="20% - Accent4 4 2 8 2" xfId="15618"/>
    <cellStyle name="20% - Accent4 4 2 8 2 2" xfId="15619"/>
    <cellStyle name="20% - Accent4 4 2 8 2 3" xfId="15620"/>
    <cellStyle name="20% - Accent4 4 2 8 3" xfId="15621"/>
    <cellStyle name="20% - Accent4 4 2 8 3 2" xfId="15622"/>
    <cellStyle name="20% - Accent4 4 2 8 3 3" xfId="15623"/>
    <cellStyle name="20% - Accent4 4 2 8 4" xfId="15624"/>
    <cellStyle name="20% - Accent4 4 2 8 4 2" xfId="15625"/>
    <cellStyle name="20% - Accent4 4 2 8 5" xfId="15626"/>
    <cellStyle name="20% - Accent4 4 2 8 6" xfId="15627"/>
    <cellStyle name="20% - Accent4 4 2 9" xfId="15628"/>
    <cellStyle name="20% - Accent4 4 2 9 2" xfId="15629"/>
    <cellStyle name="20% - Accent4 4 2 9 2 2" xfId="15630"/>
    <cellStyle name="20% - Accent4 4 2 9 2 3" xfId="15631"/>
    <cellStyle name="20% - Accent4 4 2 9 3" xfId="15632"/>
    <cellStyle name="20% - Accent4 4 2 9 3 2" xfId="15633"/>
    <cellStyle name="20% - Accent4 4 2 9 4" xfId="15634"/>
    <cellStyle name="20% - Accent4 4 2 9 5" xfId="15635"/>
    <cellStyle name="20% - Accent4 4 3" xfId="871"/>
    <cellStyle name="20% - Accent4 4 3 10" xfId="15636"/>
    <cellStyle name="20% - Accent4 4 3 10 2" xfId="15637"/>
    <cellStyle name="20% - Accent4 4 3 10 3" xfId="15638"/>
    <cellStyle name="20% - Accent4 4 3 11" xfId="15639"/>
    <cellStyle name="20% - Accent4 4 3 11 2" xfId="15640"/>
    <cellStyle name="20% - Accent4 4 3 12" xfId="15641"/>
    <cellStyle name="20% - Accent4 4 3 13" xfId="15642"/>
    <cellStyle name="20% - Accent4 4 3 14" xfId="15643"/>
    <cellStyle name="20% - Accent4 4 3 2" xfId="872"/>
    <cellStyle name="20% - Accent4 4 3 2 10" xfId="15644"/>
    <cellStyle name="20% - Accent4 4 3 2 10 2" xfId="15645"/>
    <cellStyle name="20% - Accent4 4 3 2 11" xfId="15646"/>
    <cellStyle name="20% - Accent4 4 3 2 12" xfId="15647"/>
    <cellStyle name="20% - Accent4 4 3 2 2" xfId="873"/>
    <cellStyle name="20% - Accent4 4 3 2 2 10" xfId="15648"/>
    <cellStyle name="20% - Accent4 4 3 2 2 2" xfId="874"/>
    <cellStyle name="20% - Accent4 4 3 2 2 2 2" xfId="875"/>
    <cellStyle name="20% - Accent4 4 3 2 2 2 2 2" xfId="15649"/>
    <cellStyle name="20% - Accent4 4 3 2 2 2 2 2 2" xfId="15650"/>
    <cellStyle name="20% - Accent4 4 3 2 2 2 2 2 3" xfId="15651"/>
    <cellStyle name="20% - Accent4 4 3 2 2 2 2 3" xfId="15652"/>
    <cellStyle name="20% - Accent4 4 3 2 2 2 2 3 2" xfId="15653"/>
    <cellStyle name="20% - Accent4 4 3 2 2 2 2 3 3" xfId="15654"/>
    <cellStyle name="20% - Accent4 4 3 2 2 2 2 4" xfId="15655"/>
    <cellStyle name="20% - Accent4 4 3 2 2 2 2 4 2" xfId="15656"/>
    <cellStyle name="20% - Accent4 4 3 2 2 2 2 5" xfId="15657"/>
    <cellStyle name="20% - Accent4 4 3 2 2 2 2 6" xfId="15658"/>
    <cellStyle name="20% - Accent4 4 3 2 2 2 3" xfId="8889"/>
    <cellStyle name="20% - Accent4 4 3 2 2 2 3 2" xfId="15659"/>
    <cellStyle name="20% - Accent4 4 3 2 2 2 3 2 2" xfId="15660"/>
    <cellStyle name="20% - Accent4 4 3 2 2 2 3 2 3" xfId="15661"/>
    <cellStyle name="20% - Accent4 4 3 2 2 2 3 3" xfId="15662"/>
    <cellStyle name="20% - Accent4 4 3 2 2 2 3 3 2" xfId="15663"/>
    <cellStyle name="20% - Accent4 4 3 2 2 2 3 3 3" xfId="15664"/>
    <cellStyle name="20% - Accent4 4 3 2 2 2 3 4" xfId="15665"/>
    <cellStyle name="20% - Accent4 4 3 2 2 2 3 4 2" xfId="15666"/>
    <cellStyle name="20% - Accent4 4 3 2 2 2 3 5" xfId="15667"/>
    <cellStyle name="20% - Accent4 4 3 2 2 2 3 6" xfId="15668"/>
    <cellStyle name="20% - Accent4 4 3 2 2 2 4" xfId="15669"/>
    <cellStyle name="20% - Accent4 4 3 2 2 2 4 2" xfId="15670"/>
    <cellStyle name="20% - Accent4 4 3 2 2 2 4 2 2" xfId="15671"/>
    <cellStyle name="20% - Accent4 4 3 2 2 2 4 2 3" xfId="15672"/>
    <cellStyle name="20% - Accent4 4 3 2 2 2 4 3" xfId="15673"/>
    <cellStyle name="20% - Accent4 4 3 2 2 2 4 3 2" xfId="15674"/>
    <cellStyle name="20% - Accent4 4 3 2 2 2 4 4" xfId="15675"/>
    <cellStyle name="20% - Accent4 4 3 2 2 2 4 5" xfId="15676"/>
    <cellStyle name="20% - Accent4 4 3 2 2 2 5" xfId="15677"/>
    <cellStyle name="20% - Accent4 4 3 2 2 2 5 2" xfId="15678"/>
    <cellStyle name="20% - Accent4 4 3 2 2 2 5 3" xfId="15679"/>
    <cellStyle name="20% - Accent4 4 3 2 2 2 6" xfId="15680"/>
    <cellStyle name="20% - Accent4 4 3 2 2 2 6 2" xfId="15681"/>
    <cellStyle name="20% - Accent4 4 3 2 2 2 6 3" xfId="15682"/>
    <cellStyle name="20% - Accent4 4 3 2 2 2 7" xfId="15683"/>
    <cellStyle name="20% - Accent4 4 3 2 2 2 7 2" xfId="15684"/>
    <cellStyle name="20% - Accent4 4 3 2 2 2 8" xfId="15685"/>
    <cellStyle name="20% - Accent4 4 3 2 2 2 9" xfId="15686"/>
    <cellStyle name="20% - Accent4 4 3 2 2 3" xfId="876"/>
    <cellStyle name="20% - Accent4 4 3 2 2 3 2" xfId="15687"/>
    <cellStyle name="20% - Accent4 4 3 2 2 3 2 2" xfId="15688"/>
    <cellStyle name="20% - Accent4 4 3 2 2 3 2 3" xfId="15689"/>
    <cellStyle name="20% - Accent4 4 3 2 2 3 3" xfId="15690"/>
    <cellStyle name="20% - Accent4 4 3 2 2 3 3 2" xfId="15691"/>
    <cellStyle name="20% - Accent4 4 3 2 2 3 3 3" xfId="15692"/>
    <cellStyle name="20% - Accent4 4 3 2 2 3 4" xfId="15693"/>
    <cellStyle name="20% - Accent4 4 3 2 2 3 4 2" xfId="15694"/>
    <cellStyle name="20% - Accent4 4 3 2 2 3 5" xfId="15695"/>
    <cellStyle name="20% - Accent4 4 3 2 2 3 6" xfId="15696"/>
    <cellStyle name="20% - Accent4 4 3 2 2 4" xfId="877"/>
    <cellStyle name="20% - Accent4 4 3 2 2 4 2" xfId="15697"/>
    <cellStyle name="20% - Accent4 4 3 2 2 4 2 2" xfId="15698"/>
    <cellStyle name="20% - Accent4 4 3 2 2 4 2 3" xfId="15699"/>
    <cellStyle name="20% - Accent4 4 3 2 2 4 3" xfId="15700"/>
    <cellStyle name="20% - Accent4 4 3 2 2 4 3 2" xfId="15701"/>
    <cellStyle name="20% - Accent4 4 3 2 2 4 3 3" xfId="15702"/>
    <cellStyle name="20% - Accent4 4 3 2 2 4 4" xfId="15703"/>
    <cellStyle name="20% - Accent4 4 3 2 2 4 4 2" xfId="15704"/>
    <cellStyle name="20% - Accent4 4 3 2 2 4 5" xfId="15705"/>
    <cellStyle name="20% - Accent4 4 3 2 2 4 6" xfId="15706"/>
    <cellStyle name="20% - Accent4 4 3 2 2 5" xfId="8890"/>
    <cellStyle name="20% - Accent4 4 3 2 2 5 2" xfId="15707"/>
    <cellStyle name="20% - Accent4 4 3 2 2 5 2 2" xfId="15708"/>
    <cellStyle name="20% - Accent4 4 3 2 2 5 2 3" xfId="15709"/>
    <cellStyle name="20% - Accent4 4 3 2 2 5 3" xfId="15710"/>
    <cellStyle name="20% - Accent4 4 3 2 2 5 3 2" xfId="15711"/>
    <cellStyle name="20% - Accent4 4 3 2 2 5 4" xfId="15712"/>
    <cellStyle name="20% - Accent4 4 3 2 2 5 5" xfId="15713"/>
    <cellStyle name="20% - Accent4 4 3 2 2 6" xfId="15714"/>
    <cellStyle name="20% - Accent4 4 3 2 2 6 2" xfId="15715"/>
    <cellStyle name="20% - Accent4 4 3 2 2 6 3" xfId="15716"/>
    <cellStyle name="20% - Accent4 4 3 2 2 7" xfId="15717"/>
    <cellStyle name="20% - Accent4 4 3 2 2 7 2" xfId="15718"/>
    <cellStyle name="20% - Accent4 4 3 2 2 7 3" xfId="15719"/>
    <cellStyle name="20% - Accent4 4 3 2 2 8" xfId="15720"/>
    <cellStyle name="20% - Accent4 4 3 2 2 8 2" xfId="15721"/>
    <cellStyle name="20% - Accent4 4 3 2 2 9" xfId="15722"/>
    <cellStyle name="20% - Accent4 4 3 2 3" xfId="878"/>
    <cellStyle name="20% - Accent4 4 3 2 3 2" xfId="879"/>
    <cellStyle name="20% - Accent4 4 3 2 3 2 2" xfId="15723"/>
    <cellStyle name="20% - Accent4 4 3 2 3 2 2 2" xfId="15724"/>
    <cellStyle name="20% - Accent4 4 3 2 3 2 2 3" xfId="15725"/>
    <cellStyle name="20% - Accent4 4 3 2 3 2 3" xfId="15726"/>
    <cellStyle name="20% - Accent4 4 3 2 3 2 3 2" xfId="15727"/>
    <cellStyle name="20% - Accent4 4 3 2 3 2 3 3" xfId="15728"/>
    <cellStyle name="20% - Accent4 4 3 2 3 2 4" xfId="15729"/>
    <cellStyle name="20% - Accent4 4 3 2 3 2 4 2" xfId="15730"/>
    <cellStyle name="20% - Accent4 4 3 2 3 2 5" xfId="15731"/>
    <cellStyle name="20% - Accent4 4 3 2 3 2 6" xfId="15732"/>
    <cellStyle name="20% - Accent4 4 3 2 3 3" xfId="8891"/>
    <cellStyle name="20% - Accent4 4 3 2 3 3 2" xfId="15733"/>
    <cellStyle name="20% - Accent4 4 3 2 3 3 2 2" xfId="15734"/>
    <cellStyle name="20% - Accent4 4 3 2 3 3 2 3" xfId="15735"/>
    <cellStyle name="20% - Accent4 4 3 2 3 3 3" xfId="15736"/>
    <cellStyle name="20% - Accent4 4 3 2 3 3 3 2" xfId="15737"/>
    <cellStyle name="20% - Accent4 4 3 2 3 3 3 3" xfId="15738"/>
    <cellStyle name="20% - Accent4 4 3 2 3 3 4" xfId="15739"/>
    <cellStyle name="20% - Accent4 4 3 2 3 3 4 2" xfId="15740"/>
    <cellStyle name="20% - Accent4 4 3 2 3 3 5" xfId="15741"/>
    <cellStyle name="20% - Accent4 4 3 2 3 3 6" xfId="15742"/>
    <cellStyle name="20% - Accent4 4 3 2 3 4" xfId="15743"/>
    <cellStyle name="20% - Accent4 4 3 2 3 4 2" xfId="15744"/>
    <cellStyle name="20% - Accent4 4 3 2 3 4 2 2" xfId="15745"/>
    <cellStyle name="20% - Accent4 4 3 2 3 4 2 3" xfId="15746"/>
    <cellStyle name="20% - Accent4 4 3 2 3 4 3" xfId="15747"/>
    <cellStyle name="20% - Accent4 4 3 2 3 4 3 2" xfId="15748"/>
    <cellStyle name="20% - Accent4 4 3 2 3 4 4" xfId="15749"/>
    <cellStyle name="20% - Accent4 4 3 2 3 4 5" xfId="15750"/>
    <cellStyle name="20% - Accent4 4 3 2 3 5" xfId="15751"/>
    <cellStyle name="20% - Accent4 4 3 2 3 5 2" xfId="15752"/>
    <cellStyle name="20% - Accent4 4 3 2 3 5 3" xfId="15753"/>
    <cellStyle name="20% - Accent4 4 3 2 3 6" xfId="15754"/>
    <cellStyle name="20% - Accent4 4 3 2 3 6 2" xfId="15755"/>
    <cellStyle name="20% - Accent4 4 3 2 3 6 3" xfId="15756"/>
    <cellStyle name="20% - Accent4 4 3 2 3 7" xfId="15757"/>
    <cellStyle name="20% - Accent4 4 3 2 3 7 2" xfId="15758"/>
    <cellStyle name="20% - Accent4 4 3 2 3 8" xfId="15759"/>
    <cellStyle name="20% - Accent4 4 3 2 3 9" xfId="15760"/>
    <cellStyle name="20% - Accent4 4 3 2 4" xfId="880"/>
    <cellStyle name="20% - Accent4 4 3 2 4 2" xfId="15761"/>
    <cellStyle name="20% - Accent4 4 3 2 4 2 2" xfId="15762"/>
    <cellStyle name="20% - Accent4 4 3 2 4 2 2 2" xfId="15763"/>
    <cellStyle name="20% - Accent4 4 3 2 4 2 2 3" xfId="15764"/>
    <cellStyle name="20% - Accent4 4 3 2 4 2 3" xfId="15765"/>
    <cellStyle name="20% - Accent4 4 3 2 4 2 3 2" xfId="15766"/>
    <cellStyle name="20% - Accent4 4 3 2 4 2 3 3" xfId="15767"/>
    <cellStyle name="20% - Accent4 4 3 2 4 2 4" xfId="15768"/>
    <cellStyle name="20% - Accent4 4 3 2 4 2 4 2" xfId="15769"/>
    <cellStyle name="20% - Accent4 4 3 2 4 2 5" xfId="15770"/>
    <cellStyle name="20% - Accent4 4 3 2 4 2 6" xfId="15771"/>
    <cellStyle name="20% - Accent4 4 3 2 4 3" xfId="15772"/>
    <cellStyle name="20% - Accent4 4 3 2 4 3 2" xfId="15773"/>
    <cellStyle name="20% - Accent4 4 3 2 4 3 2 2" xfId="15774"/>
    <cellStyle name="20% - Accent4 4 3 2 4 3 2 3" xfId="15775"/>
    <cellStyle name="20% - Accent4 4 3 2 4 3 3" xfId="15776"/>
    <cellStyle name="20% - Accent4 4 3 2 4 3 3 2" xfId="15777"/>
    <cellStyle name="20% - Accent4 4 3 2 4 3 3 3" xfId="15778"/>
    <cellStyle name="20% - Accent4 4 3 2 4 3 4" xfId="15779"/>
    <cellStyle name="20% - Accent4 4 3 2 4 3 4 2" xfId="15780"/>
    <cellStyle name="20% - Accent4 4 3 2 4 3 5" xfId="15781"/>
    <cellStyle name="20% - Accent4 4 3 2 4 3 6" xfId="15782"/>
    <cellStyle name="20% - Accent4 4 3 2 4 4" xfId="15783"/>
    <cellStyle name="20% - Accent4 4 3 2 4 4 2" xfId="15784"/>
    <cellStyle name="20% - Accent4 4 3 2 4 4 2 2" xfId="15785"/>
    <cellStyle name="20% - Accent4 4 3 2 4 4 2 3" xfId="15786"/>
    <cellStyle name="20% - Accent4 4 3 2 4 4 3" xfId="15787"/>
    <cellStyle name="20% - Accent4 4 3 2 4 4 3 2" xfId="15788"/>
    <cellStyle name="20% - Accent4 4 3 2 4 4 4" xfId="15789"/>
    <cellStyle name="20% - Accent4 4 3 2 4 4 5" xfId="15790"/>
    <cellStyle name="20% - Accent4 4 3 2 4 5" xfId="15791"/>
    <cellStyle name="20% - Accent4 4 3 2 4 5 2" xfId="15792"/>
    <cellStyle name="20% - Accent4 4 3 2 4 5 3" xfId="15793"/>
    <cellStyle name="20% - Accent4 4 3 2 4 6" xfId="15794"/>
    <cellStyle name="20% - Accent4 4 3 2 4 6 2" xfId="15795"/>
    <cellStyle name="20% - Accent4 4 3 2 4 6 3" xfId="15796"/>
    <cellStyle name="20% - Accent4 4 3 2 4 7" xfId="15797"/>
    <cellStyle name="20% - Accent4 4 3 2 4 7 2" xfId="15798"/>
    <cellStyle name="20% - Accent4 4 3 2 4 8" xfId="15799"/>
    <cellStyle name="20% - Accent4 4 3 2 4 9" xfId="15800"/>
    <cellStyle name="20% - Accent4 4 3 2 5" xfId="881"/>
    <cellStyle name="20% - Accent4 4 3 2 5 2" xfId="15801"/>
    <cellStyle name="20% - Accent4 4 3 2 5 2 2" xfId="15802"/>
    <cellStyle name="20% - Accent4 4 3 2 5 2 3" xfId="15803"/>
    <cellStyle name="20% - Accent4 4 3 2 5 3" xfId="15804"/>
    <cellStyle name="20% - Accent4 4 3 2 5 3 2" xfId="15805"/>
    <cellStyle name="20% - Accent4 4 3 2 5 3 3" xfId="15806"/>
    <cellStyle name="20% - Accent4 4 3 2 5 4" xfId="15807"/>
    <cellStyle name="20% - Accent4 4 3 2 5 4 2" xfId="15808"/>
    <cellStyle name="20% - Accent4 4 3 2 5 5" xfId="15809"/>
    <cellStyle name="20% - Accent4 4 3 2 5 6" xfId="15810"/>
    <cellStyle name="20% - Accent4 4 3 2 6" xfId="8892"/>
    <cellStyle name="20% - Accent4 4 3 2 6 2" xfId="15811"/>
    <cellStyle name="20% - Accent4 4 3 2 6 2 2" xfId="15812"/>
    <cellStyle name="20% - Accent4 4 3 2 6 2 3" xfId="15813"/>
    <cellStyle name="20% - Accent4 4 3 2 6 3" xfId="15814"/>
    <cellStyle name="20% - Accent4 4 3 2 6 3 2" xfId="15815"/>
    <cellStyle name="20% - Accent4 4 3 2 6 3 3" xfId="15816"/>
    <cellStyle name="20% - Accent4 4 3 2 6 4" xfId="15817"/>
    <cellStyle name="20% - Accent4 4 3 2 6 4 2" xfId="15818"/>
    <cellStyle name="20% - Accent4 4 3 2 6 5" xfId="15819"/>
    <cellStyle name="20% - Accent4 4 3 2 6 6" xfId="15820"/>
    <cellStyle name="20% - Accent4 4 3 2 7" xfId="15821"/>
    <cellStyle name="20% - Accent4 4 3 2 7 2" xfId="15822"/>
    <cellStyle name="20% - Accent4 4 3 2 7 2 2" xfId="15823"/>
    <cellStyle name="20% - Accent4 4 3 2 7 2 3" xfId="15824"/>
    <cellStyle name="20% - Accent4 4 3 2 7 3" xfId="15825"/>
    <cellStyle name="20% - Accent4 4 3 2 7 3 2" xfId="15826"/>
    <cellStyle name="20% - Accent4 4 3 2 7 4" xfId="15827"/>
    <cellStyle name="20% - Accent4 4 3 2 7 5" xfId="15828"/>
    <cellStyle name="20% - Accent4 4 3 2 8" xfId="15829"/>
    <cellStyle name="20% - Accent4 4 3 2 8 2" xfId="15830"/>
    <cellStyle name="20% - Accent4 4 3 2 8 3" xfId="15831"/>
    <cellStyle name="20% - Accent4 4 3 2 9" xfId="15832"/>
    <cellStyle name="20% - Accent4 4 3 2 9 2" xfId="15833"/>
    <cellStyle name="20% - Accent4 4 3 2 9 3" xfId="15834"/>
    <cellStyle name="20% - Accent4 4 3 3" xfId="882"/>
    <cellStyle name="20% - Accent4 4 3 3 10" xfId="15835"/>
    <cellStyle name="20% - Accent4 4 3 3 2" xfId="883"/>
    <cellStyle name="20% - Accent4 4 3 3 2 2" xfId="884"/>
    <cellStyle name="20% - Accent4 4 3 3 2 2 2" xfId="15836"/>
    <cellStyle name="20% - Accent4 4 3 3 2 2 2 2" xfId="15837"/>
    <cellStyle name="20% - Accent4 4 3 3 2 2 2 3" xfId="15838"/>
    <cellStyle name="20% - Accent4 4 3 3 2 2 3" xfId="15839"/>
    <cellStyle name="20% - Accent4 4 3 3 2 2 3 2" xfId="15840"/>
    <cellStyle name="20% - Accent4 4 3 3 2 2 3 3" xfId="15841"/>
    <cellStyle name="20% - Accent4 4 3 3 2 2 4" xfId="15842"/>
    <cellStyle name="20% - Accent4 4 3 3 2 2 4 2" xfId="15843"/>
    <cellStyle name="20% - Accent4 4 3 3 2 2 5" xfId="15844"/>
    <cellStyle name="20% - Accent4 4 3 3 2 2 6" xfId="15845"/>
    <cellStyle name="20% - Accent4 4 3 3 2 3" xfId="8893"/>
    <cellStyle name="20% - Accent4 4 3 3 2 3 2" xfId="15846"/>
    <cellStyle name="20% - Accent4 4 3 3 2 3 2 2" xfId="15847"/>
    <cellStyle name="20% - Accent4 4 3 3 2 3 2 3" xfId="15848"/>
    <cellStyle name="20% - Accent4 4 3 3 2 3 3" xfId="15849"/>
    <cellStyle name="20% - Accent4 4 3 3 2 3 3 2" xfId="15850"/>
    <cellStyle name="20% - Accent4 4 3 3 2 3 3 3" xfId="15851"/>
    <cellStyle name="20% - Accent4 4 3 3 2 3 4" xfId="15852"/>
    <cellStyle name="20% - Accent4 4 3 3 2 3 4 2" xfId="15853"/>
    <cellStyle name="20% - Accent4 4 3 3 2 3 5" xfId="15854"/>
    <cellStyle name="20% - Accent4 4 3 3 2 3 6" xfId="15855"/>
    <cellStyle name="20% - Accent4 4 3 3 2 4" xfId="15856"/>
    <cellStyle name="20% - Accent4 4 3 3 2 4 2" xfId="15857"/>
    <cellStyle name="20% - Accent4 4 3 3 2 4 2 2" xfId="15858"/>
    <cellStyle name="20% - Accent4 4 3 3 2 4 2 3" xfId="15859"/>
    <cellStyle name="20% - Accent4 4 3 3 2 4 3" xfId="15860"/>
    <cellStyle name="20% - Accent4 4 3 3 2 4 3 2" xfId="15861"/>
    <cellStyle name="20% - Accent4 4 3 3 2 4 4" xfId="15862"/>
    <cellStyle name="20% - Accent4 4 3 3 2 4 5" xfId="15863"/>
    <cellStyle name="20% - Accent4 4 3 3 2 5" xfId="15864"/>
    <cellStyle name="20% - Accent4 4 3 3 2 5 2" xfId="15865"/>
    <cellStyle name="20% - Accent4 4 3 3 2 5 3" xfId="15866"/>
    <cellStyle name="20% - Accent4 4 3 3 2 6" xfId="15867"/>
    <cellStyle name="20% - Accent4 4 3 3 2 6 2" xfId="15868"/>
    <cellStyle name="20% - Accent4 4 3 3 2 6 3" xfId="15869"/>
    <cellStyle name="20% - Accent4 4 3 3 2 7" xfId="15870"/>
    <cellStyle name="20% - Accent4 4 3 3 2 7 2" xfId="15871"/>
    <cellStyle name="20% - Accent4 4 3 3 2 8" xfId="15872"/>
    <cellStyle name="20% - Accent4 4 3 3 2 9" xfId="15873"/>
    <cellStyle name="20% - Accent4 4 3 3 3" xfId="885"/>
    <cellStyle name="20% - Accent4 4 3 3 3 2" xfId="15874"/>
    <cellStyle name="20% - Accent4 4 3 3 3 2 2" xfId="15875"/>
    <cellStyle name="20% - Accent4 4 3 3 3 2 3" xfId="15876"/>
    <cellStyle name="20% - Accent4 4 3 3 3 3" xfId="15877"/>
    <cellStyle name="20% - Accent4 4 3 3 3 3 2" xfId="15878"/>
    <cellStyle name="20% - Accent4 4 3 3 3 3 3" xfId="15879"/>
    <cellStyle name="20% - Accent4 4 3 3 3 4" xfId="15880"/>
    <cellStyle name="20% - Accent4 4 3 3 3 4 2" xfId="15881"/>
    <cellStyle name="20% - Accent4 4 3 3 3 5" xfId="15882"/>
    <cellStyle name="20% - Accent4 4 3 3 3 6" xfId="15883"/>
    <cellStyle name="20% - Accent4 4 3 3 4" xfId="886"/>
    <cellStyle name="20% - Accent4 4 3 3 4 2" xfId="15884"/>
    <cellStyle name="20% - Accent4 4 3 3 4 2 2" xfId="15885"/>
    <cellStyle name="20% - Accent4 4 3 3 4 2 3" xfId="15886"/>
    <cellStyle name="20% - Accent4 4 3 3 4 3" xfId="15887"/>
    <cellStyle name="20% - Accent4 4 3 3 4 3 2" xfId="15888"/>
    <cellStyle name="20% - Accent4 4 3 3 4 3 3" xfId="15889"/>
    <cellStyle name="20% - Accent4 4 3 3 4 4" xfId="15890"/>
    <cellStyle name="20% - Accent4 4 3 3 4 4 2" xfId="15891"/>
    <cellStyle name="20% - Accent4 4 3 3 4 5" xfId="15892"/>
    <cellStyle name="20% - Accent4 4 3 3 4 6" xfId="15893"/>
    <cellStyle name="20% - Accent4 4 3 3 5" xfId="8894"/>
    <cellStyle name="20% - Accent4 4 3 3 5 2" xfId="15894"/>
    <cellStyle name="20% - Accent4 4 3 3 5 2 2" xfId="15895"/>
    <cellStyle name="20% - Accent4 4 3 3 5 2 3" xfId="15896"/>
    <cellStyle name="20% - Accent4 4 3 3 5 3" xfId="15897"/>
    <cellStyle name="20% - Accent4 4 3 3 5 3 2" xfId="15898"/>
    <cellStyle name="20% - Accent4 4 3 3 5 4" xfId="15899"/>
    <cellStyle name="20% - Accent4 4 3 3 5 5" xfId="15900"/>
    <cellStyle name="20% - Accent4 4 3 3 6" xfId="15901"/>
    <cellStyle name="20% - Accent4 4 3 3 6 2" xfId="15902"/>
    <cellStyle name="20% - Accent4 4 3 3 6 3" xfId="15903"/>
    <cellStyle name="20% - Accent4 4 3 3 7" xfId="15904"/>
    <cellStyle name="20% - Accent4 4 3 3 7 2" xfId="15905"/>
    <cellStyle name="20% - Accent4 4 3 3 7 3" xfId="15906"/>
    <cellStyle name="20% - Accent4 4 3 3 8" xfId="15907"/>
    <cellStyle name="20% - Accent4 4 3 3 8 2" xfId="15908"/>
    <cellStyle name="20% - Accent4 4 3 3 9" xfId="15909"/>
    <cellStyle name="20% - Accent4 4 3 4" xfId="887"/>
    <cellStyle name="20% - Accent4 4 3 4 2" xfId="888"/>
    <cellStyle name="20% - Accent4 4 3 4 2 2" xfId="15910"/>
    <cellStyle name="20% - Accent4 4 3 4 2 2 2" xfId="15911"/>
    <cellStyle name="20% - Accent4 4 3 4 2 2 3" xfId="15912"/>
    <cellStyle name="20% - Accent4 4 3 4 2 3" xfId="15913"/>
    <cellStyle name="20% - Accent4 4 3 4 2 3 2" xfId="15914"/>
    <cellStyle name="20% - Accent4 4 3 4 2 3 3" xfId="15915"/>
    <cellStyle name="20% - Accent4 4 3 4 2 4" xfId="15916"/>
    <cellStyle name="20% - Accent4 4 3 4 2 4 2" xfId="15917"/>
    <cellStyle name="20% - Accent4 4 3 4 2 5" xfId="15918"/>
    <cellStyle name="20% - Accent4 4 3 4 2 6" xfId="15919"/>
    <cellStyle name="20% - Accent4 4 3 4 3" xfId="8895"/>
    <cellStyle name="20% - Accent4 4 3 4 3 2" xfId="15920"/>
    <cellStyle name="20% - Accent4 4 3 4 3 2 2" xfId="15921"/>
    <cellStyle name="20% - Accent4 4 3 4 3 2 3" xfId="15922"/>
    <cellStyle name="20% - Accent4 4 3 4 3 3" xfId="15923"/>
    <cellStyle name="20% - Accent4 4 3 4 3 3 2" xfId="15924"/>
    <cellStyle name="20% - Accent4 4 3 4 3 3 3" xfId="15925"/>
    <cellStyle name="20% - Accent4 4 3 4 3 4" xfId="15926"/>
    <cellStyle name="20% - Accent4 4 3 4 3 4 2" xfId="15927"/>
    <cellStyle name="20% - Accent4 4 3 4 3 5" xfId="15928"/>
    <cellStyle name="20% - Accent4 4 3 4 3 6" xfId="15929"/>
    <cellStyle name="20% - Accent4 4 3 4 4" xfId="15930"/>
    <cellStyle name="20% - Accent4 4 3 4 4 2" xfId="15931"/>
    <cellStyle name="20% - Accent4 4 3 4 4 2 2" xfId="15932"/>
    <cellStyle name="20% - Accent4 4 3 4 4 2 3" xfId="15933"/>
    <cellStyle name="20% - Accent4 4 3 4 4 3" xfId="15934"/>
    <cellStyle name="20% - Accent4 4 3 4 4 3 2" xfId="15935"/>
    <cellStyle name="20% - Accent4 4 3 4 4 4" xfId="15936"/>
    <cellStyle name="20% - Accent4 4 3 4 4 5" xfId="15937"/>
    <cellStyle name="20% - Accent4 4 3 4 5" xfId="15938"/>
    <cellStyle name="20% - Accent4 4 3 4 5 2" xfId="15939"/>
    <cellStyle name="20% - Accent4 4 3 4 5 3" xfId="15940"/>
    <cellStyle name="20% - Accent4 4 3 4 6" xfId="15941"/>
    <cellStyle name="20% - Accent4 4 3 4 6 2" xfId="15942"/>
    <cellStyle name="20% - Accent4 4 3 4 6 3" xfId="15943"/>
    <cellStyle name="20% - Accent4 4 3 4 7" xfId="15944"/>
    <cellStyle name="20% - Accent4 4 3 4 7 2" xfId="15945"/>
    <cellStyle name="20% - Accent4 4 3 4 8" xfId="15946"/>
    <cellStyle name="20% - Accent4 4 3 4 9" xfId="15947"/>
    <cellStyle name="20% - Accent4 4 3 5" xfId="889"/>
    <cellStyle name="20% - Accent4 4 3 5 2" xfId="15948"/>
    <cellStyle name="20% - Accent4 4 3 5 2 2" xfId="15949"/>
    <cellStyle name="20% - Accent4 4 3 5 2 2 2" xfId="15950"/>
    <cellStyle name="20% - Accent4 4 3 5 2 2 3" xfId="15951"/>
    <cellStyle name="20% - Accent4 4 3 5 2 3" xfId="15952"/>
    <cellStyle name="20% - Accent4 4 3 5 2 3 2" xfId="15953"/>
    <cellStyle name="20% - Accent4 4 3 5 2 3 3" xfId="15954"/>
    <cellStyle name="20% - Accent4 4 3 5 2 4" xfId="15955"/>
    <cellStyle name="20% - Accent4 4 3 5 2 4 2" xfId="15956"/>
    <cellStyle name="20% - Accent4 4 3 5 2 5" xfId="15957"/>
    <cellStyle name="20% - Accent4 4 3 5 2 6" xfId="15958"/>
    <cellStyle name="20% - Accent4 4 3 5 3" xfId="15959"/>
    <cellStyle name="20% - Accent4 4 3 5 3 2" xfId="15960"/>
    <cellStyle name="20% - Accent4 4 3 5 3 2 2" xfId="15961"/>
    <cellStyle name="20% - Accent4 4 3 5 3 2 3" xfId="15962"/>
    <cellStyle name="20% - Accent4 4 3 5 3 3" xfId="15963"/>
    <cellStyle name="20% - Accent4 4 3 5 3 3 2" xfId="15964"/>
    <cellStyle name="20% - Accent4 4 3 5 3 3 3" xfId="15965"/>
    <cellStyle name="20% - Accent4 4 3 5 3 4" xfId="15966"/>
    <cellStyle name="20% - Accent4 4 3 5 3 4 2" xfId="15967"/>
    <cellStyle name="20% - Accent4 4 3 5 3 5" xfId="15968"/>
    <cellStyle name="20% - Accent4 4 3 5 3 6" xfId="15969"/>
    <cellStyle name="20% - Accent4 4 3 5 4" xfId="15970"/>
    <cellStyle name="20% - Accent4 4 3 5 4 2" xfId="15971"/>
    <cellStyle name="20% - Accent4 4 3 5 4 2 2" xfId="15972"/>
    <cellStyle name="20% - Accent4 4 3 5 4 2 3" xfId="15973"/>
    <cellStyle name="20% - Accent4 4 3 5 4 3" xfId="15974"/>
    <cellStyle name="20% - Accent4 4 3 5 4 3 2" xfId="15975"/>
    <cellStyle name="20% - Accent4 4 3 5 4 4" xfId="15976"/>
    <cellStyle name="20% - Accent4 4 3 5 4 5" xfId="15977"/>
    <cellStyle name="20% - Accent4 4 3 5 5" xfId="15978"/>
    <cellStyle name="20% - Accent4 4 3 5 5 2" xfId="15979"/>
    <cellStyle name="20% - Accent4 4 3 5 5 3" xfId="15980"/>
    <cellStyle name="20% - Accent4 4 3 5 6" xfId="15981"/>
    <cellStyle name="20% - Accent4 4 3 5 6 2" xfId="15982"/>
    <cellStyle name="20% - Accent4 4 3 5 6 3" xfId="15983"/>
    <cellStyle name="20% - Accent4 4 3 5 7" xfId="15984"/>
    <cellStyle name="20% - Accent4 4 3 5 7 2" xfId="15985"/>
    <cellStyle name="20% - Accent4 4 3 5 8" xfId="15986"/>
    <cellStyle name="20% - Accent4 4 3 5 9" xfId="15987"/>
    <cellStyle name="20% - Accent4 4 3 6" xfId="890"/>
    <cellStyle name="20% - Accent4 4 3 6 2" xfId="15988"/>
    <cellStyle name="20% - Accent4 4 3 6 2 2" xfId="15989"/>
    <cellStyle name="20% - Accent4 4 3 6 2 3" xfId="15990"/>
    <cellStyle name="20% - Accent4 4 3 6 3" xfId="15991"/>
    <cellStyle name="20% - Accent4 4 3 6 3 2" xfId="15992"/>
    <cellStyle name="20% - Accent4 4 3 6 3 3" xfId="15993"/>
    <cellStyle name="20% - Accent4 4 3 6 4" xfId="15994"/>
    <cellStyle name="20% - Accent4 4 3 6 4 2" xfId="15995"/>
    <cellStyle name="20% - Accent4 4 3 6 5" xfId="15996"/>
    <cellStyle name="20% - Accent4 4 3 6 6" xfId="15997"/>
    <cellStyle name="20% - Accent4 4 3 7" xfId="8896"/>
    <cellStyle name="20% - Accent4 4 3 7 2" xfId="15998"/>
    <cellStyle name="20% - Accent4 4 3 7 2 2" xfId="15999"/>
    <cellStyle name="20% - Accent4 4 3 7 2 3" xfId="16000"/>
    <cellStyle name="20% - Accent4 4 3 7 3" xfId="16001"/>
    <cellStyle name="20% - Accent4 4 3 7 3 2" xfId="16002"/>
    <cellStyle name="20% - Accent4 4 3 7 3 3" xfId="16003"/>
    <cellStyle name="20% - Accent4 4 3 7 4" xfId="16004"/>
    <cellStyle name="20% - Accent4 4 3 7 4 2" xfId="16005"/>
    <cellStyle name="20% - Accent4 4 3 7 5" xfId="16006"/>
    <cellStyle name="20% - Accent4 4 3 7 6" xfId="16007"/>
    <cellStyle name="20% - Accent4 4 3 8" xfId="16008"/>
    <cellStyle name="20% - Accent4 4 3 8 2" xfId="16009"/>
    <cellStyle name="20% - Accent4 4 3 8 2 2" xfId="16010"/>
    <cellStyle name="20% - Accent4 4 3 8 2 3" xfId="16011"/>
    <cellStyle name="20% - Accent4 4 3 8 3" xfId="16012"/>
    <cellStyle name="20% - Accent4 4 3 8 3 2" xfId="16013"/>
    <cellStyle name="20% - Accent4 4 3 8 4" xfId="16014"/>
    <cellStyle name="20% - Accent4 4 3 8 5" xfId="16015"/>
    <cellStyle name="20% - Accent4 4 3 9" xfId="16016"/>
    <cellStyle name="20% - Accent4 4 3 9 2" xfId="16017"/>
    <cellStyle name="20% - Accent4 4 3 9 3" xfId="16018"/>
    <cellStyle name="20% - Accent4 4 4" xfId="891"/>
    <cellStyle name="20% - Accent4 4 4 10" xfId="16019"/>
    <cellStyle name="20% - Accent4 4 4 10 2" xfId="16020"/>
    <cellStyle name="20% - Accent4 4 4 11" xfId="16021"/>
    <cellStyle name="20% - Accent4 4 4 12" xfId="16022"/>
    <cellStyle name="20% - Accent4 4 4 2" xfId="892"/>
    <cellStyle name="20% - Accent4 4 4 2 10" xfId="16023"/>
    <cellStyle name="20% - Accent4 4 4 2 2" xfId="893"/>
    <cellStyle name="20% - Accent4 4 4 2 2 2" xfId="894"/>
    <cellStyle name="20% - Accent4 4 4 2 2 2 2" xfId="8897"/>
    <cellStyle name="20% - Accent4 4 4 2 2 2 2 2" xfId="16024"/>
    <cellStyle name="20% - Accent4 4 4 2 2 2 2 3" xfId="16025"/>
    <cellStyle name="20% - Accent4 4 4 2 2 2 3" xfId="16026"/>
    <cellStyle name="20% - Accent4 4 4 2 2 2 3 2" xfId="16027"/>
    <cellStyle name="20% - Accent4 4 4 2 2 2 3 3" xfId="16028"/>
    <cellStyle name="20% - Accent4 4 4 2 2 2 4" xfId="16029"/>
    <cellStyle name="20% - Accent4 4 4 2 2 2 4 2" xfId="16030"/>
    <cellStyle name="20% - Accent4 4 4 2 2 2 5" xfId="16031"/>
    <cellStyle name="20% - Accent4 4 4 2 2 2 6" xfId="16032"/>
    <cellStyle name="20% - Accent4 4 4 2 2 3" xfId="895"/>
    <cellStyle name="20% - Accent4 4 4 2 2 3 2" xfId="16033"/>
    <cellStyle name="20% - Accent4 4 4 2 2 3 2 2" xfId="16034"/>
    <cellStyle name="20% - Accent4 4 4 2 2 3 2 3" xfId="16035"/>
    <cellStyle name="20% - Accent4 4 4 2 2 3 3" xfId="16036"/>
    <cellStyle name="20% - Accent4 4 4 2 2 3 3 2" xfId="16037"/>
    <cellStyle name="20% - Accent4 4 4 2 2 3 3 3" xfId="16038"/>
    <cellStyle name="20% - Accent4 4 4 2 2 3 4" xfId="16039"/>
    <cellStyle name="20% - Accent4 4 4 2 2 3 4 2" xfId="16040"/>
    <cellStyle name="20% - Accent4 4 4 2 2 3 5" xfId="16041"/>
    <cellStyle name="20% - Accent4 4 4 2 2 3 6" xfId="16042"/>
    <cellStyle name="20% - Accent4 4 4 2 2 4" xfId="8898"/>
    <cellStyle name="20% - Accent4 4 4 2 2 4 2" xfId="16043"/>
    <cellStyle name="20% - Accent4 4 4 2 2 4 2 2" xfId="16044"/>
    <cellStyle name="20% - Accent4 4 4 2 2 4 2 3" xfId="16045"/>
    <cellStyle name="20% - Accent4 4 4 2 2 4 3" xfId="16046"/>
    <cellStyle name="20% - Accent4 4 4 2 2 4 3 2" xfId="16047"/>
    <cellStyle name="20% - Accent4 4 4 2 2 4 4" xfId="16048"/>
    <cellStyle name="20% - Accent4 4 4 2 2 4 5" xfId="16049"/>
    <cellStyle name="20% - Accent4 4 4 2 2 5" xfId="16050"/>
    <cellStyle name="20% - Accent4 4 4 2 2 5 2" xfId="16051"/>
    <cellStyle name="20% - Accent4 4 4 2 2 5 3" xfId="16052"/>
    <cellStyle name="20% - Accent4 4 4 2 2 6" xfId="16053"/>
    <cellStyle name="20% - Accent4 4 4 2 2 6 2" xfId="16054"/>
    <cellStyle name="20% - Accent4 4 4 2 2 6 3" xfId="16055"/>
    <cellStyle name="20% - Accent4 4 4 2 2 7" xfId="16056"/>
    <cellStyle name="20% - Accent4 4 4 2 2 7 2" xfId="16057"/>
    <cellStyle name="20% - Accent4 4 4 2 2 8" xfId="16058"/>
    <cellStyle name="20% - Accent4 4 4 2 2 9" xfId="16059"/>
    <cellStyle name="20% - Accent4 4 4 2 3" xfId="896"/>
    <cellStyle name="20% - Accent4 4 4 2 3 2" xfId="8899"/>
    <cellStyle name="20% - Accent4 4 4 2 3 2 2" xfId="16060"/>
    <cellStyle name="20% - Accent4 4 4 2 3 2 3" xfId="16061"/>
    <cellStyle name="20% - Accent4 4 4 2 3 3" xfId="16062"/>
    <cellStyle name="20% - Accent4 4 4 2 3 3 2" xfId="16063"/>
    <cellStyle name="20% - Accent4 4 4 2 3 3 3" xfId="16064"/>
    <cellStyle name="20% - Accent4 4 4 2 3 4" xfId="16065"/>
    <cellStyle name="20% - Accent4 4 4 2 3 4 2" xfId="16066"/>
    <cellStyle name="20% - Accent4 4 4 2 3 5" xfId="16067"/>
    <cellStyle name="20% - Accent4 4 4 2 3 6" xfId="16068"/>
    <cellStyle name="20% - Accent4 4 4 2 4" xfId="897"/>
    <cellStyle name="20% - Accent4 4 4 2 4 2" xfId="16069"/>
    <cellStyle name="20% - Accent4 4 4 2 4 2 2" xfId="16070"/>
    <cellStyle name="20% - Accent4 4 4 2 4 2 3" xfId="16071"/>
    <cellStyle name="20% - Accent4 4 4 2 4 3" xfId="16072"/>
    <cellStyle name="20% - Accent4 4 4 2 4 3 2" xfId="16073"/>
    <cellStyle name="20% - Accent4 4 4 2 4 3 3" xfId="16074"/>
    <cellStyle name="20% - Accent4 4 4 2 4 4" xfId="16075"/>
    <cellStyle name="20% - Accent4 4 4 2 4 4 2" xfId="16076"/>
    <cellStyle name="20% - Accent4 4 4 2 4 5" xfId="16077"/>
    <cellStyle name="20% - Accent4 4 4 2 4 6" xfId="16078"/>
    <cellStyle name="20% - Accent4 4 4 2 5" xfId="8900"/>
    <cellStyle name="20% - Accent4 4 4 2 5 2" xfId="16079"/>
    <cellStyle name="20% - Accent4 4 4 2 5 2 2" xfId="16080"/>
    <cellStyle name="20% - Accent4 4 4 2 5 2 3" xfId="16081"/>
    <cellStyle name="20% - Accent4 4 4 2 5 3" xfId="16082"/>
    <cellStyle name="20% - Accent4 4 4 2 5 3 2" xfId="16083"/>
    <cellStyle name="20% - Accent4 4 4 2 5 4" xfId="16084"/>
    <cellStyle name="20% - Accent4 4 4 2 5 5" xfId="16085"/>
    <cellStyle name="20% - Accent4 4 4 2 6" xfId="16086"/>
    <cellStyle name="20% - Accent4 4 4 2 6 2" xfId="16087"/>
    <cellStyle name="20% - Accent4 4 4 2 6 3" xfId="16088"/>
    <cellStyle name="20% - Accent4 4 4 2 7" xfId="16089"/>
    <cellStyle name="20% - Accent4 4 4 2 7 2" xfId="16090"/>
    <cellStyle name="20% - Accent4 4 4 2 7 3" xfId="16091"/>
    <cellStyle name="20% - Accent4 4 4 2 8" xfId="16092"/>
    <cellStyle name="20% - Accent4 4 4 2 8 2" xfId="16093"/>
    <cellStyle name="20% - Accent4 4 4 2 9" xfId="16094"/>
    <cellStyle name="20% - Accent4 4 4 3" xfId="898"/>
    <cellStyle name="20% - Accent4 4 4 3 2" xfId="899"/>
    <cellStyle name="20% - Accent4 4 4 3 2 2" xfId="8901"/>
    <cellStyle name="20% - Accent4 4 4 3 2 2 2" xfId="16095"/>
    <cellStyle name="20% - Accent4 4 4 3 2 2 3" xfId="16096"/>
    <cellStyle name="20% - Accent4 4 4 3 2 3" xfId="16097"/>
    <cellStyle name="20% - Accent4 4 4 3 2 3 2" xfId="16098"/>
    <cellStyle name="20% - Accent4 4 4 3 2 3 3" xfId="16099"/>
    <cellStyle name="20% - Accent4 4 4 3 2 4" xfId="16100"/>
    <cellStyle name="20% - Accent4 4 4 3 2 4 2" xfId="16101"/>
    <cellStyle name="20% - Accent4 4 4 3 2 5" xfId="16102"/>
    <cellStyle name="20% - Accent4 4 4 3 2 6" xfId="16103"/>
    <cellStyle name="20% - Accent4 4 4 3 3" xfId="900"/>
    <cellStyle name="20% - Accent4 4 4 3 3 2" xfId="16104"/>
    <cellStyle name="20% - Accent4 4 4 3 3 2 2" xfId="16105"/>
    <cellStyle name="20% - Accent4 4 4 3 3 2 3" xfId="16106"/>
    <cellStyle name="20% - Accent4 4 4 3 3 3" xfId="16107"/>
    <cellStyle name="20% - Accent4 4 4 3 3 3 2" xfId="16108"/>
    <cellStyle name="20% - Accent4 4 4 3 3 3 3" xfId="16109"/>
    <cellStyle name="20% - Accent4 4 4 3 3 4" xfId="16110"/>
    <cellStyle name="20% - Accent4 4 4 3 3 4 2" xfId="16111"/>
    <cellStyle name="20% - Accent4 4 4 3 3 5" xfId="16112"/>
    <cellStyle name="20% - Accent4 4 4 3 3 6" xfId="16113"/>
    <cellStyle name="20% - Accent4 4 4 3 4" xfId="8902"/>
    <cellStyle name="20% - Accent4 4 4 3 4 2" xfId="16114"/>
    <cellStyle name="20% - Accent4 4 4 3 4 2 2" xfId="16115"/>
    <cellStyle name="20% - Accent4 4 4 3 4 2 3" xfId="16116"/>
    <cellStyle name="20% - Accent4 4 4 3 4 3" xfId="16117"/>
    <cellStyle name="20% - Accent4 4 4 3 4 3 2" xfId="16118"/>
    <cellStyle name="20% - Accent4 4 4 3 4 4" xfId="16119"/>
    <cellStyle name="20% - Accent4 4 4 3 4 5" xfId="16120"/>
    <cellStyle name="20% - Accent4 4 4 3 5" xfId="16121"/>
    <cellStyle name="20% - Accent4 4 4 3 5 2" xfId="16122"/>
    <cellStyle name="20% - Accent4 4 4 3 5 3" xfId="16123"/>
    <cellStyle name="20% - Accent4 4 4 3 6" xfId="16124"/>
    <cellStyle name="20% - Accent4 4 4 3 6 2" xfId="16125"/>
    <cellStyle name="20% - Accent4 4 4 3 6 3" xfId="16126"/>
    <cellStyle name="20% - Accent4 4 4 3 7" xfId="16127"/>
    <cellStyle name="20% - Accent4 4 4 3 7 2" xfId="16128"/>
    <cellStyle name="20% - Accent4 4 4 3 8" xfId="16129"/>
    <cellStyle name="20% - Accent4 4 4 3 9" xfId="16130"/>
    <cellStyle name="20% - Accent4 4 4 4" xfId="901"/>
    <cellStyle name="20% - Accent4 4 4 4 2" xfId="8903"/>
    <cellStyle name="20% - Accent4 4 4 4 2 2" xfId="16131"/>
    <cellStyle name="20% - Accent4 4 4 4 2 2 2" xfId="16132"/>
    <cellStyle name="20% - Accent4 4 4 4 2 2 3" xfId="16133"/>
    <cellStyle name="20% - Accent4 4 4 4 2 3" xfId="16134"/>
    <cellStyle name="20% - Accent4 4 4 4 2 3 2" xfId="16135"/>
    <cellStyle name="20% - Accent4 4 4 4 2 3 3" xfId="16136"/>
    <cellStyle name="20% - Accent4 4 4 4 2 4" xfId="16137"/>
    <cellStyle name="20% - Accent4 4 4 4 2 4 2" xfId="16138"/>
    <cellStyle name="20% - Accent4 4 4 4 2 5" xfId="16139"/>
    <cellStyle name="20% - Accent4 4 4 4 2 6" xfId="16140"/>
    <cellStyle name="20% - Accent4 4 4 4 3" xfId="16141"/>
    <cellStyle name="20% - Accent4 4 4 4 3 2" xfId="16142"/>
    <cellStyle name="20% - Accent4 4 4 4 3 2 2" xfId="16143"/>
    <cellStyle name="20% - Accent4 4 4 4 3 2 3" xfId="16144"/>
    <cellStyle name="20% - Accent4 4 4 4 3 3" xfId="16145"/>
    <cellStyle name="20% - Accent4 4 4 4 3 3 2" xfId="16146"/>
    <cellStyle name="20% - Accent4 4 4 4 3 3 3" xfId="16147"/>
    <cellStyle name="20% - Accent4 4 4 4 3 4" xfId="16148"/>
    <cellStyle name="20% - Accent4 4 4 4 3 4 2" xfId="16149"/>
    <cellStyle name="20% - Accent4 4 4 4 3 5" xfId="16150"/>
    <cellStyle name="20% - Accent4 4 4 4 3 6" xfId="16151"/>
    <cellStyle name="20% - Accent4 4 4 4 4" xfId="16152"/>
    <cellStyle name="20% - Accent4 4 4 4 4 2" xfId="16153"/>
    <cellStyle name="20% - Accent4 4 4 4 4 2 2" xfId="16154"/>
    <cellStyle name="20% - Accent4 4 4 4 4 2 3" xfId="16155"/>
    <cellStyle name="20% - Accent4 4 4 4 4 3" xfId="16156"/>
    <cellStyle name="20% - Accent4 4 4 4 4 3 2" xfId="16157"/>
    <cellStyle name="20% - Accent4 4 4 4 4 4" xfId="16158"/>
    <cellStyle name="20% - Accent4 4 4 4 4 5" xfId="16159"/>
    <cellStyle name="20% - Accent4 4 4 4 5" xfId="16160"/>
    <cellStyle name="20% - Accent4 4 4 4 5 2" xfId="16161"/>
    <cellStyle name="20% - Accent4 4 4 4 5 3" xfId="16162"/>
    <cellStyle name="20% - Accent4 4 4 4 6" xfId="16163"/>
    <cellStyle name="20% - Accent4 4 4 4 6 2" xfId="16164"/>
    <cellStyle name="20% - Accent4 4 4 4 6 3" xfId="16165"/>
    <cellStyle name="20% - Accent4 4 4 4 7" xfId="16166"/>
    <cellStyle name="20% - Accent4 4 4 4 7 2" xfId="16167"/>
    <cellStyle name="20% - Accent4 4 4 4 8" xfId="16168"/>
    <cellStyle name="20% - Accent4 4 4 4 9" xfId="16169"/>
    <cellStyle name="20% - Accent4 4 4 5" xfId="902"/>
    <cellStyle name="20% - Accent4 4 4 5 2" xfId="16170"/>
    <cellStyle name="20% - Accent4 4 4 5 2 2" xfId="16171"/>
    <cellStyle name="20% - Accent4 4 4 5 2 3" xfId="16172"/>
    <cellStyle name="20% - Accent4 4 4 5 3" xfId="16173"/>
    <cellStyle name="20% - Accent4 4 4 5 3 2" xfId="16174"/>
    <cellStyle name="20% - Accent4 4 4 5 3 3" xfId="16175"/>
    <cellStyle name="20% - Accent4 4 4 5 4" xfId="16176"/>
    <cellStyle name="20% - Accent4 4 4 5 4 2" xfId="16177"/>
    <cellStyle name="20% - Accent4 4 4 5 5" xfId="16178"/>
    <cellStyle name="20% - Accent4 4 4 5 6" xfId="16179"/>
    <cellStyle name="20% - Accent4 4 4 6" xfId="8904"/>
    <cellStyle name="20% - Accent4 4 4 6 2" xfId="16180"/>
    <cellStyle name="20% - Accent4 4 4 6 2 2" xfId="16181"/>
    <cellStyle name="20% - Accent4 4 4 6 2 3" xfId="16182"/>
    <cellStyle name="20% - Accent4 4 4 6 3" xfId="16183"/>
    <cellStyle name="20% - Accent4 4 4 6 3 2" xfId="16184"/>
    <cellStyle name="20% - Accent4 4 4 6 3 3" xfId="16185"/>
    <cellStyle name="20% - Accent4 4 4 6 4" xfId="16186"/>
    <cellStyle name="20% - Accent4 4 4 6 4 2" xfId="16187"/>
    <cellStyle name="20% - Accent4 4 4 6 5" xfId="16188"/>
    <cellStyle name="20% - Accent4 4 4 6 6" xfId="16189"/>
    <cellStyle name="20% - Accent4 4 4 7" xfId="16190"/>
    <cellStyle name="20% - Accent4 4 4 7 2" xfId="16191"/>
    <cellStyle name="20% - Accent4 4 4 7 2 2" xfId="16192"/>
    <cellStyle name="20% - Accent4 4 4 7 2 3" xfId="16193"/>
    <cellStyle name="20% - Accent4 4 4 7 3" xfId="16194"/>
    <cellStyle name="20% - Accent4 4 4 7 3 2" xfId="16195"/>
    <cellStyle name="20% - Accent4 4 4 7 4" xfId="16196"/>
    <cellStyle name="20% - Accent4 4 4 7 5" xfId="16197"/>
    <cellStyle name="20% - Accent4 4 4 8" xfId="16198"/>
    <cellStyle name="20% - Accent4 4 4 8 2" xfId="16199"/>
    <cellStyle name="20% - Accent4 4 4 8 3" xfId="16200"/>
    <cellStyle name="20% - Accent4 4 4 9" xfId="16201"/>
    <cellStyle name="20% - Accent4 4 4 9 2" xfId="16202"/>
    <cellStyle name="20% - Accent4 4 4 9 3" xfId="16203"/>
    <cellStyle name="20% - Accent4 4 5" xfId="903"/>
    <cellStyle name="20% - Accent4 4 5 10" xfId="16204"/>
    <cellStyle name="20% - Accent4 4 5 2" xfId="904"/>
    <cellStyle name="20% - Accent4 4 5 2 2" xfId="905"/>
    <cellStyle name="20% - Accent4 4 5 2 2 2" xfId="8905"/>
    <cellStyle name="20% - Accent4 4 5 2 2 2 2" xfId="16205"/>
    <cellStyle name="20% - Accent4 4 5 2 2 2 3" xfId="16206"/>
    <cellStyle name="20% - Accent4 4 5 2 2 3" xfId="16207"/>
    <cellStyle name="20% - Accent4 4 5 2 2 3 2" xfId="16208"/>
    <cellStyle name="20% - Accent4 4 5 2 2 3 3" xfId="16209"/>
    <cellStyle name="20% - Accent4 4 5 2 2 4" xfId="16210"/>
    <cellStyle name="20% - Accent4 4 5 2 2 4 2" xfId="16211"/>
    <cellStyle name="20% - Accent4 4 5 2 2 5" xfId="16212"/>
    <cellStyle name="20% - Accent4 4 5 2 2 6" xfId="16213"/>
    <cellStyle name="20% - Accent4 4 5 2 3" xfId="906"/>
    <cellStyle name="20% - Accent4 4 5 2 3 2" xfId="16214"/>
    <cellStyle name="20% - Accent4 4 5 2 3 2 2" xfId="16215"/>
    <cellStyle name="20% - Accent4 4 5 2 3 2 3" xfId="16216"/>
    <cellStyle name="20% - Accent4 4 5 2 3 3" xfId="16217"/>
    <cellStyle name="20% - Accent4 4 5 2 3 3 2" xfId="16218"/>
    <cellStyle name="20% - Accent4 4 5 2 3 3 3" xfId="16219"/>
    <cellStyle name="20% - Accent4 4 5 2 3 4" xfId="16220"/>
    <cellStyle name="20% - Accent4 4 5 2 3 4 2" xfId="16221"/>
    <cellStyle name="20% - Accent4 4 5 2 3 5" xfId="16222"/>
    <cellStyle name="20% - Accent4 4 5 2 3 6" xfId="16223"/>
    <cellStyle name="20% - Accent4 4 5 2 4" xfId="8906"/>
    <cellStyle name="20% - Accent4 4 5 2 4 2" xfId="16224"/>
    <cellStyle name="20% - Accent4 4 5 2 4 2 2" xfId="16225"/>
    <cellStyle name="20% - Accent4 4 5 2 4 2 3" xfId="16226"/>
    <cellStyle name="20% - Accent4 4 5 2 4 3" xfId="16227"/>
    <cellStyle name="20% - Accent4 4 5 2 4 3 2" xfId="16228"/>
    <cellStyle name="20% - Accent4 4 5 2 4 4" xfId="16229"/>
    <cellStyle name="20% - Accent4 4 5 2 4 5" xfId="16230"/>
    <cellStyle name="20% - Accent4 4 5 2 5" xfId="16231"/>
    <cellStyle name="20% - Accent4 4 5 2 5 2" xfId="16232"/>
    <cellStyle name="20% - Accent4 4 5 2 5 3" xfId="16233"/>
    <cellStyle name="20% - Accent4 4 5 2 6" xfId="16234"/>
    <cellStyle name="20% - Accent4 4 5 2 6 2" xfId="16235"/>
    <cellStyle name="20% - Accent4 4 5 2 6 3" xfId="16236"/>
    <cellStyle name="20% - Accent4 4 5 2 7" xfId="16237"/>
    <cellStyle name="20% - Accent4 4 5 2 7 2" xfId="16238"/>
    <cellStyle name="20% - Accent4 4 5 2 8" xfId="16239"/>
    <cellStyle name="20% - Accent4 4 5 2 9" xfId="16240"/>
    <cellStyle name="20% - Accent4 4 5 3" xfId="907"/>
    <cellStyle name="20% - Accent4 4 5 3 2" xfId="8907"/>
    <cellStyle name="20% - Accent4 4 5 3 2 2" xfId="16241"/>
    <cellStyle name="20% - Accent4 4 5 3 2 3" xfId="16242"/>
    <cellStyle name="20% - Accent4 4 5 3 3" xfId="16243"/>
    <cellStyle name="20% - Accent4 4 5 3 3 2" xfId="16244"/>
    <cellStyle name="20% - Accent4 4 5 3 3 3" xfId="16245"/>
    <cellStyle name="20% - Accent4 4 5 3 4" xfId="16246"/>
    <cellStyle name="20% - Accent4 4 5 3 4 2" xfId="16247"/>
    <cellStyle name="20% - Accent4 4 5 3 5" xfId="16248"/>
    <cellStyle name="20% - Accent4 4 5 3 6" xfId="16249"/>
    <cellStyle name="20% - Accent4 4 5 4" xfId="908"/>
    <cellStyle name="20% - Accent4 4 5 4 2" xfId="16250"/>
    <cellStyle name="20% - Accent4 4 5 4 2 2" xfId="16251"/>
    <cellStyle name="20% - Accent4 4 5 4 2 3" xfId="16252"/>
    <cellStyle name="20% - Accent4 4 5 4 3" xfId="16253"/>
    <cellStyle name="20% - Accent4 4 5 4 3 2" xfId="16254"/>
    <cellStyle name="20% - Accent4 4 5 4 3 3" xfId="16255"/>
    <cellStyle name="20% - Accent4 4 5 4 4" xfId="16256"/>
    <cellStyle name="20% - Accent4 4 5 4 4 2" xfId="16257"/>
    <cellStyle name="20% - Accent4 4 5 4 5" xfId="16258"/>
    <cellStyle name="20% - Accent4 4 5 4 6" xfId="16259"/>
    <cellStyle name="20% - Accent4 4 5 5" xfId="8908"/>
    <cellStyle name="20% - Accent4 4 5 5 2" xfId="16260"/>
    <cellStyle name="20% - Accent4 4 5 5 2 2" xfId="16261"/>
    <cellStyle name="20% - Accent4 4 5 5 2 3" xfId="16262"/>
    <cellStyle name="20% - Accent4 4 5 5 3" xfId="16263"/>
    <cellStyle name="20% - Accent4 4 5 5 3 2" xfId="16264"/>
    <cellStyle name="20% - Accent4 4 5 5 4" xfId="16265"/>
    <cellStyle name="20% - Accent4 4 5 5 5" xfId="16266"/>
    <cellStyle name="20% - Accent4 4 5 6" xfId="16267"/>
    <cellStyle name="20% - Accent4 4 5 6 2" xfId="16268"/>
    <cellStyle name="20% - Accent4 4 5 6 3" xfId="16269"/>
    <cellStyle name="20% - Accent4 4 5 7" xfId="16270"/>
    <cellStyle name="20% - Accent4 4 5 7 2" xfId="16271"/>
    <cellStyle name="20% - Accent4 4 5 7 3" xfId="16272"/>
    <cellStyle name="20% - Accent4 4 5 8" xfId="16273"/>
    <cellStyle name="20% - Accent4 4 5 8 2" xfId="16274"/>
    <cellStyle name="20% - Accent4 4 5 9" xfId="16275"/>
    <cellStyle name="20% - Accent4 4 6" xfId="909"/>
    <cellStyle name="20% - Accent4 4 6 2" xfId="910"/>
    <cellStyle name="20% - Accent4 4 6 2 2" xfId="8909"/>
    <cellStyle name="20% - Accent4 4 6 2 2 2" xfId="16276"/>
    <cellStyle name="20% - Accent4 4 6 2 2 3" xfId="16277"/>
    <cellStyle name="20% - Accent4 4 6 2 3" xfId="16278"/>
    <cellStyle name="20% - Accent4 4 6 2 3 2" xfId="16279"/>
    <cellStyle name="20% - Accent4 4 6 2 3 3" xfId="16280"/>
    <cellStyle name="20% - Accent4 4 6 2 4" xfId="16281"/>
    <cellStyle name="20% - Accent4 4 6 2 4 2" xfId="16282"/>
    <cellStyle name="20% - Accent4 4 6 2 5" xfId="16283"/>
    <cellStyle name="20% - Accent4 4 6 2 6" xfId="16284"/>
    <cellStyle name="20% - Accent4 4 6 3" xfId="911"/>
    <cellStyle name="20% - Accent4 4 6 3 2" xfId="16285"/>
    <cellStyle name="20% - Accent4 4 6 3 2 2" xfId="16286"/>
    <cellStyle name="20% - Accent4 4 6 3 2 3" xfId="16287"/>
    <cellStyle name="20% - Accent4 4 6 3 3" xfId="16288"/>
    <cellStyle name="20% - Accent4 4 6 3 3 2" xfId="16289"/>
    <cellStyle name="20% - Accent4 4 6 3 3 3" xfId="16290"/>
    <cellStyle name="20% - Accent4 4 6 3 4" xfId="16291"/>
    <cellStyle name="20% - Accent4 4 6 3 4 2" xfId="16292"/>
    <cellStyle name="20% - Accent4 4 6 3 5" xfId="16293"/>
    <cellStyle name="20% - Accent4 4 6 3 6" xfId="16294"/>
    <cellStyle name="20% - Accent4 4 6 4" xfId="8910"/>
    <cellStyle name="20% - Accent4 4 6 4 2" xfId="16295"/>
    <cellStyle name="20% - Accent4 4 6 4 2 2" xfId="16296"/>
    <cellStyle name="20% - Accent4 4 6 4 2 3" xfId="16297"/>
    <cellStyle name="20% - Accent4 4 6 4 3" xfId="16298"/>
    <cellStyle name="20% - Accent4 4 6 4 3 2" xfId="16299"/>
    <cellStyle name="20% - Accent4 4 6 4 4" xfId="16300"/>
    <cellStyle name="20% - Accent4 4 6 4 5" xfId="16301"/>
    <cellStyle name="20% - Accent4 4 6 5" xfId="16302"/>
    <cellStyle name="20% - Accent4 4 6 5 2" xfId="16303"/>
    <cellStyle name="20% - Accent4 4 6 5 3" xfId="16304"/>
    <cellStyle name="20% - Accent4 4 6 6" xfId="16305"/>
    <cellStyle name="20% - Accent4 4 6 6 2" xfId="16306"/>
    <cellStyle name="20% - Accent4 4 6 6 3" xfId="16307"/>
    <cellStyle name="20% - Accent4 4 6 7" xfId="16308"/>
    <cellStyle name="20% - Accent4 4 6 7 2" xfId="16309"/>
    <cellStyle name="20% - Accent4 4 6 8" xfId="16310"/>
    <cellStyle name="20% - Accent4 4 6 9" xfId="16311"/>
    <cellStyle name="20% - Accent4 4 7" xfId="912"/>
    <cellStyle name="20% - Accent4 4 7 2" xfId="8911"/>
    <cellStyle name="20% - Accent4 4 7 2 2" xfId="16312"/>
    <cellStyle name="20% - Accent4 4 7 2 2 2" xfId="16313"/>
    <cellStyle name="20% - Accent4 4 7 2 2 3" xfId="16314"/>
    <cellStyle name="20% - Accent4 4 7 2 3" xfId="16315"/>
    <cellStyle name="20% - Accent4 4 7 2 3 2" xfId="16316"/>
    <cellStyle name="20% - Accent4 4 7 2 3 3" xfId="16317"/>
    <cellStyle name="20% - Accent4 4 7 2 4" xfId="16318"/>
    <cellStyle name="20% - Accent4 4 7 2 4 2" xfId="16319"/>
    <cellStyle name="20% - Accent4 4 7 2 5" xfId="16320"/>
    <cellStyle name="20% - Accent4 4 7 2 6" xfId="16321"/>
    <cellStyle name="20% - Accent4 4 7 3" xfId="16322"/>
    <cellStyle name="20% - Accent4 4 7 3 2" xfId="16323"/>
    <cellStyle name="20% - Accent4 4 7 3 2 2" xfId="16324"/>
    <cellStyle name="20% - Accent4 4 7 3 2 3" xfId="16325"/>
    <cellStyle name="20% - Accent4 4 7 3 3" xfId="16326"/>
    <cellStyle name="20% - Accent4 4 7 3 3 2" xfId="16327"/>
    <cellStyle name="20% - Accent4 4 7 3 3 3" xfId="16328"/>
    <cellStyle name="20% - Accent4 4 7 3 4" xfId="16329"/>
    <cellStyle name="20% - Accent4 4 7 3 4 2" xfId="16330"/>
    <cellStyle name="20% - Accent4 4 7 3 5" xfId="16331"/>
    <cellStyle name="20% - Accent4 4 7 3 6" xfId="16332"/>
    <cellStyle name="20% - Accent4 4 7 4" xfId="16333"/>
    <cellStyle name="20% - Accent4 4 7 4 2" xfId="16334"/>
    <cellStyle name="20% - Accent4 4 7 4 2 2" xfId="16335"/>
    <cellStyle name="20% - Accent4 4 7 4 2 3" xfId="16336"/>
    <cellStyle name="20% - Accent4 4 7 4 3" xfId="16337"/>
    <cellStyle name="20% - Accent4 4 7 4 3 2" xfId="16338"/>
    <cellStyle name="20% - Accent4 4 7 4 4" xfId="16339"/>
    <cellStyle name="20% - Accent4 4 7 4 5" xfId="16340"/>
    <cellStyle name="20% - Accent4 4 7 5" xfId="16341"/>
    <cellStyle name="20% - Accent4 4 7 5 2" xfId="16342"/>
    <cellStyle name="20% - Accent4 4 7 5 3" xfId="16343"/>
    <cellStyle name="20% - Accent4 4 7 6" xfId="16344"/>
    <cellStyle name="20% - Accent4 4 7 6 2" xfId="16345"/>
    <cellStyle name="20% - Accent4 4 7 6 3" xfId="16346"/>
    <cellStyle name="20% - Accent4 4 7 7" xfId="16347"/>
    <cellStyle name="20% - Accent4 4 7 7 2" xfId="16348"/>
    <cellStyle name="20% - Accent4 4 7 8" xfId="16349"/>
    <cellStyle name="20% - Accent4 4 7 9" xfId="16350"/>
    <cellStyle name="20% - Accent4 4 8" xfId="913"/>
    <cellStyle name="20% - Accent4 4 8 2" xfId="16351"/>
    <cellStyle name="20% - Accent4 4 8 2 2" xfId="16352"/>
    <cellStyle name="20% - Accent4 4 8 2 3" xfId="16353"/>
    <cellStyle name="20% - Accent4 4 8 3" xfId="16354"/>
    <cellStyle name="20% - Accent4 4 8 3 2" xfId="16355"/>
    <cellStyle name="20% - Accent4 4 8 3 3" xfId="16356"/>
    <cellStyle name="20% - Accent4 4 8 4" xfId="16357"/>
    <cellStyle name="20% - Accent4 4 8 4 2" xfId="16358"/>
    <cellStyle name="20% - Accent4 4 8 5" xfId="16359"/>
    <cellStyle name="20% - Accent4 4 8 6" xfId="16360"/>
    <cellStyle name="20% - Accent4 4 9" xfId="8912"/>
    <cellStyle name="20% - Accent4 4 9 2" xfId="16361"/>
    <cellStyle name="20% - Accent4 4 9 2 2" xfId="16362"/>
    <cellStyle name="20% - Accent4 4 9 2 3" xfId="16363"/>
    <cellStyle name="20% - Accent4 4 9 3" xfId="16364"/>
    <cellStyle name="20% - Accent4 4 9 3 2" xfId="16365"/>
    <cellStyle name="20% - Accent4 4 9 3 3" xfId="16366"/>
    <cellStyle name="20% - Accent4 4 9 4" xfId="16367"/>
    <cellStyle name="20% - Accent4 4 9 4 2" xfId="16368"/>
    <cellStyle name="20% - Accent4 4 9 5" xfId="16369"/>
    <cellStyle name="20% - Accent4 4 9 6" xfId="16370"/>
    <cellStyle name="20% - Accent4 5" xfId="914"/>
    <cellStyle name="20% - Accent4 5 2" xfId="915"/>
    <cellStyle name="20% - Accent4 5 2 2" xfId="916"/>
    <cellStyle name="20% - Accent4 5 2 2 2" xfId="917"/>
    <cellStyle name="20% - Accent4 5 2 2 2 2" xfId="918"/>
    <cellStyle name="20% - Accent4 5 2 2 2 2 2" xfId="919"/>
    <cellStyle name="20% - Accent4 5 2 2 2 3" xfId="920"/>
    <cellStyle name="20% - Accent4 5 2 2 3" xfId="921"/>
    <cellStyle name="20% - Accent4 5 2 2 3 2" xfId="922"/>
    <cellStyle name="20% - Accent4 5 2 2 4" xfId="923"/>
    <cellStyle name="20% - Accent4 5 2 3" xfId="924"/>
    <cellStyle name="20% - Accent4 5 2 3 2" xfId="925"/>
    <cellStyle name="20% - Accent4 5 2 3 2 2" xfId="926"/>
    <cellStyle name="20% - Accent4 5 2 3 3" xfId="927"/>
    <cellStyle name="20% - Accent4 5 2 4" xfId="928"/>
    <cellStyle name="20% - Accent4 5 2 4 2" xfId="929"/>
    <cellStyle name="20% - Accent4 5 2 5" xfId="930"/>
    <cellStyle name="20% - Accent4 5 2 6" xfId="57933"/>
    <cellStyle name="20% - Accent4 5 3" xfId="931"/>
    <cellStyle name="20% - Accent4 5 3 2" xfId="932"/>
    <cellStyle name="20% - Accent4 5 3 2 2" xfId="933"/>
    <cellStyle name="20% - Accent4 5 3 2 2 2" xfId="934"/>
    <cellStyle name="20% - Accent4 5 3 2 3" xfId="935"/>
    <cellStyle name="20% - Accent4 5 3 3" xfId="936"/>
    <cellStyle name="20% - Accent4 5 3 3 2" xfId="937"/>
    <cellStyle name="20% - Accent4 5 3 4" xfId="938"/>
    <cellStyle name="20% - Accent4 5 4" xfId="939"/>
    <cellStyle name="20% - Accent4 5 4 2" xfId="940"/>
    <cellStyle name="20% - Accent4 5 4 2 2" xfId="941"/>
    <cellStyle name="20% - Accent4 5 4 3" xfId="942"/>
    <cellStyle name="20% - Accent4 5 5" xfId="943"/>
    <cellStyle name="20% - Accent4 5 5 2" xfId="944"/>
    <cellStyle name="20% - Accent4 5 6" xfId="945"/>
    <cellStyle name="20% - Accent4 5 7" xfId="946"/>
    <cellStyle name="20% - Accent4 5 8" xfId="57934"/>
    <cellStyle name="20% - Accent4 6" xfId="947"/>
    <cellStyle name="20% - Accent4 6 2" xfId="948"/>
    <cellStyle name="20% - Accent4 6 2 2" xfId="949"/>
    <cellStyle name="20% - Accent4 6 2 2 2" xfId="950"/>
    <cellStyle name="20% - Accent4 6 2 2 2 2" xfId="951"/>
    <cellStyle name="20% - Accent4 6 2 2 2 3" xfId="8913"/>
    <cellStyle name="20% - Accent4 6 2 2 3" xfId="952"/>
    <cellStyle name="20% - Accent4 6 2 2 4" xfId="8914"/>
    <cellStyle name="20% - Accent4 6 2 3" xfId="953"/>
    <cellStyle name="20% - Accent4 6 2 3 2" xfId="954"/>
    <cellStyle name="20% - Accent4 6 2 3 3" xfId="8915"/>
    <cellStyle name="20% - Accent4 6 2 4" xfId="955"/>
    <cellStyle name="20% - Accent4 6 2 5" xfId="8916"/>
    <cellStyle name="20% - Accent4 6 3" xfId="956"/>
    <cellStyle name="20% - Accent4 6 3 2" xfId="957"/>
    <cellStyle name="20% - Accent4 6 3 2 2" xfId="958"/>
    <cellStyle name="20% - Accent4 6 3 2 3" xfId="8917"/>
    <cellStyle name="20% - Accent4 6 3 3" xfId="959"/>
    <cellStyle name="20% - Accent4 6 3 4" xfId="8918"/>
    <cellStyle name="20% - Accent4 6 4" xfId="960"/>
    <cellStyle name="20% - Accent4 6 4 2" xfId="961"/>
    <cellStyle name="20% - Accent4 6 4 3" xfId="8919"/>
    <cellStyle name="20% - Accent4 6 5" xfId="962"/>
    <cellStyle name="20% - Accent4 6 6" xfId="8920"/>
    <cellStyle name="20% - Accent4 7" xfId="963"/>
    <cellStyle name="20% - Accent4 7 2" xfId="964"/>
    <cellStyle name="20% - Accent4 7 2 2" xfId="965"/>
    <cellStyle name="20% - Accent4 7 2 2 2" xfId="966"/>
    <cellStyle name="20% - Accent4 7 2 3" xfId="967"/>
    <cellStyle name="20% - Accent4 7 3" xfId="968"/>
    <cellStyle name="20% - Accent4 7 3 2" xfId="969"/>
    <cellStyle name="20% - Accent4 7 4" xfId="970"/>
    <cellStyle name="20% - Accent4 7 5" xfId="8921"/>
    <cellStyle name="20% - Accent4 8" xfId="971"/>
    <cellStyle name="20% - Accent4 8 2" xfId="972"/>
    <cellStyle name="20% - Accent4 8 2 2" xfId="973"/>
    <cellStyle name="20% - Accent4 8 2 2 2" xfId="974"/>
    <cellStyle name="20% - Accent4 8 2 3" xfId="975"/>
    <cellStyle name="20% - Accent4 8 3" xfId="976"/>
    <cellStyle name="20% - Accent4 8 3 2" xfId="977"/>
    <cellStyle name="20% - Accent4 8 4" xfId="978"/>
    <cellStyle name="20% - Accent4 8 5" xfId="8922"/>
    <cellStyle name="20% - Accent4 9" xfId="979"/>
    <cellStyle name="20% - Accent4 9 2" xfId="980"/>
    <cellStyle name="20% - Accent4 9 2 2" xfId="981"/>
    <cellStyle name="20% - Accent4 9 2 2 2" xfId="982"/>
    <cellStyle name="20% - Accent4 9 2 3" xfId="983"/>
    <cellStyle name="20% - Accent4 9 3" xfId="984"/>
    <cellStyle name="20% - Accent4 9 3 2" xfId="985"/>
    <cellStyle name="20% - Accent4 9 4" xfId="986"/>
    <cellStyle name="20% - Accent4 9 5" xfId="57935"/>
    <cellStyle name="20% - Accent5 10" xfId="987"/>
    <cellStyle name="20% - Accent5 10 2" xfId="988"/>
    <cellStyle name="20% - Accent5 10 2 2" xfId="989"/>
    <cellStyle name="20% - Accent5 10 3" xfId="990"/>
    <cellStyle name="20% - Accent5 10 4" xfId="57936"/>
    <cellStyle name="20% - Accent5 11" xfId="991"/>
    <cellStyle name="20% - Accent5 11 2" xfId="992"/>
    <cellStyle name="20% - Accent5 11 2 2" xfId="993"/>
    <cellStyle name="20% - Accent5 11 3" xfId="994"/>
    <cellStyle name="20% - Accent5 11 4" xfId="57937"/>
    <cellStyle name="20% - Accent5 12" xfId="995"/>
    <cellStyle name="20% - Accent5 12 2" xfId="996"/>
    <cellStyle name="20% - Accent5 12 3" xfId="57938"/>
    <cellStyle name="20% - Accent5 13" xfId="997"/>
    <cellStyle name="20% - Accent5 13 2" xfId="57939"/>
    <cellStyle name="20% - Accent5 14" xfId="8923"/>
    <cellStyle name="20% - Accent5 15" xfId="9391"/>
    <cellStyle name="20% - Accent5 16" xfId="9392"/>
    <cellStyle name="20% - Accent5 17" xfId="9393"/>
    <cellStyle name="20% - Accent5 18" xfId="57940"/>
    <cellStyle name="20% - Accent5 19" xfId="57941"/>
    <cellStyle name="20% - Accent5 2" xfId="998"/>
    <cellStyle name="20% - Accent5 2 2" xfId="999"/>
    <cellStyle name="20% - Accent5 2 2 2" xfId="1000"/>
    <cellStyle name="20% - Accent5 2 2 2 2" xfId="1001"/>
    <cellStyle name="20% - Accent5 2 2 2 2 2" xfId="1002"/>
    <cellStyle name="20% - Accent5 2 2 2 2 2 2" xfId="1003"/>
    <cellStyle name="20% - Accent5 2 2 2 2 2 2 2" xfId="1004"/>
    <cellStyle name="20% - Accent5 2 2 2 2 2 3" xfId="1005"/>
    <cellStyle name="20% - Accent5 2 2 2 2 3" xfId="1006"/>
    <cellStyle name="20% - Accent5 2 2 2 2 3 2" xfId="1007"/>
    <cellStyle name="20% - Accent5 2 2 2 2 4" xfId="1008"/>
    <cellStyle name="20% - Accent5 2 2 2 2 5" xfId="57942"/>
    <cellStyle name="20% - Accent5 2 2 2 3" xfId="1009"/>
    <cellStyle name="20% - Accent5 2 2 2 3 2" xfId="1010"/>
    <cellStyle name="20% - Accent5 2 2 2 3 2 2" xfId="1011"/>
    <cellStyle name="20% - Accent5 2 2 2 3 3" xfId="1012"/>
    <cellStyle name="20% - Accent5 2 2 2 4" xfId="1013"/>
    <cellStyle name="20% - Accent5 2 2 2 4 2" xfId="1014"/>
    <cellStyle name="20% - Accent5 2 2 2 5" xfId="1015"/>
    <cellStyle name="20% - Accent5 2 2 2 6" xfId="57943"/>
    <cellStyle name="20% - Accent5 2 2 3" xfId="1016"/>
    <cellStyle name="20% - Accent5 2 2 3 2" xfId="1017"/>
    <cellStyle name="20% - Accent5 2 2 3 2 2" xfId="1018"/>
    <cellStyle name="20% - Accent5 2 2 3 2 2 2" xfId="1019"/>
    <cellStyle name="20% - Accent5 2 2 3 2 3" xfId="1020"/>
    <cellStyle name="20% - Accent5 2 2 3 3" xfId="1021"/>
    <cellStyle name="20% - Accent5 2 2 3 3 2" xfId="1022"/>
    <cellStyle name="20% - Accent5 2 2 3 4" xfId="1023"/>
    <cellStyle name="20% - Accent5 2 2 3 5" xfId="57944"/>
    <cellStyle name="20% - Accent5 2 2 4" xfId="1024"/>
    <cellStyle name="20% - Accent5 2 2 4 2" xfId="1025"/>
    <cellStyle name="20% - Accent5 2 2 4 2 2" xfId="1026"/>
    <cellStyle name="20% - Accent5 2 2 4 3" xfId="1027"/>
    <cellStyle name="20% - Accent5 2 2 5" xfId="1028"/>
    <cellStyle name="20% - Accent5 2 2 5 2" xfId="1029"/>
    <cellStyle name="20% - Accent5 2 2 6" xfId="1030"/>
    <cellStyle name="20% - Accent5 2 2 7" xfId="57945"/>
    <cellStyle name="20% - Accent5 2 3" xfId="1031"/>
    <cellStyle name="20% - Accent5 2 3 2" xfId="1032"/>
    <cellStyle name="20% - Accent5 2 3 2 2" xfId="1033"/>
    <cellStyle name="20% - Accent5 2 3 2 2 2" xfId="1034"/>
    <cellStyle name="20% - Accent5 2 3 2 2 2 2" xfId="1035"/>
    <cellStyle name="20% - Accent5 2 3 2 2 3" xfId="1036"/>
    <cellStyle name="20% - Accent5 2 3 2 3" xfId="1037"/>
    <cellStyle name="20% - Accent5 2 3 2 3 2" xfId="1038"/>
    <cellStyle name="20% - Accent5 2 3 2 4" xfId="1039"/>
    <cellStyle name="20% - Accent5 2 3 3" xfId="1040"/>
    <cellStyle name="20% - Accent5 2 3 3 2" xfId="1041"/>
    <cellStyle name="20% - Accent5 2 3 3 2 2" xfId="1042"/>
    <cellStyle name="20% - Accent5 2 3 3 3" xfId="1043"/>
    <cellStyle name="20% - Accent5 2 3 4" xfId="1044"/>
    <cellStyle name="20% - Accent5 2 3 4 2" xfId="1045"/>
    <cellStyle name="20% - Accent5 2 3 5" xfId="1046"/>
    <cellStyle name="20% - Accent5 2 3 6" xfId="57946"/>
    <cellStyle name="20% - Accent5 2 4" xfId="1047"/>
    <cellStyle name="20% - Accent5 2 4 2" xfId="1048"/>
    <cellStyle name="20% - Accent5 2 4 2 2" xfId="1049"/>
    <cellStyle name="20% - Accent5 2 4 2 2 2" xfId="1050"/>
    <cellStyle name="20% - Accent5 2 4 2 3" xfId="1051"/>
    <cellStyle name="20% - Accent5 2 4 3" xfId="1052"/>
    <cellStyle name="20% - Accent5 2 4 3 2" xfId="1053"/>
    <cellStyle name="20% - Accent5 2 4 4" xfId="1054"/>
    <cellStyle name="20% - Accent5 2 4 5" xfId="57947"/>
    <cellStyle name="20% - Accent5 2 5" xfId="1055"/>
    <cellStyle name="20% - Accent5 2 5 2" xfId="1056"/>
    <cellStyle name="20% - Accent5 2 5 2 2" xfId="1057"/>
    <cellStyle name="20% - Accent5 2 5 3" xfId="1058"/>
    <cellStyle name="20% - Accent5 2 5 4" xfId="57948"/>
    <cellStyle name="20% - Accent5 2 6" xfId="1059"/>
    <cellStyle name="20% - Accent5 2 6 2" xfId="1060"/>
    <cellStyle name="20% - Accent5 2 6 3" xfId="57949"/>
    <cellStyle name="20% - Accent5 2 7" xfId="1061"/>
    <cellStyle name="20% - Accent5 2 8" xfId="1062"/>
    <cellStyle name="20% - Accent5 2 9" xfId="57950"/>
    <cellStyle name="20% - Accent5 20" xfId="57951"/>
    <cellStyle name="20% - Accent5 21" xfId="57952"/>
    <cellStyle name="20% - Accent5 3" xfId="1063"/>
    <cellStyle name="20% - Accent5 3 2" xfId="1064"/>
    <cellStyle name="20% - Accent5 3 2 2" xfId="1065"/>
    <cellStyle name="20% - Accent5 3 2 2 2" xfId="1066"/>
    <cellStyle name="20% - Accent5 3 2 2 2 2" xfId="1067"/>
    <cellStyle name="20% - Accent5 3 2 2 2 2 2" xfId="1068"/>
    <cellStyle name="20% - Accent5 3 2 2 2 2 2 2" xfId="1069"/>
    <cellStyle name="20% - Accent5 3 2 2 2 2 3" xfId="1070"/>
    <cellStyle name="20% - Accent5 3 2 2 2 3" xfId="1071"/>
    <cellStyle name="20% - Accent5 3 2 2 2 3 2" xfId="1072"/>
    <cellStyle name="20% - Accent5 3 2 2 2 4" xfId="1073"/>
    <cellStyle name="20% - Accent5 3 2 2 2 5" xfId="8924"/>
    <cellStyle name="20% - Accent5 3 2 2 3" xfId="1074"/>
    <cellStyle name="20% - Accent5 3 2 2 3 2" xfId="1075"/>
    <cellStyle name="20% - Accent5 3 2 2 3 2 2" xfId="1076"/>
    <cellStyle name="20% - Accent5 3 2 2 3 3" xfId="1077"/>
    <cellStyle name="20% - Accent5 3 2 2 4" xfId="1078"/>
    <cellStyle name="20% - Accent5 3 2 2 4 2" xfId="1079"/>
    <cellStyle name="20% - Accent5 3 2 2 5" xfId="1080"/>
    <cellStyle name="20% - Accent5 3 2 2 6" xfId="8925"/>
    <cellStyle name="20% - Accent5 3 2 3" xfId="1081"/>
    <cellStyle name="20% - Accent5 3 2 3 2" xfId="1082"/>
    <cellStyle name="20% - Accent5 3 2 3 2 2" xfId="1083"/>
    <cellStyle name="20% - Accent5 3 2 3 2 2 2" xfId="1084"/>
    <cellStyle name="20% - Accent5 3 2 3 2 3" xfId="1085"/>
    <cellStyle name="20% - Accent5 3 2 3 3" xfId="1086"/>
    <cellStyle name="20% - Accent5 3 2 3 3 2" xfId="1087"/>
    <cellStyle name="20% - Accent5 3 2 3 4" xfId="1088"/>
    <cellStyle name="20% - Accent5 3 2 3 5" xfId="8926"/>
    <cellStyle name="20% - Accent5 3 2 4" xfId="1089"/>
    <cellStyle name="20% - Accent5 3 2 4 2" xfId="1090"/>
    <cellStyle name="20% - Accent5 3 2 4 2 2" xfId="1091"/>
    <cellStyle name="20% - Accent5 3 2 4 3" xfId="1092"/>
    <cellStyle name="20% - Accent5 3 2 5" xfId="1093"/>
    <cellStyle name="20% - Accent5 3 2 5 2" xfId="1094"/>
    <cellStyle name="20% - Accent5 3 2 6" xfId="1095"/>
    <cellStyle name="20% - Accent5 3 2 7" xfId="8927"/>
    <cellStyle name="20% - Accent5 3 3" xfId="1096"/>
    <cellStyle name="20% - Accent5 3 3 2" xfId="1097"/>
    <cellStyle name="20% - Accent5 3 3 2 2" xfId="1098"/>
    <cellStyle name="20% - Accent5 3 3 2 2 2" xfId="1099"/>
    <cellStyle name="20% - Accent5 3 3 2 2 2 2" xfId="1100"/>
    <cellStyle name="20% - Accent5 3 3 2 2 3" xfId="1101"/>
    <cellStyle name="20% - Accent5 3 3 2 3" xfId="1102"/>
    <cellStyle name="20% - Accent5 3 3 2 3 2" xfId="1103"/>
    <cellStyle name="20% - Accent5 3 3 2 4" xfId="1104"/>
    <cellStyle name="20% - Accent5 3 3 2 5" xfId="8928"/>
    <cellStyle name="20% - Accent5 3 3 3" xfId="1105"/>
    <cellStyle name="20% - Accent5 3 3 3 2" xfId="1106"/>
    <cellStyle name="20% - Accent5 3 3 3 2 2" xfId="1107"/>
    <cellStyle name="20% - Accent5 3 3 3 3" xfId="1108"/>
    <cellStyle name="20% - Accent5 3 3 4" xfId="1109"/>
    <cellStyle name="20% - Accent5 3 3 4 2" xfId="1110"/>
    <cellStyle name="20% - Accent5 3 3 5" xfId="1111"/>
    <cellStyle name="20% - Accent5 3 3 6" xfId="8929"/>
    <cellStyle name="20% - Accent5 3 4" xfId="1112"/>
    <cellStyle name="20% - Accent5 3 4 2" xfId="1113"/>
    <cellStyle name="20% - Accent5 3 4 2 2" xfId="1114"/>
    <cellStyle name="20% - Accent5 3 4 2 2 2" xfId="1115"/>
    <cellStyle name="20% - Accent5 3 4 2 3" xfId="1116"/>
    <cellStyle name="20% - Accent5 3 4 3" xfId="1117"/>
    <cellStyle name="20% - Accent5 3 4 3 2" xfId="1118"/>
    <cellStyle name="20% - Accent5 3 4 4" xfId="1119"/>
    <cellStyle name="20% - Accent5 3 4 5" xfId="8930"/>
    <cellStyle name="20% - Accent5 3 5" xfId="1120"/>
    <cellStyle name="20% - Accent5 3 5 2" xfId="1121"/>
    <cellStyle name="20% - Accent5 3 5 2 2" xfId="1122"/>
    <cellStyle name="20% - Accent5 3 5 3" xfId="1123"/>
    <cellStyle name="20% - Accent5 3 6" xfId="1124"/>
    <cellStyle name="20% - Accent5 3 6 2" xfId="1125"/>
    <cellStyle name="20% - Accent5 3 7" xfId="1126"/>
    <cellStyle name="20% - Accent5 3 8" xfId="1127"/>
    <cellStyle name="20% - Accent5 3 9" xfId="8931"/>
    <cellStyle name="20% - Accent5 4" xfId="1128"/>
    <cellStyle name="20% - Accent5 4 10" xfId="16371"/>
    <cellStyle name="20% - Accent5 4 10 2" xfId="16372"/>
    <cellStyle name="20% - Accent5 4 10 2 2" xfId="16373"/>
    <cellStyle name="20% - Accent5 4 10 2 3" xfId="16374"/>
    <cellStyle name="20% - Accent5 4 10 3" xfId="16375"/>
    <cellStyle name="20% - Accent5 4 10 3 2" xfId="16376"/>
    <cellStyle name="20% - Accent5 4 10 4" xfId="16377"/>
    <cellStyle name="20% - Accent5 4 10 5" xfId="16378"/>
    <cellStyle name="20% - Accent5 4 11" xfId="16379"/>
    <cellStyle name="20% - Accent5 4 11 2" xfId="16380"/>
    <cellStyle name="20% - Accent5 4 11 3" xfId="16381"/>
    <cellStyle name="20% - Accent5 4 12" xfId="16382"/>
    <cellStyle name="20% - Accent5 4 12 2" xfId="16383"/>
    <cellStyle name="20% - Accent5 4 12 3" xfId="16384"/>
    <cellStyle name="20% - Accent5 4 13" xfId="16385"/>
    <cellStyle name="20% - Accent5 4 13 2" xfId="16386"/>
    <cellStyle name="20% - Accent5 4 14" xfId="16387"/>
    <cellStyle name="20% - Accent5 4 15" xfId="16388"/>
    <cellStyle name="20% - Accent5 4 16" xfId="16389"/>
    <cellStyle name="20% - Accent5 4 2" xfId="1129"/>
    <cellStyle name="20% - Accent5 4 2 10" xfId="16390"/>
    <cellStyle name="20% - Accent5 4 2 10 2" xfId="16391"/>
    <cellStyle name="20% - Accent5 4 2 10 3" xfId="16392"/>
    <cellStyle name="20% - Accent5 4 2 11" xfId="16393"/>
    <cellStyle name="20% - Accent5 4 2 11 2" xfId="16394"/>
    <cellStyle name="20% - Accent5 4 2 11 3" xfId="16395"/>
    <cellStyle name="20% - Accent5 4 2 12" xfId="16396"/>
    <cellStyle name="20% - Accent5 4 2 12 2" xfId="16397"/>
    <cellStyle name="20% - Accent5 4 2 13" xfId="16398"/>
    <cellStyle name="20% - Accent5 4 2 14" xfId="16399"/>
    <cellStyle name="20% - Accent5 4 2 15" xfId="16400"/>
    <cellStyle name="20% - Accent5 4 2 2" xfId="1130"/>
    <cellStyle name="20% - Accent5 4 2 2 10" xfId="16401"/>
    <cellStyle name="20% - Accent5 4 2 2 10 2" xfId="16402"/>
    <cellStyle name="20% - Accent5 4 2 2 10 3" xfId="16403"/>
    <cellStyle name="20% - Accent5 4 2 2 11" xfId="16404"/>
    <cellStyle name="20% - Accent5 4 2 2 11 2" xfId="16405"/>
    <cellStyle name="20% - Accent5 4 2 2 12" xfId="16406"/>
    <cellStyle name="20% - Accent5 4 2 2 13" xfId="16407"/>
    <cellStyle name="20% - Accent5 4 2 2 2" xfId="1131"/>
    <cellStyle name="20% - Accent5 4 2 2 2 10" xfId="16408"/>
    <cellStyle name="20% - Accent5 4 2 2 2 10 2" xfId="16409"/>
    <cellStyle name="20% - Accent5 4 2 2 2 11" xfId="16410"/>
    <cellStyle name="20% - Accent5 4 2 2 2 12" xfId="16411"/>
    <cellStyle name="20% - Accent5 4 2 2 2 2" xfId="1132"/>
    <cellStyle name="20% - Accent5 4 2 2 2 2 10" xfId="16412"/>
    <cellStyle name="20% - Accent5 4 2 2 2 2 2" xfId="1133"/>
    <cellStyle name="20% - Accent5 4 2 2 2 2 2 2" xfId="16413"/>
    <cellStyle name="20% - Accent5 4 2 2 2 2 2 2 2" xfId="16414"/>
    <cellStyle name="20% - Accent5 4 2 2 2 2 2 2 2 2" xfId="16415"/>
    <cellStyle name="20% - Accent5 4 2 2 2 2 2 2 2 3" xfId="16416"/>
    <cellStyle name="20% - Accent5 4 2 2 2 2 2 2 3" xfId="16417"/>
    <cellStyle name="20% - Accent5 4 2 2 2 2 2 2 3 2" xfId="16418"/>
    <cellStyle name="20% - Accent5 4 2 2 2 2 2 2 3 3" xfId="16419"/>
    <cellStyle name="20% - Accent5 4 2 2 2 2 2 2 4" xfId="16420"/>
    <cellStyle name="20% - Accent5 4 2 2 2 2 2 2 4 2" xfId="16421"/>
    <cellStyle name="20% - Accent5 4 2 2 2 2 2 2 5" xfId="16422"/>
    <cellStyle name="20% - Accent5 4 2 2 2 2 2 2 6" xfId="16423"/>
    <cellStyle name="20% - Accent5 4 2 2 2 2 2 3" xfId="16424"/>
    <cellStyle name="20% - Accent5 4 2 2 2 2 2 3 2" xfId="16425"/>
    <cellStyle name="20% - Accent5 4 2 2 2 2 2 3 2 2" xfId="16426"/>
    <cellStyle name="20% - Accent5 4 2 2 2 2 2 3 2 3" xfId="16427"/>
    <cellStyle name="20% - Accent5 4 2 2 2 2 2 3 3" xfId="16428"/>
    <cellStyle name="20% - Accent5 4 2 2 2 2 2 3 3 2" xfId="16429"/>
    <cellStyle name="20% - Accent5 4 2 2 2 2 2 3 3 3" xfId="16430"/>
    <cellStyle name="20% - Accent5 4 2 2 2 2 2 3 4" xfId="16431"/>
    <cellStyle name="20% - Accent5 4 2 2 2 2 2 3 4 2" xfId="16432"/>
    <cellStyle name="20% - Accent5 4 2 2 2 2 2 3 5" xfId="16433"/>
    <cellStyle name="20% - Accent5 4 2 2 2 2 2 3 6" xfId="16434"/>
    <cellStyle name="20% - Accent5 4 2 2 2 2 2 4" xfId="16435"/>
    <cellStyle name="20% - Accent5 4 2 2 2 2 2 4 2" xfId="16436"/>
    <cellStyle name="20% - Accent5 4 2 2 2 2 2 4 2 2" xfId="16437"/>
    <cellStyle name="20% - Accent5 4 2 2 2 2 2 4 2 3" xfId="16438"/>
    <cellStyle name="20% - Accent5 4 2 2 2 2 2 4 3" xfId="16439"/>
    <cellStyle name="20% - Accent5 4 2 2 2 2 2 4 3 2" xfId="16440"/>
    <cellStyle name="20% - Accent5 4 2 2 2 2 2 4 4" xfId="16441"/>
    <cellStyle name="20% - Accent5 4 2 2 2 2 2 4 5" xfId="16442"/>
    <cellStyle name="20% - Accent5 4 2 2 2 2 2 5" xfId="16443"/>
    <cellStyle name="20% - Accent5 4 2 2 2 2 2 5 2" xfId="16444"/>
    <cellStyle name="20% - Accent5 4 2 2 2 2 2 5 3" xfId="16445"/>
    <cellStyle name="20% - Accent5 4 2 2 2 2 2 6" xfId="16446"/>
    <cellStyle name="20% - Accent5 4 2 2 2 2 2 6 2" xfId="16447"/>
    <cellStyle name="20% - Accent5 4 2 2 2 2 2 6 3" xfId="16448"/>
    <cellStyle name="20% - Accent5 4 2 2 2 2 2 7" xfId="16449"/>
    <cellStyle name="20% - Accent5 4 2 2 2 2 2 7 2" xfId="16450"/>
    <cellStyle name="20% - Accent5 4 2 2 2 2 2 8" xfId="16451"/>
    <cellStyle name="20% - Accent5 4 2 2 2 2 2 9" xfId="16452"/>
    <cellStyle name="20% - Accent5 4 2 2 2 2 3" xfId="16453"/>
    <cellStyle name="20% - Accent5 4 2 2 2 2 3 2" xfId="16454"/>
    <cellStyle name="20% - Accent5 4 2 2 2 2 3 2 2" xfId="16455"/>
    <cellStyle name="20% - Accent5 4 2 2 2 2 3 2 3" xfId="16456"/>
    <cellStyle name="20% - Accent5 4 2 2 2 2 3 3" xfId="16457"/>
    <cellStyle name="20% - Accent5 4 2 2 2 2 3 3 2" xfId="16458"/>
    <cellStyle name="20% - Accent5 4 2 2 2 2 3 3 3" xfId="16459"/>
    <cellStyle name="20% - Accent5 4 2 2 2 2 3 4" xfId="16460"/>
    <cellStyle name="20% - Accent5 4 2 2 2 2 3 4 2" xfId="16461"/>
    <cellStyle name="20% - Accent5 4 2 2 2 2 3 5" xfId="16462"/>
    <cellStyle name="20% - Accent5 4 2 2 2 2 3 6" xfId="16463"/>
    <cellStyle name="20% - Accent5 4 2 2 2 2 4" xfId="16464"/>
    <cellStyle name="20% - Accent5 4 2 2 2 2 4 2" xfId="16465"/>
    <cellStyle name="20% - Accent5 4 2 2 2 2 4 2 2" xfId="16466"/>
    <cellStyle name="20% - Accent5 4 2 2 2 2 4 2 3" xfId="16467"/>
    <cellStyle name="20% - Accent5 4 2 2 2 2 4 3" xfId="16468"/>
    <cellStyle name="20% - Accent5 4 2 2 2 2 4 3 2" xfId="16469"/>
    <cellStyle name="20% - Accent5 4 2 2 2 2 4 3 3" xfId="16470"/>
    <cellStyle name="20% - Accent5 4 2 2 2 2 4 4" xfId="16471"/>
    <cellStyle name="20% - Accent5 4 2 2 2 2 4 4 2" xfId="16472"/>
    <cellStyle name="20% - Accent5 4 2 2 2 2 4 5" xfId="16473"/>
    <cellStyle name="20% - Accent5 4 2 2 2 2 4 6" xfId="16474"/>
    <cellStyle name="20% - Accent5 4 2 2 2 2 5" xfId="16475"/>
    <cellStyle name="20% - Accent5 4 2 2 2 2 5 2" xfId="16476"/>
    <cellStyle name="20% - Accent5 4 2 2 2 2 5 2 2" xfId="16477"/>
    <cellStyle name="20% - Accent5 4 2 2 2 2 5 2 3" xfId="16478"/>
    <cellStyle name="20% - Accent5 4 2 2 2 2 5 3" xfId="16479"/>
    <cellStyle name="20% - Accent5 4 2 2 2 2 5 3 2" xfId="16480"/>
    <cellStyle name="20% - Accent5 4 2 2 2 2 5 4" xfId="16481"/>
    <cellStyle name="20% - Accent5 4 2 2 2 2 5 5" xfId="16482"/>
    <cellStyle name="20% - Accent5 4 2 2 2 2 6" xfId="16483"/>
    <cellStyle name="20% - Accent5 4 2 2 2 2 6 2" xfId="16484"/>
    <cellStyle name="20% - Accent5 4 2 2 2 2 6 3" xfId="16485"/>
    <cellStyle name="20% - Accent5 4 2 2 2 2 7" xfId="16486"/>
    <cellStyle name="20% - Accent5 4 2 2 2 2 7 2" xfId="16487"/>
    <cellStyle name="20% - Accent5 4 2 2 2 2 7 3" xfId="16488"/>
    <cellStyle name="20% - Accent5 4 2 2 2 2 8" xfId="16489"/>
    <cellStyle name="20% - Accent5 4 2 2 2 2 8 2" xfId="16490"/>
    <cellStyle name="20% - Accent5 4 2 2 2 2 9" xfId="16491"/>
    <cellStyle name="20% - Accent5 4 2 2 2 3" xfId="1134"/>
    <cellStyle name="20% - Accent5 4 2 2 2 3 2" xfId="16492"/>
    <cellStyle name="20% - Accent5 4 2 2 2 3 2 2" xfId="16493"/>
    <cellStyle name="20% - Accent5 4 2 2 2 3 2 2 2" xfId="16494"/>
    <cellStyle name="20% - Accent5 4 2 2 2 3 2 2 3" xfId="16495"/>
    <cellStyle name="20% - Accent5 4 2 2 2 3 2 3" xfId="16496"/>
    <cellStyle name="20% - Accent5 4 2 2 2 3 2 3 2" xfId="16497"/>
    <cellStyle name="20% - Accent5 4 2 2 2 3 2 3 3" xfId="16498"/>
    <cellStyle name="20% - Accent5 4 2 2 2 3 2 4" xfId="16499"/>
    <cellStyle name="20% - Accent5 4 2 2 2 3 2 4 2" xfId="16500"/>
    <cellStyle name="20% - Accent5 4 2 2 2 3 2 5" xfId="16501"/>
    <cellStyle name="20% - Accent5 4 2 2 2 3 2 6" xfId="16502"/>
    <cellStyle name="20% - Accent5 4 2 2 2 3 3" xfId="16503"/>
    <cellStyle name="20% - Accent5 4 2 2 2 3 3 2" xfId="16504"/>
    <cellStyle name="20% - Accent5 4 2 2 2 3 3 2 2" xfId="16505"/>
    <cellStyle name="20% - Accent5 4 2 2 2 3 3 2 3" xfId="16506"/>
    <cellStyle name="20% - Accent5 4 2 2 2 3 3 3" xfId="16507"/>
    <cellStyle name="20% - Accent5 4 2 2 2 3 3 3 2" xfId="16508"/>
    <cellStyle name="20% - Accent5 4 2 2 2 3 3 3 3" xfId="16509"/>
    <cellStyle name="20% - Accent5 4 2 2 2 3 3 4" xfId="16510"/>
    <cellStyle name="20% - Accent5 4 2 2 2 3 3 4 2" xfId="16511"/>
    <cellStyle name="20% - Accent5 4 2 2 2 3 3 5" xfId="16512"/>
    <cellStyle name="20% - Accent5 4 2 2 2 3 3 6" xfId="16513"/>
    <cellStyle name="20% - Accent5 4 2 2 2 3 4" xfId="16514"/>
    <cellStyle name="20% - Accent5 4 2 2 2 3 4 2" xfId="16515"/>
    <cellStyle name="20% - Accent5 4 2 2 2 3 4 2 2" xfId="16516"/>
    <cellStyle name="20% - Accent5 4 2 2 2 3 4 2 3" xfId="16517"/>
    <cellStyle name="20% - Accent5 4 2 2 2 3 4 3" xfId="16518"/>
    <cellStyle name="20% - Accent5 4 2 2 2 3 4 3 2" xfId="16519"/>
    <cellStyle name="20% - Accent5 4 2 2 2 3 4 4" xfId="16520"/>
    <cellStyle name="20% - Accent5 4 2 2 2 3 4 5" xfId="16521"/>
    <cellStyle name="20% - Accent5 4 2 2 2 3 5" xfId="16522"/>
    <cellStyle name="20% - Accent5 4 2 2 2 3 5 2" xfId="16523"/>
    <cellStyle name="20% - Accent5 4 2 2 2 3 5 3" xfId="16524"/>
    <cellStyle name="20% - Accent5 4 2 2 2 3 6" xfId="16525"/>
    <cellStyle name="20% - Accent5 4 2 2 2 3 6 2" xfId="16526"/>
    <cellStyle name="20% - Accent5 4 2 2 2 3 6 3" xfId="16527"/>
    <cellStyle name="20% - Accent5 4 2 2 2 3 7" xfId="16528"/>
    <cellStyle name="20% - Accent5 4 2 2 2 3 7 2" xfId="16529"/>
    <cellStyle name="20% - Accent5 4 2 2 2 3 8" xfId="16530"/>
    <cellStyle name="20% - Accent5 4 2 2 2 3 9" xfId="16531"/>
    <cellStyle name="20% - Accent5 4 2 2 2 4" xfId="16532"/>
    <cellStyle name="20% - Accent5 4 2 2 2 4 2" xfId="16533"/>
    <cellStyle name="20% - Accent5 4 2 2 2 4 2 2" xfId="16534"/>
    <cellStyle name="20% - Accent5 4 2 2 2 4 2 2 2" xfId="16535"/>
    <cellStyle name="20% - Accent5 4 2 2 2 4 2 2 3" xfId="16536"/>
    <cellStyle name="20% - Accent5 4 2 2 2 4 2 3" xfId="16537"/>
    <cellStyle name="20% - Accent5 4 2 2 2 4 2 3 2" xfId="16538"/>
    <cellStyle name="20% - Accent5 4 2 2 2 4 2 3 3" xfId="16539"/>
    <cellStyle name="20% - Accent5 4 2 2 2 4 2 4" xfId="16540"/>
    <cellStyle name="20% - Accent5 4 2 2 2 4 2 4 2" xfId="16541"/>
    <cellStyle name="20% - Accent5 4 2 2 2 4 2 5" xfId="16542"/>
    <cellStyle name="20% - Accent5 4 2 2 2 4 2 6" xfId="16543"/>
    <cellStyle name="20% - Accent5 4 2 2 2 4 3" xfId="16544"/>
    <cellStyle name="20% - Accent5 4 2 2 2 4 3 2" xfId="16545"/>
    <cellStyle name="20% - Accent5 4 2 2 2 4 3 2 2" xfId="16546"/>
    <cellStyle name="20% - Accent5 4 2 2 2 4 3 2 3" xfId="16547"/>
    <cellStyle name="20% - Accent5 4 2 2 2 4 3 3" xfId="16548"/>
    <cellStyle name="20% - Accent5 4 2 2 2 4 3 3 2" xfId="16549"/>
    <cellStyle name="20% - Accent5 4 2 2 2 4 3 3 3" xfId="16550"/>
    <cellStyle name="20% - Accent5 4 2 2 2 4 3 4" xfId="16551"/>
    <cellStyle name="20% - Accent5 4 2 2 2 4 3 4 2" xfId="16552"/>
    <cellStyle name="20% - Accent5 4 2 2 2 4 3 5" xfId="16553"/>
    <cellStyle name="20% - Accent5 4 2 2 2 4 3 6" xfId="16554"/>
    <cellStyle name="20% - Accent5 4 2 2 2 4 4" xfId="16555"/>
    <cellStyle name="20% - Accent5 4 2 2 2 4 4 2" xfId="16556"/>
    <cellStyle name="20% - Accent5 4 2 2 2 4 4 2 2" xfId="16557"/>
    <cellStyle name="20% - Accent5 4 2 2 2 4 4 2 3" xfId="16558"/>
    <cellStyle name="20% - Accent5 4 2 2 2 4 4 3" xfId="16559"/>
    <cellStyle name="20% - Accent5 4 2 2 2 4 4 3 2" xfId="16560"/>
    <cellStyle name="20% - Accent5 4 2 2 2 4 4 4" xfId="16561"/>
    <cellStyle name="20% - Accent5 4 2 2 2 4 4 5" xfId="16562"/>
    <cellStyle name="20% - Accent5 4 2 2 2 4 5" xfId="16563"/>
    <cellStyle name="20% - Accent5 4 2 2 2 4 5 2" xfId="16564"/>
    <cellStyle name="20% - Accent5 4 2 2 2 4 5 3" xfId="16565"/>
    <cellStyle name="20% - Accent5 4 2 2 2 4 6" xfId="16566"/>
    <cellStyle name="20% - Accent5 4 2 2 2 4 6 2" xfId="16567"/>
    <cellStyle name="20% - Accent5 4 2 2 2 4 6 3" xfId="16568"/>
    <cellStyle name="20% - Accent5 4 2 2 2 4 7" xfId="16569"/>
    <cellStyle name="20% - Accent5 4 2 2 2 4 7 2" xfId="16570"/>
    <cellStyle name="20% - Accent5 4 2 2 2 4 8" xfId="16571"/>
    <cellStyle name="20% - Accent5 4 2 2 2 4 9" xfId="16572"/>
    <cellStyle name="20% - Accent5 4 2 2 2 5" xfId="16573"/>
    <cellStyle name="20% - Accent5 4 2 2 2 5 2" xfId="16574"/>
    <cellStyle name="20% - Accent5 4 2 2 2 5 2 2" xfId="16575"/>
    <cellStyle name="20% - Accent5 4 2 2 2 5 2 3" xfId="16576"/>
    <cellStyle name="20% - Accent5 4 2 2 2 5 3" xfId="16577"/>
    <cellStyle name="20% - Accent5 4 2 2 2 5 3 2" xfId="16578"/>
    <cellStyle name="20% - Accent5 4 2 2 2 5 3 3" xfId="16579"/>
    <cellStyle name="20% - Accent5 4 2 2 2 5 4" xfId="16580"/>
    <cellStyle name="20% - Accent5 4 2 2 2 5 4 2" xfId="16581"/>
    <cellStyle name="20% - Accent5 4 2 2 2 5 5" xfId="16582"/>
    <cellStyle name="20% - Accent5 4 2 2 2 5 6" xfId="16583"/>
    <cellStyle name="20% - Accent5 4 2 2 2 6" xfId="16584"/>
    <cellStyle name="20% - Accent5 4 2 2 2 6 2" xfId="16585"/>
    <cellStyle name="20% - Accent5 4 2 2 2 6 2 2" xfId="16586"/>
    <cellStyle name="20% - Accent5 4 2 2 2 6 2 3" xfId="16587"/>
    <cellStyle name="20% - Accent5 4 2 2 2 6 3" xfId="16588"/>
    <cellStyle name="20% - Accent5 4 2 2 2 6 3 2" xfId="16589"/>
    <cellStyle name="20% - Accent5 4 2 2 2 6 3 3" xfId="16590"/>
    <cellStyle name="20% - Accent5 4 2 2 2 6 4" xfId="16591"/>
    <cellStyle name="20% - Accent5 4 2 2 2 6 4 2" xfId="16592"/>
    <cellStyle name="20% - Accent5 4 2 2 2 6 5" xfId="16593"/>
    <cellStyle name="20% - Accent5 4 2 2 2 6 6" xfId="16594"/>
    <cellStyle name="20% - Accent5 4 2 2 2 7" xfId="16595"/>
    <cellStyle name="20% - Accent5 4 2 2 2 7 2" xfId="16596"/>
    <cellStyle name="20% - Accent5 4 2 2 2 7 2 2" xfId="16597"/>
    <cellStyle name="20% - Accent5 4 2 2 2 7 2 3" xfId="16598"/>
    <cellStyle name="20% - Accent5 4 2 2 2 7 3" xfId="16599"/>
    <cellStyle name="20% - Accent5 4 2 2 2 7 3 2" xfId="16600"/>
    <cellStyle name="20% - Accent5 4 2 2 2 7 4" xfId="16601"/>
    <cellStyle name="20% - Accent5 4 2 2 2 7 5" xfId="16602"/>
    <cellStyle name="20% - Accent5 4 2 2 2 8" xfId="16603"/>
    <cellStyle name="20% - Accent5 4 2 2 2 8 2" xfId="16604"/>
    <cellStyle name="20% - Accent5 4 2 2 2 8 3" xfId="16605"/>
    <cellStyle name="20% - Accent5 4 2 2 2 9" xfId="16606"/>
    <cellStyle name="20% - Accent5 4 2 2 2 9 2" xfId="16607"/>
    <cellStyle name="20% - Accent5 4 2 2 2 9 3" xfId="16608"/>
    <cellStyle name="20% - Accent5 4 2 2 3" xfId="1135"/>
    <cellStyle name="20% - Accent5 4 2 2 3 10" xfId="16609"/>
    <cellStyle name="20% - Accent5 4 2 2 3 2" xfId="1136"/>
    <cellStyle name="20% - Accent5 4 2 2 3 2 2" xfId="16610"/>
    <cellStyle name="20% - Accent5 4 2 2 3 2 2 2" xfId="16611"/>
    <cellStyle name="20% - Accent5 4 2 2 3 2 2 2 2" xfId="16612"/>
    <cellStyle name="20% - Accent5 4 2 2 3 2 2 2 3" xfId="16613"/>
    <cellStyle name="20% - Accent5 4 2 2 3 2 2 3" xfId="16614"/>
    <cellStyle name="20% - Accent5 4 2 2 3 2 2 3 2" xfId="16615"/>
    <cellStyle name="20% - Accent5 4 2 2 3 2 2 3 3" xfId="16616"/>
    <cellStyle name="20% - Accent5 4 2 2 3 2 2 4" xfId="16617"/>
    <cellStyle name="20% - Accent5 4 2 2 3 2 2 4 2" xfId="16618"/>
    <cellStyle name="20% - Accent5 4 2 2 3 2 2 5" xfId="16619"/>
    <cellStyle name="20% - Accent5 4 2 2 3 2 2 6" xfId="16620"/>
    <cellStyle name="20% - Accent5 4 2 2 3 2 3" xfId="16621"/>
    <cellStyle name="20% - Accent5 4 2 2 3 2 3 2" xfId="16622"/>
    <cellStyle name="20% - Accent5 4 2 2 3 2 3 2 2" xfId="16623"/>
    <cellStyle name="20% - Accent5 4 2 2 3 2 3 2 3" xfId="16624"/>
    <cellStyle name="20% - Accent5 4 2 2 3 2 3 3" xfId="16625"/>
    <cellStyle name="20% - Accent5 4 2 2 3 2 3 3 2" xfId="16626"/>
    <cellStyle name="20% - Accent5 4 2 2 3 2 3 3 3" xfId="16627"/>
    <cellStyle name="20% - Accent5 4 2 2 3 2 3 4" xfId="16628"/>
    <cellStyle name="20% - Accent5 4 2 2 3 2 3 4 2" xfId="16629"/>
    <cellStyle name="20% - Accent5 4 2 2 3 2 3 5" xfId="16630"/>
    <cellStyle name="20% - Accent5 4 2 2 3 2 3 6" xfId="16631"/>
    <cellStyle name="20% - Accent5 4 2 2 3 2 4" xfId="16632"/>
    <cellStyle name="20% - Accent5 4 2 2 3 2 4 2" xfId="16633"/>
    <cellStyle name="20% - Accent5 4 2 2 3 2 4 2 2" xfId="16634"/>
    <cellStyle name="20% - Accent5 4 2 2 3 2 4 2 3" xfId="16635"/>
    <cellStyle name="20% - Accent5 4 2 2 3 2 4 3" xfId="16636"/>
    <cellStyle name="20% - Accent5 4 2 2 3 2 4 3 2" xfId="16637"/>
    <cellStyle name="20% - Accent5 4 2 2 3 2 4 4" xfId="16638"/>
    <cellStyle name="20% - Accent5 4 2 2 3 2 4 5" xfId="16639"/>
    <cellStyle name="20% - Accent5 4 2 2 3 2 5" xfId="16640"/>
    <cellStyle name="20% - Accent5 4 2 2 3 2 5 2" xfId="16641"/>
    <cellStyle name="20% - Accent5 4 2 2 3 2 5 3" xfId="16642"/>
    <cellStyle name="20% - Accent5 4 2 2 3 2 6" xfId="16643"/>
    <cellStyle name="20% - Accent5 4 2 2 3 2 6 2" xfId="16644"/>
    <cellStyle name="20% - Accent5 4 2 2 3 2 6 3" xfId="16645"/>
    <cellStyle name="20% - Accent5 4 2 2 3 2 7" xfId="16646"/>
    <cellStyle name="20% - Accent5 4 2 2 3 2 7 2" xfId="16647"/>
    <cellStyle name="20% - Accent5 4 2 2 3 2 8" xfId="16648"/>
    <cellStyle name="20% - Accent5 4 2 2 3 2 9" xfId="16649"/>
    <cellStyle name="20% - Accent5 4 2 2 3 3" xfId="16650"/>
    <cellStyle name="20% - Accent5 4 2 2 3 3 2" xfId="16651"/>
    <cellStyle name="20% - Accent5 4 2 2 3 3 2 2" xfId="16652"/>
    <cellStyle name="20% - Accent5 4 2 2 3 3 2 3" xfId="16653"/>
    <cellStyle name="20% - Accent5 4 2 2 3 3 3" xfId="16654"/>
    <cellStyle name="20% - Accent5 4 2 2 3 3 3 2" xfId="16655"/>
    <cellStyle name="20% - Accent5 4 2 2 3 3 3 3" xfId="16656"/>
    <cellStyle name="20% - Accent5 4 2 2 3 3 4" xfId="16657"/>
    <cellStyle name="20% - Accent5 4 2 2 3 3 4 2" xfId="16658"/>
    <cellStyle name="20% - Accent5 4 2 2 3 3 5" xfId="16659"/>
    <cellStyle name="20% - Accent5 4 2 2 3 3 6" xfId="16660"/>
    <cellStyle name="20% - Accent5 4 2 2 3 4" xfId="16661"/>
    <cellStyle name="20% - Accent5 4 2 2 3 4 2" xfId="16662"/>
    <cellStyle name="20% - Accent5 4 2 2 3 4 2 2" xfId="16663"/>
    <cellStyle name="20% - Accent5 4 2 2 3 4 2 3" xfId="16664"/>
    <cellStyle name="20% - Accent5 4 2 2 3 4 3" xfId="16665"/>
    <cellStyle name="20% - Accent5 4 2 2 3 4 3 2" xfId="16666"/>
    <cellStyle name="20% - Accent5 4 2 2 3 4 3 3" xfId="16667"/>
    <cellStyle name="20% - Accent5 4 2 2 3 4 4" xfId="16668"/>
    <cellStyle name="20% - Accent5 4 2 2 3 4 4 2" xfId="16669"/>
    <cellStyle name="20% - Accent5 4 2 2 3 4 5" xfId="16670"/>
    <cellStyle name="20% - Accent5 4 2 2 3 4 6" xfId="16671"/>
    <cellStyle name="20% - Accent5 4 2 2 3 5" xfId="16672"/>
    <cellStyle name="20% - Accent5 4 2 2 3 5 2" xfId="16673"/>
    <cellStyle name="20% - Accent5 4 2 2 3 5 2 2" xfId="16674"/>
    <cellStyle name="20% - Accent5 4 2 2 3 5 2 3" xfId="16675"/>
    <cellStyle name="20% - Accent5 4 2 2 3 5 3" xfId="16676"/>
    <cellStyle name="20% - Accent5 4 2 2 3 5 3 2" xfId="16677"/>
    <cellStyle name="20% - Accent5 4 2 2 3 5 4" xfId="16678"/>
    <cellStyle name="20% - Accent5 4 2 2 3 5 5" xfId="16679"/>
    <cellStyle name="20% - Accent5 4 2 2 3 6" xfId="16680"/>
    <cellStyle name="20% - Accent5 4 2 2 3 6 2" xfId="16681"/>
    <cellStyle name="20% - Accent5 4 2 2 3 6 3" xfId="16682"/>
    <cellStyle name="20% - Accent5 4 2 2 3 7" xfId="16683"/>
    <cellStyle name="20% - Accent5 4 2 2 3 7 2" xfId="16684"/>
    <cellStyle name="20% - Accent5 4 2 2 3 7 3" xfId="16685"/>
    <cellStyle name="20% - Accent5 4 2 2 3 8" xfId="16686"/>
    <cellStyle name="20% - Accent5 4 2 2 3 8 2" xfId="16687"/>
    <cellStyle name="20% - Accent5 4 2 2 3 9" xfId="16688"/>
    <cellStyle name="20% - Accent5 4 2 2 4" xfId="1137"/>
    <cellStyle name="20% - Accent5 4 2 2 4 2" xfId="16689"/>
    <cellStyle name="20% - Accent5 4 2 2 4 2 2" xfId="16690"/>
    <cellStyle name="20% - Accent5 4 2 2 4 2 2 2" xfId="16691"/>
    <cellStyle name="20% - Accent5 4 2 2 4 2 2 3" xfId="16692"/>
    <cellStyle name="20% - Accent5 4 2 2 4 2 3" xfId="16693"/>
    <cellStyle name="20% - Accent5 4 2 2 4 2 3 2" xfId="16694"/>
    <cellStyle name="20% - Accent5 4 2 2 4 2 3 3" xfId="16695"/>
    <cellStyle name="20% - Accent5 4 2 2 4 2 4" xfId="16696"/>
    <cellStyle name="20% - Accent5 4 2 2 4 2 4 2" xfId="16697"/>
    <cellStyle name="20% - Accent5 4 2 2 4 2 5" xfId="16698"/>
    <cellStyle name="20% - Accent5 4 2 2 4 2 6" xfId="16699"/>
    <cellStyle name="20% - Accent5 4 2 2 4 3" xfId="16700"/>
    <cellStyle name="20% - Accent5 4 2 2 4 3 2" xfId="16701"/>
    <cellStyle name="20% - Accent5 4 2 2 4 3 2 2" xfId="16702"/>
    <cellStyle name="20% - Accent5 4 2 2 4 3 2 3" xfId="16703"/>
    <cellStyle name="20% - Accent5 4 2 2 4 3 3" xfId="16704"/>
    <cellStyle name="20% - Accent5 4 2 2 4 3 3 2" xfId="16705"/>
    <cellStyle name="20% - Accent5 4 2 2 4 3 3 3" xfId="16706"/>
    <cellStyle name="20% - Accent5 4 2 2 4 3 4" xfId="16707"/>
    <cellStyle name="20% - Accent5 4 2 2 4 3 4 2" xfId="16708"/>
    <cellStyle name="20% - Accent5 4 2 2 4 3 5" xfId="16709"/>
    <cellStyle name="20% - Accent5 4 2 2 4 3 6" xfId="16710"/>
    <cellStyle name="20% - Accent5 4 2 2 4 4" xfId="16711"/>
    <cellStyle name="20% - Accent5 4 2 2 4 4 2" xfId="16712"/>
    <cellStyle name="20% - Accent5 4 2 2 4 4 2 2" xfId="16713"/>
    <cellStyle name="20% - Accent5 4 2 2 4 4 2 3" xfId="16714"/>
    <cellStyle name="20% - Accent5 4 2 2 4 4 3" xfId="16715"/>
    <cellStyle name="20% - Accent5 4 2 2 4 4 3 2" xfId="16716"/>
    <cellStyle name="20% - Accent5 4 2 2 4 4 4" xfId="16717"/>
    <cellStyle name="20% - Accent5 4 2 2 4 4 5" xfId="16718"/>
    <cellStyle name="20% - Accent5 4 2 2 4 5" xfId="16719"/>
    <cellStyle name="20% - Accent5 4 2 2 4 5 2" xfId="16720"/>
    <cellStyle name="20% - Accent5 4 2 2 4 5 3" xfId="16721"/>
    <cellStyle name="20% - Accent5 4 2 2 4 6" xfId="16722"/>
    <cellStyle name="20% - Accent5 4 2 2 4 6 2" xfId="16723"/>
    <cellStyle name="20% - Accent5 4 2 2 4 6 3" xfId="16724"/>
    <cellStyle name="20% - Accent5 4 2 2 4 7" xfId="16725"/>
    <cellStyle name="20% - Accent5 4 2 2 4 7 2" xfId="16726"/>
    <cellStyle name="20% - Accent5 4 2 2 4 8" xfId="16727"/>
    <cellStyle name="20% - Accent5 4 2 2 4 9" xfId="16728"/>
    <cellStyle name="20% - Accent5 4 2 2 5" xfId="16729"/>
    <cellStyle name="20% - Accent5 4 2 2 5 2" xfId="16730"/>
    <cellStyle name="20% - Accent5 4 2 2 5 2 2" xfId="16731"/>
    <cellStyle name="20% - Accent5 4 2 2 5 2 2 2" xfId="16732"/>
    <cellStyle name="20% - Accent5 4 2 2 5 2 2 3" xfId="16733"/>
    <cellStyle name="20% - Accent5 4 2 2 5 2 3" xfId="16734"/>
    <cellStyle name="20% - Accent5 4 2 2 5 2 3 2" xfId="16735"/>
    <cellStyle name="20% - Accent5 4 2 2 5 2 3 3" xfId="16736"/>
    <cellStyle name="20% - Accent5 4 2 2 5 2 4" xfId="16737"/>
    <cellStyle name="20% - Accent5 4 2 2 5 2 4 2" xfId="16738"/>
    <cellStyle name="20% - Accent5 4 2 2 5 2 5" xfId="16739"/>
    <cellStyle name="20% - Accent5 4 2 2 5 2 6" xfId="16740"/>
    <cellStyle name="20% - Accent5 4 2 2 5 3" xfId="16741"/>
    <cellStyle name="20% - Accent5 4 2 2 5 3 2" xfId="16742"/>
    <cellStyle name="20% - Accent5 4 2 2 5 3 2 2" xfId="16743"/>
    <cellStyle name="20% - Accent5 4 2 2 5 3 2 3" xfId="16744"/>
    <cellStyle name="20% - Accent5 4 2 2 5 3 3" xfId="16745"/>
    <cellStyle name="20% - Accent5 4 2 2 5 3 3 2" xfId="16746"/>
    <cellStyle name="20% - Accent5 4 2 2 5 3 3 3" xfId="16747"/>
    <cellStyle name="20% - Accent5 4 2 2 5 3 4" xfId="16748"/>
    <cellStyle name="20% - Accent5 4 2 2 5 3 4 2" xfId="16749"/>
    <cellStyle name="20% - Accent5 4 2 2 5 3 5" xfId="16750"/>
    <cellStyle name="20% - Accent5 4 2 2 5 3 6" xfId="16751"/>
    <cellStyle name="20% - Accent5 4 2 2 5 4" xfId="16752"/>
    <cellStyle name="20% - Accent5 4 2 2 5 4 2" xfId="16753"/>
    <cellStyle name="20% - Accent5 4 2 2 5 4 2 2" xfId="16754"/>
    <cellStyle name="20% - Accent5 4 2 2 5 4 2 3" xfId="16755"/>
    <cellStyle name="20% - Accent5 4 2 2 5 4 3" xfId="16756"/>
    <cellStyle name="20% - Accent5 4 2 2 5 4 3 2" xfId="16757"/>
    <cellStyle name="20% - Accent5 4 2 2 5 4 4" xfId="16758"/>
    <cellStyle name="20% - Accent5 4 2 2 5 4 5" xfId="16759"/>
    <cellStyle name="20% - Accent5 4 2 2 5 5" xfId="16760"/>
    <cellStyle name="20% - Accent5 4 2 2 5 5 2" xfId="16761"/>
    <cellStyle name="20% - Accent5 4 2 2 5 5 3" xfId="16762"/>
    <cellStyle name="20% - Accent5 4 2 2 5 6" xfId="16763"/>
    <cellStyle name="20% - Accent5 4 2 2 5 6 2" xfId="16764"/>
    <cellStyle name="20% - Accent5 4 2 2 5 6 3" xfId="16765"/>
    <cellStyle name="20% - Accent5 4 2 2 5 7" xfId="16766"/>
    <cellStyle name="20% - Accent5 4 2 2 5 7 2" xfId="16767"/>
    <cellStyle name="20% - Accent5 4 2 2 5 8" xfId="16768"/>
    <cellStyle name="20% - Accent5 4 2 2 5 9" xfId="16769"/>
    <cellStyle name="20% - Accent5 4 2 2 6" xfId="16770"/>
    <cellStyle name="20% - Accent5 4 2 2 6 2" xfId="16771"/>
    <cellStyle name="20% - Accent5 4 2 2 6 2 2" xfId="16772"/>
    <cellStyle name="20% - Accent5 4 2 2 6 2 3" xfId="16773"/>
    <cellStyle name="20% - Accent5 4 2 2 6 3" xfId="16774"/>
    <cellStyle name="20% - Accent5 4 2 2 6 3 2" xfId="16775"/>
    <cellStyle name="20% - Accent5 4 2 2 6 3 3" xfId="16776"/>
    <cellStyle name="20% - Accent5 4 2 2 6 4" xfId="16777"/>
    <cellStyle name="20% - Accent5 4 2 2 6 4 2" xfId="16778"/>
    <cellStyle name="20% - Accent5 4 2 2 6 5" xfId="16779"/>
    <cellStyle name="20% - Accent5 4 2 2 6 6" xfId="16780"/>
    <cellStyle name="20% - Accent5 4 2 2 7" xfId="16781"/>
    <cellStyle name="20% - Accent5 4 2 2 7 2" xfId="16782"/>
    <cellStyle name="20% - Accent5 4 2 2 7 2 2" xfId="16783"/>
    <cellStyle name="20% - Accent5 4 2 2 7 2 3" xfId="16784"/>
    <cellStyle name="20% - Accent5 4 2 2 7 3" xfId="16785"/>
    <cellStyle name="20% - Accent5 4 2 2 7 3 2" xfId="16786"/>
    <cellStyle name="20% - Accent5 4 2 2 7 3 3" xfId="16787"/>
    <cellStyle name="20% - Accent5 4 2 2 7 4" xfId="16788"/>
    <cellStyle name="20% - Accent5 4 2 2 7 4 2" xfId="16789"/>
    <cellStyle name="20% - Accent5 4 2 2 7 5" xfId="16790"/>
    <cellStyle name="20% - Accent5 4 2 2 7 6" xfId="16791"/>
    <cellStyle name="20% - Accent5 4 2 2 8" xfId="16792"/>
    <cellStyle name="20% - Accent5 4 2 2 8 2" xfId="16793"/>
    <cellStyle name="20% - Accent5 4 2 2 8 2 2" xfId="16794"/>
    <cellStyle name="20% - Accent5 4 2 2 8 2 3" xfId="16795"/>
    <cellStyle name="20% - Accent5 4 2 2 8 3" xfId="16796"/>
    <cellStyle name="20% - Accent5 4 2 2 8 3 2" xfId="16797"/>
    <cellStyle name="20% - Accent5 4 2 2 8 4" xfId="16798"/>
    <cellStyle name="20% - Accent5 4 2 2 8 5" xfId="16799"/>
    <cellStyle name="20% - Accent5 4 2 2 9" xfId="16800"/>
    <cellStyle name="20% - Accent5 4 2 2 9 2" xfId="16801"/>
    <cellStyle name="20% - Accent5 4 2 2 9 3" xfId="16802"/>
    <cellStyle name="20% - Accent5 4 2 3" xfId="1138"/>
    <cellStyle name="20% - Accent5 4 2 3 10" xfId="16803"/>
    <cellStyle name="20% - Accent5 4 2 3 10 2" xfId="16804"/>
    <cellStyle name="20% - Accent5 4 2 3 11" xfId="16805"/>
    <cellStyle name="20% - Accent5 4 2 3 12" xfId="16806"/>
    <cellStyle name="20% - Accent5 4 2 3 2" xfId="1139"/>
    <cellStyle name="20% - Accent5 4 2 3 2 10" xfId="16807"/>
    <cellStyle name="20% - Accent5 4 2 3 2 2" xfId="1140"/>
    <cellStyle name="20% - Accent5 4 2 3 2 2 2" xfId="16808"/>
    <cellStyle name="20% - Accent5 4 2 3 2 2 2 2" xfId="16809"/>
    <cellStyle name="20% - Accent5 4 2 3 2 2 2 2 2" xfId="16810"/>
    <cellStyle name="20% - Accent5 4 2 3 2 2 2 2 3" xfId="16811"/>
    <cellStyle name="20% - Accent5 4 2 3 2 2 2 3" xfId="16812"/>
    <cellStyle name="20% - Accent5 4 2 3 2 2 2 3 2" xfId="16813"/>
    <cellStyle name="20% - Accent5 4 2 3 2 2 2 3 3" xfId="16814"/>
    <cellStyle name="20% - Accent5 4 2 3 2 2 2 4" xfId="16815"/>
    <cellStyle name="20% - Accent5 4 2 3 2 2 2 4 2" xfId="16816"/>
    <cellStyle name="20% - Accent5 4 2 3 2 2 2 5" xfId="16817"/>
    <cellStyle name="20% - Accent5 4 2 3 2 2 2 6" xfId="16818"/>
    <cellStyle name="20% - Accent5 4 2 3 2 2 3" xfId="16819"/>
    <cellStyle name="20% - Accent5 4 2 3 2 2 3 2" xfId="16820"/>
    <cellStyle name="20% - Accent5 4 2 3 2 2 3 2 2" xfId="16821"/>
    <cellStyle name="20% - Accent5 4 2 3 2 2 3 2 3" xfId="16822"/>
    <cellStyle name="20% - Accent5 4 2 3 2 2 3 3" xfId="16823"/>
    <cellStyle name="20% - Accent5 4 2 3 2 2 3 3 2" xfId="16824"/>
    <cellStyle name="20% - Accent5 4 2 3 2 2 3 3 3" xfId="16825"/>
    <cellStyle name="20% - Accent5 4 2 3 2 2 3 4" xfId="16826"/>
    <cellStyle name="20% - Accent5 4 2 3 2 2 3 4 2" xfId="16827"/>
    <cellStyle name="20% - Accent5 4 2 3 2 2 3 5" xfId="16828"/>
    <cellStyle name="20% - Accent5 4 2 3 2 2 3 6" xfId="16829"/>
    <cellStyle name="20% - Accent5 4 2 3 2 2 4" xfId="16830"/>
    <cellStyle name="20% - Accent5 4 2 3 2 2 4 2" xfId="16831"/>
    <cellStyle name="20% - Accent5 4 2 3 2 2 4 2 2" xfId="16832"/>
    <cellStyle name="20% - Accent5 4 2 3 2 2 4 2 3" xfId="16833"/>
    <cellStyle name="20% - Accent5 4 2 3 2 2 4 3" xfId="16834"/>
    <cellStyle name="20% - Accent5 4 2 3 2 2 4 3 2" xfId="16835"/>
    <cellStyle name="20% - Accent5 4 2 3 2 2 4 4" xfId="16836"/>
    <cellStyle name="20% - Accent5 4 2 3 2 2 4 5" xfId="16837"/>
    <cellStyle name="20% - Accent5 4 2 3 2 2 5" xfId="16838"/>
    <cellStyle name="20% - Accent5 4 2 3 2 2 5 2" xfId="16839"/>
    <cellStyle name="20% - Accent5 4 2 3 2 2 5 3" xfId="16840"/>
    <cellStyle name="20% - Accent5 4 2 3 2 2 6" xfId="16841"/>
    <cellStyle name="20% - Accent5 4 2 3 2 2 6 2" xfId="16842"/>
    <cellStyle name="20% - Accent5 4 2 3 2 2 6 3" xfId="16843"/>
    <cellStyle name="20% - Accent5 4 2 3 2 2 7" xfId="16844"/>
    <cellStyle name="20% - Accent5 4 2 3 2 2 7 2" xfId="16845"/>
    <cellStyle name="20% - Accent5 4 2 3 2 2 8" xfId="16846"/>
    <cellStyle name="20% - Accent5 4 2 3 2 2 9" xfId="16847"/>
    <cellStyle name="20% - Accent5 4 2 3 2 3" xfId="16848"/>
    <cellStyle name="20% - Accent5 4 2 3 2 3 2" xfId="16849"/>
    <cellStyle name="20% - Accent5 4 2 3 2 3 2 2" xfId="16850"/>
    <cellStyle name="20% - Accent5 4 2 3 2 3 2 3" xfId="16851"/>
    <cellStyle name="20% - Accent5 4 2 3 2 3 3" xfId="16852"/>
    <cellStyle name="20% - Accent5 4 2 3 2 3 3 2" xfId="16853"/>
    <cellStyle name="20% - Accent5 4 2 3 2 3 3 3" xfId="16854"/>
    <cellStyle name="20% - Accent5 4 2 3 2 3 4" xfId="16855"/>
    <cellStyle name="20% - Accent5 4 2 3 2 3 4 2" xfId="16856"/>
    <cellStyle name="20% - Accent5 4 2 3 2 3 5" xfId="16857"/>
    <cellStyle name="20% - Accent5 4 2 3 2 3 6" xfId="16858"/>
    <cellStyle name="20% - Accent5 4 2 3 2 4" xfId="16859"/>
    <cellStyle name="20% - Accent5 4 2 3 2 4 2" xfId="16860"/>
    <cellStyle name="20% - Accent5 4 2 3 2 4 2 2" xfId="16861"/>
    <cellStyle name="20% - Accent5 4 2 3 2 4 2 3" xfId="16862"/>
    <cellStyle name="20% - Accent5 4 2 3 2 4 3" xfId="16863"/>
    <cellStyle name="20% - Accent5 4 2 3 2 4 3 2" xfId="16864"/>
    <cellStyle name="20% - Accent5 4 2 3 2 4 3 3" xfId="16865"/>
    <cellStyle name="20% - Accent5 4 2 3 2 4 4" xfId="16866"/>
    <cellStyle name="20% - Accent5 4 2 3 2 4 4 2" xfId="16867"/>
    <cellStyle name="20% - Accent5 4 2 3 2 4 5" xfId="16868"/>
    <cellStyle name="20% - Accent5 4 2 3 2 4 6" xfId="16869"/>
    <cellStyle name="20% - Accent5 4 2 3 2 5" xfId="16870"/>
    <cellStyle name="20% - Accent5 4 2 3 2 5 2" xfId="16871"/>
    <cellStyle name="20% - Accent5 4 2 3 2 5 2 2" xfId="16872"/>
    <cellStyle name="20% - Accent5 4 2 3 2 5 2 3" xfId="16873"/>
    <cellStyle name="20% - Accent5 4 2 3 2 5 3" xfId="16874"/>
    <cellStyle name="20% - Accent5 4 2 3 2 5 3 2" xfId="16875"/>
    <cellStyle name="20% - Accent5 4 2 3 2 5 4" xfId="16876"/>
    <cellStyle name="20% - Accent5 4 2 3 2 5 5" xfId="16877"/>
    <cellStyle name="20% - Accent5 4 2 3 2 6" xfId="16878"/>
    <cellStyle name="20% - Accent5 4 2 3 2 6 2" xfId="16879"/>
    <cellStyle name="20% - Accent5 4 2 3 2 6 3" xfId="16880"/>
    <cellStyle name="20% - Accent5 4 2 3 2 7" xfId="16881"/>
    <cellStyle name="20% - Accent5 4 2 3 2 7 2" xfId="16882"/>
    <cellStyle name="20% - Accent5 4 2 3 2 7 3" xfId="16883"/>
    <cellStyle name="20% - Accent5 4 2 3 2 8" xfId="16884"/>
    <cellStyle name="20% - Accent5 4 2 3 2 8 2" xfId="16885"/>
    <cellStyle name="20% - Accent5 4 2 3 2 9" xfId="16886"/>
    <cellStyle name="20% - Accent5 4 2 3 3" xfId="1141"/>
    <cellStyle name="20% - Accent5 4 2 3 3 2" xfId="16887"/>
    <cellStyle name="20% - Accent5 4 2 3 3 2 2" xfId="16888"/>
    <cellStyle name="20% - Accent5 4 2 3 3 2 2 2" xfId="16889"/>
    <cellStyle name="20% - Accent5 4 2 3 3 2 2 3" xfId="16890"/>
    <cellStyle name="20% - Accent5 4 2 3 3 2 3" xfId="16891"/>
    <cellStyle name="20% - Accent5 4 2 3 3 2 3 2" xfId="16892"/>
    <cellStyle name="20% - Accent5 4 2 3 3 2 3 3" xfId="16893"/>
    <cellStyle name="20% - Accent5 4 2 3 3 2 4" xfId="16894"/>
    <cellStyle name="20% - Accent5 4 2 3 3 2 4 2" xfId="16895"/>
    <cellStyle name="20% - Accent5 4 2 3 3 2 5" xfId="16896"/>
    <cellStyle name="20% - Accent5 4 2 3 3 2 6" xfId="16897"/>
    <cellStyle name="20% - Accent5 4 2 3 3 3" xfId="16898"/>
    <cellStyle name="20% - Accent5 4 2 3 3 3 2" xfId="16899"/>
    <cellStyle name="20% - Accent5 4 2 3 3 3 2 2" xfId="16900"/>
    <cellStyle name="20% - Accent5 4 2 3 3 3 2 3" xfId="16901"/>
    <cellStyle name="20% - Accent5 4 2 3 3 3 3" xfId="16902"/>
    <cellStyle name="20% - Accent5 4 2 3 3 3 3 2" xfId="16903"/>
    <cellStyle name="20% - Accent5 4 2 3 3 3 3 3" xfId="16904"/>
    <cellStyle name="20% - Accent5 4 2 3 3 3 4" xfId="16905"/>
    <cellStyle name="20% - Accent5 4 2 3 3 3 4 2" xfId="16906"/>
    <cellStyle name="20% - Accent5 4 2 3 3 3 5" xfId="16907"/>
    <cellStyle name="20% - Accent5 4 2 3 3 3 6" xfId="16908"/>
    <cellStyle name="20% - Accent5 4 2 3 3 4" xfId="16909"/>
    <cellStyle name="20% - Accent5 4 2 3 3 4 2" xfId="16910"/>
    <cellStyle name="20% - Accent5 4 2 3 3 4 2 2" xfId="16911"/>
    <cellStyle name="20% - Accent5 4 2 3 3 4 2 3" xfId="16912"/>
    <cellStyle name="20% - Accent5 4 2 3 3 4 3" xfId="16913"/>
    <cellStyle name="20% - Accent5 4 2 3 3 4 3 2" xfId="16914"/>
    <cellStyle name="20% - Accent5 4 2 3 3 4 4" xfId="16915"/>
    <cellStyle name="20% - Accent5 4 2 3 3 4 5" xfId="16916"/>
    <cellStyle name="20% - Accent5 4 2 3 3 5" xfId="16917"/>
    <cellStyle name="20% - Accent5 4 2 3 3 5 2" xfId="16918"/>
    <cellStyle name="20% - Accent5 4 2 3 3 5 3" xfId="16919"/>
    <cellStyle name="20% - Accent5 4 2 3 3 6" xfId="16920"/>
    <cellStyle name="20% - Accent5 4 2 3 3 6 2" xfId="16921"/>
    <cellStyle name="20% - Accent5 4 2 3 3 6 3" xfId="16922"/>
    <cellStyle name="20% - Accent5 4 2 3 3 7" xfId="16923"/>
    <cellStyle name="20% - Accent5 4 2 3 3 7 2" xfId="16924"/>
    <cellStyle name="20% - Accent5 4 2 3 3 8" xfId="16925"/>
    <cellStyle name="20% - Accent5 4 2 3 3 9" xfId="16926"/>
    <cellStyle name="20% - Accent5 4 2 3 4" xfId="16927"/>
    <cellStyle name="20% - Accent5 4 2 3 4 2" xfId="16928"/>
    <cellStyle name="20% - Accent5 4 2 3 4 2 2" xfId="16929"/>
    <cellStyle name="20% - Accent5 4 2 3 4 2 2 2" xfId="16930"/>
    <cellStyle name="20% - Accent5 4 2 3 4 2 2 3" xfId="16931"/>
    <cellStyle name="20% - Accent5 4 2 3 4 2 3" xfId="16932"/>
    <cellStyle name="20% - Accent5 4 2 3 4 2 3 2" xfId="16933"/>
    <cellStyle name="20% - Accent5 4 2 3 4 2 3 3" xfId="16934"/>
    <cellStyle name="20% - Accent5 4 2 3 4 2 4" xfId="16935"/>
    <cellStyle name="20% - Accent5 4 2 3 4 2 4 2" xfId="16936"/>
    <cellStyle name="20% - Accent5 4 2 3 4 2 5" xfId="16937"/>
    <cellStyle name="20% - Accent5 4 2 3 4 2 6" xfId="16938"/>
    <cellStyle name="20% - Accent5 4 2 3 4 3" xfId="16939"/>
    <cellStyle name="20% - Accent5 4 2 3 4 3 2" xfId="16940"/>
    <cellStyle name="20% - Accent5 4 2 3 4 3 2 2" xfId="16941"/>
    <cellStyle name="20% - Accent5 4 2 3 4 3 2 3" xfId="16942"/>
    <cellStyle name="20% - Accent5 4 2 3 4 3 3" xfId="16943"/>
    <cellStyle name="20% - Accent5 4 2 3 4 3 3 2" xfId="16944"/>
    <cellStyle name="20% - Accent5 4 2 3 4 3 3 3" xfId="16945"/>
    <cellStyle name="20% - Accent5 4 2 3 4 3 4" xfId="16946"/>
    <cellStyle name="20% - Accent5 4 2 3 4 3 4 2" xfId="16947"/>
    <cellStyle name="20% - Accent5 4 2 3 4 3 5" xfId="16948"/>
    <cellStyle name="20% - Accent5 4 2 3 4 3 6" xfId="16949"/>
    <cellStyle name="20% - Accent5 4 2 3 4 4" xfId="16950"/>
    <cellStyle name="20% - Accent5 4 2 3 4 4 2" xfId="16951"/>
    <cellStyle name="20% - Accent5 4 2 3 4 4 2 2" xfId="16952"/>
    <cellStyle name="20% - Accent5 4 2 3 4 4 2 3" xfId="16953"/>
    <cellStyle name="20% - Accent5 4 2 3 4 4 3" xfId="16954"/>
    <cellStyle name="20% - Accent5 4 2 3 4 4 3 2" xfId="16955"/>
    <cellStyle name="20% - Accent5 4 2 3 4 4 4" xfId="16956"/>
    <cellStyle name="20% - Accent5 4 2 3 4 4 5" xfId="16957"/>
    <cellStyle name="20% - Accent5 4 2 3 4 5" xfId="16958"/>
    <cellStyle name="20% - Accent5 4 2 3 4 5 2" xfId="16959"/>
    <cellStyle name="20% - Accent5 4 2 3 4 5 3" xfId="16960"/>
    <cellStyle name="20% - Accent5 4 2 3 4 6" xfId="16961"/>
    <cellStyle name="20% - Accent5 4 2 3 4 6 2" xfId="16962"/>
    <cellStyle name="20% - Accent5 4 2 3 4 6 3" xfId="16963"/>
    <cellStyle name="20% - Accent5 4 2 3 4 7" xfId="16964"/>
    <cellStyle name="20% - Accent5 4 2 3 4 7 2" xfId="16965"/>
    <cellStyle name="20% - Accent5 4 2 3 4 8" xfId="16966"/>
    <cellStyle name="20% - Accent5 4 2 3 4 9" xfId="16967"/>
    <cellStyle name="20% - Accent5 4 2 3 5" xfId="16968"/>
    <cellStyle name="20% - Accent5 4 2 3 5 2" xfId="16969"/>
    <cellStyle name="20% - Accent5 4 2 3 5 2 2" xfId="16970"/>
    <cellStyle name="20% - Accent5 4 2 3 5 2 3" xfId="16971"/>
    <cellStyle name="20% - Accent5 4 2 3 5 3" xfId="16972"/>
    <cellStyle name="20% - Accent5 4 2 3 5 3 2" xfId="16973"/>
    <cellStyle name="20% - Accent5 4 2 3 5 3 3" xfId="16974"/>
    <cellStyle name="20% - Accent5 4 2 3 5 4" xfId="16975"/>
    <cellStyle name="20% - Accent5 4 2 3 5 4 2" xfId="16976"/>
    <cellStyle name="20% - Accent5 4 2 3 5 5" xfId="16977"/>
    <cellStyle name="20% - Accent5 4 2 3 5 6" xfId="16978"/>
    <cellStyle name="20% - Accent5 4 2 3 6" xfId="16979"/>
    <cellStyle name="20% - Accent5 4 2 3 6 2" xfId="16980"/>
    <cellStyle name="20% - Accent5 4 2 3 6 2 2" xfId="16981"/>
    <cellStyle name="20% - Accent5 4 2 3 6 2 3" xfId="16982"/>
    <cellStyle name="20% - Accent5 4 2 3 6 3" xfId="16983"/>
    <cellStyle name="20% - Accent5 4 2 3 6 3 2" xfId="16984"/>
    <cellStyle name="20% - Accent5 4 2 3 6 3 3" xfId="16985"/>
    <cellStyle name="20% - Accent5 4 2 3 6 4" xfId="16986"/>
    <cellStyle name="20% - Accent5 4 2 3 6 4 2" xfId="16987"/>
    <cellStyle name="20% - Accent5 4 2 3 6 5" xfId="16988"/>
    <cellStyle name="20% - Accent5 4 2 3 6 6" xfId="16989"/>
    <cellStyle name="20% - Accent5 4 2 3 7" xfId="16990"/>
    <cellStyle name="20% - Accent5 4 2 3 7 2" xfId="16991"/>
    <cellStyle name="20% - Accent5 4 2 3 7 2 2" xfId="16992"/>
    <cellStyle name="20% - Accent5 4 2 3 7 2 3" xfId="16993"/>
    <cellStyle name="20% - Accent5 4 2 3 7 3" xfId="16994"/>
    <cellStyle name="20% - Accent5 4 2 3 7 3 2" xfId="16995"/>
    <cellStyle name="20% - Accent5 4 2 3 7 4" xfId="16996"/>
    <cellStyle name="20% - Accent5 4 2 3 7 5" xfId="16997"/>
    <cellStyle name="20% - Accent5 4 2 3 8" xfId="16998"/>
    <cellStyle name="20% - Accent5 4 2 3 8 2" xfId="16999"/>
    <cellStyle name="20% - Accent5 4 2 3 8 3" xfId="17000"/>
    <cellStyle name="20% - Accent5 4 2 3 9" xfId="17001"/>
    <cellStyle name="20% - Accent5 4 2 3 9 2" xfId="17002"/>
    <cellStyle name="20% - Accent5 4 2 3 9 3" xfId="17003"/>
    <cellStyle name="20% - Accent5 4 2 4" xfId="1142"/>
    <cellStyle name="20% - Accent5 4 2 4 10" xfId="17004"/>
    <cellStyle name="20% - Accent5 4 2 4 2" xfId="1143"/>
    <cellStyle name="20% - Accent5 4 2 4 2 2" xfId="17005"/>
    <cellStyle name="20% - Accent5 4 2 4 2 2 2" xfId="17006"/>
    <cellStyle name="20% - Accent5 4 2 4 2 2 2 2" xfId="17007"/>
    <cellStyle name="20% - Accent5 4 2 4 2 2 2 3" xfId="17008"/>
    <cellStyle name="20% - Accent5 4 2 4 2 2 3" xfId="17009"/>
    <cellStyle name="20% - Accent5 4 2 4 2 2 3 2" xfId="17010"/>
    <cellStyle name="20% - Accent5 4 2 4 2 2 3 3" xfId="17011"/>
    <cellStyle name="20% - Accent5 4 2 4 2 2 4" xfId="17012"/>
    <cellStyle name="20% - Accent5 4 2 4 2 2 4 2" xfId="17013"/>
    <cellStyle name="20% - Accent5 4 2 4 2 2 5" xfId="17014"/>
    <cellStyle name="20% - Accent5 4 2 4 2 2 6" xfId="17015"/>
    <cellStyle name="20% - Accent5 4 2 4 2 3" xfId="17016"/>
    <cellStyle name="20% - Accent5 4 2 4 2 3 2" xfId="17017"/>
    <cellStyle name="20% - Accent5 4 2 4 2 3 2 2" xfId="17018"/>
    <cellStyle name="20% - Accent5 4 2 4 2 3 2 3" xfId="17019"/>
    <cellStyle name="20% - Accent5 4 2 4 2 3 3" xfId="17020"/>
    <cellStyle name="20% - Accent5 4 2 4 2 3 3 2" xfId="17021"/>
    <cellStyle name="20% - Accent5 4 2 4 2 3 3 3" xfId="17022"/>
    <cellStyle name="20% - Accent5 4 2 4 2 3 4" xfId="17023"/>
    <cellStyle name="20% - Accent5 4 2 4 2 3 4 2" xfId="17024"/>
    <cellStyle name="20% - Accent5 4 2 4 2 3 5" xfId="17025"/>
    <cellStyle name="20% - Accent5 4 2 4 2 3 6" xfId="17026"/>
    <cellStyle name="20% - Accent5 4 2 4 2 4" xfId="17027"/>
    <cellStyle name="20% - Accent5 4 2 4 2 4 2" xfId="17028"/>
    <cellStyle name="20% - Accent5 4 2 4 2 4 2 2" xfId="17029"/>
    <cellStyle name="20% - Accent5 4 2 4 2 4 2 3" xfId="17030"/>
    <cellStyle name="20% - Accent5 4 2 4 2 4 3" xfId="17031"/>
    <cellStyle name="20% - Accent5 4 2 4 2 4 3 2" xfId="17032"/>
    <cellStyle name="20% - Accent5 4 2 4 2 4 4" xfId="17033"/>
    <cellStyle name="20% - Accent5 4 2 4 2 4 5" xfId="17034"/>
    <cellStyle name="20% - Accent5 4 2 4 2 5" xfId="17035"/>
    <cellStyle name="20% - Accent5 4 2 4 2 5 2" xfId="17036"/>
    <cellStyle name="20% - Accent5 4 2 4 2 5 3" xfId="17037"/>
    <cellStyle name="20% - Accent5 4 2 4 2 6" xfId="17038"/>
    <cellStyle name="20% - Accent5 4 2 4 2 6 2" xfId="17039"/>
    <cellStyle name="20% - Accent5 4 2 4 2 6 3" xfId="17040"/>
    <cellStyle name="20% - Accent5 4 2 4 2 7" xfId="17041"/>
    <cellStyle name="20% - Accent5 4 2 4 2 7 2" xfId="17042"/>
    <cellStyle name="20% - Accent5 4 2 4 2 8" xfId="17043"/>
    <cellStyle name="20% - Accent5 4 2 4 2 9" xfId="17044"/>
    <cellStyle name="20% - Accent5 4 2 4 3" xfId="17045"/>
    <cellStyle name="20% - Accent5 4 2 4 3 2" xfId="17046"/>
    <cellStyle name="20% - Accent5 4 2 4 3 2 2" xfId="17047"/>
    <cellStyle name="20% - Accent5 4 2 4 3 2 3" xfId="17048"/>
    <cellStyle name="20% - Accent5 4 2 4 3 3" xfId="17049"/>
    <cellStyle name="20% - Accent5 4 2 4 3 3 2" xfId="17050"/>
    <cellStyle name="20% - Accent5 4 2 4 3 3 3" xfId="17051"/>
    <cellStyle name="20% - Accent5 4 2 4 3 4" xfId="17052"/>
    <cellStyle name="20% - Accent5 4 2 4 3 4 2" xfId="17053"/>
    <cellStyle name="20% - Accent5 4 2 4 3 5" xfId="17054"/>
    <cellStyle name="20% - Accent5 4 2 4 3 6" xfId="17055"/>
    <cellStyle name="20% - Accent5 4 2 4 4" xfId="17056"/>
    <cellStyle name="20% - Accent5 4 2 4 4 2" xfId="17057"/>
    <cellStyle name="20% - Accent5 4 2 4 4 2 2" xfId="17058"/>
    <cellStyle name="20% - Accent5 4 2 4 4 2 3" xfId="17059"/>
    <cellStyle name="20% - Accent5 4 2 4 4 3" xfId="17060"/>
    <cellStyle name="20% - Accent5 4 2 4 4 3 2" xfId="17061"/>
    <cellStyle name="20% - Accent5 4 2 4 4 3 3" xfId="17062"/>
    <cellStyle name="20% - Accent5 4 2 4 4 4" xfId="17063"/>
    <cellStyle name="20% - Accent5 4 2 4 4 4 2" xfId="17064"/>
    <cellStyle name="20% - Accent5 4 2 4 4 5" xfId="17065"/>
    <cellStyle name="20% - Accent5 4 2 4 4 6" xfId="17066"/>
    <cellStyle name="20% - Accent5 4 2 4 5" xfId="17067"/>
    <cellStyle name="20% - Accent5 4 2 4 5 2" xfId="17068"/>
    <cellStyle name="20% - Accent5 4 2 4 5 2 2" xfId="17069"/>
    <cellStyle name="20% - Accent5 4 2 4 5 2 3" xfId="17070"/>
    <cellStyle name="20% - Accent5 4 2 4 5 3" xfId="17071"/>
    <cellStyle name="20% - Accent5 4 2 4 5 3 2" xfId="17072"/>
    <cellStyle name="20% - Accent5 4 2 4 5 4" xfId="17073"/>
    <cellStyle name="20% - Accent5 4 2 4 5 5" xfId="17074"/>
    <cellStyle name="20% - Accent5 4 2 4 6" xfId="17075"/>
    <cellStyle name="20% - Accent5 4 2 4 6 2" xfId="17076"/>
    <cellStyle name="20% - Accent5 4 2 4 6 3" xfId="17077"/>
    <cellStyle name="20% - Accent5 4 2 4 7" xfId="17078"/>
    <cellStyle name="20% - Accent5 4 2 4 7 2" xfId="17079"/>
    <cellStyle name="20% - Accent5 4 2 4 7 3" xfId="17080"/>
    <cellStyle name="20% - Accent5 4 2 4 8" xfId="17081"/>
    <cellStyle name="20% - Accent5 4 2 4 8 2" xfId="17082"/>
    <cellStyle name="20% - Accent5 4 2 4 9" xfId="17083"/>
    <cellStyle name="20% - Accent5 4 2 5" xfId="1144"/>
    <cellStyle name="20% - Accent5 4 2 5 2" xfId="17084"/>
    <cellStyle name="20% - Accent5 4 2 5 2 2" xfId="17085"/>
    <cellStyle name="20% - Accent5 4 2 5 2 2 2" xfId="17086"/>
    <cellStyle name="20% - Accent5 4 2 5 2 2 3" xfId="17087"/>
    <cellStyle name="20% - Accent5 4 2 5 2 3" xfId="17088"/>
    <cellStyle name="20% - Accent5 4 2 5 2 3 2" xfId="17089"/>
    <cellStyle name="20% - Accent5 4 2 5 2 3 3" xfId="17090"/>
    <cellStyle name="20% - Accent5 4 2 5 2 4" xfId="17091"/>
    <cellStyle name="20% - Accent5 4 2 5 2 4 2" xfId="17092"/>
    <cellStyle name="20% - Accent5 4 2 5 2 5" xfId="17093"/>
    <cellStyle name="20% - Accent5 4 2 5 2 6" xfId="17094"/>
    <cellStyle name="20% - Accent5 4 2 5 3" xfId="17095"/>
    <cellStyle name="20% - Accent5 4 2 5 3 2" xfId="17096"/>
    <cellStyle name="20% - Accent5 4 2 5 3 2 2" xfId="17097"/>
    <cellStyle name="20% - Accent5 4 2 5 3 2 3" xfId="17098"/>
    <cellStyle name="20% - Accent5 4 2 5 3 3" xfId="17099"/>
    <cellStyle name="20% - Accent5 4 2 5 3 3 2" xfId="17100"/>
    <cellStyle name="20% - Accent5 4 2 5 3 3 3" xfId="17101"/>
    <cellStyle name="20% - Accent5 4 2 5 3 4" xfId="17102"/>
    <cellStyle name="20% - Accent5 4 2 5 3 4 2" xfId="17103"/>
    <cellStyle name="20% - Accent5 4 2 5 3 5" xfId="17104"/>
    <cellStyle name="20% - Accent5 4 2 5 3 6" xfId="17105"/>
    <cellStyle name="20% - Accent5 4 2 5 4" xfId="17106"/>
    <cellStyle name="20% - Accent5 4 2 5 4 2" xfId="17107"/>
    <cellStyle name="20% - Accent5 4 2 5 4 2 2" xfId="17108"/>
    <cellStyle name="20% - Accent5 4 2 5 4 2 3" xfId="17109"/>
    <cellStyle name="20% - Accent5 4 2 5 4 3" xfId="17110"/>
    <cellStyle name="20% - Accent5 4 2 5 4 3 2" xfId="17111"/>
    <cellStyle name="20% - Accent5 4 2 5 4 4" xfId="17112"/>
    <cellStyle name="20% - Accent5 4 2 5 4 5" xfId="17113"/>
    <cellStyle name="20% - Accent5 4 2 5 5" xfId="17114"/>
    <cellStyle name="20% - Accent5 4 2 5 5 2" xfId="17115"/>
    <cellStyle name="20% - Accent5 4 2 5 5 3" xfId="17116"/>
    <cellStyle name="20% - Accent5 4 2 5 6" xfId="17117"/>
    <cellStyle name="20% - Accent5 4 2 5 6 2" xfId="17118"/>
    <cellStyle name="20% - Accent5 4 2 5 6 3" xfId="17119"/>
    <cellStyle name="20% - Accent5 4 2 5 7" xfId="17120"/>
    <cellStyle name="20% - Accent5 4 2 5 7 2" xfId="17121"/>
    <cellStyle name="20% - Accent5 4 2 5 8" xfId="17122"/>
    <cellStyle name="20% - Accent5 4 2 5 9" xfId="17123"/>
    <cellStyle name="20% - Accent5 4 2 6" xfId="17124"/>
    <cellStyle name="20% - Accent5 4 2 6 2" xfId="17125"/>
    <cellStyle name="20% - Accent5 4 2 6 2 2" xfId="17126"/>
    <cellStyle name="20% - Accent5 4 2 6 2 2 2" xfId="17127"/>
    <cellStyle name="20% - Accent5 4 2 6 2 2 3" xfId="17128"/>
    <cellStyle name="20% - Accent5 4 2 6 2 3" xfId="17129"/>
    <cellStyle name="20% - Accent5 4 2 6 2 3 2" xfId="17130"/>
    <cellStyle name="20% - Accent5 4 2 6 2 3 3" xfId="17131"/>
    <cellStyle name="20% - Accent5 4 2 6 2 4" xfId="17132"/>
    <cellStyle name="20% - Accent5 4 2 6 2 4 2" xfId="17133"/>
    <cellStyle name="20% - Accent5 4 2 6 2 5" xfId="17134"/>
    <cellStyle name="20% - Accent5 4 2 6 2 6" xfId="17135"/>
    <cellStyle name="20% - Accent5 4 2 6 3" xfId="17136"/>
    <cellStyle name="20% - Accent5 4 2 6 3 2" xfId="17137"/>
    <cellStyle name="20% - Accent5 4 2 6 3 2 2" xfId="17138"/>
    <cellStyle name="20% - Accent5 4 2 6 3 2 3" xfId="17139"/>
    <cellStyle name="20% - Accent5 4 2 6 3 3" xfId="17140"/>
    <cellStyle name="20% - Accent5 4 2 6 3 3 2" xfId="17141"/>
    <cellStyle name="20% - Accent5 4 2 6 3 3 3" xfId="17142"/>
    <cellStyle name="20% - Accent5 4 2 6 3 4" xfId="17143"/>
    <cellStyle name="20% - Accent5 4 2 6 3 4 2" xfId="17144"/>
    <cellStyle name="20% - Accent5 4 2 6 3 5" xfId="17145"/>
    <cellStyle name="20% - Accent5 4 2 6 3 6" xfId="17146"/>
    <cellStyle name="20% - Accent5 4 2 6 4" xfId="17147"/>
    <cellStyle name="20% - Accent5 4 2 6 4 2" xfId="17148"/>
    <cellStyle name="20% - Accent5 4 2 6 4 2 2" xfId="17149"/>
    <cellStyle name="20% - Accent5 4 2 6 4 2 3" xfId="17150"/>
    <cellStyle name="20% - Accent5 4 2 6 4 3" xfId="17151"/>
    <cellStyle name="20% - Accent5 4 2 6 4 3 2" xfId="17152"/>
    <cellStyle name="20% - Accent5 4 2 6 4 4" xfId="17153"/>
    <cellStyle name="20% - Accent5 4 2 6 4 5" xfId="17154"/>
    <cellStyle name="20% - Accent5 4 2 6 5" xfId="17155"/>
    <cellStyle name="20% - Accent5 4 2 6 5 2" xfId="17156"/>
    <cellStyle name="20% - Accent5 4 2 6 5 3" xfId="17157"/>
    <cellStyle name="20% - Accent5 4 2 6 6" xfId="17158"/>
    <cellStyle name="20% - Accent5 4 2 6 6 2" xfId="17159"/>
    <cellStyle name="20% - Accent5 4 2 6 6 3" xfId="17160"/>
    <cellStyle name="20% - Accent5 4 2 6 7" xfId="17161"/>
    <cellStyle name="20% - Accent5 4 2 6 7 2" xfId="17162"/>
    <cellStyle name="20% - Accent5 4 2 6 8" xfId="17163"/>
    <cellStyle name="20% - Accent5 4 2 6 9" xfId="17164"/>
    <cellStyle name="20% - Accent5 4 2 7" xfId="17165"/>
    <cellStyle name="20% - Accent5 4 2 7 2" xfId="17166"/>
    <cellStyle name="20% - Accent5 4 2 7 2 2" xfId="17167"/>
    <cellStyle name="20% - Accent5 4 2 7 2 3" xfId="17168"/>
    <cellStyle name="20% - Accent5 4 2 7 3" xfId="17169"/>
    <cellStyle name="20% - Accent5 4 2 7 3 2" xfId="17170"/>
    <cellStyle name="20% - Accent5 4 2 7 3 3" xfId="17171"/>
    <cellStyle name="20% - Accent5 4 2 7 4" xfId="17172"/>
    <cellStyle name="20% - Accent5 4 2 7 4 2" xfId="17173"/>
    <cellStyle name="20% - Accent5 4 2 7 5" xfId="17174"/>
    <cellStyle name="20% - Accent5 4 2 7 6" xfId="17175"/>
    <cellStyle name="20% - Accent5 4 2 8" xfId="17176"/>
    <cellStyle name="20% - Accent5 4 2 8 2" xfId="17177"/>
    <cellStyle name="20% - Accent5 4 2 8 2 2" xfId="17178"/>
    <cellStyle name="20% - Accent5 4 2 8 2 3" xfId="17179"/>
    <cellStyle name="20% - Accent5 4 2 8 3" xfId="17180"/>
    <cellStyle name="20% - Accent5 4 2 8 3 2" xfId="17181"/>
    <cellStyle name="20% - Accent5 4 2 8 3 3" xfId="17182"/>
    <cellStyle name="20% - Accent5 4 2 8 4" xfId="17183"/>
    <cellStyle name="20% - Accent5 4 2 8 4 2" xfId="17184"/>
    <cellStyle name="20% - Accent5 4 2 8 5" xfId="17185"/>
    <cellStyle name="20% - Accent5 4 2 8 6" xfId="17186"/>
    <cellStyle name="20% - Accent5 4 2 9" xfId="17187"/>
    <cellStyle name="20% - Accent5 4 2 9 2" xfId="17188"/>
    <cellStyle name="20% - Accent5 4 2 9 2 2" xfId="17189"/>
    <cellStyle name="20% - Accent5 4 2 9 2 3" xfId="17190"/>
    <cellStyle name="20% - Accent5 4 2 9 3" xfId="17191"/>
    <cellStyle name="20% - Accent5 4 2 9 3 2" xfId="17192"/>
    <cellStyle name="20% - Accent5 4 2 9 4" xfId="17193"/>
    <cellStyle name="20% - Accent5 4 2 9 5" xfId="17194"/>
    <cellStyle name="20% - Accent5 4 3" xfId="1145"/>
    <cellStyle name="20% - Accent5 4 3 10" xfId="17195"/>
    <cellStyle name="20% - Accent5 4 3 10 2" xfId="17196"/>
    <cellStyle name="20% - Accent5 4 3 10 3" xfId="17197"/>
    <cellStyle name="20% - Accent5 4 3 11" xfId="17198"/>
    <cellStyle name="20% - Accent5 4 3 11 2" xfId="17199"/>
    <cellStyle name="20% - Accent5 4 3 12" xfId="17200"/>
    <cellStyle name="20% - Accent5 4 3 13" xfId="17201"/>
    <cellStyle name="20% - Accent5 4 3 14" xfId="17202"/>
    <cellStyle name="20% - Accent5 4 3 2" xfId="1146"/>
    <cellStyle name="20% - Accent5 4 3 2 10" xfId="17203"/>
    <cellStyle name="20% - Accent5 4 3 2 10 2" xfId="17204"/>
    <cellStyle name="20% - Accent5 4 3 2 11" xfId="17205"/>
    <cellStyle name="20% - Accent5 4 3 2 12" xfId="17206"/>
    <cellStyle name="20% - Accent5 4 3 2 2" xfId="1147"/>
    <cellStyle name="20% - Accent5 4 3 2 2 10" xfId="17207"/>
    <cellStyle name="20% - Accent5 4 3 2 2 2" xfId="1148"/>
    <cellStyle name="20% - Accent5 4 3 2 2 2 2" xfId="17208"/>
    <cellStyle name="20% - Accent5 4 3 2 2 2 2 2" xfId="17209"/>
    <cellStyle name="20% - Accent5 4 3 2 2 2 2 2 2" xfId="17210"/>
    <cellStyle name="20% - Accent5 4 3 2 2 2 2 2 3" xfId="17211"/>
    <cellStyle name="20% - Accent5 4 3 2 2 2 2 3" xfId="17212"/>
    <cellStyle name="20% - Accent5 4 3 2 2 2 2 3 2" xfId="17213"/>
    <cellStyle name="20% - Accent5 4 3 2 2 2 2 3 3" xfId="17214"/>
    <cellStyle name="20% - Accent5 4 3 2 2 2 2 4" xfId="17215"/>
    <cellStyle name="20% - Accent5 4 3 2 2 2 2 4 2" xfId="17216"/>
    <cellStyle name="20% - Accent5 4 3 2 2 2 2 5" xfId="17217"/>
    <cellStyle name="20% - Accent5 4 3 2 2 2 2 6" xfId="17218"/>
    <cellStyle name="20% - Accent5 4 3 2 2 2 3" xfId="17219"/>
    <cellStyle name="20% - Accent5 4 3 2 2 2 3 2" xfId="17220"/>
    <cellStyle name="20% - Accent5 4 3 2 2 2 3 2 2" xfId="17221"/>
    <cellStyle name="20% - Accent5 4 3 2 2 2 3 2 3" xfId="17222"/>
    <cellStyle name="20% - Accent5 4 3 2 2 2 3 3" xfId="17223"/>
    <cellStyle name="20% - Accent5 4 3 2 2 2 3 3 2" xfId="17224"/>
    <cellStyle name="20% - Accent5 4 3 2 2 2 3 3 3" xfId="17225"/>
    <cellStyle name="20% - Accent5 4 3 2 2 2 3 4" xfId="17226"/>
    <cellStyle name="20% - Accent5 4 3 2 2 2 3 4 2" xfId="17227"/>
    <cellStyle name="20% - Accent5 4 3 2 2 2 3 5" xfId="17228"/>
    <cellStyle name="20% - Accent5 4 3 2 2 2 3 6" xfId="17229"/>
    <cellStyle name="20% - Accent5 4 3 2 2 2 4" xfId="17230"/>
    <cellStyle name="20% - Accent5 4 3 2 2 2 4 2" xfId="17231"/>
    <cellStyle name="20% - Accent5 4 3 2 2 2 4 2 2" xfId="17232"/>
    <cellStyle name="20% - Accent5 4 3 2 2 2 4 2 3" xfId="17233"/>
    <cellStyle name="20% - Accent5 4 3 2 2 2 4 3" xfId="17234"/>
    <cellStyle name="20% - Accent5 4 3 2 2 2 4 3 2" xfId="17235"/>
    <cellStyle name="20% - Accent5 4 3 2 2 2 4 4" xfId="17236"/>
    <cellStyle name="20% - Accent5 4 3 2 2 2 4 5" xfId="17237"/>
    <cellStyle name="20% - Accent5 4 3 2 2 2 5" xfId="17238"/>
    <cellStyle name="20% - Accent5 4 3 2 2 2 5 2" xfId="17239"/>
    <cellStyle name="20% - Accent5 4 3 2 2 2 5 3" xfId="17240"/>
    <cellStyle name="20% - Accent5 4 3 2 2 2 6" xfId="17241"/>
    <cellStyle name="20% - Accent5 4 3 2 2 2 6 2" xfId="17242"/>
    <cellStyle name="20% - Accent5 4 3 2 2 2 6 3" xfId="17243"/>
    <cellStyle name="20% - Accent5 4 3 2 2 2 7" xfId="17244"/>
    <cellStyle name="20% - Accent5 4 3 2 2 2 7 2" xfId="17245"/>
    <cellStyle name="20% - Accent5 4 3 2 2 2 8" xfId="17246"/>
    <cellStyle name="20% - Accent5 4 3 2 2 2 9" xfId="17247"/>
    <cellStyle name="20% - Accent5 4 3 2 2 3" xfId="17248"/>
    <cellStyle name="20% - Accent5 4 3 2 2 3 2" xfId="17249"/>
    <cellStyle name="20% - Accent5 4 3 2 2 3 2 2" xfId="17250"/>
    <cellStyle name="20% - Accent5 4 3 2 2 3 2 3" xfId="17251"/>
    <cellStyle name="20% - Accent5 4 3 2 2 3 3" xfId="17252"/>
    <cellStyle name="20% - Accent5 4 3 2 2 3 3 2" xfId="17253"/>
    <cellStyle name="20% - Accent5 4 3 2 2 3 3 3" xfId="17254"/>
    <cellStyle name="20% - Accent5 4 3 2 2 3 4" xfId="17255"/>
    <cellStyle name="20% - Accent5 4 3 2 2 3 4 2" xfId="17256"/>
    <cellStyle name="20% - Accent5 4 3 2 2 3 5" xfId="17257"/>
    <cellStyle name="20% - Accent5 4 3 2 2 3 6" xfId="17258"/>
    <cellStyle name="20% - Accent5 4 3 2 2 4" xfId="17259"/>
    <cellStyle name="20% - Accent5 4 3 2 2 4 2" xfId="17260"/>
    <cellStyle name="20% - Accent5 4 3 2 2 4 2 2" xfId="17261"/>
    <cellStyle name="20% - Accent5 4 3 2 2 4 2 3" xfId="17262"/>
    <cellStyle name="20% - Accent5 4 3 2 2 4 3" xfId="17263"/>
    <cellStyle name="20% - Accent5 4 3 2 2 4 3 2" xfId="17264"/>
    <cellStyle name="20% - Accent5 4 3 2 2 4 3 3" xfId="17265"/>
    <cellStyle name="20% - Accent5 4 3 2 2 4 4" xfId="17266"/>
    <cellStyle name="20% - Accent5 4 3 2 2 4 4 2" xfId="17267"/>
    <cellStyle name="20% - Accent5 4 3 2 2 4 5" xfId="17268"/>
    <cellStyle name="20% - Accent5 4 3 2 2 4 6" xfId="17269"/>
    <cellStyle name="20% - Accent5 4 3 2 2 5" xfId="17270"/>
    <cellStyle name="20% - Accent5 4 3 2 2 5 2" xfId="17271"/>
    <cellStyle name="20% - Accent5 4 3 2 2 5 2 2" xfId="17272"/>
    <cellStyle name="20% - Accent5 4 3 2 2 5 2 3" xfId="17273"/>
    <cellStyle name="20% - Accent5 4 3 2 2 5 3" xfId="17274"/>
    <cellStyle name="20% - Accent5 4 3 2 2 5 3 2" xfId="17275"/>
    <cellStyle name="20% - Accent5 4 3 2 2 5 4" xfId="17276"/>
    <cellStyle name="20% - Accent5 4 3 2 2 5 5" xfId="17277"/>
    <cellStyle name="20% - Accent5 4 3 2 2 6" xfId="17278"/>
    <cellStyle name="20% - Accent5 4 3 2 2 6 2" xfId="17279"/>
    <cellStyle name="20% - Accent5 4 3 2 2 6 3" xfId="17280"/>
    <cellStyle name="20% - Accent5 4 3 2 2 7" xfId="17281"/>
    <cellStyle name="20% - Accent5 4 3 2 2 7 2" xfId="17282"/>
    <cellStyle name="20% - Accent5 4 3 2 2 7 3" xfId="17283"/>
    <cellStyle name="20% - Accent5 4 3 2 2 8" xfId="17284"/>
    <cellStyle name="20% - Accent5 4 3 2 2 8 2" xfId="17285"/>
    <cellStyle name="20% - Accent5 4 3 2 2 9" xfId="17286"/>
    <cellStyle name="20% - Accent5 4 3 2 3" xfId="1149"/>
    <cellStyle name="20% - Accent5 4 3 2 3 2" xfId="17287"/>
    <cellStyle name="20% - Accent5 4 3 2 3 2 2" xfId="17288"/>
    <cellStyle name="20% - Accent5 4 3 2 3 2 2 2" xfId="17289"/>
    <cellStyle name="20% - Accent5 4 3 2 3 2 2 3" xfId="17290"/>
    <cellStyle name="20% - Accent5 4 3 2 3 2 3" xfId="17291"/>
    <cellStyle name="20% - Accent5 4 3 2 3 2 3 2" xfId="17292"/>
    <cellStyle name="20% - Accent5 4 3 2 3 2 3 3" xfId="17293"/>
    <cellStyle name="20% - Accent5 4 3 2 3 2 4" xfId="17294"/>
    <cellStyle name="20% - Accent5 4 3 2 3 2 4 2" xfId="17295"/>
    <cellStyle name="20% - Accent5 4 3 2 3 2 5" xfId="17296"/>
    <cellStyle name="20% - Accent5 4 3 2 3 2 6" xfId="17297"/>
    <cellStyle name="20% - Accent5 4 3 2 3 3" xfId="17298"/>
    <cellStyle name="20% - Accent5 4 3 2 3 3 2" xfId="17299"/>
    <cellStyle name="20% - Accent5 4 3 2 3 3 2 2" xfId="17300"/>
    <cellStyle name="20% - Accent5 4 3 2 3 3 2 3" xfId="17301"/>
    <cellStyle name="20% - Accent5 4 3 2 3 3 3" xfId="17302"/>
    <cellStyle name="20% - Accent5 4 3 2 3 3 3 2" xfId="17303"/>
    <cellStyle name="20% - Accent5 4 3 2 3 3 3 3" xfId="17304"/>
    <cellStyle name="20% - Accent5 4 3 2 3 3 4" xfId="17305"/>
    <cellStyle name="20% - Accent5 4 3 2 3 3 4 2" xfId="17306"/>
    <cellStyle name="20% - Accent5 4 3 2 3 3 5" xfId="17307"/>
    <cellStyle name="20% - Accent5 4 3 2 3 3 6" xfId="17308"/>
    <cellStyle name="20% - Accent5 4 3 2 3 4" xfId="17309"/>
    <cellStyle name="20% - Accent5 4 3 2 3 4 2" xfId="17310"/>
    <cellStyle name="20% - Accent5 4 3 2 3 4 2 2" xfId="17311"/>
    <cellStyle name="20% - Accent5 4 3 2 3 4 2 3" xfId="17312"/>
    <cellStyle name="20% - Accent5 4 3 2 3 4 3" xfId="17313"/>
    <cellStyle name="20% - Accent5 4 3 2 3 4 3 2" xfId="17314"/>
    <cellStyle name="20% - Accent5 4 3 2 3 4 4" xfId="17315"/>
    <cellStyle name="20% - Accent5 4 3 2 3 4 5" xfId="17316"/>
    <cellStyle name="20% - Accent5 4 3 2 3 5" xfId="17317"/>
    <cellStyle name="20% - Accent5 4 3 2 3 5 2" xfId="17318"/>
    <cellStyle name="20% - Accent5 4 3 2 3 5 3" xfId="17319"/>
    <cellStyle name="20% - Accent5 4 3 2 3 6" xfId="17320"/>
    <cellStyle name="20% - Accent5 4 3 2 3 6 2" xfId="17321"/>
    <cellStyle name="20% - Accent5 4 3 2 3 6 3" xfId="17322"/>
    <cellStyle name="20% - Accent5 4 3 2 3 7" xfId="17323"/>
    <cellStyle name="20% - Accent5 4 3 2 3 7 2" xfId="17324"/>
    <cellStyle name="20% - Accent5 4 3 2 3 8" xfId="17325"/>
    <cellStyle name="20% - Accent5 4 3 2 3 9" xfId="17326"/>
    <cellStyle name="20% - Accent5 4 3 2 4" xfId="17327"/>
    <cellStyle name="20% - Accent5 4 3 2 4 2" xfId="17328"/>
    <cellStyle name="20% - Accent5 4 3 2 4 2 2" xfId="17329"/>
    <cellStyle name="20% - Accent5 4 3 2 4 2 2 2" xfId="17330"/>
    <cellStyle name="20% - Accent5 4 3 2 4 2 2 3" xfId="17331"/>
    <cellStyle name="20% - Accent5 4 3 2 4 2 3" xfId="17332"/>
    <cellStyle name="20% - Accent5 4 3 2 4 2 3 2" xfId="17333"/>
    <cellStyle name="20% - Accent5 4 3 2 4 2 3 3" xfId="17334"/>
    <cellStyle name="20% - Accent5 4 3 2 4 2 4" xfId="17335"/>
    <cellStyle name="20% - Accent5 4 3 2 4 2 4 2" xfId="17336"/>
    <cellStyle name="20% - Accent5 4 3 2 4 2 5" xfId="17337"/>
    <cellStyle name="20% - Accent5 4 3 2 4 2 6" xfId="17338"/>
    <cellStyle name="20% - Accent5 4 3 2 4 3" xfId="17339"/>
    <cellStyle name="20% - Accent5 4 3 2 4 3 2" xfId="17340"/>
    <cellStyle name="20% - Accent5 4 3 2 4 3 2 2" xfId="17341"/>
    <cellStyle name="20% - Accent5 4 3 2 4 3 2 3" xfId="17342"/>
    <cellStyle name="20% - Accent5 4 3 2 4 3 3" xfId="17343"/>
    <cellStyle name="20% - Accent5 4 3 2 4 3 3 2" xfId="17344"/>
    <cellStyle name="20% - Accent5 4 3 2 4 3 3 3" xfId="17345"/>
    <cellStyle name="20% - Accent5 4 3 2 4 3 4" xfId="17346"/>
    <cellStyle name="20% - Accent5 4 3 2 4 3 4 2" xfId="17347"/>
    <cellStyle name="20% - Accent5 4 3 2 4 3 5" xfId="17348"/>
    <cellStyle name="20% - Accent5 4 3 2 4 3 6" xfId="17349"/>
    <cellStyle name="20% - Accent5 4 3 2 4 4" xfId="17350"/>
    <cellStyle name="20% - Accent5 4 3 2 4 4 2" xfId="17351"/>
    <cellStyle name="20% - Accent5 4 3 2 4 4 2 2" xfId="17352"/>
    <cellStyle name="20% - Accent5 4 3 2 4 4 2 3" xfId="17353"/>
    <cellStyle name="20% - Accent5 4 3 2 4 4 3" xfId="17354"/>
    <cellStyle name="20% - Accent5 4 3 2 4 4 3 2" xfId="17355"/>
    <cellStyle name="20% - Accent5 4 3 2 4 4 4" xfId="17356"/>
    <cellStyle name="20% - Accent5 4 3 2 4 4 5" xfId="17357"/>
    <cellStyle name="20% - Accent5 4 3 2 4 5" xfId="17358"/>
    <cellStyle name="20% - Accent5 4 3 2 4 5 2" xfId="17359"/>
    <cellStyle name="20% - Accent5 4 3 2 4 5 3" xfId="17360"/>
    <cellStyle name="20% - Accent5 4 3 2 4 6" xfId="17361"/>
    <cellStyle name="20% - Accent5 4 3 2 4 6 2" xfId="17362"/>
    <cellStyle name="20% - Accent5 4 3 2 4 6 3" xfId="17363"/>
    <cellStyle name="20% - Accent5 4 3 2 4 7" xfId="17364"/>
    <cellStyle name="20% - Accent5 4 3 2 4 7 2" xfId="17365"/>
    <cellStyle name="20% - Accent5 4 3 2 4 8" xfId="17366"/>
    <cellStyle name="20% - Accent5 4 3 2 4 9" xfId="17367"/>
    <cellStyle name="20% - Accent5 4 3 2 5" xfId="17368"/>
    <cellStyle name="20% - Accent5 4 3 2 5 2" xfId="17369"/>
    <cellStyle name="20% - Accent5 4 3 2 5 2 2" xfId="17370"/>
    <cellStyle name="20% - Accent5 4 3 2 5 2 3" xfId="17371"/>
    <cellStyle name="20% - Accent5 4 3 2 5 3" xfId="17372"/>
    <cellStyle name="20% - Accent5 4 3 2 5 3 2" xfId="17373"/>
    <cellStyle name="20% - Accent5 4 3 2 5 3 3" xfId="17374"/>
    <cellStyle name="20% - Accent5 4 3 2 5 4" xfId="17375"/>
    <cellStyle name="20% - Accent5 4 3 2 5 4 2" xfId="17376"/>
    <cellStyle name="20% - Accent5 4 3 2 5 5" xfId="17377"/>
    <cellStyle name="20% - Accent5 4 3 2 5 6" xfId="17378"/>
    <cellStyle name="20% - Accent5 4 3 2 6" xfId="17379"/>
    <cellStyle name="20% - Accent5 4 3 2 6 2" xfId="17380"/>
    <cellStyle name="20% - Accent5 4 3 2 6 2 2" xfId="17381"/>
    <cellStyle name="20% - Accent5 4 3 2 6 2 3" xfId="17382"/>
    <cellStyle name="20% - Accent5 4 3 2 6 3" xfId="17383"/>
    <cellStyle name="20% - Accent5 4 3 2 6 3 2" xfId="17384"/>
    <cellStyle name="20% - Accent5 4 3 2 6 3 3" xfId="17385"/>
    <cellStyle name="20% - Accent5 4 3 2 6 4" xfId="17386"/>
    <cellStyle name="20% - Accent5 4 3 2 6 4 2" xfId="17387"/>
    <cellStyle name="20% - Accent5 4 3 2 6 5" xfId="17388"/>
    <cellStyle name="20% - Accent5 4 3 2 6 6" xfId="17389"/>
    <cellStyle name="20% - Accent5 4 3 2 7" xfId="17390"/>
    <cellStyle name="20% - Accent5 4 3 2 7 2" xfId="17391"/>
    <cellStyle name="20% - Accent5 4 3 2 7 2 2" xfId="17392"/>
    <cellStyle name="20% - Accent5 4 3 2 7 2 3" xfId="17393"/>
    <cellStyle name="20% - Accent5 4 3 2 7 3" xfId="17394"/>
    <cellStyle name="20% - Accent5 4 3 2 7 3 2" xfId="17395"/>
    <cellStyle name="20% - Accent5 4 3 2 7 4" xfId="17396"/>
    <cellStyle name="20% - Accent5 4 3 2 7 5" xfId="17397"/>
    <cellStyle name="20% - Accent5 4 3 2 8" xfId="17398"/>
    <cellStyle name="20% - Accent5 4 3 2 8 2" xfId="17399"/>
    <cellStyle name="20% - Accent5 4 3 2 8 3" xfId="17400"/>
    <cellStyle name="20% - Accent5 4 3 2 9" xfId="17401"/>
    <cellStyle name="20% - Accent5 4 3 2 9 2" xfId="17402"/>
    <cellStyle name="20% - Accent5 4 3 2 9 3" xfId="17403"/>
    <cellStyle name="20% - Accent5 4 3 3" xfId="1150"/>
    <cellStyle name="20% - Accent5 4 3 3 10" xfId="17404"/>
    <cellStyle name="20% - Accent5 4 3 3 2" xfId="1151"/>
    <cellStyle name="20% - Accent5 4 3 3 2 2" xfId="17405"/>
    <cellStyle name="20% - Accent5 4 3 3 2 2 2" xfId="17406"/>
    <cellStyle name="20% - Accent5 4 3 3 2 2 2 2" xfId="17407"/>
    <cellStyle name="20% - Accent5 4 3 3 2 2 2 3" xfId="17408"/>
    <cellStyle name="20% - Accent5 4 3 3 2 2 3" xfId="17409"/>
    <cellStyle name="20% - Accent5 4 3 3 2 2 3 2" xfId="17410"/>
    <cellStyle name="20% - Accent5 4 3 3 2 2 3 3" xfId="17411"/>
    <cellStyle name="20% - Accent5 4 3 3 2 2 4" xfId="17412"/>
    <cellStyle name="20% - Accent5 4 3 3 2 2 4 2" xfId="17413"/>
    <cellStyle name="20% - Accent5 4 3 3 2 2 5" xfId="17414"/>
    <cellStyle name="20% - Accent5 4 3 3 2 2 6" xfId="17415"/>
    <cellStyle name="20% - Accent5 4 3 3 2 3" xfId="17416"/>
    <cellStyle name="20% - Accent5 4 3 3 2 3 2" xfId="17417"/>
    <cellStyle name="20% - Accent5 4 3 3 2 3 2 2" xfId="17418"/>
    <cellStyle name="20% - Accent5 4 3 3 2 3 2 3" xfId="17419"/>
    <cellStyle name="20% - Accent5 4 3 3 2 3 3" xfId="17420"/>
    <cellStyle name="20% - Accent5 4 3 3 2 3 3 2" xfId="17421"/>
    <cellStyle name="20% - Accent5 4 3 3 2 3 3 3" xfId="17422"/>
    <cellStyle name="20% - Accent5 4 3 3 2 3 4" xfId="17423"/>
    <cellStyle name="20% - Accent5 4 3 3 2 3 4 2" xfId="17424"/>
    <cellStyle name="20% - Accent5 4 3 3 2 3 5" xfId="17425"/>
    <cellStyle name="20% - Accent5 4 3 3 2 3 6" xfId="17426"/>
    <cellStyle name="20% - Accent5 4 3 3 2 4" xfId="17427"/>
    <cellStyle name="20% - Accent5 4 3 3 2 4 2" xfId="17428"/>
    <cellStyle name="20% - Accent5 4 3 3 2 4 2 2" xfId="17429"/>
    <cellStyle name="20% - Accent5 4 3 3 2 4 2 3" xfId="17430"/>
    <cellStyle name="20% - Accent5 4 3 3 2 4 3" xfId="17431"/>
    <cellStyle name="20% - Accent5 4 3 3 2 4 3 2" xfId="17432"/>
    <cellStyle name="20% - Accent5 4 3 3 2 4 4" xfId="17433"/>
    <cellStyle name="20% - Accent5 4 3 3 2 4 5" xfId="17434"/>
    <cellStyle name="20% - Accent5 4 3 3 2 5" xfId="17435"/>
    <cellStyle name="20% - Accent5 4 3 3 2 5 2" xfId="17436"/>
    <cellStyle name="20% - Accent5 4 3 3 2 5 3" xfId="17437"/>
    <cellStyle name="20% - Accent5 4 3 3 2 6" xfId="17438"/>
    <cellStyle name="20% - Accent5 4 3 3 2 6 2" xfId="17439"/>
    <cellStyle name="20% - Accent5 4 3 3 2 6 3" xfId="17440"/>
    <cellStyle name="20% - Accent5 4 3 3 2 7" xfId="17441"/>
    <cellStyle name="20% - Accent5 4 3 3 2 7 2" xfId="17442"/>
    <cellStyle name="20% - Accent5 4 3 3 2 8" xfId="17443"/>
    <cellStyle name="20% - Accent5 4 3 3 2 9" xfId="17444"/>
    <cellStyle name="20% - Accent5 4 3 3 3" xfId="17445"/>
    <cellStyle name="20% - Accent5 4 3 3 3 2" xfId="17446"/>
    <cellStyle name="20% - Accent5 4 3 3 3 2 2" xfId="17447"/>
    <cellStyle name="20% - Accent5 4 3 3 3 2 3" xfId="17448"/>
    <cellStyle name="20% - Accent5 4 3 3 3 3" xfId="17449"/>
    <cellStyle name="20% - Accent5 4 3 3 3 3 2" xfId="17450"/>
    <cellStyle name="20% - Accent5 4 3 3 3 3 3" xfId="17451"/>
    <cellStyle name="20% - Accent5 4 3 3 3 4" xfId="17452"/>
    <cellStyle name="20% - Accent5 4 3 3 3 4 2" xfId="17453"/>
    <cellStyle name="20% - Accent5 4 3 3 3 5" xfId="17454"/>
    <cellStyle name="20% - Accent5 4 3 3 3 6" xfId="17455"/>
    <cellStyle name="20% - Accent5 4 3 3 4" xfId="17456"/>
    <cellStyle name="20% - Accent5 4 3 3 4 2" xfId="17457"/>
    <cellStyle name="20% - Accent5 4 3 3 4 2 2" xfId="17458"/>
    <cellStyle name="20% - Accent5 4 3 3 4 2 3" xfId="17459"/>
    <cellStyle name="20% - Accent5 4 3 3 4 3" xfId="17460"/>
    <cellStyle name="20% - Accent5 4 3 3 4 3 2" xfId="17461"/>
    <cellStyle name="20% - Accent5 4 3 3 4 3 3" xfId="17462"/>
    <cellStyle name="20% - Accent5 4 3 3 4 4" xfId="17463"/>
    <cellStyle name="20% - Accent5 4 3 3 4 4 2" xfId="17464"/>
    <cellStyle name="20% - Accent5 4 3 3 4 5" xfId="17465"/>
    <cellStyle name="20% - Accent5 4 3 3 4 6" xfId="17466"/>
    <cellStyle name="20% - Accent5 4 3 3 5" xfId="17467"/>
    <cellStyle name="20% - Accent5 4 3 3 5 2" xfId="17468"/>
    <cellStyle name="20% - Accent5 4 3 3 5 2 2" xfId="17469"/>
    <cellStyle name="20% - Accent5 4 3 3 5 2 3" xfId="17470"/>
    <cellStyle name="20% - Accent5 4 3 3 5 3" xfId="17471"/>
    <cellStyle name="20% - Accent5 4 3 3 5 3 2" xfId="17472"/>
    <cellStyle name="20% - Accent5 4 3 3 5 4" xfId="17473"/>
    <cellStyle name="20% - Accent5 4 3 3 5 5" xfId="17474"/>
    <cellStyle name="20% - Accent5 4 3 3 6" xfId="17475"/>
    <cellStyle name="20% - Accent5 4 3 3 6 2" xfId="17476"/>
    <cellStyle name="20% - Accent5 4 3 3 6 3" xfId="17477"/>
    <cellStyle name="20% - Accent5 4 3 3 7" xfId="17478"/>
    <cellStyle name="20% - Accent5 4 3 3 7 2" xfId="17479"/>
    <cellStyle name="20% - Accent5 4 3 3 7 3" xfId="17480"/>
    <cellStyle name="20% - Accent5 4 3 3 8" xfId="17481"/>
    <cellStyle name="20% - Accent5 4 3 3 8 2" xfId="17482"/>
    <cellStyle name="20% - Accent5 4 3 3 9" xfId="17483"/>
    <cellStyle name="20% - Accent5 4 3 4" xfId="1152"/>
    <cellStyle name="20% - Accent5 4 3 4 2" xfId="17484"/>
    <cellStyle name="20% - Accent5 4 3 4 2 2" xfId="17485"/>
    <cellStyle name="20% - Accent5 4 3 4 2 2 2" xfId="17486"/>
    <cellStyle name="20% - Accent5 4 3 4 2 2 3" xfId="17487"/>
    <cellStyle name="20% - Accent5 4 3 4 2 3" xfId="17488"/>
    <cellStyle name="20% - Accent5 4 3 4 2 3 2" xfId="17489"/>
    <cellStyle name="20% - Accent5 4 3 4 2 3 3" xfId="17490"/>
    <cellStyle name="20% - Accent5 4 3 4 2 4" xfId="17491"/>
    <cellStyle name="20% - Accent5 4 3 4 2 4 2" xfId="17492"/>
    <cellStyle name="20% - Accent5 4 3 4 2 5" xfId="17493"/>
    <cellStyle name="20% - Accent5 4 3 4 2 6" xfId="17494"/>
    <cellStyle name="20% - Accent5 4 3 4 3" xfId="17495"/>
    <cellStyle name="20% - Accent5 4 3 4 3 2" xfId="17496"/>
    <cellStyle name="20% - Accent5 4 3 4 3 2 2" xfId="17497"/>
    <cellStyle name="20% - Accent5 4 3 4 3 2 3" xfId="17498"/>
    <cellStyle name="20% - Accent5 4 3 4 3 3" xfId="17499"/>
    <cellStyle name="20% - Accent5 4 3 4 3 3 2" xfId="17500"/>
    <cellStyle name="20% - Accent5 4 3 4 3 3 3" xfId="17501"/>
    <cellStyle name="20% - Accent5 4 3 4 3 4" xfId="17502"/>
    <cellStyle name="20% - Accent5 4 3 4 3 4 2" xfId="17503"/>
    <cellStyle name="20% - Accent5 4 3 4 3 5" xfId="17504"/>
    <cellStyle name="20% - Accent5 4 3 4 3 6" xfId="17505"/>
    <cellStyle name="20% - Accent5 4 3 4 4" xfId="17506"/>
    <cellStyle name="20% - Accent5 4 3 4 4 2" xfId="17507"/>
    <cellStyle name="20% - Accent5 4 3 4 4 2 2" xfId="17508"/>
    <cellStyle name="20% - Accent5 4 3 4 4 2 3" xfId="17509"/>
    <cellStyle name="20% - Accent5 4 3 4 4 3" xfId="17510"/>
    <cellStyle name="20% - Accent5 4 3 4 4 3 2" xfId="17511"/>
    <cellStyle name="20% - Accent5 4 3 4 4 4" xfId="17512"/>
    <cellStyle name="20% - Accent5 4 3 4 4 5" xfId="17513"/>
    <cellStyle name="20% - Accent5 4 3 4 5" xfId="17514"/>
    <cellStyle name="20% - Accent5 4 3 4 5 2" xfId="17515"/>
    <cellStyle name="20% - Accent5 4 3 4 5 3" xfId="17516"/>
    <cellStyle name="20% - Accent5 4 3 4 6" xfId="17517"/>
    <cellStyle name="20% - Accent5 4 3 4 6 2" xfId="17518"/>
    <cellStyle name="20% - Accent5 4 3 4 6 3" xfId="17519"/>
    <cellStyle name="20% - Accent5 4 3 4 7" xfId="17520"/>
    <cellStyle name="20% - Accent5 4 3 4 7 2" xfId="17521"/>
    <cellStyle name="20% - Accent5 4 3 4 8" xfId="17522"/>
    <cellStyle name="20% - Accent5 4 3 4 9" xfId="17523"/>
    <cellStyle name="20% - Accent5 4 3 5" xfId="17524"/>
    <cellStyle name="20% - Accent5 4 3 5 2" xfId="17525"/>
    <cellStyle name="20% - Accent5 4 3 5 2 2" xfId="17526"/>
    <cellStyle name="20% - Accent5 4 3 5 2 2 2" xfId="17527"/>
    <cellStyle name="20% - Accent5 4 3 5 2 2 3" xfId="17528"/>
    <cellStyle name="20% - Accent5 4 3 5 2 3" xfId="17529"/>
    <cellStyle name="20% - Accent5 4 3 5 2 3 2" xfId="17530"/>
    <cellStyle name="20% - Accent5 4 3 5 2 3 3" xfId="17531"/>
    <cellStyle name="20% - Accent5 4 3 5 2 4" xfId="17532"/>
    <cellStyle name="20% - Accent5 4 3 5 2 4 2" xfId="17533"/>
    <cellStyle name="20% - Accent5 4 3 5 2 5" xfId="17534"/>
    <cellStyle name="20% - Accent5 4 3 5 2 6" xfId="17535"/>
    <cellStyle name="20% - Accent5 4 3 5 3" xfId="17536"/>
    <cellStyle name="20% - Accent5 4 3 5 3 2" xfId="17537"/>
    <cellStyle name="20% - Accent5 4 3 5 3 2 2" xfId="17538"/>
    <cellStyle name="20% - Accent5 4 3 5 3 2 3" xfId="17539"/>
    <cellStyle name="20% - Accent5 4 3 5 3 3" xfId="17540"/>
    <cellStyle name="20% - Accent5 4 3 5 3 3 2" xfId="17541"/>
    <cellStyle name="20% - Accent5 4 3 5 3 3 3" xfId="17542"/>
    <cellStyle name="20% - Accent5 4 3 5 3 4" xfId="17543"/>
    <cellStyle name="20% - Accent5 4 3 5 3 4 2" xfId="17544"/>
    <cellStyle name="20% - Accent5 4 3 5 3 5" xfId="17545"/>
    <cellStyle name="20% - Accent5 4 3 5 3 6" xfId="17546"/>
    <cellStyle name="20% - Accent5 4 3 5 4" xfId="17547"/>
    <cellStyle name="20% - Accent5 4 3 5 4 2" xfId="17548"/>
    <cellStyle name="20% - Accent5 4 3 5 4 2 2" xfId="17549"/>
    <cellStyle name="20% - Accent5 4 3 5 4 2 3" xfId="17550"/>
    <cellStyle name="20% - Accent5 4 3 5 4 3" xfId="17551"/>
    <cellStyle name="20% - Accent5 4 3 5 4 3 2" xfId="17552"/>
    <cellStyle name="20% - Accent5 4 3 5 4 4" xfId="17553"/>
    <cellStyle name="20% - Accent5 4 3 5 4 5" xfId="17554"/>
    <cellStyle name="20% - Accent5 4 3 5 5" xfId="17555"/>
    <cellStyle name="20% - Accent5 4 3 5 5 2" xfId="17556"/>
    <cellStyle name="20% - Accent5 4 3 5 5 3" xfId="17557"/>
    <cellStyle name="20% - Accent5 4 3 5 6" xfId="17558"/>
    <cellStyle name="20% - Accent5 4 3 5 6 2" xfId="17559"/>
    <cellStyle name="20% - Accent5 4 3 5 6 3" xfId="17560"/>
    <cellStyle name="20% - Accent5 4 3 5 7" xfId="17561"/>
    <cellStyle name="20% - Accent5 4 3 5 7 2" xfId="17562"/>
    <cellStyle name="20% - Accent5 4 3 5 8" xfId="17563"/>
    <cellStyle name="20% - Accent5 4 3 5 9" xfId="17564"/>
    <cellStyle name="20% - Accent5 4 3 6" xfId="17565"/>
    <cellStyle name="20% - Accent5 4 3 6 2" xfId="17566"/>
    <cellStyle name="20% - Accent5 4 3 6 2 2" xfId="17567"/>
    <cellStyle name="20% - Accent5 4 3 6 2 3" xfId="17568"/>
    <cellStyle name="20% - Accent5 4 3 6 3" xfId="17569"/>
    <cellStyle name="20% - Accent5 4 3 6 3 2" xfId="17570"/>
    <cellStyle name="20% - Accent5 4 3 6 3 3" xfId="17571"/>
    <cellStyle name="20% - Accent5 4 3 6 4" xfId="17572"/>
    <cellStyle name="20% - Accent5 4 3 6 4 2" xfId="17573"/>
    <cellStyle name="20% - Accent5 4 3 6 5" xfId="17574"/>
    <cellStyle name="20% - Accent5 4 3 6 6" xfId="17575"/>
    <cellStyle name="20% - Accent5 4 3 7" xfId="17576"/>
    <cellStyle name="20% - Accent5 4 3 7 2" xfId="17577"/>
    <cellStyle name="20% - Accent5 4 3 7 2 2" xfId="17578"/>
    <cellStyle name="20% - Accent5 4 3 7 2 3" xfId="17579"/>
    <cellStyle name="20% - Accent5 4 3 7 3" xfId="17580"/>
    <cellStyle name="20% - Accent5 4 3 7 3 2" xfId="17581"/>
    <cellStyle name="20% - Accent5 4 3 7 3 3" xfId="17582"/>
    <cellStyle name="20% - Accent5 4 3 7 4" xfId="17583"/>
    <cellStyle name="20% - Accent5 4 3 7 4 2" xfId="17584"/>
    <cellStyle name="20% - Accent5 4 3 7 5" xfId="17585"/>
    <cellStyle name="20% - Accent5 4 3 7 6" xfId="17586"/>
    <cellStyle name="20% - Accent5 4 3 8" xfId="17587"/>
    <cellStyle name="20% - Accent5 4 3 8 2" xfId="17588"/>
    <cellStyle name="20% - Accent5 4 3 8 2 2" xfId="17589"/>
    <cellStyle name="20% - Accent5 4 3 8 2 3" xfId="17590"/>
    <cellStyle name="20% - Accent5 4 3 8 3" xfId="17591"/>
    <cellStyle name="20% - Accent5 4 3 8 3 2" xfId="17592"/>
    <cellStyle name="20% - Accent5 4 3 8 4" xfId="17593"/>
    <cellStyle name="20% - Accent5 4 3 8 5" xfId="17594"/>
    <cellStyle name="20% - Accent5 4 3 9" xfId="17595"/>
    <cellStyle name="20% - Accent5 4 3 9 2" xfId="17596"/>
    <cellStyle name="20% - Accent5 4 3 9 3" xfId="17597"/>
    <cellStyle name="20% - Accent5 4 4" xfId="1153"/>
    <cellStyle name="20% - Accent5 4 4 10" xfId="17598"/>
    <cellStyle name="20% - Accent5 4 4 10 2" xfId="17599"/>
    <cellStyle name="20% - Accent5 4 4 11" xfId="17600"/>
    <cellStyle name="20% - Accent5 4 4 12" xfId="17601"/>
    <cellStyle name="20% - Accent5 4 4 2" xfId="1154"/>
    <cellStyle name="20% - Accent5 4 4 2 10" xfId="17602"/>
    <cellStyle name="20% - Accent5 4 4 2 2" xfId="1155"/>
    <cellStyle name="20% - Accent5 4 4 2 2 2" xfId="17603"/>
    <cellStyle name="20% - Accent5 4 4 2 2 2 2" xfId="17604"/>
    <cellStyle name="20% - Accent5 4 4 2 2 2 2 2" xfId="17605"/>
    <cellStyle name="20% - Accent5 4 4 2 2 2 2 3" xfId="17606"/>
    <cellStyle name="20% - Accent5 4 4 2 2 2 3" xfId="17607"/>
    <cellStyle name="20% - Accent5 4 4 2 2 2 3 2" xfId="17608"/>
    <cellStyle name="20% - Accent5 4 4 2 2 2 3 3" xfId="17609"/>
    <cellStyle name="20% - Accent5 4 4 2 2 2 4" xfId="17610"/>
    <cellStyle name="20% - Accent5 4 4 2 2 2 4 2" xfId="17611"/>
    <cellStyle name="20% - Accent5 4 4 2 2 2 5" xfId="17612"/>
    <cellStyle name="20% - Accent5 4 4 2 2 2 6" xfId="17613"/>
    <cellStyle name="20% - Accent5 4 4 2 2 3" xfId="17614"/>
    <cellStyle name="20% - Accent5 4 4 2 2 3 2" xfId="17615"/>
    <cellStyle name="20% - Accent5 4 4 2 2 3 2 2" xfId="17616"/>
    <cellStyle name="20% - Accent5 4 4 2 2 3 2 3" xfId="17617"/>
    <cellStyle name="20% - Accent5 4 4 2 2 3 3" xfId="17618"/>
    <cellStyle name="20% - Accent5 4 4 2 2 3 3 2" xfId="17619"/>
    <cellStyle name="20% - Accent5 4 4 2 2 3 3 3" xfId="17620"/>
    <cellStyle name="20% - Accent5 4 4 2 2 3 4" xfId="17621"/>
    <cellStyle name="20% - Accent5 4 4 2 2 3 4 2" xfId="17622"/>
    <cellStyle name="20% - Accent5 4 4 2 2 3 5" xfId="17623"/>
    <cellStyle name="20% - Accent5 4 4 2 2 3 6" xfId="17624"/>
    <cellStyle name="20% - Accent5 4 4 2 2 4" xfId="17625"/>
    <cellStyle name="20% - Accent5 4 4 2 2 4 2" xfId="17626"/>
    <cellStyle name="20% - Accent5 4 4 2 2 4 2 2" xfId="17627"/>
    <cellStyle name="20% - Accent5 4 4 2 2 4 2 3" xfId="17628"/>
    <cellStyle name="20% - Accent5 4 4 2 2 4 3" xfId="17629"/>
    <cellStyle name="20% - Accent5 4 4 2 2 4 3 2" xfId="17630"/>
    <cellStyle name="20% - Accent5 4 4 2 2 4 4" xfId="17631"/>
    <cellStyle name="20% - Accent5 4 4 2 2 4 5" xfId="17632"/>
    <cellStyle name="20% - Accent5 4 4 2 2 5" xfId="17633"/>
    <cellStyle name="20% - Accent5 4 4 2 2 5 2" xfId="17634"/>
    <cellStyle name="20% - Accent5 4 4 2 2 5 3" xfId="17635"/>
    <cellStyle name="20% - Accent5 4 4 2 2 6" xfId="17636"/>
    <cellStyle name="20% - Accent5 4 4 2 2 6 2" xfId="17637"/>
    <cellStyle name="20% - Accent5 4 4 2 2 6 3" xfId="17638"/>
    <cellStyle name="20% - Accent5 4 4 2 2 7" xfId="17639"/>
    <cellStyle name="20% - Accent5 4 4 2 2 7 2" xfId="17640"/>
    <cellStyle name="20% - Accent5 4 4 2 2 8" xfId="17641"/>
    <cellStyle name="20% - Accent5 4 4 2 2 9" xfId="17642"/>
    <cellStyle name="20% - Accent5 4 4 2 3" xfId="17643"/>
    <cellStyle name="20% - Accent5 4 4 2 3 2" xfId="17644"/>
    <cellStyle name="20% - Accent5 4 4 2 3 2 2" xfId="17645"/>
    <cellStyle name="20% - Accent5 4 4 2 3 2 3" xfId="17646"/>
    <cellStyle name="20% - Accent5 4 4 2 3 3" xfId="17647"/>
    <cellStyle name="20% - Accent5 4 4 2 3 3 2" xfId="17648"/>
    <cellStyle name="20% - Accent5 4 4 2 3 3 3" xfId="17649"/>
    <cellStyle name="20% - Accent5 4 4 2 3 4" xfId="17650"/>
    <cellStyle name="20% - Accent5 4 4 2 3 4 2" xfId="17651"/>
    <cellStyle name="20% - Accent5 4 4 2 3 5" xfId="17652"/>
    <cellStyle name="20% - Accent5 4 4 2 3 6" xfId="17653"/>
    <cellStyle name="20% - Accent5 4 4 2 4" xfId="17654"/>
    <cellStyle name="20% - Accent5 4 4 2 4 2" xfId="17655"/>
    <cellStyle name="20% - Accent5 4 4 2 4 2 2" xfId="17656"/>
    <cellStyle name="20% - Accent5 4 4 2 4 2 3" xfId="17657"/>
    <cellStyle name="20% - Accent5 4 4 2 4 3" xfId="17658"/>
    <cellStyle name="20% - Accent5 4 4 2 4 3 2" xfId="17659"/>
    <cellStyle name="20% - Accent5 4 4 2 4 3 3" xfId="17660"/>
    <cellStyle name="20% - Accent5 4 4 2 4 4" xfId="17661"/>
    <cellStyle name="20% - Accent5 4 4 2 4 4 2" xfId="17662"/>
    <cellStyle name="20% - Accent5 4 4 2 4 5" xfId="17663"/>
    <cellStyle name="20% - Accent5 4 4 2 4 6" xfId="17664"/>
    <cellStyle name="20% - Accent5 4 4 2 5" xfId="17665"/>
    <cellStyle name="20% - Accent5 4 4 2 5 2" xfId="17666"/>
    <cellStyle name="20% - Accent5 4 4 2 5 2 2" xfId="17667"/>
    <cellStyle name="20% - Accent5 4 4 2 5 2 3" xfId="17668"/>
    <cellStyle name="20% - Accent5 4 4 2 5 3" xfId="17669"/>
    <cellStyle name="20% - Accent5 4 4 2 5 3 2" xfId="17670"/>
    <cellStyle name="20% - Accent5 4 4 2 5 4" xfId="17671"/>
    <cellStyle name="20% - Accent5 4 4 2 5 5" xfId="17672"/>
    <cellStyle name="20% - Accent5 4 4 2 6" xfId="17673"/>
    <cellStyle name="20% - Accent5 4 4 2 6 2" xfId="17674"/>
    <cellStyle name="20% - Accent5 4 4 2 6 3" xfId="17675"/>
    <cellStyle name="20% - Accent5 4 4 2 7" xfId="17676"/>
    <cellStyle name="20% - Accent5 4 4 2 7 2" xfId="17677"/>
    <cellStyle name="20% - Accent5 4 4 2 7 3" xfId="17678"/>
    <cellStyle name="20% - Accent5 4 4 2 8" xfId="17679"/>
    <cellStyle name="20% - Accent5 4 4 2 8 2" xfId="17680"/>
    <cellStyle name="20% - Accent5 4 4 2 9" xfId="17681"/>
    <cellStyle name="20% - Accent5 4 4 3" xfId="1156"/>
    <cellStyle name="20% - Accent5 4 4 3 2" xfId="17682"/>
    <cellStyle name="20% - Accent5 4 4 3 2 2" xfId="17683"/>
    <cellStyle name="20% - Accent5 4 4 3 2 2 2" xfId="17684"/>
    <cellStyle name="20% - Accent5 4 4 3 2 2 3" xfId="17685"/>
    <cellStyle name="20% - Accent5 4 4 3 2 3" xfId="17686"/>
    <cellStyle name="20% - Accent5 4 4 3 2 3 2" xfId="17687"/>
    <cellStyle name="20% - Accent5 4 4 3 2 3 3" xfId="17688"/>
    <cellStyle name="20% - Accent5 4 4 3 2 4" xfId="17689"/>
    <cellStyle name="20% - Accent5 4 4 3 2 4 2" xfId="17690"/>
    <cellStyle name="20% - Accent5 4 4 3 2 5" xfId="17691"/>
    <cellStyle name="20% - Accent5 4 4 3 2 6" xfId="17692"/>
    <cellStyle name="20% - Accent5 4 4 3 3" xfId="17693"/>
    <cellStyle name="20% - Accent5 4 4 3 3 2" xfId="17694"/>
    <cellStyle name="20% - Accent5 4 4 3 3 2 2" xfId="17695"/>
    <cellStyle name="20% - Accent5 4 4 3 3 2 3" xfId="17696"/>
    <cellStyle name="20% - Accent5 4 4 3 3 3" xfId="17697"/>
    <cellStyle name="20% - Accent5 4 4 3 3 3 2" xfId="17698"/>
    <cellStyle name="20% - Accent5 4 4 3 3 3 3" xfId="17699"/>
    <cellStyle name="20% - Accent5 4 4 3 3 4" xfId="17700"/>
    <cellStyle name="20% - Accent5 4 4 3 3 4 2" xfId="17701"/>
    <cellStyle name="20% - Accent5 4 4 3 3 5" xfId="17702"/>
    <cellStyle name="20% - Accent5 4 4 3 3 6" xfId="17703"/>
    <cellStyle name="20% - Accent5 4 4 3 4" xfId="17704"/>
    <cellStyle name="20% - Accent5 4 4 3 4 2" xfId="17705"/>
    <cellStyle name="20% - Accent5 4 4 3 4 2 2" xfId="17706"/>
    <cellStyle name="20% - Accent5 4 4 3 4 2 3" xfId="17707"/>
    <cellStyle name="20% - Accent5 4 4 3 4 3" xfId="17708"/>
    <cellStyle name="20% - Accent5 4 4 3 4 3 2" xfId="17709"/>
    <cellStyle name="20% - Accent5 4 4 3 4 4" xfId="17710"/>
    <cellStyle name="20% - Accent5 4 4 3 4 5" xfId="17711"/>
    <cellStyle name="20% - Accent5 4 4 3 5" xfId="17712"/>
    <cellStyle name="20% - Accent5 4 4 3 5 2" xfId="17713"/>
    <cellStyle name="20% - Accent5 4 4 3 5 3" xfId="17714"/>
    <cellStyle name="20% - Accent5 4 4 3 6" xfId="17715"/>
    <cellStyle name="20% - Accent5 4 4 3 6 2" xfId="17716"/>
    <cellStyle name="20% - Accent5 4 4 3 6 3" xfId="17717"/>
    <cellStyle name="20% - Accent5 4 4 3 7" xfId="17718"/>
    <cellStyle name="20% - Accent5 4 4 3 7 2" xfId="17719"/>
    <cellStyle name="20% - Accent5 4 4 3 8" xfId="17720"/>
    <cellStyle name="20% - Accent5 4 4 3 9" xfId="17721"/>
    <cellStyle name="20% - Accent5 4 4 4" xfId="17722"/>
    <cellStyle name="20% - Accent5 4 4 4 2" xfId="17723"/>
    <cellStyle name="20% - Accent5 4 4 4 2 2" xfId="17724"/>
    <cellStyle name="20% - Accent5 4 4 4 2 2 2" xfId="17725"/>
    <cellStyle name="20% - Accent5 4 4 4 2 2 3" xfId="17726"/>
    <cellStyle name="20% - Accent5 4 4 4 2 3" xfId="17727"/>
    <cellStyle name="20% - Accent5 4 4 4 2 3 2" xfId="17728"/>
    <cellStyle name="20% - Accent5 4 4 4 2 3 3" xfId="17729"/>
    <cellStyle name="20% - Accent5 4 4 4 2 4" xfId="17730"/>
    <cellStyle name="20% - Accent5 4 4 4 2 4 2" xfId="17731"/>
    <cellStyle name="20% - Accent5 4 4 4 2 5" xfId="17732"/>
    <cellStyle name="20% - Accent5 4 4 4 2 6" xfId="17733"/>
    <cellStyle name="20% - Accent5 4 4 4 3" xfId="17734"/>
    <cellStyle name="20% - Accent5 4 4 4 3 2" xfId="17735"/>
    <cellStyle name="20% - Accent5 4 4 4 3 2 2" xfId="17736"/>
    <cellStyle name="20% - Accent5 4 4 4 3 2 3" xfId="17737"/>
    <cellStyle name="20% - Accent5 4 4 4 3 3" xfId="17738"/>
    <cellStyle name="20% - Accent5 4 4 4 3 3 2" xfId="17739"/>
    <cellStyle name="20% - Accent5 4 4 4 3 3 3" xfId="17740"/>
    <cellStyle name="20% - Accent5 4 4 4 3 4" xfId="17741"/>
    <cellStyle name="20% - Accent5 4 4 4 3 4 2" xfId="17742"/>
    <cellStyle name="20% - Accent5 4 4 4 3 5" xfId="17743"/>
    <cellStyle name="20% - Accent5 4 4 4 3 6" xfId="17744"/>
    <cellStyle name="20% - Accent5 4 4 4 4" xfId="17745"/>
    <cellStyle name="20% - Accent5 4 4 4 4 2" xfId="17746"/>
    <cellStyle name="20% - Accent5 4 4 4 4 2 2" xfId="17747"/>
    <cellStyle name="20% - Accent5 4 4 4 4 2 3" xfId="17748"/>
    <cellStyle name="20% - Accent5 4 4 4 4 3" xfId="17749"/>
    <cellStyle name="20% - Accent5 4 4 4 4 3 2" xfId="17750"/>
    <cellStyle name="20% - Accent5 4 4 4 4 4" xfId="17751"/>
    <cellStyle name="20% - Accent5 4 4 4 4 5" xfId="17752"/>
    <cellStyle name="20% - Accent5 4 4 4 5" xfId="17753"/>
    <cellStyle name="20% - Accent5 4 4 4 5 2" xfId="17754"/>
    <cellStyle name="20% - Accent5 4 4 4 5 3" xfId="17755"/>
    <cellStyle name="20% - Accent5 4 4 4 6" xfId="17756"/>
    <cellStyle name="20% - Accent5 4 4 4 6 2" xfId="17757"/>
    <cellStyle name="20% - Accent5 4 4 4 6 3" xfId="17758"/>
    <cellStyle name="20% - Accent5 4 4 4 7" xfId="17759"/>
    <cellStyle name="20% - Accent5 4 4 4 7 2" xfId="17760"/>
    <cellStyle name="20% - Accent5 4 4 4 8" xfId="17761"/>
    <cellStyle name="20% - Accent5 4 4 4 9" xfId="17762"/>
    <cellStyle name="20% - Accent5 4 4 5" xfId="17763"/>
    <cellStyle name="20% - Accent5 4 4 5 2" xfId="17764"/>
    <cellStyle name="20% - Accent5 4 4 5 2 2" xfId="17765"/>
    <cellStyle name="20% - Accent5 4 4 5 2 3" xfId="17766"/>
    <cellStyle name="20% - Accent5 4 4 5 3" xfId="17767"/>
    <cellStyle name="20% - Accent5 4 4 5 3 2" xfId="17768"/>
    <cellStyle name="20% - Accent5 4 4 5 3 3" xfId="17769"/>
    <cellStyle name="20% - Accent5 4 4 5 4" xfId="17770"/>
    <cellStyle name="20% - Accent5 4 4 5 4 2" xfId="17771"/>
    <cellStyle name="20% - Accent5 4 4 5 5" xfId="17772"/>
    <cellStyle name="20% - Accent5 4 4 5 6" xfId="17773"/>
    <cellStyle name="20% - Accent5 4 4 6" xfId="17774"/>
    <cellStyle name="20% - Accent5 4 4 6 2" xfId="17775"/>
    <cellStyle name="20% - Accent5 4 4 6 2 2" xfId="17776"/>
    <cellStyle name="20% - Accent5 4 4 6 2 3" xfId="17777"/>
    <cellStyle name="20% - Accent5 4 4 6 3" xfId="17778"/>
    <cellStyle name="20% - Accent5 4 4 6 3 2" xfId="17779"/>
    <cellStyle name="20% - Accent5 4 4 6 3 3" xfId="17780"/>
    <cellStyle name="20% - Accent5 4 4 6 4" xfId="17781"/>
    <cellStyle name="20% - Accent5 4 4 6 4 2" xfId="17782"/>
    <cellStyle name="20% - Accent5 4 4 6 5" xfId="17783"/>
    <cellStyle name="20% - Accent5 4 4 6 6" xfId="17784"/>
    <cellStyle name="20% - Accent5 4 4 7" xfId="17785"/>
    <cellStyle name="20% - Accent5 4 4 7 2" xfId="17786"/>
    <cellStyle name="20% - Accent5 4 4 7 2 2" xfId="17787"/>
    <cellStyle name="20% - Accent5 4 4 7 2 3" xfId="17788"/>
    <cellStyle name="20% - Accent5 4 4 7 3" xfId="17789"/>
    <cellStyle name="20% - Accent5 4 4 7 3 2" xfId="17790"/>
    <cellStyle name="20% - Accent5 4 4 7 4" xfId="17791"/>
    <cellStyle name="20% - Accent5 4 4 7 5" xfId="17792"/>
    <cellStyle name="20% - Accent5 4 4 8" xfId="17793"/>
    <cellStyle name="20% - Accent5 4 4 8 2" xfId="17794"/>
    <cellStyle name="20% - Accent5 4 4 8 3" xfId="17795"/>
    <cellStyle name="20% - Accent5 4 4 9" xfId="17796"/>
    <cellStyle name="20% - Accent5 4 4 9 2" xfId="17797"/>
    <cellStyle name="20% - Accent5 4 4 9 3" xfId="17798"/>
    <cellStyle name="20% - Accent5 4 5" xfId="1157"/>
    <cellStyle name="20% - Accent5 4 5 10" xfId="17799"/>
    <cellStyle name="20% - Accent5 4 5 2" xfId="1158"/>
    <cellStyle name="20% - Accent5 4 5 2 2" xfId="17800"/>
    <cellStyle name="20% - Accent5 4 5 2 2 2" xfId="17801"/>
    <cellStyle name="20% - Accent5 4 5 2 2 2 2" xfId="17802"/>
    <cellStyle name="20% - Accent5 4 5 2 2 2 3" xfId="17803"/>
    <cellStyle name="20% - Accent5 4 5 2 2 3" xfId="17804"/>
    <cellStyle name="20% - Accent5 4 5 2 2 3 2" xfId="17805"/>
    <cellStyle name="20% - Accent5 4 5 2 2 3 3" xfId="17806"/>
    <cellStyle name="20% - Accent5 4 5 2 2 4" xfId="17807"/>
    <cellStyle name="20% - Accent5 4 5 2 2 4 2" xfId="17808"/>
    <cellStyle name="20% - Accent5 4 5 2 2 5" xfId="17809"/>
    <cellStyle name="20% - Accent5 4 5 2 2 6" xfId="17810"/>
    <cellStyle name="20% - Accent5 4 5 2 3" xfId="17811"/>
    <cellStyle name="20% - Accent5 4 5 2 3 2" xfId="17812"/>
    <cellStyle name="20% - Accent5 4 5 2 3 2 2" xfId="17813"/>
    <cellStyle name="20% - Accent5 4 5 2 3 2 3" xfId="17814"/>
    <cellStyle name="20% - Accent5 4 5 2 3 3" xfId="17815"/>
    <cellStyle name="20% - Accent5 4 5 2 3 3 2" xfId="17816"/>
    <cellStyle name="20% - Accent5 4 5 2 3 3 3" xfId="17817"/>
    <cellStyle name="20% - Accent5 4 5 2 3 4" xfId="17818"/>
    <cellStyle name="20% - Accent5 4 5 2 3 4 2" xfId="17819"/>
    <cellStyle name="20% - Accent5 4 5 2 3 5" xfId="17820"/>
    <cellStyle name="20% - Accent5 4 5 2 3 6" xfId="17821"/>
    <cellStyle name="20% - Accent5 4 5 2 4" xfId="17822"/>
    <cellStyle name="20% - Accent5 4 5 2 4 2" xfId="17823"/>
    <cellStyle name="20% - Accent5 4 5 2 4 2 2" xfId="17824"/>
    <cellStyle name="20% - Accent5 4 5 2 4 2 3" xfId="17825"/>
    <cellStyle name="20% - Accent5 4 5 2 4 3" xfId="17826"/>
    <cellStyle name="20% - Accent5 4 5 2 4 3 2" xfId="17827"/>
    <cellStyle name="20% - Accent5 4 5 2 4 4" xfId="17828"/>
    <cellStyle name="20% - Accent5 4 5 2 4 5" xfId="17829"/>
    <cellStyle name="20% - Accent5 4 5 2 5" xfId="17830"/>
    <cellStyle name="20% - Accent5 4 5 2 5 2" xfId="17831"/>
    <cellStyle name="20% - Accent5 4 5 2 5 3" xfId="17832"/>
    <cellStyle name="20% - Accent5 4 5 2 6" xfId="17833"/>
    <cellStyle name="20% - Accent5 4 5 2 6 2" xfId="17834"/>
    <cellStyle name="20% - Accent5 4 5 2 6 3" xfId="17835"/>
    <cellStyle name="20% - Accent5 4 5 2 7" xfId="17836"/>
    <cellStyle name="20% - Accent5 4 5 2 7 2" xfId="17837"/>
    <cellStyle name="20% - Accent5 4 5 2 8" xfId="17838"/>
    <cellStyle name="20% - Accent5 4 5 2 9" xfId="17839"/>
    <cellStyle name="20% - Accent5 4 5 3" xfId="17840"/>
    <cellStyle name="20% - Accent5 4 5 3 2" xfId="17841"/>
    <cellStyle name="20% - Accent5 4 5 3 2 2" xfId="17842"/>
    <cellStyle name="20% - Accent5 4 5 3 2 3" xfId="17843"/>
    <cellStyle name="20% - Accent5 4 5 3 3" xfId="17844"/>
    <cellStyle name="20% - Accent5 4 5 3 3 2" xfId="17845"/>
    <cellStyle name="20% - Accent5 4 5 3 3 3" xfId="17846"/>
    <cellStyle name="20% - Accent5 4 5 3 4" xfId="17847"/>
    <cellStyle name="20% - Accent5 4 5 3 4 2" xfId="17848"/>
    <cellStyle name="20% - Accent5 4 5 3 5" xfId="17849"/>
    <cellStyle name="20% - Accent5 4 5 3 6" xfId="17850"/>
    <cellStyle name="20% - Accent5 4 5 4" xfId="17851"/>
    <cellStyle name="20% - Accent5 4 5 4 2" xfId="17852"/>
    <cellStyle name="20% - Accent5 4 5 4 2 2" xfId="17853"/>
    <cellStyle name="20% - Accent5 4 5 4 2 3" xfId="17854"/>
    <cellStyle name="20% - Accent5 4 5 4 3" xfId="17855"/>
    <cellStyle name="20% - Accent5 4 5 4 3 2" xfId="17856"/>
    <cellStyle name="20% - Accent5 4 5 4 3 3" xfId="17857"/>
    <cellStyle name="20% - Accent5 4 5 4 4" xfId="17858"/>
    <cellStyle name="20% - Accent5 4 5 4 4 2" xfId="17859"/>
    <cellStyle name="20% - Accent5 4 5 4 5" xfId="17860"/>
    <cellStyle name="20% - Accent5 4 5 4 6" xfId="17861"/>
    <cellStyle name="20% - Accent5 4 5 5" xfId="17862"/>
    <cellStyle name="20% - Accent5 4 5 5 2" xfId="17863"/>
    <cellStyle name="20% - Accent5 4 5 5 2 2" xfId="17864"/>
    <cellStyle name="20% - Accent5 4 5 5 2 3" xfId="17865"/>
    <cellStyle name="20% - Accent5 4 5 5 3" xfId="17866"/>
    <cellStyle name="20% - Accent5 4 5 5 3 2" xfId="17867"/>
    <cellStyle name="20% - Accent5 4 5 5 4" xfId="17868"/>
    <cellStyle name="20% - Accent5 4 5 5 5" xfId="17869"/>
    <cellStyle name="20% - Accent5 4 5 6" xfId="17870"/>
    <cellStyle name="20% - Accent5 4 5 6 2" xfId="17871"/>
    <cellStyle name="20% - Accent5 4 5 6 3" xfId="17872"/>
    <cellStyle name="20% - Accent5 4 5 7" xfId="17873"/>
    <cellStyle name="20% - Accent5 4 5 7 2" xfId="17874"/>
    <cellStyle name="20% - Accent5 4 5 7 3" xfId="17875"/>
    <cellStyle name="20% - Accent5 4 5 8" xfId="17876"/>
    <cellStyle name="20% - Accent5 4 5 8 2" xfId="17877"/>
    <cellStyle name="20% - Accent5 4 5 9" xfId="17878"/>
    <cellStyle name="20% - Accent5 4 6" xfId="1159"/>
    <cellStyle name="20% - Accent5 4 6 2" xfId="17879"/>
    <cellStyle name="20% - Accent5 4 6 2 2" xfId="17880"/>
    <cellStyle name="20% - Accent5 4 6 2 2 2" xfId="17881"/>
    <cellStyle name="20% - Accent5 4 6 2 2 3" xfId="17882"/>
    <cellStyle name="20% - Accent5 4 6 2 3" xfId="17883"/>
    <cellStyle name="20% - Accent5 4 6 2 3 2" xfId="17884"/>
    <cellStyle name="20% - Accent5 4 6 2 3 3" xfId="17885"/>
    <cellStyle name="20% - Accent5 4 6 2 4" xfId="17886"/>
    <cellStyle name="20% - Accent5 4 6 2 4 2" xfId="17887"/>
    <cellStyle name="20% - Accent5 4 6 2 5" xfId="17888"/>
    <cellStyle name="20% - Accent5 4 6 2 6" xfId="17889"/>
    <cellStyle name="20% - Accent5 4 6 3" xfId="17890"/>
    <cellStyle name="20% - Accent5 4 6 3 2" xfId="17891"/>
    <cellStyle name="20% - Accent5 4 6 3 2 2" xfId="17892"/>
    <cellStyle name="20% - Accent5 4 6 3 2 3" xfId="17893"/>
    <cellStyle name="20% - Accent5 4 6 3 3" xfId="17894"/>
    <cellStyle name="20% - Accent5 4 6 3 3 2" xfId="17895"/>
    <cellStyle name="20% - Accent5 4 6 3 3 3" xfId="17896"/>
    <cellStyle name="20% - Accent5 4 6 3 4" xfId="17897"/>
    <cellStyle name="20% - Accent5 4 6 3 4 2" xfId="17898"/>
    <cellStyle name="20% - Accent5 4 6 3 5" xfId="17899"/>
    <cellStyle name="20% - Accent5 4 6 3 6" xfId="17900"/>
    <cellStyle name="20% - Accent5 4 6 4" xfId="17901"/>
    <cellStyle name="20% - Accent5 4 6 4 2" xfId="17902"/>
    <cellStyle name="20% - Accent5 4 6 4 2 2" xfId="17903"/>
    <cellStyle name="20% - Accent5 4 6 4 2 3" xfId="17904"/>
    <cellStyle name="20% - Accent5 4 6 4 3" xfId="17905"/>
    <cellStyle name="20% - Accent5 4 6 4 3 2" xfId="17906"/>
    <cellStyle name="20% - Accent5 4 6 4 4" xfId="17907"/>
    <cellStyle name="20% - Accent5 4 6 4 5" xfId="17908"/>
    <cellStyle name="20% - Accent5 4 6 5" xfId="17909"/>
    <cellStyle name="20% - Accent5 4 6 5 2" xfId="17910"/>
    <cellStyle name="20% - Accent5 4 6 5 3" xfId="17911"/>
    <cellStyle name="20% - Accent5 4 6 6" xfId="17912"/>
    <cellStyle name="20% - Accent5 4 6 6 2" xfId="17913"/>
    <cellStyle name="20% - Accent5 4 6 6 3" xfId="17914"/>
    <cellStyle name="20% - Accent5 4 6 7" xfId="17915"/>
    <cellStyle name="20% - Accent5 4 6 7 2" xfId="17916"/>
    <cellStyle name="20% - Accent5 4 6 8" xfId="17917"/>
    <cellStyle name="20% - Accent5 4 6 9" xfId="17918"/>
    <cellStyle name="20% - Accent5 4 7" xfId="8932"/>
    <cellStyle name="20% - Accent5 4 7 2" xfId="17919"/>
    <cellStyle name="20% - Accent5 4 7 2 2" xfId="17920"/>
    <cellStyle name="20% - Accent5 4 7 2 2 2" xfId="17921"/>
    <cellStyle name="20% - Accent5 4 7 2 2 3" xfId="17922"/>
    <cellStyle name="20% - Accent5 4 7 2 3" xfId="17923"/>
    <cellStyle name="20% - Accent5 4 7 2 3 2" xfId="17924"/>
    <cellStyle name="20% - Accent5 4 7 2 3 3" xfId="17925"/>
    <cellStyle name="20% - Accent5 4 7 2 4" xfId="17926"/>
    <cellStyle name="20% - Accent5 4 7 2 4 2" xfId="17927"/>
    <cellStyle name="20% - Accent5 4 7 2 5" xfId="17928"/>
    <cellStyle name="20% - Accent5 4 7 2 6" xfId="17929"/>
    <cellStyle name="20% - Accent5 4 7 3" xfId="17930"/>
    <cellStyle name="20% - Accent5 4 7 3 2" xfId="17931"/>
    <cellStyle name="20% - Accent5 4 7 3 2 2" xfId="17932"/>
    <cellStyle name="20% - Accent5 4 7 3 2 3" xfId="17933"/>
    <cellStyle name="20% - Accent5 4 7 3 3" xfId="17934"/>
    <cellStyle name="20% - Accent5 4 7 3 3 2" xfId="17935"/>
    <cellStyle name="20% - Accent5 4 7 3 3 3" xfId="17936"/>
    <cellStyle name="20% - Accent5 4 7 3 4" xfId="17937"/>
    <cellStyle name="20% - Accent5 4 7 3 4 2" xfId="17938"/>
    <cellStyle name="20% - Accent5 4 7 3 5" xfId="17939"/>
    <cellStyle name="20% - Accent5 4 7 3 6" xfId="17940"/>
    <cellStyle name="20% - Accent5 4 7 4" xfId="17941"/>
    <cellStyle name="20% - Accent5 4 7 4 2" xfId="17942"/>
    <cellStyle name="20% - Accent5 4 7 4 2 2" xfId="17943"/>
    <cellStyle name="20% - Accent5 4 7 4 2 3" xfId="17944"/>
    <cellStyle name="20% - Accent5 4 7 4 3" xfId="17945"/>
    <cellStyle name="20% - Accent5 4 7 4 3 2" xfId="17946"/>
    <cellStyle name="20% - Accent5 4 7 4 4" xfId="17947"/>
    <cellStyle name="20% - Accent5 4 7 4 5" xfId="17948"/>
    <cellStyle name="20% - Accent5 4 7 5" xfId="17949"/>
    <cellStyle name="20% - Accent5 4 7 5 2" xfId="17950"/>
    <cellStyle name="20% - Accent5 4 7 5 3" xfId="17951"/>
    <cellStyle name="20% - Accent5 4 7 6" xfId="17952"/>
    <cellStyle name="20% - Accent5 4 7 6 2" xfId="17953"/>
    <cellStyle name="20% - Accent5 4 7 6 3" xfId="17954"/>
    <cellStyle name="20% - Accent5 4 7 7" xfId="17955"/>
    <cellStyle name="20% - Accent5 4 7 7 2" xfId="17956"/>
    <cellStyle name="20% - Accent5 4 7 8" xfId="17957"/>
    <cellStyle name="20% - Accent5 4 7 9" xfId="17958"/>
    <cellStyle name="20% - Accent5 4 8" xfId="17959"/>
    <cellStyle name="20% - Accent5 4 8 2" xfId="17960"/>
    <cellStyle name="20% - Accent5 4 8 2 2" xfId="17961"/>
    <cellStyle name="20% - Accent5 4 8 2 3" xfId="17962"/>
    <cellStyle name="20% - Accent5 4 8 3" xfId="17963"/>
    <cellStyle name="20% - Accent5 4 8 3 2" xfId="17964"/>
    <cellStyle name="20% - Accent5 4 8 3 3" xfId="17965"/>
    <cellStyle name="20% - Accent5 4 8 4" xfId="17966"/>
    <cellStyle name="20% - Accent5 4 8 4 2" xfId="17967"/>
    <cellStyle name="20% - Accent5 4 8 5" xfId="17968"/>
    <cellStyle name="20% - Accent5 4 8 6" xfId="17969"/>
    <cellStyle name="20% - Accent5 4 9" xfId="17970"/>
    <cellStyle name="20% - Accent5 4 9 2" xfId="17971"/>
    <cellStyle name="20% - Accent5 4 9 2 2" xfId="17972"/>
    <cellStyle name="20% - Accent5 4 9 2 3" xfId="17973"/>
    <cellStyle name="20% - Accent5 4 9 3" xfId="17974"/>
    <cellStyle name="20% - Accent5 4 9 3 2" xfId="17975"/>
    <cellStyle name="20% - Accent5 4 9 3 3" xfId="17976"/>
    <cellStyle name="20% - Accent5 4 9 4" xfId="17977"/>
    <cellStyle name="20% - Accent5 4 9 4 2" xfId="17978"/>
    <cellStyle name="20% - Accent5 4 9 5" xfId="17979"/>
    <cellStyle name="20% - Accent5 4 9 6" xfId="17980"/>
    <cellStyle name="20% - Accent5 5" xfId="1160"/>
    <cellStyle name="20% - Accent5 5 2" xfId="1161"/>
    <cellStyle name="20% - Accent5 5 2 2" xfId="1162"/>
    <cellStyle name="20% - Accent5 5 2 2 2" xfId="1163"/>
    <cellStyle name="20% - Accent5 5 2 2 2 2" xfId="1164"/>
    <cellStyle name="20% - Accent5 5 2 2 3" xfId="1165"/>
    <cellStyle name="20% - Accent5 5 2 3" xfId="1166"/>
    <cellStyle name="20% - Accent5 5 2 3 2" xfId="1167"/>
    <cellStyle name="20% - Accent5 5 2 4" xfId="1168"/>
    <cellStyle name="20% - Accent5 5 2 5" xfId="57953"/>
    <cellStyle name="20% - Accent5 5 3" xfId="1169"/>
    <cellStyle name="20% - Accent5 5 3 2" xfId="1170"/>
    <cellStyle name="20% - Accent5 5 3 2 2" xfId="1171"/>
    <cellStyle name="20% - Accent5 5 3 3" xfId="1172"/>
    <cellStyle name="20% - Accent5 5 4" xfId="1173"/>
    <cellStyle name="20% - Accent5 5 4 2" xfId="1174"/>
    <cellStyle name="20% - Accent5 5 5" xfId="1175"/>
    <cellStyle name="20% - Accent5 5 6" xfId="8933"/>
    <cellStyle name="20% - Accent5 6" xfId="1176"/>
    <cellStyle name="20% - Accent5 6 2" xfId="1177"/>
    <cellStyle name="20% - Accent5 6 2 2" xfId="1178"/>
    <cellStyle name="20% - Accent5 6 2 2 2" xfId="1179"/>
    <cellStyle name="20% - Accent5 6 2 3" xfId="1180"/>
    <cellStyle name="20% - Accent5 6 2 4" xfId="57954"/>
    <cellStyle name="20% - Accent5 6 2 5" xfId="57955"/>
    <cellStyle name="20% - Accent5 6 3" xfId="1181"/>
    <cellStyle name="20% - Accent5 6 3 2" xfId="1182"/>
    <cellStyle name="20% - Accent5 6 4" xfId="1183"/>
    <cellStyle name="20% - Accent5 6 5" xfId="57956"/>
    <cellStyle name="20% - Accent5 7" xfId="1184"/>
    <cellStyle name="20% - Accent5 7 2" xfId="1185"/>
    <cellStyle name="20% - Accent5 7 2 2" xfId="1186"/>
    <cellStyle name="20% - Accent5 7 2 2 2" xfId="1187"/>
    <cellStyle name="20% - Accent5 7 2 3" xfId="1188"/>
    <cellStyle name="20% - Accent5 7 3" xfId="1189"/>
    <cellStyle name="20% - Accent5 7 3 2" xfId="1190"/>
    <cellStyle name="20% - Accent5 7 4" xfId="1191"/>
    <cellStyle name="20% - Accent5 7 5" xfId="57957"/>
    <cellStyle name="20% - Accent5 8" xfId="1192"/>
    <cellStyle name="20% - Accent5 8 2" xfId="1193"/>
    <cellStyle name="20% - Accent5 8 2 2" xfId="1194"/>
    <cellStyle name="20% - Accent5 8 2 2 2" xfId="1195"/>
    <cellStyle name="20% - Accent5 8 2 3" xfId="1196"/>
    <cellStyle name="20% - Accent5 8 3" xfId="1197"/>
    <cellStyle name="20% - Accent5 8 3 2" xfId="1198"/>
    <cellStyle name="20% - Accent5 8 4" xfId="1199"/>
    <cellStyle name="20% - Accent5 8 5" xfId="57958"/>
    <cellStyle name="20% - Accent5 9" xfId="1200"/>
    <cellStyle name="20% - Accent5 9 2" xfId="1201"/>
    <cellStyle name="20% - Accent5 9 2 2" xfId="1202"/>
    <cellStyle name="20% - Accent5 9 3" xfId="1203"/>
    <cellStyle name="20% - Accent5 9 4" xfId="57959"/>
    <cellStyle name="20% - Accent6 10" xfId="1204"/>
    <cellStyle name="20% - Accent6 10 2" xfId="1205"/>
    <cellStyle name="20% - Accent6 10 2 2" xfId="1206"/>
    <cellStyle name="20% - Accent6 10 3" xfId="1207"/>
    <cellStyle name="20% - Accent6 10 4" xfId="57960"/>
    <cellStyle name="20% - Accent6 11" xfId="1208"/>
    <cellStyle name="20% - Accent6 11 2" xfId="1209"/>
    <cellStyle name="20% - Accent6 11 2 2" xfId="1210"/>
    <cellStyle name="20% - Accent6 11 3" xfId="1211"/>
    <cellStyle name="20% - Accent6 11 4" xfId="57961"/>
    <cellStyle name="20% - Accent6 12" xfId="1212"/>
    <cellStyle name="20% - Accent6 12 2" xfId="1213"/>
    <cellStyle name="20% - Accent6 12 3" xfId="57962"/>
    <cellStyle name="20% - Accent6 13" xfId="1214"/>
    <cellStyle name="20% - Accent6 13 2" xfId="57963"/>
    <cellStyle name="20% - Accent6 14" xfId="8934"/>
    <cellStyle name="20% - Accent6 15" xfId="9394"/>
    <cellStyle name="20% - Accent6 16" xfId="9395"/>
    <cellStyle name="20% - Accent6 17" xfId="9396"/>
    <cellStyle name="20% - Accent6 17 2" xfId="57964"/>
    <cellStyle name="20% - Accent6 18" xfId="57965"/>
    <cellStyle name="20% - Accent6 19" xfId="57966"/>
    <cellStyle name="20% - Accent6 2" xfId="1215"/>
    <cellStyle name="20% - Accent6 2 2" xfId="1216"/>
    <cellStyle name="20% - Accent6 2 2 2" xfId="1217"/>
    <cellStyle name="20% - Accent6 2 2 2 2" xfId="1218"/>
    <cellStyle name="20% - Accent6 2 2 2 2 2" xfId="1219"/>
    <cellStyle name="20% - Accent6 2 2 2 2 2 2" xfId="1220"/>
    <cellStyle name="20% - Accent6 2 2 2 2 2 2 2" xfId="1221"/>
    <cellStyle name="20% - Accent6 2 2 2 2 2 3" xfId="1222"/>
    <cellStyle name="20% - Accent6 2 2 2 2 3" xfId="1223"/>
    <cellStyle name="20% - Accent6 2 2 2 2 3 2" xfId="1224"/>
    <cellStyle name="20% - Accent6 2 2 2 2 4" xfId="1225"/>
    <cellStyle name="20% - Accent6 2 2 2 2 5" xfId="57967"/>
    <cellStyle name="20% - Accent6 2 2 2 3" xfId="1226"/>
    <cellStyle name="20% - Accent6 2 2 2 3 2" xfId="1227"/>
    <cellStyle name="20% - Accent6 2 2 2 3 2 2" xfId="1228"/>
    <cellStyle name="20% - Accent6 2 2 2 3 3" xfId="1229"/>
    <cellStyle name="20% - Accent6 2 2 2 4" xfId="1230"/>
    <cellStyle name="20% - Accent6 2 2 2 4 2" xfId="1231"/>
    <cellStyle name="20% - Accent6 2 2 2 5" xfId="1232"/>
    <cellStyle name="20% - Accent6 2 2 2 6" xfId="57968"/>
    <cellStyle name="20% - Accent6 2 2 3" xfId="1233"/>
    <cellStyle name="20% - Accent6 2 2 3 2" xfId="1234"/>
    <cellStyle name="20% - Accent6 2 2 3 2 2" xfId="1235"/>
    <cellStyle name="20% - Accent6 2 2 3 2 2 2" xfId="1236"/>
    <cellStyle name="20% - Accent6 2 2 3 2 3" xfId="1237"/>
    <cellStyle name="20% - Accent6 2 2 3 3" xfId="1238"/>
    <cellStyle name="20% - Accent6 2 2 3 3 2" xfId="1239"/>
    <cellStyle name="20% - Accent6 2 2 3 4" xfId="1240"/>
    <cellStyle name="20% - Accent6 2 2 3 5" xfId="57969"/>
    <cellStyle name="20% - Accent6 2 2 4" xfId="1241"/>
    <cellStyle name="20% - Accent6 2 2 4 2" xfId="1242"/>
    <cellStyle name="20% - Accent6 2 2 4 2 2" xfId="1243"/>
    <cellStyle name="20% - Accent6 2 2 4 3" xfId="1244"/>
    <cellStyle name="20% - Accent6 2 2 5" xfId="1245"/>
    <cellStyle name="20% - Accent6 2 2 5 2" xfId="1246"/>
    <cellStyle name="20% - Accent6 2 2 6" xfId="1247"/>
    <cellStyle name="20% - Accent6 2 2 7" xfId="57970"/>
    <cellStyle name="20% - Accent6 2 3" xfId="1248"/>
    <cellStyle name="20% - Accent6 2 3 2" xfId="1249"/>
    <cellStyle name="20% - Accent6 2 3 2 2" xfId="1250"/>
    <cellStyle name="20% - Accent6 2 3 2 2 2" xfId="1251"/>
    <cellStyle name="20% - Accent6 2 3 2 2 2 2" xfId="1252"/>
    <cellStyle name="20% - Accent6 2 3 2 2 3" xfId="1253"/>
    <cellStyle name="20% - Accent6 2 3 2 3" xfId="1254"/>
    <cellStyle name="20% - Accent6 2 3 2 3 2" xfId="1255"/>
    <cellStyle name="20% - Accent6 2 3 2 4" xfId="1256"/>
    <cellStyle name="20% - Accent6 2 3 3" xfId="1257"/>
    <cellStyle name="20% - Accent6 2 3 3 2" xfId="1258"/>
    <cellStyle name="20% - Accent6 2 3 3 2 2" xfId="1259"/>
    <cellStyle name="20% - Accent6 2 3 3 3" xfId="1260"/>
    <cellStyle name="20% - Accent6 2 3 4" xfId="1261"/>
    <cellStyle name="20% - Accent6 2 3 4 2" xfId="1262"/>
    <cellStyle name="20% - Accent6 2 3 5" xfId="1263"/>
    <cellStyle name="20% - Accent6 2 3 6" xfId="57971"/>
    <cellStyle name="20% - Accent6 2 4" xfId="1264"/>
    <cellStyle name="20% - Accent6 2 4 2" xfId="1265"/>
    <cellStyle name="20% - Accent6 2 4 2 2" xfId="1266"/>
    <cellStyle name="20% - Accent6 2 4 2 2 2" xfId="1267"/>
    <cellStyle name="20% - Accent6 2 4 2 3" xfId="1268"/>
    <cellStyle name="20% - Accent6 2 4 3" xfId="1269"/>
    <cellStyle name="20% - Accent6 2 4 3 2" xfId="1270"/>
    <cellStyle name="20% - Accent6 2 4 4" xfId="1271"/>
    <cellStyle name="20% - Accent6 2 4 5" xfId="57972"/>
    <cellStyle name="20% - Accent6 2 5" xfId="1272"/>
    <cellStyle name="20% - Accent6 2 5 2" xfId="1273"/>
    <cellStyle name="20% - Accent6 2 5 2 2" xfId="1274"/>
    <cellStyle name="20% - Accent6 2 5 3" xfId="1275"/>
    <cellStyle name="20% - Accent6 2 5 4" xfId="57973"/>
    <cellStyle name="20% - Accent6 2 6" xfId="1276"/>
    <cellStyle name="20% - Accent6 2 6 2" xfId="1277"/>
    <cellStyle name="20% - Accent6 2 6 3" xfId="57974"/>
    <cellStyle name="20% - Accent6 2 7" xfId="1278"/>
    <cellStyle name="20% - Accent6 2 8" xfId="1279"/>
    <cellStyle name="20% - Accent6 2 9" xfId="57975"/>
    <cellStyle name="20% - Accent6 20" xfId="57976"/>
    <cellStyle name="20% - Accent6 21" xfId="57977"/>
    <cellStyle name="20% - Accent6 3" xfId="1280"/>
    <cellStyle name="20% - Accent6 3 2" xfId="1281"/>
    <cellStyle name="20% - Accent6 3 2 2" xfId="1282"/>
    <cellStyle name="20% - Accent6 3 2 2 2" xfId="1283"/>
    <cellStyle name="20% - Accent6 3 2 2 2 2" xfId="1284"/>
    <cellStyle name="20% - Accent6 3 2 2 2 2 2" xfId="1285"/>
    <cellStyle name="20% - Accent6 3 2 2 2 2 2 2" xfId="1286"/>
    <cellStyle name="20% - Accent6 3 2 2 2 2 3" xfId="1287"/>
    <cellStyle name="20% - Accent6 3 2 2 2 3" xfId="1288"/>
    <cellStyle name="20% - Accent6 3 2 2 2 3 2" xfId="1289"/>
    <cellStyle name="20% - Accent6 3 2 2 2 4" xfId="1290"/>
    <cellStyle name="20% - Accent6 3 2 2 2 5" xfId="8935"/>
    <cellStyle name="20% - Accent6 3 2 2 3" xfId="1291"/>
    <cellStyle name="20% - Accent6 3 2 2 3 2" xfId="1292"/>
    <cellStyle name="20% - Accent6 3 2 2 3 2 2" xfId="1293"/>
    <cellStyle name="20% - Accent6 3 2 2 3 3" xfId="1294"/>
    <cellStyle name="20% - Accent6 3 2 2 4" xfId="1295"/>
    <cellStyle name="20% - Accent6 3 2 2 4 2" xfId="1296"/>
    <cellStyle name="20% - Accent6 3 2 2 5" xfId="1297"/>
    <cellStyle name="20% - Accent6 3 2 2 6" xfId="8936"/>
    <cellStyle name="20% - Accent6 3 2 3" xfId="1298"/>
    <cellStyle name="20% - Accent6 3 2 3 2" xfId="1299"/>
    <cellStyle name="20% - Accent6 3 2 3 2 2" xfId="1300"/>
    <cellStyle name="20% - Accent6 3 2 3 2 2 2" xfId="1301"/>
    <cellStyle name="20% - Accent6 3 2 3 2 3" xfId="1302"/>
    <cellStyle name="20% - Accent6 3 2 3 3" xfId="1303"/>
    <cellStyle name="20% - Accent6 3 2 3 3 2" xfId="1304"/>
    <cellStyle name="20% - Accent6 3 2 3 4" xfId="1305"/>
    <cellStyle name="20% - Accent6 3 2 3 5" xfId="8937"/>
    <cellStyle name="20% - Accent6 3 2 4" xfId="1306"/>
    <cellStyle name="20% - Accent6 3 2 4 2" xfId="1307"/>
    <cellStyle name="20% - Accent6 3 2 4 2 2" xfId="1308"/>
    <cellStyle name="20% - Accent6 3 2 4 3" xfId="1309"/>
    <cellStyle name="20% - Accent6 3 2 5" xfId="1310"/>
    <cellStyle name="20% - Accent6 3 2 5 2" xfId="1311"/>
    <cellStyle name="20% - Accent6 3 2 6" xfId="1312"/>
    <cellStyle name="20% - Accent6 3 2 7" xfId="8938"/>
    <cellStyle name="20% - Accent6 3 3" xfId="1313"/>
    <cellStyle name="20% - Accent6 3 3 2" xfId="1314"/>
    <cellStyle name="20% - Accent6 3 3 2 2" xfId="1315"/>
    <cellStyle name="20% - Accent6 3 3 2 2 2" xfId="1316"/>
    <cellStyle name="20% - Accent6 3 3 2 2 2 2" xfId="1317"/>
    <cellStyle name="20% - Accent6 3 3 2 2 3" xfId="1318"/>
    <cellStyle name="20% - Accent6 3 3 2 3" xfId="1319"/>
    <cellStyle name="20% - Accent6 3 3 2 3 2" xfId="1320"/>
    <cellStyle name="20% - Accent6 3 3 2 4" xfId="1321"/>
    <cellStyle name="20% - Accent6 3 3 2 5" xfId="8939"/>
    <cellStyle name="20% - Accent6 3 3 3" xfId="1322"/>
    <cellStyle name="20% - Accent6 3 3 3 2" xfId="1323"/>
    <cellStyle name="20% - Accent6 3 3 3 2 2" xfId="1324"/>
    <cellStyle name="20% - Accent6 3 3 3 3" xfId="1325"/>
    <cellStyle name="20% - Accent6 3 3 4" xfId="1326"/>
    <cellStyle name="20% - Accent6 3 3 4 2" xfId="1327"/>
    <cellStyle name="20% - Accent6 3 3 5" xfId="1328"/>
    <cellStyle name="20% - Accent6 3 3 6" xfId="8940"/>
    <cellStyle name="20% - Accent6 3 4" xfId="1329"/>
    <cellStyle name="20% - Accent6 3 4 2" xfId="1330"/>
    <cellStyle name="20% - Accent6 3 4 2 2" xfId="1331"/>
    <cellStyle name="20% - Accent6 3 4 2 2 2" xfId="1332"/>
    <cellStyle name="20% - Accent6 3 4 2 3" xfId="1333"/>
    <cellStyle name="20% - Accent6 3 4 3" xfId="1334"/>
    <cellStyle name="20% - Accent6 3 4 3 2" xfId="1335"/>
    <cellStyle name="20% - Accent6 3 4 4" xfId="1336"/>
    <cellStyle name="20% - Accent6 3 4 5" xfId="8941"/>
    <cellStyle name="20% - Accent6 3 5" xfId="1337"/>
    <cellStyle name="20% - Accent6 3 5 2" xfId="1338"/>
    <cellStyle name="20% - Accent6 3 5 2 2" xfId="1339"/>
    <cellStyle name="20% - Accent6 3 5 3" xfId="1340"/>
    <cellStyle name="20% - Accent6 3 6" xfId="1341"/>
    <cellStyle name="20% - Accent6 3 6 2" xfId="1342"/>
    <cellStyle name="20% - Accent6 3 7" xfId="1343"/>
    <cellStyle name="20% - Accent6 3 8" xfId="1344"/>
    <cellStyle name="20% - Accent6 3 9" xfId="8942"/>
    <cellStyle name="20% - Accent6 4" xfId="1345"/>
    <cellStyle name="20% - Accent6 4 10" xfId="17981"/>
    <cellStyle name="20% - Accent6 4 10 2" xfId="17982"/>
    <cellStyle name="20% - Accent6 4 10 2 2" xfId="17983"/>
    <cellStyle name="20% - Accent6 4 10 2 3" xfId="17984"/>
    <cellStyle name="20% - Accent6 4 10 3" xfId="17985"/>
    <cellStyle name="20% - Accent6 4 10 3 2" xfId="17986"/>
    <cellStyle name="20% - Accent6 4 10 4" xfId="17987"/>
    <cellStyle name="20% - Accent6 4 10 5" xfId="17988"/>
    <cellStyle name="20% - Accent6 4 11" xfId="17989"/>
    <cellStyle name="20% - Accent6 4 11 2" xfId="17990"/>
    <cellStyle name="20% - Accent6 4 11 3" xfId="17991"/>
    <cellStyle name="20% - Accent6 4 12" xfId="17992"/>
    <cellStyle name="20% - Accent6 4 12 2" xfId="17993"/>
    <cellStyle name="20% - Accent6 4 12 3" xfId="17994"/>
    <cellStyle name="20% - Accent6 4 13" xfId="17995"/>
    <cellStyle name="20% - Accent6 4 13 2" xfId="17996"/>
    <cellStyle name="20% - Accent6 4 14" xfId="17997"/>
    <cellStyle name="20% - Accent6 4 15" xfId="17998"/>
    <cellStyle name="20% - Accent6 4 16" xfId="17999"/>
    <cellStyle name="20% - Accent6 4 2" xfId="1346"/>
    <cellStyle name="20% - Accent6 4 2 10" xfId="18000"/>
    <cellStyle name="20% - Accent6 4 2 10 2" xfId="18001"/>
    <cellStyle name="20% - Accent6 4 2 10 3" xfId="18002"/>
    <cellStyle name="20% - Accent6 4 2 11" xfId="18003"/>
    <cellStyle name="20% - Accent6 4 2 11 2" xfId="18004"/>
    <cellStyle name="20% - Accent6 4 2 11 3" xfId="18005"/>
    <cellStyle name="20% - Accent6 4 2 12" xfId="18006"/>
    <cellStyle name="20% - Accent6 4 2 12 2" xfId="18007"/>
    <cellStyle name="20% - Accent6 4 2 13" xfId="18008"/>
    <cellStyle name="20% - Accent6 4 2 14" xfId="18009"/>
    <cellStyle name="20% - Accent6 4 2 15" xfId="18010"/>
    <cellStyle name="20% - Accent6 4 2 2" xfId="1347"/>
    <cellStyle name="20% - Accent6 4 2 2 10" xfId="18011"/>
    <cellStyle name="20% - Accent6 4 2 2 10 2" xfId="18012"/>
    <cellStyle name="20% - Accent6 4 2 2 10 3" xfId="18013"/>
    <cellStyle name="20% - Accent6 4 2 2 11" xfId="18014"/>
    <cellStyle name="20% - Accent6 4 2 2 11 2" xfId="18015"/>
    <cellStyle name="20% - Accent6 4 2 2 12" xfId="18016"/>
    <cellStyle name="20% - Accent6 4 2 2 13" xfId="18017"/>
    <cellStyle name="20% - Accent6 4 2 2 2" xfId="1348"/>
    <cellStyle name="20% - Accent6 4 2 2 2 10" xfId="18018"/>
    <cellStyle name="20% - Accent6 4 2 2 2 10 2" xfId="18019"/>
    <cellStyle name="20% - Accent6 4 2 2 2 11" xfId="18020"/>
    <cellStyle name="20% - Accent6 4 2 2 2 12" xfId="18021"/>
    <cellStyle name="20% - Accent6 4 2 2 2 2" xfId="1349"/>
    <cellStyle name="20% - Accent6 4 2 2 2 2 10" xfId="18022"/>
    <cellStyle name="20% - Accent6 4 2 2 2 2 2" xfId="1350"/>
    <cellStyle name="20% - Accent6 4 2 2 2 2 2 2" xfId="18023"/>
    <cellStyle name="20% - Accent6 4 2 2 2 2 2 2 2" xfId="18024"/>
    <cellStyle name="20% - Accent6 4 2 2 2 2 2 2 2 2" xfId="18025"/>
    <cellStyle name="20% - Accent6 4 2 2 2 2 2 2 2 3" xfId="18026"/>
    <cellStyle name="20% - Accent6 4 2 2 2 2 2 2 3" xfId="18027"/>
    <cellStyle name="20% - Accent6 4 2 2 2 2 2 2 3 2" xfId="18028"/>
    <cellStyle name="20% - Accent6 4 2 2 2 2 2 2 3 3" xfId="18029"/>
    <cellStyle name="20% - Accent6 4 2 2 2 2 2 2 4" xfId="18030"/>
    <cellStyle name="20% - Accent6 4 2 2 2 2 2 2 4 2" xfId="18031"/>
    <cellStyle name="20% - Accent6 4 2 2 2 2 2 2 5" xfId="18032"/>
    <cellStyle name="20% - Accent6 4 2 2 2 2 2 2 6" xfId="18033"/>
    <cellStyle name="20% - Accent6 4 2 2 2 2 2 3" xfId="18034"/>
    <cellStyle name="20% - Accent6 4 2 2 2 2 2 3 2" xfId="18035"/>
    <cellStyle name="20% - Accent6 4 2 2 2 2 2 3 2 2" xfId="18036"/>
    <cellStyle name="20% - Accent6 4 2 2 2 2 2 3 2 3" xfId="18037"/>
    <cellStyle name="20% - Accent6 4 2 2 2 2 2 3 3" xfId="18038"/>
    <cellStyle name="20% - Accent6 4 2 2 2 2 2 3 3 2" xfId="18039"/>
    <cellStyle name="20% - Accent6 4 2 2 2 2 2 3 3 3" xfId="18040"/>
    <cellStyle name="20% - Accent6 4 2 2 2 2 2 3 4" xfId="18041"/>
    <cellStyle name="20% - Accent6 4 2 2 2 2 2 3 4 2" xfId="18042"/>
    <cellStyle name="20% - Accent6 4 2 2 2 2 2 3 5" xfId="18043"/>
    <cellStyle name="20% - Accent6 4 2 2 2 2 2 3 6" xfId="18044"/>
    <cellStyle name="20% - Accent6 4 2 2 2 2 2 4" xfId="18045"/>
    <cellStyle name="20% - Accent6 4 2 2 2 2 2 4 2" xfId="18046"/>
    <cellStyle name="20% - Accent6 4 2 2 2 2 2 4 2 2" xfId="18047"/>
    <cellStyle name="20% - Accent6 4 2 2 2 2 2 4 2 3" xfId="18048"/>
    <cellStyle name="20% - Accent6 4 2 2 2 2 2 4 3" xfId="18049"/>
    <cellStyle name="20% - Accent6 4 2 2 2 2 2 4 3 2" xfId="18050"/>
    <cellStyle name="20% - Accent6 4 2 2 2 2 2 4 4" xfId="18051"/>
    <cellStyle name="20% - Accent6 4 2 2 2 2 2 4 5" xfId="18052"/>
    <cellStyle name="20% - Accent6 4 2 2 2 2 2 5" xfId="18053"/>
    <cellStyle name="20% - Accent6 4 2 2 2 2 2 5 2" xfId="18054"/>
    <cellStyle name="20% - Accent6 4 2 2 2 2 2 5 3" xfId="18055"/>
    <cellStyle name="20% - Accent6 4 2 2 2 2 2 6" xfId="18056"/>
    <cellStyle name="20% - Accent6 4 2 2 2 2 2 6 2" xfId="18057"/>
    <cellStyle name="20% - Accent6 4 2 2 2 2 2 6 3" xfId="18058"/>
    <cellStyle name="20% - Accent6 4 2 2 2 2 2 7" xfId="18059"/>
    <cellStyle name="20% - Accent6 4 2 2 2 2 2 7 2" xfId="18060"/>
    <cellStyle name="20% - Accent6 4 2 2 2 2 2 8" xfId="18061"/>
    <cellStyle name="20% - Accent6 4 2 2 2 2 2 9" xfId="18062"/>
    <cellStyle name="20% - Accent6 4 2 2 2 2 3" xfId="18063"/>
    <cellStyle name="20% - Accent6 4 2 2 2 2 3 2" xfId="18064"/>
    <cellStyle name="20% - Accent6 4 2 2 2 2 3 2 2" xfId="18065"/>
    <cellStyle name="20% - Accent6 4 2 2 2 2 3 2 3" xfId="18066"/>
    <cellStyle name="20% - Accent6 4 2 2 2 2 3 3" xfId="18067"/>
    <cellStyle name="20% - Accent6 4 2 2 2 2 3 3 2" xfId="18068"/>
    <cellStyle name="20% - Accent6 4 2 2 2 2 3 3 3" xfId="18069"/>
    <cellStyle name="20% - Accent6 4 2 2 2 2 3 4" xfId="18070"/>
    <cellStyle name="20% - Accent6 4 2 2 2 2 3 4 2" xfId="18071"/>
    <cellStyle name="20% - Accent6 4 2 2 2 2 3 5" xfId="18072"/>
    <cellStyle name="20% - Accent6 4 2 2 2 2 3 6" xfId="18073"/>
    <cellStyle name="20% - Accent6 4 2 2 2 2 4" xfId="18074"/>
    <cellStyle name="20% - Accent6 4 2 2 2 2 4 2" xfId="18075"/>
    <cellStyle name="20% - Accent6 4 2 2 2 2 4 2 2" xfId="18076"/>
    <cellStyle name="20% - Accent6 4 2 2 2 2 4 2 3" xfId="18077"/>
    <cellStyle name="20% - Accent6 4 2 2 2 2 4 3" xfId="18078"/>
    <cellStyle name="20% - Accent6 4 2 2 2 2 4 3 2" xfId="18079"/>
    <cellStyle name="20% - Accent6 4 2 2 2 2 4 3 3" xfId="18080"/>
    <cellStyle name="20% - Accent6 4 2 2 2 2 4 4" xfId="18081"/>
    <cellStyle name="20% - Accent6 4 2 2 2 2 4 4 2" xfId="18082"/>
    <cellStyle name="20% - Accent6 4 2 2 2 2 4 5" xfId="18083"/>
    <cellStyle name="20% - Accent6 4 2 2 2 2 4 6" xfId="18084"/>
    <cellStyle name="20% - Accent6 4 2 2 2 2 5" xfId="18085"/>
    <cellStyle name="20% - Accent6 4 2 2 2 2 5 2" xfId="18086"/>
    <cellStyle name="20% - Accent6 4 2 2 2 2 5 2 2" xfId="18087"/>
    <cellStyle name="20% - Accent6 4 2 2 2 2 5 2 3" xfId="18088"/>
    <cellStyle name="20% - Accent6 4 2 2 2 2 5 3" xfId="18089"/>
    <cellStyle name="20% - Accent6 4 2 2 2 2 5 3 2" xfId="18090"/>
    <cellStyle name="20% - Accent6 4 2 2 2 2 5 4" xfId="18091"/>
    <cellStyle name="20% - Accent6 4 2 2 2 2 5 5" xfId="18092"/>
    <cellStyle name="20% - Accent6 4 2 2 2 2 6" xfId="18093"/>
    <cellStyle name="20% - Accent6 4 2 2 2 2 6 2" xfId="18094"/>
    <cellStyle name="20% - Accent6 4 2 2 2 2 6 3" xfId="18095"/>
    <cellStyle name="20% - Accent6 4 2 2 2 2 7" xfId="18096"/>
    <cellStyle name="20% - Accent6 4 2 2 2 2 7 2" xfId="18097"/>
    <cellStyle name="20% - Accent6 4 2 2 2 2 7 3" xfId="18098"/>
    <cellStyle name="20% - Accent6 4 2 2 2 2 8" xfId="18099"/>
    <cellStyle name="20% - Accent6 4 2 2 2 2 8 2" xfId="18100"/>
    <cellStyle name="20% - Accent6 4 2 2 2 2 9" xfId="18101"/>
    <cellStyle name="20% - Accent6 4 2 2 2 3" xfId="1351"/>
    <cellStyle name="20% - Accent6 4 2 2 2 3 2" xfId="18102"/>
    <cellStyle name="20% - Accent6 4 2 2 2 3 2 2" xfId="18103"/>
    <cellStyle name="20% - Accent6 4 2 2 2 3 2 2 2" xfId="18104"/>
    <cellStyle name="20% - Accent6 4 2 2 2 3 2 2 3" xfId="18105"/>
    <cellStyle name="20% - Accent6 4 2 2 2 3 2 3" xfId="18106"/>
    <cellStyle name="20% - Accent6 4 2 2 2 3 2 3 2" xfId="18107"/>
    <cellStyle name="20% - Accent6 4 2 2 2 3 2 3 3" xfId="18108"/>
    <cellStyle name="20% - Accent6 4 2 2 2 3 2 4" xfId="18109"/>
    <cellStyle name="20% - Accent6 4 2 2 2 3 2 4 2" xfId="18110"/>
    <cellStyle name="20% - Accent6 4 2 2 2 3 2 5" xfId="18111"/>
    <cellStyle name="20% - Accent6 4 2 2 2 3 2 6" xfId="18112"/>
    <cellStyle name="20% - Accent6 4 2 2 2 3 3" xfId="18113"/>
    <cellStyle name="20% - Accent6 4 2 2 2 3 3 2" xfId="18114"/>
    <cellStyle name="20% - Accent6 4 2 2 2 3 3 2 2" xfId="18115"/>
    <cellStyle name="20% - Accent6 4 2 2 2 3 3 2 3" xfId="18116"/>
    <cellStyle name="20% - Accent6 4 2 2 2 3 3 3" xfId="18117"/>
    <cellStyle name="20% - Accent6 4 2 2 2 3 3 3 2" xfId="18118"/>
    <cellStyle name="20% - Accent6 4 2 2 2 3 3 3 3" xfId="18119"/>
    <cellStyle name="20% - Accent6 4 2 2 2 3 3 4" xfId="18120"/>
    <cellStyle name="20% - Accent6 4 2 2 2 3 3 4 2" xfId="18121"/>
    <cellStyle name="20% - Accent6 4 2 2 2 3 3 5" xfId="18122"/>
    <cellStyle name="20% - Accent6 4 2 2 2 3 3 6" xfId="18123"/>
    <cellStyle name="20% - Accent6 4 2 2 2 3 4" xfId="18124"/>
    <cellStyle name="20% - Accent6 4 2 2 2 3 4 2" xfId="18125"/>
    <cellStyle name="20% - Accent6 4 2 2 2 3 4 2 2" xfId="18126"/>
    <cellStyle name="20% - Accent6 4 2 2 2 3 4 2 3" xfId="18127"/>
    <cellStyle name="20% - Accent6 4 2 2 2 3 4 3" xfId="18128"/>
    <cellStyle name="20% - Accent6 4 2 2 2 3 4 3 2" xfId="18129"/>
    <cellStyle name="20% - Accent6 4 2 2 2 3 4 4" xfId="18130"/>
    <cellStyle name="20% - Accent6 4 2 2 2 3 4 5" xfId="18131"/>
    <cellStyle name="20% - Accent6 4 2 2 2 3 5" xfId="18132"/>
    <cellStyle name="20% - Accent6 4 2 2 2 3 5 2" xfId="18133"/>
    <cellStyle name="20% - Accent6 4 2 2 2 3 5 3" xfId="18134"/>
    <cellStyle name="20% - Accent6 4 2 2 2 3 6" xfId="18135"/>
    <cellStyle name="20% - Accent6 4 2 2 2 3 6 2" xfId="18136"/>
    <cellStyle name="20% - Accent6 4 2 2 2 3 6 3" xfId="18137"/>
    <cellStyle name="20% - Accent6 4 2 2 2 3 7" xfId="18138"/>
    <cellStyle name="20% - Accent6 4 2 2 2 3 7 2" xfId="18139"/>
    <cellStyle name="20% - Accent6 4 2 2 2 3 8" xfId="18140"/>
    <cellStyle name="20% - Accent6 4 2 2 2 3 9" xfId="18141"/>
    <cellStyle name="20% - Accent6 4 2 2 2 4" xfId="18142"/>
    <cellStyle name="20% - Accent6 4 2 2 2 4 2" xfId="18143"/>
    <cellStyle name="20% - Accent6 4 2 2 2 4 2 2" xfId="18144"/>
    <cellStyle name="20% - Accent6 4 2 2 2 4 2 2 2" xfId="18145"/>
    <cellStyle name="20% - Accent6 4 2 2 2 4 2 2 3" xfId="18146"/>
    <cellStyle name="20% - Accent6 4 2 2 2 4 2 3" xfId="18147"/>
    <cellStyle name="20% - Accent6 4 2 2 2 4 2 3 2" xfId="18148"/>
    <cellStyle name="20% - Accent6 4 2 2 2 4 2 3 3" xfId="18149"/>
    <cellStyle name="20% - Accent6 4 2 2 2 4 2 4" xfId="18150"/>
    <cellStyle name="20% - Accent6 4 2 2 2 4 2 4 2" xfId="18151"/>
    <cellStyle name="20% - Accent6 4 2 2 2 4 2 5" xfId="18152"/>
    <cellStyle name="20% - Accent6 4 2 2 2 4 2 6" xfId="18153"/>
    <cellStyle name="20% - Accent6 4 2 2 2 4 3" xfId="18154"/>
    <cellStyle name="20% - Accent6 4 2 2 2 4 3 2" xfId="18155"/>
    <cellStyle name="20% - Accent6 4 2 2 2 4 3 2 2" xfId="18156"/>
    <cellStyle name="20% - Accent6 4 2 2 2 4 3 2 3" xfId="18157"/>
    <cellStyle name="20% - Accent6 4 2 2 2 4 3 3" xfId="18158"/>
    <cellStyle name="20% - Accent6 4 2 2 2 4 3 3 2" xfId="18159"/>
    <cellStyle name="20% - Accent6 4 2 2 2 4 3 3 3" xfId="18160"/>
    <cellStyle name="20% - Accent6 4 2 2 2 4 3 4" xfId="18161"/>
    <cellStyle name="20% - Accent6 4 2 2 2 4 3 4 2" xfId="18162"/>
    <cellStyle name="20% - Accent6 4 2 2 2 4 3 5" xfId="18163"/>
    <cellStyle name="20% - Accent6 4 2 2 2 4 3 6" xfId="18164"/>
    <cellStyle name="20% - Accent6 4 2 2 2 4 4" xfId="18165"/>
    <cellStyle name="20% - Accent6 4 2 2 2 4 4 2" xfId="18166"/>
    <cellStyle name="20% - Accent6 4 2 2 2 4 4 2 2" xfId="18167"/>
    <cellStyle name="20% - Accent6 4 2 2 2 4 4 2 3" xfId="18168"/>
    <cellStyle name="20% - Accent6 4 2 2 2 4 4 3" xfId="18169"/>
    <cellStyle name="20% - Accent6 4 2 2 2 4 4 3 2" xfId="18170"/>
    <cellStyle name="20% - Accent6 4 2 2 2 4 4 4" xfId="18171"/>
    <cellStyle name="20% - Accent6 4 2 2 2 4 4 5" xfId="18172"/>
    <cellStyle name="20% - Accent6 4 2 2 2 4 5" xfId="18173"/>
    <cellStyle name="20% - Accent6 4 2 2 2 4 5 2" xfId="18174"/>
    <cellStyle name="20% - Accent6 4 2 2 2 4 5 3" xfId="18175"/>
    <cellStyle name="20% - Accent6 4 2 2 2 4 6" xfId="18176"/>
    <cellStyle name="20% - Accent6 4 2 2 2 4 6 2" xfId="18177"/>
    <cellStyle name="20% - Accent6 4 2 2 2 4 6 3" xfId="18178"/>
    <cellStyle name="20% - Accent6 4 2 2 2 4 7" xfId="18179"/>
    <cellStyle name="20% - Accent6 4 2 2 2 4 7 2" xfId="18180"/>
    <cellStyle name="20% - Accent6 4 2 2 2 4 8" xfId="18181"/>
    <cellStyle name="20% - Accent6 4 2 2 2 4 9" xfId="18182"/>
    <cellStyle name="20% - Accent6 4 2 2 2 5" xfId="18183"/>
    <cellStyle name="20% - Accent6 4 2 2 2 5 2" xfId="18184"/>
    <cellStyle name="20% - Accent6 4 2 2 2 5 2 2" xfId="18185"/>
    <cellStyle name="20% - Accent6 4 2 2 2 5 2 3" xfId="18186"/>
    <cellStyle name="20% - Accent6 4 2 2 2 5 3" xfId="18187"/>
    <cellStyle name="20% - Accent6 4 2 2 2 5 3 2" xfId="18188"/>
    <cellStyle name="20% - Accent6 4 2 2 2 5 3 3" xfId="18189"/>
    <cellStyle name="20% - Accent6 4 2 2 2 5 4" xfId="18190"/>
    <cellStyle name="20% - Accent6 4 2 2 2 5 4 2" xfId="18191"/>
    <cellStyle name="20% - Accent6 4 2 2 2 5 5" xfId="18192"/>
    <cellStyle name="20% - Accent6 4 2 2 2 5 6" xfId="18193"/>
    <cellStyle name="20% - Accent6 4 2 2 2 6" xfId="18194"/>
    <cellStyle name="20% - Accent6 4 2 2 2 6 2" xfId="18195"/>
    <cellStyle name="20% - Accent6 4 2 2 2 6 2 2" xfId="18196"/>
    <cellStyle name="20% - Accent6 4 2 2 2 6 2 3" xfId="18197"/>
    <cellStyle name="20% - Accent6 4 2 2 2 6 3" xfId="18198"/>
    <cellStyle name="20% - Accent6 4 2 2 2 6 3 2" xfId="18199"/>
    <cellStyle name="20% - Accent6 4 2 2 2 6 3 3" xfId="18200"/>
    <cellStyle name="20% - Accent6 4 2 2 2 6 4" xfId="18201"/>
    <cellStyle name="20% - Accent6 4 2 2 2 6 4 2" xfId="18202"/>
    <cellStyle name="20% - Accent6 4 2 2 2 6 5" xfId="18203"/>
    <cellStyle name="20% - Accent6 4 2 2 2 6 6" xfId="18204"/>
    <cellStyle name="20% - Accent6 4 2 2 2 7" xfId="18205"/>
    <cellStyle name="20% - Accent6 4 2 2 2 7 2" xfId="18206"/>
    <cellStyle name="20% - Accent6 4 2 2 2 7 2 2" xfId="18207"/>
    <cellStyle name="20% - Accent6 4 2 2 2 7 2 3" xfId="18208"/>
    <cellStyle name="20% - Accent6 4 2 2 2 7 3" xfId="18209"/>
    <cellStyle name="20% - Accent6 4 2 2 2 7 3 2" xfId="18210"/>
    <cellStyle name="20% - Accent6 4 2 2 2 7 4" xfId="18211"/>
    <cellStyle name="20% - Accent6 4 2 2 2 7 5" xfId="18212"/>
    <cellStyle name="20% - Accent6 4 2 2 2 8" xfId="18213"/>
    <cellStyle name="20% - Accent6 4 2 2 2 8 2" xfId="18214"/>
    <cellStyle name="20% - Accent6 4 2 2 2 8 3" xfId="18215"/>
    <cellStyle name="20% - Accent6 4 2 2 2 9" xfId="18216"/>
    <cellStyle name="20% - Accent6 4 2 2 2 9 2" xfId="18217"/>
    <cellStyle name="20% - Accent6 4 2 2 2 9 3" xfId="18218"/>
    <cellStyle name="20% - Accent6 4 2 2 3" xfId="1352"/>
    <cellStyle name="20% - Accent6 4 2 2 3 10" xfId="18219"/>
    <cellStyle name="20% - Accent6 4 2 2 3 2" xfId="1353"/>
    <cellStyle name="20% - Accent6 4 2 2 3 2 2" xfId="18220"/>
    <cellStyle name="20% - Accent6 4 2 2 3 2 2 2" xfId="18221"/>
    <cellStyle name="20% - Accent6 4 2 2 3 2 2 2 2" xfId="18222"/>
    <cellStyle name="20% - Accent6 4 2 2 3 2 2 2 3" xfId="18223"/>
    <cellStyle name="20% - Accent6 4 2 2 3 2 2 3" xfId="18224"/>
    <cellStyle name="20% - Accent6 4 2 2 3 2 2 3 2" xfId="18225"/>
    <cellStyle name="20% - Accent6 4 2 2 3 2 2 3 3" xfId="18226"/>
    <cellStyle name="20% - Accent6 4 2 2 3 2 2 4" xfId="18227"/>
    <cellStyle name="20% - Accent6 4 2 2 3 2 2 4 2" xfId="18228"/>
    <cellStyle name="20% - Accent6 4 2 2 3 2 2 5" xfId="18229"/>
    <cellStyle name="20% - Accent6 4 2 2 3 2 2 6" xfId="18230"/>
    <cellStyle name="20% - Accent6 4 2 2 3 2 3" xfId="18231"/>
    <cellStyle name="20% - Accent6 4 2 2 3 2 3 2" xfId="18232"/>
    <cellStyle name="20% - Accent6 4 2 2 3 2 3 2 2" xfId="18233"/>
    <cellStyle name="20% - Accent6 4 2 2 3 2 3 2 3" xfId="18234"/>
    <cellStyle name="20% - Accent6 4 2 2 3 2 3 3" xfId="18235"/>
    <cellStyle name="20% - Accent6 4 2 2 3 2 3 3 2" xfId="18236"/>
    <cellStyle name="20% - Accent6 4 2 2 3 2 3 3 3" xfId="18237"/>
    <cellStyle name="20% - Accent6 4 2 2 3 2 3 4" xfId="18238"/>
    <cellStyle name="20% - Accent6 4 2 2 3 2 3 4 2" xfId="18239"/>
    <cellStyle name="20% - Accent6 4 2 2 3 2 3 5" xfId="18240"/>
    <cellStyle name="20% - Accent6 4 2 2 3 2 3 6" xfId="18241"/>
    <cellStyle name="20% - Accent6 4 2 2 3 2 4" xfId="18242"/>
    <cellStyle name="20% - Accent6 4 2 2 3 2 4 2" xfId="18243"/>
    <cellStyle name="20% - Accent6 4 2 2 3 2 4 2 2" xfId="18244"/>
    <cellStyle name="20% - Accent6 4 2 2 3 2 4 2 3" xfId="18245"/>
    <cellStyle name="20% - Accent6 4 2 2 3 2 4 3" xfId="18246"/>
    <cellStyle name="20% - Accent6 4 2 2 3 2 4 3 2" xfId="18247"/>
    <cellStyle name="20% - Accent6 4 2 2 3 2 4 4" xfId="18248"/>
    <cellStyle name="20% - Accent6 4 2 2 3 2 4 5" xfId="18249"/>
    <cellStyle name="20% - Accent6 4 2 2 3 2 5" xfId="18250"/>
    <cellStyle name="20% - Accent6 4 2 2 3 2 5 2" xfId="18251"/>
    <cellStyle name="20% - Accent6 4 2 2 3 2 5 3" xfId="18252"/>
    <cellStyle name="20% - Accent6 4 2 2 3 2 6" xfId="18253"/>
    <cellStyle name="20% - Accent6 4 2 2 3 2 6 2" xfId="18254"/>
    <cellStyle name="20% - Accent6 4 2 2 3 2 6 3" xfId="18255"/>
    <cellStyle name="20% - Accent6 4 2 2 3 2 7" xfId="18256"/>
    <cellStyle name="20% - Accent6 4 2 2 3 2 7 2" xfId="18257"/>
    <cellStyle name="20% - Accent6 4 2 2 3 2 8" xfId="18258"/>
    <cellStyle name="20% - Accent6 4 2 2 3 2 9" xfId="18259"/>
    <cellStyle name="20% - Accent6 4 2 2 3 3" xfId="18260"/>
    <cellStyle name="20% - Accent6 4 2 2 3 3 2" xfId="18261"/>
    <cellStyle name="20% - Accent6 4 2 2 3 3 2 2" xfId="18262"/>
    <cellStyle name="20% - Accent6 4 2 2 3 3 2 3" xfId="18263"/>
    <cellStyle name="20% - Accent6 4 2 2 3 3 3" xfId="18264"/>
    <cellStyle name="20% - Accent6 4 2 2 3 3 3 2" xfId="18265"/>
    <cellStyle name="20% - Accent6 4 2 2 3 3 3 3" xfId="18266"/>
    <cellStyle name="20% - Accent6 4 2 2 3 3 4" xfId="18267"/>
    <cellStyle name="20% - Accent6 4 2 2 3 3 4 2" xfId="18268"/>
    <cellStyle name="20% - Accent6 4 2 2 3 3 5" xfId="18269"/>
    <cellStyle name="20% - Accent6 4 2 2 3 3 6" xfId="18270"/>
    <cellStyle name="20% - Accent6 4 2 2 3 4" xfId="18271"/>
    <cellStyle name="20% - Accent6 4 2 2 3 4 2" xfId="18272"/>
    <cellStyle name="20% - Accent6 4 2 2 3 4 2 2" xfId="18273"/>
    <cellStyle name="20% - Accent6 4 2 2 3 4 2 3" xfId="18274"/>
    <cellStyle name="20% - Accent6 4 2 2 3 4 3" xfId="18275"/>
    <cellStyle name="20% - Accent6 4 2 2 3 4 3 2" xfId="18276"/>
    <cellStyle name="20% - Accent6 4 2 2 3 4 3 3" xfId="18277"/>
    <cellStyle name="20% - Accent6 4 2 2 3 4 4" xfId="18278"/>
    <cellStyle name="20% - Accent6 4 2 2 3 4 4 2" xfId="18279"/>
    <cellStyle name="20% - Accent6 4 2 2 3 4 5" xfId="18280"/>
    <cellStyle name="20% - Accent6 4 2 2 3 4 6" xfId="18281"/>
    <cellStyle name="20% - Accent6 4 2 2 3 5" xfId="18282"/>
    <cellStyle name="20% - Accent6 4 2 2 3 5 2" xfId="18283"/>
    <cellStyle name="20% - Accent6 4 2 2 3 5 2 2" xfId="18284"/>
    <cellStyle name="20% - Accent6 4 2 2 3 5 2 3" xfId="18285"/>
    <cellStyle name="20% - Accent6 4 2 2 3 5 3" xfId="18286"/>
    <cellStyle name="20% - Accent6 4 2 2 3 5 3 2" xfId="18287"/>
    <cellStyle name="20% - Accent6 4 2 2 3 5 4" xfId="18288"/>
    <cellStyle name="20% - Accent6 4 2 2 3 5 5" xfId="18289"/>
    <cellStyle name="20% - Accent6 4 2 2 3 6" xfId="18290"/>
    <cellStyle name="20% - Accent6 4 2 2 3 6 2" xfId="18291"/>
    <cellStyle name="20% - Accent6 4 2 2 3 6 3" xfId="18292"/>
    <cellStyle name="20% - Accent6 4 2 2 3 7" xfId="18293"/>
    <cellStyle name="20% - Accent6 4 2 2 3 7 2" xfId="18294"/>
    <cellStyle name="20% - Accent6 4 2 2 3 7 3" xfId="18295"/>
    <cellStyle name="20% - Accent6 4 2 2 3 8" xfId="18296"/>
    <cellStyle name="20% - Accent6 4 2 2 3 8 2" xfId="18297"/>
    <cellStyle name="20% - Accent6 4 2 2 3 9" xfId="18298"/>
    <cellStyle name="20% - Accent6 4 2 2 4" xfId="1354"/>
    <cellStyle name="20% - Accent6 4 2 2 4 2" xfId="18299"/>
    <cellStyle name="20% - Accent6 4 2 2 4 2 2" xfId="18300"/>
    <cellStyle name="20% - Accent6 4 2 2 4 2 2 2" xfId="18301"/>
    <cellStyle name="20% - Accent6 4 2 2 4 2 2 3" xfId="18302"/>
    <cellStyle name="20% - Accent6 4 2 2 4 2 3" xfId="18303"/>
    <cellStyle name="20% - Accent6 4 2 2 4 2 3 2" xfId="18304"/>
    <cellStyle name="20% - Accent6 4 2 2 4 2 3 3" xfId="18305"/>
    <cellStyle name="20% - Accent6 4 2 2 4 2 4" xfId="18306"/>
    <cellStyle name="20% - Accent6 4 2 2 4 2 4 2" xfId="18307"/>
    <cellStyle name="20% - Accent6 4 2 2 4 2 5" xfId="18308"/>
    <cellStyle name="20% - Accent6 4 2 2 4 2 6" xfId="18309"/>
    <cellStyle name="20% - Accent6 4 2 2 4 3" xfId="18310"/>
    <cellStyle name="20% - Accent6 4 2 2 4 3 2" xfId="18311"/>
    <cellStyle name="20% - Accent6 4 2 2 4 3 2 2" xfId="18312"/>
    <cellStyle name="20% - Accent6 4 2 2 4 3 2 3" xfId="18313"/>
    <cellStyle name="20% - Accent6 4 2 2 4 3 3" xfId="18314"/>
    <cellStyle name="20% - Accent6 4 2 2 4 3 3 2" xfId="18315"/>
    <cellStyle name="20% - Accent6 4 2 2 4 3 3 3" xfId="18316"/>
    <cellStyle name="20% - Accent6 4 2 2 4 3 4" xfId="18317"/>
    <cellStyle name="20% - Accent6 4 2 2 4 3 4 2" xfId="18318"/>
    <cellStyle name="20% - Accent6 4 2 2 4 3 5" xfId="18319"/>
    <cellStyle name="20% - Accent6 4 2 2 4 3 6" xfId="18320"/>
    <cellStyle name="20% - Accent6 4 2 2 4 4" xfId="18321"/>
    <cellStyle name="20% - Accent6 4 2 2 4 4 2" xfId="18322"/>
    <cellStyle name="20% - Accent6 4 2 2 4 4 2 2" xfId="18323"/>
    <cellStyle name="20% - Accent6 4 2 2 4 4 2 3" xfId="18324"/>
    <cellStyle name="20% - Accent6 4 2 2 4 4 3" xfId="18325"/>
    <cellStyle name="20% - Accent6 4 2 2 4 4 3 2" xfId="18326"/>
    <cellStyle name="20% - Accent6 4 2 2 4 4 4" xfId="18327"/>
    <cellStyle name="20% - Accent6 4 2 2 4 4 5" xfId="18328"/>
    <cellStyle name="20% - Accent6 4 2 2 4 5" xfId="18329"/>
    <cellStyle name="20% - Accent6 4 2 2 4 5 2" xfId="18330"/>
    <cellStyle name="20% - Accent6 4 2 2 4 5 3" xfId="18331"/>
    <cellStyle name="20% - Accent6 4 2 2 4 6" xfId="18332"/>
    <cellStyle name="20% - Accent6 4 2 2 4 6 2" xfId="18333"/>
    <cellStyle name="20% - Accent6 4 2 2 4 6 3" xfId="18334"/>
    <cellStyle name="20% - Accent6 4 2 2 4 7" xfId="18335"/>
    <cellStyle name="20% - Accent6 4 2 2 4 7 2" xfId="18336"/>
    <cellStyle name="20% - Accent6 4 2 2 4 8" xfId="18337"/>
    <cellStyle name="20% - Accent6 4 2 2 4 9" xfId="18338"/>
    <cellStyle name="20% - Accent6 4 2 2 5" xfId="18339"/>
    <cellStyle name="20% - Accent6 4 2 2 5 2" xfId="18340"/>
    <cellStyle name="20% - Accent6 4 2 2 5 2 2" xfId="18341"/>
    <cellStyle name="20% - Accent6 4 2 2 5 2 2 2" xfId="18342"/>
    <cellStyle name="20% - Accent6 4 2 2 5 2 2 3" xfId="18343"/>
    <cellStyle name="20% - Accent6 4 2 2 5 2 3" xfId="18344"/>
    <cellStyle name="20% - Accent6 4 2 2 5 2 3 2" xfId="18345"/>
    <cellStyle name="20% - Accent6 4 2 2 5 2 3 3" xfId="18346"/>
    <cellStyle name="20% - Accent6 4 2 2 5 2 4" xfId="18347"/>
    <cellStyle name="20% - Accent6 4 2 2 5 2 4 2" xfId="18348"/>
    <cellStyle name="20% - Accent6 4 2 2 5 2 5" xfId="18349"/>
    <cellStyle name="20% - Accent6 4 2 2 5 2 6" xfId="18350"/>
    <cellStyle name="20% - Accent6 4 2 2 5 3" xfId="18351"/>
    <cellStyle name="20% - Accent6 4 2 2 5 3 2" xfId="18352"/>
    <cellStyle name="20% - Accent6 4 2 2 5 3 2 2" xfId="18353"/>
    <cellStyle name="20% - Accent6 4 2 2 5 3 2 3" xfId="18354"/>
    <cellStyle name="20% - Accent6 4 2 2 5 3 3" xfId="18355"/>
    <cellStyle name="20% - Accent6 4 2 2 5 3 3 2" xfId="18356"/>
    <cellStyle name="20% - Accent6 4 2 2 5 3 3 3" xfId="18357"/>
    <cellStyle name="20% - Accent6 4 2 2 5 3 4" xfId="18358"/>
    <cellStyle name="20% - Accent6 4 2 2 5 3 4 2" xfId="18359"/>
    <cellStyle name="20% - Accent6 4 2 2 5 3 5" xfId="18360"/>
    <cellStyle name="20% - Accent6 4 2 2 5 3 6" xfId="18361"/>
    <cellStyle name="20% - Accent6 4 2 2 5 4" xfId="18362"/>
    <cellStyle name="20% - Accent6 4 2 2 5 4 2" xfId="18363"/>
    <cellStyle name="20% - Accent6 4 2 2 5 4 2 2" xfId="18364"/>
    <cellStyle name="20% - Accent6 4 2 2 5 4 2 3" xfId="18365"/>
    <cellStyle name="20% - Accent6 4 2 2 5 4 3" xfId="18366"/>
    <cellStyle name="20% - Accent6 4 2 2 5 4 3 2" xfId="18367"/>
    <cellStyle name="20% - Accent6 4 2 2 5 4 4" xfId="18368"/>
    <cellStyle name="20% - Accent6 4 2 2 5 4 5" xfId="18369"/>
    <cellStyle name="20% - Accent6 4 2 2 5 5" xfId="18370"/>
    <cellStyle name="20% - Accent6 4 2 2 5 5 2" xfId="18371"/>
    <cellStyle name="20% - Accent6 4 2 2 5 5 3" xfId="18372"/>
    <cellStyle name="20% - Accent6 4 2 2 5 6" xfId="18373"/>
    <cellStyle name="20% - Accent6 4 2 2 5 6 2" xfId="18374"/>
    <cellStyle name="20% - Accent6 4 2 2 5 6 3" xfId="18375"/>
    <cellStyle name="20% - Accent6 4 2 2 5 7" xfId="18376"/>
    <cellStyle name="20% - Accent6 4 2 2 5 7 2" xfId="18377"/>
    <cellStyle name="20% - Accent6 4 2 2 5 8" xfId="18378"/>
    <cellStyle name="20% - Accent6 4 2 2 5 9" xfId="18379"/>
    <cellStyle name="20% - Accent6 4 2 2 6" xfId="18380"/>
    <cellStyle name="20% - Accent6 4 2 2 6 2" xfId="18381"/>
    <cellStyle name="20% - Accent6 4 2 2 6 2 2" xfId="18382"/>
    <cellStyle name="20% - Accent6 4 2 2 6 2 3" xfId="18383"/>
    <cellStyle name="20% - Accent6 4 2 2 6 3" xfId="18384"/>
    <cellStyle name="20% - Accent6 4 2 2 6 3 2" xfId="18385"/>
    <cellStyle name="20% - Accent6 4 2 2 6 3 3" xfId="18386"/>
    <cellStyle name="20% - Accent6 4 2 2 6 4" xfId="18387"/>
    <cellStyle name="20% - Accent6 4 2 2 6 4 2" xfId="18388"/>
    <cellStyle name="20% - Accent6 4 2 2 6 5" xfId="18389"/>
    <cellStyle name="20% - Accent6 4 2 2 6 6" xfId="18390"/>
    <cellStyle name="20% - Accent6 4 2 2 7" xfId="18391"/>
    <cellStyle name="20% - Accent6 4 2 2 7 2" xfId="18392"/>
    <cellStyle name="20% - Accent6 4 2 2 7 2 2" xfId="18393"/>
    <cellStyle name="20% - Accent6 4 2 2 7 2 3" xfId="18394"/>
    <cellStyle name="20% - Accent6 4 2 2 7 3" xfId="18395"/>
    <cellStyle name="20% - Accent6 4 2 2 7 3 2" xfId="18396"/>
    <cellStyle name="20% - Accent6 4 2 2 7 3 3" xfId="18397"/>
    <cellStyle name="20% - Accent6 4 2 2 7 4" xfId="18398"/>
    <cellStyle name="20% - Accent6 4 2 2 7 4 2" xfId="18399"/>
    <cellStyle name="20% - Accent6 4 2 2 7 5" xfId="18400"/>
    <cellStyle name="20% - Accent6 4 2 2 7 6" xfId="18401"/>
    <cellStyle name="20% - Accent6 4 2 2 8" xfId="18402"/>
    <cellStyle name="20% - Accent6 4 2 2 8 2" xfId="18403"/>
    <cellStyle name="20% - Accent6 4 2 2 8 2 2" xfId="18404"/>
    <cellStyle name="20% - Accent6 4 2 2 8 2 3" xfId="18405"/>
    <cellStyle name="20% - Accent6 4 2 2 8 3" xfId="18406"/>
    <cellStyle name="20% - Accent6 4 2 2 8 3 2" xfId="18407"/>
    <cellStyle name="20% - Accent6 4 2 2 8 4" xfId="18408"/>
    <cellStyle name="20% - Accent6 4 2 2 8 5" xfId="18409"/>
    <cellStyle name="20% - Accent6 4 2 2 9" xfId="18410"/>
    <cellStyle name="20% - Accent6 4 2 2 9 2" xfId="18411"/>
    <cellStyle name="20% - Accent6 4 2 2 9 3" xfId="18412"/>
    <cellStyle name="20% - Accent6 4 2 3" xfId="1355"/>
    <cellStyle name="20% - Accent6 4 2 3 10" xfId="18413"/>
    <cellStyle name="20% - Accent6 4 2 3 10 2" xfId="18414"/>
    <cellStyle name="20% - Accent6 4 2 3 11" xfId="18415"/>
    <cellStyle name="20% - Accent6 4 2 3 12" xfId="18416"/>
    <cellStyle name="20% - Accent6 4 2 3 2" xfId="1356"/>
    <cellStyle name="20% - Accent6 4 2 3 2 10" xfId="18417"/>
    <cellStyle name="20% - Accent6 4 2 3 2 2" xfId="1357"/>
    <cellStyle name="20% - Accent6 4 2 3 2 2 2" xfId="18418"/>
    <cellStyle name="20% - Accent6 4 2 3 2 2 2 2" xfId="18419"/>
    <cellStyle name="20% - Accent6 4 2 3 2 2 2 2 2" xfId="18420"/>
    <cellStyle name="20% - Accent6 4 2 3 2 2 2 2 3" xfId="18421"/>
    <cellStyle name="20% - Accent6 4 2 3 2 2 2 3" xfId="18422"/>
    <cellStyle name="20% - Accent6 4 2 3 2 2 2 3 2" xfId="18423"/>
    <cellStyle name="20% - Accent6 4 2 3 2 2 2 3 3" xfId="18424"/>
    <cellStyle name="20% - Accent6 4 2 3 2 2 2 4" xfId="18425"/>
    <cellStyle name="20% - Accent6 4 2 3 2 2 2 4 2" xfId="18426"/>
    <cellStyle name="20% - Accent6 4 2 3 2 2 2 5" xfId="18427"/>
    <cellStyle name="20% - Accent6 4 2 3 2 2 2 6" xfId="18428"/>
    <cellStyle name="20% - Accent6 4 2 3 2 2 3" xfId="18429"/>
    <cellStyle name="20% - Accent6 4 2 3 2 2 3 2" xfId="18430"/>
    <cellStyle name="20% - Accent6 4 2 3 2 2 3 2 2" xfId="18431"/>
    <cellStyle name="20% - Accent6 4 2 3 2 2 3 2 3" xfId="18432"/>
    <cellStyle name="20% - Accent6 4 2 3 2 2 3 3" xfId="18433"/>
    <cellStyle name="20% - Accent6 4 2 3 2 2 3 3 2" xfId="18434"/>
    <cellStyle name="20% - Accent6 4 2 3 2 2 3 3 3" xfId="18435"/>
    <cellStyle name="20% - Accent6 4 2 3 2 2 3 4" xfId="18436"/>
    <cellStyle name="20% - Accent6 4 2 3 2 2 3 4 2" xfId="18437"/>
    <cellStyle name="20% - Accent6 4 2 3 2 2 3 5" xfId="18438"/>
    <cellStyle name="20% - Accent6 4 2 3 2 2 3 6" xfId="18439"/>
    <cellStyle name="20% - Accent6 4 2 3 2 2 4" xfId="18440"/>
    <cellStyle name="20% - Accent6 4 2 3 2 2 4 2" xfId="18441"/>
    <cellStyle name="20% - Accent6 4 2 3 2 2 4 2 2" xfId="18442"/>
    <cellStyle name="20% - Accent6 4 2 3 2 2 4 2 3" xfId="18443"/>
    <cellStyle name="20% - Accent6 4 2 3 2 2 4 3" xfId="18444"/>
    <cellStyle name="20% - Accent6 4 2 3 2 2 4 3 2" xfId="18445"/>
    <cellStyle name="20% - Accent6 4 2 3 2 2 4 4" xfId="18446"/>
    <cellStyle name="20% - Accent6 4 2 3 2 2 4 5" xfId="18447"/>
    <cellStyle name="20% - Accent6 4 2 3 2 2 5" xfId="18448"/>
    <cellStyle name="20% - Accent6 4 2 3 2 2 5 2" xfId="18449"/>
    <cellStyle name="20% - Accent6 4 2 3 2 2 5 3" xfId="18450"/>
    <cellStyle name="20% - Accent6 4 2 3 2 2 6" xfId="18451"/>
    <cellStyle name="20% - Accent6 4 2 3 2 2 6 2" xfId="18452"/>
    <cellStyle name="20% - Accent6 4 2 3 2 2 6 3" xfId="18453"/>
    <cellStyle name="20% - Accent6 4 2 3 2 2 7" xfId="18454"/>
    <cellStyle name="20% - Accent6 4 2 3 2 2 7 2" xfId="18455"/>
    <cellStyle name="20% - Accent6 4 2 3 2 2 8" xfId="18456"/>
    <cellStyle name="20% - Accent6 4 2 3 2 2 9" xfId="18457"/>
    <cellStyle name="20% - Accent6 4 2 3 2 3" xfId="18458"/>
    <cellStyle name="20% - Accent6 4 2 3 2 3 2" xfId="18459"/>
    <cellStyle name="20% - Accent6 4 2 3 2 3 2 2" xfId="18460"/>
    <cellStyle name="20% - Accent6 4 2 3 2 3 2 3" xfId="18461"/>
    <cellStyle name="20% - Accent6 4 2 3 2 3 3" xfId="18462"/>
    <cellStyle name="20% - Accent6 4 2 3 2 3 3 2" xfId="18463"/>
    <cellStyle name="20% - Accent6 4 2 3 2 3 3 3" xfId="18464"/>
    <cellStyle name="20% - Accent6 4 2 3 2 3 4" xfId="18465"/>
    <cellStyle name="20% - Accent6 4 2 3 2 3 4 2" xfId="18466"/>
    <cellStyle name="20% - Accent6 4 2 3 2 3 5" xfId="18467"/>
    <cellStyle name="20% - Accent6 4 2 3 2 3 6" xfId="18468"/>
    <cellStyle name="20% - Accent6 4 2 3 2 4" xfId="18469"/>
    <cellStyle name="20% - Accent6 4 2 3 2 4 2" xfId="18470"/>
    <cellStyle name="20% - Accent6 4 2 3 2 4 2 2" xfId="18471"/>
    <cellStyle name="20% - Accent6 4 2 3 2 4 2 3" xfId="18472"/>
    <cellStyle name="20% - Accent6 4 2 3 2 4 3" xfId="18473"/>
    <cellStyle name="20% - Accent6 4 2 3 2 4 3 2" xfId="18474"/>
    <cellStyle name="20% - Accent6 4 2 3 2 4 3 3" xfId="18475"/>
    <cellStyle name="20% - Accent6 4 2 3 2 4 4" xfId="18476"/>
    <cellStyle name="20% - Accent6 4 2 3 2 4 4 2" xfId="18477"/>
    <cellStyle name="20% - Accent6 4 2 3 2 4 5" xfId="18478"/>
    <cellStyle name="20% - Accent6 4 2 3 2 4 6" xfId="18479"/>
    <cellStyle name="20% - Accent6 4 2 3 2 5" xfId="18480"/>
    <cellStyle name="20% - Accent6 4 2 3 2 5 2" xfId="18481"/>
    <cellStyle name="20% - Accent6 4 2 3 2 5 2 2" xfId="18482"/>
    <cellStyle name="20% - Accent6 4 2 3 2 5 2 3" xfId="18483"/>
    <cellStyle name="20% - Accent6 4 2 3 2 5 3" xfId="18484"/>
    <cellStyle name="20% - Accent6 4 2 3 2 5 3 2" xfId="18485"/>
    <cellStyle name="20% - Accent6 4 2 3 2 5 4" xfId="18486"/>
    <cellStyle name="20% - Accent6 4 2 3 2 5 5" xfId="18487"/>
    <cellStyle name="20% - Accent6 4 2 3 2 6" xfId="18488"/>
    <cellStyle name="20% - Accent6 4 2 3 2 6 2" xfId="18489"/>
    <cellStyle name="20% - Accent6 4 2 3 2 6 3" xfId="18490"/>
    <cellStyle name="20% - Accent6 4 2 3 2 7" xfId="18491"/>
    <cellStyle name="20% - Accent6 4 2 3 2 7 2" xfId="18492"/>
    <cellStyle name="20% - Accent6 4 2 3 2 7 3" xfId="18493"/>
    <cellStyle name="20% - Accent6 4 2 3 2 8" xfId="18494"/>
    <cellStyle name="20% - Accent6 4 2 3 2 8 2" xfId="18495"/>
    <cellStyle name="20% - Accent6 4 2 3 2 9" xfId="18496"/>
    <cellStyle name="20% - Accent6 4 2 3 3" xfId="1358"/>
    <cellStyle name="20% - Accent6 4 2 3 3 2" xfId="18497"/>
    <cellStyle name="20% - Accent6 4 2 3 3 2 2" xfId="18498"/>
    <cellStyle name="20% - Accent6 4 2 3 3 2 2 2" xfId="18499"/>
    <cellStyle name="20% - Accent6 4 2 3 3 2 2 3" xfId="18500"/>
    <cellStyle name="20% - Accent6 4 2 3 3 2 3" xfId="18501"/>
    <cellStyle name="20% - Accent6 4 2 3 3 2 3 2" xfId="18502"/>
    <cellStyle name="20% - Accent6 4 2 3 3 2 3 3" xfId="18503"/>
    <cellStyle name="20% - Accent6 4 2 3 3 2 4" xfId="18504"/>
    <cellStyle name="20% - Accent6 4 2 3 3 2 4 2" xfId="18505"/>
    <cellStyle name="20% - Accent6 4 2 3 3 2 5" xfId="18506"/>
    <cellStyle name="20% - Accent6 4 2 3 3 2 6" xfId="18507"/>
    <cellStyle name="20% - Accent6 4 2 3 3 3" xfId="18508"/>
    <cellStyle name="20% - Accent6 4 2 3 3 3 2" xfId="18509"/>
    <cellStyle name="20% - Accent6 4 2 3 3 3 2 2" xfId="18510"/>
    <cellStyle name="20% - Accent6 4 2 3 3 3 2 3" xfId="18511"/>
    <cellStyle name="20% - Accent6 4 2 3 3 3 3" xfId="18512"/>
    <cellStyle name="20% - Accent6 4 2 3 3 3 3 2" xfId="18513"/>
    <cellStyle name="20% - Accent6 4 2 3 3 3 3 3" xfId="18514"/>
    <cellStyle name="20% - Accent6 4 2 3 3 3 4" xfId="18515"/>
    <cellStyle name="20% - Accent6 4 2 3 3 3 4 2" xfId="18516"/>
    <cellStyle name="20% - Accent6 4 2 3 3 3 5" xfId="18517"/>
    <cellStyle name="20% - Accent6 4 2 3 3 3 6" xfId="18518"/>
    <cellStyle name="20% - Accent6 4 2 3 3 4" xfId="18519"/>
    <cellStyle name="20% - Accent6 4 2 3 3 4 2" xfId="18520"/>
    <cellStyle name="20% - Accent6 4 2 3 3 4 2 2" xfId="18521"/>
    <cellStyle name="20% - Accent6 4 2 3 3 4 2 3" xfId="18522"/>
    <cellStyle name="20% - Accent6 4 2 3 3 4 3" xfId="18523"/>
    <cellStyle name="20% - Accent6 4 2 3 3 4 3 2" xfId="18524"/>
    <cellStyle name="20% - Accent6 4 2 3 3 4 4" xfId="18525"/>
    <cellStyle name="20% - Accent6 4 2 3 3 4 5" xfId="18526"/>
    <cellStyle name="20% - Accent6 4 2 3 3 5" xfId="18527"/>
    <cellStyle name="20% - Accent6 4 2 3 3 5 2" xfId="18528"/>
    <cellStyle name="20% - Accent6 4 2 3 3 5 3" xfId="18529"/>
    <cellStyle name="20% - Accent6 4 2 3 3 6" xfId="18530"/>
    <cellStyle name="20% - Accent6 4 2 3 3 6 2" xfId="18531"/>
    <cellStyle name="20% - Accent6 4 2 3 3 6 3" xfId="18532"/>
    <cellStyle name="20% - Accent6 4 2 3 3 7" xfId="18533"/>
    <cellStyle name="20% - Accent6 4 2 3 3 7 2" xfId="18534"/>
    <cellStyle name="20% - Accent6 4 2 3 3 8" xfId="18535"/>
    <cellStyle name="20% - Accent6 4 2 3 3 9" xfId="18536"/>
    <cellStyle name="20% - Accent6 4 2 3 4" xfId="18537"/>
    <cellStyle name="20% - Accent6 4 2 3 4 2" xfId="18538"/>
    <cellStyle name="20% - Accent6 4 2 3 4 2 2" xfId="18539"/>
    <cellStyle name="20% - Accent6 4 2 3 4 2 2 2" xfId="18540"/>
    <cellStyle name="20% - Accent6 4 2 3 4 2 2 3" xfId="18541"/>
    <cellStyle name="20% - Accent6 4 2 3 4 2 3" xfId="18542"/>
    <cellStyle name="20% - Accent6 4 2 3 4 2 3 2" xfId="18543"/>
    <cellStyle name="20% - Accent6 4 2 3 4 2 3 3" xfId="18544"/>
    <cellStyle name="20% - Accent6 4 2 3 4 2 4" xfId="18545"/>
    <cellStyle name="20% - Accent6 4 2 3 4 2 4 2" xfId="18546"/>
    <cellStyle name="20% - Accent6 4 2 3 4 2 5" xfId="18547"/>
    <cellStyle name="20% - Accent6 4 2 3 4 2 6" xfId="18548"/>
    <cellStyle name="20% - Accent6 4 2 3 4 3" xfId="18549"/>
    <cellStyle name="20% - Accent6 4 2 3 4 3 2" xfId="18550"/>
    <cellStyle name="20% - Accent6 4 2 3 4 3 2 2" xfId="18551"/>
    <cellStyle name="20% - Accent6 4 2 3 4 3 2 3" xfId="18552"/>
    <cellStyle name="20% - Accent6 4 2 3 4 3 3" xfId="18553"/>
    <cellStyle name="20% - Accent6 4 2 3 4 3 3 2" xfId="18554"/>
    <cellStyle name="20% - Accent6 4 2 3 4 3 3 3" xfId="18555"/>
    <cellStyle name="20% - Accent6 4 2 3 4 3 4" xfId="18556"/>
    <cellStyle name="20% - Accent6 4 2 3 4 3 4 2" xfId="18557"/>
    <cellStyle name="20% - Accent6 4 2 3 4 3 5" xfId="18558"/>
    <cellStyle name="20% - Accent6 4 2 3 4 3 6" xfId="18559"/>
    <cellStyle name="20% - Accent6 4 2 3 4 4" xfId="18560"/>
    <cellStyle name="20% - Accent6 4 2 3 4 4 2" xfId="18561"/>
    <cellStyle name="20% - Accent6 4 2 3 4 4 2 2" xfId="18562"/>
    <cellStyle name="20% - Accent6 4 2 3 4 4 2 3" xfId="18563"/>
    <cellStyle name="20% - Accent6 4 2 3 4 4 3" xfId="18564"/>
    <cellStyle name="20% - Accent6 4 2 3 4 4 3 2" xfId="18565"/>
    <cellStyle name="20% - Accent6 4 2 3 4 4 4" xfId="18566"/>
    <cellStyle name="20% - Accent6 4 2 3 4 4 5" xfId="18567"/>
    <cellStyle name="20% - Accent6 4 2 3 4 5" xfId="18568"/>
    <cellStyle name="20% - Accent6 4 2 3 4 5 2" xfId="18569"/>
    <cellStyle name="20% - Accent6 4 2 3 4 5 3" xfId="18570"/>
    <cellStyle name="20% - Accent6 4 2 3 4 6" xfId="18571"/>
    <cellStyle name="20% - Accent6 4 2 3 4 6 2" xfId="18572"/>
    <cellStyle name="20% - Accent6 4 2 3 4 6 3" xfId="18573"/>
    <cellStyle name="20% - Accent6 4 2 3 4 7" xfId="18574"/>
    <cellStyle name="20% - Accent6 4 2 3 4 7 2" xfId="18575"/>
    <cellStyle name="20% - Accent6 4 2 3 4 8" xfId="18576"/>
    <cellStyle name="20% - Accent6 4 2 3 4 9" xfId="18577"/>
    <cellStyle name="20% - Accent6 4 2 3 5" xfId="18578"/>
    <cellStyle name="20% - Accent6 4 2 3 5 2" xfId="18579"/>
    <cellStyle name="20% - Accent6 4 2 3 5 2 2" xfId="18580"/>
    <cellStyle name="20% - Accent6 4 2 3 5 2 3" xfId="18581"/>
    <cellStyle name="20% - Accent6 4 2 3 5 3" xfId="18582"/>
    <cellStyle name="20% - Accent6 4 2 3 5 3 2" xfId="18583"/>
    <cellStyle name="20% - Accent6 4 2 3 5 3 3" xfId="18584"/>
    <cellStyle name="20% - Accent6 4 2 3 5 4" xfId="18585"/>
    <cellStyle name="20% - Accent6 4 2 3 5 4 2" xfId="18586"/>
    <cellStyle name="20% - Accent6 4 2 3 5 5" xfId="18587"/>
    <cellStyle name="20% - Accent6 4 2 3 5 6" xfId="18588"/>
    <cellStyle name="20% - Accent6 4 2 3 6" xfId="18589"/>
    <cellStyle name="20% - Accent6 4 2 3 6 2" xfId="18590"/>
    <cellStyle name="20% - Accent6 4 2 3 6 2 2" xfId="18591"/>
    <cellStyle name="20% - Accent6 4 2 3 6 2 3" xfId="18592"/>
    <cellStyle name="20% - Accent6 4 2 3 6 3" xfId="18593"/>
    <cellStyle name="20% - Accent6 4 2 3 6 3 2" xfId="18594"/>
    <cellStyle name="20% - Accent6 4 2 3 6 3 3" xfId="18595"/>
    <cellStyle name="20% - Accent6 4 2 3 6 4" xfId="18596"/>
    <cellStyle name="20% - Accent6 4 2 3 6 4 2" xfId="18597"/>
    <cellStyle name="20% - Accent6 4 2 3 6 5" xfId="18598"/>
    <cellStyle name="20% - Accent6 4 2 3 6 6" xfId="18599"/>
    <cellStyle name="20% - Accent6 4 2 3 7" xfId="18600"/>
    <cellStyle name="20% - Accent6 4 2 3 7 2" xfId="18601"/>
    <cellStyle name="20% - Accent6 4 2 3 7 2 2" xfId="18602"/>
    <cellStyle name="20% - Accent6 4 2 3 7 2 3" xfId="18603"/>
    <cellStyle name="20% - Accent6 4 2 3 7 3" xfId="18604"/>
    <cellStyle name="20% - Accent6 4 2 3 7 3 2" xfId="18605"/>
    <cellStyle name="20% - Accent6 4 2 3 7 4" xfId="18606"/>
    <cellStyle name="20% - Accent6 4 2 3 7 5" xfId="18607"/>
    <cellStyle name="20% - Accent6 4 2 3 8" xfId="18608"/>
    <cellStyle name="20% - Accent6 4 2 3 8 2" xfId="18609"/>
    <cellStyle name="20% - Accent6 4 2 3 8 3" xfId="18610"/>
    <cellStyle name="20% - Accent6 4 2 3 9" xfId="18611"/>
    <cellStyle name="20% - Accent6 4 2 3 9 2" xfId="18612"/>
    <cellStyle name="20% - Accent6 4 2 3 9 3" xfId="18613"/>
    <cellStyle name="20% - Accent6 4 2 4" xfId="1359"/>
    <cellStyle name="20% - Accent6 4 2 4 10" xfId="18614"/>
    <cellStyle name="20% - Accent6 4 2 4 2" xfId="1360"/>
    <cellStyle name="20% - Accent6 4 2 4 2 2" xfId="18615"/>
    <cellStyle name="20% - Accent6 4 2 4 2 2 2" xfId="18616"/>
    <cellStyle name="20% - Accent6 4 2 4 2 2 2 2" xfId="18617"/>
    <cellStyle name="20% - Accent6 4 2 4 2 2 2 3" xfId="18618"/>
    <cellStyle name="20% - Accent6 4 2 4 2 2 3" xfId="18619"/>
    <cellStyle name="20% - Accent6 4 2 4 2 2 3 2" xfId="18620"/>
    <cellStyle name="20% - Accent6 4 2 4 2 2 3 3" xfId="18621"/>
    <cellStyle name="20% - Accent6 4 2 4 2 2 4" xfId="18622"/>
    <cellStyle name="20% - Accent6 4 2 4 2 2 4 2" xfId="18623"/>
    <cellStyle name="20% - Accent6 4 2 4 2 2 5" xfId="18624"/>
    <cellStyle name="20% - Accent6 4 2 4 2 2 6" xfId="18625"/>
    <cellStyle name="20% - Accent6 4 2 4 2 3" xfId="18626"/>
    <cellStyle name="20% - Accent6 4 2 4 2 3 2" xfId="18627"/>
    <cellStyle name="20% - Accent6 4 2 4 2 3 2 2" xfId="18628"/>
    <cellStyle name="20% - Accent6 4 2 4 2 3 2 3" xfId="18629"/>
    <cellStyle name="20% - Accent6 4 2 4 2 3 3" xfId="18630"/>
    <cellStyle name="20% - Accent6 4 2 4 2 3 3 2" xfId="18631"/>
    <cellStyle name="20% - Accent6 4 2 4 2 3 3 3" xfId="18632"/>
    <cellStyle name="20% - Accent6 4 2 4 2 3 4" xfId="18633"/>
    <cellStyle name="20% - Accent6 4 2 4 2 3 4 2" xfId="18634"/>
    <cellStyle name="20% - Accent6 4 2 4 2 3 5" xfId="18635"/>
    <cellStyle name="20% - Accent6 4 2 4 2 3 6" xfId="18636"/>
    <cellStyle name="20% - Accent6 4 2 4 2 4" xfId="18637"/>
    <cellStyle name="20% - Accent6 4 2 4 2 4 2" xfId="18638"/>
    <cellStyle name="20% - Accent6 4 2 4 2 4 2 2" xfId="18639"/>
    <cellStyle name="20% - Accent6 4 2 4 2 4 2 3" xfId="18640"/>
    <cellStyle name="20% - Accent6 4 2 4 2 4 3" xfId="18641"/>
    <cellStyle name="20% - Accent6 4 2 4 2 4 3 2" xfId="18642"/>
    <cellStyle name="20% - Accent6 4 2 4 2 4 4" xfId="18643"/>
    <cellStyle name="20% - Accent6 4 2 4 2 4 5" xfId="18644"/>
    <cellStyle name="20% - Accent6 4 2 4 2 5" xfId="18645"/>
    <cellStyle name="20% - Accent6 4 2 4 2 5 2" xfId="18646"/>
    <cellStyle name="20% - Accent6 4 2 4 2 5 3" xfId="18647"/>
    <cellStyle name="20% - Accent6 4 2 4 2 6" xfId="18648"/>
    <cellStyle name="20% - Accent6 4 2 4 2 6 2" xfId="18649"/>
    <cellStyle name="20% - Accent6 4 2 4 2 6 3" xfId="18650"/>
    <cellStyle name="20% - Accent6 4 2 4 2 7" xfId="18651"/>
    <cellStyle name="20% - Accent6 4 2 4 2 7 2" xfId="18652"/>
    <cellStyle name="20% - Accent6 4 2 4 2 8" xfId="18653"/>
    <cellStyle name="20% - Accent6 4 2 4 2 9" xfId="18654"/>
    <cellStyle name="20% - Accent6 4 2 4 3" xfId="18655"/>
    <cellStyle name="20% - Accent6 4 2 4 3 2" xfId="18656"/>
    <cellStyle name="20% - Accent6 4 2 4 3 2 2" xfId="18657"/>
    <cellStyle name="20% - Accent6 4 2 4 3 2 3" xfId="18658"/>
    <cellStyle name="20% - Accent6 4 2 4 3 3" xfId="18659"/>
    <cellStyle name="20% - Accent6 4 2 4 3 3 2" xfId="18660"/>
    <cellStyle name="20% - Accent6 4 2 4 3 3 3" xfId="18661"/>
    <cellStyle name="20% - Accent6 4 2 4 3 4" xfId="18662"/>
    <cellStyle name="20% - Accent6 4 2 4 3 4 2" xfId="18663"/>
    <cellStyle name="20% - Accent6 4 2 4 3 5" xfId="18664"/>
    <cellStyle name="20% - Accent6 4 2 4 3 6" xfId="18665"/>
    <cellStyle name="20% - Accent6 4 2 4 4" xfId="18666"/>
    <cellStyle name="20% - Accent6 4 2 4 4 2" xfId="18667"/>
    <cellStyle name="20% - Accent6 4 2 4 4 2 2" xfId="18668"/>
    <cellStyle name="20% - Accent6 4 2 4 4 2 3" xfId="18669"/>
    <cellStyle name="20% - Accent6 4 2 4 4 3" xfId="18670"/>
    <cellStyle name="20% - Accent6 4 2 4 4 3 2" xfId="18671"/>
    <cellStyle name="20% - Accent6 4 2 4 4 3 3" xfId="18672"/>
    <cellStyle name="20% - Accent6 4 2 4 4 4" xfId="18673"/>
    <cellStyle name="20% - Accent6 4 2 4 4 4 2" xfId="18674"/>
    <cellStyle name="20% - Accent6 4 2 4 4 5" xfId="18675"/>
    <cellStyle name="20% - Accent6 4 2 4 4 6" xfId="18676"/>
    <cellStyle name="20% - Accent6 4 2 4 5" xfId="18677"/>
    <cellStyle name="20% - Accent6 4 2 4 5 2" xfId="18678"/>
    <cellStyle name="20% - Accent6 4 2 4 5 2 2" xfId="18679"/>
    <cellStyle name="20% - Accent6 4 2 4 5 2 3" xfId="18680"/>
    <cellStyle name="20% - Accent6 4 2 4 5 3" xfId="18681"/>
    <cellStyle name="20% - Accent6 4 2 4 5 3 2" xfId="18682"/>
    <cellStyle name="20% - Accent6 4 2 4 5 4" xfId="18683"/>
    <cellStyle name="20% - Accent6 4 2 4 5 5" xfId="18684"/>
    <cellStyle name="20% - Accent6 4 2 4 6" xfId="18685"/>
    <cellStyle name="20% - Accent6 4 2 4 6 2" xfId="18686"/>
    <cellStyle name="20% - Accent6 4 2 4 6 3" xfId="18687"/>
    <cellStyle name="20% - Accent6 4 2 4 7" xfId="18688"/>
    <cellStyle name="20% - Accent6 4 2 4 7 2" xfId="18689"/>
    <cellStyle name="20% - Accent6 4 2 4 7 3" xfId="18690"/>
    <cellStyle name="20% - Accent6 4 2 4 8" xfId="18691"/>
    <cellStyle name="20% - Accent6 4 2 4 8 2" xfId="18692"/>
    <cellStyle name="20% - Accent6 4 2 4 9" xfId="18693"/>
    <cellStyle name="20% - Accent6 4 2 5" xfId="1361"/>
    <cellStyle name="20% - Accent6 4 2 5 2" xfId="18694"/>
    <cellStyle name="20% - Accent6 4 2 5 2 2" xfId="18695"/>
    <cellStyle name="20% - Accent6 4 2 5 2 2 2" xfId="18696"/>
    <cellStyle name="20% - Accent6 4 2 5 2 2 3" xfId="18697"/>
    <cellStyle name="20% - Accent6 4 2 5 2 3" xfId="18698"/>
    <cellStyle name="20% - Accent6 4 2 5 2 3 2" xfId="18699"/>
    <cellStyle name="20% - Accent6 4 2 5 2 3 3" xfId="18700"/>
    <cellStyle name="20% - Accent6 4 2 5 2 4" xfId="18701"/>
    <cellStyle name="20% - Accent6 4 2 5 2 4 2" xfId="18702"/>
    <cellStyle name="20% - Accent6 4 2 5 2 5" xfId="18703"/>
    <cellStyle name="20% - Accent6 4 2 5 2 6" xfId="18704"/>
    <cellStyle name="20% - Accent6 4 2 5 3" xfId="18705"/>
    <cellStyle name="20% - Accent6 4 2 5 3 2" xfId="18706"/>
    <cellStyle name="20% - Accent6 4 2 5 3 2 2" xfId="18707"/>
    <cellStyle name="20% - Accent6 4 2 5 3 2 3" xfId="18708"/>
    <cellStyle name="20% - Accent6 4 2 5 3 3" xfId="18709"/>
    <cellStyle name="20% - Accent6 4 2 5 3 3 2" xfId="18710"/>
    <cellStyle name="20% - Accent6 4 2 5 3 3 3" xfId="18711"/>
    <cellStyle name="20% - Accent6 4 2 5 3 4" xfId="18712"/>
    <cellStyle name="20% - Accent6 4 2 5 3 4 2" xfId="18713"/>
    <cellStyle name="20% - Accent6 4 2 5 3 5" xfId="18714"/>
    <cellStyle name="20% - Accent6 4 2 5 3 6" xfId="18715"/>
    <cellStyle name="20% - Accent6 4 2 5 4" xfId="18716"/>
    <cellStyle name="20% - Accent6 4 2 5 4 2" xfId="18717"/>
    <cellStyle name="20% - Accent6 4 2 5 4 2 2" xfId="18718"/>
    <cellStyle name="20% - Accent6 4 2 5 4 2 3" xfId="18719"/>
    <cellStyle name="20% - Accent6 4 2 5 4 3" xfId="18720"/>
    <cellStyle name="20% - Accent6 4 2 5 4 3 2" xfId="18721"/>
    <cellStyle name="20% - Accent6 4 2 5 4 4" xfId="18722"/>
    <cellStyle name="20% - Accent6 4 2 5 4 5" xfId="18723"/>
    <cellStyle name="20% - Accent6 4 2 5 5" xfId="18724"/>
    <cellStyle name="20% - Accent6 4 2 5 5 2" xfId="18725"/>
    <cellStyle name="20% - Accent6 4 2 5 5 3" xfId="18726"/>
    <cellStyle name="20% - Accent6 4 2 5 6" xfId="18727"/>
    <cellStyle name="20% - Accent6 4 2 5 6 2" xfId="18728"/>
    <cellStyle name="20% - Accent6 4 2 5 6 3" xfId="18729"/>
    <cellStyle name="20% - Accent6 4 2 5 7" xfId="18730"/>
    <cellStyle name="20% - Accent6 4 2 5 7 2" xfId="18731"/>
    <cellStyle name="20% - Accent6 4 2 5 8" xfId="18732"/>
    <cellStyle name="20% - Accent6 4 2 5 9" xfId="18733"/>
    <cellStyle name="20% - Accent6 4 2 6" xfId="18734"/>
    <cellStyle name="20% - Accent6 4 2 6 2" xfId="18735"/>
    <cellStyle name="20% - Accent6 4 2 6 2 2" xfId="18736"/>
    <cellStyle name="20% - Accent6 4 2 6 2 2 2" xfId="18737"/>
    <cellStyle name="20% - Accent6 4 2 6 2 2 3" xfId="18738"/>
    <cellStyle name="20% - Accent6 4 2 6 2 3" xfId="18739"/>
    <cellStyle name="20% - Accent6 4 2 6 2 3 2" xfId="18740"/>
    <cellStyle name="20% - Accent6 4 2 6 2 3 3" xfId="18741"/>
    <cellStyle name="20% - Accent6 4 2 6 2 4" xfId="18742"/>
    <cellStyle name="20% - Accent6 4 2 6 2 4 2" xfId="18743"/>
    <cellStyle name="20% - Accent6 4 2 6 2 5" xfId="18744"/>
    <cellStyle name="20% - Accent6 4 2 6 2 6" xfId="18745"/>
    <cellStyle name="20% - Accent6 4 2 6 3" xfId="18746"/>
    <cellStyle name="20% - Accent6 4 2 6 3 2" xfId="18747"/>
    <cellStyle name="20% - Accent6 4 2 6 3 2 2" xfId="18748"/>
    <cellStyle name="20% - Accent6 4 2 6 3 2 3" xfId="18749"/>
    <cellStyle name="20% - Accent6 4 2 6 3 3" xfId="18750"/>
    <cellStyle name="20% - Accent6 4 2 6 3 3 2" xfId="18751"/>
    <cellStyle name="20% - Accent6 4 2 6 3 3 3" xfId="18752"/>
    <cellStyle name="20% - Accent6 4 2 6 3 4" xfId="18753"/>
    <cellStyle name="20% - Accent6 4 2 6 3 4 2" xfId="18754"/>
    <cellStyle name="20% - Accent6 4 2 6 3 5" xfId="18755"/>
    <cellStyle name="20% - Accent6 4 2 6 3 6" xfId="18756"/>
    <cellStyle name="20% - Accent6 4 2 6 4" xfId="18757"/>
    <cellStyle name="20% - Accent6 4 2 6 4 2" xfId="18758"/>
    <cellStyle name="20% - Accent6 4 2 6 4 2 2" xfId="18759"/>
    <cellStyle name="20% - Accent6 4 2 6 4 2 3" xfId="18760"/>
    <cellStyle name="20% - Accent6 4 2 6 4 3" xfId="18761"/>
    <cellStyle name="20% - Accent6 4 2 6 4 3 2" xfId="18762"/>
    <cellStyle name="20% - Accent6 4 2 6 4 4" xfId="18763"/>
    <cellStyle name="20% - Accent6 4 2 6 4 5" xfId="18764"/>
    <cellStyle name="20% - Accent6 4 2 6 5" xfId="18765"/>
    <cellStyle name="20% - Accent6 4 2 6 5 2" xfId="18766"/>
    <cellStyle name="20% - Accent6 4 2 6 5 3" xfId="18767"/>
    <cellStyle name="20% - Accent6 4 2 6 6" xfId="18768"/>
    <cellStyle name="20% - Accent6 4 2 6 6 2" xfId="18769"/>
    <cellStyle name="20% - Accent6 4 2 6 6 3" xfId="18770"/>
    <cellStyle name="20% - Accent6 4 2 6 7" xfId="18771"/>
    <cellStyle name="20% - Accent6 4 2 6 7 2" xfId="18772"/>
    <cellStyle name="20% - Accent6 4 2 6 8" xfId="18773"/>
    <cellStyle name="20% - Accent6 4 2 6 9" xfId="18774"/>
    <cellStyle name="20% - Accent6 4 2 7" xfId="18775"/>
    <cellStyle name="20% - Accent6 4 2 7 2" xfId="18776"/>
    <cellStyle name="20% - Accent6 4 2 7 2 2" xfId="18777"/>
    <cellStyle name="20% - Accent6 4 2 7 2 3" xfId="18778"/>
    <cellStyle name="20% - Accent6 4 2 7 3" xfId="18779"/>
    <cellStyle name="20% - Accent6 4 2 7 3 2" xfId="18780"/>
    <cellStyle name="20% - Accent6 4 2 7 3 3" xfId="18781"/>
    <cellStyle name="20% - Accent6 4 2 7 4" xfId="18782"/>
    <cellStyle name="20% - Accent6 4 2 7 4 2" xfId="18783"/>
    <cellStyle name="20% - Accent6 4 2 7 5" xfId="18784"/>
    <cellStyle name="20% - Accent6 4 2 7 6" xfId="18785"/>
    <cellStyle name="20% - Accent6 4 2 8" xfId="18786"/>
    <cellStyle name="20% - Accent6 4 2 8 2" xfId="18787"/>
    <cellStyle name="20% - Accent6 4 2 8 2 2" xfId="18788"/>
    <cellStyle name="20% - Accent6 4 2 8 2 3" xfId="18789"/>
    <cellStyle name="20% - Accent6 4 2 8 3" xfId="18790"/>
    <cellStyle name="20% - Accent6 4 2 8 3 2" xfId="18791"/>
    <cellStyle name="20% - Accent6 4 2 8 3 3" xfId="18792"/>
    <cellStyle name="20% - Accent6 4 2 8 4" xfId="18793"/>
    <cellStyle name="20% - Accent6 4 2 8 4 2" xfId="18794"/>
    <cellStyle name="20% - Accent6 4 2 8 5" xfId="18795"/>
    <cellStyle name="20% - Accent6 4 2 8 6" xfId="18796"/>
    <cellStyle name="20% - Accent6 4 2 9" xfId="18797"/>
    <cellStyle name="20% - Accent6 4 2 9 2" xfId="18798"/>
    <cellStyle name="20% - Accent6 4 2 9 2 2" xfId="18799"/>
    <cellStyle name="20% - Accent6 4 2 9 2 3" xfId="18800"/>
    <cellStyle name="20% - Accent6 4 2 9 3" xfId="18801"/>
    <cellStyle name="20% - Accent6 4 2 9 3 2" xfId="18802"/>
    <cellStyle name="20% - Accent6 4 2 9 4" xfId="18803"/>
    <cellStyle name="20% - Accent6 4 2 9 5" xfId="18804"/>
    <cellStyle name="20% - Accent6 4 3" xfId="1362"/>
    <cellStyle name="20% - Accent6 4 3 10" xfId="18805"/>
    <cellStyle name="20% - Accent6 4 3 10 2" xfId="18806"/>
    <cellStyle name="20% - Accent6 4 3 10 3" xfId="18807"/>
    <cellStyle name="20% - Accent6 4 3 11" xfId="18808"/>
    <cellStyle name="20% - Accent6 4 3 11 2" xfId="18809"/>
    <cellStyle name="20% - Accent6 4 3 12" xfId="18810"/>
    <cellStyle name="20% - Accent6 4 3 13" xfId="18811"/>
    <cellStyle name="20% - Accent6 4 3 14" xfId="18812"/>
    <cellStyle name="20% - Accent6 4 3 2" xfId="1363"/>
    <cellStyle name="20% - Accent6 4 3 2 10" xfId="18813"/>
    <cellStyle name="20% - Accent6 4 3 2 10 2" xfId="18814"/>
    <cellStyle name="20% - Accent6 4 3 2 11" xfId="18815"/>
    <cellStyle name="20% - Accent6 4 3 2 12" xfId="18816"/>
    <cellStyle name="20% - Accent6 4 3 2 2" xfId="1364"/>
    <cellStyle name="20% - Accent6 4 3 2 2 10" xfId="18817"/>
    <cellStyle name="20% - Accent6 4 3 2 2 2" xfId="1365"/>
    <cellStyle name="20% - Accent6 4 3 2 2 2 2" xfId="18818"/>
    <cellStyle name="20% - Accent6 4 3 2 2 2 2 2" xfId="18819"/>
    <cellStyle name="20% - Accent6 4 3 2 2 2 2 2 2" xfId="18820"/>
    <cellStyle name="20% - Accent6 4 3 2 2 2 2 2 3" xfId="18821"/>
    <cellStyle name="20% - Accent6 4 3 2 2 2 2 3" xfId="18822"/>
    <cellStyle name="20% - Accent6 4 3 2 2 2 2 3 2" xfId="18823"/>
    <cellStyle name="20% - Accent6 4 3 2 2 2 2 3 3" xfId="18824"/>
    <cellStyle name="20% - Accent6 4 3 2 2 2 2 4" xfId="18825"/>
    <cellStyle name="20% - Accent6 4 3 2 2 2 2 4 2" xfId="18826"/>
    <cellStyle name="20% - Accent6 4 3 2 2 2 2 5" xfId="18827"/>
    <cellStyle name="20% - Accent6 4 3 2 2 2 2 6" xfId="18828"/>
    <cellStyle name="20% - Accent6 4 3 2 2 2 3" xfId="18829"/>
    <cellStyle name="20% - Accent6 4 3 2 2 2 3 2" xfId="18830"/>
    <cellStyle name="20% - Accent6 4 3 2 2 2 3 2 2" xfId="18831"/>
    <cellStyle name="20% - Accent6 4 3 2 2 2 3 2 3" xfId="18832"/>
    <cellStyle name="20% - Accent6 4 3 2 2 2 3 3" xfId="18833"/>
    <cellStyle name="20% - Accent6 4 3 2 2 2 3 3 2" xfId="18834"/>
    <cellStyle name="20% - Accent6 4 3 2 2 2 3 3 3" xfId="18835"/>
    <cellStyle name="20% - Accent6 4 3 2 2 2 3 4" xfId="18836"/>
    <cellStyle name="20% - Accent6 4 3 2 2 2 3 4 2" xfId="18837"/>
    <cellStyle name="20% - Accent6 4 3 2 2 2 3 5" xfId="18838"/>
    <cellStyle name="20% - Accent6 4 3 2 2 2 3 6" xfId="18839"/>
    <cellStyle name="20% - Accent6 4 3 2 2 2 4" xfId="18840"/>
    <cellStyle name="20% - Accent6 4 3 2 2 2 4 2" xfId="18841"/>
    <cellStyle name="20% - Accent6 4 3 2 2 2 4 2 2" xfId="18842"/>
    <cellStyle name="20% - Accent6 4 3 2 2 2 4 2 3" xfId="18843"/>
    <cellStyle name="20% - Accent6 4 3 2 2 2 4 3" xfId="18844"/>
    <cellStyle name="20% - Accent6 4 3 2 2 2 4 3 2" xfId="18845"/>
    <cellStyle name="20% - Accent6 4 3 2 2 2 4 4" xfId="18846"/>
    <cellStyle name="20% - Accent6 4 3 2 2 2 4 5" xfId="18847"/>
    <cellStyle name="20% - Accent6 4 3 2 2 2 5" xfId="18848"/>
    <cellStyle name="20% - Accent6 4 3 2 2 2 5 2" xfId="18849"/>
    <cellStyle name="20% - Accent6 4 3 2 2 2 5 3" xfId="18850"/>
    <cellStyle name="20% - Accent6 4 3 2 2 2 6" xfId="18851"/>
    <cellStyle name="20% - Accent6 4 3 2 2 2 6 2" xfId="18852"/>
    <cellStyle name="20% - Accent6 4 3 2 2 2 6 3" xfId="18853"/>
    <cellStyle name="20% - Accent6 4 3 2 2 2 7" xfId="18854"/>
    <cellStyle name="20% - Accent6 4 3 2 2 2 7 2" xfId="18855"/>
    <cellStyle name="20% - Accent6 4 3 2 2 2 8" xfId="18856"/>
    <cellStyle name="20% - Accent6 4 3 2 2 2 9" xfId="18857"/>
    <cellStyle name="20% - Accent6 4 3 2 2 3" xfId="18858"/>
    <cellStyle name="20% - Accent6 4 3 2 2 3 2" xfId="18859"/>
    <cellStyle name="20% - Accent6 4 3 2 2 3 2 2" xfId="18860"/>
    <cellStyle name="20% - Accent6 4 3 2 2 3 2 3" xfId="18861"/>
    <cellStyle name="20% - Accent6 4 3 2 2 3 3" xfId="18862"/>
    <cellStyle name="20% - Accent6 4 3 2 2 3 3 2" xfId="18863"/>
    <cellStyle name="20% - Accent6 4 3 2 2 3 3 3" xfId="18864"/>
    <cellStyle name="20% - Accent6 4 3 2 2 3 4" xfId="18865"/>
    <cellStyle name="20% - Accent6 4 3 2 2 3 4 2" xfId="18866"/>
    <cellStyle name="20% - Accent6 4 3 2 2 3 5" xfId="18867"/>
    <cellStyle name="20% - Accent6 4 3 2 2 3 6" xfId="18868"/>
    <cellStyle name="20% - Accent6 4 3 2 2 4" xfId="18869"/>
    <cellStyle name="20% - Accent6 4 3 2 2 4 2" xfId="18870"/>
    <cellStyle name="20% - Accent6 4 3 2 2 4 2 2" xfId="18871"/>
    <cellStyle name="20% - Accent6 4 3 2 2 4 2 3" xfId="18872"/>
    <cellStyle name="20% - Accent6 4 3 2 2 4 3" xfId="18873"/>
    <cellStyle name="20% - Accent6 4 3 2 2 4 3 2" xfId="18874"/>
    <cellStyle name="20% - Accent6 4 3 2 2 4 3 3" xfId="18875"/>
    <cellStyle name="20% - Accent6 4 3 2 2 4 4" xfId="18876"/>
    <cellStyle name="20% - Accent6 4 3 2 2 4 4 2" xfId="18877"/>
    <cellStyle name="20% - Accent6 4 3 2 2 4 5" xfId="18878"/>
    <cellStyle name="20% - Accent6 4 3 2 2 4 6" xfId="18879"/>
    <cellStyle name="20% - Accent6 4 3 2 2 5" xfId="18880"/>
    <cellStyle name="20% - Accent6 4 3 2 2 5 2" xfId="18881"/>
    <cellStyle name="20% - Accent6 4 3 2 2 5 2 2" xfId="18882"/>
    <cellStyle name="20% - Accent6 4 3 2 2 5 2 3" xfId="18883"/>
    <cellStyle name="20% - Accent6 4 3 2 2 5 3" xfId="18884"/>
    <cellStyle name="20% - Accent6 4 3 2 2 5 3 2" xfId="18885"/>
    <cellStyle name="20% - Accent6 4 3 2 2 5 4" xfId="18886"/>
    <cellStyle name="20% - Accent6 4 3 2 2 5 5" xfId="18887"/>
    <cellStyle name="20% - Accent6 4 3 2 2 6" xfId="18888"/>
    <cellStyle name="20% - Accent6 4 3 2 2 6 2" xfId="18889"/>
    <cellStyle name="20% - Accent6 4 3 2 2 6 3" xfId="18890"/>
    <cellStyle name="20% - Accent6 4 3 2 2 7" xfId="18891"/>
    <cellStyle name="20% - Accent6 4 3 2 2 7 2" xfId="18892"/>
    <cellStyle name="20% - Accent6 4 3 2 2 7 3" xfId="18893"/>
    <cellStyle name="20% - Accent6 4 3 2 2 8" xfId="18894"/>
    <cellStyle name="20% - Accent6 4 3 2 2 8 2" xfId="18895"/>
    <cellStyle name="20% - Accent6 4 3 2 2 9" xfId="18896"/>
    <cellStyle name="20% - Accent6 4 3 2 3" xfId="1366"/>
    <cellStyle name="20% - Accent6 4 3 2 3 2" xfId="18897"/>
    <cellStyle name="20% - Accent6 4 3 2 3 2 2" xfId="18898"/>
    <cellStyle name="20% - Accent6 4 3 2 3 2 2 2" xfId="18899"/>
    <cellStyle name="20% - Accent6 4 3 2 3 2 2 3" xfId="18900"/>
    <cellStyle name="20% - Accent6 4 3 2 3 2 3" xfId="18901"/>
    <cellStyle name="20% - Accent6 4 3 2 3 2 3 2" xfId="18902"/>
    <cellStyle name="20% - Accent6 4 3 2 3 2 3 3" xfId="18903"/>
    <cellStyle name="20% - Accent6 4 3 2 3 2 4" xfId="18904"/>
    <cellStyle name="20% - Accent6 4 3 2 3 2 4 2" xfId="18905"/>
    <cellStyle name="20% - Accent6 4 3 2 3 2 5" xfId="18906"/>
    <cellStyle name="20% - Accent6 4 3 2 3 2 6" xfId="18907"/>
    <cellStyle name="20% - Accent6 4 3 2 3 3" xfId="18908"/>
    <cellStyle name="20% - Accent6 4 3 2 3 3 2" xfId="18909"/>
    <cellStyle name="20% - Accent6 4 3 2 3 3 2 2" xfId="18910"/>
    <cellStyle name="20% - Accent6 4 3 2 3 3 2 3" xfId="18911"/>
    <cellStyle name="20% - Accent6 4 3 2 3 3 3" xfId="18912"/>
    <cellStyle name="20% - Accent6 4 3 2 3 3 3 2" xfId="18913"/>
    <cellStyle name="20% - Accent6 4 3 2 3 3 3 3" xfId="18914"/>
    <cellStyle name="20% - Accent6 4 3 2 3 3 4" xfId="18915"/>
    <cellStyle name="20% - Accent6 4 3 2 3 3 4 2" xfId="18916"/>
    <cellStyle name="20% - Accent6 4 3 2 3 3 5" xfId="18917"/>
    <cellStyle name="20% - Accent6 4 3 2 3 3 6" xfId="18918"/>
    <cellStyle name="20% - Accent6 4 3 2 3 4" xfId="18919"/>
    <cellStyle name="20% - Accent6 4 3 2 3 4 2" xfId="18920"/>
    <cellStyle name="20% - Accent6 4 3 2 3 4 2 2" xfId="18921"/>
    <cellStyle name="20% - Accent6 4 3 2 3 4 2 3" xfId="18922"/>
    <cellStyle name="20% - Accent6 4 3 2 3 4 3" xfId="18923"/>
    <cellStyle name="20% - Accent6 4 3 2 3 4 3 2" xfId="18924"/>
    <cellStyle name="20% - Accent6 4 3 2 3 4 4" xfId="18925"/>
    <cellStyle name="20% - Accent6 4 3 2 3 4 5" xfId="18926"/>
    <cellStyle name="20% - Accent6 4 3 2 3 5" xfId="18927"/>
    <cellStyle name="20% - Accent6 4 3 2 3 5 2" xfId="18928"/>
    <cellStyle name="20% - Accent6 4 3 2 3 5 3" xfId="18929"/>
    <cellStyle name="20% - Accent6 4 3 2 3 6" xfId="18930"/>
    <cellStyle name="20% - Accent6 4 3 2 3 6 2" xfId="18931"/>
    <cellStyle name="20% - Accent6 4 3 2 3 6 3" xfId="18932"/>
    <cellStyle name="20% - Accent6 4 3 2 3 7" xfId="18933"/>
    <cellStyle name="20% - Accent6 4 3 2 3 7 2" xfId="18934"/>
    <cellStyle name="20% - Accent6 4 3 2 3 8" xfId="18935"/>
    <cellStyle name="20% - Accent6 4 3 2 3 9" xfId="18936"/>
    <cellStyle name="20% - Accent6 4 3 2 4" xfId="18937"/>
    <cellStyle name="20% - Accent6 4 3 2 4 2" xfId="18938"/>
    <cellStyle name="20% - Accent6 4 3 2 4 2 2" xfId="18939"/>
    <cellStyle name="20% - Accent6 4 3 2 4 2 2 2" xfId="18940"/>
    <cellStyle name="20% - Accent6 4 3 2 4 2 2 3" xfId="18941"/>
    <cellStyle name="20% - Accent6 4 3 2 4 2 3" xfId="18942"/>
    <cellStyle name="20% - Accent6 4 3 2 4 2 3 2" xfId="18943"/>
    <cellStyle name="20% - Accent6 4 3 2 4 2 3 3" xfId="18944"/>
    <cellStyle name="20% - Accent6 4 3 2 4 2 4" xfId="18945"/>
    <cellStyle name="20% - Accent6 4 3 2 4 2 4 2" xfId="18946"/>
    <cellStyle name="20% - Accent6 4 3 2 4 2 5" xfId="18947"/>
    <cellStyle name="20% - Accent6 4 3 2 4 2 6" xfId="18948"/>
    <cellStyle name="20% - Accent6 4 3 2 4 3" xfId="18949"/>
    <cellStyle name="20% - Accent6 4 3 2 4 3 2" xfId="18950"/>
    <cellStyle name="20% - Accent6 4 3 2 4 3 2 2" xfId="18951"/>
    <cellStyle name="20% - Accent6 4 3 2 4 3 2 3" xfId="18952"/>
    <cellStyle name="20% - Accent6 4 3 2 4 3 3" xfId="18953"/>
    <cellStyle name="20% - Accent6 4 3 2 4 3 3 2" xfId="18954"/>
    <cellStyle name="20% - Accent6 4 3 2 4 3 3 3" xfId="18955"/>
    <cellStyle name="20% - Accent6 4 3 2 4 3 4" xfId="18956"/>
    <cellStyle name="20% - Accent6 4 3 2 4 3 4 2" xfId="18957"/>
    <cellStyle name="20% - Accent6 4 3 2 4 3 5" xfId="18958"/>
    <cellStyle name="20% - Accent6 4 3 2 4 3 6" xfId="18959"/>
    <cellStyle name="20% - Accent6 4 3 2 4 4" xfId="18960"/>
    <cellStyle name="20% - Accent6 4 3 2 4 4 2" xfId="18961"/>
    <cellStyle name="20% - Accent6 4 3 2 4 4 2 2" xfId="18962"/>
    <cellStyle name="20% - Accent6 4 3 2 4 4 2 3" xfId="18963"/>
    <cellStyle name="20% - Accent6 4 3 2 4 4 3" xfId="18964"/>
    <cellStyle name="20% - Accent6 4 3 2 4 4 3 2" xfId="18965"/>
    <cellStyle name="20% - Accent6 4 3 2 4 4 4" xfId="18966"/>
    <cellStyle name="20% - Accent6 4 3 2 4 4 5" xfId="18967"/>
    <cellStyle name="20% - Accent6 4 3 2 4 5" xfId="18968"/>
    <cellStyle name="20% - Accent6 4 3 2 4 5 2" xfId="18969"/>
    <cellStyle name="20% - Accent6 4 3 2 4 5 3" xfId="18970"/>
    <cellStyle name="20% - Accent6 4 3 2 4 6" xfId="18971"/>
    <cellStyle name="20% - Accent6 4 3 2 4 6 2" xfId="18972"/>
    <cellStyle name="20% - Accent6 4 3 2 4 6 3" xfId="18973"/>
    <cellStyle name="20% - Accent6 4 3 2 4 7" xfId="18974"/>
    <cellStyle name="20% - Accent6 4 3 2 4 7 2" xfId="18975"/>
    <cellStyle name="20% - Accent6 4 3 2 4 8" xfId="18976"/>
    <cellStyle name="20% - Accent6 4 3 2 4 9" xfId="18977"/>
    <cellStyle name="20% - Accent6 4 3 2 5" xfId="18978"/>
    <cellStyle name="20% - Accent6 4 3 2 5 2" xfId="18979"/>
    <cellStyle name="20% - Accent6 4 3 2 5 2 2" xfId="18980"/>
    <cellStyle name="20% - Accent6 4 3 2 5 2 3" xfId="18981"/>
    <cellStyle name="20% - Accent6 4 3 2 5 3" xfId="18982"/>
    <cellStyle name="20% - Accent6 4 3 2 5 3 2" xfId="18983"/>
    <cellStyle name="20% - Accent6 4 3 2 5 3 3" xfId="18984"/>
    <cellStyle name="20% - Accent6 4 3 2 5 4" xfId="18985"/>
    <cellStyle name="20% - Accent6 4 3 2 5 4 2" xfId="18986"/>
    <cellStyle name="20% - Accent6 4 3 2 5 5" xfId="18987"/>
    <cellStyle name="20% - Accent6 4 3 2 5 6" xfId="18988"/>
    <cellStyle name="20% - Accent6 4 3 2 6" xfId="18989"/>
    <cellStyle name="20% - Accent6 4 3 2 6 2" xfId="18990"/>
    <cellStyle name="20% - Accent6 4 3 2 6 2 2" xfId="18991"/>
    <cellStyle name="20% - Accent6 4 3 2 6 2 3" xfId="18992"/>
    <cellStyle name="20% - Accent6 4 3 2 6 3" xfId="18993"/>
    <cellStyle name="20% - Accent6 4 3 2 6 3 2" xfId="18994"/>
    <cellStyle name="20% - Accent6 4 3 2 6 3 3" xfId="18995"/>
    <cellStyle name="20% - Accent6 4 3 2 6 4" xfId="18996"/>
    <cellStyle name="20% - Accent6 4 3 2 6 4 2" xfId="18997"/>
    <cellStyle name="20% - Accent6 4 3 2 6 5" xfId="18998"/>
    <cellStyle name="20% - Accent6 4 3 2 6 6" xfId="18999"/>
    <cellStyle name="20% - Accent6 4 3 2 7" xfId="19000"/>
    <cellStyle name="20% - Accent6 4 3 2 7 2" xfId="19001"/>
    <cellStyle name="20% - Accent6 4 3 2 7 2 2" xfId="19002"/>
    <cellStyle name="20% - Accent6 4 3 2 7 2 3" xfId="19003"/>
    <cellStyle name="20% - Accent6 4 3 2 7 3" xfId="19004"/>
    <cellStyle name="20% - Accent6 4 3 2 7 3 2" xfId="19005"/>
    <cellStyle name="20% - Accent6 4 3 2 7 4" xfId="19006"/>
    <cellStyle name="20% - Accent6 4 3 2 7 5" xfId="19007"/>
    <cellStyle name="20% - Accent6 4 3 2 8" xfId="19008"/>
    <cellStyle name="20% - Accent6 4 3 2 8 2" xfId="19009"/>
    <cellStyle name="20% - Accent6 4 3 2 8 3" xfId="19010"/>
    <cellStyle name="20% - Accent6 4 3 2 9" xfId="19011"/>
    <cellStyle name="20% - Accent6 4 3 2 9 2" xfId="19012"/>
    <cellStyle name="20% - Accent6 4 3 2 9 3" xfId="19013"/>
    <cellStyle name="20% - Accent6 4 3 3" xfId="1367"/>
    <cellStyle name="20% - Accent6 4 3 3 10" xfId="19014"/>
    <cellStyle name="20% - Accent6 4 3 3 2" xfId="1368"/>
    <cellStyle name="20% - Accent6 4 3 3 2 2" xfId="19015"/>
    <cellStyle name="20% - Accent6 4 3 3 2 2 2" xfId="19016"/>
    <cellStyle name="20% - Accent6 4 3 3 2 2 2 2" xfId="19017"/>
    <cellStyle name="20% - Accent6 4 3 3 2 2 2 3" xfId="19018"/>
    <cellStyle name="20% - Accent6 4 3 3 2 2 3" xfId="19019"/>
    <cellStyle name="20% - Accent6 4 3 3 2 2 3 2" xfId="19020"/>
    <cellStyle name="20% - Accent6 4 3 3 2 2 3 3" xfId="19021"/>
    <cellStyle name="20% - Accent6 4 3 3 2 2 4" xfId="19022"/>
    <cellStyle name="20% - Accent6 4 3 3 2 2 4 2" xfId="19023"/>
    <cellStyle name="20% - Accent6 4 3 3 2 2 5" xfId="19024"/>
    <cellStyle name="20% - Accent6 4 3 3 2 2 6" xfId="19025"/>
    <cellStyle name="20% - Accent6 4 3 3 2 3" xfId="19026"/>
    <cellStyle name="20% - Accent6 4 3 3 2 3 2" xfId="19027"/>
    <cellStyle name="20% - Accent6 4 3 3 2 3 2 2" xfId="19028"/>
    <cellStyle name="20% - Accent6 4 3 3 2 3 2 3" xfId="19029"/>
    <cellStyle name="20% - Accent6 4 3 3 2 3 3" xfId="19030"/>
    <cellStyle name="20% - Accent6 4 3 3 2 3 3 2" xfId="19031"/>
    <cellStyle name="20% - Accent6 4 3 3 2 3 3 3" xfId="19032"/>
    <cellStyle name="20% - Accent6 4 3 3 2 3 4" xfId="19033"/>
    <cellStyle name="20% - Accent6 4 3 3 2 3 4 2" xfId="19034"/>
    <cellStyle name="20% - Accent6 4 3 3 2 3 5" xfId="19035"/>
    <cellStyle name="20% - Accent6 4 3 3 2 3 6" xfId="19036"/>
    <cellStyle name="20% - Accent6 4 3 3 2 4" xfId="19037"/>
    <cellStyle name="20% - Accent6 4 3 3 2 4 2" xfId="19038"/>
    <cellStyle name="20% - Accent6 4 3 3 2 4 2 2" xfId="19039"/>
    <cellStyle name="20% - Accent6 4 3 3 2 4 2 3" xfId="19040"/>
    <cellStyle name="20% - Accent6 4 3 3 2 4 3" xfId="19041"/>
    <cellStyle name="20% - Accent6 4 3 3 2 4 3 2" xfId="19042"/>
    <cellStyle name="20% - Accent6 4 3 3 2 4 4" xfId="19043"/>
    <cellStyle name="20% - Accent6 4 3 3 2 4 5" xfId="19044"/>
    <cellStyle name="20% - Accent6 4 3 3 2 5" xfId="19045"/>
    <cellStyle name="20% - Accent6 4 3 3 2 5 2" xfId="19046"/>
    <cellStyle name="20% - Accent6 4 3 3 2 5 3" xfId="19047"/>
    <cellStyle name="20% - Accent6 4 3 3 2 6" xfId="19048"/>
    <cellStyle name="20% - Accent6 4 3 3 2 6 2" xfId="19049"/>
    <cellStyle name="20% - Accent6 4 3 3 2 6 3" xfId="19050"/>
    <cellStyle name="20% - Accent6 4 3 3 2 7" xfId="19051"/>
    <cellStyle name="20% - Accent6 4 3 3 2 7 2" xfId="19052"/>
    <cellStyle name="20% - Accent6 4 3 3 2 8" xfId="19053"/>
    <cellStyle name="20% - Accent6 4 3 3 2 9" xfId="19054"/>
    <cellStyle name="20% - Accent6 4 3 3 3" xfId="19055"/>
    <cellStyle name="20% - Accent6 4 3 3 3 2" xfId="19056"/>
    <cellStyle name="20% - Accent6 4 3 3 3 2 2" xfId="19057"/>
    <cellStyle name="20% - Accent6 4 3 3 3 2 3" xfId="19058"/>
    <cellStyle name="20% - Accent6 4 3 3 3 3" xfId="19059"/>
    <cellStyle name="20% - Accent6 4 3 3 3 3 2" xfId="19060"/>
    <cellStyle name="20% - Accent6 4 3 3 3 3 3" xfId="19061"/>
    <cellStyle name="20% - Accent6 4 3 3 3 4" xfId="19062"/>
    <cellStyle name="20% - Accent6 4 3 3 3 4 2" xfId="19063"/>
    <cellStyle name="20% - Accent6 4 3 3 3 5" xfId="19064"/>
    <cellStyle name="20% - Accent6 4 3 3 3 6" xfId="19065"/>
    <cellStyle name="20% - Accent6 4 3 3 4" xfId="19066"/>
    <cellStyle name="20% - Accent6 4 3 3 4 2" xfId="19067"/>
    <cellStyle name="20% - Accent6 4 3 3 4 2 2" xfId="19068"/>
    <cellStyle name="20% - Accent6 4 3 3 4 2 3" xfId="19069"/>
    <cellStyle name="20% - Accent6 4 3 3 4 3" xfId="19070"/>
    <cellStyle name="20% - Accent6 4 3 3 4 3 2" xfId="19071"/>
    <cellStyle name="20% - Accent6 4 3 3 4 3 3" xfId="19072"/>
    <cellStyle name="20% - Accent6 4 3 3 4 4" xfId="19073"/>
    <cellStyle name="20% - Accent6 4 3 3 4 4 2" xfId="19074"/>
    <cellStyle name="20% - Accent6 4 3 3 4 5" xfId="19075"/>
    <cellStyle name="20% - Accent6 4 3 3 4 6" xfId="19076"/>
    <cellStyle name="20% - Accent6 4 3 3 5" xfId="19077"/>
    <cellStyle name="20% - Accent6 4 3 3 5 2" xfId="19078"/>
    <cellStyle name="20% - Accent6 4 3 3 5 2 2" xfId="19079"/>
    <cellStyle name="20% - Accent6 4 3 3 5 2 3" xfId="19080"/>
    <cellStyle name="20% - Accent6 4 3 3 5 3" xfId="19081"/>
    <cellStyle name="20% - Accent6 4 3 3 5 3 2" xfId="19082"/>
    <cellStyle name="20% - Accent6 4 3 3 5 4" xfId="19083"/>
    <cellStyle name="20% - Accent6 4 3 3 5 5" xfId="19084"/>
    <cellStyle name="20% - Accent6 4 3 3 6" xfId="19085"/>
    <cellStyle name="20% - Accent6 4 3 3 6 2" xfId="19086"/>
    <cellStyle name="20% - Accent6 4 3 3 6 3" xfId="19087"/>
    <cellStyle name="20% - Accent6 4 3 3 7" xfId="19088"/>
    <cellStyle name="20% - Accent6 4 3 3 7 2" xfId="19089"/>
    <cellStyle name="20% - Accent6 4 3 3 7 3" xfId="19090"/>
    <cellStyle name="20% - Accent6 4 3 3 8" xfId="19091"/>
    <cellStyle name="20% - Accent6 4 3 3 8 2" xfId="19092"/>
    <cellStyle name="20% - Accent6 4 3 3 9" xfId="19093"/>
    <cellStyle name="20% - Accent6 4 3 4" xfId="1369"/>
    <cellStyle name="20% - Accent6 4 3 4 2" xfId="19094"/>
    <cellStyle name="20% - Accent6 4 3 4 2 2" xfId="19095"/>
    <cellStyle name="20% - Accent6 4 3 4 2 2 2" xfId="19096"/>
    <cellStyle name="20% - Accent6 4 3 4 2 2 3" xfId="19097"/>
    <cellStyle name="20% - Accent6 4 3 4 2 3" xfId="19098"/>
    <cellStyle name="20% - Accent6 4 3 4 2 3 2" xfId="19099"/>
    <cellStyle name="20% - Accent6 4 3 4 2 3 3" xfId="19100"/>
    <cellStyle name="20% - Accent6 4 3 4 2 4" xfId="19101"/>
    <cellStyle name="20% - Accent6 4 3 4 2 4 2" xfId="19102"/>
    <cellStyle name="20% - Accent6 4 3 4 2 5" xfId="19103"/>
    <cellStyle name="20% - Accent6 4 3 4 2 6" xfId="19104"/>
    <cellStyle name="20% - Accent6 4 3 4 3" xfId="19105"/>
    <cellStyle name="20% - Accent6 4 3 4 3 2" xfId="19106"/>
    <cellStyle name="20% - Accent6 4 3 4 3 2 2" xfId="19107"/>
    <cellStyle name="20% - Accent6 4 3 4 3 2 3" xfId="19108"/>
    <cellStyle name="20% - Accent6 4 3 4 3 3" xfId="19109"/>
    <cellStyle name="20% - Accent6 4 3 4 3 3 2" xfId="19110"/>
    <cellStyle name="20% - Accent6 4 3 4 3 3 3" xfId="19111"/>
    <cellStyle name="20% - Accent6 4 3 4 3 4" xfId="19112"/>
    <cellStyle name="20% - Accent6 4 3 4 3 4 2" xfId="19113"/>
    <cellStyle name="20% - Accent6 4 3 4 3 5" xfId="19114"/>
    <cellStyle name="20% - Accent6 4 3 4 3 6" xfId="19115"/>
    <cellStyle name="20% - Accent6 4 3 4 4" xfId="19116"/>
    <cellStyle name="20% - Accent6 4 3 4 4 2" xfId="19117"/>
    <cellStyle name="20% - Accent6 4 3 4 4 2 2" xfId="19118"/>
    <cellStyle name="20% - Accent6 4 3 4 4 2 3" xfId="19119"/>
    <cellStyle name="20% - Accent6 4 3 4 4 3" xfId="19120"/>
    <cellStyle name="20% - Accent6 4 3 4 4 3 2" xfId="19121"/>
    <cellStyle name="20% - Accent6 4 3 4 4 4" xfId="19122"/>
    <cellStyle name="20% - Accent6 4 3 4 4 5" xfId="19123"/>
    <cellStyle name="20% - Accent6 4 3 4 5" xfId="19124"/>
    <cellStyle name="20% - Accent6 4 3 4 5 2" xfId="19125"/>
    <cellStyle name="20% - Accent6 4 3 4 5 3" xfId="19126"/>
    <cellStyle name="20% - Accent6 4 3 4 6" xfId="19127"/>
    <cellStyle name="20% - Accent6 4 3 4 6 2" xfId="19128"/>
    <cellStyle name="20% - Accent6 4 3 4 6 3" xfId="19129"/>
    <cellStyle name="20% - Accent6 4 3 4 7" xfId="19130"/>
    <cellStyle name="20% - Accent6 4 3 4 7 2" xfId="19131"/>
    <cellStyle name="20% - Accent6 4 3 4 8" xfId="19132"/>
    <cellStyle name="20% - Accent6 4 3 4 9" xfId="19133"/>
    <cellStyle name="20% - Accent6 4 3 5" xfId="19134"/>
    <cellStyle name="20% - Accent6 4 3 5 2" xfId="19135"/>
    <cellStyle name="20% - Accent6 4 3 5 2 2" xfId="19136"/>
    <cellStyle name="20% - Accent6 4 3 5 2 2 2" xfId="19137"/>
    <cellStyle name="20% - Accent6 4 3 5 2 2 3" xfId="19138"/>
    <cellStyle name="20% - Accent6 4 3 5 2 3" xfId="19139"/>
    <cellStyle name="20% - Accent6 4 3 5 2 3 2" xfId="19140"/>
    <cellStyle name="20% - Accent6 4 3 5 2 3 3" xfId="19141"/>
    <cellStyle name="20% - Accent6 4 3 5 2 4" xfId="19142"/>
    <cellStyle name="20% - Accent6 4 3 5 2 4 2" xfId="19143"/>
    <cellStyle name="20% - Accent6 4 3 5 2 5" xfId="19144"/>
    <cellStyle name="20% - Accent6 4 3 5 2 6" xfId="19145"/>
    <cellStyle name="20% - Accent6 4 3 5 3" xfId="19146"/>
    <cellStyle name="20% - Accent6 4 3 5 3 2" xfId="19147"/>
    <cellStyle name="20% - Accent6 4 3 5 3 2 2" xfId="19148"/>
    <cellStyle name="20% - Accent6 4 3 5 3 2 3" xfId="19149"/>
    <cellStyle name="20% - Accent6 4 3 5 3 3" xfId="19150"/>
    <cellStyle name="20% - Accent6 4 3 5 3 3 2" xfId="19151"/>
    <cellStyle name="20% - Accent6 4 3 5 3 3 3" xfId="19152"/>
    <cellStyle name="20% - Accent6 4 3 5 3 4" xfId="19153"/>
    <cellStyle name="20% - Accent6 4 3 5 3 4 2" xfId="19154"/>
    <cellStyle name="20% - Accent6 4 3 5 3 5" xfId="19155"/>
    <cellStyle name="20% - Accent6 4 3 5 3 6" xfId="19156"/>
    <cellStyle name="20% - Accent6 4 3 5 4" xfId="19157"/>
    <cellStyle name="20% - Accent6 4 3 5 4 2" xfId="19158"/>
    <cellStyle name="20% - Accent6 4 3 5 4 2 2" xfId="19159"/>
    <cellStyle name="20% - Accent6 4 3 5 4 2 3" xfId="19160"/>
    <cellStyle name="20% - Accent6 4 3 5 4 3" xfId="19161"/>
    <cellStyle name="20% - Accent6 4 3 5 4 3 2" xfId="19162"/>
    <cellStyle name="20% - Accent6 4 3 5 4 4" xfId="19163"/>
    <cellStyle name="20% - Accent6 4 3 5 4 5" xfId="19164"/>
    <cellStyle name="20% - Accent6 4 3 5 5" xfId="19165"/>
    <cellStyle name="20% - Accent6 4 3 5 5 2" xfId="19166"/>
    <cellStyle name="20% - Accent6 4 3 5 5 3" xfId="19167"/>
    <cellStyle name="20% - Accent6 4 3 5 6" xfId="19168"/>
    <cellStyle name="20% - Accent6 4 3 5 6 2" xfId="19169"/>
    <cellStyle name="20% - Accent6 4 3 5 6 3" xfId="19170"/>
    <cellStyle name="20% - Accent6 4 3 5 7" xfId="19171"/>
    <cellStyle name="20% - Accent6 4 3 5 7 2" xfId="19172"/>
    <cellStyle name="20% - Accent6 4 3 5 8" xfId="19173"/>
    <cellStyle name="20% - Accent6 4 3 5 9" xfId="19174"/>
    <cellStyle name="20% - Accent6 4 3 6" xfId="19175"/>
    <cellStyle name="20% - Accent6 4 3 6 2" xfId="19176"/>
    <cellStyle name="20% - Accent6 4 3 6 2 2" xfId="19177"/>
    <cellStyle name="20% - Accent6 4 3 6 2 3" xfId="19178"/>
    <cellStyle name="20% - Accent6 4 3 6 3" xfId="19179"/>
    <cellStyle name="20% - Accent6 4 3 6 3 2" xfId="19180"/>
    <cellStyle name="20% - Accent6 4 3 6 3 3" xfId="19181"/>
    <cellStyle name="20% - Accent6 4 3 6 4" xfId="19182"/>
    <cellStyle name="20% - Accent6 4 3 6 4 2" xfId="19183"/>
    <cellStyle name="20% - Accent6 4 3 6 5" xfId="19184"/>
    <cellStyle name="20% - Accent6 4 3 6 6" xfId="19185"/>
    <cellStyle name="20% - Accent6 4 3 7" xfId="19186"/>
    <cellStyle name="20% - Accent6 4 3 7 2" xfId="19187"/>
    <cellStyle name="20% - Accent6 4 3 7 2 2" xfId="19188"/>
    <cellStyle name="20% - Accent6 4 3 7 2 3" xfId="19189"/>
    <cellStyle name="20% - Accent6 4 3 7 3" xfId="19190"/>
    <cellStyle name="20% - Accent6 4 3 7 3 2" xfId="19191"/>
    <cellStyle name="20% - Accent6 4 3 7 3 3" xfId="19192"/>
    <cellStyle name="20% - Accent6 4 3 7 4" xfId="19193"/>
    <cellStyle name="20% - Accent6 4 3 7 4 2" xfId="19194"/>
    <cellStyle name="20% - Accent6 4 3 7 5" xfId="19195"/>
    <cellStyle name="20% - Accent6 4 3 7 6" xfId="19196"/>
    <cellStyle name="20% - Accent6 4 3 8" xfId="19197"/>
    <cellStyle name="20% - Accent6 4 3 8 2" xfId="19198"/>
    <cellStyle name="20% - Accent6 4 3 8 2 2" xfId="19199"/>
    <cellStyle name="20% - Accent6 4 3 8 2 3" xfId="19200"/>
    <cellStyle name="20% - Accent6 4 3 8 3" xfId="19201"/>
    <cellStyle name="20% - Accent6 4 3 8 3 2" xfId="19202"/>
    <cellStyle name="20% - Accent6 4 3 8 4" xfId="19203"/>
    <cellStyle name="20% - Accent6 4 3 8 5" xfId="19204"/>
    <cellStyle name="20% - Accent6 4 3 9" xfId="19205"/>
    <cellStyle name="20% - Accent6 4 3 9 2" xfId="19206"/>
    <cellStyle name="20% - Accent6 4 3 9 3" xfId="19207"/>
    <cellStyle name="20% - Accent6 4 4" xfId="1370"/>
    <cellStyle name="20% - Accent6 4 4 10" xfId="19208"/>
    <cellStyle name="20% - Accent6 4 4 10 2" xfId="19209"/>
    <cellStyle name="20% - Accent6 4 4 11" xfId="19210"/>
    <cellStyle name="20% - Accent6 4 4 12" xfId="19211"/>
    <cellStyle name="20% - Accent6 4 4 2" xfId="1371"/>
    <cellStyle name="20% - Accent6 4 4 2 10" xfId="19212"/>
    <cellStyle name="20% - Accent6 4 4 2 2" xfId="1372"/>
    <cellStyle name="20% - Accent6 4 4 2 2 2" xfId="19213"/>
    <cellStyle name="20% - Accent6 4 4 2 2 2 2" xfId="19214"/>
    <cellStyle name="20% - Accent6 4 4 2 2 2 2 2" xfId="19215"/>
    <cellStyle name="20% - Accent6 4 4 2 2 2 2 3" xfId="19216"/>
    <cellStyle name="20% - Accent6 4 4 2 2 2 3" xfId="19217"/>
    <cellStyle name="20% - Accent6 4 4 2 2 2 3 2" xfId="19218"/>
    <cellStyle name="20% - Accent6 4 4 2 2 2 3 3" xfId="19219"/>
    <cellStyle name="20% - Accent6 4 4 2 2 2 4" xfId="19220"/>
    <cellStyle name="20% - Accent6 4 4 2 2 2 4 2" xfId="19221"/>
    <cellStyle name="20% - Accent6 4 4 2 2 2 5" xfId="19222"/>
    <cellStyle name="20% - Accent6 4 4 2 2 2 6" xfId="19223"/>
    <cellStyle name="20% - Accent6 4 4 2 2 3" xfId="19224"/>
    <cellStyle name="20% - Accent6 4 4 2 2 3 2" xfId="19225"/>
    <cellStyle name="20% - Accent6 4 4 2 2 3 2 2" xfId="19226"/>
    <cellStyle name="20% - Accent6 4 4 2 2 3 2 3" xfId="19227"/>
    <cellStyle name="20% - Accent6 4 4 2 2 3 3" xfId="19228"/>
    <cellStyle name="20% - Accent6 4 4 2 2 3 3 2" xfId="19229"/>
    <cellStyle name="20% - Accent6 4 4 2 2 3 3 3" xfId="19230"/>
    <cellStyle name="20% - Accent6 4 4 2 2 3 4" xfId="19231"/>
    <cellStyle name="20% - Accent6 4 4 2 2 3 4 2" xfId="19232"/>
    <cellStyle name="20% - Accent6 4 4 2 2 3 5" xfId="19233"/>
    <cellStyle name="20% - Accent6 4 4 2 2 3 6" xfId="19234"/>
    <cellStyle name="20% - Accent6 4 4 2 2 4" xfId="19235"/>
    <cellStyle name="20% - Accent6 4 4 2 2 4 2" xfId="19236"/>
    <cellStyle name="20% - Accent6 4 4 2 2 4 2 2" xfId="19237"/>
    <cellStyle name="20% - Accent6 4 4 2 2 4 2 3" xfId="19238"/>
    <cellStyle name="20% - Accent6 4 4 2 2 4 3" xfId="19239"/>
    <cellStyle name="20% - Accent6 4 4 2 2 4 3 2" xfId="19240"/>
    <cellStyle name="20% - Accent6 4 4 2 2 4 4" xfId="19241"/>
    <cellStyle name="20% - Accent6 4 4 2 2 4 5" xfId="19242"/>
    <cellStyle name="20% - Accent6 4 4 2 2 5" xfId="19243"/>
    <cellStyle name="20% - Accent6 4 4 2 2 5 2" xfId="19244"/>
    <cellStyle name="20% - Accent6 4 4 2 2 5 3" xfId="19245"/>
    <cellStyle name="20% - Accent6 4 4 2 2 6" xfId="19246"/>
    <cellStyle name="20% - Accent6 4 4 2 2 6 2" xfId="19247"/>
    <cellStyle name="20% - Accent6 4 4 2 2 6 3" xfId="19248"/>
    <cellStyle name="20% - Accent6 4 4 2 2 7" xfId="19249"/>
    <cellStyle name="20% - Accent6 4 4 2 2 7 2" xfId="19250"/>
    <cellStyle name="20% - Accent6 4 4 2 2 8" xfId="19251"/>
    <cellStyle name="20% - Accent6 4 4 2 2 9" xfId="19252"/>
    <cellStyle name="20% - Accent6 4 4 2 3" xfId="19253"/>
    <cellStyle name="20% - Accent6 4 4 2 3 2" xfId="19254"/>
    <cellStyle name="20% - Accent6 4 4 2 3 2 2" xfId="19255"/>
    <cellStyle name="20% - Accent6 4 4 2 3 2 3" xfId="19256"/>
    <cellStyle name="20% - Accent6 4 4 2 3 3" xfId="19257"/>
    <cellStyle name="20% - Accent6 4 4 2 3 3 2" xfId="19258"/>
    <cellStyle name="20% - Accent6 4 4 2 3 3 3" xfId="19259"/>
    <cellStyle name="20% - Accent6 4 4 2 3 4" xfId="19260"/>
    <cellStyle name="20% - Accent6 4 4 2 3 4 2" xfId="19261"/>
    <cellStyle name="20% - Accent6 4 4 2 3 5" xfId="19262"/>
    <cellStyle name="20% - Accent6 4 4 2 3 6" xfId="19263"/>
    <cellStyle name="20% - Accent6 4 4 2 4" xfId="19264"/>
    <cellStyle name="20% - Accent6 4 4 2 4 2" xfId="19265"/>
    <cellStyle name="20% - Accent6 4 4 2 4 2 2" xfId="19266"/>
    <cellStyle name="20% - Accent6 4 4 2 4 2 3" xfId="19267"/>
    <cellStyle name="20% - Accent6 4 4 2 4 3" xfId="19268"/>
    <cellStyle name="20% - Accent6 4 4 2 4 3 2" xfId="19269"/>
    <cellStyle name="20% - Accent6 4 4 2 4 3 3" xfId="19270"/>
    <cellStyle name="20% - Accent6 4 4 2 4 4" xfId="19271"/>
    <cellStyle name="20% - Accent6 4 4 2 4 4 2" xfId="19272"/>
    <cellStyle name="20% - Accent6 4 4 2 4 5" xfId="19273"/>
    <cellStyle name="20% - Accent6 4 4 2 4 6" xfId="19274"/>
    <cellStyle name="20% - Accent6 4 4 2 5" xfId="19275"/>
    <cellStyle name="20% - Accent6 4 4 2 5 2" xfId="19276"/>
    <cellStyle name="20% - Accent6 4 4 2 5 2 2" xfId="19277"/>
    <cellStyle name="20% - Accent6 4 4 2 5 2 3" xfId="19278"/>
    <cellStyle name="20% - Accent6 4 4 2 5 3" xfId="19279"/>
    <cellStyle name="20% - Accent6 4 4 2 5 3 2" xfId="19280"/>
    <cellStyle name="20% - Accent6 4 4 2 5 4" xfId="19281"/>
    <cellStyle name="20% - Accent6 4 4 2 5 5" xfId="19282"/>
    <cellStyle name="20% - Accent6 4 4 2 6" xfId="19283"/>
    <cellStyle name="20% - Accent6 4 4 2 6 2" xfId="19284"/>
    <cellStyle name="20% - Accent6 4 4 2 6 3" xfId="19285"/>
    <cellStyle name="20% - Accent6 4 4 2 7" xfId="19286"/>
    <cellStyle name="20% - Accent6 4 4 2 7 2" xfId="19287"/>
    <cellStyle name="20% - Accent6 4 4 2 7 3" xfId="19288"/>
    <cellStyle name="20% - Accent6 4 4 2 8" xfId="19289"/>
    <cellStyle name="20% - Accent6 4 4 2 8 2" xfId="19290"/>
    <cellStyle name="20% - Accent6 4 4 2 9" xfId="19291"/>
    <cellStyle name="20% - Accent6 4 4 3" xfId="1373"/>
    <cellStyle name="20% - Accent6 4 4 3 2" xfId="19292"/>
    <cellStyle name="20% - Accent6 4 4 3 2 2" xfId="19293"/>
    <cellStyle name="20% - Accent6 4 4 3 2 2 2" xfId="19294"/>
    <cellStyle name="20% - Accent6 4 4 3 2 2 3" xfId="19295"/>
    <cellStyle name="20% - Accent6 4 4 3 2 3" xfId="19296"/>
    <cellStyle name="20% - Accent6 4 4 3 2 3 2" xfId="19297"/>
    <cellStyle name="20% - Accent6 4 4 3 2 3 3" xfId="19298"/>
    <cellStyle name="20% - Accent6 4 4 3 2 4" xfId="19299"/>
    <cellStyle name="20% - Accent6 4 4 3 2 4 2" xfId="19300"/>
    <cellStyle name="20% - Accent6 4 4 3 2 5" xfId="19301"/>
    <cellStyle name="20% - Accent6 4 4 3 2 6" xfId="19302"/>
    <cellStyle name="20% - Accent6 4 4 3 3" xfId="19303"/>
    <cellStyle name="20% - Accent6 4 4 3 3 2" xfId="19304"/>
    <cellStyle name="20% - Accent6 4 4 3 3 2 2" xfId="19305"/>
    <cellStyle name="20% - Accent6 4 4 3 3 2 3" xfId="19306"/>
    <cellStyle name="20% - Accent6 4 4 3 3 3" xfId="19307"/>
    <cellStyle name="20% - Accent6 4 4 3 3 3 2" xfId="19308"/>
    <cellStyle name="20% - Accent6 4 4 3 3 3 3" xfId="19309"/>
    <cellStyle name="20% - Accent6 4 4 3 3 4" xfId="19310"/>
    <cellStyle name="20% - Accent6 4 4 3 3 4 2" xfId="19311"/>
    <cellStyle name="20% - Accent6 4 4 3 3 5" xfId="19312"/>
    <cellStyle name="20% - Accent6 4 4 3 3 6" xfId="19313"/>
    <cellStyle name="20% - Accent6 4 4 3 4" xfId="19314"/>
    <cellStyle name="20% - Accent6 4 4 3 4 2" xfId="19315"/>
    <cellStyle name="20% - Accent6 4 4 3 4 2 2" xfId="19316"/>
    <cellStyle name="20% - Accent6 4 4 3 4 2 3" xfId="19317"/>
    <cellStyle name="20% - Accent6 4 4 3 4 3" xfId="19318"/>
    <cellStyle name="20% - Accent6 4 4 3 4 3 2" xfId="19319"/>
    <cellStyle name="20% - Accent6 4 4 3 4 4" xfId="19320"/>
    <cellStyle name="20% - Accent6 4 4 3 4 5" xfId="19321"/>
    <cellStyle name="20% - Accent6 4 4 3 5" xfId="19322"/>
    <cellStyle name="20% - Accent6 4 4 3 5 2" xfId="19323"/>
    <cellStyle name="20% - Accent6 4 4 3 5 3" xfId="19324"/>
    <cellStyle name="20% - Accent6 4 4 3 6" xfId="19325"/>
    <cellStyle name="20% - Accent6 4 4 3 6 2" xfId="19326"/>
    <cellStyle name="20% - Accent6 4 4 3 6 3" xfId="19327"/>
    <cellStyle name="20% - Accent6 4 4 3 7" xfId="19328"/>
    <cellStyle name="20% - Accent6 4 4 3 7 2" xfId="19329"/>
    <cellStyle name="20% - Accent6 4 4 3 8" xfId="19330"/>
    <cellStyle name="20% - Accent6 4 4 3 9" xfId="19331"/>
    <cellStyle name="20% - Accent6 4 4 4" xfId="19332"/>
    <cellStyle name="20% - Accent6 4 4 4 2" xfId="19333"/>
    <cellStyle name="20% - Accent6 4 4 4 2 2" xfId="19334"/>
    <cellStyle name="20% - Accent6 4 4 4 2 2 2" xfId="19335"/>
    <cellStyle name="20% - Accent6 4 4 4 2 2 3" xfId="19336"/>
    <cellStyle name="20% - Accent6 4 4 4 2 3" xfId="19337"/>
    <cellStyle name="20% - Accent6 4 4 4 2 3 2" xfId="19338"/>
    <cellStyle name="20% - Accent6 4 4 4 2 3 3" xfId="19339"/>
    <cellStyle name="20% - Accent6 4 4 4 2 4" xfId="19340"/>
    <cellStyle name="20% - Accent6 4 4 4 2 4 2" xfId="19341"/>
    <cellStyle name="20% - Accent6 4 4 4 2 5" xfId="19342"/>
    <cellStyle name="20% - Accent6 4 4 4 2 6" xfId="19343"/>
    <cellStyle name="20% - Accent6 4 4 4 3" xfId="19344"/>
    <cellStyle name="20% - Accent6 4 4 4 3 2" xfId="19345"/>
    <cellStyle name="20% - Accent6 4 4 4 3 2 2" xfId="19346"/>
    <cellStyle name="20% - Accent6 4 4 4 3 2 3" xfId="19347"/>
    <cellStyle name="20% - Accent6 4 4 4 3 3" xfId="19348"/>
    <cellStyle name="20% - Accent6 4 4 4 3 3 2" xfId="19349"/>
    <cellStyle name="20% - Accent6 4 4 4 3 3 3" xfId="19350"/>
    <cellStyle name="20% - Accent6 4 4 4 3 4" xfId="19351"/>
    <cellStyle name="20% - Accent6 4 4 4 3 4 2" xfId="19352"/>
    <cellStyle name="20% - Accent6 4 4 4 3 5" xfId="19353"/>
    <cellStyle name="20% - Accent6 4 4 4 3 6" xfId="19354"/>
    <cellStyle name="20% - Accent6 4 4 4 4" xfId="19355"/>
    <cellStyle name="20% - Accent6 4 4 4 4 2" xfId="19356"/>
    <cellStyle name="20% - Accent6 4 4 4 4 2 2" xfId="19357"/>
    <cellStyle name="20% - Accent6 4 4 4 4 2 3" xfId="19358"/>
    <cellStyle name="20% - Accent6 4 4 4 4 3" xfId="19359"/>
    <cellStyle name="20% - Accent6 4 4 4 4 3 2" xfId="19360"/>
    <cellStyle name="20% - Accent6 4 4 4 4 4" xfId="19361"/>
    <cellStyle name="20% - Accent6 4 4 4 4 5" xfId="19362"/>
    <cellStyle name="20% - Accent6 4 4 4 5" xfId="19363"/>
    <cellStyle name="20% - Accent6 4 4 4 5 2" xfId="19364"/>
    <cellStyle name="20% - Accent6 4 4 4 5 3" xfId="19365"/>
    <cellStyle name="20% - Accent6 4 4 4 6" xfId="19366"/>
    <cellStyle name="20% - Accent6 4 4 4 6 2" xfId="19367"/>
    <cellStyle name="20% - Accent6 4 4 4 6 3" xfId="19368"/>
    <cellStyle name="20% - Accent6 4 4 4 7" xfId="19369"/>
    <cellStyle name="20% - Accent6 4 4 4 7 2" xfId="19370"/>
    <cellStyle name="20% - Accent6 4 4 4 8" xfId="19371"/>
    <cellStyle name="20% - Accent6 4 4 4 9" xfId="19372"/>
    <cellStyle name="20% - Accent6 4 4 5" xfId="19373"/>
    <cellStyle name="20% - Accent6 4 4 5 2" xfId="19374"/>
    <cellStyle name="20% - Accent6 4 4 5 2 2" xfId="19375"/>
    <cellStyle name="20% - Accent6 4 4 5 2 3" xfId="19376"/>
    <cellStyle name="20% - Accent6 4 4 5 3" xfId="19377"/>
    <cellStyle name="20% - Accent6 4 4 5 3 2" xfId="19378"/>
    <cellStyle name="20% - Accent6 4 4 5 3 3" xfId="19379"/>
    <cellStyle name="20% - Accent6 4 4 5 4" xfId="19380"/>
    <cellStyle name="20% - Accent6 4 4 5 4 2" xfId="19381"/>
    <cellStyle name="20% - Accent6 4 4 5 5" xfId="19382"/>
    <cellStyle name="20% - Accent6 4 4 5 6" xfId="19383"/>
    <cellStyle name="20% - Accent6 4 4 6" xfId="19384"/>
    <cellStyle name="20% - Accent6 4 4 6 2" xfId="19385"/>
    <cellStyle name="20% - Accent6 4 4 6 2 2" xfId="19386"/>
    <cellStyle name="20% - Accent6 4 4 6 2 3" xfId="19387"/>
    <cellStyle name="20% - Accent6 4 4 6 3" xfId="19388"/>
    <cellStyle name="20% - Accent6 4 4 6 3 2" xfId="19389"/>
    <cellStyle name="20% - Accent6 4 4 6 3 3" xfId="19390"/>
    <cellStyle name="20% - Accent6 4 4 6 4" xfId="19391"/>
    <cellStyle name="20% - Accent6 4 4 6 4 2" xfId="19392"/>
    <cellStyle name="20% - Accent6 4 4 6 5" xfId="19393"/>
    <cellStyle name="20% - Accent6 4 4 6 6" xfId="19394"/>
    <cellStyle name="20% - Accent6 4 4 7" xfId="19395"/>
    <cellStyle name="20% - Accent6 4 4 7 2" xfId="19396"/>
    <cellStyle name="20% - Accent6 4 4 7 2 2" xfId="19397"/>
    <cellStyle name="20% - Accent6 4 4 7 2 3" xfId="19398"/>
    <cellStyle name="20% - Accent6 4 4 7 3" xfId="19399"/>
    <cellStyle name="20% - Accent6 4 4 7 3 2" xfId="19400"/>
    <cellStyle name="20% - Accent6 4 4 7 4" xfId="19401"/>
    <cellStyle name="20% - Accent6 4 4 7 5" xfId="19402"/>
    <cellStyle name="20% - Accent6 4 4 8" xfId="19403"/>
    <cellStyle name="20% - Accent6 4 4 8 2" xfId="19404"/>
    <cellStyle name="20% - Accent6 4 4 8 3" xfId="19405"/>
    <cellStyle name="20% - Accent6 4 4 9" xfId="19406"/>
    <cellStyle name="20% - Accent6 4 4 9 2" xfId="19407"/>
    <cellStyle name="20% - Accent6 4 4 9 3" xfId="19408"/>
    <cellStyle name="20% - Accent6 4 5" xfId="1374"/>
    <cellStyle name="20% - Accent6 4 5 10" xfId="19409"/>
    <cellStyle name="20% - Accent6 4 5 2" xfId="1375"/>
    <cellStyle name="20% - Accent6 4 5 2 2" xfId="19410"/>
    <cellStyle name="20% - Accent6 4 5 2 2 2" xfId="19411"/>
    <cellStyle name="20% - Accent6 4 5 2 2 2 2" xfId="19412"/>
    <cellStyle name="20% - Accent6 4 5 2 2 2 3" xfId="19413"/>
    <cellStyle name="20% - Accent6 4 5 2 2 3" xfId="19414"/>
    <cellStyle name="20% - Accent6 4 5 2 2 3 2" xfId="19415"/>
    <cellStyle name="20% - Accent6 4 5 2 2 3 3" xfId="19416"/>
    <cellStyle name="20% - Accent6 4 5 2 2 4" xfId="19417"/>
    <cellStyle name="20% - Accent6 4 5 2 2 4 2" xfId="19418"/>
    <cellStyle name="20% - Accent6 4 5 2 2 5" xfId="19419"/>
    <cellStyle name="20% - Accent6 4 5 2 2 6" xfId="19420"/>
    <cellStyle name="20% - Accent6 4 5 2 3" xfId="19421"/>
    <cellStyle name="20% - Accent6 4 5 2 3 2" xfId="19422"/>
    <cellStyle name="20% - Accent6 4 5 2 3 2 2" xfId="19423"/>
    <cellStyle name="20% - Accent6 4 5 2 3 2 3" xfId="19424"/>
    <cellStyle name="20% - Accent6 4 5 2 3 3" xfId="19425"/>
    <cellStyle name="20% - Accent6 4 5 2 3 3 2" xfId="19426"/>
    <cellStyle name="20% - Accent6 4 5 2 3 3 3" xfId="19427"/>
    <cellStyle name="20% - Accent6 4 5 2 3 4" xfId="19428"/>
    <cellStyle name="20% - Accent6 4 5 2 3 4 2" xfId="19429"/>
    <cellStyle name="20% - Accent6 4 5 2 3 5" xfId="19430"/>
    <cellStyle name="20% - Accent6 4 5 2 3 6" xfId="19431"/>
    <cellStyle name="20% - Accent6 4 5 2 4" xfId="19432"/>
    <cellStyle name="20% - Accent6 4 5 2 4 2" xfId="19433"/>
    <cellStyle name="20% - Accent6 4 5 2 4 2 2" xfId="19434"/>
    <cellStyle name="20% - Accent6 4 5 2 4 2 3" xfId="19435"/>
    <cellStyle name="20% - Accent6 4 5 2 4 3" xfId="19436"/>
    <cellStyle name="20% - Accent6 4 5 2 4 3 2" xfId="19437"/>
    <cellStyle name="20% - Accent6 4 5 2 4 4" xfId="19438"/>
    <cellStyle name="20% - Accent6 4 5 2 4 5" xfId="19439"/>
    <cellStyle name="20% - Accent6 4 5 2 5" xfId="19440"/>
    <cellStyle name="20% - Accent6 4 5 2 5 2" xfId="19441"/>
    <cellStyle name="20% - Accent6 4 5 2 5 3" xfId="19442"/>
    <cellStyle name="20% - Accent6 4 5 2 6" xfId="19443"/>
    <cellStyle name="20% - Accent6 4 5 2 6 2" xfId="19444"/>
    <cellStyle name="20% - Accent6 4 5 2 6 3" xfId="19445"/>
    <cellStyle name="20% - Accent6 4 5 2 7" xfId="19446"/>
    <cellStyle name="20% - Accent6 4 5 2 7 2" xfId="19447"/>
    <cellStyle name="20% - Accent6 4 5 2 8" xfId="19448"/>
    <cellStyle name="20% - Accent6 4 5 2 9" xfId="19449"/>
    <cellStyle name="20% - Accent6 4 5 3" xfId="19450"/>
    <cellStyle name="20% - Accent6 4 5 3 2" xfId="19451"/>
    <cellStyle name="20% - Accent6 4 5 3 2 2" xfId="19452"/>
    <cellStyle name="20% - Accent6 4 5 3 2 3" xfId="19453"/>
    <cellStyle name="20% - Accent6 4 5 3 3" xfId="19454"/>
    <cellStyle name="20% - Accent6 4 5 3 3 2" xfId="19455"/>
    <cellStyle name="20% - Accent6 4 5 3 3 3" xfId="19456"/>
    <cellStyle name="20% - Accent6 4 5 3 4" xfId="19457"/>
    <cellStyle name="20% - Accent6 4 5 3 4 2" xfId="19458"/>
    <cellStyle name="20% - Accent6 4 5 3 5" xfId="19459"/>
    <cellStyle name="20% - Accent6 4 5 3 6" xfId="19460"/>
    <cellStyle name="20% - Accent6 4 5 4" xfId="19461"/>
    <cellStyle name="20% - Accent6 4 5 4 2" xfId="19462"/>
    <cellStyle name="20% - Accent6 4 5 4 2 2" xfId="19463"/>
    <cellStyle name="20% - Accent6 4 5 4 2 3" xfId="19464"/>
    <cellStyle name="20% - Accent6 4 5 4 3" xfId="19465"/>
    <cellStyle name="20% - Accent6 4 5 4 3 2" xfId="19466"/>
    <cellStyle name="20% - Accent6 4 5 4 3 3" xfId="19467"/>
    <cellStyle name="20% - Accent6 4 5 4 4" xfId="19468"/>
    <cellStyle name="20% - Accent6 4 5 4 4 2" xfId="19469"/>
    <cellStyle name="20% - Accent6 4 5 4 5" xfId="19470"/>
    <cellStyle name="20% - Accent6 4 5 4 6" xfId="19471"/>
    <cellStyle name="20% - Accent6 4 5 5" xfId="19472"/>
    <cellStyle name="20% - Accent6 4 5 5 2" xfId="19473"/>
    <cellStyle name="20% - Accent6 4 5 5 2 2" xfId="19474"/>
    <cellStyle name="20% - Accent6 4 5 5 2 3" xfId="19475"/>
    <cellStyle name="20% - Accent6 4 5 5 3" xfId="19476"/>
    <cellStyle name="20% - Accent6 4 5 5 3 2" xfId="19477"/>
    <cellStyle name="20% - Accent6 4 5 5 4" xfId="19478"/>
    <cellStyle name="20% - Accent6 4 5 5 5" xfId="19479"/>
    <cellStyle name="20% - Accent6 4 5 6" xfId="19480"/>
    <cellStyle name="20% - Accent6 4 5 6 2" xfId="19481"/>
    <cellStyle name="20% - Accent6 4 5 6 3" xfId="19482"/>
    <cellStyle name="20% - Accent6 4 5 7" xfId="19483"/>
    <cellStyle name="20% - Accent6 4 5 7 2" xfId="19484"/>
    <cellStyle name="20% - Accent6 4 5 7 3" xfId="19485"/>
    <cellStyle name="20% - Accent6 4 5 8" xfId="19486"/>
    <cellStyle name="20% - Accent6 4 5 8 2" xfId="19487"/>
    <cellStyle name="20% - Accent6 4 5 9" xfId="19488"/>
    <cellStyle name="20% - Accent6 4 6" xfId="1376"/>
    <cellStyle name="20% - Accent6 4 6 2" xfId="19489"/>
    <cellStyle name="20% - Accent6 4 6 2 2" xfId="19490"/>
    <cellStyle name="20% - Accent6 4 6 2 2 2" xfId="19491"/>
    <cellStyle name="20% - Accent6 4 6 2 2 3" xfId="19492"/>
    <cellStyle name="20% - Accent6 4 6 2 3" xfId="19493"/>
    <cellStyle name="20% - Accent6 4 6 2 3 2" xfId="19494"/>
    <cellStyle name="20% - Accent6 4 6 2 3 3" xfId="19495"/>
    <cellStyle name="20% - Accent6 4 6 2 4" xfId="19496"/>
    <cellStyle name="20% - Accent6 4 6 2 4 2" xfId="19497"/>
    <cellStyle name="20% - Accent6 4 6 2 5" xfId="19498"/>
    <cellStyle name="20% - Accent6 4 6 2 6" xfId="19499"/>
    <cellStyle name="20% - Accent6 4 6 3" xfId="19500"/>
    <cellStyle name="20% - Accent6 4 6 3 2" xfId="19501"/>
    <cellStyle name="20% - Accent6 4 6 3 2 2" xfId="19502"/>
    <cellStyle name="20% - Accent6 4 6 3 2 3" xfId="19503"/>
    <cellStyle name="20% - Accent6 4 6 3 3" xfId="19504"/>
    <cellStyle name="20% - Accent6 4 6 3 3 2" xfId="19505"/>
    <cellStyle name="20% - Accent6 4 6 3 3 3" xfId="19506"/>
    <cellStyle name="20% - Accent6 4 6 3 4" xfId="19507"/>
    <cellStyle name="20% - Accent6 4 6 3 4 2" xfId="19508"/>
    <cellStyle name="20% - Accent6 4 6 3 5" xfId="19509"/>
    <cellStyle name="20% - Accent6 4 6 3 6" xfId="19510"/>
    <cellStyle name="20% - Accent6 4 6 4" xfId="19511"/>
    <cellStyle name="20% - Accent6 4 6 4 2" xfId="19512"/>
    <cellStyle name="20% - Accent6 4 6 4 2 2" xfId="19513"/>
    <cellStyle name="20% - Accent6 4 6 4 2 3" xfId="19514"/>
    <cellStyle name="20% - Accent6 4 6 4 3" xfId="19515"/>
    <cellStyle name="20% - Accent6 4 6 4 3 2" xfId="19516"/>
    <cellStyle name="20% - Accent6 4 6 4 4" xfId="19517"/>
    <cellStyle name="20% - Accent6 4 6 4 5" xfId="19518"/>
    <cellStyle name="20% - Accent6 4 6 5" xfId="19519"/>
    <cellStyle name="20% - Accent6 4 6 5 2" xfId="19520"/>
    <cellStyle name="20% - Accent6 4 6 5 3" xfId="19521"/>
    <cellStyle name="20% - Accent6 4 6 6" xfId="19522"/>
    <cellStyle name="20% - Accent6 4 6 6 2" xfId="19523"/>
    <cellStyle name="20% - Accent6 4 6 6 3" xfId="19524"/>
    <cellStyle name="20% - Accent6 4 6 7" xfId="19525"/>
    <cellStyle name="20% - Accent6 4 6 7 2" xfId="19526"/>
    <cellStyle name="20% - Accent6 4 6 8" xfId="19527"/>
    <cellStyle name="20% - Accent6 4 6 9" xfId="19528"/>
    <cellStyle name="20% - Accent6 4 7" xfId="8943"/>
    <cellStyle name="20% - Accent6 4 7 2" xfId="19529"/>
    <cellStyle name="20% - Accent6 4 7 2 2" xfId="19530"/>
    <cellStyle name="20% - Accent6 4 7 2 2 2" xfId="19531"/>
    <cellStyle name="20% - Accent6 4 7 2 2 3" xfId="19532"/>
    <cellStyle name="20% - Accent6 4 7 2 3" xfId="19533"/>
    <cellStyle name="20% - Accent6 4 7 2 3 2" xfId="19534"/>
    <cellStyle name="20% - Accent6 4 7 2 3 3" xfId="19535"/>
    <cellStyle name="20% - Accent6 4 7 2 4" xfId="19536"/>
    <cellStyle name="20% - Accent6 4 7 2 4 2" xfId="19537"/>
    <cellStyle name="20% - Accent6 4 7 2 5" xfId="19538"/>
    <cellStyle name="20% - Accent6 4 7 2 6" xfId="19539"/>
    <cellStyle name="20% - Accent6 4 7 3" xfId="19540"/>
    <cellStyle name="20% - Accent6 4 7 3 2" xfId="19541"/>
    <cellStyle name="20% - Accent6 4 7 3 2 2" xfId="19542"/>
    <cellStyle name="20% - Accent6 4 7 3 2 3" xfId="19543"/>
    <cellStyle name="20% - Accent6 4 7 3 3" xfId="19544"/>
    <cellStyle name="20% - Accent6 4 7 3 3 2" xfId="19545"/>
    <cellStyle name="20% - Accent6 4 7 3 3 3" xfId="19546"/>
    <cellStyle name="20% - Accent6 4 7 3 4" xfId="19547"/>
    <cellStyle name="20% - Accent6 4 7 3 4 2" xfId="19548"/>
    <cellStyle name="20% - Accent6 4 7 3 5" xfId="19549"/>
    <cellStyle name="20% - Accent6 4 7 3 6" xfId="19550"/>
    <cellStyle name="20% - Accent6 4 7 4" xfId="19551"/>
    <cellStyle name="20% - Accent6 4 7 4 2" xfId="19552"/>
    <cellStyle name="20% - Accent6 4 7 4 2 2" xfId="19553"/>
    <cellStyle name="20% - Accent6 4 7 4 2 3" xfId="19554"/>
    <cellStyle name="20% - Accent6 4 7 4 3" xfId="19555"/>
    <cellStyle name="20% - Accent6 4 7 4 3 2" xfId="19556"/>
    <cellStyle name="20% - Accent6 4 7 4 4" xfId="19557"/>
    <cellStyle name="20% - Accent6 4 7 4 5" xfId="19558"/>
    <cellStyle name="20% - Accent6 4 7 5" xfId="19559"/>
    <cellStyle name="20% - Accent6 4 7 5 2" xfId="19560"/>
    <cellStyle name="20% - Accent6 4 7 5 3" xfId="19561"/>
    <cellStyle name="20% - Accent6 4 7 6" xfId="19562"/>
    <cellStyle name="20% - Accent6 4 7 6 2" xfId="19563"/>
    <cellStyle name="20% - Accent6 4 7 6 3" xfId="19564"/>
    <cellStyle name="20% - Accent6 4 7 7" xfId="19565"/>
    <cellStyle name="20% - Accent6 4 7 7 2" xfId="19566"/>
    <cellStyle name="20% - Accent6 4 7 8" xfId="19567"/>
    <cellStyle name="20% - Accent6 4 7 9" xfId="19568"/>
    <cellStyle name="20% - Accent6 4 8" xfId="19569"/>
    <cellStyle name="20% - Accent6 4 8 2" xfId="19570"/>
    <cellStyle name="20% - Accent6 4 8 2 2" xfId="19571"/>
    <cellStyle name="20% - Accent6 4 8 2 3" xfId="19572"/>
    <cellStyle name="20% - Accent6 4 8 3" xfId="19573"/>
    <cellStyle name="20% - Accent6 4 8 3 2" xfId="19574"/>
    <cellStyle name="20% - Accent6 4 8 3 3" xfId="19575"/>
    <cellStyle name="20% - Accent6 4 8 4" xfId="19576"/>
    <cellStyle name="20% - Accent6 4 8 4 2" xfId="19577"/>
    <cellStyle name="20% - Accent6 4 8 5" xfId="19578"/>
    <cellStyle name="20% - Accent6 4 8 6" xfId="19579"/>
    <cellStyle name="20% - Accent6 4 9" xfId="19580"/>
    <cellStyle name="20% - Accent6 4 9 2" xfId="19581"/>
    <cellStyle name="20% - Accent6 4 9 2 2" xfId="19582"/>
    <cellStyle name="20% - Accent6 4 9 2 3" xfId="19583"/>
    <cellStyle name="20% - Accent6 4 9 3" xfId="19584"/>
    <cellStyle name="20% - Accent6 4 9 3 2" xfId="19585"/>
    <cellStyle name="20% - Accent6 4 9 3 3" xfId="19586"/>
    <cellStyle name="20% - Accent6 4 9 4" xfId="19587"/>
    <cellStyle name="20% - Accent6 4 9 4 2" xfId="19588"/>
    <cellStyle name="20% - Accent6 4 9 5" xfId="19589"/>
    <cellStyle name="20% - Accent6 4 9 6" xfId="19590"/>
    <cellStyle name="20% - Accent6 5" xfId="1377"/>
    <cellStyle name="20% - Accent6 5 2" xfId="1378"/>
    <cellStyle name="20% - Accent6 5 2 2" xfId="1379"/>
    <cellStyle name="20% - Accent6 5 2 2 2" xfId="1380"/>
    <cellStyle name="20% - Accent6 5 2 2 2 2" xfId="1381"/>
    <cellStyle name="20% - Accent6 5 2 2 3" xfId="1382"/>
    <cellStyle name="20% - Accent6 5 2 3" xfId="1383"/>
    <cellStyle name="20% - Accent6 5 2 3 2" xfId="1384"/>
    <cellStyle name="20% - Accent6 5 2 4" xfId="1385"/>
    <cellStyle name="20% - Accent6 5 2 5" xfId="57978"/>
    <cellStyle name="20% - Accent6 5 3" xfId="1386"/>
    <cellStyle name="20% - Accent6 5 3 2" xfId="1387"/>
    <cellStyle name="20% - Accent6 5 3 2 2" xfId="1388"/>
    <cellStyle name="20% - Accent6 5 3 3" xfId="1389"/>
    <cellStyle name="20% - Accent6 5 4" xfId="1390"/>
    <cellStyle name="20% - Accent6 5 4 2" xfId="1391"/>
    <cellStyle name="20% - Accent6 5 5" xfId="1392"/>
    <cellStyle name="20% - Accent6 5 6" xfId="8944"/>
    <cellStyle name="20% - Accent6 6" xfId="1393"/>
    <cellStyle name="20% - Accent6 6 2" xfId="1394"/>
    <cellStyle name="20% - Accent6 6 2 2" xfId="1395"/>
    <cellStyle name="20% - Accent6 6 2 2 2" xfId="1396"/>
    <cellStyle name="20% - Accent6 6 2 3" xfId="1397"/>
    <cellStyle name="20% - Accent6 6 2 4" xfId="57979"/>
    <cellStyle name="20% - Accent6 6 2 5" xfId="57980"/>
    <cellStyle name="20% - Accent6 6 3" xfId="1398"/>
    <cellStyle name="20% - Accent6 6 3 2" xfId="1399"/>
    <cellStyle name="20% - Accent6 6 4" xfId="1400"/>
    <cellStyle name="20% - Accent6 6 5" xfId="57981"/>
    <cellStyle name="20% - Accent6 7" xfId="1401"/>
    <cellStyle name="20% - Accent6 7 2" xfId="1402"/>
    <cellStyle name="20% - Accent6 7 2 2" xfId="1403"/>
    <cellStyle name="20% - Accent6 7 2 2 2" xfId="1404"/>
    <cellStyle name="20% - Accent6 7 2 3" xfId="1405"/>
    <cellStyle name="20% - Accent6 7 3" xfId="1406"/>
    <cellStyle name="20% - Accent6 7 3 2" xfId="1407"/>
    <cellStyle name="20% - Accent6 7 4" xfId="1408"/>
    <cellStyle name="20% - Accent6 7 5" xfId="57982"/>
    <cellStyle name="20% - Accent6 8" xfId="1409"/>
    <cellStyle name="20% - Accent6 8 2" xfId="1410"/>
    <cellStyle name="20% - Accent6 8 2 2" xfId="1411"/>
    <cellStyle name="20% - Accent6 8 2 2 2" xfId="1412"/>
    <cellStyle name="20% - Accent6 8 2 3" xfId="1413"/>
    <cellStyle name="20% - Accent6 8 3" xfId="1414"/>
    <cellStyle name="20% - Accent6 8 3 2" xfId="1415"/>
    <cellStyle name="20% - Accent6 8 4" xfId="1416"/>
    <cellStyle name="20% - Accent6 8 5" xfId="57983"/>
    <cellStyle name="20% - Accent6 9" xfId="1417"/>
    <cellStyle name="20% - Accent6 9 2" xfId="1418"/>
    <cellStyle name="20% - Accent6 9 2 2" xfId="1419"/>
    <cellStyle name="20% - Accent6 9 3" xfId="1420"/>
    <cellStyle name="20% - Accent6 9 4" xfId="57984"/>
    <cellStyle name="40% - Accent1 10" xfId="1421"/>
    <cellStyle name="40% - Accent1 10 2" xfId="1422"/>
    <cellStyle name="40% - Accent1 10 2 2" xfId="1423"/>
    <cellStyle name="40% - Accent1 10 3" xfId="1424"/>
    <cellStyle name="40% - Accent1 10 4" xfId="57985"/>
    <cellStyle name="40% - Accent1 11" xfId="1425"/>
    <cellStyle name="40% - Accent1 11 2" xfId="1426"/>
    <cellStyle name="40% - Accent1 11 2 2" xfId="1427"/>
    <cellStyle name="40% - Accent1 11 3" xfId="1428"/>
    <cellStyle name="40% - Accent1 11 4" xfId="57986"/>
    <cellStyle name="40% - Accent1 12" xfId="1429"/>
    <cellStyle name="40% - Accent1 12 2" xfId="1430"/>
    <cellStyle name="40% - Accent1 12 3" xfId="57987"/>
    <cellStyle name="40% - Accent1 13" xfId="1431"/>
    <cellStyle name="40% - Accent1 13 2" xfId="57988"/>
    <cellStyle name="40% - Accent1 14" xfId="8945"/>
    <cellStyle name="40% - Accent1 15" xfId="9397"/>
    <cellStyle name="40% - Accent1 16" xfId="9398"/>
    <cellStyle name="40% - Accent1 17" xfId="9399"/>
    <cellStyle name="40% - Accent1 17 2" xfId="57989"/>
    <cellStyle name="40% - Accent1 18" xfId="57990"/>
    <cellStyle name="40% - Accent1 19" xfId="57991"/>
    <cellStyle name="40% - Accent1 2" xfId="1432"/>
    <cellStyle name="40% - Accent1 2 2" xfId="1433"/>
    <cellStyle name="40% - Accent1 2 2 2" xfId="1434"/>
    <cellStyle name="40% - Accent1 2 2 2 2" xfId="1435"/>
    <cellStyle name="40% - Accent1 2 2 2 2 2" xfId="1436"/>
    <cellStyle name="40% - Accent1 2 2 2 2 2 2" xfId="1437"/>
    <cellStyle name="40% - Accent1 2 2 2 2 2 2 2" xfId="1438"/>
    <cellStyle name="40% - Accent1 2 2 2 2 2 3" xfId="1439"/>
    <cellStyle name="40% - Accent1 2 2 2 2 3" xfId="1440"/>
    <cellStyle name="40% - Accent1 2 2 2 2 3 2" xfId="1441"/>
    <cellStyle name="40% - Accent1 2 2 2 2 4" xfId="1442"/>
    <cellStyle name="40% - Accent1 2 2 2 2 5" xfId="57992"/>
    <cellStyle name="40% - Accent1 2 2 2 3" xfId="1443"/>
    <cellStyle name="40% - Accent1 2 2 2 3 2" xfId="1444"/>
    <cellStyle name="40% - Accent1 2 2 2 3 2 2" xfId="1445"/>
    <cellStyle name="40% - Accent1 2 2 2 3 3" xfId="1446"/>
    <cellStyle name="40% - Accent1 2 2 2 4" xfId="1447"/>
    <cellStyle name="40% - Accent1 2 2 2 4 2" xfId="1448"/>
    <cellStyle name="40% - Accent1 2 2 2 5" xfId="1449"/>
    <cellStyle name="40% - Accent1 2 2 2 6" xfId="57993"/>
    <cellStyle name="40% - Accent1 2 2 3" xfId="1450"/>
    <cellStyle name="40% - Accent1 2 2 3 2" xfId="1451"/>
    <cellStyle name="40% - Accent1 2 2 3 2 2" xfId="1452"/>
    <cellStyle name="40% - Accent1 2 2 3 2 2 2" xfId="1453"/>
    <cellStyle name="40% - Accent1 2 2 3 2 3" xfId="1454"/>
    <cellStyle name="40% - Accent1 2 2 3 3" xfId="1455"/>
    <cellStyle name="40% - Accent1 2 2 3 3 2" xfId="1456"/>
    <cellStyle name="40% - Accent1 2 2 3 4" xfId="1457"/>
    <cellStyle name="40% - Accent1 2 2 3 5" xfId="57994"/>
    <cellStyle name="40% - Accent1 2 2 4" xfId="1458"/>
    <cellStyle name="40% - Accent1 2 2 4 2" xfId="1459"/>
    <cellStyle name="40% - Accent1 2 2 4 2 2" xfId="1460"/>
    <cellStyle name="40% - Accent1 2 2 4 3" xfId="1461"/>
    <cellStyle name="40% - Accent1 2 2 5" xfId="1462"/>
    <cellStyle name="40% - Accent1 2 2 5 2" xfId="1463"/>
    <cellStyle name="40% - Accent1 2 2 6" xfId="1464"/>
    <cellStyle name="40% - Accent1 2 2 7" xfId="57995"/>
    <cellStyle name="40% - Accent1 2 3" xfId="1465"/>
    <cellStyle name="40% - Accent1 2 3 2" xfId="1466"/>
    <cellStyle name="40% - Accent1 2 3 2 2" xfId="1467"/>
    <cellStyle name="40% - Accent1 2 3 2 2 2" xfId="1468"/>
    <cellStyle name="40% - Accent1 2 3 2 2 2 2" xfId="1469"/>
    <cellStyle name="40% - Accent1 2 3 2 2 3" xfId="1470"/>
    <cellStyle name="40% - Accent1 2 3 2 3" xfId="1471"/>
    <cellStyle name="40% - Accent1 2 3 2 3 2" xfId="1472"/>
    <cellStyle name="40% - Accent1 2 3 2 4" xfId="1473"/>
    <cellStyle name="40% - Accent1 2 3 3" xfId="1474"/>
    <cellStyle name="40% - Accent1 2 3 3 2" xfId="1475"/>
    <cellStyle name="40% - Accent1 2 3 3 2 2" xfId="1476"/>
    <cellStyle name="40% - Accent1 2 3 3 3" xfId="1477"/>
    <cellStyle name="40% - Accent1 2 3 4" xfId="1478"/>
    <cellStyle name="40% - Accent1 2 3 4 2" xfId="1479"/>
    <cellStyle name="40% - Accent1 2 3 5" xfId="1480"/>
    <cellStyle name="40% - Accent1 2 3 6" xfId="57996"/>
    <cellStyle name="40% - Accent1 2 4" xfId="1481"/>
    <cellStyle name="40% - Accent1 2 4 2" xfId="1482"/>
    <cellStyle name="40% - Accent1 2 4 2 2" xfId="1483"/>
    <cellStyle name="40% - Accent1 2 4 2 2 2" xfId="1484"/>
    <cellStyle name="40% - Accent1 2 4 2 3" xfId="1485"/>
    <cellStyle name="40% - Accent1 2 4 3" xfId="1486"/>
    <cellStyle name="40% - Accent1 2 4 3 2" xfId="1487"/>
    <cellStyle name="40% - Accent1 2 4 4" xfId="1488"/>
    <cellStyle name="40% - Accent1 2 4 5" xfId="57997"/>
    <cellStyle name="40% - Accent1 2 5" xfId="1489"/>
    <cellStyle name="40% - Accent1 2 5 2" xfId="1490"/>
    <cellStyle name="40% - Accent1 2 5 2 2" xfId="1491"/>
    <cellStyle name="40% - Accent1 2 5 3" xfId="1492"/>
    <cellStyle name="40% - Accent1 2 5 4" xfId="57998"/>
    <cellStyle name="40% - Accent1 2 6" xfId="1493"/>
    <cellStyle name="40% - Accent1 2 6 2" xfId="1494"/>
    <cellStyle name="40% - Accent1 2 6 3" xfId="57999"/>
    <cellStyle name="40% - Accent1 2 7" xfId="1495"/>
    <cellStyle name="40% - Accent1 2 8" xfId="1496"/>
    <cellStyle name="40% - Accent1 2 9" xfId="58000"/>
    <cellStyle name="40% - Accent1 20" xfId="58001"/>
    <cellStyle name="40% - Accent1 21" xfId="58002"/>
    <cellStyle name="40% - Accent1 3" xfId="1497"/>
    <cellStyle name="40% - Accent1 3 2" xfId="1498"/>
    <cellStyle name="40% - Accent1 3 2 2" xfId="1499"/>
    <cellStyle name="40% - Accent1 3 2 2 2" xfId="1500"/>
    <cellStyle name="40% - Accent1 3 2 2 2 2" xfId="1501"/>
    <cellStyle name="40% - Accent1 3 2 2 2 2 2" xfId="1502"/>
    <cellStyle name="40% - Accent1 3 2 2 2 2 2 2" xfId="1503"/>
    <cellStyle name="40% - Accent1 3 2 2 2 2 3" xfId="1504"/>
    <cellStyle name="40% - Accent1 3 2 2 2 3" xfId="1505"/>
    <cellStyle name="40% - Accent1 3 2 2 2 3 2" xfId="1506"/>
    <cellStyle name="40% - Accent1 3 2 2 2 4" xfId="1507"/>
    <cellStyle name="40% - Accent1 3 2 2 2 5" xfId="8946"/>
    <cellStyle name="40% - Accent1 3 2 2 3" xfId="1508"/>
    <cellStyle name="40% - Accent1 3 2 2 3 2" xfId="1509"/>
    <cellStyle name="40% - Accent1 3 2 2 3 2 2" xfId="1510"/>
    <cellStyle name="40% - Accent1 3 2 2 3 3" xfId="1511"/>
    <cellStyle name="40% - Accent1 3 2 2 4" xfId="1512"/>
    <cellStyle name="40% - Accent1 3 2 2 4 2" xfId="1513"/>
    <cellStyle name="40% - Accent1 3 2 2 5" xfId="1514"/>
    <cellStyle name="40% - Accent1 3 2 2 6" xfId="8947"/>
    <cellStyle name="40% - Accent1 3 2 3" xfId="1515"/>
    <cellStyle name="40% - Accent1 3 2 3 2" xfId="1516"/>
    <cellStyle name="40% - Accent1 3 2 3 2 2" xfId="1517"/>
    <cellStyle name="40% - Accent1 3 2 3 2 2 2" xfId="1518"/>
    <cellStyle name="40% - Accent1 3 2 3 2 3" xfId="1519"/>
    <cellStyle name="40% - Accent1 3 2 3 3" xfId="1520"/>
    <cellStyle name="40% - Accent1 3 2 3 3 2" xfId="1521"/>
    <cellStyle name="40% - Accent1 3 2 3 4" xfId="1522"/>
    <cellStyle name="40% - Accent1 3 2 3 5" xfId="8948"/>
    <cellStyle name="40% - Accent1 3 2 4" xfId="1523"/>
    <cellStyle name="40% - Accent1 3 2 4 2" xfId="1524"/>
    <cellStyle name="40% - Accent1 3 2 4 2 2" xfId="1525"/>
    <cellStyle name="40% - Accent1 3 2 4 3" xfId="1526"/>
    <cellStyle name="40% - Accent1 3 2 5" xfId="1527"/>
    <cellStyle name="40% - Accent1 3 2 5 2" xfId="1528"/>
    <cellStyle name="40% - Accent1 3 2 6" xfId="1529"/>
    <cellStyle name="40% - Accent1 3 2 7" xfId="8949"/>
    <cellStyle name="40% - Accent1 3 3" xfId="1530"/>
    <cellStyle name="40% - Accent1 3 3 2" xfId="1531"/>
    <cellStyle name="40% - Accent1 3 3 2 2" xfId="1532"/>
    <cellStyle name="40% - Accent1 3 3 2 2 2" xfId="1533"/>
    <cellStyle name="40% - Accent1 3 3 2 2 2 2" xfId="1534"/>
    <cellStyle name="40% - Accent1 3 3 2 2 3" xfId="1535"/>
    <cellStyle name="40% - Accent1 3 3 2 3" xfId="1536"/>
    <cellStyle name="40% - Accent1 3 3 2 3 2" xfId="1537"/>
    <cellStyle name="40% - Accent1 3 3 2 4" xfId="1538"/>
    <cellStyle name="40% - Accent1 3 3 2 5" xfId="8950"/>
    <cellStyle name="40% - Accent1 3 3 3" xfId="1539"/>
    <cellStyle name="40% - Accent1 3 3 3 2" xfId="1540"/>
    <cellStyle name="40% - Accent1 3 3 3 2 2" xfId="1541"/>
    <cellStyle name="40% - Accent1 3 3 3 3" xfId="1542"/>
    <cellStyle name="40% - Accent1 3 3 4" xfId="1543"/>
    <cellStyle name="40% - Accent1 3 3 4 2" xfId="1544"/>
    <cellStyle name="40% - Accent1 3 3 5" xfId="1545"/>
    <cellStyle name="40% - Accent1 3 3 6" xfId="8951"/>
    <cellStyle name="40% - Accent1 3 4" xfId="1546"/>
    <cellStyle name="40% - Accent1 3 4 2" xfId="1547"/>
    <cellStyle name="40% - Accent1 3 4 2 2" xfId="1548"/>
    <cellStyle name="40% - Accent1 3 4 2 2 2" xfId="1549"/>
    <cellStyle name="40% - Accent1 3 4 2 3" xfId="1550"/>
    <cellStyle name="40% - Accent1 3 4 3" xfId="1551"/>
    <cellStyle name="40% - Accent1 3 4 3 2" xfId="1552"/>
    <cellStyle name="40% - Accent1 3 4 4" xfId="1553"/>
    <cellStyle name="40% - Accent1 3 4 5" xfId="8952"/>
    <cellStyle name="40% - Accent1 3 5" xfId="1554"/>
    <cellStyle name="40% - Accent1 3 5 2" xfId="1555"/>
    <cellStyle name="40% - Accent1 3 5 2 2" xfId="1556"/>
    <cellStyle name="40% - Accent1 3 5 3" xfId="1557"/>
    <cellStyle name="40% - Accent1 3 6" xfId="1558"/>
    <cellStyle name="40% - Accent1 3 6 2" xfId="1559"/>
    <cellStyle name="40% - Accent1 3 7" xfId="1560"/>
    <cellStyle name="40% - Accent1 3 8" xfId="1561"/>
    <cellStyle name="40% - Accent1 3 9" xfId="8953"/>
    <cellStyle name="40% - Accent1 4" xfId="1562"/>
    <cellStyle name="40% - Accent1 4 10" xfId="19591"/>
    <cellStyle name="40% - Accent1 4 10 2" xfId="19592"/>
    <cellStyle name="40% - Accent1 4 10 2 2" xfId="19593"/>
    <cellStyle name="40% - Accent1 4 10 2 3" xfId="19594"/>
    <cellStyle name="40% - Accent1 4 10 3" xfId="19595"/>
    <cellStyle name="40% - Accent1 4 10 3 2" xfId="19596"/>
    <cellStyle name="40% - Accent1 4 10 4" xfId="19597"/>
    <cellStyle name="40% - Accent1 4 10 5" xfId="19598"/>
    <cellStyle name="40% - Accent1 4 11" xfId="19599"/>
    <cellStyle name="40% - Accent1 4 11 2" xfId="19600"/>
    <cellStyle name="40% - Accent1 4 11 3" xfId="19601"/>
    <cellStyle name="40% - Accent1 4 12" xfId="19602"/>
    <cellStyle name="40% - Accent1 4 12 2" xfId="19603"/>
    <cellStyle name="40% - Accent1 4 12 3" xfId="19604"/>
    <cellStyle name="40% - Accent1 4 13" xfId="19605"/>
    <cellStyle name="40% - Accent1 4 13 2" xfId="19606"/>
    <cellStyle name="40% - Accent1 4 14" xfId="19607"/>
    <cellStyle name="40% - Accent1 4 15" xfId="19608"/>
    <cellStyle name="40% - Accent1 4 16" xfId="19609"/>
    <cellStyle name="40% - Accent1 4 2" xfId="1563"/>
    <cellStyle name="40% - Accent1 4 2 10" xfId="19610"/>
    <cellStyle name="40% - Accent1 4 2 10 2" xfId="19611"/>
    <cellStyle name="40% - Accent1 4 2 10 3" xfId="19612"/>
    <cellStyle name="40% - Accent1 4 2 11" xfId="19613"/>
    <cellStyle name="40% - Accent1 4 2 11 2" xfId="19614"/>
    <cellStyle name="40% - Accent1 4 2 11 3" xfId="19615"/>
    <cellStyle name="40% - Accent1 4 2 12" xfId="19616"/>
    <cellStyle name="40% - Accent1 4 2 12 2" xfId="19617"/>
    <cellStyle name="40% - Accent1 4 2 13" xfId="19618"/>
    <cellStyle name="40% - Accent1 4 2 14" xfId="19619"/>
    <cellStyle name="40% - Accent1 4 2 15" xfId="19620"/>
    <cellStyle name="40% - Accent1 4 2 2" xfId="1564"/>
    <cellStyle name="40% - Accent1 4 2 2 10" xfId="19621"/>
    <cellStyle name="40% - Accent1 4 2 2 10 2" xfId="19622"/>
    <cellStyle name="40% - Accent1 4 2 2 10 3" xfId="19623"/>
    <cellStyle name="40% - Accent1 4 2 2 11" xfId="19624"/>
    <cellStyle name="40% - Accent1 4 2 2 11 2" xfId="19625"/>
    <cellStyle name="40% - Accent1 4 2 2 12" xfId="19626"/>
    <cellStyle name="40% - Accent1 4 2 2 13" xfId="19627"/>
    <cellStyle name="40% - Accent1 4 2 2 2" xfId="1565"/>
    <cellStyle name="40% - Accent1 4 2 2 2 10" xfId="19628"/>
    <cellStyle name="40% - Accent1 4 2 2 2 10 2" xfId="19629"/>
    <cellStyle name="40% - Accent1 4 2 2 2 11" xfId="19630"/>
    <cellStyle name="40% - Accent1 4 2 2 2 12" xfId="19631"/>
    <cellStyle name="40% - Accent1 4 2 2 2 2" xfId="1566"/>
    <cellStyle name="40% - Accent1 4 2 2 2 2 10" xfId="19632"/>
    <cellStyle name="40% - Accent1 4 2 2 2 2 2" xfId="1567"/>
    <cellStyle name="40% - Accent1 4 2 2 2 2 2 2" xfId="19633"/>
    <cellStyle name="40% - Accent1 4 2 2 2 2 2 2 2" xfId="19634"/>
    <cellStyle name="40% - Accent1 4 2 2 2 2 2 2 2 2" xfId="19635"/>
    <cellStyle name="40% - Accent1 4 2 2 2 2 2 2 2 3" xfId="19636"/>
    <cellStyle name="40% - Accent1 4 2 2 2 2 2 2 3" xfId="19637"/>
    <cellStyle name="40% - Accent1 4 2 2 2 2 2 2 3 2" xfId="19638"/>
    <cellStyle name="40% - Accent1 4 2 2 2 2 2 2 3 3" xfId="19639"/>
    <cellStyle name="40% - Accent1 4 2 2 2 2 2 2 4" xfId="19640"/>
    <cellStyle name="40% - Accent1 4 2 2 2 2 2 2 4 2" xfId="19641"/>
    <cellStyle name="40% - Accent1 4 2 2 2 2 2 2 5" xfId="19642"/>
    <cellStyle name="40% - Accent1 4 2 2 2 2 2 2 6" xfId="19643"/>
    <cellStyle name="40% - Accent1 4 2 2 2 2 2 3" xfId="19644"/>
    <cellStyle name="40% - Accent1 4 2 2 2 2 2 3 2" xfId="19645"/>
    <cellStyle name="40% - Accent1 4 2 2 2 2 2 3 2 2" xfId="19646"/>
    <cellStyle name="40% - Accent1 4 2 2 2 2 2 3 2 3" xfId="19647"/>
    <cellStyle name="40% - Accent1 4 2 2 2 2 2 3 3" xfId="19648"/>
    <cellStyle name="40% - Accent1 4 2 2 2 2 2 3 3 2" xfId="19649"/>
    <cellStyle name="40% - Accent1 4 2 2 2 2 2 3 3 3" xfId="19650"/>
    <cellStyle name="40% - Accent1 4 2 2 2 2 2 3 4" xfId="19651"/>
    <cellStyle name="40% - Accent1 4 2 2 2 2 2 3 4 2" xfId="19652"/>
    <cellStyle name="40% - Accent1 4 2 2 2 2 2 3 5" xfId="19653"/>
    <cellStyle name="40% - Accent1 4 2 2 2 2 2 3 6" xfId="19654"/>
    <cellStyle name="40% - Accent1 4 2 2 2 2 2 4" xfId="19655"/>
    <cellStyle name="40% - Accent1 4 2 2 2 2 2 4 2" xfId="19656"/>
    <cellStyle name="40% - Accent1 4 2 2 2 2 2 4 2 2" xfId="19657"/>
    <cellStyle name="40% - Accent1 4 2 2 2 2 2 4 2 3" xfId="19658"/>
    <cellStyle name="40% - Accent1 4 2 2 2 2 2 4 3" xfId="19659"/>
    <cellStyle name="40% - Accent1 4 2 2 2 2 2 4 3 2" xfId="19660"/>
    <cellStyle name="40% - Accent1 4 2 2 2 2 2 4 4" xfId="19661"/>
    <cellStyle name="40% - Accent1 4 2 2 2 2 2 4 5" xfId="19662"/>
    <cellStyle name="40% - Accent1 4 2 2 2 2 2 5" xfId="19663"/>
    <cellStyle name="40% - Accent1 4 2 2 2 2 2 5 2" xfId="19664"/>
    <cellStyle name="40% - Accent1 4 2 2 2 2 2 5 3" xfId="19665"/>
    <cellStyle name="40% - Accent1 4 2 2 2 2 2 6" xfId="19666"/>
    <cellStyle name="40% - Accent1 4 2 2 2 2 2 6 2" xfId="19667"/>
    <cellStyle name="40% - Accent1 4 2 2 2 2 2 6 3" xfId="19668"/>
    <cellStyle name="40% - Accent1 4 2 2 2 2 2 7" xfId="19669"/>
    <cellStyle name="40% - Accent1 4 2 2 2 2 2 7 2" xfId="19670"/>
    <cellStyle name="40% - Accent1 4 2 2 2 2 2 8" xfId="19671"/>
    <cellStyle name="40% - Accent1 4 2 2 2 2 2 9" xfId="19672"/>
    <cellStyle name="40% - Accent1 4 2 2 2 2 3" xfId="19673"/>
    <cellStyle name="40% - Accent1 4 2 2 2 2 3 2" xfId="19674"/>
    <cellStyle name="40% - Accent1 4 2 2 2 2 3 2 2" xfId="19675"/>
    <cellStyle name="40% - Accent1 4 2 2 2 2 3 2 3" xfId="19676"/>
    <cellStyle name="40% - Accent1 4 2 2 2 2 3 3" xfId="19677"/>
    <cellStyle name="40% - Accent1 4 2 2 2 2 3 3 2" xfId="19678"/>
    <cellStyle name="40% - Accent1 4 2 2 2 2 3 3 3" xfId="19679"/>
    <cellStyle name="40% - Accent1 4 2 2 2 2 3 4" xfId="19680"/>
    <cellStyle name="40% - Accent1 4 2 2 2 2 3 4 2" xfId="19681"/>
    <cellStyle name="40% - Accent1 4 2 2 2 2 3 5" xfId="19682"/>
    <cellStyle name="40% - Accent1 4 2 2 2 2 3 6" xfId="19683"/>
    <cellStyle name="40% - Accent1 4 2 2 2 2 4" xfId="19684"/>
    <cellStyle name="40% - Accent1 4 2 2 2 2 4 2" xfId="19685"/>
    <cellStyle name="40% - Accent1 4 2 2 2 2 4 2 2" xfId="19686"/>
    <cellStyle name="40% - Accent1 4 2 2 2 2 4 2 3" xfId="19687"/>
    <cellStyle name="40% - Accent1 4 2 2 2 2 4 3" xfId="19688"/>
    <cellStyle name="40% - Accent1 4 2 2 2 2 4 3 2" xfId="19689"/>
    <cellStyle name="40% - Accent1 4 2 2 2 2 4 3 3" xfId="19690"/>
    <cellStyle name="40% - Accent1 4 2 2 2 2 4 4" xfId="19691"/>
    <cellStyle name="40% - Accent1 4 2 2 2 2 4 4 2" xfId="19692"/>
    <cellStyle name="40% - Accent1 4 2 2 2 2 4 5" xfId="19693"/>
    <cellStyle name="40% - Accent1 4 2 2 2 2 4 6" xfId="19694"/>
    <cellStyle name="40% - Accent1 4 2 2 2 2 5" xfId="19695"/>
    <cellStyle name="40% - Accent1 4 2 2 2 2 5 2" xfId="19696"/>
    <cellStyle name="40% - Accent1 4 2 2 2 2 5 2 2" xfId="19697"/>
    <cellStyle name="40% - Accent1 4 2 2 2 2 5 2 3" xfId="19698"/>
    <cellStyle name="40% - Accent1 4 2 2 2 2 5 3" xfId="19699"/>
    <cellStyle name="40% - Accent1 4 2 2 2 2 5 3 2" xfId="19700"/>
    <cellStyle name="40% - Accent1 4 2 2 2 2 5 4" xfId="19701"/>
    <cellStyle name="40% - Accent1 4 2 2 2 2 5 5" xfId="19702"/>
    <cellStyle name="40% - Accent1 4 2 2 2 2 6" xfId="19703"/>
    <cellStyle name="40% - Accent1 4 2 2 2 2 6 2" xfId="19704"/>
    <cellStyle name="40% - Accent1 4 2 2 2 2 6 3" xfId="19705"/>
    <cellStyle name="40% - Accent1 4 2 2 2 2 7" xfId="19706"/>
    <cellStyle name="40% - Accent1 4 2 2 2 2 7 2" xfId="19707"/>
    <cellStyle name="40% - Accent1 4 2 2 2 2 7 3" xfId="19708"/>
    <cellStyle name="40% - Accent1 4 2 2 2 2 8" xfId="19709"/>
    <cellStyle name="40% - Accent1 4 2 2 2 2 8 2" xfId="19710"/>
    <cellStyle name="40% - Accent1 4 2 2 2 2 9" xfId="19711"/>
    <cellStyle name="40% - Accent1 4 2 2 2 3" xfId="1568"/>
    <cellStyle name="40% - Accent1 4 2 2 2 3 2" xfId="19712"/>
    <cellStyle name="40% - Accent1 4 2 2 2 3 2 2" xfId="19713"/>
    <cellStyle name="40% - Accent1 4 2 2 2 3 2 2 2" xfId="19714"/>
    <cellStyle name="40% - Accent1 4 2 2 2 3 2 2 3" xfId="19715"/>
    <cellStyle name="40% - Accent1 4 2 2 2 3 2 3" xfId="19716"/>
    <cellStyle name="40% - Accent1 4 2 2 2 3 2 3 2" xfId="19717"/>
    <cellStyle name="40% - Accent1 4 2 2 2 3 2 3 3" xfId="19718"/>
    <cellStyle name="40% - Accent1 4 2 2 2 3 2 4" xfId="19719"/>
    <cellStyle name="40% - Accent1 4 2 2 2 3 2 4 2" xfId="19720"/>
    <cellStyle name="40% - Accent1 4 2 2 2 3 2 5" xfId="19721"/>
    <cellStyle name="40% - Accent1 4 2 2 2 3 2 6" xfId="19722"/>
    <cellStyle name="40% - Accent1 4 2 2 2 3 3" xfId="19723"/>
    <cellStyle name="40% - Accent1 4 2 2 2 3 3 2" xfId="19724"/>
    <cellStyle name="40% - Accent1 4 2 2 2 3 3 2 2" xfId="19725"/>
    <cellStyle name="40% - Accent1 4 2 2 2 3 3 2 3" xfId="19726"/>
    <cellStyle name="40% - Accent1 4 2 2 2 3 3 3" xfId="19727"/>
    <cellStyle name="40% - Accent1 4 2 2 2 3 3 3 2" xfId="19728"/>
    <cellStyle name="40% - Accent1 4 2 2 2 3 3 3 3" xfId="19729"/>
    <cellStyle name="40% - Accent1 4 2 2 2 3 3 4" xfId="19730"/>
    <cellStyle name="40% - Accent1 4 2 2 2 3 3 4 2" xfId="19731"/>
    <cellStyle name="40% - Accent1 4 2 2 2 3 3 5" xfId="19732"/>
    <cellStyle name="40% - Accent1 4 2 2 2 3 3 6" xfId="19733"/>
    <cellStyle name="40% - Accent1 4 2 2 2 3 4" xfId="19734"/>
    <cellStyle name="40% - Accent1 4 2 2 2 3 4 2" xfId="19735"/>
    <cellStyle name="40% - Accent1 4 2 2 2 3 4 2 2" xfId="19736"/>
    <cellStyle name="40% - Accent1 4 2 2 2 3 4 2 3" xfId="19737"/>
    <cellStyle name="40% - Accent1 4 2 2 2 3 4 3" xfId="19738"/>
    <cellStyle name="40% - Accent1 4 2 2 2 3 4 3 2" xfId="19739"/>
    <cellStyle name="40% - Accent1 4 2 2 2 3 4 4" xfId="19740"/>
    <cellStyle name="40% - Accent1 4 2 2 2 3 4 5" xfId="19741"/>
    <cellStyle name="40% - Accent1 4 2 2 2 3 5" xfId="19742"/>
    <cellStyle name="40% - Accent1 4 2 2 2 3 5 2" xfId="19743"/>
    <cellStyle name="40% - Accent1 4 2 2 2 3 5 3" xfId="19744"/>
    <cellStyle name="40% - Accent1 4 2 2 2 3 6" xfId="19745"/>
    <cellStyle name="40% - Accent1 4 2 2 2 3 6 2" xfId="19746"/>
    <cellStyle name="40% - Accent1 4 2 2 2 3 6 3" xfId="19747"/>
    <cellStyle name="40% - Accent1 4 2 2 2 3 7" xfId="19748"/>
    <cellStyle name="40% - Accent1 4 2 2 2 3 7 2" xfId="19749"/>
    <cellStyle name="40% - Accent1 4 2 2 2 3 8" xfId="19750"/>
    <cellStyle name="40% - Accent1 4 2 2 2 3 9" xfId="19751"/>
    <cellStyle name="40% - Accent1 4 2 2 2 4" xfId="19752"/>
    <cellStyle name="40% - Accent1 4 2 2 2 4 2" xfId="19753"/>
    <cellStyle name="40% - Accent1 4 2 2 2 4 2 2" xfId="19754"/>
    <cellStyle name="40% - Accent1 4 2 2 2 4 2 2 2" xfId="19755"/>
    <cellStyle name="40% - Accent1 4 2 2 2 4 2 2 3" xfId="19756"/>
    <cellStyle name="40% - Accent1 4 2 2 2 4 2 3" xfId="19757"/>
    <cellStyle name="40% - Accent1 4 2 2 2 4 2 3 2" xfId="19758"/>
    <cellStyle name="40% - Accent1 4 2 2 2 4 2 3 3" xfId="19759"/>
    <cellStyle name="40% - Accent1 4 2 2 2 4 2 4" xfId="19760"/>
    <cellStyle name="40% - Accent1 4 2 2 2 4 2 4 2" xfId="19761"/>
    <cellStyle name="40% - Accent1 4 2 2 2 4 2 5" xfId="19762"/>
    <cellStyle name="40% - Accent1 4 2 2 2 4 2 6" xfId="19763"/>
    <cellStyle name="40% - Accent1 4 2 2 2 4 3" xfId="19764"/>
    <cellStyle name="40% - Accent1 4 2 2 2 4 3 2" xfId="19765"/>
    <cellStyle name="40% - Accent1 4 2 2 2 4 3 2 2" xfId="19766"/>
    <cellStyle name="40% - Accent1 4 2 2 2 4 3 2 3" xfId="19767"/>
    <cellStyle name="40% - Accent1 4 2 2 2 4 3 3" xfId="19768"/>
    <cellStyle name="40% - Accent1 4 2 2 2 4 3 3 2" xfId="19769"/>
    <cellStyle name="40% - Accent1 4 2 2 2 4 3 3 3" xfId="19770"/>
    <cellStyle name="40% - Accent1 4 2 2 2 4 3 4" xfId="19771"/>
    <cellStyle name="40% - Accent1 4 2 2 2 4 3 4 2" xfId="19772"/>
    <cellStyle name="40% - Accent1 4 2 2 2 4 3 5" xfId="19773"/>
    <cellStyle name="40% - Accent1 4 2 2 2 4 3 6" xfId="19774"/>
    <cellStyle name="40% - Accent1 4 2 2 2 4 4" xfId="19775"/>
    <cellStyle name="40% - Accent1 4 2 2 2 4 4 2" xfId="19776"/>
    <cellStyle name="40% - Accent1 4 2 2 2 4 4 2 2" xfId="19777"/>
    <cellStyle name="40% - Accent1 4 2 2 2 4 4 2 3" xfId="19778"/>
    <cellStyle name="40% - Accent1 4 2 2 2 4 4 3" xfId="19779"/>
    <cellStyle name="40% - Accent1 4 2 2 2 4 4 3 2" xfId="19780"/>
    <cellStyle name="40% - Accent1 4 2 2 2 4 4 4" xfId="19781"/>
    <cellStyle name="40% - Accent1 4 2 2 2 4 4 5" xfId="19782"/>
    <cellStyle name="40% - Accent1 4 2 2 2 4 5" xfId="19783"/>
    <cellStyle name="40% - Accent1 4 2 2 2 4 5 2" xfId="19784"/>
    <cellStyle name="40% - Accent1 4 2 2 2 4 5 3" xfId="19785"/>
    <cellStyle name="40% - Accent1 4 2 2 2 4 6" xfId="19786"/>
    <cellStyle name="40% - Accent1 4 2 2 2 4 6 2" xfId="19787"/>
    <cellStyle name="40% - Accent1 4 2 2 2 4 6 3" xfId="19788"/>
    <cellStyle name="40% - Accent1 4 2 2 2 4 7" xfId="19789"/>
    <cellStyle name="40% - Accent1 4 2 2 2 4 7 2" xfId="19790"/>
    <cellStyle name="40% - Accent1 4 2 2 2 4 8" xfId="19791"/>
    <cellStyle name="40% - Accent1 4 2 2 2 4 9" xfId="19792"/>
    <cellStyle name="40% - Accent1 4 2 2 2 5" xfId="19793"/>
    <cellStyle name="40% - Accent1 4 2 2 2 5 2" xfId="19794"/>
    <cellStyle name="40% - Accent1 4 2 2 2 5 2 2" xfId="19795"/>
    <cellStyle name="40% - Accent1 4 2 2 2 5 2 3" xfId="19796"/>
    <cellStyle name="40% - Accent1 4 2 2 2 5 3" xfId="19797"/>
    <cellStyle name="40% - Accent1 4 2 2 2 5 3 2" xfId="19798"/>
    <cellStyle name="40% - Accent1 4 2 2 2 5 3 3" xfId="19799"/>
    <cellStyle name="40% - Accent1 4 2 2 2 5 4" xfId="19800"/>
    <cellStyle name="40% - Accent1 4 2 2 2 5 4 2" xfId="19801"/>
    <cellStyle name="40% - Accent1 4 2 2 2 5 5" xfId="19802"/>
    <cellStyle name="40% - Accent1 4 2 2 2 5 6" xfId="19803"/>
    <cellStyle name="40% - Accent1 4 2 2 2 6" xfId="19804"/>
    <cellStyle name="40% - Accent1 4 2 2 2 6 2" xfId="19805"/>
    <cellStyle name="40% - Accent1 4 2 2 2 6 2 2" xfId="19806"/>
    <cellStyle name="40% - Accent1 4 2 2 2 6 2 3" xfId="19807"/>
    <cellStyle name="40% - Accent1 4 2 2 2 6 3" xfId="19808"/>
    <cellStyle name="40% - Accent1 4 2 2 2 6 3 2" xfId="19809"/>
    <cellStyle name="40% - Accent1 4 2 2 2 6 3 3" xfId="19810"/>
    <cellStyle name="40% - Accent1 4 2 2 2 6 4" xfId="19811"/>
    <cellStyle name="40% - Accent1 4 2 2 2 6 4 2" xfId="19812"/>
    <cellStyle name="40% - Accent1 4 2 2 2 6 5" xfId="19813"/>
    <cellStyle name="40% - Accent1 4 2 2 2 6 6" xfId="19814"/>
    <cellStyle name="40% - Accent1 4 2 2 2 7" xfId="19815"/>
    <cellStyle name="40% - Accent1 4 2 2 2 7 2" xfId="19816"/>
    <cellStyle name="40% - Accent1 4 2 2 2 7 2 2" xfId="19817"/>
    <cellStyle name="40% - Accent1 4 2 2 2 7 2 3" xfId="19818"/>
    <cellStyle name="40% - Accent1 4 2 2 2 7 3" xfId="19819"/>
    <cellStyle name="40% - Accent1 4 2 2 2 7 3 2" xfId="19820"/>
    <cellStyle name="40% - Accent1 4 2 2 2 7 4" xfId="19821"/>
    <cellStyle name="40% - Accent1 4 2 2 2 7 5" xfId="19822"/>
    <cellStyle name="40% - Accent1 4 2 2 2 8" xfId="19823"/>
    <cellStyle name="40% - Accent1 4 2 2 2 8 2" xfId="19824"/>
    <cellStyle name="40% - Accent1 4 2 2 2 8 3" xfId="19825"/>
    <cellStyle name="40% - Accent1 4 2 2 2 9" xfId="19826"/>
    <cellStyle name="40% - Accent1 4 2 2 2 9 2" xfId="19827"/>
    <cellStyle name="40% - Accent1 4 2 2 2 9 3" xfId="19828"/>
    <cellStyle name="40% - Accent1 4 2 2 3" xfId="1569"/>
    <cellStyle name="40% - Accent1 4 2 2 3 10" xfId="19829"/>
    <cellStyle name="40% - Accent1 4 2 2 3 2" xfId="1570"/>
    <cellStyle name="40% - Accent1 4 2 2 3 2 2" xfId="19830"/>
    <cellStyle name="40% - Accent1 4 2 2 3 2 2 2" xfId="19831"/>
    <cellStyle name="40% - Accent1 4 2 2 3 2 2 2 2" xfId="19832"/>
    <cellStyle name="40% - Accent1 4 2 2 3 2 2 2 3" xfId="19833"/>
    <cellStyle name="40% - Accent1 4 2 2 3 2 2 3" xfId="19834"/>
    <cellStyle name="40% - Accent1 4 2 2 3 2 2 3 2" xfId="19835"/>
    <cellStyle name="40% - Accent1 4 2 2 3 2 2 3 3" xfId="19836"/>
    <cellStyle name="40% - Accent1 4 2 2 3 2 2 4" xfId="19837"/>
    <cellStyle name="40% - Accent1 4 2 2 3 2 2 4 2" xfId="19838"/>
    <cellStyle name="40% - Accent1 4 2 2 3 2 2 5" xfId="19839"/>
    <cellStyle name="40% - Accent1 4 2 2 3 2 2 6" xfId="19840"/>
    <cellStyle name="40% - Accent1 4 2 2 3 2 3" xfId="19841"/>
    <cellStyle name="40% - Accent1 4 2 2 3 2 3 2" xfId="19842"/>
    <cellStyle name="40% - Accent1 4 2 2 3 2 3 2 2" xfId="19843"/>
    <cellStyle name="40% - Accent1 4 2 2 3 2 3 2 3" xfId="19844"/>
    <cellStyle name="40% - Accent1 4 2 2 3 2 3 3" xfId="19845"/>
    <cellStyle name="40% - Accent1 4 2 2 3 2 3 3 2" xfId="19846"/>
    <cellStyle name="40% - Accent1 4 2 2 3 2 3 3 3" xfId="19847"/>
    <cellStyle name="40% - Accent1 4 2 2 3 2 3 4" xfId="19848"/>
    <cellStyle name="40% - Accent1 4 2 2 3 2 3 4 2" xfId="19849"/>
    <cellStyle name="40% - Accent1 4 2 2 3 2 3 5" xfId="19850"/>
    <cellStyle name="40% - Accent1 4 2 2 3 2 3 6" xfId="19851"/>
    <cellStyle name="40% - Accent1 4 2 2 3 2 4" xfId="19852"/>
    <cellStyle name="40% - Accent1 4 2 2 3 2 4 2" xfId="19853"/>
    <cellStyle name="40% - Accent1 4 2 2 3 2 4 2 2" xfId="19854"/>
    <cellStyle name="40% - Accent1 4 2 2 3 2 4 2 3" xfId="19855"/>
    <cellStyle name="40% - Accent1 4 2 2 3 2 4 3" xfId="19856"/>
    <cellStyle name="40% - Accent1 4 2 2 3 2 4 3 2" xfId="19857"/>
    <cellStyle name="40% - Accent1 4 2 2 3 2 4 4" xfId="19858"/>
    <cellStyle name="40% - Accent1 4 2 2 3 2 4 5" xfId="19859"/>
    <cellStyle name="40% - Accent1 4 2 2 3 2 5" xfId="19860"/>
    <cellStyle name="40% - Accent1 4 2 2 3 2 5 2" xfId="19861"/>
    <cellStyle name="40% - Accent1 4 2 2 3 2 5 3" xfId="19862"/>
    <cellStyle name="40% - Accent1 4 2 2 3 2 6" xfId="19863"/>
    <cellStyle name="40% - Accent1 4 2 2 3 2 6 2" xfId="19864"/>
    <cellStyle name="40% - Accent1 4 2 2 3 2 6 3" xfId="19865"/>
    <cellStyle name="40% - Accent1 4 2 2 3 2 7" xfId="19866"/>
    <cellStyle name="40% - Accent1 4 2 2 3 2 7 2" xfId="19867"/>
    <cellStyle name="40% - Accent1 4 2 2 3 2 8" xfId="19868"/>
    <cellStyle name="40% - Accent1 4 2 2 3 2 9" xfId="19869"/>
    <cellStyle name="40% - Accent1 4 2 2 3 3" xfId="19870"/>
    <cellStyle name="40% - Accent1 4 2 2 3 3 2" xfId="19871"/>
    <cellStyle name="40% - Accent1 4 2 2 3 3 2 2" xfId="19872"/>
    <cellStyle name="40% - Accent1 4 2 2 3 3 2 3" xfId="19873"/>
    <cellStyle name="40% - Accent1 4 2 2 3 3 3" xfId="19874"/>
    <cellStyle name="40% - Accent1 4 2 2 3 3 3 2" xfId="19875"/>
    <cellStyle name="40% - Accent1 4 2 2 3 3 3 3" xfId="19876"/>
    <cellStyle name="40% - Accent1 4 2 2 3 3 4" xfId="19877"/>
    <cellStyle name="40% - Accent1 4 2 2 3 3 4 2" xfId="19878"/>
    <cellStyle name="40% - Accent1 4 2 2 3 3 5" xfId="19879"/>
    <cellStyle name="40% - Accent1 4 2 2 3 3 6" xfId="19880"/>
    <cellStyle name="40% - Accent1 4 2 2 3 4" xfId="19881"/>
    <cellStyle name="40% - Accent1 4 2 2 3 4 2" xfId="19882"/>
    <cellStyle name="40% - Accent1 4 2 2 3 4 2 2" xfId="19883"/>
    <cellStyle name="40% - Accent1 4 2 2 3 4 2 3" xfId="19884"/>
    <cellStyle name="40% - Accent1 4 2 2 3 4 3" xfId="19885"/>
    <cellStyle name="40% - Accent1 4 2 2 3 4 3 2" xfId="19886"/>
    <cellStyle name="40% - Accent1 4 2 2 3 4 3 3" xfId="19887"/>
    <cellStyle name="40% - Accent1 4 2 2 3 4 4" xfId="19888"/>
    <cellStyle name="40% - Accent1 4 2 2 3 4 4 2" xfId="19889"/>
    <cellStyle name="40% - Accent1 4 2 2 3 4 5" xfId="19890"/>
    <cellStyle name="40% - Accent1 4 2 2 3 4 6" xfId="19891"/>
    <cellStyle name="40% - Accent1 4 2 2 3 5" xfId="19892"/>
    <cellStyle name="40% - Accent1 4 2 2 3 5 2" xfId="19893"/>
    <cellStyle name="40% - Accent1 4 2 2 3 5 2 2" xfId="19894"/>
    <cellStyle name="40% - Accent1 4 2 2 3 5 2 3" xfId="19895"/>
    <cellStyle name="40% - Accent1 4 2 2 3 5 3" xfId="19896"/>
    <cellStyle name="40% - Accent1 4 2 2 3 5 3 2" xfId="19897"/>
    <cellStyle name="40% - Accent1 4 2 2 3 5 4" xfId="19898"/>
    <cellStyle name="40% - Accent1 4 2 2 3 5 5" xfId="19899"/>
    <cellStyle name="40% - Accent1 4 2 2 3 6" xfId="19900"/>
    <cellStyle name="40% - Accent1 4 2 2 3 6 2" xfId="19901"/>
    <cellStyle name="40% - Accent1 4 2 2 3 6 3" xfId="19902"/>
    <cellStyle name="40% - Accent1 4 2 2 3 7" xfId="19903"/>
    <cellStyle name="40% - Accent1 4 2 2 3 7 2" xfId="19904"/>
    <cellStyle name="40% - Accent1 4 2 2 3 7 3" xfId="19905"/>
    <cellStyle name="40% - Accent1 4 2 2 3 8" xfId="19906"/>
    <cellStyle name="40% - Accent1 4 2 2 3 8 2" xfId="19907"/>
    <cellStyle name="40% - Accent1 4 2 2 3 9" xfId="19908"/>
    <cellStyle name="40% - Accent1 4 2 2 4" xfId="1571"/>
    <cellStyle name="40% - Accent1 4 2 2 4 2" xfId="19909"/>
    <cellStyle name="40% - Accent1 4 2 2 4 2 2" xfId="19910"/>
    <cellStyle name="40% - Accent1 4 2 2 4 2 2 2" xfId="19911"/>
    <cellStyle name="40% - Accent1 4 2 2 4 2 2 3" xfId="19912"/>
    <cellStyle name="40% - Accent1 4 2 2 4 2 3" xfId="19913"/>
    <cellStyle name="40% - Accent1 4 2 2 4 2 3 2" xfId="19914"/>
    <cellStyle name="40% - Accent1 4 2 2 4 2 3 3" xfId="19915"/>
    <cellStyle name="40% - Accent1 4 2 2 4 2 4" xfId="19916"/>
    <cellStyle name="40% - Accent1 4 2 2 4 2 4 2" xfId="19917"/>
    <cellStyle name="40% - Accent1 4 2 2 4 2 5" xfId="19918"/>
    <cellStyle name="40% - Accent1 4 2 2 4 2 6" xfId="19919"/>
    <cellStyle name="40% - Accent1 4 2 2 4 3" xfId="19920"/>
    <cellStyle name="40% - Accent1 4 2 2 4 3 2" xfId="19921"/>
    <cellStyle name="40% - Accent1 4 2 2 4 3 2 2" xfId="19922"/>
    <cellStyle name="40% - Accent1 4 2 2 4 3 2 3" xfId="19923"/>
    <cellStyle name="40% - Accent1 4 2 2 4 3 3" xfId="19924"/>
    <cellStyle name="40% - Accent1 4 2 2 4 3 3 2" xfId="19925"/>
    <cellStyle name="40% - Accent1 4 2 2 4 3 3 3" xfId="19926"/>
    <cellStyle name="40% - Accent1 4 2 2 4 3 4" xfId="19927"/>
    <cellStyle name="40% - Accent1 4 2 2 4 3 4 2" xfId="19928"/>
    <cellStyle name="40% - Accent1 4 2 2 4 3 5" xfId="19929"/>
    <cellStyle name="40% - Accent1 4 2 2 4 3 6" xfId="19930"/>
    <cellStyle name="40% - Accent1 4 2 2 4 4" xfId="19931"/>
    <cellStyle name="40% - Accent1 4 2 2 4 4 2" xfId="19932"/>
    <cellStyle name="40% - Accent1 4 2 2 4 4 2 2" xfId="19933"/>
    <cellStyle name="40% - Accent1 4 2 2 4 4 2 3" xfId="19934"/>
    <cellStyle name="40% - Accent1 4 2 2 4 4 3" xfId="19935"/>
    <cellStyle name="40% - Accent1 4 2 2 4 4 3 2" xfId="19936"/>
    <cellStyle name="40% - Accent1 4 2 2 4 4 4" xfId="19937"/>
    <cellStyle name="40% - Accent1 4 2 2 4 4 5" xfId="19938"/>
    <cellStyle name="40% - Accent1 4 2 2 4 5" xfId="19939"/>
    <cellStyle name="40% - Accent1 4 2 2 4 5 2" xfId="19940"/>
    <cellStyle name="40% - Accent1 4 2 2 4 5 3" xfId="19941"/>
    <cellStyle name="40% - Accent1 4 2 2 4 6" xfId="19942"/>
    <cellStyle name="40% - Accent1 4 2 2 4 6 2" xfId="19943"/>
    <cellStyle name="40% - Accent1 4 2 2 4 6 3" xfId="19944"/>
    <cellStyle name="40% - Accent1 4 2 2 4 7" xfId="19945"/>
    <cellStyle name="40% - Accent1 4 2 2 4 7 2" xfId="19946"/>
    <cellStyle name="40% - Accent1 4 2 2 4 8" xfId="19947"/>
    <cellStyle name="40% - Accent1 4 2 2 4 9" xfId="19948"/>
    <cellStyle name="40% - Accent1 4 2 2 5" xfId="19949"/>
    <cellStyle name="40% - Accent1 4 2 2 5 2" xfId="19950"/>
    <cellStyle name="40% - Accent1 4 2 2 5 2 2" xfId="19951"/>
    <cellStyle name="40% - Accent1 4 2 2 5 2 2 2" xfId="19952"/>
    <cellStyle name="40% - Accent1 4 2 2 5 2 2 3" xfId="19953"/>
    <cellStyle name="40% - Accent1 4 2 2 5 2 3" xfId="19954"/>
    <cellStyle name="40% - Accent1 4 2 2 5 2 3 2" xfId="19955"/>
    <cellStyle name="40% - Accent1 4 2 2 5 2 3 3" xfId="19956"/>
    <cellStyle name="40% - Accent1 4 2 2 5 2 4" xfId="19957"/>
    <cellStyle name="40% - Accent1 4 2 2 5 2 4 2" xfId="19958"/>
    <cellStyle name="40% - Accent1 4 2 2 5 2 5" xfId="19959"/>
    <cellStyle name="40% - Accent1 4 2 2 5 2 6" xfId="19960"/>
    <cellStyle name="40% - Accent1 4 2 2 5 3" xfId="19961"/>
    <cellStyle name="40% - Accent1 4 2 2 5 3 2" xfId="19962"/>
    <cellStyle name="40% - Accent1 4 2 2 5 3 2 2" xfId="19963"/>
    <cellStyle name="40% - Accent1 4 2 2 5 3 2 3" xfId="19964"/>
    <cellStyle name="40% - Accent1 4 2 2 5 3 3" xfId="19965"/>
    <cellStyle name="40% - Accent1 4 2 2 5 3 3 2" xfId="19966"/>
    <cellStyle name="40% - Accent1 4 2 2 5 3 3 3" xfId="19967"/>
    <cellStyle name="40% - Accent1 4 2 2 5 3 4" xfId="19968"/>
    <cellStyle name="40% - Accent1 4 2 2 5 3 4 2" xfId="19969"/>
    <cellStyle name="40% - Accent1 4 2 2 5 3 5" xfId="19970"/>
    <cellStyle name="40% - Accent1 4 2 2 5 3 6" xfId="19971"/>
    <cellStyle name="40% - Accent1 4 2 2 5 4" xfId="19972"/>
    <cellStyle name="40% - Accent1 4 2 2 5 4 2" xfId="19973"/>
    <cellStyle name="40% - Accent1 4 2 2 5 4 2 2" xfId="19974"/>
    <cellStyle name="40% - Accent1 4 2 2 5 4 2 3" xfId="19975"/>
    <cellStyle name="40% - Accent1 4 2 2 5 4 3" xfId="19976"/>
    <cellStyle name="40% - Accent1 4 2 2 5 4 3 2" xfId="19977"/>
    <cellStyle name="40% - Accent1 4 2 2 5 4 4" xfId="19978"/>
    <cellStyle name="40% - Accent1 4 2 2 5 4 5" xfId="19979"/>
    <cellStyle name="40% - Accent1 4 2 2 5 5" xfId="19980"/>
    <cellStyle name="40% - Accent1 4 2 2 5 5 2" xfId="19981"/>
    <cellStyle name="40% - Accent1 4 2 2 5 5 3" xfId="19982"/>
    <cellStyle name="40% - Accent1 4 2 2 5 6" xfId="19983"/>
    <cellStyle name="40% - Accent1 4 2 2 5 6 2" xfId="19984"/>
    <cellStyle name="40% - Accent1 4 2 2 5 6 3" xfId="19985"/>
    <cellStyle name="40% - Accent1 4 2 2 5 7" xfId="19986"/>
    <cellStyle name="40% - Accent1 4 2 2 5 7 2" xfId="19987"/>
    <cellStyle name="40% - Accent1 4 2 2 5 8" xfId="19988"/>
    <cellStyle name="40% - Accent1 4 2 2 5 9" xfId="19989"/>
    <cellStyle name="40% - Accent1 4 2 2 6" xfId="19990"/>
    <cellStyle name="40% - Accent1 4 2 2 6 2" xfId="19991"/>
    <cellStyle name="40% - Accent1 4 2 2 6 2 2" xfId="19992"/>
    <cellStyle name="40% - Accent1 4 2 2 6 2 3" xfId="19993"/>
    <cellStyle name="40% - Accent1 4 2 2 6 3" xfId="19994"/>
    <cellStyle name="40% - Accent1 4 2 2 6 3 2" xfId="19995"/>
    <cellStyle name="40% - Accent1 4 2 2 6 3 3" xfId="19996"/>
    <cellStyle name="40% - Accent1 4 2 2 6 4" xfId="19997"/>
    <cellStyle name="40% - Accent1 4 2 2 6 4 2" xfId="19998"/>
    <cellStyle name="40% - Accent1 4 2 2 6 5" xfId="19999"/>
    <cellStyle name="40% - Accent1 4 2 2 6 6" xfId="20000"/>
    <cellStyle name="40% - Accent1 4 2 2 7" xfId="20001"/>
    <cellStyle name="40% - Accent1 4 2 2 7 2" xfId="20002"/>
    <cellStyle name="40% - Accent1 4 2 2 7 2 2" xfId="20003"/>
    <cellStyle name="40% - Accent1 4 2 2 7 2 3" xfId="20004"/>
    <cellStyle name="40% - Accent1 4 2 2 7 3" xfId="20005"/>
    <cellStyle name="40% - Accent1 4 2 2 7 3 2" xfId="20006"/>
    <cellStyle name="40% - Accent1 4 2 2 7 3 3" xfId="20007"/>
    <cellStyle name="40% - Accent1 4 2 2 7 4" xfId="20008"/>
    <cellStyle name="40% - Accent1 4 2 2 7 4 2" xfId="20009"/>
    <cellStyle name="40% - Accent1 4 2 2 7 5" xfId="20010"/>
    <cellStyle name="40% - Accent1 4 2 2 7 6" xfId="20011"/>
    <cellStyle name="40% - Accent1 4 2 2 8" xfId="20012"/>
    <cellStyle name="40% - Accent1 4 2 2 8 2" xfId="20013"/>
    <cellStyle name="40% - Accent1 4 2 2 8 2 2" xfId="20014"/>
    <cellStyle name="40% - Accent1 4 2 2 8 2 3" xfId="20015"/>
    <cellStyle name="40% - Accent1 4 2 2 8 3" xfId="20016"/>
    <cellStyle name="40% - Accent1 4 2 2 8 3 2" xfId="20017"/>
    <cellStyle name="40% - Accent1 4 2 2 8 4" xfId="20018"/>
    <cellStyle name="40% - Accent1 4 2 2 8 5" xfId="20019"/>
    <cellStyle name="40% - Accent1 4 2 2 9" xfId="20020"/>
    <cellStyle name="40% - Accent1 4 2 2 9 2" xfId="20021"/>
    <cellStyle name="40% - Accent1 4 2 2 9 3" xfId="20022"/>
    <cellStyle name="40% - Accent1 4 2 3" xfId="1572"/>
    <cellStyle name="40% - Accent1 4 2 3 10" xfId="20023"/>
    <cellStyle name="40% - Accent1 4 2 3 10 2" xfId="20024"/>
    <cellStyle name="40% - Accent1 4 2 3 11" xfId="20025"/>
    <cellStyle name="40% - Accent1 4 2 3 12" xfId="20026"/>
    <cellStyle name="40% - Accent1 4 2 3 2" xfId="1573"/>
    <cellStyle name="40% - Accent1 4 2 3 2 10" xfId="20027"/>
    <cellStyle name="40% - Accent1 4 2 3 2 2" xfId="1574"/>
    <cellStyle name="40% - Accent1 4 2 3 2 2 2" xfId="20028"/>
    <cellStyle name="40% - Accent1 4 2 3 2 2 2 2" xfId="20029"/>
    <cellStyle name="40% - Accent1 4 2 3 2 2 2 2 2" xfId="20030"/>
    <cellStyle name="40% - Accent1 4 2 3 2 2 2 2 3" xfId="20031"/>
    <cellStyle name="40% - Accent1 4 2 3 2 2 2 3" xfId="20032"/>
    <cellStyle name="40% - Accent1 4 2 3 2 2 2 3 2" xfId="20033"/>
    <cellStyle name="40% - Accent1 4 2 3 2 2 2 3 3" xfId="20034"/>
    <cellStyle name="40% - Accent1 4 2 3 2 2 2 4" xfId="20035"/>
    <cellStyle name="40% - Accent1 4 2 3 2 2 2 4 2" xfId="20036"/>
    <cellStyle name="40% - Accent1 4 2 3 2 2 2 5" xfId="20037"/>
    <cellStyle name="40% - Accent1 4 2 3 2 2 2 6" xfId="20038"/>
    <cellStyle name="40% - Accent1 4 2 3 2 2 3" xfId="20039"/>
    <cellStyle name="40% - Accent1 4 2 3 2 2 3 2" xfId="20040"/>
    <cellStyle name="40% - Accent1 4 2 3 2 2 3 2 2" xfId="20041"/>
    <cellStyle name="40% - Accent1 4 2 3 2 2 3 2 3" xfId="20042"/>
    <cellStyle name="40% - Accent1 4 2 3 2 2 3 3" xfId="20043"/>
    <cellStyle name="40% - Accent1 4 2 3 2 2 3 3 2" xfId="20044"/>
    <cellStyle name="40% - Accent1 4 2 3 2 2 3 3 3" xfId="20045"/>
    <cellStyle name="40% - Accent1 4 2 3 2 2 3 4" xfId="20046"/>
    <cellStyle name="40% - Accent1 4 2 3 2 2 3 4 2" xfId="20047"/>
    <cellStyle name="40% - Accent1 4 2 3 2 2 3 5" xfId="20048"/>
    <cellStyle name="40% - Accent1 4 2 3 2 2 3 6" xfId="20049"/>
    <cellStyle name="40% - Accent1 4 2 3 2 2 4" xfId="20050"/>
    <cellStyle name="40% - Accent1 4 2 3 2 2 4 2" xfId="20051"/>
    <cellStyle name="40% - Accent1 4 2 3 2 2 4 2 2" xfId="20052"/>
    <cellStyle name="40% - Accent1 4 2 3 2 2 4 2 3" xfId="20053"/>
    <cellStyle name="40% - Accent1 4 2 3 2 2 4 3" xfId="20054"/>
    <cellStyle name="40% - Accent1 4 2 3 2 2 4 3 2" xfId="20055"/>
    <cellStyle name="40% - Accent1 4 2 3 2 2 4 4" xfId="20056"/>
    <cellStyle name="40% - Accent1 4 2 3 2 2 4 5" xfId="20057"/>
    <cellStyle name="40% - Accent1 4 2 3 2 2 5" xfId="20058"/>
    <cellStyle name="40% - Accent1 4 2 3 2 2 5 2" xfId="20059"/>
    <cellStyle name="40% - Accent1 4 2 3 2 2 5 3" xfId="20060"/>
    <cellStyle name="40% - Accent1 4 2 3 2 2 6" xfId="20061"/>
    <cellStyle name="40% - Accent1 4 2 3 2 2 6 2" xfId="20062"/>
    <cellStyle name="40% - Accent1 4 2 3 2 2 6 3" xfId="20063"/>
    <cellStyle name="40% - Accent1 4 2 3 2 2 7" xfId="20064"/>
    <cellStyle name="40% - Accent1 4 2 3 2 2 7 2" xfId="20065"/>
    <cellStyle name="40% - Accent1 4 2 3 2 2 8" xfId="20066"/>
    <cellStyle name="40% - Accent1 4 2 3 2 2 9" xfId="20067"/>
    <cellStyle name="40% - Accent1 4 2 3 2 3" xfId="20068"/>
    <cellStyle name="40% - Accent1 4 2 3 2 3 2" xfId="20069"/>
    <cellStyle name="40% - Accent1 4 2 3 2 3 2 2" xfId="20070"/>
    <cellStyle name="40% - Accent1 4 2 3 2 3 2 3" xfId="20071"/>
    <cellStyle name="40% - Accent1 4 2 3 2 3 3" xfId="20072"/>
    <cellStyle name="40% - Accent1 4 2 3 2 3 3 2" xfId="20073"/>
    <cellStyle name="40% - Accent1 4 2 3 2 3 3 3" xfId="20074"/>
    <cellStyle name="40% - Accent1 4 2 3 2 3 4" xfId="20075"/>
    <cellStyle name="40% - Accent1 4 2 3 2 3 4 2" xfId="20076"/>
    <cellStyle name="40% - Accent1 4 2 3 2 3 5" xfId="20077"/>
    <cellStyle name="40% - Accent1 4 2 3 2 3 6" xfId="20078"/>
    <cellStyle name="40% - Accent1 4 2 3 2 4" xfId="20079"/>
    <cellStyle name="40% - Accent1 4 2 3 2 4 2" xfId="20080"/>
    <cellStyle name="40% - Accent1 4 2 3 2 4 2 2" xfId="20081"/>
    <cellStyle name="40% - Accent1 4 2 3 2 4 2 3" xfId="20082"/>
    <cellStyle name="40% - Accent1 4 2 3 2 4 3" xfId="20083"/>
    <cellStyle name="40% - Accent1 4 2 3 2 4 3 2" xfId="20084"/>
    <cellStyle name="40% - Accent1 4 2 3 2 4 3 3" xfId="20085"/>
    <cellStyle name="40% - Accent1 4 2 3 2 4 4" xfId="20086"/>
    <cellStyle name="40% - Accent1 4 2 3 2 4 4 2" xfId="20087"/>
    <cellStyle name="40% - Accent1 4 2 3 2 4 5" xfId="20088"/>
    <cellStyle name="40% - Accent1 4 2 3 2 4 6" xfId="20089"/>
    <cellStyle name="40% - Accent1 4 2 3 2 5" xfId="20090"/>
    <cellStyle name="40% - Accent1 4 2 3 2 5 2" xfId="20091"/>
    <cellStyle name="40% - Accent1 4 2 3 2 5 2 2" xfId="20092"/>
    <cellStyle name="40% - Accent1 4 2 3 2 5 2 3" xfId="20093"/>
    <cellStyle name="40% - Accent1 4 2 3 2 5 3" xfId="20094"/>
    <cellStyle name="40% - Accent1 4 2 3 2 5 3 2" xfId="20095"/>
    <cellStyle name="40% - Accent1 4 2 3 2 5 4" xfId="20096"/>
    <cellStyle name="40% - Accent1 4 2 3 2 5 5" xfId="20097"/>
    <cellStyle name="40% - Accent1 4 2 3 2 6" xfId="20098"/>
    <cellStyle name="40% - Accent1 4 2 3 2 6 2" xfId="20099"/>
    <cellStyle name="40% - Accent1 4 2 3 2 6 3" xfId="20100"/>
    <cellStyle name="40% - Accent1 4 2 3 2 7" xfId="20101"/>
    <cellStyle name="40% - Accent1 4 2 3 2 7 2" xfId="20102"/>
    <cellStyle name="40% - Accent1 4 2 3 2 7 3" xfId="20103"/>
    <cellStyle name="40% - Accent1 4 2 3 2 8" xfId="20104"/>
    <cellStyle name="40% - Accent1 4 2 3 2 8 2" xfId="20105"/>
    <cellStyle name="40% - Accent1 4 2 3 2 9" xfId="20106"/>
    <cellStyle name="40% - Accent1 4 2 3 3" xfId="1575"/>
    <cellStyle name="40% - Accent1 4 2 3 3 2" xfId="20107"/>
    <cellStyle name="40% - Accent1 4 2 3 3 2 2" xfId="20108"/>
    <cellStyle name="40% - Accent1 4 2 3 3 2 2 2" xfId="20109"/>
    <cellStyle name="40% - Accent1 4 2 3 3 2 2 3" xfId="20110"/>
    <cellStyle name="40% - Accent1 4 2 3 3 2 3" xfId="20111"/>
    <cellStyle name="40% - Accent1 4 2 3 3 2 3 2" xfId="20112"/>
    <cellStyle name="40% - Accent1 4 2 3 3 2 3 3" xfId="20113"/>
    <cellStyle name="40% - Accent1 4 2 3 3 2 4" xfId="20114"/>
    <cellStyle name="40% - Accent1 4 2 3 3 2 4 2" xfId="20115"/>
    <cellStyle name="40% - Accent1 4 2 3 3 2 5" xfId="20116"/>
    <cellStyle name="40% - Accent1 4 2 3 3 2 6" xfId="20117"/>
    <cellStyle name="40% - Accent1 4 2 3 3 3" xfId="20118"/>
    <cellStyle name="40% - Accent1 4 2 3 3 3 2" xfId="20119"/>
    <cellStyle name="40% - Accent1 4 2 3 3 3 2 2" xfId="20120"/>
    <cellStyle name="40% - Accent1 4 2 3 3 3 2 3" xfId="20121"/>
    <cellStyle name="40% - Accent1 4 2 3 3 3 3" xfId="20122"/>
    <cellStyle name="40% - Accent1 4 2 3 3 3 3 2" xfId="20123"/>
    <cellStyle name="40% - Accent1 4 2 3 3 3 3 3" xfId="20124"/>
    <cellStyle name="40% - Accent1 4 2 3 3 3 4" xfId="20125"/>
    <cellStyle name="40% - Accent1 4 2 3 3 3 4 2" xfId="20126"/>
    <cellStyle name="40% - Accent1 4 2 3 3 3 5" xfId="20127"/>
    <cellStyle name="40% - Accent1 4 2 3 3 3 6" xfId="20128"/>
    <cellStyle name="40% - Accent1 4 2 3 3 4" xfId="20129"/>
    <cellStyle name="40% - Accent1 4 2 3 3 4 2" xfId="20130"/>
    <cellStyle name="40% - Accent1 4 2 3 3 4 2 2" xfId="20131"/>
    <cellStyle name="40% - Accent1 4 2 3 3 4 2 3" xfId="20132"/>
    <cellStyle name="40% - Accent1 4 2 3 3 4 3" xfId="20133"/>
    <cellStyle name="40% - Accent1 4 2 3 3 4 3 2" xfId="20134"/>
    <cellStyle name="40% - Accent1 4 2 3 3 4 4" xfId="20135"/>
    <cellStyle name="40% - Accent1 4 2 3 3 4 5" xfId="20136"/>
    <cellStyle name="40% - Accent1 4 2 3 3 5" xfId="20137"/>
    <cellStyle name="40% - Accent1 4 2 3 3 5 2" xfId="20138"/>
    <cellStyle name="40% - Accent1 4 2 3 3 5 3" xfId="20139"/>
    <cellStyle name="40% - Accent1 4 2 3 3 6" xfId="20140"/>
    <cellStyle name="40% - Accent1 4 2 3 3 6 2" xfId="20141"/>
    <cellStyle name="40% - Accent1 4 2 3 3 6 3" xfId="20142"/>
    <cellStyle name="40% - Accent1 4 2 3 3 7" xfId="20143"/>
    <cellStyle name="40% - Accent1 4 2 3 3 7 2" xfId="20144"/>
    <cellStyle name="40% - Accent1 4 2 3 3 8" xfId="20145"/>
    <cellStyle name="40% - Accent1 4 2 3 3 9" xfId="20146"/>
    <cellStyle name="40% - Accent1 4 2 3 4" xfId="20147"/>
    <cellStyle name="40% - Accent1 4 2 3 4 2" xfId="20148"/>
    <cellStyle name="40% - Accent1 4 2 3 4 2 2" xfId="20149"/>
    <cellStyle name="40% - Accent1 4 2 3 4 2 2 2" xfId="20150"/>
    <cellStyle name="40% - Accent1 4 2 3 4 2 2 3" xfId="20151"/>
    <cellStyle name="40% - Accent1 4 2 3 4 2 3" xfId="20152"/>
    <cellStyle name="40% - Accent1 4 2 3 4 2 3 2" xfId="20153"/>
    <cellStyle name="40% - Accent1 4 2 3 4 2 3 3" xfId="20154"/>
    <cellStyle name="40% - Accent1 4 2 3 4 2 4" xfId="20155"/>
    <cellStyle name="40% - Accent1 4 2 3 4 2 4 2" xfId="20156"/>
    <cellStyle name="40% - Accent1 4 2 3 4 2 5" xfId="20157"/>
    <cellStyle name="40% - Accent1 4 2 3 4 2 6" xfId="20158"/>
    <cellStyle name="40% - Accent1 4 2 3 4 3" xfId="20159"/>
    <cellStyle name="40% - Accent1 4 2 3 4 3 2" xfId="20160"/>
    <cellStyle name="40% - Accent1 4 2 3 4 3 2 2" xfId="20161"/>
    <cellStyle name="40% - Accent1 4 2 3 4 3 2 3" xfId="20162"/>
    <cellStyle name="40% - Accent1 4 2 3 4 3 3" xfId="20163"/>
    <cellStyle name="40% - Accent1 4 2 3 4 3 3 2" xfId="20164"/>
    <cellStyle name="40% - Accent1 4 2 3 4 3 3 3" xfId="20165"/>
    <cellStyle name="40% - Accent1 4 2 3 4 3 4" xfId="20166"/>
    <cellStyle name="40% - Accent1 4 2 3 4 3 4 2" xfId="20167"/>
    <cellStyle name="40% - Accent1 4 2 3 4 3 5" xfId="20168"/>
    <cellStyle name="40% - Accent1 4 2 3 4 3 6" xfId="20169"/>
    <cellStyle name="40% - Accent1 4 2 3 4 4" xfId="20170"/>
    <cellStyle name="40% - Accent1 4 2 3 4 4 2" xfId="20171"/>
    <cellStyle name="40% - Accent1 4 2 3 4 4 2 2" xfId="20172"/>
    <cellStyle name="40% - Accent1 4 2 3 4 4 2 3" xfId="20173"/>
    <cellStyle name="40% - Accent1 4 2 3 4 4 3" xfId="20174"/>
    <cellStyle name="40% - Accent1 4 2 3 4 4 3 2" xfId="20175"/>
    <cellStyle name="40% - Accent1 4 2 3 4 4 4" xfId="20176"/>
    <cellStyle name="40% - Accent1 4 2 3 4 4 5" xfId="20177"/>
    <cellStyle name="40% - Accent1 4 2 3 4 5" xfId="20178"/>
    <cellStyle name="40% - Accent1 4 2 3 4 5 2" xfId="20179"/>
    <cellStyle name="40% - Accent1 4 2 3 4 5 3" xfId="20180"/>
    <cellStyle name="40% - Accent1 4 2 3 4 6" xfId="20181"/>
    <cellStyle name="40% - Accent1 4 2 3 4 6 2" xfId="20182"/>
    <cellStyle name="40% - Accent1 4 2 3 4 6 3" xfId="20183"/>
    <cellStyle name="40% - Accent1 4 2 3 4 7" xfId="20184"/>
    <cellStyle name="40% - Accent1 4 2 3 4 7 2" xfId="20185"/>
    <cellStyle name="40% - Accent1 4 2 3 4 8" xfId="20186"/>
    <cellStyle name="40% - Accent1 4 2 3 4 9" xfId="20187"/>
    <cellStyle name="40% - Accent1 4 2 3 5" xfId="20188"/>
    <cellStyle name="40% - Accent1 4 2 3 5 2" xfId="20189"/>
    <cellStyle name="40% - Accent1 4 2 3 5 2 2" xfId="20190"/>
    <cellStyle name="40% - Accent1 4 2 3 5 2 3" xfId="20191"/>
    <cellStyle name="40% - Accent1 4 2 3 5 3" xfId="20192"/>
    <cellStyle name="40% - Accent1 4 2 3 5 3 2" xfId="20193"/>
    <cellStyle name="40% - Accent1 4 2 3 5 3 3" xfId="20194"/>
    <cellStyle name="40% - Accent1 4 2 3 5 4" xfId="20195"/>
    <cellStyle name="40% - Accent1 4 2 3 5 4 2" xfId="20196"/>
    <cellStyle name="40% - Accent1 4 2 3 5 5" xfId="20197"/>
    <cellStyle name="40% - Accent1 4 2 3 5 6" xfId="20198"/>
    <cellStyle name="40% - Accent1 4 2 3 6" xfId="20199"/>
    <cellStyle name="40% - Accent1 4 2 3 6 2" xfId="20200"/>
    <cellStyle name="40% - Accent1 4 2 3 6 2 2" xfId="20201"/>
    <cellStyle name="40% - Accent1 4 2 3 6 2 3" xfId="20202"/>
    <cellStyle name="40% - Accent1 4 2 3 6 3" xfId="20203"/>
    <cellStyle name="40% - Accent1 4 2 3 6 3 2" xfId="20204"/>
    <cellStyle name="40% - Accent1 4 2 3 6 3 3" xfId="20205"/>
    <cellStyle name="40% - Accent1 4 2 3 6 4" xfId="20206"/>
    <cellStyle name="40% - Accent1 4 2 3 6 4 2" xfId="20207"/>
    <cellStyle name="40% - Accent1 4 2 3 6 5" xfId="20208"/>
    <cellStyle name="40% - Accent1 4 2 3 6 6" xfId="20209"/>
    <cellStyle name="40% - Accent1 4 2 3 7" xfId="20210"/>
    <cellStyle name="40% - Accent1 4 2 3 7 2" xfId="20211"/>
    <cellStyle name="40% - Accent1 4 2 3 7 2 2" xfId="20212"/>
    <cellStyle name="40% - Accent1 4 2 3 7 2 3" xfId="20213"/>
    <cellStyle name="40% - Accent1 4 2 3 7 3" xfId="20214"/>
    <cellStyle name="40% - Accent1 4 2 3 7 3 2" xfId="20215"/>
    <cellStyle name="40% - Accent1 4 2 3 7 4" xfId="20216"/>
    <cellStyle name="40% - Accent1 4 2 3 7 5" xfId="20217"/>
    <cellStyle name="40% - Accent1 4 2 3 8" xfId="20218"/>
    <cellStyle name="40% - Accent1 4 2 3 8 2" xfId="20219"/>
    <cellStyle name="40% - Accent1 4 2 3 8 3" xfId="20220"/>
    <cellStyle name="40% - Accent1 4 2 3 9" xfId="20221"/>
    <cellStyle name="40% - Accent1 4 2 3 9 2" xfId="20222"/>
    <cellStyle name="40% - Accent1 4 2 3 9 3" xfId="20223"/>
    <cellStyle name="40% - Accent1 4 2 4" xfId="1576"/>
    <cellStyle name="40% - Accent1 4 2 4 10" xfId="20224"/>
    <cellStyle name="40% - Accent1 4 2 4 2" xfId="1577"/>
    <cellStyle name="40% - Accent1 4 2 4 2 2" xfId="20225"/>
    <cellStyle name="40% - Accent1 4 2 4 2 2 2" xfId="20226"/>
    <cellStyle name="40% - Accent1 4 2 4 2 2 2 2" xfId="20227"/>
    <cellStyle name="40% - Accent1 4 2 4 2 2 2 3" xfId="20228"/>
    <cellStyle name="40% - Accent1 4 2 4 2 2 3" xfId="20229"/>
    <cellStyle name="40% - Accent1 4 2 4 2 2 3 2" xfId="20230"/>
    <cellStyle name="40% - Accent1 4 2 4 2 2 3 3" xfId="20231"/>
    <cellStyle name="40% - Accent1 4 2 4 2 2 4" xfId="20232"/>
    <cellStyle name="40% - Accent1 4 2 4 2 2 4 2" xfId="20233"/>
    <cellStyle name="40% - Accent1 4 2 4 2 2 5" xfId="20234"/>
    <cellStyle name="40% - Accent1 4 2 4 2 2 6" xfId="20235"/>
    <cellStyle name="40% - Accent1 4 2 4 2 3" xfId="20236"/>
    <cellStyle name="40% - Accent1 4 2 4 2 3 2" xfId="20237"/>
    <cellStyle name="40% - Accent1 4 2 4 2 3 2 2" xfId="20238"/>
    <cellStyle name="40% - Accent1 4 2 4 2 3 2 3" xfId="20239"/>
    <cellStyle name="40% - Accent1 4 2 4 2 3 3" xfId="20240"/>
    <cellStyle name="40% - Accent1 4 2 4 2 3 3 2" xfId="20241"/>
    <cellStyle name="40% - Accent1 4 2 4 2 3 3 3" xfId="20242"/>
    <cellStyle name="40% - Accent1 4 2 4 2 3 4" xfId="20243"/>
    <cellStyle name="40% - Accent1 4 2 4 2 3 4 2" xfId="20244"/>
    <cellStyle name="40% - Accent1 4 2 4 2 3 5" xfId="20245"/>
    <cellStyle name="40% - Accent1 4 2 4 2 3 6" xfId="20246"/>
    <cellStyle name="40% - Accent1 4 2 4 2 4" xfId="20247"/>
    <cellStyle name="40% - Accent1 4 2 4 2 4 2" xfId="20248"/>
    <cellStyle name="40% - Accent1 4 2 4 2 4 2 2" xfId="20249"/>
    <cellStyle name="40% - Accent1 4 2 4 2 4 2 3" xfId="20250"/>
    <cellStyle name="40% - Accent1 4 2 4 2 4 3" xfId="20251"/>
    <cellStyle name="40% - Accent1 4 2 4 2 4 3 2" xfId="20252"/>
    <cellStyle name="40% - Accent1 4 2 4 2 4 4" xfId="20253"/>
    <cellStyle name="40% - Accent1 4 2 4 2 4 5" xfId="20254"/>
    <cellStyle name="40% - Accent1 4 2 4 2 5" xfId="20255"/>
    <cellStyle name="40% - Accent1 4 2 4 2 5 2" xfId="20256"/>
    <cellStyle name="40% - Accent1 4 2 4 2 5 3" xfId="20257"/>
    <cellStyle name="40% - Accent1 4 2 4 2 6" xfId="20258"/>
    <cellStyle name="40% - Accent1 4 2 4 2 6 2" xfId="20259"/>
    <cellStyle name="40% - Accent1 4 2 4 2 6 3" xfId="20260"/>
    <cellStyle name="40% - Accent1 4 2 4 2 7" xfId="20261"/>
    <cellStyle name="40% - Accent1 4 2 4 2 7 2" xfId="20262"/>
    <cellStyle name="40% - Accent1 4 2 4 2 8" xfId="20263"/>
    <cellStyle name="40% - Accent1 4 2 4 2 9" xfId="20264"/>
    <cellStyle name="40% - Accent1 4 2 4 3" xfId="20265"/>
    <cellStyle name="40% - Accent1 4 2 4 3 2" xfId="20266"/>
    <cellStyle name="40% - Accent1 4 2 4 3 2 2" xfId="20267"/>
    <cellStyle name="40% - Accent1 4 2 4 3 2 3" xfId="20268"/>
    <cellStyle name="40% - Accent1 4 2 4 3 3" xfId="20269"/>
    <cellStyle name="40% - Accent1 4 2 4 3 3 2" xfId="20270"/>
    <cellStyle name="40% - Accent1 4 2 4 3 3 3" xfId="20271"/>
    <cellStyle name="40% - Accent1 4 2 4 3 4" xfId="20272"/>
    <cellStyle name="40% - Accent1 4 2 4 3 4 2" xfId="20273"/>
    <cellStyle name="40% - Accent1 4 2 4 3 5" xfId="20274"/>
    <cellStyle name="40% - Accent1 4 2 4 3 6" xfId="20275"/>
    <cellStyle name="40% - Accent1 4 2 4 4" xfId="20276"/>
    <cellStyle name="40% - Accent1 4 2 4 4 2" xfId="20277"/>
    <cellStyle name="40% - Accent1 4 2 4 4 2 2" xfId="20278"/>
    <cellStyle name="40% - Accent1 4 2 4 4 2 3" xfId="20279"/>
    <cellStyle name="40% - Accent1 4 2 4 4 3" xfId="20280"/>
    <cellStyle name="40% - Accent1 4 2 4 4 3 2" xfId="20281"/>
    <cellStyle name="40% - Accent1 4 2 4 4 3 3" xfId="20282"/>
    <cellStyle name="40% - Accent1 4 2 4 4 4" xfId="20283"/>
    <cellStyle name="40% - Accent1 4 2 4 4 4 2" xfId="20284"/>
    <cellStyle name="40% - Accent1 4 2 4 4 5" xfId="20285"/>
    <cellStyle name="40% - Accent1 4 2 4 4 6" xfId="20286"/>
    <cellStyle name="40% - Accent1 4 2 4 5" xfId="20287"/>
    <cellStyle name="40% - Accent1 4 2 4 5 2" xfId="20288"/>
    <cellStyle name="40% - Accent1 4 2 4 5 2 2" xfId="20289"/>
    <cellStyle name="40% - Accent1 4 2 4 5 2 3" xfId="20290"/>
    <cellStyle name="40% - Accent1 4 2 4 5 3" xfId="20291"/>
    <cellStyle name="40% - Accent1 4 2 4 5 3 2" xfId="20292"/>
    <cellStyle name="40% - Accent1 4 2 4 5 4" xfId="20293"/>
    <cellStyle name="40% - Accent1 4 2 4 5 5" xfId="20294"/>
    <cellStyle name="40% - Accent1 4 2 4 6" xfId="20295"/>
    <cellStyle name="40% - Accent1 4 2 4 6 2" xfId="20296"/>
    <cellStyle name="40% - Accent1 4 2 4 6 3" xfId="20297"/>
    <cellStyle name="40% - Accent1 4 2 4 7" xfId="20298"/>
    <cellStyle name="40% - Accent1 4 2 4 7 2" xfId="20299"/>
    <cellStyle name="40% - Accent1 4 2 4 7 3" xfId="20300"/>
    <cellStyle name="40% - Accent1 4 2 4 8" xfId="20301"/>
    <cellStyle name="40% - Accent1 4 2 4 8 2" xfId="20302"/>
    <cellStyle name="40% - Accent1 4 2 4 9" xfId="20303"/>
    <cellStyle name="40% - Accent1 4 2 5" xfId="1578"/>
    <cellStyle name="40% - Accent1 4 2 5 2" xfId="20304"/>
    <cellStyle name="40% - Accent1 4 2 5 2 2" xfId="20305"/>
    <cellStyle name="40% - Accent1 4 2 5 2 2 2" xfId="20306"/>
    <cellStyle name="40% - Accent1 4 2 5 2 2 3" xfId="20307"/>
    <cellStyle name="40% - Accent1 4 2 5 2 3" xfId="20308"/>
    <cellStyle name="40% - Accent1 4 2 5 2 3 2" xfId="20309"/>
    <cellStyle name="40% - Accent1 4 2 5 2 3 3" xfId="20310"/>
    <cellStyle name="40% - Accent1 4 2 5 2 4" xfId="20311"/>
    <cellStyle name="40% - Accent1 4 2 5 2 4 2" xfId="20312"/>
    <cellStyle name="40% - Accent1 4 2 5 2 5" xfId="20313"/>
    <cellStyle name="40% - Accent1 4 2 5 2 6" xfId="20314"/>
    <cellStyle name="40% - Accent1 4 2 5 3" xfId="20315"/>
    <cellStyle name="40% - Accent1 4 2 5 3 2" xfId="20316"/>
    <cellStyle name="40% - Accent1 4 2 5 3 2 2" xfId="20317"/>
    <cellStyle name="40% - Accent1 4 2 5 3 2 3" xfId="20318"/>
    <cellStyle name="40% - Accent1 4 2 5 3 3" xfId="20319"/>
    <cellStyle name="40% - Accent1 4 2 5 3 3 2" xfId="20320"/>
    <cellStyle name="40% - Accent1 4 2 5 3 3 3" xfId="20321"/>
    <cellStyle name="40% - Accent1 4 2 5 3 4" xfId="20322"/>
    <cellStyle name="40% - Accent1 4 2 5 3 4 2" xfId="20323"/>
    <cellStyle name="40% - Accent1 4 2 5 3 5" xfId="20324"/>
    <cellStyle name="40% - Accent1 4 2 5 3 6" xfId="20325"/>
    <cellStyle name="40% - Accent1 4 2 5 4" xfId="20326"/>
    <cellStyle name="40% - Accent1 4 2 5 4 2" xfId="20327"/>
    <cellStyle name="40% - Accent1 4 2 5 4 2 2" xfId="20328"/>
    <cellStyle name="40% - Accent1 4 2 5 4 2 3" xfId="20329"/>
    <cellStyle name="40% - Accent1 4 2 5 4 3" xfId="20330"/>
    <cellStyle name="40% - Accent1 4 2 5 4 3 2" xfId="20331"/>
    <cellStyle name="40% - Accent1 4 2 5 4 4" xfId="20332"/>
    <cellStyle name="40% - Accent1 4 2 5 4 5" xfId="20333"/>
    <cellStyle name="40% - Accent1 4 2 5 5" xfId="20334"/>
    <cellStyle name="40% - Accent1 4 2 5 5 2" xfId="20335"/>
    <cellStyle name="40% - Accent1 4 2 5 5 3" xfId="20336"/>
    <cellStyle name="40% - Accent1 4 2 5 6" xfId="20337"/>
    <cellStyle name="40% - Accent1 4 2 5 6 2" xfId="20338"/>
    <cellStyle name="40% - Accent1 4 2 5 6 3" xfId="20339"/>
    <cellStyle name="40% - Accent1 4 2 5 7" xfId="20340"/>
    <cellStyle name="40% - Accent1 4 2 5 7 2" xfId="20341"/>
    <cellStyle name="40% - Accent1 4 2 5 8" xfId="20342"/>
    <cellStyle name="40% - Accent1 4 2 5 9" xfId="20343"/>
    <cellStyle name="40% - Accent1 4 2 6" xfId="20344"/>
    <cellStyle name="40% - Accent1 4 2 6 2" xfId="20345"/>
    <cellStyle name="40% - Accent1 4 2 6 2 2" xfId="20346"/>
    <cellStyle name="40% - Accent1 4 2 6 2 2 2" xfId="20347"/>
    <cellStyle name="40% - Accent1 4 2 6 2 2 3" xfId="20348"/>
    <cellStyle name="40% - Accent1 4 2 6 2 3" xfId="20349"/>
    <cellStyle name="40% - Accent1 4 2 6 2 3 2" xfId="20350"/>
    <cellStyle name="40% - Accent1 4 2 6 2 3 3" xfId="20351"/>
    <cellStyle name="40% - Accent1 4 2 6 2 4" xfId="20352"/>
    <cellStyle name="40% - Accent1 4 2 6 2 4 2" xfId="20353"/>
    <cellStyle name="40% - Accent1 4 2 6 2 5" xfId="20354"/>
    <cellStyle name="40% - Accent1 4 2 6 2 6" xfId="20355"/>
    <cellStyle name="40% - Accent1 4 2 6 3" xfId="20356"/>
    <cellStyle name="40% - Accent1 4 2 6 3 2" xfId="20357"/>
    <cellStyle name="40% - Accent1 4 2 6 3 2 2" xfId="20358"/>
    <cellStyle name="40% - Accent1 4 2 6 3 2 3" xfId="20359"/>
    <cellStyle name="40% - Accent1 4 2 6 3 3" xfId="20360"/>
    <cellStyle name="40% - Accent1 4 2 6 3 3 2" xfId="20361"/>
    <cellStyle name="40% - Accent1 4 2 6 3 3 3" xfId="20362"/>
    <cellStyle name="40% - Accent1 4 2 6 3 4" xfId="20363"/>
    <cellStyle name="40% - Accent1 4 2 6 3 4 2" xfId="20364"/>
    <cellStyle name="40% - Accent1 4 2 6 3 5" xfId="20365"/>
    <cellStyle name="40% - Accent1 4 2 6 3 6" xfId="20366"/>
    <cellStyle name="40% - Accent1 4 2 6 4" xfId="20367"/>
    <cellStyle name="40% - Accent1 4 2 6 4 2" xfId="20368"/>
    <cellStyle name="40% - Accent1 4 2 6 4 2 2" xfId="20369"/>
    <cellStyle name="40% - Accent1 4 2 6 4 2 3" xfId="20370"/>
    <cellStyle name="40% - Accent1 4 2 6 4 3" xfId="20371"/>
    <cellStyle name="40% - Accent1 4 2 6 4 3 2" xfId="20372"/>
    <cellStyle name="40% - Accent1 4 2 6 4 4" xfId="20373"/>
    <cellStyle name="40% - Accent1 4 2 6 4 5" xfId="20374"/>
    <cellStyle name="40% - Accent1 4 2 6 5" xfId="20375"/>
    <cellStyle name="40% - Accent1 4 2 6 5 2" xfId="20376"/>
    <cellStyle name="40% - Accent1 4 2 6 5 3" xfId="20377"/>
    <cellStyle name="40% - Accent1 4 2 6 6" xfId="20378"/>
    <cellStyle name="40% - Accent1 4 2 6 6 2" xfId="20379"/>
    <cellStyle name="40% - Accent1 4 2 6 6 3" xfId="20380"/>
    <cellStyle name="40% - Accent1 4 2 6 7" xfId="20381"/>
    <cellStyle name="40% - Accent1 4 2 6 7 2" xfId="20382"/>
    <cellStyle name="40% - Accent1 4 2 6 8" xfId="20383"/>
    <cellStyle name="40% - Accent1 4 2 6 9" xfId="20384"/>
    <cellStyle name="40% - Accent1 4 2 7" xfId="20385"/>
    <cellStyle name="40% - Accent1 4 2 7 2" xfId="20386"/>
    <cellStyle name="40% - Accent1 4 2 7 2 2" xfId="20387"/>
    <cellStyle name="40% - Accent1 4 2 7 2 3" xfId="20388"/>
    <cellStyle name="40% - Accent1 4 2 7 3" xfId="20389"/>
    <cellStyle name="40% - Accent1 4 2 7 3 2" xfId="20390"/>
    <cellStyle name="40% - Accent1 4 2 7 3 3" xfId="20391"/>
    <cellStyle name="40% - Accent1 4 2 7 4" xfId="20392"/>
    <cellStyle name="40% - Accent1 4 2 7 4 2" xfId="20393"/>
    <cellStyle name="40% - Accent1 4 2 7 5" xfId="20394"/>
    <cellStyle name="40% - Accent1 4 2 7 6" xfId="20395"/>
    <cellStyle name="40% - Accent1 4 2 8" xfId="20396"/>
    <cellStyle name="40% - Accent1 4 2 8 2" xfId="20397"/>
    <cellStyle name="40% - Accent1 4 2 8 2 2" xfId="20398"/>
    <cellStyle name="40% - Accent1 4 2 8 2 3" xfId="20399"/>
    <cellStyle name="40% - Accent1 4 2 8 3" xfId="20400"/>
    <cellStyle name="40% - Accent1 4 2 8 3 2" xfId="20401"/>
    <cellStyle name="40% - Accent1 4 2 8 3 3" xfId="20402"/>
    <cellStyle name="40% - Accent1 4 2 8 4" xfId="20403"/>
    <cellStyle name="40% - Accent1 4 2 8 4 2" xfId="20404"/>
    <cellStyle name="40% - Accent1 4 2 8 5" xfId="20405"/>
    <cellStyle name="40% - Accent1 4 2 8 6" xfId="20406"/>
    <cellStyle name="40% - Accent1 4 2 9" xfId="20407"/>
    <cellStyle name="40% - Accent1 4 2 9 2" xfId="20408"/>
    <cellStyle name="40% - Accent1 4 2 9 2 2" xfId="20409"/>
    <cellStyle name="40% - Accent1 4 2 9 2 3" xfId="20410"/>
    <cellStyle name="40% - Accent1 4 2 9 3" xfId="20411"/>
    <cellStyle name="40% - Accent1 4 2 9 3 2" xfId="20412"/>
    <cellStyle name="40% - Accent1 4 2 9 4" xfId="20413"/>
    <cellStyle name="40% - Accent1 4 2 9 5" xfId="20414"/>
    <cellStyle name="40% - Accent1 4 3" xfId="1579"/>
    <cellStyle name="40% - Accent1 4 3 10" xfId="20415"/>
    <cellStyle name="40% - Accent1 4 3 10 2" xfId="20416"/>
    <cellStyle name="40% - Accent1 4 3 10 3" xfId="20417"/>
    <cellStyle name="40% - Accent1 4 3 11" xfId="20418"/>
    <cellStyle name="40% - Accent1 4 3 11 2" xfId="20419"/>
    <cellStyle name="40% - Accent1 4 3 12" xfId="20420"/>
    <cellStyle name="40% - Accent1 4 3 13" xfId="20421"/>
    <cellStyle name="40% - Accent1 4 3 14" xfId="20422"/>
    <cellStyle name="40% - Accent1 4 3 2" xfId="1580"/>
    <cellStyle name="40% - Accent1 4 3 2 10" xfId="20423"/>
    <cellStyle name="40% - Accent1 4 3 2 10 2" xfId="20424"/>
    <cellStyle name="40% - Accent1 4 3 2 11" xfId="20425"/>
    <cellStyle name="40% - Accent1 4 3 2 12" xfId="20426"/>
    <cellStyle name="40% - Accent1 4 3 2 2" xfId="1581"/>
    <cellStyle name="40% - Accent1 4 3 2 2 10" xfId="20427"/>
    <cellStyle name="40% - Accent1 4 3 2 2 2" xfId="1582"/>
    <cellStyle name="40% - Accent1 4 3 2 2 2 2" xfId="20428"/>
    <cellStyle name="40% - Accent1 4 3 2 2 2 2 2" xfId="20429"/>
    <cellStyle name="40% - Accent1 4 3 2 2 2 2 2 2" xfId="20430"/>
    <cellStyle name="40% - Accent1 4 3 2 2 2 2 2 3" xfId="20431"/>
    <cellStyle name="40% - Accent1 4 3 2 2 2 2 3" xfId="20432"/>
    <cellStyle name="40% - Accent1 4 3 2 2 2 2 3 2" xfId="20433"/>
    <cellStyle name="40% - Accent1 4 3 2 2 2 2 3 3" xfId="20434"/>
    <cellStyle name="40% - Accent1 4 3 2 2 2 2 4" xfId="20435"/>
    <cellStyle name="40% - Accent1 4 3 2 2 2 2 4 2" xfId="20436"/>
    <cellStyle name="40% - Accent1 4 3 2 2 2 2 5" xfId="20437"/>
    <cellStyle name="40% - Accent1 4 3 2 2 2 2 6" xfId="20438"/>
    <cellStyle name="40% - Accent1 4 3 2 2 2 3" xfId="20439"/>
    <cellStyle name="40% - Accent1 4 3 2 2 2 3 2" xfId="20440"/>
    <cellStyle name="40% - Accent1 4 3 2 2 2 3 2 2" xfId="20441"/>
    <cellStyle name="40% - Accent1 4 3 2 2 2 3 2 3" xfId="20442"/>
    <cellStyle name="40% - Accent1 4 3 2 2 2 3 3" xfId="20443"/>
    <cellStyle name="40% - Accent1 4 3 2 2 2 3 3 2" xfId="20444"/>
    <cellStyle name="40% - Accent1 4 3 2 2 2 3 3 3" xfId="20445"/>
    <cellStyle name="40% - Accent1 4 3 2 2 2 3 4" xfId="20446"/>
    <cellStyle name="40% - Accent1 4 3 2 2 2 3 4 2" xfId="20447"/>
    <cellStyle name="40% - Accent1 4 3 2 2 2 3 5" xfId="20448"/>
    <cellStyle name="40% - Accent1 4 3 2 2 2 3 6" xfId="20449"/>
    <cellStyle name="40% - Accent1 4 3 2 2 2 4" xfId="20450"/>
    <cellStyle name="40% - Accent1 4 3 2 2 2 4 2" xfId="20451"/>
    <cellStyle name="40% - Accent1 4 3 2 2 2 4 2 2" xfId="20452"/>
    <cellStyle name="40% - Accent1 4 3 2 2 2 4 2 3" xfId="20453"/>
    <cellStyle name="40% - Accent1 4 3 2 2 2 4 3" xfId="20454"/>
    <cellStyle name="40% - Accent1 4 3 2 2 2 4 3 2" xfId="20455"/>
    <cellStyle name="40% - Accent1 4 3 2 2 2 4 4" xfId="20456"/>
    <cellStyle name="40% - Accent1 4 3 2 2 2 4 5" xfId="20457"/>
    <cellStyle name="40% - Accent1 4 3 2 2 2 5" xfId="20458"/>
    <cellStyle name="40% - Accent1 4 3 2 2 2 5 2" xfId="20459"/>
    <cellStyle name="40% - Accent1 4 3 2 2 2 5 3" xfId="20460"/>
    <cellStyle name="40% - Accent1 4 3 2 2 2 6" xfId="20461"/>
    <cellStyle name="40% - Accent1 4 3 2 2 2 6 2" xfId="20462"/>
    <cellStyle name="40% - Accent1 4 3 2 2 2 6 3" xfId="20463"/>
    <cellStyle name="40% - Accent1 4 3 2 2 2 7" xfId="20464"/>
    <cellStyle name="40% - Accent1 4 3 2 2 2 7 2" xfId="20465"/>
    <cellStyle name="40% - Accent1 4 3 2 2 2 8" xfId="20466"/>
    <cellStyle name="40% - Accent1 4 3 2 2 2 9" xfId="20467"/>
    <cellStyle name="40% - Accent1 4 3 2 2 3" xfId="20468"/>
    <cellStyle name="40% - Accent1 4 3 2 2 3 2" xfId="20469"/>
    <cellStyle name="40% - Accent1 4 3 2 2 3 2 2" xfId="20470"/>
    <cellStyle name="40% - Accent1 4 3 2 2 3 2 3" xfId="20471"/>
    <cellStyle name="40% - Accent1 4 3 2 2 3 3" xfId="20472"/>
    <cellStyle name="40% - Accent1 4 3 2 2 3 3 2" xfId="20473"/>
    <cellStyle name="40% - Accent1 4 3 2 2 3 3 3" xfId="20474"/>
    <cellStyle name="40% - Accent1 4 3 2 2 3 4" xfId="20475"/>
    <cellStyle name="40% - Accent1 4 3 2 2 3 4 2" xfId="20476"/>
    <cellStyle name="40% - Accent1 4 3 2 2 3 5" xfId="20477"/>
    <cellStyle name="40% - Accent1 4 3 2 2 3 6" xfId="20478"/>
    <cellStyle name="40% - Accent1 4 3 2 2 4" xfId="20479"/>
    <cellStyle name="40% - Accent1 4 3 2 2 4 2" xfId="20480"/>
    <cellStyle name="40% - Accent1 4 3 2 2 4 2 2" xfId="20481"/>
    <cellStyle name="40% - Accent1 4 3 2 2 4 2 3" xfId="20482"/>
    <cellStyle name="40% - Accent1 4 3 2 2 4 3" xfId="20483"/>
    <cellStyle name="40% - Accent1 4 3 2 2 4 3 2" xfId="20484"/>
    <cellStyle name="40% - Accent1 4 3 2 2 4 3 3" xfId="20485"/>
    <cellStyle name="40% - Accent1 4 3 2 2 4 4" xfId="20486"/>
    <cellStyle name="40% - Accent1 4 3 2 2 4 4 2" xfId="20487"/>
    <cellStyle name="40% - Accent1 4 3 2 2 4 5" xfId="20488"/>
    <cellStyle name="40% - Accent1 4 3 2 2 4 6" xfId="20489"/>
    <cellStyle name="40% - Accent1 4 3 2 2 5" xfId="20490"/>
    <cellStyle name="40% - Accent1 4 3 2 2 5 2" xfId="20491"/>
    <cellStyle name="40% - Accent1 4 3 2 2 5 2 2" xfId="20492"/>
    <cellStyle name="40% - Accent1 4 3 2 2 5 2 3" xfId="20493"/>
    <cellStyle name="40% - Accent1 4 3 2 2 5 3" xfId="20494"/>
    <cellStyle name="40% - Accent1 4 3 2 2 5 3 2" xfId="20495"/>
    <cellStyle name="40% - Accent1 4 3 2 2 5 4" xfId="20496"/>
    <cellStyle name="40% - Accent1 4 3 2 2 5 5" xfId="20497"/>
    <cellStyle name="40% - Accent1 4 3 2 2 6" xfId="20498"/>
    <cellStyle name="40% - Accent1 4 3 2 2 6 2" xfId="20499"/>
    <cellStyle name="40% - Accent1 4 3 2 2 6 3" xfId="20500"/>
    <cellStyle name="40% - Accent1 4 3 2 2 7" xfId="20501"/>
    <cellStyle name="40% - Accent1 4 3 2 2 7 2" xfId="20502"/>
    <cellStyle name="40% - Accent1 4 3 2 2 7 3" xfId="20503"/>
    <cellStyle name="40% - Accent1 4 3 2 2 8" xfId="20504"/>
    <cellStyle name="40% - Accent1 4 3 2 2 8 2" xfId="20505"/>
    <cellStyle name="40% - Accent1 4 3 2 2 9" xfId="20506"/>
    <cellStyle name="40% - Accent1 4 3 2 3" xfId="1583"/>
    <cellStyle name="40% - Accent1 4 3 2 3 2" xfId="20507"/>
    <cellStyle name="40% - Accent1 4 3 2 3 2 2" xfId="20508"/>
    <cellStyle name="40% - Accent1 4 3 2 3 2 2 2" xfId="20509"/>
    <cellStyle name="40% - Accent1 4 3 2 3 2 2 3" xfId="20510"/>
    <cellStyle name="40% - Accent1 4 3 2 3 2 3" xfId="20511"/>
    <cellStyle name="40% - Accent1 4 3 2 3 2 3 2" xfId="20512"/>
    <cellStyle name="40% - Accent1 4 3 2 3 2 3 3" xfId="20513"/>
    <cellStyle name="40% - Accent1 4 3 2 3 2 4" xfId="20514"/>
    <cellStyle name="40% - Accent1 4 3 2 3 2 4 2" xfId="20515"/>
    <cellStyle name="40% - Accent1 4 3 2 3 2 5" xfId="20516"/>
    <cellStyle name="40% - Accent1 4 3 2 3 2 6" xfId="20517"/>
    <cellStyle name="40% - Accent1 4 3 2 3 3" xfId="20518"/>
    <cellStyle name="40% - Accent1 4 3 2 3 3 2" xfId="20519"/>
    <cellStyle name="40% - Accent1 4 3 2 3 3 2 2" xfId="20520"/>
    <cellStyle name="40% - Accent1 4 3 2 3 3 2 3" xfId="20521"/>
    <cellStyle name="40% - Accent1 4 3 2 3 3 3" xfId="20522"/>
    <cellStyle name="40% - Accent1 4 3 2 3 3 3 2" xfId="20523"/>
    <cellStyle name="40% - Accent1 4 3 2 3 3 3 3" xfId="20524"/>
    <cellStyle name="40% - Accent1 4 3 2 3 3 4" xfId="20525"/>
    <cellStyle name="40% - Accent1 4 3 2 3 3 4 2" xfId="20526"/>
    <cellStyle name="40% - Accent1 4 3 2 3 3 5" xfId="20527"/>
    <cellStyle name="40% - Accent1 4 3 2 3 3 6" xfId="20528"/>
    <cellStyle name="40% - Accent1 4 3 2 3 4" xfId="20529"/>
    <cellStyle name="40% - Accent1 4 3 2 3 4 2" xfId="20530"/>
    <cellStyle name="40% - Accent1 4 3 2 3 4 2 2" xfId="20531"/>
    <cellStyle name="40% - Accent1 4 3 2 3 4 2 3" xfId="20532"/>
    <cellStyle name="40% - Accent1 4 3 2 3 4 3" xfId="20533"/>
    <cellStyle name="40% - Accent1 4 3 2 3 4 3 2" xfId="20534"/>
    <cellStyle name="40% - Accent1 4 3 2 3 4 4" xfId="20535"/>
    <cellStyle name="40% - Accent1 4 3 2 3 4 5" xfId="20536"/>
    <cellStyle name="40% - Accent1 4 3 2 3 5" xfId="20537"/>
    <cellStyle name="40% - Accent1 4 3 2 3 5 2" xfId="20538"/>
    <cellStyle name="40% - Accent1 4 3 2 3 5 3" xfId="20539"/>
    <cellStyle name="40% - Accent1 4 3 2 3 6" xfId="20540"/>
    <cellStyle name="40% - Accent1 4 3 2 3 6 2" xfId="20541"/>
    <cellStyle name="40% - Accent1 4 3 2 3 6 3" xfId="20542"/>
    <cellStyle name="40% - Accent1 4 3 2 3 7" xfId="20543"/>
    <cellStyle name="40% - Accent1 4 3 2 3 7 2" xfId="20544"/>
    <cellStyle name="40% - Accent1 4 3 2 3 8" xfId="20545"/>
    <cellStyle name="40% - Accent1 4 3 2 3 9" xfId="20546"/>
    <cellStyle name="40% - Accent1 4 3 2 4" xfId="20547"/>
    <cellStyle name="40% - Accent1 4 3 2 4 2" xfId="20548"/>
    <cellStyle name="40% - Accent1 4 3 2 4 2 2" xfId="20549"/>
    <cellStyle name="40% - Accent1 4 3 2 4 2 2 2" xfId="20550"/>
    <cellStyle name="40% - Accent1 4 3 2 4 2 2 3" xfId="20551"/>
    <cellStyle name="40% - Accent1 4 3 2 4 2 3" xfId="20552"/>
    <cellStyle name="40% - Accent1 4 3 2 4 2 3 2" xfId="20553"/>
    <cellStyle name="40% - Accent1 4 3 2 4 2 3 3" xfId="20554"/>
    <cellStyle name="40% - Accent1 4 3 2 4 2 4" xfId="20555"/>
    <cellStyle name="40% - Accent1 4 3 2 4 2 4 2" xfId="20556"/>
    <cellStyle name="40% - Accent1 4 3 2 4 2 5" xfId="20557"/>
    <cellStyle name="40% - Accent1 4 3 2 4 2 6" xfId="20558"/>
    <cellStyle name="40% - Accent1 4 3 2 4 3" xfId="20559"/>
    <cellStyle name="40% - Accent1 4 3 2 4 3 2" xfId="20560"/>
    <cellStyle name="40% - Accent1 4 3 2 4 3 2 2" xfId="20561"/>
    <cellStyle name="40% - Accent1 4 3 2 4 3 2 3" xfId="20562"/>
    <cellStyle name="40% - Accent1 4 3 2 4 3 3" xfId="20563"/>
    <cellStyle name="40% - Accent1 4 3 2 4 3 3 2" xfId="20564"/>
    <cellStyle name="40% - Accent1 4 3 2 4 3 3 3" xfId="20565"/>
    <cellStyle name="40% - Accent1 4 3 2 4 3 4" xfId="20566"/>
    <cellStyle name="40% - Accent1 4 3 2 4 3 4 2" xfId="20567"/>
    <cellStyle name="40% - Accent1 4 3 2 4 3 5" xfId="20568"/>
    <cellStyle name="40% - Accent1 4 3 2 4 3 6" xfId="20569"/>
    <cellStyle name="40% - Accent1 4 3 2 4 4" xfId="20570"/>
    <cellStyle name="40% - Accent1 4 3 2 4 4 2" xfId="20571"/>
    <cellStyle name="40% - Accent1 4 3 2 4 4 2 2" xfId="20572"/>
    <cellStyle name="40% - Accent1 4 3 2 4 4 2 3" xfId="20573"/>
    <cellStyle name="40% - Accent1 4 3 2 4 4 3" xfId="20574"/>
    <cellStyle name="40% - Accent1 4 3 2 4 4 3 2" xfId="20575"/>
    <cellStyle name="40% - Accent1 4 3 2 4 4 4" xfId="20576"/>
    <cellStyle name="40% - Accent1 4 3 2 4 4 5" xfId="20577"/>
    <cellStyle name="40% - Accent1 4 3 2 4 5" xfId="20578"/>
    <cellStyle name="40% - Accent1 4 3 2 4 5 2" xfId="20579"/>
    <cellStyle name="40% - Accent1 4 3 2 4 5 3" xfId="20580"/>
    <cellStyle name="40% - Accent1 4 3 2 4 6" xfId="20581"/>
    <cellStyle name="40% - Accent1 4 3 2 4 6 2" xfId="20582"/>
    <cellStyle name="40% - Accent1 4 3 2 4 6 3" xfId="20583"/>
    <cellStyle name="40% - Accent1 4 3 2 4 7" xfId="20584"/>
    <cellStyle name="40% - Accent1 4 3 2 4 7 2" xfId="20585"/>
    <cellStyle name="40% - Accent1 4 3 2 4 8" xfId="20586"/>
    <cellStyle name="40% - Accent1 4 3 2 4 9" xfId="20587"/>
    <cellStyle name="40% - Accent1 4 3 2 5" xfId="20588"/>
    <cellStyle name="40% - Accent1 4 3 2 5 2" xfId="20589"/>
    <cellStyle name="40% - Accent1 4 3 2 5 2 2" xfId="20590"/>
    <cellStyle name="40% - Accent1 4 3 2 5 2 3" xfId="20591"/>
    <cellStyle name="40% - Accent1 4 3 2 5 3" xfId="20592"/>
    <cellStyle name="40% - Accent1 4 3 2 5 3 2" xfId="20593"/>
    <cellStyle name="40% - Accent1 4 3 2 5 3 3" xfId="20594"/>
    <cellStyle name="40% - Accent1 4 3 2 5 4" xfId="20595"/>
    <cellStyle name="40% - Accent1 4 3 2 5 4 2" xfId="20596"/>
    <cellStyle name="40% - Accent1 4 3 2 5 5" xfId="20597"/>
    <cellStyle name="40% - Accent1 4 3 2 5 6" xfId="20598"/>
    <cellStyle name="40% - Accent1 4 3 2 6" xfId="20599"/>
    <cellStyle name="40% - Accent1 4 3 2 6 2" xfId="20600"/>
    <cellStyle name="40% - Accent1 4 3 2 6 2 2" xfId="20601"/>
    <cellStyle name="40% - Accent1 4 3 2 6 2 3" xfId="20602"/>
    <cellStyle name="40% - Accent1 4 3 2 6 3" xfId="20603"/>
    <cellStyle name="40% - Accent1 4 3 2 6 3 2" xfId="20604"/>
    <cellStyle name="40% - Accent1 4 3 2 6 3 3" xfId="20605"/>
    <cellStyle name="40% - Accent1 4 3 2 6 4" xfId="20606"/>
    <cellStyle name="40% - Accent1 4 3 2 6 4 2" xfId="20607"/>
    <cellStyle name="40% - Accent1 4 3 2 6 5" xfId="20608"/>
    <cellStyle name="40% - Accent1 4 3 2 6 6" xfId="20609"/>
    <cellStyle name="40% - Accent1 4 3 2 7" xfId="20610"/>
    <cellStyle name="40% - Accent1 4 3 2 7 2" xfId="20611"/>
    <cellStyle name="40% - Accent1 4 3 2 7 2 2" xfId="20612"/>
    <cellStyle name="40% - Accent1 4 3 2 7 2 3" xfId="20613"/>
    <cellStyle name="40% - Accent1 4 3 2 7 3" xfId="20614"/>
    <cellStyle name="40% - Accent1 4 3 2 7 3 2" xfId="20615"/>
    <cellStyle name="40% - Accent1 4 3 2 7 4" xfId="20616"/>
    <cellStyle name="40% - Accent1 4 3 2 7 5" xfId="20617"/>
    <cellStyle name="40% - Accent1 4 3 2 8" xfId="20618"/>
    <cellStyle name="40% - Accent1 4 3 2 8 2" xfId="20619"/>
    <cellStyle name="40% - Accent1 4 3 2 8 3" xfId="20620"/>
    <cellStyle name="40% - Accent1 4 3 2 9" xfId="20621"/>
    <cellStyle name="40% - Accent1 4 3 2 9 2" xfId="20622"/>
    <cellStyle name="40% - Accent1 4 3 2 9 3" xfId="20623"/>
    <cellStyle name="40% - Accent1 4 3 3" xfId="1584"/>
    <cellStyle name="40% - Accent1 4 3 3 10" xfId="20624"/>
    <cellStyle name="40% - Accent1 4 3 3 2" xfId="1585"/>
    <cellStyle name="40% - Accent1 4 3 3 2 2" xfId="20625"/>
    <cellStyle name="40% - Accent1 4 3 3 2 2 2" xfId="20626"/>
    <cellStyle name="40% - Accent1 4 3 3 2 2 2 2" xfId="20627"/>
    <cellStyle name="40% - Accent1 4 3 3 2 2 2 3" xfId="20628"/>
    <cellStyle name="40% - Accent1 4 3 3 2 2 3" xfId="20629"/>
    <cellStyle name="40% - Accent1 4 3 3 2 2 3 2" xfId="20630"/>
    <cellStyle name="40% - Accent1 4 3 3 2 2 3 3" xfId="20631"/>
    <cellStyle name="40% - Accent1 4 3 3 2 2 4" xfId="20632"/>
    <cellStyle name="40% - Accent1 4 3 3 2 2 4 2" xfId="20633"/>
    <cellStyle name="40% - Accent1 4 3 3 2 2 5" xfId="20634"/>
    <cellStyle name="40% - Accent1 4 3 3 2 2 6" xfId="20635"/>
    <cellStyle name="40% - Accent1 4 3 3 2 3" xfId="20636"/>
    <cellStyle name="40% - Accent1 4 3 3 2 3 2" xfId="20637"/>
    <cellStyle name="40% - Accent1 4 3 3 2 3 2 2" xfId="20638"/>
    <cellStyle name="40% - Accent1 4 3 3 2 3 2 3" xfId="20639"/>
    <cellStyle name="40% - Accent1 4 3 3 2 3 3" xfId="20640"/>
    <cellStyle name="40% - Accent1 4 3 3 2 3 3 2" xfId="20641"/>
    <cellStyle name="40% - Accent1 4 3 3 2 3 3 3" xfId="20642"/>
    <cellStyle name="40% - Accent1 4 3 3 2 3 4" xfId="20643"/>
    <cellStyle name="40% - Accent1 4 3 3 2 3 4 2" xfId="20644"/>
    <cellStyle name="40% - Accent1 4 3 3 2 3 5" xfId="20645"/>
    <cellStyle name="40% - Accent1 4 3 3 2 3 6" xfId="20646"/>
    <cellStyle name="40% - Accent1 4 3 3 2 4" xfId="20647"/>
    <cellStyle name="40% - Accent1 4 3 3 2 4 2" xfId="20648"/>
    <cellStyle name="40% - Accent1 4 3 3 2 4 2 2" xfId="20649"/>
    <cellStyle name="40% - Accent1 4 3 3 2 4 2 3" xfId="20650"/>
    <cellStyle name="40% - Accent1 4 3 3 2 4 3" xfId="20651"/>
    <cellStyle name="40% - Accent1 4 3 3 2 4 3 2" xfId="20652"/>
    <cellStyle name="40% - Accent1 4 3 3 2 4 4" xfId="20653"/>
    <cellStyle name="40% - Accent1 4 3 3 2 4 5" xfId="20654"/>
    <cellStyle name="40% - Accent1 4 3 3 2 5" xfId="20655"/>
    <cellStyle name="40% - Accent1 4 3 3 2 5 2" xfId="20656"/>
    <cellStyle name="40% - Accent1 4 3 3 2 5 3" xfId="20657"/>
    <cellStyle name="40% - Accent1 4 3 3 2 6" xfId="20658"/>
    <cellStyle name="40% - Accent1 4 3 3 2 6 2" xfId="20659"/>
    <cellStyle name="40% - Accent1 4 3 3 2 6 3" xfId="20660"/>
    <cellStyle name="40% - Accent1 4 3 3 2 7" xfId="20661"/>
    <cellStyle name="40% - Accent1 4 3 3 2 7 2" xfId="20662"/>
    <cellStyle name="40% - Accent1 4 3 3 2 8" xfId="20663"/>
    <cellStyle name="40% - Accent1 4 3 3 2 9" xfId="20664"/>
    <cellStyle name="40% - Accent1 4 3 3 3" xfId="20665"/>
    <cellStyle name="40% - Accent1 4 3 3 3 2" xfId="20666"/>
    <cellStyle name="40% - Accent1 4 3 3 3 2 2" xfId="20667"/>
    <cellStyle name="40% - Accent1 4 3 3 3 2 3" xfId="20668"/>
    <cellStyle name="40% - Accent1 4 3 3 3 3" xfId="20669"/>
    <cellStyle name="40% - Accent1 4 3 3 3 3 2" xfId="20670"/>
    <cellStyle name="40% - Accent1 4 3 3 3 3 3" xfId="20671"/>
    <cellStyle name="40% - Accent1 4 3 3 3 4" xfId="20672"/>
    <cellStyle name="40% - Accent1 4 3 3 3 4 2" xfId="20673"/>
    <cellStyle name="40% - Accent1 4 3 3 3 5" xfId="20674"/>
    <cellStyle name="40% - Accent1 4 3 3 3 6" xfId="20675"/>
    <cellStyle name="40% - Accent1 4 3 3 4" xfId="20676"/>
    <cellStyle name="40% - Accent1 4 3 3 4 2" xfId="20677"/>
    <cellStyle name="40% - Accent1 4 3 3 4 2 2" xfId="20678"/>
    <cellStyle name="40% - Accent1 4 3 3 4 2 3" xfId="20679"/>
    <cellStyle name="40% - Accent1 4 3 3 4 3" xfId="20680"/>
    <cellStyle name="40% - Accent1 4 3 3 4 3 2" xfId="20681"/>
    <cellStyle name="40% - Accent1 4 3 3 4 3 3" xfId="20682"/>
    <cellStyle name="40% - Accent1 4 3 3 4 4" xfId="20683"/>
    <cellStyle name="40% - Accent1 4 3 3 4 4 2" xfId="20684"/>
    <cellStyle name="40% - Accent1 4 3 3 4 5" xfId="20685"/>
    <cellStyle name="40% - Accent1 4 3 3 4 6" xfId="20686"/>
    <cellStyle name="40% - Accent1 4 3 3 5" xfId="20687"/>
    <cellStyle name="40% - Accent1 4 3 3 5 2" xfId="20688"/>
    <cellStyle name="40% - Accent1 4 3 3 5 2 2" xfId="20689"/>
    <cellStyle name="40% - Accent1 4 3 3 5 2 3" xfId="20690"/>
    <cellStyle name="40% - Accent1 4 3 3 5 3" xfId="20691"/>
    <cellStyle name="40% - Accent1 4 3 3 5 3 2" xfId="20692"/>
    <cellStyle name="40% - Accent1 4 3 3 5 4" xfId="20693"/>
    <cellStyle name="40% - Accent1 4 3 3 5 5" xfId="20694"/>
    <cellStyle name="40% - Accent1 4 3 3 6" xfId="20695"/>
    <cellStyle name="40% - Accent1 4 3 3 6 2" xfId="20696"/>
    <cellStyle name="40% - Accent1 4 3 3 6 3" xfId="20697"/>
    <cellStyle name="40% - Accent1 4 3 3 7" xfId="20698"/>
    <cellStyle name="40% - Accent1 4 3 3 7 2" xfId="20699"/>
    <cellStyle name="40% - Accent1 4 3 3 7 3" xfId="20700"/>
    <cellStyle name="40% - Accent1 4 3 3 8" xfId="20701"/>
    <cellStyle name="40% - Accent1 4 3 3 8 2" xfId="20702"/>
    <cellStyle name="40% - Accent1 4 3 3 9" xfId="20703"/>
    <cellStyle name="40% - Accent1 4 3 4" xfId="1586"/>
    <cellStyle name="40% - Accent1 4 3 4 2" xfId="20704"/>
    <cellStyle name="40% - Accent1 4 3 4 2 2" xfId="20705"/>
    <cellStyle name="40% - Accent1 4 3 4 2 2 2" xfId="20706"/>
    <cellStyle name="40% - Accent1 4 3 4 2 2 3" xfId="20707"/>
    <cellStyle name="40% - Accent1 4 3 4 2 3" xfId="20708"/>
    <cellStyle name="40% - Accent1 4 3 4 2 3 2" xfId="20709"/>
    <cellStyle name="40% - Accent1 4 3 4 2 3 3" xfId="20710"/>
    <cellStyle name="40% - Accent1 4 3 4 2 4" xfId="20711"/>
    <cellStyle name="40% - Accent1 4 3 4 2 4 2" xfId="20712"/>
    <cellStyle name="40% - Accent1 4 3 4 2 5" xfId="20713"/>
    <cellStyle name="40% - Accent1 4 3 4 2 6" xfId="20714"/>
    <cellStyle name="40% - Accent1 4 3 4 3" xfId="20715"/>
    <cellStyle name="40% - Accent1 4 3 4 3 2" xfId="20716"/>
    <cellStyle name="40% - Accent1 4 3 4 3 2 2" xfId="20717"/>
    <cellStyle name="40% - Accent1 4 3 4 3 2 3" xfId="20718"/>
    <cellStyle name="40% - Accent1 4 3 4 3 3" xfId="20719"/>
    <cellStyle name="40% - Accent1 4 3 4 3 3 2" xfId="20720"/>
    <cellStyle name="40% - Accent1 4 3 4 3 3 3" xfId="20721"/>
    <cellStyle name="40% - Accent1 4 3 4 3 4" xfId="20722"/>
    <cellStyle name="40% - Accent1 4 3 4 3 4 2" xfId="20723"/>
    <cellStyle name="40% - Accent1 4 3 4 3 5" xfId="20724"/>
    <cellStyle name="40% - Accent1 4 3 4 3 6" xfId="20725"/>
    <cellStyle name="40% - Accent1 4 3 4 4" xfId="20726"/>
    <cellStyle name="40% - Accent1 4 3 4 4 2" xfId="20727"/>
    <cellStyle name="40% - Accent1 4 3 4 4 2 2" xfId="20728"/>
    <cellStyle name="40% - Accent1 4 3 4 4 2 3" xfId="20729"/>
    <cellStyle name="40% - Accent1 4 3 4 4 3" xfId="20730"/>
    <cellStyle name="40% - Accent1 4 3 4 4 3 2" xfId="20731"/>
    <cellStyle name="40% - Accent1 4 3 4 4 4" xfId="20732"/>
    <cellStyle name="40% - Accent1 4 3 4 4 5" xfId="20733"/>
    <cellStyle name="40% - Accent1 4 3 4 5" xfId="20734"/>
    <cellStyle name="40% - Accent1 4 3 4 5 2" xfId="20735"/>
    <cellStyle name="40% - Accent1 4 3 4 5 3" xfId="20736"/>
    <cellStyle name="40% - Accent1 4 3 4 6" xfId="20737"/>
    <cellStyle name="40% - Accent1 4 3 4 6 2" xfId="20738"/>
    <cellStyle name="40% - Accent1 4 3 4 6 3" xfId="20739"/>
    <cellStyle name="40% - Accent1 4 3 4 7" xfId="20740"/>
    <cellStyle name="40% - Accent1 4 3 4 7 2" xfId="20741"/>
    <cellStyle name="40% - Accent1 4 3 4 8" xfId="20742"/>
    <cellStyle name="40% - Accent1 4 3 4 9" xfId="20743"/>
    <cellStyle name="40% - Accent1 4 3 5" xfId="20744"/>
    <cellStyle name="40% - Accent1 4 3 5 2" xfId="20745"/>
    <cellStyle name="40% - Accent1 4 3 5 2 2" xfId="20746"/>
    <cellStyle name="40% - Accent1 4 3 5 2 2 2" xfId="20747"/>
    <cellStyle name="40% - Accent1 4 3 5 2 2 3" xfId="20748"/>
    <cellStyle name="40% - Accent1 4 3 5 2 3" xfId="20749"/>
    <cellStyle name="40% - Accent1 4 3 5 2 3 2" xfId="20750"/>
    <cellStyle name="40% - Accent1 4 3 5 2 3 3" xfId="20751"/>
    <cellStyle name="40% - Accent1 4 3 5 2 4" xfId="20752"/>
    <cellStyle name="40% - Accent1 4 3 5 2 4 2" xfId="20753"/>
    <cellStyle name="40% - Accent1 4 3 5 2 5" xfId="20754"/>
    <cellStyle name="40% - Accent1 4 3 5 2 6" xfId="20755"/>
    <cellStyle name="40% - Accent1 4 3 5 3" xfId="20756"/>
    <cellStyle name="40% - Accent1 4 3 5 3 2" xfId="20757"/>
    <cellStyle name="40% - Accent1 4 3 5 3 2 2" xfId="20758"/>
    <cellStyle name="40% - Accent1 4 3 5 3 2 3" xfId="20759"/>
    <cellStyle name="40% - Accent1 4 3 5 3 3" xfId="20760"/>
    <cellStyle name="40% - Accent1 4 3 5 3 3 2" xfId="20761"/>
    <cellStyle name="40% - Accent1 4 3 5 3 3 3" xfId="20762"/>
    <cellStyle name="40% - Accent1 4 3 5 3 4" xfId="20763"/>
    <cellStyle name="40% - Accent1 4 3 5 3 4 2" xfId="20764"/>
    <cellStyle name="40% - Accent1 4 3 5 3 5" xfId="20765"/>
    <cellStyle name="40% - Accent1 4 3 5 3 6" xfId="20766"/>
    <cellStyle name="40% - Accent1 4 3 5 4" xfId="20767"/>
    <cellStyle name="40% - Accent1 4 3 5 4 2" xfId="20768"/>
    <cellStyle name="40% - Accent1 4 3 5 4 2 2" xfId="20769"/>
    <cellStyle name="40% - Accent1 4 3 5 4 2 3" xfId="20770"/>
    <cellStyle name="40% - Accent1 4 3 5 4 3" xfId="20771"/>
    <cellStyle name="40% - Accent1 4 3 5 4 3 2" xfId="20772"/>
    <cellStyle name="40% - Accent1 4 3 5 4 4" xfId="20773"/>
    <cellStyle name="40% - Accent1 4 3 5 4 5" xfId="20774"/>
    <cellStyle name="40% - Accent1 4 3 5 5" xfId="20775"/>
    <cellStyle name="40% - Accent1 4 3 5 5 2" xfId="20776"/>
    <cellStyle name="40% - Accent1 4 3 5 5 3" xfId="20777"/>
    <cellStyle name="40% - Accent1 4 3 5 6" xfId="20778"/>
    <cellStyle name="40% - Accent1 4 3 5 6 2" xfId="20779"/>
    <cellStyle name="40% - Accent1 4 3 5 6 3" xfId="20780"/>
    <cellStyle name="40% - Accent1 4 3 5 7" xfId="20781"/>
    <cellStyle name="40% - Accent1 4 3 5 7 2" xfId="20782"/>
    <cellStyle name="40% - Accent1 4 3 5 8" xfId="20783"/>
    <cellStyle name="40% - Accent1 4 3 5 9" xfId="20784"/>
    <cellStyle name="40% - Accent1 4 3 6" xfId="20785"/>
    <cellStyle name="40% - Accent1 4 3 6 2" xfId="20786"/>
    <cellStyle name="40% - Accent1 4 3 6 2 2" xfId="20787"/>
    <cellStyle name="40% - Accent1 4 3 6 2 3" xfId="20788"/>
    <cellStyle name="40% - Accent1 4 3 6 3" xfId="20789"/>
    <cellStyle name="40% - Accent1 4 3 6 3 2" xfId="20790"/>
    <cellStyle name="40% - Accent1 4 3 6 3 3" xfId="20791"/>
    <cellStyle name="40% - Accent1 4 3 6 4" xfId="20792"/>
    <cellStyle name="40% - Accent1 4 3 6 4 2" xfId="20793"/>
    <cellStyle name="40% - Accent1 4 3 6 5" xfId="20794"/>
    <cellStyle name="40% - Accent1 4 3 6 6" xfId="20795"/>
    <cellStyle name="40% - Accent1 4 3 7" xfId="20796"/>
    <cellStyle name="40% - Accent1 4 3 7 2" xfId="20797"/>
    <cellStyle name="40% - Accent1 4 3 7 2 2" xfId="20798"/>
    <cellStyle name="40% - Accent1 4 3 7 2 3" xfId="20799"/>
    <cellStyle name="40% - Accent1 4 3 7 3" xfId="20800"/>
    <cellStyle name="40% - Accent1 4 3 7 3 2" xfId="20801"/>
    <cellStyle name="40% - Accent1 4 3 7 3 3" xfId="20802"/>
    <cellStyle name="40% - Accent1 4 3 7 4" xfId="20803"/>
    <cellStyle name="40% - Accent1 4 3 7 4 2" xfId="20804"/>
    <cellStyle name="40% - Accent1 4 3 7 5" xfId="20805"/>
    <cellStyle name="40% - Accent1 4 3 7 6" xfId="20806"/>
    <cellStyle name="40% - Accent1 4 3 8" xfId="20807"/>
    <cellStyle name="40% - Accent1 4 3 8 2" xfId="20808"/>
    <cellStyle name="40% - Accent1 4 3 8 2 2" xfId="20809"/>
    <cellStyle name="40% - Accent1 4 3 8 2 3" xfId="20810"/>
    <cellStyle name="40% - Accent1 4 3 8 3" xfId="20811"/>
    <cellStyle name="40% - Accent1 4 3 8 3 2" xfId="20812"/>
    <cellStyle name="40% - Accent1 4 3 8 4" xfId="20813"/>
    <cellStyle name="40% - Accent1 4 3 8 5" xfId="20814"/>
    <cellStyle name="40% - Accent1 4 3 9" xfId="20815"/>
    <cellStyle name="40% - Accent1 4 3 9 2" xfId="20816"/>
    <cellStyle name="40% - Accent1 4 3 9 3" xfId="20817"/>
    <cellStyle name="40% - Accent1 4 4" xfId="1587"/>
    <cellStyle name="40% - Accent1 4 4 10" xfId="20818"/>
    <cellStyle name="40% - Accent1 4 4 10 2" xfId="20819"/>
    <cellStyle name="40% - Accent1 4 4 11" xfId="20820"/>
    <cellStyle name="40% - Accent1 4 4 12" xfId="20821"/>
    <cellStyle name="40% - Accent1 4 4 2" xfId="1588"/>
    <cellStyle name="40% - Accent1 4 4 2 10" xfId="20822"/>
    <cellStyle name="40% - Accent1 4 4 2 2" xfId="1589"/>
    <cellStyle name="40% - Accent1 4 4 2 2 2" xfId="20823"/>
    <cellStyle name="40% - Accent1 4 4 2 2 2 2" xfId="20824"/>
    <cellStyle name="40% - Accent1 4 4 2 2 2 2 2" xfId="20825"/>
    <cellStyle name="40% - Accent1 4 4 2 2 2 2 3" xfId="20826"/>
    <cellStyle name="40% - Accent1 4 4 2 2 2 3" xfId="20827"/>
    <cellStyle name="40% - Accent1 4 4 2 2 2 3 2" xfId="20828"/>
    <cellStyle name="40% - Accent1 4 4 2 2 2 3 3" xfId="20829"/>
    <cellStyle name="40% - Accent1 4 4 2 2 2 4" xfId="20830"/>
    <cellStyle name="40% - Accent1 4 4 2 2 2 4 2" xfId="20831"/>
    <cellStyle name="40% - Accent1 4 4 2 2 2 5" xfId="20832"/>
    <cellStyle name="40% - Accent1 4 4 2 2 2 6" xfId="20833"/>
    <cellStyle name="40% - Accent1 4 4 2 2 3" xfId="20834"/>
    <cellStyle name="40% - Accent1 4 4 2 2 3 2" xfId="20835"/>
    <cellStyle name="40% - Accent1 4 4 2 2 3 2 2" xfId="20836"/>
    <cellStyle name="40% - Accent1 4 4 2 2 3 2 3" xfId="20837"/>
    <cellStyle name="40% - Accent1 4 4 2 2 3 3" xfId="20838"/>
    <cellStyle name="40% - Accent1 4 4 2 2 3 3 2" xfId="20839"/>
    <cellStyle name="40% - Accent1 4 4 2 2 3 3 3" xfId="20840"/>
    <cellStyle name="40% - Accent1 4 4 2 2 3 4" xfId="20841"/>
    <cellStyle name="40% - Accent1 4 4 2 2 3 4 2" xfId="20842"/>
    <cellStyle name="40% - Accent1 4 4 2 2 3 5" xfId="20843"/>
    <cellStyle name="40% - Accent1 4 4 2 2 3 6" xfId="20844"/>
    <cellStyle name="40% - Accent1 4 4 2 2 4" xfId="20845"/>
    <cellStyle name="40% - Accent1 4 4 2 2 4 2" xfId="20846"/>
    <cellStyle name="40% - Accent1 4 4 2 2 4 2 2" xfId="20847"/>
    <cellStyle name="40% - Accent1 4 4 2 2 4 2 3" xfId="20848"/>
    <cellStyle name="40% - Accent1 4 4 2 2 4 3" xfId="20849"/>
    <cellStyle name="40% - Accent1 4 4 2 2 4 3 2" xfId="20850"/>
    <cellStyle name="40% - Accent1 4 4 2 2 4 4" xfId="20851"/>
    <cellStyle name="40% - Accent1 4 4 2 2 4 5" xfId="20852"/>
    <cellStyle name="40% - Accent1 4 4 2 2 5" xfId="20853"/>
    <cellStyle name="40% - Accent1 4 4 2 2 5 2" xfId="20854"/>
    <cellStyle name="40% - Accent1 4 4 2 2 5 3" xfId="20855"/>
    <cellStyle name="40% - Accent1 4 4 2 2 6" xfId="20856"/>
    <cellStyle name="40% - Accent1 4 4 2 2 6 2" xfId="20857"/>
    <cellStyle name="40% - Accent1 4 4 2 2 6 3" xfId="20858"/>
    <cellStyle name="40% - Accent1 4 4 2 2 7" xfId="20859"/>
    <cellStyle name="40% - Accent1 4 4 2 2 7 2" xfId="20860"/>
    <cellStyle name="40% - Accent1 4 4 2 2 8" xfId="20861"/>
    <cellStyle name="40% - Accent1 4 4 2 2 9" xfId="20862"/>
    <cellStyle name="40% - Accent1 4 4 2 3" xfId="20863"/>
    <cellStyle name="40% - Accent1 4 4 2 3 2" xfId="20864"/>
    <cellStyle name="40% - Accent1 4 4 2 3 2 2" xfId="20865"/>
    <cellStyle name="40% - Accent1 4 4 2 3 2 3" xfId="20866"/>
    <cellStyle name="40% - Accent1 4 4 2 3 3" xfId="20867"/>
    <cellStyle name="40% - Accent1 4 4 2 3 3 2" xfId="20868"/>
    <cellStyle name="40% - Accent1 4 4 2 3 3 3" xfId="20869"/>
    <cellStyle name="40% - Accent1 4 4 2 3 4" xfId="20870"/>
    <cellStyle name="40% - Accent1 4 4 2 3 4 2" xfId="20871"/>
    <cellStyle name="40% - Accent1 4 4 2 3 5" xfId="20872"/>
    <cellStyle name="40% - Accent1 4 4 2 3 6" xfId="20873"/>
    <cellStyle name="40% - Accent1 4 4 2 4" xfId="20874"/>
    <cellStyle name="40% - Accent1 4 4 2 4 2" xfId="20875"/>
    <cellStyle name="40% - Accent1 4 4 2 4 2 2" xfId="20876"/>
    <cellStyle name="40% - Accent1 4 4 2 4 2 3" xfId="20877"/>
    <cellStyle name="40% - Accent1 4 4 2 4 3" xfId="20878"/>
    <cellStyle name="40% - Accent1 4 4 2 4 3 2" xfId="20879"/>
    <cellStyle name="40% - Accent1 4 4 2 4 3 3" xfId="20880"/>
    <cellStyle name="40% - Accent1 4 4 2 4 4" xfId="20881"/>
    <cellStyle name="40% - Accent1 4 4 2 4 4 2" xfId="20882"/>
    <cellStyle name="40% - Accent1 4 4 2 4 5" xfId="20883"/>
    <cellStyle name="40% - Accent1 4 4 2 4 6" xfId="20884"/>
    <cellStyle name="40% - Accent1 4 4 2 5" xfId="20885"/>
    <cellStyle name="40% - Accent1 4 4 2 5 2" xfId="20886"/>
    <cellStyle name="40% - Accent1 4 4 2 5 2 2" xfId="20887"/>
    <cellStyle name="40% - Accent1 4 4 2 5 2 3" xfId="20888"/>
    <cellStyle name="40% - Accent1 4 4 2 5 3" xfId="20889"/>
    <cellStyle name="40% - Accent1 4 4 2 5 3 2" xfId="20890"/>
    <cellStyle name="40% - Accent1 4 4 2 5 4" xfId="20891"/>
    <cellStyle name="40% - Accent1 4 4 2 5 5" xfId="20892"/>
    <cellStyle name="40% - Accent1 4 4 2 6" xfId="20893"/>
    <cellStyle name="40% - Accent1 4 4 2 6 2" xfId="20894"/>
    <cellStyle name="40% - Accent1 4 4 2 6 3" xfId="20895"/>
    <cellStyle name="40% - Accent1 4 4 2 7" xfId="20896"/>
    <cellStyle name="40% - Accent1 4 4 2 7 2" xfId="20897"/>
    <cellStyle name="40% - Accent1 4 4 2 7 3" xfId="20898"/>
    <cellStyle name="40% - Accent1 4 4 2 8" xfId="20899"/>
    <cellStyle name="40% - Accent1 4 4 2 8 2" xfId="20900"/>
    <cellStyle name="40% - Accent1 4 4 2 9" xfId="20901"/>
    <cellStyle name="40% - Accent1 4 4 3" xfId="1590"/>
    <cellStyle name="40% - Accent1 4 4 3 2" xfId="20902"/>
    <cellStyle name="40% - Accent1 4 4 3 2 2" xfId="20903"/>
    <cellStyle name="40% - Accent1 4 4 3 2 2 2" xfId="20904"/>
    <cellStyle name="40% - Accent1 4 4 3 2 2 3" xfId="20905"/>
    <cellStyle name="40% - Accent1 4 4 3 2 3" xfId="20906"/>
    <cellStyle name="40% - Accent1 4 4 3 2 3 2" xfId="20907"/>
    <cellStyle name="40% - Accent1 4 4 3 2 3 3" xfId="20908"/>
    <cellStyle name="40% - Accent1 4 4 3 2 4" xfId="20909"/>
    <cellStyle name="40% - Accent1 4 4 3 2 4 2" xfId="20910"/>
    <cellStyle name="40% - Accent1 4 4 3 2 5" xfId="20911"/>
    <cellStyle name="40% - Accent1 4 4 3 2 6" xfId="20912"/>
    <cellStyle name="40% - Accent1 4 4 3 3" xfId="20913"/>
    <cellStyle name="40% - Accent1 4 4 3 3 2" xfId="20914"/>
    <cellStyle name="40% - Accent1 4 4 3 3 2 2" xfId="20915"/>
    <cellStyle name="40% - Accent1 4 4 3 3 2 3" xfId="20916"/>
    <cellStyle name="40% - Accent1 4 4 3 3 3" xfId="20917"/>
    <cellStyle name="40% - Accent1 4 4 3 3 3 2" xfId="20918"/>
    <cellStyle name="40% - Accent1 4 4 3 3 3 3" xfId="20919"/>
    <cellStyle name="40% - Accent1 4 4 3 3 4" xfId="20920"/>
    <cellStyle name="40% - Accent1 4 4 3 3 4 2" xfId="20921"/>
    <cellStyle name="40% - Accent1 4 4 3 3 5" xfId="20922"/>
    <cellStyle name="40% - Accent1 4 4 3 3 6" xfId="20923"/>
    <cellStyle name="40% - Accent1 4 4 3 4" xfId="20924"/>
    <cellStyle name="40% - Accent1 4 4 3 4 2" xfId="20925"/>
    <cellStyle name="40% - Accent1 4 4 3 4 2 2" xfId="20926"/>
    <cellStyle name="40% - Accent1 4 4 3 4 2 3" xfId="20927"/>
    <cellStyle name="40% - Accent1 4 4 3 4 3" xfId="20928"/>
    <cellStyle name="40% - Accent1 4 4 3 4 3 2" xfId="20929"/>
    <cellStyle name="40% - Accent1 4 4 3 4 4" xfId="20930"/>
    <cellStyle name="40% - Accent1 4 4 3 4 5" xfId="20931"/>
    <cellStyle name="40% - Accent1 4 4 3 5" xfId="20932"/>
    <cellStyle name="40% - Accent1 4 4 3 5 2" xfId="20933"/>
    <cellStyle name="40% - Accent1 4 4 3 5 3" xfId="20934"/>
    <cellStyle name="40% - Accent1 4 4 3 6" xfId="20935"/>
    <cellStyle name="40% - Accent1 4 4 3 6 2" xfId="20936"/>
    <cellStyle name="40% - Accent1 4 4 3 6 3" xfId="20937"/>
    <cellStyle name="40% - Accent1 4 4 3 7" xfId="20938"/>
    <cellStyle name="40% - Accent1 4 4 3 7 2" xfId="20939"/>
    <cellStyle name="40% - Accent1 4 4 3 8" xfId="20940"/>
    <cellStyle name="40% - Accent1 4 4 3 9" xfId="20941"/>
    <cellStyle name="40% - Accent1 4 4 4" xfId="20942"/>
    <cellStyle name="40% - Accent1 4 4 4 2" xfId="20943"/>
    <cellStyle name="40% - Accent1 4 4 4 2 2" xfId="20944"/>
    <cellStyle name="40% - Accent1 4 4 4 2 2 2" xfId="20945"/>
    <cellStyle name="40% - Accent1 4 4 4 2 2 3" xfId="20946"/>
    <cellStyle name="40% - Accent1 4 4 4 2 3" xfId="20947"/>
    <cellStyle name="40% - Accent1 4 4 4 2 3 2" xfId="20948"/>
    <cellStyle name="40% - Accent1 4 4 4 2 3 3" xfId="20949"/>
    <cellStyle name="40% - Accent1 4 4 4 2 4" xfId="20950"/>
    <cellStyle name="40% - Accent1 4 4 4 2 4 2" xfId="20951"/>
    <cellStyle name="40% - Accent1 4 4 4 2 5" xfId="20952"/>
    <cellStyle name="40% - Accent1 4 4 4 2 6" xfId="20953"/>
    <cellStyle name="40% - Accent1 4 4 4 3" xfId="20954"/>
    <cellStyle name="40% - Accent1 4 4 4 3 2" xfId="20955"/>
    <cellStyle name="40% - Accent1 4 4 4 3 2 2" xfId="20956"/>
    <cellStyle name="40% - Accent1 4 4 4 3 2 3" xfId="20957"/>
    <cellStyle name="40% - Accent1 4 4 4 3 3" xfId="20958"/>
    <cellStyle name="40% - Accent1 4 4 4 3 3 2" xfId="20959"/>
    <cellStyle name="40% - Accent1 4 4 4 3 3 3" xfId="20960"/>
    <cellStyle name="40% - Accent1 4 4 4 3 4" xfId="20961"/>
    <cellStyle name="40% - Accent1 4 4 4 3 4 2" xfId="20962"/>
    <cellStyle name="40% - Accent1 4 4 4 3 5" xfId="20963"/>
    <cellStyle name="40% - Accent1 4 4 4 3 6" xfId="20964"/>
    <cellStyle name="40% - Accent1 4 4 4 4" xfId="20965"/>
    <cellStyle name="40% - Accent1 4 4 4 4 2" xfId="20966"/>
    <cellStyle name="40% - Accent1 4 4 4 4 2 2" xfId="20967"/>
    <cellStyle name="40% - Accent1 4 4 4 4 2 3" xfId="20968"/>
    <cellStyle name="40% - Accent1 4 4 4 4 3" xfId="20969"/>
    <cellStyle name="40% - Accent1 4 4 4 4 3 2" xfId="20970"/>
    <cellStyle name="40% - Accent1 4 4 4 4 4" xfId="20971"/>
    <cellStyle name="40% - Accent1 4 4 4 4 5" xfId="20972"/>
    <cellStyle name="40% - Accent1 4 4 4 5" xfId="20973"/>
    <cellStyle name="40% - Accent1 4 4 4 5 2" xfId="20974"/>
    <cellStyle name="40% - Accent1 4 4 4 5 3" xfId="20975"/>
    <cellStyle name="40% - Accent1 4 4 4 6" xfId="20976"/>
    <cellStyle name="40% - Accent1 4 4 4 6 2" xfId="20977"/>
    <cellStyle name="40% - Accent1 4 4 4 6 3" xfId="20978"/>
    <cellStyle name="40% - Accent1 4 4 4 7" xfId="20979"/>
    <cellStyle name="40% - Accent1 4 4 4 7 2" xfId="20980"/>
    <cellStyle name="40% - Accent1 4 4 4 8" xfId="20981"/>
    <cellStyle name="40% - Accent1 4 4 4 9" xfId="20982"/>
    <cellStyle name="40% - Accent1 4 4 5" xfId="20983"/>
    <cellStyle name="40% - Accent1 4 4 5 2" xfId="20984"/>
    <cellStyle name="40% - Accent1 4 4 5 2 2" xfId="20985"/>
    <cellStyle name="40% - Accent1 4 4 5 2 3" xfId="20986"/>
    <cellStyle name="40% - Accent1 4 4 5 3" xfId="20987"/>
    <cellStyle name="40% - Accent1 4 4 5 3 2" xfId="20988"/>
    <cellStyle name="40% - Accent1 4 4 5 3 3" xfId="20989"/>
    <cellStyle name="40% - Accent1 4 4 5 4" xfId="20990"/>
    <cellStyle name="40% - Accent1 4 4 5 4 2" xfId="20991"/>
    <cellStyle name="40% - Accent1 4 4 5 5" xfId="20992"/>
    <cellStyle name="40% - Accent1 4 4 5 6" xfId="20993"/>
    <cellStyle name="40% - Accent1 4 4 6" xfId="20994"/>
    <cellStyle name="40% - Accent1 4 4 6 2" xfId="20995"/>
    <cellStyle name="40% - Accent1 4 4 6 2 2" xfId="20996"/>
    <cellStyle name="40% - Accent1 4 4 6 2 3" xfId="20997"/>
    <cellStyle name="40% - Accent1 4 4 6 3" xfId="20998"/>
    <cellStyle name="40% - Accent1 4 4 6 3 2" xfId="20999"/>
    <cellStyle name="40% - Accent1 4 4 6 3 3" xfId="21000"/>
    <cellStyle name="40% - Accent1 4 4 6 4" xfId="21001"/>
    <cellStyle name="40% - Accent1 4 4 6 4 2" xfId="21002"/>
    <cellStyle name="40% - Accent1 4 4 6 5" xfId="21003"/>
    <cellStyle name="40% - Accent1 4 4 6 6" xfId="21004"/>
    <cellStyle name="40% - Accent1 4 4 7" xfId="21005"/>
    <cellStyle name="40% - Accent1 4 4 7 2" xfId="21006"/>
    <cellStyle name="40% - Accent1 4 4 7 2 2" xfId="21007"/>
    <cellStyle name="40% - Accent1 4 4 7 2 3" xfId="21008"/>
    <cellStyle name="40% - Accent1 4 4 7 3" xfId="21009"/>
    <cellStyle name="40% - Accent1 4 4 7 3 2" xfId="21010"/>
    <cellStyle name="40% - Accent1 4 4 7 4" xfId="21011"/>
    <cellStyle name="40% - Accent1 4 4 7 5" xfId="21012"/>
    <cellStyle name="40% - Accent1 4 4 8" xfId="21013"/>
    <cellStyle name="40% - Accent1 4 4 8 2" xfId="21014"/>
    <cellStyle name="40% - Accent1 4 4 8 3" xfId="21015"/>
    <cellStyle name="40% - Accent1 4 4 9" xfId="21016"/>
    <cellStyle name="40% - Accent1 4 4 9 2" xfId="21017"/>
    <cellStyle name="40% - Accent1 4 4 9 3" xfId="21018"/>
    <cellStyle name="40% - Accent1 4 5" xfId="1591"/>
    <cellStyle name="40% - Accent1 4 5 10" xfId="21019"/>
    <cellStyle name="40% - Accent1 4 5 2" xfId="1592"/>
    <cellStyle name="40% - Accent1 4 5 2 2" xfId="21020"/>
    <cellStyle name="40% - Accent1 4 5 2 2 2" xfId="21021"/>
    <cellStyle name="40% - Accent1 4 5 2 2 2 2" xfId="21022"/>
    <cellStyle name="40% - Accent1 4 5 2 2 2 3" xfId="21023"/>
    <cellStyle name="40% - Accent1 4 5 2 2 3" xfId="21024"/>
    <cellStyle name="40% - Accent1 4 5 2 2 3 2" xfId="21025"/>
    <cellStyle name="40% - Accent1 4 5 2 2 3 3" xfId="21026"/>
    <cellStyle name="40% - Accent1 4 5 2 2 4" xfId="21027"/>
    <cellStyle name="40% - Accent1 4 5 2 2 4 2" xfId="21028"/>
    <cellStyle name="40% - Accent1 4 5 2 2 5" xfId="21029"/>
    <cellStyle name="40% - Accent1 4 5 2 2 6" xfId="21030"/>
    <cellStyle name="40% - Accent1 4 5 2 3" xfId="21031"/>
    <cellStyle name="40% - Accent1 4 5 2 3 2" xfId="21032"/>
    <cellStyle name="40% - Accent1 4 5 2 3 2 2" xfId="21033"/>
    <cellStyle name="40% - Accent1 4 5 2 3 2 3" xfId="21034"/>
    <cellStyle name="40% - Accent1 4 5 2 3 3" xfId="21035"/>
    <cellStyle name="40% - Accent1 4 5 2 3 3 2" xfId="21036"/>
    <cellStyle name="40% - Accent1 4 5 2 3 3 3" xfId="21037"/>
    <cellStyle name="40% - Accent1 4 5 2 3 4" xfId="21038"/>
    <cellStyle name="40% - Accent1 4 5 2 3 4 2" xfId="21039"/>
    <cellStyle name="40% - Accent1 4 5 2 3 5" xfId="21040"/>
    <cellStyle name="40% - Accent1 4 5 2 3 6" xfId="21041"/>
    <cellStyle name="40% - Accent1 4 5 2 4" xfId="21042"/>
    <cellStyle name="40% - Accent1 4 5 2 4 2" xfId="21043"/>
    <cellStyle name="40% - Accent1 4 5 2 4 2 2" xfId="21044"/>
    <cellStyle name="40% - Accent1 4 5 2 4 2 3" xfId="21045"/>
    <cellStyle name="40% - Accent1 4 5 2 4 3" xfId="21046"/>
    <cellStyle name="40% - Accent1 4 5 2 4 3 2" xfId="21047"/>
    <cellStyle name="40% - Accent1 4 5 2 4 4" xfId="21048"/>
    <cellStyle name="40% - Accent1 4 5 2 4 5" xfId="21049"/>
    <cellStyle name="40% - Accent1 4 5 2 5" xfId="21050"/>
    <cellStyle name="40% - Accent1 4 5 2 5 2" xfId="21051"/>
    <cellStyle name="40% - Accent1 4 5 2 5 3" xfId="21052"/>
    <cellStyle name="40% - Accent1 4 5 2 6" xfId="21053"/>
    <cellStyle name="40% - Accent1 4 5 2 6 2" xfId="21054"/>
    <cellStyle name="40% - Accent1 4 5 2 6 3" xfId="21055"/>
    <cellStyle name="40% - Accent1 4 5 2 7" xfId="21056"/>
    <cellStyle name="40% - Accent1 4 5 2 7 2" xfId="21057"/>
    <cellStyle name="40% - Accent1 4 5 2 8" xfId="21058"/>
    <cellStyle name="40% - Accent1 4 5 2 9" xfId="21059"/>
    <cellStyle name="40% - Accent1 4 5 3" xfId="21060"/>
    <cellStyle name="40% - Accent1 4 5 3 2" xfId="21061"/>
    <cellStyle name="40% - Accent1 4 5 3 2 2" xfId="21062"/>
    <cellStyle name="40% - Accent1 4 5 3 2 3" xfId="21063"/>
    <cellStyle name="40% - Accent1 4 5 3 3" xfId="21064"/>
    <cellStyle name="40% - Accent1 4 5 3 3 2" xfId="21065"/>
    <cellStyle name="40% - Accent1 4 5 3 3 3" xfId="21066"/>
    <cellStyle name="40% - Accent1 4 5 3 4" xfId="21067"/>
    <cellStyle name="40% - Accent1 4 5 3 4 2" xfId="21068"/>
    <cellStyle name="40% - Accent1 4 5 3 5" xfId="21069"/>
    <cellStyle name="40% - Accent1 4 5 3 6" xfId="21070"/>
    <cellStyle name="40% - Accent1 4 5 4" xfId="21071"/>
    <cellStyle name="40% - Accent1 4 5 4 2" xfId="21072"/>
    <cellStyle name="40% - Accent1 4 5 4 2 2" xfId="21073"/>
    <cellStyle name="40% - Accent1 4 5 4 2 3" xfId="21074"/>
    <cellStyle name="40% - Accent1 4 5 4 3" xfId="21075"/>
    <cellStyle name="40% - Accent1 4 5 4 3 2" xfId="21076"/>
    <cellStyle name="40% - Accent1 4 5 4 3 3" xfId="21077"/>
    <cellStyle name="40% - Accent1 4 5 4 4" xfId="21078"/>
    <cellStyle name="40% - Accent1 4 5 4 4 2" xfId="21079"/>
    <cellStyle name="40% - Accent1 4 5 4 5" xfId="21080"/>
    <cellStyle name="40% - Accent1 4 5 4 6" xfId="21081"/>
    <cellStyle name="40% - Accent1 4 5 5" xfId="21082"/>
    <cellStyle name="40% - Accent1 4 5 5 2" xfId="21083"/>
    <cellStyle name="40% - Accent1 4 5 5 2 2" xfId="21084"/>
    <cellStyle name="40% - Accent1 4 5 5 2 3" xfId="21085"/>
    <cellStyle name="40% - Accent1 4 5 5 3" xfId="21086"/>
    <cellStyle name="40% - Accent1 4 5 5 3 2" xfId="21087"/>
    <cellStyle name="40% - Accent1 4 5 5 4" xfId="21088"/>
    <cellStyle name="40% - Accent1 4 5 5 5" xfId="21089"/>
    <cellStyle name="40% - Accent1 4 5 6" xfId="21090"/>
    <cellStyle name="40% - Accent1 4 5 6 2" xfId="21091"/>
    <cellStyle name="40% - Accent1 4 5 6 3" xfId="21092"/>
    <cellStyle name="40% - Accent1 4 5 7" xfId="21093"/>
    <cellStyle name="40% - Accent1 4 5 7 2" xfId="21094"/>
    <cellStyle name="40% - Accent1 4 5 7 3" xfId="21095"/>
    <cellStyle name="40% - Accent1 4 5 8" xfId="21096"/>
    <cellStyle name="40% - Accent1 4 5 8 2" xfId="21097"/>
    <cellStyle name="40% - Accent1 4 5 9" xfId="21098"/>
    <cellStyle name="40% - Accent1 4 6" xfId="1593"/>
    <cellStyle name="40% - Accent1 4 6 2" xfId="21099"/>
    <cellStyle name="40% - Accent1 4 6 2 2" xfId="21100"/>
    <cellStyle name="40% - Accent1 4 6 2 2 2" xfId="21101"/>
    <cellStyle name="40% - Accent1 4 6 2 2 3" xfId="21102"/>
    <cellStyle name="40% - Accent1 4 6 2 3" xfId="21103"/>
    <cellStyle name="40% - Accent1 4 6 2 3 2" xfId="21104"/>
    <cellStyle name="40% - Accent1 4 6 2 3 3" xfId="21105"/>
    <cellStyle name="40% - Accent1 4 6 2 4" xfId="21106"/>
    <cellStyle name="40% - Accent1 4 6 2 4 2" xfId="21107"/>
    <cellStyle name="40% - Accent1 4 6 2 5" xfId="21108"/>
    <cellStyle name="40% - Accent1 4 6 2 6" xfId="21109"/>
    <cellStyle name="40% - Accent1 4 6 3" xfId="21110"/>
    <cellStyle name="40% - Accent1 4 6 3 2" xfId="21111"/>
    <cellStyle name="40% - Accent1 4 6 3 2 2" xfId="21112"/>
    <cellStyle name="40% - Accent1 4 6 3 2 3" xfId="21113"/>
    <cellStyle name="40% - Accent1 4 6 3 3" xfId="21114"/>
    <cellStyle name="40% - Accent1 4 6 3 3 2" xfId="21115"/>
    <cellStyle name="40% - Accent1 4 6 3 3 3" xfId="21116"/>
    <cellStyle name="40% - Accent1 4 6 3 4" xfId="21117"/>
    <cellStyle name="40% - Accent1 4 6 3 4 2" xfId="21118"/>
    <cellStyle name="40% - Accent1 4 6 3 5" xfId="21119"/>
    <cellStyle name="40% - Accent1 4 6 3 6" xfId="21120"/>
    <cellStyle name="40% - Accent1 4 6 4" xfId="21121"/>
    <cellStyle name="40% - Accent1 4 6 4 2" xfId="21122"/>
    <cellStyle name="40% - Accent1 4 6 4 2 2" xfId="21123"/>
    <cellStyle name="40% - Accent1 4 6 4 2 3" xfId="21124"/>
    <cellStyle name="40% - Accent1 4 6 4 3" xfId="21125"/>
    <cellStyle name="40% - Accent1 4 6 4 3 2" xfId="21126"/>
    <cellStyle name="40% - Accent1 4 6 4 4" xfId="21127"/>
    <cellStyle name="40% - Accent1 4 6 4 5" xfId="21128"/>
    <cellStyle name="40% - Accent1 4 6 5" xfId="21129"/>
    <cellStyle name="40% - Accent1 4 6 5 2" xfId="21130"/>
    <cellStyle name="40% - Accent1 4 6 5 3" xfId="21131"/>
    <cellStyle name="40% - Accent1 4 6 6" xfId="21132"/>
    <cellStyle name="40% - Accent1 4 6 6 2" xfId="21133"/>
    <cellStyle name="40% - Accent1 4 6 6 3" xfId="21134"/>
    <cellStyle name="40% - Accent1 4 6 7" xfId="21135"/>
    <cellStyle name="40% - Accent1 4 6 7 2" xfId="21136"/>
    <cellStyle name="40% - Accent1 4 6 8" xfId="21137"/>
    <cellStyle name="40% - Accent1 4 6 9" xfId="21138"/>
    <cellStyle name="40% - Accent1 4 7" xfId="8954"/>
    <cellStyle name="40% - Accent1 4 7 2" xfId="21139"/>
    <cellStyle name="40% - Accent1 4 7 2 2" xfId="21140"/>
    <cellStyle name="40% - Accent1 4 7 2 2 2" xfId="21141"/>
    <cellStyle name="40% - Accent1 4 7 2 2 3" xfId="21142"/>
    <cellStyle name="40% - Accent1 4 7 2 3" xfId="21143"/>
    <cellStyle name="40% - Accent1 4 7 2 3 2" xfId="21144"/>
    <cellStyle name="40% - Accent1 4 7 2 3 3" xfId="21145"/>
    <cellStyle name="40% - Accent1 4 7 2 4" xfId="21146"/>
    <cellStyle name="40% - Accent1 4 7 2 4 2" xfId="21147"/>
    <cellStyle name="40% - Accent1 4 7 2 5" xfId="21148"/>
    <cellStyle name="40% - Accent1 4 7 2 6" xfId="21149"/>
    <cellStyle name="40% - Accent1 4 7 3" xfId="21150"/>
    <cellStyle name="40% - Accent1 4 7 3 2" xfId="21151"/>
    <cellStyle name="40% - Accent1 4 7 3 2 2" xfId="21152"/>
    <cellStyle name="40% - Accent1 4 7 3 2 3" xfId="21153"/>
    <cellStyle name="40% - Accent1 4 7 3 3" xfId="21154"/>
    <cellStyle name="40% - Accent1 4 7 3 3 2" xfId="21155"/>
    <cellStyle name="40% - Accent1 4 7 3 3 3" xfId="21156"/>
    <cellStyle name="40% - Accent1 4 7 3 4" xfId="21157"/>
    <cellStyle name="40% - Accent1 4 7 3 4 2" xfId="21158"/>
    <cellStyle name="40% - Accent1 4 7 3 5" xfId="21159"/>
    <cellStyle name="40% - Accent1 4 7 3 6" xfId="21160"/>
    <cellStyle name="40% - Accent1 4 7 4" xfId="21161"/>
    <cellStyle name="40% - Accent1 4 7 4 2" xfId="21162"/>
    <cellStyle name="40% - Accent1 4 7 4 2 2" xfId="21163"/>
    <cellStyle name="40% - Accent1 4 7 4 2 3" xfId="21164"/>
    <cellStyle name="40% - Accent1 4 7 4 3" xfId="21165"/>
    <cellStyle name="40% - Accent1 4 7 4 3 2" xfId="21166"/>
    <cellStyle name="40% - Accent1 4 7 4 4" xfId="21167"/>
    <cellStyle name="40% - Accent1 4 7 4 5" xfId="21168"/>
    <cellStyle name="40% - Accent1 4 7 5" xfId="21169"/>
    <cellStyle name="40% - Accent1 4 7 5 2" xfId="21170"/>
    <cellStyle name="40% - Accent1 4 7 5 3" xfId="21171"/>
    <cellStyle name="40% - Accent1 4 7 6" xfId="21172"/>
    <cellStyle name="40% - Accent1 4 7 6 2" xfId="21173"/>
    <cellStyle name="40% - Accent1 4 7 6 3" xfId="21174"/>
    <cellStyle name="40% - Accent1 4 7 7" xfId="21175"/>
    <cellStyle name="40% - Accent1 4 7 7 2" xfId="21176"/>
    <cellStyle name="40% - Accent1 4 7 8" xfId="21177"/>
    <cellStyle name="40% - Accent1 4 7 9" xfId="21178"/>
    <cellStyle name="40% - Accent1 4 8" xfId="21179"/>
    <cellStyle name="40% - Accent1 4 8 2" xfId="21180"/>
    <cellStyle name="40% - Accent1 4 8 2 2" xfId="21181"/>
    <cellStyle name="40% - Accent1 4 8 2 3" xfId="21182"/>
    <cellStyle name="40% - Accent1 4 8 3" xfId="21183"/>
    <cellStyle name="40% - Accent1 4 8 3 2" xfId="21184"/>
    <cellStyle name="40% - Accent1 4 8 3 3" xfId="21185"/>
    <cellStyle name="40% - Accent1 4 8 4" xfId="21186"/>
    <cellStyle name="40% - Accent1 4 8 4 2" xfId="21187"/>
    <cellStyle name="40% - Accent1 4 8 5" xfId="21188"/>
    <cellStyle name="40% - Accent1 4 8 6" xfId="21189"/>
    <cellStyle name="40% - Accent1 4 9" xfId="21190"/>
    <cellStyle name="40% - Accent1 4 9 2" xfId="21191"/>
    <cellStyle name="40% - Accent1 4 9 2 2" xfId="21192"/>
    <cellStyle name="40% - Accent1 4 9 2 3" xfId="21193"/>
    <cellStyle name="40% - Accent1 4 9 3" xfId="21194"/>
    <cellStyle name="40% - Accent1 4 9 3 2" xfId="21195"/>
    <cellStyle name="40% - Accent1 4 9 3 3" xfId="21196"/>
    <cellStyle name="40% - Accent1 4 9 4" xfId="21197"/>
    <cellStyle name="40% - Accent1 4 9 4 2" xfId="21198"/>
    <cellStyle name="40% - Accent1 4 9 5" xfId="21199"/>
    <cellStyle name="40% - Accent1 4 9 6" xfId="21200"/>
    <cellStyle name="40% - Accent1 5" xfId="1594"/>
    <cellStyle name="40% - Accent1 5 2" xfId="1595"/>
    <cellStyle name="40% - Accent1 5 2 2" xfId="1596"/>
    <cellStyle name="40% - Accent1 5 2 2 2" xfId="1597"/>
    <cellStyle name="40% - Accent1 5 2 2 2 2" xfId="1598"/>
    <cellStyle name="40% - Accent1 5 2 2 3" xfId="1599"/>
    <cellStyle name="40% - Accent1 5 2 3" xfId="1600"/>
    <cellStyle name="40% - Accent1 5 2 3 2" xfId="1601"/>
    <cellStyle name="40% - Accent1 5 2 4" xfId="1602"/>
    <cellStyle name="40% - Accent1 5 2 5" xfId="58003"/>
    <cellStyle name="40% - Accent1 5 3" xfId="1603"/>
    <cellStyle name="40% - Accent1 5 3 2" xfId="1604"/>
    <cellStyle name="40% - Accent1 5 3 2 2" xfId="1605"/>
    <cellStyle name="40% - Accent1 5 3 3" xfId="1606"/>
    <cellStyle name="40% - Accent1 5 4" xfId="1607"/>
    <cellStyle name="40% - Accent1 5 4 2" xfId="1608"/>
    <cellStyle name="40% - Accent1 5 5" xfId="1609"/>
    <cellStyle name="40% - Accent1 5 6" xfId="8955"/>
    <cellStyle name="40% - Accent1 6" xfId="1610"/>
    <cellStyle name="40% - Accent1 6 2" xfId="1611"/>
    <cellStyle name="40% - Accent1 6 2 2" xfId="1612"/>
    <cellStyle name="40% - Accent1 6 2 2 2" xfId="1613"/>
    <cellStyle name="40% - Accent1 6 2 3" xfId="1614"/>
    <cellStyle name="40% - Accent1 6 2 4" xfId="58004"/>
    <cellStyle name="40% - Accent1 6 2 5" xfId="58005"/>
    <cellStyle name="40% - Accent1 6 3" xfId="1615"/>
    <cellStyle name="40% - Accent1 6 3 2" xfId="1616"/>
    <cellStyle name="40% - Accent1 6 4" xfId="1617"/>
    <cellStyle name="40% - Accent1 6 5" xfId="58006"/>
    <cellStyle name="40% - Accent1 7" xfId="1618"/>
    <cellStyle name="40% - Accent1 7 2" xfId="1619"/>
    <cellStyle name="40% - Accent1 7 2 2" xfId="1620"/>
    <cellStyle name="40% - Accent1 7 2 2 2" xfId="1621"/>
    <cellStyle name="40% - Accent1 7 2 3" xfId="1622"/>
    <cellStyle name="40% - Accent1 7 3" xfId="1623"/>
    <cellStyle name="40% - Accent1 7 3 2" xfId="1624"/>
    <cellStyle name="40% - Accent1 7 4" xfId="1625"/>
    <cellStyle name="40% - Accent1 7 5" xfId="58007"/>
    <cellStyle name="40% - Accent1 8" xfId="1626"/>
    <cellStyle name="40% - Accent1 8 2" xfId="1627"/>
    <cellStyle name="40% - Accent1 8 2 2" xfId="1628"/>
    <cellStyle name="40% - Accent1 8 2 2 2" xfId="1629"/>
    <cellStyle name="40% - Accent1 8 2 3" xfId="1630"/>
    <cellStyle name="40% - Accent1 8 3" xfId="1631"/>
    <cellStyle name="40% - Accent1 8 3 2" xfId="1632"/>
    <cellStyle name="40% - Accent1 8 4" xfId="1633"/>
    <cellStyle name="40% - Accent1 8 5" xfId="58008"/>
    <cellStyle name="40% - Accent1 9" xfId="1634"/>
    <cellStyle name="40% - Accent1 9 2" xfId="1635"/>
    <cellStyle name="40% - Accent1 9 2 2" xfId="1636"/>
    <cellStyle name="40% - Accent1 9 3" xfId="1637"/>
    <cellStyle name="40% - Accent1 9 4" xfId="58009"/>
    <cellStyle name="40% - Accent2 10" xfId="1638"/>
    <cellStyle name="40% - Accent2 10 2" xfId="1639"/>
    <cellStyle name="40% - Accent2 10 2 2" xfId="1640"/>
    <cellStyle name="40% - Accent2 10 3" xfId="1641"/>
    <cellStyle name="40% - Accent2 10 4" xfId="58010"/>
    <cellStyle name="40% - Accent2 11" xfId="1642"/>
    <cellStyle name="40% - Accent2 11 2" xfId="1643"/>
    <cellStyle name="40% - Accent2 11 2 2" xfId="1644"/>
    <cellStyle name="40% - Accent2 11 3" xfId="1645"/>
    <cellStyle name="40% - Accent2 11 4" xfId="58011"/>
    <cellStyle name="40% - Accent2 12" xfId="1646"/>
    <cellStyle name="40% - Accent2 12 2" xfId="1647"/>
    <cellStyle name="40% - Accent2 12 3" xfId="58012"/>
    <cellStyle name="40% - Accent2 13" xfId="1648"/>
    <cellStyle name="40% - Accent2 13 2" xfId="58013"/>
    <cellStyle name="40% - Accent2 14" xfId="8956"/>
    <cellStyle name="40% - Accent2 15" xfId="9400"/>
    <cellStyle name="40% - Accent2 16" xfId="9401"/>
    <cellStyle name="40% - Accent2 17" xfId="9402"/>
    <cellStyle name="40% - Accent2 18" xfId="58014"/>
    <cellStyle name="40% - Accent2 19" xfId="58015"/>
    <cellStyle name="40% - Accent2 2" xfId="1649"/>
    <cellStyle name="40% - Accent2 2 2" xfId="1650"/>
    <cellStyle name="40% - Accent2 2 2 2" xfId="1651"/>
    <cellStyle name="40% - Accent2 2 2 2 2" xfId="1652"/>
    <cellStyle name="40% - Accent2 2 2 2 2 2" xfId="1653"/>
    <cellStyle name="40% - Accent2 2 2 2 2 2 2" xfId="1654"/>
    <cellStyle name="40% - Accent2 2 2 2 2 2 2 2" xfId="1655"/>
    <cellStyle name="40% - Accent2 2 2 2 2 2 3" xfId="1656"/>
    <cellStyle name="40% - Accent2 2 2 2 2 3" xfId="1657"/>
    <cellStyle name="40% - Accent2 2 2 2 2 3 2" xfId="1658"/>
    <cellStyle name="40% - Accent2 2 2 2 2 4" xfId="1659"/>
    <cellStyle name="40% - Accent2 2 2 2 2 5" xfId="58016"/>
    <cellStyle name="40% - Accent2 2 2 2 3" xfId="1660"/>
    <cellStyle name="40% - Accent2 2 2 2 3 2" xfId="1661"/>
    <cellStyle name="40% - Accent2 2 2 2 3 2 2" xfId="1662"/>
    <cellStyle name="40% - Accent2 2 2 2 3 3" xfId="1663"/>
    <cellStyle name="40% - Accent2 2 2 2 4" xfId="1664"/>
    <cellStyle name="40% - Accent2 2 2 2 4 2" xfId="1665"/>
    <cellStyle name="40% - Accent2 2 2 2 5" xfId="1666"/>
    <cellStyle name="40% - Accent2 2 2 2 6" xfId="58017"/>
    <cellStyle name="40% - Accent2 2 2 3" xfId="1667"/>
    <cellStyle name="40% - Accent2 2 2 3 2" xfId="1668"/>
    <cellStyle name="40% - Accent2 2 2 3 2 2" xfId="1669"/>
    <cellStyle name="40% - Accent2 2 2 3 2 2 2" xfId="1670"/>
    <cellStyle name="40% - Accent2 2 2 3 2 3" xfId="1671"/>
    <cellStyle name="40% - Accent2 2 2 3 3" xfId="1672"/>
    <cellStyle name="40% - Accent2 2 2 3 3 2" xfId="1673"/>
    <cellStyle name="40% - Accent2 2 2 3 4" xfId="1674"/>
    <cellStyle name="40% - Accent2 2 2 3 5" xfId="58018"/>
    <cellStyle name="40% - Accent2 2 2 4" xfId="1675"/>
    <cellStyle name="40% - Accent2 2 2 4 2" xfId="1676"/>
    <cellStyle name="40% - Accent2 2 2 4 2 2" xfId="1677"/>
    <cellStyle name="40% - Accent2 2 2 4 3" xfId="1678"/>
    <cellStyle name="40% - Accent2 2 2 5" xfId="1679"/>
    <cellStyle name="40% - Accent2 2 2 5 2" xfId="1680"/>
    <cellStyle name="40% - Accent2 2 2 6" xfId="1681"/>
    <cellStyle name="40% - Accent2 2 2 7" xfId="58019"/>
    <cellStyle name="40% - Accent2 2 3" xfId="1682"/>
    <cellStyle name="40% - Accent2 2 3 2" xfId="1683"/>
    <cellStyle name="40% - Accent2 2 3 2 2" xfId="1684"/>
    <cellStyle name="40% - Accent2 2 3 2 2 2" xfId="1685"/>
    <cellStyle name="40% - Accent2 2 3 2 2 2 2" xfId="1686"/>
    <cellStyle name="40% - Accent2 2 3 2 2 3" xfId="1687"/>
    <cellStyle name="40% - Accent2 2 3 2 3" xfId="1688"/>
    <cellStyle name="40% - Accent2 2 3 2 3 2" xfId="1689"/>
    <cellStyle name="40% - Accent2 2 3 2 4" xfId="1690"/>
    <cellStyle name="40% - Accent2 2 3 3" xfId="1691"/>
    <cellStyle name="40% - Accent2 2 3 3 2" xfId="1692"/>
    <cellStyle name="40% - Accent2 2 3 3 2 2" xfId="1693"/>
    <cellStyle name="40% - Accent2 2 3 3 3" xfId="1694"/>
    <cellStyle name="40% - Accent2 2 3 4" xfId="1695"/>
    <cellStyle name="40% - Accent2 2 3 4 2" xfId="1696"/>
    <cellStyle name="40% - Accent2 2 3 5" xfId="1697"/>
    <cellStyle name="40% - Accent2 2 3 6" xfId="58020"/>
    <cellStyle name="40% - Accent2 2 4" xfId="1698"/>
    <cellStyle name="40% - Accent2 2 4 2" xfId="1699"/>
    <cellStyle name="40% - Accent2 2 4 2 2" xfId="1700"/>
    <cellStyle name="40% - Accent2 2 4 2 2 2" xfId="1701"/>
    <cellStyle name="40% - Accent2 2 4 2 3" xfId="1702"/>
    <cellStyle name="40% - Accent2 2 4 3" xfId="1703"/>
    <cellStyle name="40% - Accent2 2 4 3 2" xfId="1704"/>
    <cellStyle name="40% - Accent2 2 4 4" xfId="1705"/>
    <cellStyle name="40% - Accent2 2 4 5" xfId="58021"/>
    <cellStyle name="40% - Accent2 2 5" xfId="1706"/>
    <cellStyle name="40% - Accent2 2 5 2" xfId="1707"/>
    <cellStyle name="40% - Accent2 2 5 2 2" xfId="1708"/>
    <cellStyle name="40% - Accent2 2 5 3" xfId="1709"/>
    <cellStyle name="40% - Accent2 2 5 4" xfId="58022"/>
    <cellStyle name="40% - Accent2 2 6" xfId="1710"/>
    <cellStyle name="40% - Accent2 2 6 2" xfId="1711"/>
    <cellStyle name="40% - Accent2 2 6 3" xfId="58023"/>
    <cellStyle name="40% - Accent2 2 7" xfId="1712"/>
    <cellStyle name="40% - Accent2 2 8" xfId="1713"/>
    <cellStyle name="40% - Accent2 2 9" xfId="58024"/>
    <cellStyle name="40% - Accent2 20" xfId="58025"/>
    <cellStyle name="40% - Accent2 21" xfId="58026"/>
    <cellStyle name="40% - Accent2 3" xfId="1714"/>
    <cellStyle name="40% - Accent2 3 2" xfId="1715"/>
    <cellStyle name="40% - Accent2 3 2 2" xfId="1716"/>
    <cellStyle name="40% - Accent2 3 2 2 2" xfId="1717"/>
    <cellStyle name="40% - Accent2 3 2 2 2 2" xfId="1718"/>
    <cellStyle name="40% - Accent2 3 2 2 2 2 2" xfId="1719"/>
    <cellStyle name="40% - Accent2 3 2 2 2 2 2 2" xfId="1720"/>
    <cellStyle name="40% - Accent2 3 2 2 2 2 3" xfId="1721"/>
    <cellStyle name="40% - Accent2 3 2 2 2 3" xfId="1722"/>
    <cellStyle name="40% - Accent2 3 2 2 2 3 2" xfId="1723"/>
    <cellStyle name="40% - Accent2 3 2 2 2 4" xfId="1724"/>
    <cellStyle name="40% - Accent2 3 2 2 2 5" xfId="8957"/>
    <cellStyle name="40% - Accent2 3 2 2 3" xfId="1725"/>
    <cellStyle name="40% - Accent2 3 2 2 3 2" xfId="1726"/>
    <cellStyle name="40% - Accent2 3 2 2 3 2 2" xfId="1727"/>
    <cellStyle name="40% - Accent2 3 2 2 3 3" xfId="1728"/>
    <cellStyle name="40% - Accent2 3 2 2 4" xfId="1729"/>
    <cellStyle name="40% - Accent2 3 2 2 4 2" xfId="1730"/>
    <cellStyle name="40% - Accent2 3 2 2 5" xfId="1731"/>
    <cellStyle name="40% - Accent2 3 2 2 6" xfId="8958"/>
    <cellStyle name="40% - Accent2 3 2 3" xfId="1732"/>
    <cellStyle name="40% - Accent2 3 2 3 2" xfId="1733"/>
    <cellStyle name="40% - Accent2 3 2 3 2 2" xfId="1734"/>
    <cellStyle name="40% - Accent2 3 2 3 2 2 2" xfId="1735"/>
    <cellStyle name="40% - Accent2 3 2 3 2 3" xfId="1736"/>
    <cellStyle name="40% - Accent2 3 2 3 3" xfId="1737"/>
    <cellStyle name="40% - Accent2 3 2 3 3 2" xfId="1738"/>
    <cellStyle name="40% - Accent2 3 2 3 4" xfId="1739"/>
    <cellStyle name="40% - Accent2 3 2 3 5" xfId="8959"/>
    <cellStyle name="40% - Accent2 3 2 4" xfId="1740"/>
    <cellStyle name="40% - Accent2 3 2 4 2" xfId="1741"/>
    <cellStyle name="40% - Accent2 3 2 4 2 2" xfId="1742"/>
    <cellStyle name="40% - Accent2 3 2 4 3" xfId="1743"/>
    <cellStyle name="40% - Accent2 3 2 5" xfId="1744"/>
    <cellStyle name="40% - Accent2 3 2 5 2" xfId="1745"/>
    <cellStyle name="40% - Accent2 3 2 6" xfId="1746"/>
    <cellStyle name="40% - Accent2 3 2 7" xfId="8960"/>
    <cellStyle name="40% - Accent2 3 3" xfId="1747"/>
    <cellStyle name="40% - Accent2 3 3 2" xfId="1748"/>
    <cellStyle name="40% - Accent2 3 3 2 2" xfId="1749"/>
    <cellStyle name="40% - Accent2 3 3 2 2 2" xfId="1750"/>
    <cellStyle name="40% - Accent2 3 3 2 2 2 2" xfId="1751"/>
    <cellStyle name="40% - Accent2 3 3 2 2 3" xfId="1752"/>
    <cellStyle name="40% - Accent2 3 3 2 3" xfId="1753"/>
    <cellStyle name="40% - Accent2 3 3 2 3 2" xfId="1754"/>
    <cellStyle name="40% - Accent2 3 3 2 4" xfId="1755"/>
    <cellStyle name="40% - Accent2 3 3 2 5" xfId="8961"/>
    <cellStyle name="40% - Accent2 3 3 3" xfId="1756"/>
    <cellStyle name="40% - Accent2 3 3 3 2" xfId="1757"/>
    <cellStyle name="40% - Accent2 3 3 3 2 2" xfId="1758"/>
    <cellStyle name="40% - Accent2 3 3 3 3" xfId="1759"/>
    <cellStyle name="40% - Accent2 3 3 4" xfId="1760"/>
    <cellStyle name="40% - Accent2 3 3 4 2" xfId="1761"/>
    <cellStyle name="40% - Accent2 3 3 5" xfId="1762"/>
    <cellStyle name="40% - Accent2 3 3 6" xfId="8962"/>
    <cellStyle name="40% - Accent2 3 4" xfId="1763"/>
    <cellStyle name="40% - Accent2 3 4 2" xfId="1764"/>
    <cellStyle name="40% - Accent2 3 4 2 2" xfId="1765"/>
    <cellStyle name="40% - Accent2 3 4 2 2 2" xfId="1766"/>
    <cellStyle name="40% - Accent2 3 4 2 3" xfId="1767"/>
    <cellStyle name="40% - Accent2 3 4 3" xfId="1768"/>
    <cellStyle name="40% - Accent2 3 4 3 2" xfId="1769"/>
    <cellStyle name="40% - Accent2 3 4 4" xfId="1770"/>
    <cellStyle name="40% - Accent2 3 4 5" xfId="8963"/>
    <cellStyle name="40% - Accent2 3 5" xfId="1771"/>
    <cellStyle name="40% - Accent2 3 5 2" xfId="1772"/>
    <cellStyle name="40% - Accent2 3 5 2 2" xfId="1773"/>
    <cellStyle name="40% - Accent2 3 5 3" xfId="1774"/>
    <cellStyle name="40% - Accent2 3 6" xfId="1775"/>
    <cellStyle name="40% - Accent2 3 6 2" xfId="1776"/>
    <cellStyle name="40% - Accent2 3 7" xfId="1777"/>
    <cellStyle name="40% - Accent2 3 8" xfId="1778"/>
    <cellStyle name="40% - Accent2 3 9" xfId="8964"/>
    <cellStyle name="40% - Accent2 4" xfId="1779"/>
    <cellStyle name="40% - Accent2 4 10" xfId="21201"/>
    <cellStyle name="40% - Accent2 4 10 2" xfId="21202"/>
    <cellStyle name="40% - Accent2 4 10 2 2" xfId="21203"/>
    <cellStyle name="40% - Accent2 4 10 2 3" xfId="21204"/>
    <cellStyle name="40% - Accent2 4 10 3" xfId="21205"/>
    <cellStyle name="40% - Accent2 4 10 3 2" xfId="21206"/>
    <cellStyle name="40% - Accent2 4 10 4" xfId="21207"/>
    <cellStyle name="40% - Accent2 4 10 5" xfId="21208"/>
    <cellStyle name="40% - Accent2 4 11" xfId="21209"/>
    <cellStyle name="40% - Accent2 4 11 2" xfId="21210"/>
    <cellStyle name="40% - Accent2 4 11 3" xfId="21211"/>
    <cellStyle name="40% - Accent2 4 12" xfId="21212"/>
    <cellStyle name="40% - Accent2 4 12 2" xfId="21213"/>
    <cellStyle name="40% - Accent2 4 12 3" xfId="21214"/>
    <cellStyle name="40% - Accent2 4 13" xfId="21215"/>
    <cellStyle name="40% - Accent2 4 13 2" xfId="21216"/>
    <cellStyle name="40% - Accent2 4 14" xfId="21217"/>
    <cellStyle name="40% - Accent2 4 15" xfId="21218"/>
    <cellStyle name="40% - Accent2 4 16" xfId="21219"/>
    <cellStyle name="40% - Accent2 4 2" xfId="1780"/>
    <cellStyle name="40% - Accent2 4 2 10" xfId="21220"/>
    <cellStyle name="40% - Accent2 4 2 10 2" xfId="21221"/>
    <cellStyle name="40% - Accent2 4 2 10 3" xfId="21222"/>
    <cellStyle name="40% - Accent2 4 2 11" xfId="21223"/>
    <cellStyle name="40% - Accent2 4 2 11 2" xfId="21224"/>
    <cellStyle name="40% - Accent2 4 2 11 3" xfId="21225"/>
    <cellStyle name="40% - Accent2 4 2 12" xfId="21226"/>
    <cellStyle name="40% - Accent2 4 2 12 2" xfId="21227"/>
    <cellStyle name="40% - Accent2 4 2 13" xfId="21228"/>
    <cellStyle name="40% - Accent2 4 2 14" xfId="21229"/>
    <cellStyle name="40% - Accent2 4 2 15" xfId="21230"/>
    <cellStyle name="40% - Accent2 4 2 2" xfId="1781"/>
    <cellStyle name="40% - Accent2 4 2 2 10" xfId="21231"/>
    <cellStyle name="40% - Accent2 4 2 2 10 2" xfId="21232"/>
    <cellStyle name="40% - Accent2 4 2 2 10 3" xfId="21233"/>
    <cellStyle name="40% - Accent2 4 2 2 11" xfId="21234"/>
    <cellStyle name="40% - Accent2 4 2 2 11 2" xfId="21235"/>
    <cellStyle name="40% - Accent2 4 2 2 12" xfId="21236"/>
    <cellStyle name="40% - Accent2 4 2 2 13" xfId="21237"/>
    <cellStyle name="40% - Accent2 4 2 2 2" xfId="1782"/>
    <cellStyle name="40% - Accent2 4 2 2 2 10" xfId="21238"/>
    <cellStyle name="40% - Accent2 4 2 2 2 10 2" xfId="21239"/>
    <cellStyle name="40% - Accent2 4 2 2 2 11" xfId="21240"/>
    <cellStyle name="40% - Accent2 4 2 2 2 12" xfId="21241"/>
    <cellStyle name="40% - Accent2 4 2 2 2 2" xfId="1783"/>
    <cellStyle name="40% - Accent2 4 2 2 2 2 10" xfId="21242"/>
    <cellStyle name="40% - Accent2 4 2 2 2 2 2" xfId="1784"/>
    <cellStyle name="40% - Accent2 4 2 2 2 2 2 2" xfId="21243"/>
    <cellStyle name="40% - Accent2 4 2 2 2 2 2 2 2" xfId="21244"/>
    <cellStyle name="40% - Accent2 4 2 2 2 2 2 2 2 2" xfId="21245"/>
    <cellStyle name="40% - Accent2 4 2 2 2 2 2 2 2 3" xfId="21246"/>
    <cellStyle name="40% - Accent2 4 2 2 2 2 2 2 3" xfId="21247"/>
    <cellStyle name="40% - Accent2 4 2 2 2 2 2 2 3 2" xfId="21248"/>
    <cellStyle name="40% - Accent2 4 2 2 2 2 2 2 3 3" xfId="21249"/>
    <cellStyle name="40% - Accent2 4 2 2 2 2 2 2 4" xfId="21250"/>
    <cellStyle name="40% - Accent2 4 2 2 2 2 2 2 4 2" xfId="21251"/>
    <cellStyle name="40% - Accent2 4 2 2 2 2 2 2 5" xfId="21252"/>
    <cellStyle name="40% - Accent2 4 2 2 2 2 2 2 6" xfId="21253"/>
    <cellStyle name="40% - Accent2 4 2 2 2 2 2 3" xfId="21254"/>
    <cellStyle name="40% - Accent2 4 2 2 2 2 2 3 2" xfId="21255"/>
    <cellStyle name="40% - Accent2 4 2 2 2 2 2 3 2 2" xfId="21256"/>
    <cellStyle name="40% - Accent2 4 2 2 2 2 2 3 2 3" xfId="21257"/>
    <cellStyle name="40% - Accent2 4 2 2 2 2 2 3 3" xfId="21258"/>
    <cellStyle name="40% - Accent2 4 2 2 2 2 2 3 3 2" xfId="21259"/>
    <cellStyle name="40% - Accent2 4 2 2 2 2 2 3 3 3" xfId="21260"/>
    <cellStyle name="40% - Accent2 4 2 2 2 2 2 3 4" xfId="21261"/>
    <cellStyle name="40% - Accent2 4 2 2 2 2 2 3 4 2" xfId="21262"/>
    <cellStyle name="40% - Accent2 4 2 2 2 2 2 3 5" xfId="21263"/>
    <cellStyle name="40% - Accent2 4 2 2 2 2 2 3 6" xfId="21264"/>
    <cellStyle name="40% - Accent2 4 2 2 2 2 2 4" xfId="21265"/>
    <cellStyle name="40% - Accent2 4 2 2 2 2 2 4 2" xfId="21266"/>
    <cellStyle name="40% - Accent2 4 2 2 2 2 2 4 2 2" xfId="21267"/>
    <cellStyle name="40% - Accent2 4 2 2 2 2 2 4 2 3" xfId="21268"/>
    <cellStyle name="40% - Accent2 4 2 2 2 2 2 4 3" xfId="21269"/>
    <cellStyle name="40% - Accent2 4 2 2 2 2 2 4 3 2" xfId="21270"/>
    <cellStyle name="40% - Accent2 4 2 2 2 2 2 4 4" xfId="21271"/>
    <cellStyle name="40% - Accent2 4 2 2 2 2 2 4 5" xfId="21272"/>
    <cellStyle name="40% - Accent2 4 2 2 2 2 2 5" xfId="21273"/>
    <cellStyle name="40% - Accent2 4 2 2 2 2 2 5 2" xfId="21274"/>
    <cellStyle name="40% - Accent2 4 2 2 2 2 2 5 3" xfId="21275"/>
    <cellStyle name="40% - Accent2 4 2 2 2 2 2 6" xfId="21276"/>
    <cellStyle name="40% - Accent2 4 2 2 2 2 2 6 2" xfId="21277"/>
    <cellStyle name="40% - Accent2 4 2 2 2 2 2 6 3" xfId="21278"/>
    <cellStyle name="40% - Accent2 4 2 2 2 2 2 7" xfId="21279"/>
    <cellStyle name="40% - Accent2 4 2 2 2 2 2 7 2" xfId="21280"/>
    <cellStyle name="40% - Accent2 4 2 2 2 2 2 8" xfId="21281"/>
    <cellStyle name="40% - Accent2 4 2 2 2 2 2 9" xfId="21282"/>
    <cellStyle name="40% - Accent2 4 2 2 2 2 3" xfId="21283"/>
    <cellStyle name="40% - Accent2 4 2 2 2 2 3 2" xfId="21284"/>
    <cellStyle name="40% - Accent2 4 2 2 2 2 3 2 2" xfId="21285"/>
    <cellStyle name="40% - Accent2 4 2 2 2 2 3 2 3" xfId="21286"/>
    <cellStyle name="40% - Accent2 4 2 2 2 2 3 3" xfId="21287"/>
    <cellStyle name="40% - Accent2 4 2 2 2 2 3 3 2" xfId="21288"/>
    <cellStyle name="40% - Accent2 4 2 2 2 2 3 3 3" xfId="21289"/>
    <cellStyle name="40% - Accent2 4 2 2 2 2 3 4" xfId="21290"/>
    <cellStyle name="40% - Accent2 4 2 2 2 2 3 4 2" xfId="21291"/>
    <cellStyle name="40% - Accent2 4 2 2 2 2 3 5" xfId="21292"/>
    <cellStyle name="40% - Accent2 4 2 2 2 2 3 6" xfId="21293"/>
    <cellStyle name="40% - Accent2 4 2 2 2 2 4" xfId="21294"/>
    <cellStyle name="40% - Accent2 4 2 2 2 2 4 2" xfId="21295"/>
    <cellStyle name="40% - Accent2 4 2 2 2 2 4 2 2" xfId="21296"/>
    <cellStyle name="40% - Accent2 4 2 2 2 2 4 2 3" xfId="21297"/>
    <cellStyle name="40% - Accent2 4 2 2 2 2 4 3" xfId="21298"/>
    <cellStyle name="40% - Accent2 4 2 2 2 2 4 3 2" xfId="21299"/>
    <cellStyle name="40% - Accent2 4 2 2 2 2 4 3 3" xfId="21300"/>
    <cellStyle name="40% - Accent2 4 2 2 2 2 4 4" xfId="21301"/>
    <cellStyle name="40% - Accent2 4 2 2 2 2 4 4 2" xfId="21302"/>
    <cellStyle name="40% - Accent2 4 2 2 2 2 4 5" xfId="21303"/>
    <cellStyle name="40% - Accent2 4 2 2 2 2 4 6" xfId="21304"/>
    <cellStyle name="40% - Accent2 4 2 2 2 2 5" xfId="21305"/>
    <cellStyle name="40% - Accent2 4 2 2 2 2 5 2" xfId="21306"/>
    <cellStyle name="40% - Accent2 4 2 2 2 2 5 2 2" xfId="21307"/>
    <cellStyle name="40% - Accent2 4 2 2 2 2 5 2 3" xfId="21308"/>
    <cellStyle name="40% - Accent2 4 2 2 2 2 5 3" xfId="21309"/>
    <cellStyle name="40% - Accent2 4 2 2 2 2 5 3 2" xfId="21310"/>
    <cellStyle name="40% - Accent2 4 2 2 2 2 5 4" xfId="21311"/>
    <cellStyle name="40% - Accent2 4 2 2 2 2 5 5" xfId="21312"/>
    <cellStyle name="40% - Accent2 4 2 2 2 2 6" xfId="21313"/>
    <cellStyle name="40% - Accent2 4 2 2 2 2 6 2" xfId="21314"/>
    <cellStyle name="40% - Accent2 4 2 2 2 2 6 3" xfId="21315"/>
    <cellStyle name="40% - Accent2 4 2 2 2 2 7" xfId="21316"/>
    <cellStyle name="40% - Accent2 4 2 2 2 2 7 2" xfId="21317"/>
    <cellStyle name="40% - Accent2 4 2 2 2 2 7 3" xfId="21318"/>
    <cellStyle name="40% - Accent2 4 2 2 2 2 8" xfId="21319"/>
    <cellStyle name="40% - Accent2 4 2 2 2 2 8 2" xfId="21320"/>
    <cellStyle name="40% - Accent2 4 2 2 2 2 9" xfId="21321"/>
    <cellStyle name="40% - Accent2 4 2 2 2 3" xfId="1785"/>
    <cellStyle name="40% - Accent2 4 2 2 2 3 2" xfId="21322"/>
    <cellStyle name="40% - Accent2 4 2 2 2 3 2 2" xfId="21323"/>
    <cellStyle name="40% - Accent2 4 2 2 2 3 2 2 2" xfId="21324"/>
    <cellStyle name="40% - Accent2 4 2 2 2 3 2 2 3" xfId="21325"/>
    <cellStyle name="40% - Accent2 4 2 2 2 3 2 3" xfId="21326"/>
    <cellStyle name="40% - Accent2 4 2 2 2 3 2 3 2" xfId="21327"/>
    <cellStyle name="40% - Accent2 4 2 2 2 3 2 3 3" xfId="21328"/>
    <cellStyle name="40% - Accent2 4 2 2 2 3 2 4" xfId="21329"/>
    <cellStyle name="40% - Accent2 4 2 2 2 3 2 4 2" xfId="21330"/>
    <cellStyle name="40% - Accent2 4 2 2 2 3 2 5" xfId="21331"/>
    <cellStyle name="40% - Accent2 4 2 2 2 3 2 6" xfId="21332"/>
    <cellStyle name="40% - Accent2 4 2 2 2 3 3" xfId="21333"/>
    <cellStyle name="40% - Accent2 4 2 2 2 3 3 2" xfId="21334"/>
    <cellStyle name="40% - Accent2 4 2 2 2 3 3 2 2" xfId="21335"/>
    <cellStyle name="40% - Accent2 4 2 2 2 3 3 2 3" xfId="21336"/>
    <cellStyle name="40% - Accent2 4 2 2 2 3 3 3" xfId="21337"/>
    <cellStyle name="40% - Accent2 4 2 2 2 3 3 3 2" xfId="21338"/>
    <cellStyle name="40% - Accent2 4 2 2 2 3 3 3 3" xfId="21339"/>
    <cellStyle name="40% - Accent2 4 2 2 2 3 3 4" xfId="21340"/>
    <cellStyle name="40% - Accent2 4 2 2 2 3 3 4 2" xfId="21341"/>
    <cellStyle name="40% - Accent2 4 2 2 2 3 3 5" xfId="21342"/>
    <cellStyle name="40% - Accent2 4 2 2 2 3 3 6" xfId="21343"/>
    <cellStyle name="40% - Accent2 4 2 2 2 3 4" xfId="21344"/>
    <cellStyle name="40% - Accent2 4 2 2 2 3 4 2" xfId="21345"/>
    <cellStyle name="40% - Accent2 4 2 2 2 3 4 2 2" xfId="21346"/>
    <cellStyle name="40% - Accent2 4 2 2 2 3 4 2 3" xfId="21347"/>
    <cellStyle name="40% - Accent2 4 2 2 2 3 4 3" xfId="21348"/>
    <cellStyle name="40% - Accent2 4 2 2 2 3 4 3 2" xfId="21349"/>
    <cellStyle name="40% - Accent2 4 2 2 2 3 4 4" xfId="21350"/>
    <cellStyle name="40% - Accent2 4 2 2 2 3 4 5" xfId="21351"/>
    <cellStyle name="40% - Accent2 4 2 2 2 3 5" xfId="21352"/>
    <cellStyle name="40% - Accent2 4 2 2 2 3 5 2" xfId="21353"/>
    <cellStyle name="40% - Accent2 4 2 2 2 3 5 3" xfId="21354"/>
    <cellStyle name="40% - Accent2 4 2 2 2 3 6" xfId="21355"/>
    <cellStyle name="40% - Accent2 4 2 2 2 3 6 2" xfId="21356"/>
    <cellStyle name="40% - Accent2 4 2 2 2 3 6 3" xfId="21357"/>
    <cellStyle name="40% - Accent2 4 2 2 2 3 7" xfId="21358"/>
    <cellStyle name="40% - Accent2 4 2 2 2 3 7 2" xfId="21359"/>
    <cellStyle name="40% - Accent2 4 2 2 2 3 8" xfId="21360"/>
    <cellStyle name="40% - Accent2 4 2 2 2 3 9" xfId="21361"/>
    <cellStyle name="40% - Accent2 4 2 2 2 4" xfId="21362"/>
    <cellStyle name="40% - Accent2 4 2 2 2 4 2" xfId="21363"/>
    <cellStyle name="40% - Accent2 4 2 2 2 4 2 2" xfId="21364"/>
    <cellStyle name="40% - Accent2 4 2 2 2 4 2 2 2" xfId="21365"/>
    <cellStyle name="40% - Accent2 4 2 2 2 4 2 2 3" xfId="21366"/>
    <cellStyle name="40% - Accent2 4 2 2 2 4 2 3" xfId="21367"/>
    <cellStyle name="40% - Accent2 4 2 2 2 4 2 3 2" xfId="21368"/>
    <cellStyle name="40% - Accent2 4 2 2 2 4 2 3 3" xfId="21369"/>
    <cellStyle name="40% - Accent2 4 2 2 2 4 2 4" xfId="21370"/>
    <cellStyle name="40% - Accent2 4 2 2 2 4 2 4 2" xfId="21371"/>
    <cellStyle name="40% - Accent2 4 2 2 2 4 2 5" xfId="21372"/>
    <cellStyle name="40% - Accent2 4 2 2 2 4 2 6" xfId="21373"/>
    <cellStyle name="40% - Accent2 4 2 2 2 4 3" xfId="21374"/>
    <cellStyle name="40% - Accent2 4 2 2 2 4 3 2" xfId="21375"/>
    <cellStyle name="40% - Accent2 4 2 2 2 4 3 2 2" xfId="21376"/>
    <cellStyle name="40% - Accent2 4 2 2 2 4 3 2 3" xfId="21377"/>
    <cellStyle name="40% - Accent2 4 2 2 2 4 3 3" xfId="21378"/>
    <cellStyle name="40% - Accent2 4 2 2 2 4 3 3 2" xfId="21379"/>
    <cellStyle name="40% - Accent2 4 2 2 2 4 3 3 3" xfId="21380"/>
    <cellStyle name="40% - Accent2 4 2 2 2 4 3 4" xfId="21381"/>
    <cellStyle name="40% - Accent2 4 2 2 2 4 3 4 2" xfId="21382"/>
    <cellStyle name="40% - Accent2 4 2 2 2 4 3 5" xfId="21383"/>
    <cellStyle name="40% - Accent2 4 2 2 2 4 3 6" xfId="21384"/>
    <cellStyle name="40% - Accent2 4 2 2 2 4 4" xfId="21385"/>
    <cellStyle name="40% - Accent2 4 2 2 2 4 4 2" xfId="21386"/>
    <cellStyle name="40% - Accent2 4 2 2 2 4 4 2 2" xfId="21387"/>
    <cellStyle name="40% - Accent2 4 2 2 2 4 4 2 3" xfId="21388"/>
    <cellStyle name="40% - Accent2 4 2 2 2 4 4 3" xfId="21389"/>
    <cellStyle name="40% - Accent2 4 2 2 2 4 4 3 2" xfId="21390"/>
    <cellStyle name="40% - Accent2 4 2 2 2 4 4 4" xfId="21391"/>
    <cellStyle name="40% - Accent2 4 2 2 2 4 4 5" xfId="21392"/>
    <cellStyle name="40% - Accent2 4 2 2 2 4 5" xfId="21393"/>
    <cellStyle name="40% - Accent2 4 2 2 2 4 5 2" xfId="21394"/>
    <cellStyle name="40% - Accent2 4 2 2 2 4 5 3" xfId="21395"/>
    <cellStyle name="40% - Accent2 4 2 2 2 4 6" xfId="21396"/>
    <cellStyle name="40% - Accent2 4 2 2 2 4 6 2" xfId="21397"/>
    <cellStyle name="40% - Accent2 4 2 2 2 4 6 3" xfId="21398"/>
    <cellStyle name="40% - Accent2 4 2 2 2 4 7" xfId="21399"/>
    <cellStyle name="40% - Accent2 4 2 2 2 4 7 2" xfId="21400"/>
    <cellStyle name="40% - Accent2 4 2 2 2 4 8" xfId="21401"/>
    <cellStyle name="40% - Accent2 4 2 2 2 4 9" xfId="21402"/>
    <cellStyle name="40% - Accent2 4 2 2 2 5" xfId="21403"/>
    <cellStyle name="40% - Accent2 4 2 2 2 5 2" xfId="21404"/>
    <cellStyle name="40% - Accent2 4 2 2 2 5 2 2" xfId="21405"/>
    <cellStyle name="40% - Accent2 4 2 2 2 5 2 3" xfId="21406"/>
    <cellStyle name="40% - Accent2 4 2 2 2 5 3" xfId="21407"/>
    <cellStyle name="40% - Accent2 4 2 2 2 5 3 2" xfId="21408"/>
    <cellStyle name="40% - Accent2 4 2 2 2 5 3 3" xfId="21409"/>
    <cellStyle name="40% - Accent2 4 2 2 2 5 4" xfId="21410"/>
    <cellStyle name="40% - Accent2 4 2 2 2 5 4 2" xfId="21411"/>
    <cellStyle name="40% - Accent2 4 2 2 2 5 5" xfId="21412"/>
    <cellStyle name="40% - Accent2 4 2 2 2 5 6" xfId="21413"/>
    <cellStyle name="40% - Accent2 4 2 2 2 6" xfId="21414"/>
    <cellStyle name="40% - Accent2 4 2 2 2 6 2" xfId="21415"/>
    <cellStyle name="40% - Accent2 4 2 2 2 6 2 2" xfId="21416"/>
    <cellStyle name="40% - Accent2 4 2 2 2 6 2 3" xfId="21417"/>
    <cellStyle name="40% - Accent2 4 2 2 2 6 3" xfId="21418"/>
    <cellStyle name="40% - Accent2 4 2 2 2 6 3 2" xfId="21419"/>
    <cellStyle name="40% - Accent2 4 2 2 2 6 3 3" xfId="21420"/>
    <cellStyle name="40% - Accent2 4 2 2 2 6 4" xfId="21421"/>
    <cellStyle name="40% - Accent2 4 2 2 2 6 4 2" xfId="21422"/>
    <cellStyle name="40% - Accent2 4 2 2 2 6 5" xfId="21423"/>
    <cellStyle name="40% - Accent2 4 2 2 2 6 6" xfId="21424"/>
    <cellStyle name="40% - Accent2 4 2 2 2 7" xfId="21425"/>
    <cellStyle name="40% - Accent2 4 2 2 2 7 2" xfId="21426"/>
    <cellStyle name="40% - Accent2 4 2 2 2 7 2 2" xfId="21427"/>
    <cellStyle name="40% - Accent2 4 2 2 2 7 2 3" xfId="21428"/>
    <cellStyle name="40% - Accent2 4 2 2 2 7 3" xfId="21429"/>
    <cellStyle name="40% - Accent2 4 2 2 2 7 3 2" xfId="21430"/>
    <cellStyle name="40% - Accent2 4 2 2 2 7 4" xfId="21431"/>
    <cellStyle name="40% - Accent2 4 2 2 2 7 5" xfId="21432"/>
    <cellStyle name="40% - Accent2 4 2 2 2 8" xfId="21433"/>
    <cellStyle name="40% - Accent2 4 2 2 2 8 2" xfId="21434"/>
    <cellStyle name="40% - Accent2 4 2 2 2 8 3" xfId="21435"/>
    <cellStyle name="40% - Accent2 4 2 2 2 9" xfId="21436"/>
    <cellStyle name="40% - Accent2 4 2 2 2 9 2" xfId="21437"/>
    <cellStyle name="40% - Accent2 4 2 2 2 9 3" xfId="21438"/>
    <cellStyle name="40% - Accent2 4 2 2 3" xfId="1786"/>
    <cellStyle name="40% - Accent2 4 2 2 3 10" xfId="21439"/>
    <cellStyle name="40% - Accent2 4 2 2 3 2" xfId="1787"/>
    <cellStyle name="40% - Accent2 4 2 2 3 2 2" xfId="21440"/>
    <cellStyle name="40% - Accent2 4 2 2 3 2 2 2" xfId="21441"/>
    <cellStyle name="40% - Accent2 4 2 2 3 2 2 2 2" xfId="21442"/>
    <cellStyle name="40% - Accent2 4 2 2 3 2 2 2 3" xfId="21443"/>
    <cellStyle name="40% - Accent2 4 2 2 3 2 2 3" xfId="21444"/>
    <cellStyle name="40% - Accent2 4 2 2 3 2 2 3 2" xfId="21445"/>
    <cellStyle name="40% - Accent2 4 2 2 3 2 2 3 3" xfId="21446"/>
    <cellStyle name="40% - Accent2 4 2 2 3 2 2 4" xfId="21447"/>
    <cellStyle name="40% - Accent2 4 2 2 3 2 2 4 2" xfId="21448"/>
    <cellStyle name="40% - Accent2 4 2 2 3 2 2 5" xfId="21449"/>
    <cellStyle name="40% - Accent2 4 2 2 3 2 2 6" xfId="21450"/>
    <cellStyle name="40% - Accent2 4 2 2 3 2 3" xfId="21451"/>
    <cellStyle name="40% - Accent2 4 2 2 3 2 3 2" xfId="21452"/>
    <cellStyle name="40% - Accent2 4 2 2 3 2 3 2 2" xfId="21453"/>
    <cellStyle name="40% - Accent2 4 2 2 3 2 3 2 3" xfId="21454"/>
    <cellStyle name="40% - Accent2 4 2 2 3 2 3 3" xfId="21455"/>
    <cellStyle name="40% - Accent2 4 2 2 3 2 3 3 2" xfId="21456"/>
    <cellStyle name="40% - Accent2 4 2 2 3 2 3 3 3" xfId="21457"/>
    <cellStyle name="40% - Accent2 4 2 2 3 2 3 4" xfId="21458"/>
    <cellStyle name="40% - Accent2 4 2 2 3 2 3 4 2" xfId="21459"/>
    <cellStyle name="40% - Accent2 4 2 2 3 2 3 5" xfId="21460"/>
    <cellStyle name="40% - Accent2 4 2 2 3 2 3 6" xfId="21461"/>
    <cellStyle name="40% - Accent2 4 2 2 3 2 4" xfId="21462"/>
    <cellStyle name="40% - Accent2 4 2 2 3 2 4 2" xfId="21463"/>
    <cellStyle name="40% - Accent2 4 2 2 3 2 4 2 2" xfId="21464"/>
    <cellStyle name="40% - Accent2 4 2 2 3 2 4 2 3" xfId="21465"/>
    <cellStyle name="40% - Accent2 4 2 2 3 2 4 3" xfId="21466"/>
    <cellStyle name="40% - Accent2 4 2 2 3 2 4 3 2" xfId="21467"/>
    <cellStyle name="40% - Accent2 4 2 2 3 2 4 4" xfId="21468"/>
    <cellStyle name="40% - Accent2 4 2 2 3 2 4 5" xfId="21469"/>
    <cellStyle name="40% - Accent2 4 2 2 3 2 5" xfId="21470"/>
    <cellStyle name="40% - Accent2 4 2 2 3 2 5 2" xfId="21471"/>
    <cellStyle name="40% - Accent2 4 2 2 3 2 5 3" xfId="21472"/>
    <cellStyle name="40% - Accent2 4 2 2 3 2 6" xfId="21473"/>
    <cellStyle name="40% - Accent2 4 2 2 3 2 6 2" xfId="21474"/>
    <cellStyle name="40% - Accent2 4 2 2 3 2 6 3" xfId="21475"/>
    <cellStyle name="40% - Accent2 4 2 2 3 2 7" xfId="21476"/>
    <cellStyle name="40% - Accent2 4 2 2 3 2 7 2" xfId="21477"/>
    <cellStyle name="40% - Accent2 4 2 2 3 2 8" xfId="21478"/>
    <cellStyle name="40% - Accent2 4 2 2 3 2 9" xfId="21479"/>
    <cellStyle name="40% - Accent2 4 2 2 3 3" xfId="21480"/>
    <cellStyle name="40% - Accent2 4 2 2 3 3 2" xfId="21481"/>
    <cellStyle name="40% - Accent2 4 2 2 3 3 2 2" xfId="21482"/>
    <cellStyle name="40% - Accent2 4 2 2 3 3 2 3" xfId="21483"/>
    <cellStyle name="40% - Accent2 4 2 2 3 3 3" xfId="21484"/>
    <cellStyle name="40% - Accent2 4 2 2 3 3 3 2" xfId="21485"/>
    <cellStyle name="40% - Accent2 4 2 2 3 3 3 3" xfId="21486"/>
    <cellStyle name="40% - Accent2 4 2 2 3 3 4" xfId="21487"/>
    <cellStyle name="40% - Accent2 4 2 2 3 3 4 2" xfId="21488"/>
    <cellStyle name="40% - Accent2 4 2 2 3 3 5" xfId="21489"/>
    <cellStyle name="40% - Accent2 4 2 2 3 3 6" xfId="21490"/>
    <cellStyle name="40% - Accent2 4 2 2 3 4" xfId="21491"/>
    <cellStyle name="40% - Accent2 4 2 2 3 4 2" xfId="21492"/>
    <cellStyle name="40% - Accent2 4 2 2 3 4 2 2" xfId="21493"/>
    <cellStyle name="40% - Accent2 4 2 2 3 4 2 3" xfId="21494"/>
    <cellStyle name="40% - Accent2 4 2 2 3 4 3" xfId="21495"/>
    <cellStyle name="40% - Accent2 4 2 2 3 4 3 2" xfId="21496"/>
    <cellStyle name="40% - Accent2 4 2 2 3 4 3 3" xfId="21497"/>
    <cellStyle name="40% - Accent2 4 2 2 3 4 4" xfId="21498"/>
    <cellStyle name="40% - Accent2 4 2 2 3 4 4 2" xfId="21499"/>
    <cellStyle name="40% - Accent2 4 2 2 3 4 5" xfId="21500"/>
    <cellStyle name="40% - Accent2 4 2 2 3 4 6" xfId="21501"/>
    <cellStyle name="40% - Accent2 4 2 2 3 5" xfId="21502"/>
    <cellStyle name="40% - Accent2 4 2 2 3 5 2" xfId="21503"/>
    <cellStyle name="40% - Accent2 4 2 2 3 5 2 2" xfId="21504"/>
    <cellStyle name="40% - Accent2 4 2 2 3 5 2 3" xfId="21505"/>
    <cellStyle name="40% - Accent2 4 2 2 3 5 3" xfId="21506"/>
    <cellStyle name="40% - Accent2 4 2 2 3 5 3 2" xfId="21507"/>
    <cellStyle name="40% - Accent2 4 2 2 3 5 4" xfId="21508"/>
    <cellStyle name="40% - Accent2 4 2 2 3 5 5" xfId="21509"/>
    <cellStyle name="40% - Accent2 4 2 2 3 6" xfId="21510"/>
    <cellStyle name="40% - Accent2 4 2 2 3 6 2" xfId="21511"/>
    <cellStyle name="40% - Accent2 4 2 2 3 6 3" xfId="21512"/>
    <cellStyle name="40% - Accent2 4 2 2 3 7" xfId="21513"/>
    <cellStyle name="40% - Accent2 4 2 2 3 7 2" xfId="21514"/>
    <cellStyle name="40% - Accent2 4 2 2 3 7 3" xfId="21515"/>
    <cellStyle name="40% - Accent2 4 2 2 3 8" xfId="21516"/>
    <cellStyle name="40% - Accent2 4 2 2 3 8 2" xfId="21517"/>
    <cellStyle name="40% - Accent2 4 2 2 3 9" xfId="21518"/>
    <cellStyle name="40% - Accent2 4 2 2 4" xfId="1788"/>
    <cellStyle name="40% - Accent2 4 2 2 4 2" xfId="21519"/>
    <cellStyle name="40% - Accent2 4 2 2 4 2 2" xfId="21520"/>
    <cellStyle name="40% - Accent2 4 2 2 4 2 2 2" xfId="21521"/>
    <cellStyle name="40% - Accent2 4 2 2 4 2 2 3" xfId="21522"/>
    <cellStyle name="40% - Accent2 4 2 2 4 2 3" xfId="21523"/>
    <cellStyle name="40% - Accent2 4 2 2 4 2 3 2" xfId="21524"/>
    <cellStyle name="40% - Accent2 4 2 2 4 2 3 3" xfId="21525"/>
    <cellStyle name="40% - Accent2 4 2 2 4 2 4" xfId="21526"/>
    <cellStyle name="40% - Accent2 4 2 2 4 2 4 2" xfId="21527"/>
    <cellStyle name="40% - Accent2 4 2 2 4 2 5" xfId="21528"/>
    <cellStyle name="40% - Accent2 4 2 2 4 2 6" xfId="21529"/>
    <cellStyle name="40% - Accent2 4 2 2 4 3" xfId="21530"/>
    <cellStyle name="40% - Accent2 4 2 2 4 3 2" xfId="21531"/>
    <cellStyle name="40% - Accent2 4 2 2 4 3 2 2" xfId="21532"/>
    <cellStyle name="40% - Accent2 4 2 2 4 3 2 3" xfId="21533"/>
    <cellStyle name="40% - Accent2 4 2 2 4 3 3" xfId="21534"/>
    <cellStyle name="40% - Accent2 4 2 2 4 3 3 2" xfId="21535"/>
    <cellStyle name="40% - Accent2 4 2 2 4 3 3 3" xfId="21536"/>
    <cellStyle name="40% - Accent2 4 2 2 4 3 4" xfId="21537"/>
    <cellStyle name="40% - Accent2 4 2 2 4 3 4 2" xfId="21538"/>
    <cellStyle name="40% - Accent2 4 2 2 4 3 5" xfId="21539"/>
    <cellStyle name="40% - Accent2 4 2 2 4 3 6" xfId="21540"/>
    <cellStyle name="40% - Accent2 4 2 2 4 4" xfId="21541"/>
    <cellStyle name="40% - Accent2 4 2 2 4 4 2" xfId="21542"/>
    <cellStyle name="40% - Accent2 4 2 2 4 4 2 2" xfId="21543"/>
    <cellStyle name="40% - Accent2 4 2 2 4 4 2 3" xfId="21544"/>
    <cellStyle name="40% - Accent2 4 2 2 4 4 3" xfId="21545"/>
    <cellStyle name="40% - Accent2 4 2 2 4 4 3 2" xfId="21546"/>
    <cellStyle name="40% - Accent2 4 2 2 4 4 4" xfId="21547"/>
    <cellStyle name="40% - Accent2 4 2 2 4 4 5" xfId="21548"/>
    <cellStyle name="40% - Accent2 4 2 2 4 5" xfId="21549"/>
    <cellStyle name="40% - Accent2 4 2 2 4 5 2" xfId="21550"/>
    <cellStyle name="40% - Accent2 4 2 2 4 5 3" xfId="21551"/>
    <cellStyle name="40% - Accent2 4 2 2 4 6" xfId="21552"/>
    <cellStyle name="40% - Accent2 4 2 2 4 6 2" xfId="21553"/>
    <cellStyle name="40% - Accent2 4 2 2 4 6 3" xfId="21554"/>
    <cellStyle name="40% - Accent2 4 2 2 4 7" xfId="21555"/>
    <cellStyle name="40% - Accent2 4 2 2 4 7 2" xfId="21556"/>
    <cellStyle name="40% - Accent2 4 2 2 4 8" xfId="21557"/>
    <cellStyle name="40% - Accent2 4 2 2 4 9" xfId="21558"/>
    <cellStyle name="40% - Accent2 4 2 2 5" xfId="21559"/>
    <cellStyle name="40% - Accent2 4 2 2 5 2" xfId="21560"/>
    <cellStyle name="40% - Accent2 4 2 2 5 2 2" xfId="21561"/>
    <cellStyle name="40% - Accent2 4 2 2 5 2 2 2" xfId="21562"/>
    <cellStyle name="40% - Accent2 4 2 2 5 2 2 3" xfId="21563"/>
    <cellStyle name="40% - Accent2 4 2 2 5 2 3" xfId="21564"/>
    <cellStyle name="40% - Accent2 4 2 2 5 2 3 2" xfId="21565"/>
    <cellStyle name="40% - Accent2 4 2 2 5 2 3 3" xfId="21566"/>
    <cellStyle name="40% - Accent2 4 2 2 5 2 4" xfId="21567"/>
    <cellStyle name="40% - Accent2 4 2 2 5 2 4 2" xfId="21568"/>
    <cellStyle name="40% - Accent2 4 2 2 5 2 5" xfId="21569"/>
    <cellStyle name="40% - Accent2 4 2 2 5 2 6" xfId="21570"/>
    <cellStyle name="40% - Accent2 4 2 2 5 3" xfId="21571"/>
    <cellStyle name="40% - Accent2 4 2 2 5 3 2" xfId="21572"/>
    <cellStyle name="40% - Accent2 4 2 2 5 3 2 2" xfId="21573"/>
    <cellStyle name="40% - Accent2 4 2 2 5 3 2 3" xfId="21574"/>
    <cellStyle name="40% - Accent2 4 2 2 5 3 3" xfId="21575"/>
    <cellStyle name="40% - Accent2 4 2 2 5 3 3 2" xfId="21576"/>
    <cellStyle name="40% - Accent2 4 2 2 5 3 3 3" xfId="21577"/>
    <cellStyle name="40% - Accent2 4 2 2 5 3 4" xfId="21578"/>
    <cellStyle name="40% - Accent2 4 2 2 5 3 4 2" xfId="21579"/>
    <cellStyle name="40% - Accent2 4 2 2 5 3 5" xfId="21580"/>
    <cellStyle name="40% - Accent2 4 2 2 5 3 6" xfId="21581"/>
    <cellStyle name="40% - Accent2 4 2 2 5 4" xfId="21582"/>
    <cellStyle name="40% - Accent2 4 2 2 5 4 2" xfId="21583"/>
    <cellStyle name="40% - Accent2 4 2 2 5 4 2 2" xfId="21584"/>
    <cellStyle name="40% - Accent2 4 2 2 5 4 2 3" xfId="21585"/>
    <cellStyle name="40% - Accent2 4 2 2 5 4 3" xfId="21586"/>
    <cellStyle name="40% - Accent2 4 2 2 5 4 3 2" xfId="21587"/>
    <cellStyle name="40% - Accent2 4 2 2 5 4 4" xfId="21588"/>
    <cellStyle name="40% - Accent2 4 2 2 5 4 5" xfId="21589"/>
    <cellStyle name="40% - Accent2 4 2 2 5 5" xfId="21590"/>
    <cellStyle name="40% - Accent2 4 2 2 5 5 2" xfId="21591"/>
    <cellStyle name="40% - Accent2 4 2 2 5 5 3" xfId="21592"/>
    <cellStyle name="40% - Accent2 4 2 2 5 6" xfId="21593"/>
    <cellStyle name="40% - Accent2 4 2 2 5 6 2" xfId="21594"/>
    <cellStyle name="40% - Accent2 4 2 2 5 6 3" xfId="21595"/>
    <cellStyle name="40% - Accent2 4 2 2 5 7" xfId="21596"/>
    <cellStyle name="40% - Accent2 4 2 2 5 7 2" xfId="21597"/>
    <cellStyle name="40% - Accent2 4 2 2 5 8" xfId="21598"/>
    <cellStyle name="40% - Accent2 4 2 2 5 9" xfId="21599"/>
    <cellStyle name="40% - Accent2 4 2 2 6" xfId="21600"/>
    <cellStyle name="40% - Accent2 4 2 2 6 2" xfId="21601"/>
    <cellStyle name="40% - Accent2 4 2 2 6 2 2" xfId="21602"/>
    <cellStyle name="40% - Accent2 4 2 2 6 2 3" xfId="21603"/>
    <cellStyle name="40% - Accent2 4 2 2 6 3" xfId="21604"/>
    <cellStyle name="40% - Accent2 4 2 2 6 3 2" xfId="21605"/>
    <cellStyle name="40% - Accent2 4 2 2 6 3 3" xfId="21606"/>
    <cellStyle name="40% - Accent2 4 2 2 6 4" xfId="21607"/>
    <cellStyle name="40% - Accent2 4 2 2 6 4 2" xfId="21608"/>
    <cellStyle name="40% - Accent2 4 2 2 6 5" xfId="21609"/>
    <cellStyle name="40% - Accent2 4 2 2 6 6" xfId="21610"/>
    <cellStyle name="40% - Accent2 4 2 2 7" xfId="21611"/>
    <cellStyle name="40% - Accent2 4 2 2 7 2" xfId="21612"/>
    <cellStyle name="40% - Accent2 4 2 2 7 2 2" xfId="21613"/>
    <cellStyle name="40% - Accent2 4 2 2 7 2 3" xfId="21614"/>
    <cellStyle name="40% - Accent2 4 2 2 7 3" xfId="21615"/>
    <cellStyle name="40% - Accent2 4 2 2 7 3 2" xfId="21616"/>
    <cellStyle name="40% - Accent2 4 2 2 7 3 3" xfId="21617"/>
    <cellStyle name="40% - Accent2 4 2 2 7 4" xfId="21618"/>
    <cellStyle name="40% - Accent2 4 2 2 7 4 2" xfId="21619"/>
    <cellStyle name="40% - Accent2 4 2 2 7 5" xfId="21620"/>
    <cellStyle name="40% - Accent2 4 2 2 7 6" xfId="21621"/>
    <cellStyle name="40% - Accent2 4 2 2 8" xfId="21622"/>
    <cellStyle name="40% - Accent2 4 2 2 8 2" xfId="21623"/>
    <cellStyle name="40% - Accent2 4 2 2 8 2 2" xfId="21624"/>
    <cellStyle name="40% - Accent2 4 2 2 8 2 3" xfId="21625"/>
    <cellStyle name="40% - Accent2 4 2 2 8 3" xfId="21626"/>
    <cellStyle name="40% - Accent2 4 2 2 8 3 2" xfId="21627"/>
    <cellStyle name="40% - Accent2 4 2 2 8 4" xfId="21628"/>
    <cellStyle name="40% - Accent2 4 2 2 8 5" xfId="21629"/>
    <cellStyle name="40% - Accent2 4 2 2 9" xfId="21630"/>
    <cellStyle name="40% - Accent2 4 2 2 9 2" xfId="21631"/>
    <cellStyle name="40% - Accent2 4 2 2 9 3" xfId="21632"/>
    <cellStyle name="40% - Accent2 4 2 3" xfId="1789"/>
    <cellStyle name="40% - Accent2 4 2 3 10" xfId="21633"/>
    <cellStyle name="40% - Accent2 4 2 3 10 2" xfId="21634"/>
    <cellStyle name="40% - Accent2 4 2 3 11" xfId="21635"/>
    <cellStyle name="40% - Accent2 4 2 3 12" xfId="21636"/>
    <cellStyle name="40% - Accent2 4 2 3 2" xfId="1790"/>
    <cellStyle name="40% - Accent2 4 2 3 2 10" xfId="21637"/>
    <cellStyle name="40% - Accent2 4 2 3 2 2" xfId="1791"/>
    <cellStyle name="40% - Accent2 4 2 3 2 2 2" xfId="21638"/>
    <cellStyle name="40% - Accent2 4 2 3 2 2 2 2" xfId="21639"/>
    <cellStyle name="40% - Accent2 4 2 3 2 2 2 2 2" xfId="21640"/>
    <cellStyle name="40% - Accent2 4 2 3 2 2 2 2 3" xfId="21641"/>
    <cellStyle name="40% - Accent2 4 2 3 2 2 2 3" xfId="21642"/>
    <cellStyle name="40% - Accent2 4 2 3 2 2 2 3 2" xfId="21643"/>
    <cellStyle name="40% - Accent2 4 2 3 2 2 2 3 3" xfId="21644"/>
    <cellStyle name="40% - Accent2 4 2 3 2 2 2 4" xfId="21645"/>
    <cellStyle name="40% - Accent2 4 2 3 2 2 2 4 2" xfId="21646"/>
    <cellStyle name="40% - Accent2 4 2 3 2 2 2 5" xfId="21647"/>
    <cellStyle name="40% - Accent2 4 2 3 2 2 2 6" xfId="21648"/>
    <cellStyle name="40% - Accent2 4 2 3 2 2 3" xfId="21649"/>
    <cellStyle name="40% - Accent2 4 2 3 2 2 3 2" xfId="21650"/>
    <cellStyle name="40% - Accent2 4 2 3 2 2 3 2 2" xfId="21651"/>
    <cellStyle name="40% - Accent2 4 2 3 2 2 3 2 3" xfId="21652"/>
    <cellStyle name="40% - Accent2 4 2 3 2 2 3 3" xfId="21653"/>
    <cellStyle name="40% - Accent2 4 2 3 2 2 3 3 2" xfId="21654"/>
    <cellStyle name="40% - Accent2 4 2 3 2 2 3 3 3" xfId="21655"/>
    <cellStyle name="40% - Accent2 4 2 3 2 2 3 4" xfId="21656"/>
    <cellStyle name="40% - Accent2 4 2 3 2 2 3 4 2" xfId="21657"/>
    <cellStyle name="40% - Accent2 4 2 3 2 2 3 5" xfId="21658"/>
    <cellStyle name="40% - Accent2 4 2 3 2 2 3 6" xfId="21659"/>
    <cellStyle name="40% - Accent2 4 2 3 2 2 4" xfId="21660"/>
    <cellStyle name="40% - Accent2 4 2 3 2 2 4 2" xfId="21661"/>
    <cellStyle name="40% - Accent2 4 2 3 2 2 4 2 2" xfId="21662"/>
    <cellStyle name="40% - Accent2 4 2 3 2 2 4 2 3" xfId="21663"/>
    <cellStyle name="40% - Accent2 4 2 3 2 2 4 3" xfId="21664"/>
    <cellStyle name="40% - Accent2 4 2 3 2 2 4 3 2" xfId="21665"/>
    <cellStyle name="40% - Accent2 4 2 3 2 2 4 4" xfId="21666"/>
    <cellStyle name="40% - Accent2 4 2 3 2 2 4 5" xfId="21667"/>
    <cellStyle name="40% - Accent2 4 2 3 2 2 5" xfId="21668"/>
    <cellStyle name="40% - Accent2 4 2 3 2 2 5 2" xfId="21669"/>
    <cellStyle name="40% - Accent2 4 2 3 2 2 5 3" xfId="21670"/>
    <cellStyle name="40% - Accent2 4 2 3 2 2 6" xfId="21671"/>
    <cellStyle name="40% - Accent2 4 2 3 2 2 6 2" xfId="21672"/>
    <cellStyle name="40% - Accent2 4 2 3 2 2 6 3" xfId="21673"/>
    <cellStyle name="40% - Accent2 4 2 3 2 2 7" xfId="21674"/>
    <cellStyle name="40% - Accent2 4 2 3 2 2 7 2" xfId="21675"/>
    <cellStyle name="40% - Accent2 4 2 3 2 2 8" xfId="21676"/>
    <cellStyle name="40% - Accent2 4 2 3 2 2 9" xfId="21677"/>
    <cellStyle name="40% - Accent2 4 2 3 2 3" xfId="21678"/>
    <cellStyle name="40% - Accent2 4 2 3 2 3 2" xfId="21679"/>
    <cellStyle name="40% - Accent2 4 2 3 2 3 2 2" xfId="21680"/>
    <cellStyle name="40% - Accent2 4 2 3 2 3 2 3" xfId="21681"/>
    <cellStyle name="40% - Accent2 4 2 3 2 3 3" xfId="21682"/>
    <cellStyle name="40% - Accent2 4 2 3 2 3 3 2" xfId="21683"/>
    <cellStyle name="40% - Accent2 4 2 3 2 3 3 3" xfId="21684"/>
    <cellStyle name="40% - Accent2 4 2 3 2 3 4" xfId="21685"/>
    <cellStyle name="40% - Accent2 4 2 3 2 3 4 2" xfId="21686"/>
    <cellStyle name="40% - Accent2 4 2 3 2 3 5" xfId="21687"/>
    <cellStyle name="40% - Accent2 4 2 3 2 3 6" xfId="21688"/>
    <cellStyle name="40% - Accent2 4 2 3 2 4" xfId="21689"/>
    <cellStyle name="40% - Accent2 4 2 3 2 4 2" xfId="21690"/>
    <cellStyle name="40% - Accent2 4 2 3 2 4 2 2" xfId="21691"/>
    <cellStyle name="40% - Accent2 4 2 3 2 4 2 3" xfId="21692"/>
    <cellStyle name="40% - Accent2 4 2 3 2 4 3" xfId="21693"/>
    <cellStyle name="40% - Accent2 4 2 3 2 4 3 2" xfId="21694"/>
    <cellStyle name="40% - Accent2 4 2 3 2 4 3 3" xfId="21695"/>
    <cellStyle name="40% - Accent2 4 2 3 2 4 4" xfId="21696"/>
    <cellStyle name="40% - Accent2 4 2 3 2 4 4 2" xfId="21697"/>
    <cellStyle name="40% - Accent2 4 2 3 2 4 5" xfId="21698"/>
    <cellStyle name="40% - Accent2 4 2 3 2 4 6" xfId="21699"/>
    <cellStyle name="40% - Accent2 4 2 3 2 5" xfId="21700"/>
    <cellStyle name="40% - Accent2 4 2 3 2 5 2" xfId="21701"/>
    <cellStyle name="40% - Accent2 4 2 3 2 5 2 2" xfId="21702"/>
    <cellStyle name="40% - Accent2 4 2 3 2 5 2 3" xfId="21703"/>
    <cellStyle name="40% - Accent2 4 2 3 2 5 3" xfId="21704"/>
    <cellStyle name="40% - Accent2 4 2 3 2 5 3 2" xfId="21705"/>
    <cellStyle name="40% - Accent2 4 2 3 2 5 4" xfId="21706"/>
    <cellStyle name="40% - Accent2 4 2 3 2 5 5" xfId="21707"/>
    <cellStyle name="40% - Accent2 4 2 3 2 6" xfId="21708"/>
    <cellStyle name="40% - Accent2 4 2 3 2 6 2" xfId="21709"/>
    <cellStyle name="40% - Accent2 4 2 3 2 6 3" xfId="21710"/>
    <cellStyle name="40% - Accent2 4 2 3 2 7" xfId="21711"/>
    <cellStyle name="40% - Accent2 4 2 3 2 7 2" xfId="21712"/>
    <cellStyle name="40% - Accent2 4 2 3 2 7 3" xfId="21713"/>
    <cellStyle name="40% - Accent2 4 2 3 2 8" xfId="21714"/>
    <cellStyle name="40% - Accent2 4 2 3 2 8 2" xfId="21715"/>
    <cellStyle name="40% - Accent2 4 2 3 2 9" xfId="21716"/>
    <cellStyle name="40% - Accent2 4 2 3 3" xfId="1792"/>
    <cellStyle name="40% - Accent2 4 2 3 3 2" xfId="21717"/>
    <cellStyle name="40% - Accent2 4 2 3 3 2 2" xfId="21718"/>
    <cellStyle name="40% - Accent2 4 2 3 3 2 2 2" xfId="21719"/>
    <cellStyle name="40% - Accent2 4 2 3 3 2 2 3" xfId="21720"/>
    <cellStyle name="40% - Accent2 4 2 3 3 2 3" xfId="21721"/>
    <cellStyle name="40% - Accent2 4 2 3 3 2 3 2" xfId="21722"/>
    <cellStyle name="40% - Accent2 4 2 3 3 2 3 3" xfId="21723"/>
    <cellStyle name="40% - Accent2 4 2 3 3 2 4" xfId="21724"/>
    <cellStyle name="40% - Accent2 4 2 3 3 2 4 2" xfId="21725"/>
    <cellStyle name="40% - Accent2 4 2 3 3 2 5" xfId="21726"/>
    <cellStyle name="40% - Accent2 4 2 3 3 2 6" xfId="21727"/>
    <cellStyle name="40% - Accent2 4 2 3 3 3" xfId="21728"/>
    <cellStyle name="40% - Accent2 4 2 3 3 3 2" xfId="21729"/>
    <cellStyle name="40% - Accent2 4 2 3 3 3 2 2" xfId="21730"/>
    <cellStyle name="40% - Accent2 4 2 3 3 3 2 3" xfId="21731"/>
    <cellStyle name="40% - Accent2 4 2 3 3 3 3" xfId="21732"/>
    <cellStyle name="40% - Accent2 4 2 3 3 3 3 2" xfId="21733"/>
    <cellStyle name="40% - Accent2 4 2 3 3 3 3 3" xfId="21734"/>
    <cellStyle name="40% - Accent2 4 2 3 3 3 4" xfId="21735"/>
    <cellStyle name="40% - Accent2 4 2 3 3 3 4 2" xfId="21736"/>
    <cellStyle name="40% - Accent2 4 2 3 3 3 5" xfId="21737"/>
    <cellStyle name="40% - Accent2 4 2 3 3 3 6" xfId="21738"/>
    <cellStyle name="40% - Accent2 4 2 3 3 4" xfId="21739"/>
    <cellStyle name="40% - Accent2 4 2 3 3 4 2" xfId="21740"/>
    <cellStyle name="40% - Accent2 4 2 3 3 4 2 2" xfId="21741"/>
    <cellStyle name="40% - Accent2 4 2 3 3 4 2 3" xfId="21742"/>
    <cellStyle name="40% - Accent2 4 2 3 3 4 3" xfId="21743"/>
    <cellStyle name="40% - Accent2 4 2 3 3 4 3 2" xfId="21744"/>
    <cellStyle name="40% - Accent2 4 2 3 3 4 4" xfId="21745"/>
    <cellStyle name="40% - Accent2 4 2 3 3 4 5" xfId="21746"/>
    <cellStyle name="40% - Accent2 4 2 3 3 5" xfId="21747"/>
    <cellStyle name="40% - Accent2 4 2 3 3 5 2" xfId="21748"/>
    <cellStyle name="40% - Accent2 4 2 3 3 5 3" xfId="21749"/>
    <cellStyle name="40% - Accent2 4 2 3 3 6" xfId="21750"/>
    <cellStyle name="40% - Accent2 4 2 3 3 6 2" xfId="21751"/>
    <cellStyle name="40% - Accent2 4 2 3 3 6 3" xfId="21752"/>
    <cellStyle name="40% - Accent2 4 2 3 3 7" xfId="21753"/>
    <cellStyle name="40% - Accent2 4 2 3 3 7 2" xfId="21754"/>
    <cellStyle name="40% - Accent2 4 2 3 3 8" xfId="21755"/>
    <cellStyle name="40% - Accent2 4 2 3 3 9" xfId="21756"/>
    <cellStyle name="40% - Accent2 4 2 3 4" xfId="21757"/>
    <cellStyle name="40% - Accent2 4 2 3 4 2" xfId="21758"/>
    <cellStyle name="40% - Accent2 4 2 3 4 2 2" xfId="21759"/>
    <cellStyle name="40% - Accent2 4 2 3 4 2 2 2" xfId="21760"/>
    <cellStyle name="40% - Accent2 4 2 3 4 2 2 3" xfId="21761"/>
    <cellStyle name="40% - Accent2 4 2 3 4 2 3" xfId="21762"/>
    <cellStyle name="40% - Accent2 4 2 3 4 2 3 2" xfId="21763"/>
    <cellStyle name="40% - Accent2 4 2 3 4 2 3 3" xfId="21764"/>
    <cellStyle name="40% - Accent2 4 2 3 4 2 4" xfId="21765"/>
    <cellStyle name="40% - Accent2 4 2 3 4 2 4 2" xfId="21766"/>
    <cellStyle name="40% - Accent2 4 2 3 4 2 5" xfId="21767"/>
    <cellStyle name="40% - Accent2 4 2 3 4 2 6" xfId="21768"/>
    <cellStyle name="40% - Accent2 4 2 3 4 3" xfId="21769"/>
    <cellStyle name="40% - Accent2 4 2 3 4 3 2" xfId="21770"/>
    <cellStyle name="40% - Accent2 4 2 3 4 3 2 2" xfId="21771"/>
    <cellStyle name="40% - Accent2 4 2 3 4 3 2 3" xfId="21772"/>
    <cellStyle name="40% - Accent2 4 2 3 4 3 3" xfId="21773"/>
    <cellStyle name="40% - Accent2 4 2 3 4 3 3 2" xfId="21774"/>
    <cellStyle name="40% - Accent2 4 2 3 4 3 3 3" xfId="21775"/>
    <cellStyle name="40% - Accent2 4 2 3 4 3 4" xfId="21776"/>
    <cellStyle name="40% - Accent2 4 2 3 4 3 4 2" xfId="21777"/>
    <cellStyle name="40% - Accent2 4 2 3 4 3 5" xfId="21778"/>
    <cellStyle name="40% - Accent2 4 2 3 4 3 6" xfId="21779"/>
    <cellStyle name="40% - Accent2 4 2 3 4 4" xfId="21780"/>
    <cellStyle name="40% - Accent2 4 2 3 4 4 2" xfId="21781"/>
    <cellStyle name="40% - Accent2 4 2 3 4 4 2 2" xfId="21782"/>
    <cellStyle name="40% - Accent2 4 2 3 4 4 2 3" xfId="21783"/>
    <cellStyle name="40% - Accent2 4 2 3 4 4 3" xfId="21784"/>
    <cellStyle name="40% - Accent2 4 2 3 4 4 3 2" xfId="21785"/>
    <cellStyle name="40% - Accent2 4 2 3 4 4 4" xfId="21786"/>
    <cellStyle name="40% - Accent2 4 2 3 4 4 5" xfId="21787"/>
    <cellStyle name="40% - Accent2 4 2 3 4 5" xfId="21788"/>
    <cellStyle name="40% - Accent2 4 2 3 4 5 2" xfId="21789"/>
    <cellStyle name="40% - Accent2 4 2 3 4 5 3" xfId="21790"/>
    <cellStyle name="40% - Accent2 4 2 3 4 6" xfId="21791"/>
    <cellStyle name="40% - Accent2 4 2 3 4 6 2" xfId="21792"/>
    <cellStyle name="40% - Accent2 4 2 3 4 6 3" xfId="21793"/>
    <cellStyle name="40% - Accent2 4 2 3 4 7" xfId="21794"/>
    <cellStyle name="40% - Accent2 4 2 3 4 7 2" xfId="21795"/>
    <cellStyle name="40% - Accent2 4 2 3 4 8" xfId="21796"/>
    <cellStyle name="40% - Accent2 4 2 3 4 9" xfId="21797"/>
    <cellStyle name="40% - Accent2 4 2 3 5" xfId="21798"/>
    <cellStyle name="40% - Accent2 4 2 3 5 2" xfId="21799"/>
    <cellStyle name="40% - Accent2 4 2 3 5 2 2" xfId="21800"/>
    <cellStyle name="40% - Accent2 4 2 3 5 2 3" xfId="21801"/>
    <cellStyle name="40% - Accent2 4 2 3 5 3" xfId="21802"/>
    <cellStyle name="40% - Accent2 4 2 3 5 3 2" xfId="21803"/>
    <cellStyle name="40% - Accent2 4 2 3 5 3 3" xfId="21804"/>
    <cellStyle name="40% - Accent2 4 2 3 5 4" xfId="21805"/>
    <cellStyle name="40% - Accent2 4 2 3 5 4 2" xfId="21806"/>
    <cellStyle name="40% - Accent2 4 2 3 5 5" xfId="21807"/>
    <cellStyle name="40% - Accent2 4 2 3 5 6" xfId="21808"/>
    <cellStyle name="40% - Accent2 4 2 3 6" xfId="21809"/>
    <cellStyle name="40% - Accent2 4 2 3 6 2" xfId="21810"/>
    <cellStyle name="40% - Accent2 4 2 3 6 2 2" xfId="21811"/>
    <cellStyle name="40% - Accent2 4 2 3 6 2 3" xfId="21812"/>
    <cellStyle name="40% - Accent2 4 2 3 6 3" xfId="21813"/>
    <cellStyle name="40% - Accent2 4 2 3 6 3 2" xfId="21814"/>
    <cellStyle name="40% - Accent2 4 2 3 6 3 3" xfId="21815"/>
    <cellStyle name="40% - Accent2 4 2 3 6 4" xfId="21816"/>
    <cellStyle name="40% - Accent2 4 2 3 6 4 2" xfId="21817"/>
    <cellStyle name="40% - Accent2 4 2 3 6 5" xfId="21818"/>
    <cellStyle name="40% - Accent2 4 2 3 6 6" xfId="21819"/>
    <cellStyle name="40% - Accent2 4 2 3 7" xfId="21820"/>
    <cellStyle name="40% - Accent2 4 2 3 7 2" xfId="21821"/>
    <cellStyle name="40% - Accent2 4 2 3 7 2 2" xfId="21822"/>
    <cellStyle name="40% - Accent2 4 2 3 7 2 3" xfId="21823"/>
    <cellStyle name="40% - Accent2 4 2 3 7 3" xfId="21824"/>
    <cellStyle name="40% - Accent2 4 2 3 7 3 2" xfId="21825"/>
    <cellStyle name="40% - Accent2 4 2 3 7 4" xfId="21826"/>
    <cellStyle name="40% - Accent2 4 2 3 7 5" xfId="21827"/>
    <cellStyle name="40% - Accent2 4 2 3 8" xfId="21828"/>
    <cellStyle name="40% - Accent2 4 2 3 8 2" xfId="21829"/>
    <cellStyle name="40% - Accent2 4 2 3 8 3" xfId="21830"/>
    <cellStyle name="40% - Accent2 4 2 3 9" xfId="21831"/>
    <cellStyle name="40% - Accent2 4 2 3 9 2" xfId="21832"/>
    <cellStyle name="40% - Accent2 4 2 3 9 3" xfId="21833"/>
    <cellStyle name="40% - Accent2 4 2 4" xfId="1793"/>
    <cellStyle name="40% - Accent2 4 2 4 10" xfId="21834"/>
    <cellStyle name="40% - Accent2 4 2 4 2" xfId="1794"/>
    <cellStyle name="40% - Accent2 4 2 4 2 2" xfId="21835"/>
    <cellStyle name="40% - Accent2 4 2 4 2 2 2" xfId="21836"/>
    <cellStyle name="40% - Accent2 4 2 4 2 2 2 2" xfId="21837"/>
    <cellStyle name="40% - Accent2 4 2 4 2 2 2 3" xfId="21838"/>
    <cellStyle name="40% - Accent2 4 2 4 2 2 3" xfId="21839"/>
    <cellStyle name="40% - Accent2 4 2 4 2 2 3 2" xfId="21840"/>
    <cellStyle name="40% - Accent2 4 2 4 2 2 3 3" xfId="21841"/>
    <cellStyle name="40% - Accent2 4 2 4 2 2 4" xfId="21842"/>
    <cellStyle name="40% - Accent2 4 2 4 2 2 4 2" xfId="21843"/>
    <cellStyle name="40% - Accent2 4 2 4 2 2 5" xfId="21844"/>
    <cellStyle name="40% - Accent2 4 2 4 2 2 6" xfId="21845"/>
    <cellStyle name="40% - Accent2 4 2 4 2 3" xfId="21846"/>
    <cellStyle name="40% - Accent2 4 2 4 2 3 2" xfId="21847"/>
    <cellStyle name="40% - Accent2 4 2 4 2 3 2 2" xfId="21848"/>
    <cellStyle name="40% - Accent2 4 2 4 2 3 2 3" xfId="21849"/>
    <cellStyle name="40% - Accent2 4 2 4 2 3 3" xfId="21850"/>
    <cellStyle name="40% - Accent2 4 2 4 2 3 3 2" xfId="21851"/>
    <cellStyle name="40% - Accent2 4 2 4 2 3 3 3" xfId="21852"/>
    <cellStyle name="40% - Accent2 4 2 4 2 3 4" xfId="21853"/>
    <cellStyle name="40% - Accent2 4 2 4 2 3 4 2" xfId="21854"/>
    <cellStyle name="40% - Accent2 4 2 4 2 3 5" xfId="21855"/>
    <cellStyle name="40% - Accent2 4 2 4 2 3 6" xfId="21856"/>
    <cellStyle name="40% - Accent2 4 2 4 2 4" xfId="21857"/>
    <cellStyle name="40% - Accent2 4 2 4 2 4 2" xfId="21858"/>
    <cellStyle name="40% - Accent2 4 2 4 2 4 2 2" xfId="21859"/>
    <cellStyle name="40% - Accent2 4 2 4 2 4 2 3" xfId="21860"/>
    <cellStyle name="40% - Accent2 4 2 4 2 4 3" xfId="21861"/>
    <cellStyle name="40% - Accent2 4 2 4 2 4 3 2" xfId="21862"/>
    <cellStyle name="40% - Accent2 4 2 4 2 4 4" xfId="21863"/>
    <cellStyle name="40% - Accent2 4 2 4 2 4 5" xfId="21864"/>
    <cellStyle name="40% - Accent2 4 2 4 2 5" xfId="21865"/>
    <cellStyle name="40% - Accent2 4 2 4 2 5 2" xfId="21866"/>
    <cellStyle name="40% - Accent2 4 2 4 2 5 3" xfId="21867"/>
    <cellStyle name="40% - Accent2 4 2 4 2 6" xfId="21868"/>
    <cellStyle name="40% - Accent2 4 2 4 2 6 2" xfId="21869"/>
    <cellStyle name="40% - Accent2 4 2 4 2 6 3" xfId="21870"/>
    <cellStyle name="40% - Accent2 4 2 4 2 7" xfId="21871"/>
    <cellStyle name="40% - Accent2 4 2 4 2 7 2" xfId="21872"/>
    <cellStyle name="40% - Accent2 4 2 4 2 8" xfId="21873"/>
    <cellStyle name="40% - Accent2 4 2 4 2 9" xfId="21874"/>
    <cellStyle name="40% - Accent2 4 2 4 3" xfId="21875"/>
    <cellStyle name="40% - Accent2 4 2 4 3 2" xfId="21876"/>
    <cellStyle name="40% - Accent2 4 2 4 3 2 2" xfId="21877"/>
    <cellStyle name="40% - Accent2 4 2 4 3 2 3" xfId="21878"/>
    <cellStyle name="40% - Accent2 4 2 4 3 3" xfId="21879"/>
    <cellStyle name="40% - Accent2 4 2 4 3 3 2" xfId="21880"/>
    <cellStyle name="40% - Accent2 4 2 4 3 3 3" xfId="21881"/>
    <cellStyle name="40% - Accent2 4 2 4 3 4" xfId="21882"/>
    <cellStyle name="40% - Accent2 4 2 4 3 4 2" xfId="21883"/>
    <cellStyle name="40% - Accent2 4 2 4 3 5" xfId="21884"/>
    <cellStyle name="40% - Accent2 4 2 4 3 6" xfId="21885"/>
    <cellStyle name="40% - Accent2 4 2 4 4" xfId="21886"/>
    <cellStyle name="40% - Accent2 4 2 4 4 2" xfId="21887"/>
    <cellStyle name="40% - Accent2 4 2 4 4 2 2" xfId="21888"/>
    <cellStyle name="40% - Accent2 4 2 4 4 2 3" xfId="21889"/>
    <cellStyle name="40% - Accent2 4 2 4 4 3" xfId="21890"/>
    <cellStyle name="40% - Accent2 4 2 4 4 3 2" xfId="21891"/>
    <cellStyle name="40% - Accent2 4 2 4 4 3 3" xfId="21892"/>
    <cellStyle name="40% - Accent2 4 2 4 4 4" xfId="21893"/>
    <cellStyle name="40% - Accent2 4 2 4 4 4 2" xfId="21894"/>
    <cellStyle name="40% - Accent2 4 2 4 4 5" xfId="21895"/>
    <cellStyle name="40% - Accent2 4 2 4 4 6" xfId="21896"/>
    <cellStyle name="40% - Accent2 4 2 4 5" xfId="21897"/>
    <cellStyle name="40% - Accent2 4 2 4 5 2" xfId="21898"/>
    <cellStyle name="40% - Accent2 4 2 4 5 2 2" xfId="21899"/>
    <cellStyle name="40% - Accent2 4 2 4 5 2 3" xfId="21900"/>
    <cellStyle name="40% - Accent2 4 2 4 5 3" xfId="21901"/>
    <cellStyle name="40% - Accent2 4 2 4 5 3 2" xfId="21902"/>
    <cellStyle name="40% - Accent2 4 2 4 5 4" xfId="21903"/>
    <cellStyle name="40% - Accent2 4 2 4 5 5" xfId="21904"/>
    <cellStyle name="40% - Accent2 4 2 4 6" xfId="21905"/>
    <cellStyle name="40% - Accent2 4 2 4 6 2" xfId="21906"/>
    <cellStyle name="40% - Accent2 4 2 4 6 3" xfId="21907"/>
    <cellStyle name="40% - Accent2 4 2 4 7" xfId="21908"/>
    <cellStyle name="40% - Accent2 4 2 4 7 2" xfId="21909"/>
    <cellStyle name="40% - Accent2 4 2 4 7 3" xfId="21910"/>
    <cellStyle name="40% - Accent2 4 2 4 8" xfId="21911"/>
    <cellStyle name="40% - Accent2 4 2 4 8 2" xfId="21912"/>
    <cellStyle name="40% - Accent2 4 2 4 9" xfId="21913"/>
    <cellStyle name="40% - Accent2 4 2 5" xfId="1795"/>
    <cellStyle name="40% - Accent2 4 2 5 2" xfId="21914"/>
    <cellStyle name="40% - Accent2 4 2 5 2 2" xfId="21915"/>
    <cellStyle name="40% - Accent2 4 2 5 2 2 2" xfId="21916"/>
    <cellStyle name="40% - Accent2 4 2 5 2 2 3" xfId="21917"/>
    <cellStyle name="40% - Accent2 4 2 5 2 3" xfId="21918"/>
    <cellStyle name="40% - Accent2 4 2 5 2 3 2" xfId="21919"/>
    <cellStyle name="40% - Accent2 4 2 5 2 3 3" xfId="21920"/>
    <cellStyle name="40% - Accent2 4 2 5 2 4" xfId="21921"/>
    <cellStyle name="40% - Accent2 4 2 5 2 4 2" xfId="21922"/>
    <cellStyle name="40% - Accent2 4 2 5 2 5" xfId="21923"/>
    <cellStyle name="40% - Accent2 4 2 5 2 6" xfId="21924"/>
    <cellStyle name="40% - Accent2 4 2 5 3" xfId="21925"/>
    <cellStyle name="40% - Accent2 4 2 5 3 2" xfId="21926"/>
    <cellStyle name="40% - Accent2 4 2 5 3 2 2" xfId="21927"/>
    <cellStyle name="40% - Accent2 4 2 5 3 2 3" xfId="21928"/>
    <cellStyle name="40% - Accent2 4 2 5 3 3" xfId="21929"/>
    <cellStyle name="40% - Accent2 4 2 5 3 3 2" xfId="21930"/>
    <cellStyle name="40% - Accent2 4 2 5 3 3 3" xfId="21931"/>
    <cellStyle name="40% - Accent2 4 2 5 3 4" xfId="21932"/>
    <cellStyle name="40% - Accent2 4 2 5 3 4 2" xfId="21933"/>
    <cellStyle name="40% - Accent2 4 2 5 3 5" xfId="21934"/>
    <cellStyle name="40% - Accent2 4 2 5 3 6" xfId="21935"/>
    <cellStyle name="40% - Accent2 4 2 5 4" xfId="21936"/>
    <cellStyle name="40% - Accent2 4 2 5 4 2" xfId="21937"/>
    <cellStyle name="40% - Accent2 4 2 5 4 2 2" xfId="21938"/>
    <cellStyle name="40% - Accent2 4 2 5 4 2 3" xfId="21939"/>
    <cellStyle name="40% - Accent2 4 2 5 4 3" xfId="21940"/>
    <cellStyle name="40% - Accent2 4 2 5 4 3 2" xfId="21941"/>
    <cellStyle name="40% - Accent2 4 2 5 4 4" xfId="21942"/>
    <cellStyle name="40% - Accent2 4 2 5 4 5" xfId="21943"/>
    <cellStyle name="40% - Accent2 4 2 5 5" xfId="21944"/>
    <cellStyle name="40% - Accent2 4 2 5 5 2" xfId="21945"/>
    <cellStyle name="40% - Accent2 4 2 5 5 3" xfId="21946"/>
    <cellStyle name="40% - Accent2 4 2 5 6" xfId="21947"/>
    <cellStyle name="40% - Accent2 4 2 5 6 2" xfId="21948"/>
    <cellStyle name="40% - Accent2 4 2 5 6 3" xfId="21949"/>
    <cellStyle name="40% - Accent2 4 2 5 7" xfId="21950"/>
    <cellStyle name="40% - Accent2 4 2 5 7 2" xfId="21951"/>
    <cellStyle name="40% - Accent2 4 2 5 8" xfId="21952"/>
    <cellStyle name="40% - Accent2 4 2 5 9" xfId="21953"/>
    <cellStyle name="40% - Accent2 4 2 6" xfId="21954"/>
    <cellStyle name="40% - Accent2 4 2 6 2" xfId="21955"/>
    <cellStyle name="40% - Accent2 4 2 6 2 2" xfId="21956"/>
    <cellStyle name="40% - Accent2 4 2 6 2 2 2" xfId="21957"/>
    <cellStyle name="40% - Accent2 4 2 6 2 2 3" xfId="21958"/>
    <cellStyle name="40% - Accent2 4 2 6 2 3" xfId="21959"/>
    <cellStyle name="40% - Accent2 4 2 6 2 3 2" xfId="21960"/>
    <cellStyle name="40% - Accent2 4 2 6 2 3 3" xfId="21961"/>
    <cellStyle name="40% - Accent2 4 2 6 2 4" xfId="21962"/>
    <cellStyle name="40% - Accent2 4 2 6 2 4 2" xfId="21963"/>
    <cellStyle name="40% - Accent2 4 2 6 2 5" xfId="21964"/>
    <cellStyle name="40% - Accent2 4 2 6 2 6" xfId="21965"/>
    <cellStyle name="40% - Accent2 4 2 6 3" xfId="21966"/>
    <cellStyle name="40% - Accent2 4 2 6 3 2" xfId="21967"/>
    <cellStyle name="40% - Accent2 4 2 6 3 2 2" xfId="21968"/>
    <cellStyle name="40% - Accent2 4 2 6 3 2 3" xfId="21969"/>
    <cellStyle name="40% - Accent2 4 2 6 3 3" xfId="21970"/>
    <cellStyle name="40% - Accent2 4 2 6 3 3 2" xfId="21971"/>
    <cellStyle name="40% - Accent2 4 2 6 3 3 3" xfId="21972"/>
    <cellStyle name="40% - Accent2 4 2 6 3 4" xfId="21973"/>
    <cellStyle name="40% - Accent2 4 2 6 3 4 2" xfId="21974"/>
    <cellStyle name="40% - Accent2 4 2 6 3 5" xfId="21975"/>
    <cellStyle name="40% - Accent2 4 2 6 3 6" xfId="21976"/>
    <cellStyle name="40% - Accent2 4 2 6 4" xfId="21977"/>
    <cellStyle name="40% - Accent2 4 2 6 4 2" xfId="21978"/>
    <cellStyle name="40% - Accent2 4 2 6 4 2 2" xfId="21979"/>
    <cellStyle name="40% - Accent2 4 2 6 4 2 3" xfId="21980"/>
    <cellStyle name="40% - Accent2 4 2 6 4 3" xfId="21981"/>
    <cellStyle name="40% - Accent2 4 2 6 4 3 2" xfId="21982"/>
    <cellStyle name="40% - Accent2 4 2 6 4 4" xfId="21983"/>
    <cellStyle name="40% - Accent2 4 2 6 4 5" xfId="21984"/>
    <cellStyle name="40% - Accent2 4 2 6 5" xfId="21985"/>
    <cellStyle name="40% - Accent2 4 2 6 5 2" xfId="21986"/>
    <cellStyle name="40% - Accent2 4 2 6 5 3" xfId="21987"/>
    <cellStyle name="40% - Accent2 4 2 6 6" xfId="21988"/>
    <cellStyle name="40% - Accent2 4 2 6 6 2" xfId="21989"/>
    <cellStyle name="40% - Accent2 4 2 6 6 3" xfId="21990"/>
    <cellStyle name="40% - Accent2 4 2 6 7" xfId="21991"/>
    <cellStyle name="40% - Accent2 4 2 6 7 2" xfId="21992"/>
    <cellStyle name="40% - Accent2 4 2 6 8" xfId="21993"/>
    <cellStyle name="40% - Accent2 4 2 6 9" xfId="21994"/>
    <cellStyle name="40% - Accent2 4 2 7" xfId="21995"/>
    <cellStyle name="40% - Accent2 4 2 7 2" xfId="21996"/>
    <cellStyle name="40% - Accent2 4 2 7 2 2" xfId="21997"/>
    <cellStyle name="40% - Accent2 4 2 7 2 3" xfId="21998"/>
    <cellStyle name="40% - Accent2 4 2 7 3" xfId="21999"/>
    <cellStyle name="40% - Accent2 4 2 7 3 2" xfId="22000"/>
    <cellStyle name="40% - Accent2 4 2 7 3 3" xfId="22001"/>
    <cellStyle name="40% - Accent2 4 2 7 4" xfId="22002"/>
    <cellStyle name="40% - Accent2 4 2 7 4 2" xfId="22003"/>
    <cellStyle name="40% - Accent2 4 2 7 5" xfId="22004"/>
    <cellStyle name="40% - Accent2 4 2 7 6" xfId="22005"/>
    <cellStyle name="40% - Accent2 4 2 8" xfId="22006"/>
    <cellStyle name="40% - Accent2 4 2 8 2" xfId="22007"/>
    <cellStyle name="40% - Accent2 4 2 8 2 2" xfId="22008"/>
    <cellStyle name="40% - Accent2 4 2 8 2 3" xfId="22009"/>
    <cellStyle name="40% - Accent2 4 2 8 3" xfId="22010"/>
    <cellStyle name="40% - Accent2 4 2 8 3 2" xfId="22011"/>
    <cellStyle name="40% - Accent2 4 2 8 3 3" xfId="22012"/>
    <cellStyle name="40% - Accent2 4 2 8 4" xfId="22013"/>
    <cellStyle name="40% - Accent2 4 2 8 4 2" xfId="22014"/>
    <cellStyle name="40% - Accent2 4 2 8 5" xfId="22015"/>
    <cellStyle name="40% - Accent2 4 2 8 6" xfId="22016"/>
    <cellStyle name="40% - Accent2 4 2 9" xfId="22017"/>
    <cellStyle name="40% - Accent2 4 2 9 2" xfId="22018"/>
    <cellStyle name="40% - Accent2 4 2 9 2 2" xfId="22019"/>
    <cellStyle name="40% - Accent2 4 2 9 2 3" xfId="22020"/>
    <cellStyle name="40% - Accent2 4 2 9 3" xfId="22021"/>
    <cellStyle name="40% - Accent2 4 2 9 3 2" xfId="22022"/>
    <cellStyle name="40% - Accent2 4 2 9 4" xfId="22023"/>
    <cellStyle name="40% - Accent2 4 2 9 5" xfId="22024"/>
    <cellStyle name="40% - Accent2 4 3" xfId="1796"/>
    <cellStyle name="40% - Accent2 4 3 10" xfId="22025"/>
    <cellStyle name="40% - Accent2 4 3 10 2" xfId="22026"/>
    <cellStyle name="40% - Accent2 4 3 10 3" xfId="22027"/>
    <cellStyle name="40% - Accent2 4 3 11" xfId="22028"/>
    <cellStyle name="40% - Accent2 4 3 11 2" xfId="22029"/>
    <cellStyle name="40% - Accent2 4 3 12" xfId="22030"/>
    <cellStyle name="40% - Accent2 4 3 13" xfId="22031"/>
    <cellStyle name="40% - Accent2 4 3 14" xfId="22032"/>
    <cellStyle name="40% - Accent2 4 3 2" xfId="1797"/>
    <cellStyle name="40% - Accent2 4 3 2 10" xfId="22033"/>
    <cellStyle name="40% - Accent2 4 3 2 10 2" xfId="22034"/>
    <cellStyle name="40% - Accent2 4 3 2 11" xfId="22035"/>
    <cellStyle name="40% - Accent2 4 3 2 12" xfId="22036"/>
    <cellStyle name="40% - Accent2 4 3 2 2" xfId="1798"/>
    <cellStyle name="40% - Accent2 4 3 2 2 10" xfId="22037"/>
    <cellStyle name="40% - Accent2 4 3 2 2 2" xfId="1799"/>
    <cellStyle name="40% - Accent2 4 3 2 2 2 2" xfId="22038"/>
    <cellStyle name="40% - Accent2 4 3 2 2 2 2 2" xfId="22039"/>
    <cellStyle name="40% - Accent2 4 3 2 2 2 2 2 2" xfId="22040"/>
    <cellStyle name="40% - Accent2 4 3 2 2 2 2 2 3" xfId="22041"/>
    <cellStyle name="40% - Accent2 4 3 2 2 2 2 3" xfId="22042"/>
    <cellStyle name="40% - Accent2 4 3 2 2 2 2 3 2" xfId="22043"/>
    <cellStyle name="40% - Accent2 4 3 2 2 2 2 3 3" xfId="22044"/>
    <cellStyle name="40% - Accent2 4 3 2 2 2 2 4" xfId="22045"/>
    <cellStyle name="40% - Accent2 4 3 2 2 2 2 4 2" xfId="22046"/>
    <cellStyle name="40% - Accent2 4 3 2 2 2 2 5" xfId="22047"/>
    <cellStyle name="40% - Accent2 4 3 2 2 2 2 6" xfId="22048"/>
    <cellStyle name="40% - Accent2 4 3 2 2 2 3" xfId="22049"/>
    <cellStyle name="40% - Accent2 4 3 2 2 2 3 2" xfId="22050"/>
    <cellStyle name="40% - Accent2 4 3 2 2 2 3 2 2" xfId="22051"/>
    <cellStyle name="40% - Accent2 4 3 2 2 2 3 2 3" xfId="22052"/>
    <cellStyle name="40% - Accent2 4 3 2 2 2 3 3" xfId="22053"/>
    <cellStyle name="40% - Accent2 4 3 2 2 2 3 3 2" xfId="22054"/>
    <cellStyle name="40% - Accent2 4 3 2 2 2 3 3 3" xfId="22055"/>
    <cellStyle name="40% - Accent2 4 3 2 2 2 3 4" xfId="22056"/>
    <cellStyle name="40% - Accent2 4 3 2 2 2 3 4 2" xfId="22057"/>
    <cellStyle name="40% - Accent2 4 3 2 2 2 3 5" xfId="22058"/>
    <cellStyle name="40% - Accent2 4 3 2 2 2 3 6" xfId="22059"/>
    <cellStyle name="40% - Accent2 4 3 2 2 2 4" xfId="22060"/>
    <cellStyle name="40% - Accent2 4 3 2 2 2 4 2" xfId="22061"/>
    <cellStyle name="40% - Accent2 4 3 2 2 2 4 2 2" xfId="22062"/>
    <cellStyle name="40% - Accent2 4 3 2 2 2 4 2 3" xfId="22063"/>
    <cellStyle name="40% - Accent2 4 3 2 2 2 4 3" xfId="22064"/>
    <cellStyle name="40% - Accent2 4 3 2 2 2 4 3 2" xfId="22065"/>
    <cellStyle name="40% - Accent2 4 3 2 2 2 4 4" xfId="22066"/>
    <cellStyle name="40% - Accent2 4 3 2 2 2 4 5" xfId="22067"/>
    <cellStyle name="40% - Accent2 4 3 2 2 2 5" xfId="22068"/>
    <cellStyle name="40% - Accent2 4 3 2 2 2 5 2" xfId="22069"/>
    <cellStyle name="40% - Accent2 4 3 2 2 2 5 3" xfId="22070"/>
    <cellStyle name="40% - Accent2 4 3 2 2 2 6" xfId="22071"/>
    <cellStyle name="40% - Accent2 4 3 2 2 2 6 2" xfId="22072"/>
    <cellStyle name="40% - Accent2 4 3 2 2 2 6 3" xfId="22073"/>
    <cellStyle name="40% - Accent2 4 3 2 2 2 7" xfId="22074"/>
    <cellStyle name="40% - Accent2 4 3 2 2 2 7 2" xfId="22075"/>
    <cellStyle name="40% - Accent2 4 3 2 2 2 8" xfId="22076"/>
    <cellStyle name="40% - Accent2 4 3 2 2 2 9" xfId="22077"/>
    <cellStyle name="40% - Accent2 4 3 2 2 3" xfId="22078"/>
    <cellStyle name="40% - Accent2 4 3 2 2 3 2" xfId="22079"/>
    <cellStyle name="40% - Accent2 4 3 2 2 3 2 2" xfId="22080"/>
    <cellStyle name="40% - Accent2 4 3 2 2 3 2 3" xfId="22081"/>
    <cellStyle name="40% - Accent2 4 3 2 2 3 3" xfId="22082"/>
    <cellStyle name="40% - Accent2 4 3 2 2 3 3 2" xfId="22083"/>
    <cellStyle name="40% - Accent2 4 3 2 2 3 3 3" xfId="22084"/>
    <cellStyle name="40% - Accent2 4 3 2 2 3 4" xfId="22085"/>
    <cellStyle name="40% - Accent2 4 3 2 2 3 4 2" xfId="22086"/>
    <cellStyle name="40% - Accent2 4 3 2 2 3 5" xfId="22087"/>
    <cellStyle name="40% - Accent2 4 3 2 2 3 6" xfId="22088"/>
    <cellStyle name="40% - Accent2 4 3 2 2 4" xfId="22089"/>
    <cellStyle name="40% - Accent2 4 3 2 2 4 2" xfId="22090"/>
    <cellStyle name="40% - Accent2 4 3 2 2 4 2 2" xfId="22091"/>
    <cellStyle name="40% - Accent2 4 3 2 2 4 2 3" xfId="22092"/>
    <cellStyle name="40% - Accent2 4 3 2 2 4 3" xfId="22093"/>
    <cellStyle name="40% - Accent2 4 3 2 2 4 3 2" xfId="22094"/>
    <cellStyle name="40% - Accent2 4 3 2 2 4 3 3" xfId="22095"/>
    <cellStyle name="40% - Accent2 4 3 2 2 4 4" xfId="22096"/>
    <cellStyle name="40% - Accent2 4 3 2 2 4 4 2" xfId="22097"/>
    <cellStyle name="40% - Accent2 4 3 2 2 4 5" xfId="22098"/>
    <cellStyle name="40% - Accent2 4 3 2 2 4 6" xfId="22099"/>
    <cellStyle name="40% - Accent2 4 3 2 2 5" xfId="22100"/>
    <cellStyle name="40% - Accent2 4 3 2 2 5 2" xfId="22101"/>
    <cellStyle name="40% - Accent2 4 3 2 2 5 2 2" xfId="22102"/>
    <cellStyle name="40% - Accent2 4 3 2 2 5 2 3" xfId="22103"/>
    <cellStyle name="40% - Accent2 4 3 2 2 5 3" xfId="22104"/>
    <cellStyle name="40% - Accent2 4 3 2 2 5 3 2" xfId="22105"/>
    <cellStyle name="40% - Accent2 4 3 2 2 5 4" xfId="22106"/>
    <cellStyle name="40% - Accent2 4 3 2 2 5 5" xfId="22107"/>
    <cellStyle name="40% - Accent2 4 3 2 2 6" xfId="22108"/>
    <cellStyle name="40% - Accent2 4 3 2 2 6 2" xfId="22109"/>
    <cellStyle name="40% - Accent2 4 3 2 2 6 3" xfId="22110"/>
    <cellStyle name="40% - Accent2 4 3 2 2 7" xfId="22111"/>
    <cellStyle name="40% - Accent2 4 3 2 2 7 2" xfId="22112"/>
    <cellStyle name="40% - Accent2 4 3 2 2 7 3" xfId="22113"/>
    <cellStyle name="40% - Accent2 4 3 2 2 8" xfId="22114"/>
    <cellStyle name="40% - Accent2 4 3 2 2 8 2" xfId="22115"/>
    <cellStyle name="40% - Accent2 4 3 2 2 9" xfId="22116"/>
    <cellStyle name="40% - Accent2 4 3 2 3" xfId="1800"/>
    <cellStyle name="40% - Accent2 4 3 2 3 2" xfId="22117"/>
    <cellStyle name="40% - Accent2 4 3 2 3 2 2" xfId="22118"/>
    <cellStyle name="40% - Accent2 4 3 2 3 2 2 2" xfId="22119"/>
    <cellStyle name="40% - Accent2 4 3 2 3 2 2 3" xfId="22120"/>
    <cellStyle name="40% - Accent2 4 3 2 3 2 3" xfId="22121"/>
    <cellStyle name="40% - Accent2 4 3 2 3 2 3 2" xfId="22122"/>
    <cellStyle name="40% - Accent2 4 3 2 3 2 3 3" xfId="22123"/>
    <cellStyle name="40% - Accent2 4 3 2 3 2 4" xfId="22124"/>
    <cellStyle name="40% - Accent2 4 3 2 3 2 4 2" xfId="22125"/>
    <cellStyle name="40% - Accent2 4 3 2 3 2 5" xfId="22126"/>
    <cellStyle name="40% - Accent2 4 3 2 3 2 6" xfId="22127"/>
    <cellStyle name="40% - Accent2 4 3 2 3 3" xfId="22128"/>
    <cellStyle name="40% - Accent2 4 3 2 3 3 2" xfId="22129"/>
    <cellStyle name="40% - Accent2 4 3 2 3 3 2 2" xfId="22130"/>
    <cellStyle name="40% - Accent2 4 3 2 3 3 2 3" xfId="22131"/>
    <cellStyle name="40% - Accent2 4 3 2 3 3 3" xfId="22132"/>
    <cellStyle name="40% - Accent2 4 3 2 3 3 3 2" xfId="22133"/>
    <cellStyle name="40% - Accent2 4 3 2 3 3 3 3" xfId="22134"/>
    <cellStyle name="40% - Accent2 4 3 2 3 3 4" xfId="22135"/>
    <cellStyle name="40% - Accent2 4 3 2 3 3 4 2" xfId="22136"/>
    <cellStyle name="40% - Accent2 4 3 2 3 3 5" xfId="22137"/>
    <cellStyle name="40% - Accent2 4 3 2 3 3 6" xfId="22138"/>
    <cellStyle name="40% - Accent2 4 3 2 3 4" xfId="22139"/>
    <cellStyle name="40% - Accent2 4 3 2 3 4 2" xfId="22140"/>
    <cellStyle name="40% - Accent2 4 3 2 3 4 2 2" xfId="22141"/>
    <cellStyle name="40% - Accent2 4 3 2 3 4 2 3" xfId="22142"/>
    <cellStyle name="40% - Accent2 4 3 2 3 4 3" xfId="22143"/>
    <cellStyle name="40% - Accent2 4 3 2 3 4 3 2" xfId="22144"/>
    <cellStyle name="40% - Accent2 4 3 2 3 4 4" xfId="22145"/>
    <cellStyle name="40% - Accent2 4 3 2 3 4 5" xfId="22146"/>
    <cellStyle name="40% - Accent2 4 3 2 3 5" xfId="22147"/>
    <cellStyle name="40% - Accent2 4 3 2 3 5 2" xfId="22148"/>
    <cellStyle name="40% - Accent2 4 3 2 3 5 3" xfId="22149"/>
    <cellStyle name="40% - Accent2 4 3 2 3 6" xfId="22150"/>
    <cellStyle name="40% - Accent2 4 3 2 3 6 2" xfId="22151"/>
    <cellStyle name="40% - Accent2 4 3 2 3 6 3" xfId="22152"/>
    <cellStyle name="40% - Accent2 4 3 2 3 7" xfId="22153"/>
    <cellStyle name="40% - Accent2 4 3 2 3 7 2" xfId="22154"/>
    <cellStyle name="40% - Accent2 4 3 2 3 8" xfId="22155"/>
    <cellStyle name="40% - Accent2 4 3 2 3 9" xfId="22156"/>
    <cellStyle name="40% - Accent2 4 3 2 4" xfId="22157"/>
    <cellStyle name="40% - Accent2 4 3 2 4 2" xfId="22158"/>
    <cellStyle name="40% - Accent2 4 3 2 4 2 2" xfId="22159"/>
    <cellStyle name="40% - Accent2 4 3 2 4 2 2 2" xfId="22160"/>
    <cellStyle name="40% - Accent2 4 3 2 4 2 2 3" xfId="22161"/>
    <cellStyle name="40% - Accent2 4 3 2 4 2 3" xfId="22162"/>
    <cellStyle name="40% - Accent2 4 3 2 4 2 3 2" xfId="22163"/>
    <cellStyle name="40% - Accent2 4 3 2 4 2 3 3" xfId="22164"/>
    <cellStyle name="40% - Accent2 4 3 2 4 2 4" xfId="22165"/>
    <cellStyle name="40% - Accent2 4 3 2 4 2 4 2" xfId="22166"/>
    <cellStyle name="40% - Accent2 4 3 2 4 2 5" xfId="22167"/>
    <cellStyle name="40% - Accent2 4 3 2 4 2 6" xfId="22168"/>
    <cellStyle name="40% - Accent2 4 3 2 4 3" xfId="22169"/>
    <cellStyle name="40% - Accent2 4 3 2 4 3 2" xfId="22170"/>
    <cellStyle name="40% - Accent2 4 3 2 4 3 2 2" xfId="22171"/>
    <cellStyle name="40% - Accent2 4 3 2 4 3 2 3" xfId="22172"/>
    <cellStyle name="40% - Accent2 4 3 2 4 3 3" xfId="22173"/>
    <cellStyle name="40% - Accent2 4 3 2 4 3 3 2" xfId="22174"/>
    <cellStyle name="40% - Accent2 4 3 2 4 3 3 3" xfId="22175"/>
    <cellStyle name="40% - Accent2 4 3 2 4 3 4" xfId="22176"/>
    <cellStyle name="40% - Accent2 4 3 2 4 3 4 2" xfId="22177"/>
    <cellStyle name="40% - Accent2 4 3 2 4 3 5" xfId="22178"/>
    <cellStyle name="40% - Accent2 4 3 2 4 3 6" xfId="22179"/>
    <cellStyle name="40% - Accent2 4 3 2 4 4" xfId="22180"/>
    <cellStyle name="40% - Accent2 4 3 2 4 4 2" xfId="22181"/>
    <cellStyle name="40% - Accent2 4 3 2 4 4 2 2" xfId="22182"/>
    <cellStyle name="40% - Accent2 4 3 2 4 4 2 3" xfId="22183"/>
    <cellStyle name="40% - Accent2 4 3 2 4 4 3" xfId="22184"/>
    <cellStyle name="40% - Accent2 4 3 2 4 4 3 2" xfId="22185"/>
    <cellStyle name="40% - Accent2 4 3 2 4 4 4" xfId="22186"/>
    <cellStyle name="40% - Accent2 4 3 2 4 4 5" xfId="22187"/>
    <cellStyle name="40% - Accent2 4 3 2 4 5" xfId="22188"/>
    <cellStyle name="40% - Accent2 4 3 2 4 5 2" xfId="22189"/>
    <cellStyle name="40% - Accent2 4 3 2 4 5 3" xfId="22190"/>
    <cellStyle name="40% - Accent2 4 3 2 4 6" xfId="22191"/>
    <cellStyle name="40% - Accent2 4 3 2 4 6 2" xfId="22192"/>
    <cellStyle name="40% - Accent2 4 3 2 4 6 3" xfId="22193"/>
    <cellStyle name="40% - Accent2 4 3 2 4 7" xfId="22194"/>
    <cellStyle name="40% - Accent2 4 3 2 4 7 2" xfId="22195"/>
    <cellStyle name="40% - Accent2 4 3 2 4 8" xfId="22196"/>
    <cellStyle name="40% - Accent2 4 3 2 4 9" xfId="22197"/>
    <cellStyle name="40% - Accent2 4 3 2 5" xfId="22198"/>
    <cellStyle name="40% - Accent2 4 3 2 5 2" xfId="22199"/>
    <cellStyle name="40% - Accent2 4 3 2 5 2 2" xfId="22200"/>
    <cellStyle name="40% - Accent2 4 3 2 5 2 3" xfId="22201"/>
    <cellStyle name="40% - Accent2 4 3 2 5 3" xfId="22202"/>
    <cellStyle name="40% - Accent2 4 3 2 5 3 2" xfId="22203"/>
    <cellStyle name="40% - Accent2 4 3 2 5 3 3" xfId="22204"/>
    <cellStyle name="40% - Accent2 4 3 2 5 4" xfId="22205"/>
    <cellStyle name="40% - Accent2 4 3 2 5 4 2" xfId="22206"/>
    <cellStyle name="40% - Accent2 4 3 2 5 5" xfId="22207"/>
    <cellStyle name="40% - Accent2 4 3 2 5 6" xfId="22208"/>
    <cellStyle name="40% - Accent2 4 3 2 6" xfId="22209"/>
    <cellStyle name="40% - Accent2 4 3 2 6 2" xfId="22210"/>
    <cellStyle name="40% - Accent2 4 3 2 6 2 2" xfId="22211"/>
    <cellStyle name="40% - Accent2 4 3 2 6 2 3" xfId="22212"/>
    <cellStyle name="40% - Accent2 4 3 2 6 3" xfId="22213"/>
    <cellStyle name="40% - Accent2 4 3 2 6 3 2" xfId="22214"/>
    <cellStyle name="40% - Accent2 4 3 2 6 3 3" xfId="22215"/>
    <cellStyle name="40% - Accent2 4 3 2 6 4" xfId="22216"/>
    <cellStyle name="40% - Accent2 4 3 2 6 4 2" xfId="22217"/>
    <cellStyle name="40% - Accent2 4 3 2 6 5" xfId="22218"/>
    <cellStyle name="40% - Accent2 4 3 2 6 6" xfId="22219"/>
    <cellStyle name="40% - Accent2 4 3 2 7" xfId="22220"/>
    <cellStyle name="40% - Accent2 4 3 2 7 2" xfId="22221"/>
    <cellStyle name="40% - Accent2 4 3 2 7 2 2" xfId="22222"/>
    <cellStyle name="40% - Accent2 4 3 2 7 2 3" xfId="22223"/>
    <cellStyle name="40% - Accent2 4 3 2 7 3" xfId="22224"/>
    <cellStyle name="40% - Accent2 4 3 2 7 3 2" xfId="22225"/>
    <cellStyle name="40% - Accent2 4 3 2 7 4" xfId="22226"/>
    <cellStyle name="40% - Accent2 4 3 2 7 5" xfId="22227"/>
    <cellStyle name="40% - Accent2 4 3 2 8" xfId="22228"/>
    <cellStyle name="40% - Accent2 4 3 2 8 2" xfId="22229"/>
    <cellStyle name="40% - Accent2 4 3 2 8 3" xfId="22230"/>
    <cellStyle name="40% - Accent2 4 3 2 9" xfId="22231"/>
    <cellStyle name="40% - Accent2 4 3 2 9 2" xfId="22232"/>
    <cellStyle name="40% - Accent2 4 3 2 9 3" xfId="22233"/>
    <cellStyle name="40% - Accent2 4 3 3" xfId="1801"/>
    <cellStyle name="40% - Accent2 4 3 3 10" xfId="22234"/>
    <cellStyle name="40% - Accent2 4 3 3 2" xfId="1802"/>
    <cellStyle name="40% - Accent2 4 3 3 2 2" xfId="22235"/>
    <cellStyle name="40% - Accent2 4 3 3 2 2 2" xfId="22236"/>
    <cellStyle name="40% - Accent2 4 3 3 2 2 2 2" xfId="22237"/>
    <cellStyle name="40% - Accent2 4 3 3 2 2 2 3" xfId="22238"/>
    <cellStyle name="40% - Accent2 4 3 3 2 2 3" xfId="22239"/>
    <cellStyle name="40% - Accent2 4 3 3 2 2 3 2" xfId="22240"/>
    <cellStyle name="40% - Accent2 4 3 3 2 2 3 3" xfId="22241"/>
    <cellStyle name="40% - Accent2 4 3 3 2 2 4" xfId="22242"/>
    <cellStyle name="40% - Accent2 4 3 3 2 2 4 2" xfId="22243"/>
    <cellStyle name="40% - Accent2 4 3 3 2 2 5" xfId="22244"/>
    <cellStyle name="40% - Accent2 4 3 3 2 2 6" xfId="22245"/>
    <cellStyle name="40% - Accent2 4 3 3 2 3" xfId="22246"/>
    <cellStyle name="40% - Accent2 4 3 3 2 3 2" xfId="22247"/>
    <cellStyle name="40% - Accent2 4 3 3 2 3 2 2" xfId="22248"/>
    <cellStyle name="40% - Accent2 4 3 3 2 3 2 3" xfId="22249"/>
    <cellStyle name="40% - Accent2 4 3 3 2 3 3" xfId="22250"/>
    <cellStyle name="40% - Accent2 4 3 3 2 3 3 2" xfId="22251"/>
    <cellStyle name="40% - Accent2 4 3 3 2 3 3 3" xfId="22252"/>
    <cellStyle name="40% - Accent2 4 3 3 2 3 4" xfId="22253"/>
    <cellStyle name="40% - Accent2 4 3 3 2 3 4 2" xfId="22254"/>
    <cellStyle name="40% - Accent2 4 3 3 2 3 5" xfId="22255"/>
    <cellStyle name="40% - Accent2 4 3 3 2 3 6" xfId="22256"/>
    <cellStyle name="40% - Accent2 4 3 3 2 4" xfId="22257"/>
    <cellStyle name="40% - Accent2 4 3 3 2 4 2" xfId="22258"/>
    <cellStyle name="40% - Accent2 4 3 3 2 4 2 2" xfId="22259"/>
    <cellStyle name="40% - Accent2 4 3 3 2 4 2 3" xfId="22260"/>
    <cellStyle name="40% - Accent2 4 3 3 2 4 3" xfId="22261"/>
    <cellStyle name="40% - Accent2 4 3 3 2 4 3 2" xfId="22262"/>
    <cellStyle name="40% - Accent2 4 3 3 2 4 4" xfId="22263"/>
    <cellStyle name="40% - Accent2 4 3 3 2 4 5" xfId="22264"/>
    <cellStyle name="40% - Accent2 4 3 3 2 5" xfId="22265"/>
    <cellStyle name="40% - Accent2 4 3 3 2 5 2" xfId="22266"/>
    <cellStyle name="40% - Accent2 4 3 3 2 5 3" xfId="22267"/>
    <cellStyle name="40% - Accent2 4 3 3 2 6" xfId="22268"/>
    <cellStyle name="40% - Accent2 4 3 3 2 6 2" xfId="22269"/>
    <cellStyle name="40% - Accent2 4 3 3 2 6 3" xfId="22270"/>
    <cellStyle name="40% - Accent2 4 3 3 2 7" xfId="22271"/>
    <cellStyle name="40% - Accent2 4 3 3 2 7 2" xfId="22272"/>
    <cellStyle name="40% - Accent2 4 3 3 2 8" xfId="22273"/>
    <cellStyle name="40% - Accent2 4 3 3 2 9" xfId="22274"/>
    <cellStyle name="40% - Accent2 4 3 3 3" xfId="22275"/>
    <cellStyle name="40% - Accent2 4 3 3 3 2" xfId="22276"/>
    <cellStyle name="40% - Accent2 4 3 3 3 2 2" xfId="22277"/>
    <cellStyle name="40% - Accent2 4 3 3 3 2 3" xfId="22278"/>
    <cellStyle name="40% - Accent2 4 3 3 3 3" xfId="22279"/>
    <cellStyle name="40% - Accent2 4 3 3 3 3 2" xfId="22280"/>
    <cellStyle name="40% - Accent2 4 3 3 3 3 3" xfId="22281"/>
    <cellStyle name="40% - Accent2 4 3 3 3 4" xfId="22282"/>
    <cellStyle name="40% - Accent2 4 3 3 3 4 2" xfId="22283"/>
    <cellStyle name="40% - Accent2 4 3 3 3 5" xfId="22284"/>
    <cellStyle name="40% - Accent2 4 3 3 3 6" xfId="22285"/>
    <cellStyle name="40% - Accent2 4 3 3 4" xfId="22286"/>
    <cellStyle name="40% - Accent2 4 3 3 4 2" xfId="22287"/>
    <cellStyle name="40% - Accent2 4 3 3 4 2 2" xfId="22288"/>
    <cellStyle name="40% - Accent2 4 3 3 4 2 3" xfId="22289"/>
    <cellStyle name="40% - Accent2 4 3 3 4 3" xfId="22290"/>
    <cellStyle name="40% - Accent2 4 3 3 4 3 2" xfId="22291"/>
    <cellStyle name="40% - Accent2 4 3 3 4 3 3" xfId="22292"/>
    <cellStyle name="40% - Accent2 4 3 3 4 4" xfId="22293"/>
    <cellStyle name="40% - Accent2 4 3 3 4 4 2" xfId="22294"/>
    <cellStyle name="40% - Accent2 4 3 3 4 5" xfId="22295"/>
    <cellStyle name="40% - Accent2 4 3 3 4 6" xfId="22296"/>
    <cellStyle name="40% - Accent2 4 3 3 5" xfId="22297"/>
    <cellStyle name="40% - Accent2 4 3 3 5 2" xfId="22298"/>
    <cellStyle name="40% - Accent2 4 3 3 5 2 2" xfId="22299"/>
    <cellStyle name="40% - Accent2 4 3 3 5 2 3" xfId="22300"/>
    <cellStyle name="40% - Accent2 4 3 3 5 3" xfId="22301"/>
    <cellStyle name="40% - Accent2 4 3 3 5 3 2" xfId="22302"/>
    <cellStyle name="40% - Accent2 4 3 3 5 4" xfId="22303"/>
    <cellStyle name="40% - Accent2 4 3 3 5 5" xfId="22304"/>
    <cellStyle name="40% - Accent2 4 3 3 6" xfId="22305"/>
    <cellStyle name="40% - Accent2 4 3 3 6 2" xfId="22306"/>
    <cellStyle name="40% - Accent2 4 3 3 6 3" xfId="22307"/>
    <cellStyle name="40% - Accent2 4 3 3 7" xfId="22308"/>
    <cellStyle name="40% - Accent2 4 3 3 7 2" xfId="22309"/>
    <cellStyle name="40% - Accent2 4 3 3 7 3" xfId="22310"/>
    <cellStyle name="40% - Accent2 4 3 3 8" xfId="22311"/>
    <cellStyle name="40% - Accent2 4 3 3 8 2" xfId="22312"/>
    <cellStyle name="40% - Accent2 4 3 3 9" xfId="22313"/>
    <cellStyle name="40% - Accent2 4 3 4" xfId="1803"/>
    <cellStyle name="40% - Accent2 4 3 4 2" xfId="22314"/>
    <cellStyle name="40% - Accent2 4 3 4 2 2" xfId="22315"/>
    <cellStyle name="40% - Accent2 4 3 4 2 2 2" xfId="22316"/>
    <cellStyle name="40% - Accent2 4 3 4 2 2 3" xfId="22317"/>
    <cellStyle name="40% - Accent2 4 3 4 2 3" xfId="22318"/>
    <cellStyle name="40% - Accent2 4 3 4 2 3 2" xfId="22319"/>
    <cellStyle name="40% - Accent2 4 3 4 2 3 3" xfId="22320"/>
    <cellStyle name="40% - Accent2 4 3 4 2 4" xfId="22321"/>
    <cellStyle name="40% - Accent2 4 3 4 2 4 2" xfId="22322"/>
    <cellStyle name="40% - Accent2 4 3 4 2 5" xfId="22323"/>
    <cellStyle name="40% - Accent2 4 3 4 2 6" xfId="22324"/>
    <cellStyle name="40% - Accent2 4 3 4 3" xfId="22325"/>
    <cellStyle name="40% - Accent2 4 3 4 3 2" xfId="22326"/>
    <cellStyle name="40% - Accent2 4 3 4 3 2 2" xfId="22327"/>
    <cellStyle name="40% - Accent2 4 3 4 3 2 3" xfId="22328"/>
    <cellStyle name="40% - Accent2 4 3 4 3 3" xfId="22329"/>
    <cellStyle name="40% - Accent2 4 3 4 3 3 2" xfId="22330"/>
    <cellStyle name="40% - Accent2 4 3 4 3 3 3" xfId="22331"/>
    <cellStyle name="40% - Accent2 4 3 4 3 4" xfId="22332"/>
    <cellStyle name="40% - Accent2 4 3 4 3 4 2" xfId="22333"/>
    <cellStyle name="40% - Accent2 4 3 4 3 5" xfId="22334"/>
    <cellStyle name="40% - Accent2 4 3 4 3 6" xfId="22335"/>
    <cellStyle name="40% - Accent2 4 3 4 4" xfId="22336"/>
    <cellStyle name="40% - Accent2 4 3 4 4 2" xfId="22337"/>
    <cellStyle name="40% - Accent2 4 3 4 4 2 2" xfId="22338"/>
    <cellStyle name="40% - Accent2 4 3 4 4 2 3" xfId="22339"/>
    <cellStyle name="40% - Accent2 4 3 4 4 3" xfId="22340"/>
    <cellStyle name="40% - Accent2 4 3 4 4 3 2" xfId="22341"/>
    <cellStyle name="40% - Accent2 4 3 4 4 4" xfId="22342"/>
    <cellStyle name="40% - Accent2 4 3 4 4 5" xfId="22343"/>
    <cellStyle name="40% - Accent2 4 3 4 5" xfId="22344"/>
    <cellStyle name="40% - Accent2 4 3 4 5 2" xfId="22345"/>
    <cellStyle name="40% - Accent2 4 3 4 5 3" xfId="22346"/>
    <cellStyle name="40% - Accent2 4 3 4 6" xfId="22347"/>
    <cellStyle name="40% - Accent2 4 3 4 6 2" xfId="22348"/>
    <cellStyle name="40% - Accent2 4 3 4 6 3" xfId="22349"/>
    <cellStyle name="40% - Accent2 4 3 4 7" xfId="22350"/>
    <cellStyle name="40% - Accent2 4 3 4 7 2" xfId="22351"/>
    <cellStyle name="40% - Accent2 4 3 4 8" xfId="22352"/>
    <cellStyle name="40% - Accent2 4 3 4 9" xfId="22353"/>
    <cellStyle name="40% - Accent2 4 3 5" xfId="22354"/>
    <cellStyle name="40% - Accent2 4 3 5 2" xfId="22355"/>
    <cellStyle name="40% - Accent2 4 3 5 2 2" xfId="22356"/>
    <cellStyle name="40% - Accent2 4 3 5 2 2 2" xfId="22357"/>
    <cellStyle name="40% - Accent2 4 3 5 2 2 3" xfId="22358"/>
    <cellStyle name="40% - Accent2 4 3 5 2 3" xfId="22359"/>
    <cellStyle name="40% - Accent2 4 3 5 2 3 2" xfId="22360"/>
    <cellStyle name="40% - Accent2 4 3 5 2 3 3" xfId="22361"/>
    <cellStyle name="40% - Accent2 4 3 5 2 4" xfId="22362"/>
    <cellStyle name="40% - Accent2 4 3 5 2 4 2" xfId="22363"/>
    <cellStyle name="40% - Accent2 4 3 5 2 5" xfId="22364"/>
    <cellStyle name="40% - Accent2 4 3 5 2 6" xfId="22365"/>
    <cellStyle name="40% - Accent2 4 3 5 3" xfId="22366"/>
    <cellStyle name="40% - Accent2 4 3 5 3 2" xfId="22367"/>
    <cellStyle name="40% - Accent2 4 3 5 3 2 2" xfId="22368"/>
    <cellStyle name="40% - Accent2 4 3 5 3 2 3" xfId="22369"/>
    <cellStyle name="40% - Accent2 4 3 5 3 3" xfId="22370"/>
    <cellStyle name="40% - Accent2 4 3 5 3 3 2" xfId="22371"/>
    <cellStyle name="40% - Accent2 4 3 5 3 3 3" xfId="22372"/>
    <cellStyle name="40% - Accent2 4 3 5 3 4" xfId="22373"/>
    <cellStyle name="40% - Accent2 4 3 5 3 4 2" xfId="22374"/>
    <cellStyle name="40% - Accent2 4 3 5 3 5" xfId="22375"/>
    <cellStyle name="40% - Accent2 4 3 5 3 6" xfId="22376"/>
    <cellStyle name="40% - Accent2 4 3 5 4" xfId="22377"/>
    <cellStyle name="40% - Accent2 4 3 5 4 2" xfId="22378"/>
    <cellStyle name="40% - Accent2 4 3 5 4 2 2" xfId="22379"/>
    <cellStyle name="40% - Accent2 4 3 5 4 2 3" xfId="22380"/>
    <cellStyle name="40% - Accent2 4 3 5 4 3" xfId="22381"/>
    <cellStyle name="40% - Accent2 4 3 5 4 3 2" xfId="22382"/>
    <cellStyle name="40% - Accent2 4 3 5 4 4" xfId="22383"/>
    <cellStyle name="40% - Accent2 4 3 5 4 5" xfId="22384"/>
    <cellStyle name="40% - Accent2 4 3 5 5" xfId="22385"/>
    <cellStyle name="40% - Accent2 4 3 5 5 2" xfId="22386"/>
    <cellStyle name="40% - Accent2 4 3 5 5 3" xfId="22387"/>
    <cellStyle name="40% - Accent2 4 3 5 6" xfId="22388"/>
    <cellStyle name="40% - Accent2 4 3 5 6 2" xfId="22389"/>
    <cellStyle name="40% - Accent2 4 3 5 6 3" xfId="22390"/>
    <cellStyle name="40% - Accent2 4 3 5 7" xfId="22391"/>
    <cellStyle name="40% - Accent2 4 3 5 7 2" xfId="22392"/>
    <cellStyle name="40% - Accent2 4 3 5 8" xfId="22393"/>
    <cellStyle name="40% - Accent2 4 3 5 9" xfId="22394"/>
    <cellStyle name="40% - Accent2 4 3 6" xfId="22395"/>
    <cellStyle name="40% - Accent2 4 3 6 2" xfId="22396"/>
    <cellStyle name="40% - Accent2 4 3 6 2 2" xfId="22397"/>
    <cellStyle name="40% - Accent2 4 3 6 2 3" xfId="22398"/>
    <cellStyle name="40% - Accent2 4 3 6 3" xfId="22399"/>
    <cellStyle name="40% - Accent2 4 3 6 3 2" xfId="22400"/>
    <cellStyle name="40% - Accent2 4 3 6 3 3" xfId="22401"/>
    <cellStyle name="40% - Accent2 4 3 6 4" xfId="22402"/>
    <cellStyle name="40% - Accent2 4 3 6 4 2" xfId="22403"/>
    <cellStyle name="40% - Accent2 4 3 6 5" xfId="22404"/>
    <cellStyle name="40% - Accent2 4 3 6 6" xfId="22405"/>
    <cellStyle name="40% - Accent2 4 3 7" xfId="22406"/>
    <cellStyle name="40% - Accent2 4 3 7 2" xfId="22407"/>
    <cellStyle name="40% - Accent2 4 3 7 2 2" xfId="22408"/>
    <cellStyle name="40% - Accent2 4 3 7 2 3" xfId="22409"/>
    <cellStyle name="40% - Accent2 4 3 7 3" xfId="22410"/>
    <cellStyle name="40% - Accent2 4 3 7 3 2" xfId="22411"/>
    <cellStyle name="40% - Accent2 4 3 7 3 3" xfId="22412"/>
    <cellStyle name="40% - Accent2 4 3 7 4" xfId="22413"/>
    <cellStyle name="40% - Accent2 4 3 7 4 2" xfId="22414"/>
    <cellStyle name="40% - Accent2 4 3 7 5" xfId="22415"/>
    <cellStyle name="40% - Accent2 4 3 7 6" xfId="22416"/>
    <cellStyle name="40% - Accent2 4 3 8" xfId="22417"/>
    <cellStyle name="40% - Accent2 4 3 8 2" xfId="22418"/>
    <cellStyle name="40% - Accent2 4 3 8 2 2" xfId="22419"/>
    <cellStyle name="40% - Accent2 4 3 8 2 3" xfId="22420"/>
    <cellStyle name="40% - Accent2 4 3 8 3" xfId="22421"/>
    <cellStyle name="40% - Accent2 4 3 8 3 2" xfId="22422"/>
    <cellStyle name="40% - Accent2 4 3 8 4" xfId="22423"/>
    <cellStyle name="40% - Accent2 4 3 8 5" xfId="22424"/>
    <cellStyle name="40% - Accent2 4 3 9" xfId="22425"/>
    <cellStyle name="40% - Accent2 4 3 9 2" xfId="22426"/>
    <cellStyle name="40% - Accent2 4 3 9 3" xfId="22427"/>
    <cellStyle name="40% - Accent2 4 4" xfId="1804"/>
    <cellStyle name="40% - Accent2 4 4 10" xfId="22428"/>
    <cellStyle name="40% - Accent2 4 4 10 2" xfId="22429"/>
    <cellStyle name="40% - Accent2 4 4 11" xfId="22430"/>
    <cellStyle name="40% - Accent2 4 4 12" xfId="22431"/>
    <cellStyle name="40% - Accent2 4 4 2" xfId="1805"/>
    <cellStyle name="40% - Accent2 4 4 2 10" xfId="22432"/>
    <cellStyle name="40% - Accent2 4 4 2 2" xfId="1806"/>
    <cellStyle name="40% - Accent2 4 4 2 2 2" xfId="22433"/>
    <cellStyle name="40% - Accent2 4 4 2 2 2 2" xfId="22434"/>
    <cellStyle name="40% - Accent2 4 4 2 2 2 2 2" xfId="22435"/>
    <cellStyle name="40% - Accent2 4 4 2 2 2 2 3" xfId="22436"/>
    <cellStyle name="40% - Accent2 4 4 2 2 2 3" xfId="22437"/>
    <cellStyle name="40% - Accent2 4 4 2 2 2 3 2" xfId="22438"/>
    <cellStyle name="40% - Accent2 4 4 2 2 2 3 3" xfId="22439"/>
    <cellStyle name="40% - Accent2 4 4 2 2 2 4" xfId="22440"/>
    <cellStyle name="40% - Accent2 4 4 2 2 2 4 2" xfId="22441"/>
    <cellStyle name="40% - Accent2 4 4 2 2 2 5" xfId="22442"/>
    <cellStyle name="40% - Accent2 4 4 2 2 2 6" xfId="22443"/>
    <cellStyle name="40% - Accent2 4 4 2 2 3" xfId="22444"/>
    <cellStyle name="40% - Accent2 4 4 2 2 3 2" xfId="22445"/>
    <cellStyle name="40% - Accent2 4 4 2 2 3 2 2" xfId="22446"/>
    <cellStyle name="40% - Accent2 4 4 2 2 3 2 3" xfId="22447"/>
    <cellStyle name="40% - Accent2 4 4 2 2 3 3" xfId="22448"/>
    <cellStyle name="40% - Accent2 4 4 2 2 3 3 2" xfId="22449"/>
    <cellStyle name="40% - Accent2 4 4 2 2 3 3 3" xfId="22450"/>
    <cellStyle name="40% - Accent2 4 4 2 2 3 4" xfId="22451"/>
    <cellStyle name="40% - Accent2 4 4 2 2 3 4 2" xfId="22452"/>
    <cellStyle name="40% - Accent2 4 4 2 2 3 5" xfId="22453"/>
    <cellStyle name="40% - Accent2 4 4 2 2 3 6" xfId="22454"/>
    <cellStyle name="40% - Accent2 4 4 2 2 4" xfId="22455"/>
    <cellStyle name="40% - Accent2 4 4 2 2 4 2" xfId="22456"/>
    <cellStyle name="40% - Accent2 4 4 2 2 4 2 2" xfId="22457"/>
    <cellStyle name="40% - Accent2 4 4 2 2 4 2 3" xfId="22458"/>
    <cellStyle name="40% - Accent2 4 4 2 2 4 3" xfId="22459"/>
    <cellStyle name="40% - Accent2 4 4 2 2 4 3 2" xfId="22460"/>
    <cellStyle name="40% - Accent2 4 4 2 2 4 4" xfId="22461"/>
    <cellStyle name="40% - Accent2 4 4 2 2 4 5" xfId="22462"/>
    <cellStyle name="40% - Accent2 4 4 2 2 5" xfId="22463"/>
    <cellStyle name="40% - Accent2 4 4 2 2 5 2" xfId="22464"/>
    <cellStyle name="40% - Accent2 4 4 2 2 5 3" xfId="22465"/>
    <cellStyle name="40% - Accent2 4 4 2 2 6" xfId="22466"/>
    <cellStyle name="40% - Accent2 4 4 2 2 6 2" xfId="22467"/>
    <cellStyle name="40% - Accent2 4 4 2 2 6 3" xfId="22468"/>
    <cellStyle name="40% - Accent2 4 4 2 2 7" xfId="22469"/>
    <cellStyle name="40% - Accent2 4 4 2 2 7 2" xfId="22470"/>
    <cellStyle name="40% - Accent2 4 4 2 2 8" xfId="22471"/>
    <cellStyle name="40% - Accent2 4 4 2 2 9" xfId="22472"/>
    <cellStyle name="40% - Accent2 4 4 2 3" xfId="22473"/>
    <cellStyle name="40% - Accent2 4 4 2 3 2" xfId="22474"/>
    <cellStyle name="40% - Accent2 4 4 2 3 2 2" xfId="22475"/>
    <cellStyle name="40% - Accent2 4 4 2 3 2 3" xfId="22476"/>
    <cellStyle name="40% - Accent2 4 4 2 3 3" xfId="22477"/>
    <cellStyle name="40% - Accent2 4 4 2 3 3 2" xfId="22478"/>
    <cellStyle name="40% - Accent2 4 4 2 3 3 3" xfId="22479"/>
    <cellStyle name="40% - Accent2 4 4 2 3 4" xfId="22480"/>
    <cellStyle name="40% - Accent2 4 4 2 3 4 2" xfId="22481"/>
    <cellStyle name="40% - Accent2 4 4 2 3 5" xfId="22482"/>
    <cellStyle name="40% - Accent2 4 4 2 3 6" xfId="22483"/>
    <cellStyle name="40% - Accent2 4 4 2 4" xfId="22484"/>
    <cellStyle name="40% - Accent2 4 4 2 4 2" xfId="22485"/>
    <cellStyle name="40% - Accent2 4 4 2 4 2 2" xfId="22486"/>
    <cellStyle name="40% - Accent2 4 4 2 4 2 3" xfId="22487"/>
    <cellStyle name="40% - Accent2 4 4 2 4 3" xfId="22488"/>
    <cellStyle name="40% - Accent2 4 4 2 4 3 2" xfId="22489"/>
    <cellStyle name="40% - Accent2 4 4 2 4 3 3" xfId="22490"/>
    <cellStyle name="40% - Accent2 4 4 2 4 4" xfId="22491"/>
    <cellStyle name="40% - Accent2 4 4 2 4 4 2" xfId="22492"/>
    <cellStyle name="40% - Accent2 4 4 2 4 5" xfId="22493"/>
    <cellStyle name="40% - Accent2 4 4 2 4 6" xfId="22494"/>
    <cellStyle name="40% - Accent2 4 4 2 5" xfId="22495"/>
    <cellStyle name="40% - Accent2 4 4 2 5 2" xfId="22496"/>
    <cellStyle name="40% - Accent2 4 4 2 5 2 2" xfId="22497"/>
    <cellStyle name="40% - Accent2 4 4 2 5 2 3" xfId="22498"/>
    <cellStyle name="40% - Accent2 4 4 2 5 3" xfId="22499"/>
    <cellStyle name="40% - Accent2 4 4 2 5 3 2" xfId="22500"/>
    <cellStyle name="40% - Accent2 4 4 2 5 4" xfId="22501"/>
    <cellStyle name="40% - Accent2 4 4 2 5 5" xfId="22502"/>
    <cellStyle name="40% - Accent2 4 4 2 6" xfId="22503"/>
    <cellStyle name="40% - Accent2 4 4 2 6 2" xfId="22504"/>
    <cellStyle name="40% - Accent2 4 4 2 6 3" xfId="22505"/>
    <cellStyle name="40% - Accent2 4 4 2 7" xfId="22506"/>
    <cellStyle name="40% - Accent2 4 4 2 7 2" xfId="22507"/>
    <cellStyle name="40% - Accent2 4 4 2 7 3" xfId="22508"/>
    <cellStyle name="40% - Accent2 4 4 2 8" xfId="22509"/>
    <cellStyle name="40% - Accent2 4 4 2 8 2" xfId="22510"/>
    <cellStyle name="40% - Accent2 4 4 2 9" xfId="22511"/>
    <cellStyle name="40% - Accent2 4 4 3" xfId="1807"/>
    <cellStyle name="40% - Accent2 4 4 3 2" xfId="22512"/>
    <cellStyle name="40% - Accent2 4 4 3 2 2" xfId="22513"/>
    <cellStyle name="40% - Accent2 4 4 3 2 2 2" xfId="22514"/>
    <cellStyle name="40% - Accent2 4 4 3 2 2 3" xfId="22515"/>
    <cellStyle name="40% - Accent2 4 4 3 2 3" xfId="22516"/>
    <cellStyle name="40% - Accent2 4 4 3 2 3 2" xfId="22517"/>
    <cellStyle name="40% - Accent2 4 4 3 2 3 3" xfId="22518"/>
    <cellStyle name="40% - Accent2 4 4 3 2 4" xfId="22519"/>
    <cellStyle name="40% - Accent2 4 4 3 2 4 2" xfId="22520"/>
    <cellStyle name="40% - Accent2 4 4 3 2 5" xfId="22521"/>
    <cellStyle name="40% - Accent2 4 4 3 2 6" xfId="22522"/>
    <cellStyle name="40% - Accent2 4 4 3 3" xfId="22523"/>
    <cellStyle name="40% - Accent2 4 4 3 3 2" xfId="22524"/>
    <cellStyle name="40% - Accent2 4 4 3 3 2 2" xfId="22525"/>
    <cellStyle name="40% - Accent2 4 4 3 3 2 3" xfId="22526"/>
    <cellStyle name="40% - Accent2 4 4 3 3 3" xfId="22527"/>
    <cellStyle name="40% - Accent2 4 4 3 3 3 2" xfId="22528"/>
    <cellStyle name="40% - Accent2 4 4 3 3 3 3" xfId="22529"/>
    <cellStyle name="40% - Accent2 4 4 3 3 4" xfId="22530"/>
    <cellStyle name="40% - Accent2 4 4 3 3 4 2" xfId="22531"/>
    <cellStyle name="40% - Accent2 4 4 3 3 5" xfId="22532"/>
    <cellStyle name="40% - Accent2 4 4 3 3 6" xfId="22533"/>
    <cellStyle name="40% - Accent2 4 4 3 4" xfId="22534"/>
    <cellStyle name="40% - Accent2 4 4 3 4 2" xfId="22535"/>
    <cellStyle name="40% - Accent2 4 4 3 4 2 2" xfId="22536"/>
    <cellStyle name="40% - Accent2 4 4 3 4 2 3" xfId="22537"/>
    <cellStyle name="40% - Accent2 4 4 3 4 3" xfId="22538"/>
    <cellStyle name="40% - Accent2 4 4 3 4 3 2" xfId="22539"/>
    <cellStyle name="40% - Accent2 4 4 3 4 4" xfId="22540"/>
    <cellStyle name="40% - Accent2 4 4 3 4 5" xfId="22541"/>
    <cellStyle name="40% - Accent2 4 4 3 5" xfId="22542"/>
    <cellStyle name="40% - Accent2 4 4 3 5 2" xfId="22543"/>
    <cellStyle name="40% - Accent2 4 4 3 5 3" xfId="22544"/>
    <cellStyle name="40% - Accent2 4 4 3 6" xfId="22545"/>
    <cellStyle name="40% - Accent2 4 4 3 6 2" xfId="22546"/>
    <cellStyle name="40% - Accent2 4 4 3 6 3" xfId="22547"/>
    <cellStyle name="40% - Accent2 4 4 3 7" xfId="22548"/>
    <cellStyle name="40% - Accent2 4 4 3 7 2" xfId="22549"/>
    <cellStyle name="40% - Accent2 4 4 3 8" xfId="22550"/>
    <cellStyle name="40% - Accent2 4 4 3 9" xfId="22551"/>
    <cellStyle name="40% - Accent2 4 4 4" xfId="22552"/>
    <cellStyle name="40% - Accent2 4 4 4 2" xfId="22553"/>
    <cellStyle name="40% - Accent2 4 4 4 2 2" xfId="22554"/>
    <cellStyle name="40% - Accent2 4 4 4 2 2 2" xfId="22555"/>
    <cellStyle name="40% - Accent2 4 4 4 2 2 3" xfId="22556"/>
    <cellStyle name="40% - Accent2 4 4 4 2 3" xfId="22557"/>
    <cellStyle name="40% - Accent2 4 4 4 2 3 2" xfId="22558"/>
    <cellStyle name="40% - Accent2 4 4 4 2 3 3" xfId="22559"/>
    <cellStyle name="40% - Accent2 4 4 4 2 4" xfId="22560"/>
    <cellStyle name="40% - Accent2 4 4 4 2 4 2" xfId="22561"/>
    <cellStyle name="40% - Accent2 4 4 4 2 5" xfId="22562"/>
    <cellStyle name="40% - Accent2 4 4 4 2 6" xfId="22563"/>
    <cellStyle name="40% - Accent2 4 4 4 3" xfId="22564"/>
    <cellStyle name="40% - Accent2 4 4 4 3 2" xfId="22565"/>
    <cellStyle name="40% - Accent2 4 4 4 3 2 2" xfId="22566"/>
    <cellStyle name="40% - Accent2 4 4 4 3 2 3" xfId="22567"/>
    <cellStyle name="40% - Accent2 4 4 4 3 3" xfId="22568"/>
    <cellStyle name="40% - Accent2 4 4 4 3 3 2" xfId="22569"/>
    <cellStyle name="40% - Accent2 4 4 4 3 3 3" xfId="22570"/>
    <cellStyle name="40% - Accent2 4 4 4 3 4" xfId="22571"/>
    <cellStyle name="40% - Accent2 4 4 4 3 4 2" xfId="22572"/>
    <cellStyle name="40% - Accent2 4 4 4 3 5" xfId="22573"/>
    <cellStyle name="40% - Accent2 4 4 4 3 6" xfId="22574"/>
    <cellStyle name="40% - Accent2 4 4 4 4" xfId="22575"/>
    <cellStyle name="40% - Accent2 4 4 4 4 2" xfId="22576"/>
    <cellStyle name="40% - Accent2 4 4 4 4 2 2" xfId="22577"/>
    <cellStyle name="40% - Accent2 4 4 4 4 2 3" xfId="22578"/>
    <cellStyle name="40% - Accent2 4 4 4 4 3" xfId="22579"/>
    <cellStyle name="40% - Accent2 4 4 4 4 3 2" xfId="22580"/>
    <cellStyle name="40% - Accent2 4 4 4 4 4" xfId="22581"/>
    <cellStyle name="40% - Accent2 4 4 4 4 5" xfId="22582"/>
    <cellStyle name="40% - Accent2 4 4 4 5" xfId="22583"/>
    <cellStyle name="40% - Accent2 4 4 4 5 2" xfId="22584"/>
    <cellStyle name="40% - Accent2 4 4 4 5 3" xfId="22585"/>
    <cellStyle name="40% - Accent2 4 4 4 6" xfId="22586"/>
    <cellStyle name="40% - Accent2 4 4 4 6 2" xfId="22587"/>
    <cellStyle name="40% - Accent2 4 4 4 6 3" xfId="22588"/>
    <cellStyle name="40% - Accent2 4 4 4 7" xfId="22589"/>
    <cellStyle name="40% - Accent2 4 4 4 7 2" xfId="22590"/>
    <cellStyle name="40% - Accent2 4 4 4 8" xfId="22591"/>
    <cellStyle name="40% - Accent2 4 4 4 9" xfId="22592"/>
    <cellStyle name="40% - Accent2 4 4 5" xfId="22593"/>
    <cellStyle name="40% - Accent2 4 4 5 2" xfId="22594"/>
    <cellStyle name="40% - Accent2 4 4 5 2 2" xfId="22595"/>
    <cellStyle name="40% - Accent2 4 4 5 2 3" xfId="22596"/>
    <cellStyle name="40% - Accent2 4 4 5 3" xfId="22597"/>
    <cellStyle name="40% - Accent2 4 4 5 3 2" xfId="22598"/>
    <cellStyle name="40% - Accent2 4 4 5 3 3" xfId="22599"/>
    <cellStyle name="40% - Accent2 4 4 5 4" xfId="22600"/>
    <cellStyle name="40% - Accent2 4 4 5 4 2" xfId="22601"/>
    <cellStyle name="40% - Accent2 4 4 5 5" xfId="22602"/>
    <cellStyle name="40% - Accent2 4 4 5 6" xfId="22603"/>
    <cellStyle name="40% - Accent2 4 4 6" xfId="22604"/>
    <cellStyle name="40% - Accent2 4 4 6 2" xfId="22605"/>
    <cellStyle name="40% - Accent2 4 4 6 2 2" xfId="22606"/>
    <cellStyle name="40% - Accent2 4 4 6 2 3" xfId="22607"/>
    <cellStyle name="40% - Accent2 4 4 6 3" xfId="22608"/>
    <cellStyle name="40% - Accent2 4 4 6 3 2" xfId="22609"/>
    <cellStyle name="40% - Accent2 4 4 6 3 3" xfId="22610"/>
    <cellStyle name="40% - Accent2 4 4 6 4" xfId="22611"/>
    <cellStyle name="40% - Accent2 4 4 6 4 2" xfId="22612"/>
    <cellStyle name="40% - Accent2 4 4 6 5" xfId="22613"/>
    <cellStyle name="40% - Accent2 4 4 6 6" xfId="22614"/>
    <cellStyle name="40% - Accent2 4 4 7" xfId="22615"/>
    <cellStyle name="40% - Accent2 4 4 7 2" xfId="22616"/>
    <cellStyle name="40% - Accent2 4 4 7 2 2" xfId="22617"/>
    <cellStyle name="40% - Accent2 4 4 7 2 3" xfId="22618"/>
    <cellStyle name="40% - Accent2 4 4 7 3" xfId="22619"/>
    <cellStyle name="40% - Accent2 4 4 7 3 2" xfId="22620"/>
    <cellStyle name="40% - Accent2 4 4 7 4" xfId="22621"/>
    <cellStyle name="40% - Accent2 4 4 7 5" xfId="22622"/>
    <cellStyle name="40% - Accent2 4 4 8" xfId="22623"/>
    <cellStyle name="40% - Accent2 4 4 8 2" xfId="22624"/>
    <cellStyle name="40% - Accent2 4 4 8 3" xfId="22625"/>
    <cellStyle name="40% - Accent2 4 4 9" xfId="22626"/>
    <cellStyle name="40% - Accent2 4 4 9 2" xfId="22627"/>
    <cellStyle name="40% - Accent2 4 4 9 3" xfId="22628"/>
    <cellStyle name="40% - Accent2 4 5" xfId="1808"/>
    <cellStyle name="40% - Accent2 4 5 10" xfId="22629"/>
    <cellStyle name="40% - Accent2 4 5 2" xfId="1809"/>
    <cellStyle name="40% - Accent2 4 5 2 2" xfId="22630"/>
    <cellStyle name="40% - Accent2 4 5 2 2 2" xfId="22631"/>
    <cellStyle name="40% - Accent2 4 5 2 2 2 2" xfId="22632"/>
    <cellStyle name="40% - Accent2 4 5 2 2 2 3" xfId="22633"/>
    <cellStyle name="40% - Accent2 4 5 2 2 3" xfId="22634"/>
    <cellStyle name="40% - Accent2 4 5 2 2 3 2" xfId="22635"/>
    <cellStyle name="40% - Accent2 4 5 2 2 3 3" xfId="22636"/>
    <cellStyle name="40% - Accent2 4 5 2 2 4" xfId="22637"/>
    <cellStyle name="40% - Accent2 4 5 2 2 4 2" xfId="22638"/>
    <cellStyle name="40% - Accent2 4 5 2 2 5" xfId="22639"/>
    <cellStyle name="40% - Accent2 4 5 2 2 6" xfId="22640"/>
    <cellStyle name="40% - Accent2 4 5 2 3" xfId="22641"/>
    <cellStyle name="40% - Accent2 4 5 2 3 2" xfId="22642"/>
    <cellStyle name="40% - Accent2 4 5 2 3 2 2" xfId="22643"/>
    <cellStyle name="40% - Accent2 4 5 2 3 2 3" xfId="22644"/>
    <cellStyle name="40% - Accent2 4 5 2 3 3" xfId="22645"/>
    <cellStyle name="40% - Accent2 4 5 2 3 3 2" xfId="22646"/>
    <cellStyle name="40% - Accent2 4 5 2 3 3 3" xfId="22647"/>
    <cellStyle name="40% - Accent2 4 5 2 3 4" xfId="22648"/>
    <cellStyle name="40% - Accent2 4 5 2 3 4 2" xfId="22649"/>
    <cellStyle name="40% - Accent2 4 5 2 3 5" xfId="22650"/>
    <cellStyle name="40% - Accent2 4 5 2 3 6" xfId="22651"/>
    <cellStyle name="40% - Accent2 4 5 2 4" xfId="22652"/>
    <cellStyle name="40% - Accent2 4 5 2 4 2" xfId="22653"/>
    <cellStyle name="40% - Accent2 4 5 2 4 2 2" xfId="22654"/>
    <cellStyle name="40% - Accent2 4 5 2 4 2 3" xfId="22655"/>
    <cellStyle name="40% - Accent2 4 5 2 4 3" xfId="22656"/>
    <cellStyle name="40% - Accent2 4 5 2 4 3 2" xfId="22657"/>
    <cellStyle name="40% - Accent2 4 5 2 4 4" xfId="22658"/>
    <cellStyle name="40% - Accent2 4 5 2 4 5" xfId="22659"/>
    <cellStyle name="40% - Accent2 4 5 2 5" xfId="22660"/>
    <cellStyle name="40% - Accent2 4 5 2 5 2" xfId="22661"/>
    <cellStyle name="40% - Accent2 4 5 2 5 3" xfId="22662"/>
    <cellStyle name="40% - Accent2 4 5 2 6" xfId="22663"/>
    <cellStyle name="40% - Accent2 4 5 2 6 2" xfId="22664"/>
    <cellStyle name="40% - Accent2 4 5 2 6 3" xfId="22665"/>
    <cellStyle name="40% - Accent2 4 5 2 7" xfId="22666"/>
    <cellStyle name="40% - Accent2 4 5 2 7 2" xfId="22667"/>
    <cellStyle name="40% - Accent2 4 5 2 8" xfId="22668"/>
    <cellStyle name="40% - Accent2 4 5 2 9" xfId="22669"/>
    <cellStyle name="40% - Accent2 4 5 3" xfId="22670"/>
    <cellStyle name="40% - Accent2 4 5 3 2" xfId="22671"/>
    <cellStyle name="40% - Accent2 4 5 3 2 2" xfId="22672"/>
    <cellStyle name="40% - Accent2 4 5 3 2 3" xfId="22673"/>
    <cellStyle name="40% - Accent2 4 5 3 3" xfId="22674"/>
    <cellStyle name="40% - Accent2 4 5 3 3 2" xfId="22675"/>
    <cellStyle name="40% - Accent2 4 5 3 3 3" xfId="22676"/>
    <cellStyle name="40% - Accent2 4 5 3 4" xfId="22677"/>
    <cellStyle name="40% - Accent2 4 5 3 4 2" xfId="22678"/>
    <cellStyle name="40% - Accent2 4 5 3 5" xfId="22679"/>
    <cellStyle name="40% - Accent2 4 5 3 6" xfId="22680"/>
    <cellStyle name="40% - Accent2 4 5 4" xfId="22681"/>
    <cellStyle name="40% - Accent2 4 5 4 2" xfId="22682"/>
    <cellStyle name="40% - Accent2 4 5 4 2 2" xfId="22683"/>
    <cellStyle name="40% - Accent2 4 5 4 2 3" xfId="22684"/>
    <cellStyle name="40% - Accent2 4 5 4 3" xfId="22685"/>
    <cellStyle name="40% - Accent2 4 5 4 3 2" xfId="22686"/>
    <cellStyle name="40% - Accent2 4 5 4 3 3" xfId="22687"/>
    <cellStyle name="40% - Accent2 4 5 4 4" xfId="22688"/>
    <cellStyle name="40% - Accent2 4 5 4 4 2" xfId="22689"/>
    <cellStyle name="40% - Accent2 4 5 4 5" xfId="22690"/>
    <cellStyle name="40% - Accent2 4 5 4 6" xfId="22691"/>
    <cellStyle name="40% - Accent2 4 5 5" xfId="22692"/>
    <cellStyle name="40% - Accent2 4 5 5 2" xfId="22693"/>
    <cellStyle name="40% - Accent2 4 5 5 2 2" xfId="22694"/>
    <cellStyle name="40% - Accent2 4 5 5 2 3" xfId="22695"/>
    <cellStyle name="40% - Accent2 4 5 5 3" xfId="22696"/>
    <cellStyle name="40% - Accent2 4 5 5 3 2" xfId="22697"/>
    <cellStyle name="40% - Accent2 4 5 5 4" xfId="22698"/>
    <cellStyle name="40% - Accent2 4 5 5 5" xfId="22699"/>
    <cellStyle name="40% - Accent2 4 5 6" xfId="22700"/>
    <cellStyle name="40% - Accent2 4 5 6 2" xfId="22701"/>
    <cellStyle name="40% - Accent2 4 5 6 3" xfId="22702"/>
    <cellStyle name="40% - Accent2 4 5 7" xfId="22703"/>
    <cellStyle name="40% - Accent2 4 5 7 2" xfId="22704"/>
    <cellStyle name="40% - Accent2 4 5 7 3" xfId="22705"/>
    <cellStyle name="40% - Accent2 4 5 8" xfId="22706"/>
    <cellStyle name="40% - Accent2 4 5 8 2" xfId="22707"/>
    <cellStyle name="40% - Accent2 4 5 9" xfId="22708"/>
    <cellStyle name="40% - Accent2 4 6" xfId="1810"/>
    <cellStyle name="40% - Accent2 4 6 2" xfId="22709"/>
    <cellStyle name="40% - Accent2 4 6 2 2" xfId="22710"/>
    <cellStyle name="40% - Accent2 4 6 2 2 2" xfId="22711"/>
    <cellStyle name="40% - Accent2 4 6 2 2 3" xfId="22712"/>
    <cellStyle name="40% - Accent2 4 6 2 3" xfId="22713"/>
    <cellStyle name="40% - Accent2 4 6 2 3 2" xfId="22714"/>
    <cellStyle name="40% - Accent2 4 6 2 3 3" xfId="22715"/>
    <cellStyle name="40% - Accent2 4 6 2 4" xfId="22716"/>
    <cellStyle name="40% - Accent2 4 6 2 4 2" xfId="22717"/>
    <cellStyle name="40% - Accent2 4 6 2 5" xfId="22718"/>
    <cellStyle name="40% - Accent2 4 6 2 6" xfId="22719"/>
    <cellStyle name="40% - Accent2 4 6 3" xfId="22720"/>
    <cellStyle name="40% - Accent2 4 6 3 2" xfId="22721"/>
    <cellStyle name="40% - Accent2 4 6 3 2 2" xfId="22722"/>
    <cellStyle name="40% - Accent2 4 6 3 2 3" xfId="22723"/>
    <cellStyle name="40% - Accent2 4 6 3 3" xfId="22724"/>
    <cellStyle name="40% - Accent2 4 6 3 3 2" xfId="22725"/>
    <cellStyle name="40% - Accent2 4 6 3 3 3" xfId="22726"/>
    <cellStyle name="40% - Accent2 4 6 3 4" xfId="22727"/>
    <cellStyle name="40% - Accent2 4 6 3 4 2" xfId="22728"/>
    <cellStyle name="40% - Accent2 4 6 3 5" xfId="22729"/>
    <cellStyle name="40% - Accent2 4 6 3 6" xfId="22730"/>
    <cellStyle name="40% - Accent2 4 6 4" xfId="22731"/>
    <cellStyle name="40% - Accent2 4 6 4 2" xfId="22732"/>
    <cellStyle name="40% - Accent2 4 6 4 2 2" xfId="22733"/>
    <cellStyle name="40% - Accent2 4 6 4 2 3" xfId="22734"/>
    <cellStyle name="40% - Accent2 4 6 4 3" xfId="22735"/>
    <cellStyle name="40% - Accent2 4 6 4 3 2" xfId="22736"/>
    <cellStyle name="40% - Accent2 4 6 4 4" xfId="22737"/>
    <cellStyle name="40% - Accent2 4 6 4 5" xfId="22738"/>
    <cellStyle name="40% - Accent2 4 6 5" xfId="22739"/>
    <cellStyle name="40% - Accent2 4 6 5 2" xfId="22740"/>
    <cellStyle name="40% - Accent2 4 6 5 3" xfId="22741"/>
    <cellStyle name="40% - Accent2 4 6 6" xfId="22742"/>
    <cellStyle name="40% - Accent2 4 6 6 2" xfId="22743"/>
    <cellStyle name="40% - Accent2 4 6 6 3" xfId="22744"/>
    <cellStyle name="40% - Accent2 4 6 7" xfId="22745"/>
    <cellStyle name="40% - Accent2 4 6 7 2" xfId="22746"/>
    <cellStyle name="40% - Accent2 4 6 8" xfId="22747"/>
    <cellStyle name="40% - Accent2 4 6 9" xfId="22748"/>
    <cellStyle name="40% - Accent2 4 7" xfId="8965"/>
    <cellStyle name="40% - Accent2 4 7 2" xfId="22749"/>
    <cellStyle name="40% - Accent2 4 7 2 2" xfId="22750"/>
    <cellStyle name="40% - Accent2 4 7 2 2 2" xfId="22751"/>
    <cellStyle name="40% - Accent2 4 7 2 2 3" xfId="22752"/>
    <cellStyle name="40% - Accent2 4 7 2 3" xfId="22753"/>
    <cellStyle name="40% - Accent2 4 7 2 3 2" xfId="22754"/>
    <cellStyle name="40% - Accent2 4 7 2 3 3" xfId="22755"/>
    <cellStyle name="40% - Accent2 4 7 2 4" xfId="22756"/>
    <cellStyle name="40% - Accent2 4 7 2 4 2" xfId="22757"/>
    <cellStyle name="40% - Accent2 4 7 2 5" xfId="22758"/>
    <cellStyle name="40% - Accent2 4 7 2 6" xfId="22759"/>
    <cellStyle name="40% - Accent2 4 7 3" xfId="22760"/>
    <cellStyle name="40% - Accent2 4 7 3 2" xfId="22761"/>
    <cellStyle name="40% - Accent2 4 7 3 2 2" xfId="22762"/>
    <cellStyle name="40% - Accent2 4 7 3 2 3" xfId="22763"/>
    <cellStyle name="40% - Accent2 4 7 3 3" xfId="22764"/>
    <cellStyle name="40% - Accent2 4 7 3 3 2" xfId="22765"/>
    <cellStyle name="40% - Accent2 4 7 3 3 3" xfId="22766"/>
    <cellStyle name="40% - Accent2 4 7 3 4" xfId="22767"/>
    <cellStyle name="40% - Accent2 4 7 3 4 2" xfId="22768"/>
    <cellStyle name="40% - Accent2 4 7 3 5" xfId="22769"/>
    <cellStyle name="40% - Accent2 4 7 3 6" xfId="22770"/>
    <cellStyle name="40% - Accent2 4 7 4" xfId="22771"/>
    <cellStyle name="40% - Accent2 4 7 4 2" xfId="22772"/>
    <cellStyle name="40% - Accent2 4 7 4 2 2" xfId="22773"/>
    <cellStyle name="40% - Accent2 4 7 4 2 3" xfId="22774"/>
    <cellStyle name="40% - Accent2 4 7 4 3" xfId="22775"/>
    <cellStyle name="40% - Accent2 4 7 4 3 2" xfId="22776"/>
    <cellStyle name="40% - Accent2 4 7 4 4" xfId="22777"/>
    <cellStyle name="40% - Accent2 4 7 4 5" xfId="22778"/>
    <cellStyle name="40% - Accent2 4 7 5" xfId="22779"/>
    <cellStyle name="40% - Accent2 4 7 5 2" xfId="22780"/>
    <cellStyle name="40% - Accent2 4 7 5 3" xfId="22781"/>
    <cellStyle name="40% - Accent2 4 7 6" xfId="22782"/>
    <cellStyle name="40% - Accent2 4 7 6 2" xfId="22783"/>
    <cellStyle name="40% - Accent2 4 7 6 3" xfId="22784"/>
    <cellStyle name="40% - Accent2 4 7 7" xfId="22785"/>
    <cellStyle name="40% - Accent2 4 7 7 2" xfId="22786"/>
    <cellStyle name="40% - Accent2 4 7 8" xfId="22787"/>
    <cellStyle name="40% - Accent2 4 7 9" xfId="22788"/>
    <cellStyle name="40% - Accent2 4 8" xfId="22789"/>
    <cellStyle name="40% - Accent2 4 8 2" xfId="22790"/>
    <cellStyle name="40% - Accent2 4 8 2 2" xfId="22791"/>
    <cellStyle name="40% - Accent2 4 8 2 3" xfId="22792"/>
    <cellStyle name="40% - Accent2 4 8 3" xfId="22793"/>
    <cellStyle name="40% - Accent2 4 8 3 2" xfId="22794"/>
    <cellStyle name="40% - Accent2 4 8 3 3" xfId="22795"/>
    <cellStyle name="40% - Accent2 4 8 4" xfId="22796"/>
    <cellStyle name="40% - Accent2 4 8 4 2" xfId="22797"/>
    <cellStyle name="40% - Accent2 4 8 5" xfId="22798"/>
    <cellStyle name="40% - Accent2 4 8 6" xfId="22799"/>
    <cellStyle name="40% - Accent2 4 9" xfId="22800"/>
    <cellStyle name="40% - Accent2 4 9 2" xfId="22801"/>
    <cellStyle name="40% - Accent2 4 9 2 2" xfId="22802"/>
    <cellStyle name="40% - Accent2 4 9 2 3" xfId="22803"/>
    <cellStyle name="40% - Accent2 4 9 3" xfId="22804"/>
    <cellStyle name="40% - Accent2 4 9 3 2" xfId="22805"/>
    <cellStyle name="40% - Accent2 4 9 3 3" xfId="22806"/>
    <cellStyle name="40% - Accent2 4 9 4" xfId="22807"/>
    <cellStyle name="40% - Accent2 4 9 4 2" xfId="22808"/>
    <cellStyle name="40% - Accent2 4 9 5" xfId="22809"/>
    <cellStyle name="40% - Accent2 4 9 6" xfId="22810"/>
    <cellStyle name="40% - Accent2 5" xfId="1811"/>
    <cellStyle name="40% - Accent2 5 2" xfId="1812"/>
    <cellStyle name="40% - Accent2 5 2 2" xfId="1813"/>
    <cellStyle name="40% - Accent2 5 2 2 2" xfId="1814"/>
    <cellStyle name="40% - Accent2 5 2 2 2 2" xfId="1815"/>
    <cellStyle name="40% - Accent2 5 2 2 3" xfId="1816"/>
    <cellStyle name="40% - Accent2 5 2 3" xfId="1817"/>
    <cellStyle name="40% - Accent2 5 2 3 2" xfId="1818"/>
    <cellStyle name="40% - Accent2 5 2 4" xfId="1819"/>
    <cellStyle name="40% - Accent2 5 2 5" xfId="58027"/>
    <cellStyle name="40% - Accent2 5 3" xfId="1820"/>
    <cellStyle name="40% - Accent2 5 3 2" xfId="1821"/>
    <cellStyle name="40% - Accent2 5 3 2 2" xfId="1822"/>
    <cellStyle name="40% - Accent2 5 3 3" xfId="1823"/>
    <cellStyle name="40% - Accent2 5 4" xfId="1824"/>
    <cellStyle name="40% - Accent2 5 4 2" xfId="1825"/>
    <cellStyle name="40% - Accent2 5 5" xfId="1826"/>
    <cellStyle name="40% - Accent2 5 6" xfId="8966"/>
    <cellStyle name="40% - Accent2 6" xfId="1827"/>
    <cellStyle name="40% - Accent2 6 2" xfId="1828"/>
    <cellStyle name="40% - Accent2 6 2 2" xfId="1829"/>
    <cellStyle name="40% - Accent2 6 2 2 2" xfId="1830"/>
    <cellStyle name="40% - Accent2 6 2 3" xfId="1831"/>
    <cellStyle name="40% - Accent2 6 2 4" xfId="58028"/>
    <cellStyle name="40% - Accent2 6 2 5" xfId="58029"/>
    <cellStyle name="40% - Accent2 6 3" xfId="1832"/>
    <cellStyle name="40% - Accent2 6 3 2" xfId="1833"/>
    <cellStyle name="40% - Accent2 6 4" xfId="1834"/>
    <cellStyle name="40% - Accent2 6 5" xfId="58030"/>
    <cellStyle name="40% - Accent2 7" xfId="1835"/>
    <cellStyle name="40% - Accent2 7 2" xfId="1836"/>
    <cellStyle name="40% - Accent2 7 2 2" xfId="1837"/>
    <cellStyle name="40% - Accent2 7 2 2 2" xfId="1838"/>
    <cellStyle name="40% - Accent2 7 2 3" xfId="1839"/>
    <cellStyle name="40% - Accent2 7 3" xfId="1840"/>
    <cellStyle name="40% - Accent2 7 3 2" xfId="1841"/>
    <cellStyle name="40% - Accent2 7 4" xfId="1842"/>
    <cellStyle name="40% - Accent2 7 5" xfId="58031"/>
    <cellStyle name="40% - Accent2 8" xfId="1843"/>
    <cellStyle name="40% - Accent2 8 2" xfId="1844"/>
    <cellStyle name="40% - Accent2 8 2 2" xfId="1845"/>
    <cellStyle name="40% - Accent2 8 2 2 2" xfId="1846"/>
    <cellStyle name="40% - Accent2 8 2 3" xfId="1847"/>
    <cellStyle name="40% - Accent2 8 3" xfId="1848"/>
    <cellStyle name="40% - Accent2 8 3 2" xfId="1849"/>
    <cellStyle name="40% - Accent2 8 4" xfId="1850"/>
    <cellStyle name="40% - Accent2 8 5" xfId="58032"/>
    <cellStyle name="40% - Accent2 9" xfId="1851"/>
    <cellStyle name="40% - Accent2 9 2" xfId="1852"/>
    <cellStyle name="40% - Accent2 9 2 2" xfId="1853"/>
    <cellStyle name="40% - Accent2 9 3" xfId="1854"/>
    <cellStyle name="40% - Accent2 9 4" xfId="58033"/>
    <cellStyle name="40% - Accent3 10" xfId="1855"/>
    <cellStyle name="40% - Accent3 10 2" xfId="1856"/>
    <cellStyle name="40% - Accent3 10 2 2" xfId="1857"/>
    <cellStyle name="40% - Accent3 10 3" xfId="1858"/>
    <cellStyle name="40% - Accent3 10 4" xfId="58034"/>
    <cellStyle name="40% - Accent3 11" xfId="1859"/>
    <cellStyle name="40% - Accent3 11 2" xfId="1860"/>
    <cellStyle name="40% - Accent3 11 2 2" xfId="1861"/>
    <cellStyle name="40% - Accent3 11 3" xfId="1862"/>
    <cellStyle name="40% - Accent3 11 4" xfId="58035"/>
    <cellStyle name="40% - Accent3 12" xfId="1863"/>
    <cellStyle name="40% - Accent3 12 2" xfId="1864"/>
    <cellStyle name="40% - Accent3 12 3" xfId="58036"/>
    <cellStyle name="40% - Accent3 13" xfId="1865"/>
    <cellStyle name="40% - Accent3 13 2" xfId="58037"/>
    <cellStyle name="40% - Accent3 14" xfId="8967"/>
    <cellStyle name="40% - Accent3 15" xfId="9403"/>
    <cellStyle name="40% - Accent3 16" xfId="9404"/>
    <cellStyle name="40% - Accent3 17" xfId="9405"/>
    <cellStyle name="40% - Accent3 17 2" xfId="58038"/>
    <cellStyle name="40% - Accent3 18" xfId="58039"/>
    <cellStyle name="40% - Accent3 19" xfId="58040"/>
    <cellStyle name="40% - Accent3 2" xfId="1866"/>
    <cellStyle name="40% - Accent3 2 2" xfId="1867"/>
    <cellStyle name="40% - Accent3 2 2 2" xfId="1868"/>
    <cellStyle name="40% - Accent3 2 2 2 2" xfId="1869"/>
    <cellStyle name="40% - Accent3 2 2 2 2 2" xfId="1870"/>
    <cellStyle name="40% - Accent3 2 2 2 2 2 2" xfId="1871"/>
    <cellStyle name="40% - Accent3 2 2 2 2 2 2 2" xfId="1872"/>
    <cellStyle name="40% - Accent3 2 2 2 2 2 3" xfId="1873"/>
    <cellStyle name="40% - Accent3 2 2 2 2 3" xfId="1874"/>
    <cellStyle name="40% - Accent3 2 2 2 2 3 2" xfId="1875"/>
    <cellStyle name="40% - Accent3 2 2 2 2 4" xfId="1876"/>
    <cellStyle name="40% - Accent3 2 2 2 2 5" xfId="58041"/>
    <cellStyle name="40% - Accent3 2 2 2 3" xfId="1877"/>
    <cellStyle name="40% - Accent3 2 2 2 3 2" xfId="1878"/>
    <cellStyle name="40% - Accent3 2 2 2 3 2 2" xfId="1879"/>
    <cellStyle name="40% - Accent3 2 2 2 3 3" xfId="1880"/>
    <cellStyle name="40% - Accent3 2 2 2 4" xfId="1881"/>
    <cellStyle name="40% - Accent3 2 2 2 4 2" xfId="1882"/>
    <cellStyle name="40% - Accent3 2 2 2 5" xfId="1883"/>
    <cellStyle name="40% - Accent3 2 2 2 6" xfId="58042"/>
    <cellStyle name="40% - Accent3 2 2 3" xfId="1884"/>
    <cellStyle name="40% - Accent3 2 2 3 2" xfId="1885"/>
    <cellStyle name="40% - Accent3 2 2 3 2 2" xfId="1886"/>
    <cellStyle name="40% - Accent3 2 2 3 2 2 2" xfId="1887"/>
    <cellStyle name="40% - Accent3 2 2 3 2 3" xfId="1888"/>
    <cellStyle name="40% - Accent3 2 2 3 3" xfId="1889"/>
    <cellStyle name="40% - Accent3 2 2 3 3 2" xfId="1890"/>
    <cellStyle name="40% - Accent3 2 2 3 4" xfId="1891"/>
    <cellStyle name="40% - Accent3 2 2 3 5" xfId="58043"/>
    <cellStyle name="40% - Accent3 2 2 4" xfId="1892"/>
    <cellStyle name="40% - Accent3 2 2 4 2" xfId="1893"/>
    <cellStyle name="40% - Accent3 2 2 4 2 2" xfId="1894"/>
    <cellStyle name="40% - Accent3 2 2 4 3" xfId="1895"/>
    <cellStyle name="40% - Accent3 2 2 5" xfId="1896"/>
    <cellStyle name="40% - Accent3 2 2 5 2" xfId="1897"/>
    <cellStyle name="40% - Accent3 2 2 6" xfId="1898"/>
    <cellStyle name="40% - Accent3 2 2 7" xfId="58044"/>
    <cellStyle name="40% - Accent3 2 3" xfId="1899"/>
    <cellStyle name="40% - Accent3 2 3 2" xfId="1900"/>
    <cellStyle name="40% - Accent3 2 3 2 2" xfId="1901"/>
    <cellStyle name="40% - Accent3 2 3 2 2 2" xfId="1902"/>
    <cellStyle name="40% - Accent3 2 3 2 2 2 2" xfId="1903"/>
    <cellStyle name="40% - Accent3 2 3 2 2 3" xfId="1904"/>
    <cellStyle name="40% - Accent3 2 3 2 3" xfId="1905"/>
    <cellStyle name="40% - Accent3 2 3 2 3 2" xfId="1906"/>
    <cellStyle name="40% - Accent3 2 3 2 4" xfId="1907"/>
    <cellStyle name="40% - Accent3 2 3 3" xfId="1908"/>
    <cellStyle name="40% - Accent3 2 3 3 2" xfId="1909"/>
    <cellStyle name="40% - Accent3 2 3 3 2 2" xfId="1910"/>
    <cellStyle name="40% - Accent3 2 3 3 3" xfId="1911"/>
    <cellStyle name="40% - Accent3 2 3 4" xfId="1912"/>
    <cellStyle name="40% - Accent3 2 3 4 2" xfId="1913"/>
    <cellStyle name="40% - Accent3 2 3 5" xfId="1914"/>
    <cellStyle name="40% - Accent3 2 3 6" xfId="58045"/>
    <cellStyle name="40% - Accent3 2 4" xfId="1915"/>
    <cellStyle name="40% - Accent3 2 4 2" xfId="1916"/>
    <cellStyle name="40% - Accent3 2 4 2 2" xfId="1917"/>
    <cellStyle name="40% - Accent3 2 4 2 2 2" xfId="1918"/>
    <cellStyle name="40% - Accent3 2 4 2 3" xfId="1919"/>
    <cellStyle name="40% - Accent3 2 4 3" xfId="1920"/>
    <cellStyle name="40% - Accent3 2 4 3 2" xfId="1921"/>
    <cellStyle name="40% - Accent3 2 4 4" xfId="1922"/>
    <cellStyle name="40% - Accent3 2 4 5" xfId="58046"/>
    <cellStyle name="40% - Accent3 2 5" xfId="1923"/>
    <cellStyle name="40% - Accent3 2 5 2" xfId="1924"/>
    <cellStyle name="40% - Accent3 2 5 2 2" xfId="1925"/>
    <cellStyle name="40% - Accent3 2 5 3" xfId="1926"/>
    <cellStyle name="40% - Accent3 2 5 4" xfId="58047"/>
    <cellStyle name="40% - Accent3 2 6" xfId="1927"/>
    <cellStyle name="40% - Accent3 2 6 2" xfId="1928"/>
    <cellStyle name="40% - Accent3 2 6 3" xfId="58048"/>
    <cellStyle name="40% - Accent3 2 7" xfId="1929"/>
    <cellStyle name="40% - Accent3 2 8" xfId="1930"/>
    <cellStyle name="40% - Accent3 2 9" xfId="58049"/>
    <cellStyle name="40% - Accent3 20" xfId="58050"/>
    <cellStyle name="40% - Accent3 21" xfId="58051"/>
    <cellStyle name="40% - Accent3 3" xfId="1931"/>
    <cellStyle name="40% - Accent3 3 2" xfId="1932"/>
    <cellStyle name="40% - Accent3 3 2 2" xfId="1933"/>
    <cellStyle name="40% - Accent3 3 2 2 2" xfId="1934"/>
    <cellStyle name="40% - Accent3 3 2 2 2 2" xfId="1935"/>
    <cellStyle name="40% - Accent3 3 2 2 2 2 2" xfId="1936"/>
    <cellStyle name="40% - Accent3 3 2 2 2 2 2 2" xfId="1937"/>
    <cellStyle name="40% - Accent3 3 2 2 2 2 3" xfId="1938"/>
    <cellStyle name="40% - Accent3 3 2 2 2 3" xfId="1939"/>
    <cellStyle name="40% - Accent3 3 2 2 2 3 2" xfId="1940"/>
    <cellStyle name="40% - Accent3 3 2 2 2 4" xfId="1941"/>
    <cellStyle name="40% - Accent3 3 2 2 2 5" xfId="8968"/>
    <cellStyle name="40% - Accent3 3 2 2 3" xfId="1942"/>
    <cellStyle name="40% - Accent3 3 2 2 3 2" xfId="1943"/>
    <cellStyle name="40% - Accent3 3 2 2 3 2 2" xfId="1944"/>
    <cellStyle name="40% - Accent3 3 2 2 3 3" xfId="1945"/>
    <cellStyle name="40% - Accent3 3 2 2 4" xfId="1946"/>
    <cellStyle name="40% - Accent3 3 2 2 4 2" xfId="1947"/>
    <cellStyle name="40% - Accent3 3 2 2 5" xfId="1948"/>
    <cellStyle name="40% - Accent3 3 2 2 6" xfId="8969"/>
    <cellStyle name="40% - Accent3 3 2 3" xfId="1949"/>
    <cellStyle name="40% - Accent3 3 2 3 2" xfId="1950"/>
    <cellStyle name="40% - Accent3 3 2 3 2 2" xfId="1951"/>
    <cellStyle name="40% - Accent3 3 2 3 2 2 2" xfId="1952"/>
    <cellStyle name="40% - Accent3 3 2 3 2 3" xfId="1953"/>
    <cellStyle name="40% - Accent3 3 2 3 3" xfId="1954"/>
    <cellStyle name="40% - Accent3 3 2 3 3 2" xfId="1955"/>
    <cellStyle name="40% - Accent3 3 2 3 4" xfId="1956"/>
    <cellStyle name="40% - Accent3 3 2 3 5" xfId="8970"/>
    <cellStyle name="40% - Accent3 3 2 4" xfId="1957"/>
    <cellStyle name="40% - Accent3 3 2 4 2" xfId="1958"/>
    <cellStyle name="40% - Accent3 3 2 4 2 2" xfId="1959"/>
    <cellStyle name="40% - Accent3 3 2 4 3" xfId="1960"/>
    <cellStyle name="40% - Accent3 3 2 5" xfId="1961"/>
    <cellStyle name="40% - Accent3 3 2 5 2" xfId="1962"/>
    <cellStyle name="40% - Accent3 3 2 6" xfId="1963"/>
    <cellStyle name="40% - Accent3 3 2 7" xfId="8971"/>
    <cellStyle name="40% - Accent3 3 3" xfId="1964"/>
    <cellStyle name="40% - Accent3 3 3 2" xfId="1965"/>
    <cellStyle name="40% - Accent3 3 3 2 2" xfId="1966"/>
    <cellStyle name="40% - Accent3 3 3 2 2 2" xfId="1967"/>
    <cellStyle name="40% - Accent3 3 3 2 2 2 2" xfId="1968"/>
    <cellStyle name="40% - Accent3 3 3 2 2 3" xfId="1969"/>
    <cellStyle name="40% - Accent3 3 3 2 3" xfId="1970"/>
    <cellStyle name="40% - Accent3 3 3 2 3 2" xfId="1971"/>
    <cellStyle name="40% - Accent3 3 3 2 4" xfId="1972"/>
    <cellStyle name="40% - Accent3 3 3 2 5" xfId="8972"/>
    <cellStyle name="40% - Accent3 3 3 3" xfId="1973"/>
    <cellStyle name="40% - Accent3 3 3 3 2" xfId="1974"/>
    <cellStyle name="40% - Accent3 3 3 3 2 2" xfId="1975"/>
    <cellStyle name="40% - Accent3 3 3 3 3" xfId="1976"/>
    <cellStyle name="40% - Accent3 3 3 4" xfId="1977"/>
    <cellStyle name="40% - Accent3 3 3 4 2" xfId="1978"/>
    <cellStyle name="40% - Accent3 3 3 5" xfId="1979"/>
    <cellStyle name="40% - Accent3 3 3 6" xfId="8973"/>
    <cellStyle name="40% - Accent3 3 4" xfId="1980"/>
    <cellStyle name="40% - Accent3 3 4 2" xfId="1981"/>
    <cellStyle name="40% - Accent3 3 4 2 2" xfId="1982"/>
    <cellStyle name="40% - Accent3 3 4 2 2 2" xfId="1983"/>
    <cellStyle name="40% - Accent3 3 4 2 3" xfId="1984"/>
    <cellStyle name="40% - Accent3 3 4 3" xfId="1985"/>
    <cellStyle name="40% - Accent3 3 4 3 2" xfId="1986"/>
    <cellStyle name="40% - Accent3 3 4 4" xfId="1987"/>
    <cellStyle name="40% - Accent3 3 4 5" xfId="8974"/>
    <cellStyle name="40% - Accent3 3 5" xfId="1988"/>
    <cellStyle name="40% - Accent3 3 5 2" xfId="1989"/>
    <cellStyle name="40% - Accent3 3 5 2 2" xfId="1990"/>
    <cellStyle name="40% - Accent3 3 5 3" xfId="1991"/>
    <cellStyle name="40% - Accent3 3 6" xfId="1992"/>
    <cellStyle name="40% - Accent3 3 6 2" xfId="1993"/>
    <cellStyle name="40% - Accent3 3 7" xfId="1994"/>
    <cellStyle name="40% - Accent3 3 8" xfId="1995"/>
    <cellStyle name="40% - Accent3 3 9" xfId="8975"/>
    <cellStyle name="40% - Accent3 4" xfId="1996"/>
    <cellStyle name="40% - Accent3 4 10" xfId="22811"/>
    <cellStyle name="40% - Accent3 4 10 2" xfId="22812"/>
    <cellStyle name="40% - Accent3 4 10 2 2" xfId="22813"/>
    <cellStyle name="40% - Accent3 4 10 2 3" xfId="22814"/>
    <cellStyle name="40% - Accent3 4 10 3" xfId="22815"/>
    <cellStyle name="40% - Accent3 4 10 3 2" xfId="22816"/>
    <cellStyle name="40% - Accent3 4 10 4" xfId="22817"/>
    <cellStyle name="40% - Accent3 4 10 5" xfId="22818"/>
    <cellStyle name="40% - Accent3 4 11" xfId="22819"/>
    <cellStyle name="40% - Accent3 4 11 2" xfId="22820"/>
    <cellStyle name="40% - Accent3 4 11 3" xfId="22821"/>
    <cellStyle name="40% - Accent3 4 12" xfId="22822"/>
    <cellStyle name="40% - Accent3 4 12 2" xfId="22823"/>
    <cellStyle name="40% - Accent3 4 12 3" xfId="22824"/>
    <cellStyle name="40% - Accent3 4 13" xfId="22825"/>
    <cellStyle name="40% - Accent3 4 13 2" xfId="22826"/>
    <cellStyle name="40% - Accent3 4 14" xfId="22827"/>
    <cellStyle name="40% - Accent3 4 15" xfId="22828"/>
    <cellStyle name="40% - Accent3 4 16" xfId="22829"/>
    <cellStyle name="40% - Accent3 4 2" xfId="1997"/>
    <cellStyle name="40% - Accent3 4 2 10" xfId="22830"/>
    <cellStyle name="40% - Accent3 4 2 10 2" xfId="22831"/>
    <cellStyle name="40% - Accent3 4 2 10 3" xfId="22832"/>
    <cellStyle name="40% - Accent3 4 2 11" xfId="22833"/>
    <cellStyle name="40% - Accent3 4 2 11 2" xfId="22834"/>
    <cellStyle name="40% - Accent3 4 2 11 3" xfId="22835"/>
    <cellStyle name="40% - Accent3 4 2 12" xfId="22836"/>
    <cellStyle name="40% - Accent3 4 2 12 2" xfId="22837"/>
    <cellStyle name="40% - Accent3 4 2 13" xfId="22838"/>
    <cellStyle name="40% - Accent3 4 2 14" xfId="22839"/>
    <cellStyle name="40% - Accent3 4 2 15" xfId="22840"/>
    <cellStyle name="40% - Accent3 4 2 2" xfId="1998"/>
    <cellStyle name="40% - Accent3 4 2 2 10" xfId="22841"/>
    <cellStyle name="40% - Accent3 4 2 2 10 2" xfId="22842"/>
    <cellStyle name="40% - Accent3 4 2 2 10 3" xfId="22843"/>
    <cellStyle name="40% - Accent3 4 2 2 11" xfId="22844"/>
    <cellStyle name="40% - Accent3 4 2 2 11 2" xfId="22845"/>
    <cellStyle name="40% - Accent3 4 2 2 12" xfId="22846"/>
    <cellStyle name="40% - Accent3 4 2 2 13" xfId="22847"/>
    <cellStyle name="40% - Accent3 4 2 2 2" xfId="1999"/>
    <cellStyle name="40% - Accent3 4 2 2 2 10" xfId="22848"/>
    <cellStyle name="40% - Accent3 4 2 2 2 10 2" xfId="22849"/>
    <cellStyle name="40% - Accent3 4 2 2 2 11" xfId="22850"/>
    <cellStyle name="40% - Accent3 4 2 2 2 12" xfId="22851"/>
    <cellStyle name="40% - Accent3 4 2 2 2 2" xfId="2000"/>
    <cellStyle name="40% - Accent3 4 2 2 2 2 10" xfId="22852"/>
    <cellStyle name="40% - Accent3 4 2 2 2 2 2" xfId="2001"/>
    <cellStyle name="40% - Accent3 4 2 2 2 2 2 2" xfId="22853"/>
    <cellStyle name="40% - Accent3 4 2 2 2 2 2 2 2" xfId="22854"/>
    <cellStyle name="40% - Accent3 4 2 2 2 2 2 2 2 2" xfId="22855"/>
    <cellStyle name="40% - Accent3 4 2 2 2 2 2 2 2 3" xfId="22856"/>
    <cellStyle name="40% - Accent3 4 2 2 2 2 2 2 3" xfId="22857"/>
    <cellStyle name="40% - Accent3 4 2 2 2 2 2 2 3 2" xfId="22858"/>
    <cellStyle name="40% - Accent3 4 2 2 2 2 2 2 3 3" xfId="22859"/>
    <cellStyle name="40% - Accent3 4 2 2 2 2 2 2 4" xfId="22860"/>
    <cellStyle name="40% - Accent3 4 2 2 2 2 2 2 4 2" xfId="22861"/>
    <cellStyle name="40% - Accent3 4 2 2 2 2 2 2 5" xfId="22862"/>
    <cellStyle name="40% - Accent3 4 2 2 2 2 2 2 6" xfId="22863"/>
    <cellStyle name="40% - Accent3 4 2 2 2 2 2 3" xfId="22864"/>
    <cellStyle name="40% - Accent3 4 2 2 2 2 2 3 2" xfId="22865"/>
    <cellStyle name="40% - Accent3 4 2 2 2 2 2 3 2 2" xfId="22866"/>
    <cellStyle name="40% - Accent3 4 2 2 2 2 2 3 2 3" xfId="22867"/>
    <cellStyle name="40% - Accent3 4 2 2 2 2 2 3 3" xfId="22868"/>
    <cellStyle name="40% - Accent3 4 2 2 2 2 2 3 3 2" xfId="22869"/>
    <cellStyle name="40% - Accent3 4 2 2 2 2 2 3 3 3" xfId="22870"/>
    <cellStyle name="40% - Accent3 4 2 2 2 2 2 3 4" xfId="22871"/>
    <cellStyle name="40% - Accent3 4 2 2 2 2 2 3 4 2" xfId="22872"/>
    <cellStyle name="40% - Accent3 4 2 2 2 2 2 3 5" xfId="22873"/>
    <cellStyle name="40% - Accent3 4 2 2 2 2 2 3 6" xfId="22874"/>
    <cellStyle name="40% - Accent3 4 2 2 2 2 2 4" xfId="22875"/>
    <cellStyle name="40% - Accent3 4 2 2 2 2 2 4 2" xfId="22876"/>
    <cellStyle name="40% - Accent3 4 2 2 2 2 2 4 2 2" xfId="22877"/>
    <cellStyle name="40% - Accent3 4 2 2 2 2 2 4 2 3" xfId="22878"/>
    <cellStyle name="40% - Accent3 4 2 2 2 2 2 4 3" xfId="22879"/>
    <cellStyle name="40% - Accent3 4 2 2 2 2 2 4 3 2" xfId="22880"/>
    <cellStyle name="40% - Accent3 4 2 2 2 2 2 4 4" xfId="22881"/>
    <cellStyle name="40% - Accent3 4 2 2 2 2 2 4 5" xfId="22882"/>
    <cellStyle name="40% - Accent3 4 2 2 2 2 2 5" xfId="22883"/>
    <cellStyle name="40% - Accent3 4 2 2 2 2 2 5 2" xfId="22884"/>
    <cellStyle name="40% - Accent3 4 2 2 2 2 2 5 3" xfId="22885"/>
    <cellStyle name="40% - Accent3 4 2 2 2 2 2 6" xfId="22886"/>
    <cellStyle name="40% - Accent3 4 2 2 2 2 2 6 2" xfId="22887"/>
    <cellStyle name="40% - Accent3 4 2 2 2 2 2 6 3" xfId="22888"/>
    <cellStyle name="40% - Accent3 4 2 2 2 2 2 7" xfId="22889"/>
    <cellStyle name="40% - Accent3 4 2 2 2 2 2 7 2" xfId="22890"/>
    <cellStyle name="40% - Accent3 4 2 2 2 2 2 8" xfId="22891"/>
    <cellStyle name="40% - Accent3 4 2 2 2 2 2 9" xfId="22892"/>
    <cellStyle name="40% - Accent3 4 2 2 2 2 3" xfId="22893"/>
    <cellStyle name="40% - Accent3 4 2 2 2 2 3 2" xfId="22894"/>
    <cellStyle name="40% - Accent3 4 2 2 2 2 3 2 2" xfId="22895"/>
    <cellStyle name="40% - Accent3 4 2 2 2 2 3 2 3" xfId="22896"/>
    <cellStyle name="40% - Accent3 4 2 2 2 2 3 3" xfId="22897"/>
    <cellStyle name="40% - Accent3 4 2 2 2 2 3 3 2" xfId="22898"/>
    <cellStyle name="40% - Accent3 4 2 2 2 2 3 3 3" xfId="22899"/>
    <cellStyle name="40% - Accent3 4 2 2 2 2 3 4" xfId="22900"/>
    <cellStyle name="40% - Accent3 4 2 2 2 2 3 4 2" xfId="22901"/>
    <cellStyle name="40% - Accent3 4 2 2 2 2 3 5" xfId="22902"/>
    <cellStyle name="40% - Accent3 4 2 2 2 2 3 6" xfId="22903"/>
    <cellStyle name="40% - Accent3 4 2 2 2 2 4" xfId="22904"/>
    <cellStyle name="40% - Accent3 4 2 2 2 2 4 2" xfId="22905"/>
    <cellStyle name="40% - Accent3 4 2 2 2 2 4 2 2" xfId="22906"/>
    <cellStyle name="40% - Accent3 4 2 2 2 2 4 2 3" xfId="22907"/>
    <cellStyle name="40% - Accent3 4 2 2 2 2 4 3" xfId="22908"/>
    <cellStyle name="40% - Accent3 4 2 2 2 2 4 3 2" xfId="22909"/>
    <cellStyle name="40% - Accent3 4 2 2 2 2 4 3 3" xfId="22910"/>
    <cellStyle name="40% - Accent3 4 2 2 2 2 4 4" xfId="22911"/>
    <cellStyle name="40% - Accent3 4 2 2 2 2 4 4 2" xfId="22912"/>
    <cellStyle name="40% - Accent3 4 2 2 2 2 4 5" xfId="22913"/>
    <cellStyle name="40% - Accent3 4 2 2 2 2 4 6" xfId="22914"/>
    <cellStyle name="40% - Accent3 4 2 2 2 2 5" xfId="22915"/>
    <cellStyle name="40% - Accent3 4 2 2 2 2 5 2" xfId="22916"/>
    <cellStyle name="40% - Accent3 4 2 2 2 2 5 2 2" xfId="22917"/>
    <cellStyle name="40% - Accent3 4 2 2 2 2 5 2 3" xfId="22918"/>
    <cellStyle name="40% - Accent3 4 2 2 2 2 5 3" xfId="22919"/>
    <cellStyle name="40% - Accent3 4 2 2 2 2 5 3 2" xfId="22920"/>
    <cellStyle name="40% - Accent3 4 2 2 2 2 5 4" xfId="22921"/>
    <cellStyle name="40% - Accent3 4 2 2 2 2 5 5" xfId="22922"/>
    <cellStyle name="40% - Accent3 4 2 2 2 2 6" xfId="22923"/>
    <cellStyle name="40% - Accent3 4 2 2 2 2 6 2" xfId="22924"/>
    <cellStyle name="40% - Accent3 4 2 2 2 2 6 3" xfId="22925"/>
    <cellStyle name="40% - Accent3 4 2 2 2 2 7" xfId="22926"/>
    <cellStyle name="40% - Accent3 4 2 2 2 2 7 2" xfId="22927"/>
    <cellStyle name="40% - Accent3 4 2 2 2 2 7 3" xfId="22928"/>
    <cellStyle name="40% - Accent3 4 2 2 2 2 8" xfId="22929"/>
    <cellStyle name="40% - Accent3 4 2 2 2 2 8 2" xfId="22930"/>
    <cellStyle name="40% - Accent3 4 2 2 2 2 9" xfId="22931"/>
    <cellStyle name="40% - Accent3 4 2 2 2 3" xfId="2002"/>
    <cellStyle name="40% - Accent3 4 2 2 2 3 2" xfId="22932"/>
    <cellStyle name="40% - Accent3 4 2 2 2 3 2 2" xfId="22933"/>
    <cellStyle name="40% - Accent3 4 2 2 2 3 2 2 2" xfId="22934"/>
    <cellStyle name="40% - Accent3 4 2 2 2 3 2 2 3" xfId="22935"/>
    <cellStyle name="40% - Accent3 4 2 2 2 3 2 3" xfId="22936"/>
    <cellStyle name="40% - Accent3 4 2 2 2 3 2 3 2" xfId="22937"/>
    <cellStyle name="40% - Accent3 4 2 2 2 3 2 3 3" xfId="22938"/>
    <cellStyle name="40% - Accent3 4 2 2 2 3 2 4" xfId="22939"/>
    <cellStyle name="40% - Accent3 4 2 2 2 3 2 4 2" xfId="22940"/>
    <cellStyle name="40% - Accent3 4 2 2 2 3 2 5" xfId="22941"/>
    <cellStyle name="40% - Accent3 4 2 2 2 3 2 6" xfId="22942"/>
    <cellStyle name="40% - Accent3 4 2 2 2 3 3" xfId="22943"/>
    <cellStyle name="40% - Accent3 4 2 2 2 3 3 2" xfId="22944"/>
    <cellStyle name="40% - Accent3 4 2 2 2 3 3 2 2" xfId="22945"/>
    <cellStyle name="40% - Accent3 4 2 2 2 3 3 2 3" xfId="22946"/>
    <cellStyle name="40% - Accent3 4 2 2 2 3 3 3" xfId="22947"/>
    <cellStyle name="40% - Accent3 4 2 2 2 3 3 3 2" xfId="22948"/>
    <cellStyle name="40% - Accent3 4 2 2 2 3 3 3 3" xfId="22949"/>
    <cellStyle name="40% - Accent3 4 2 2 2 3 3 4" xfId="22950"/>
    <cellStyle name="40% - Accent3 4 2 2 2 3 3 4 2" xfId="22951"/>
    <cellStyle name="40% - Accent3 4 2 2 2 3 3 5" xfId="22952"/>
    <cellStyle name="40% - Accent3 4 2 2 2 3 3 6" xfId="22953"/>
    <cellStyle name="40% - Accent3 4 2 2 2 3 4" xfId="22954"/>
    <cellStyle name="40% - Accent3 4 2 2 2 3 4 2" xfId="22955"/>
    <cellStyle name="40% - Accent3 4 2 2 2 3 4 2 2" xfId="22956"/>
    <cellStyle name="40% - Accent3 4 2 2 2 3 4 2 3" xfId="22957"/>
    <cellStyle name="40% - Accent3 4 2 2 2 3 4 3" xfId="22958"/>
    <cellStyle name="40% - Accent3 4 2 2 2 3 4 3 2" xfId="22959"/>
    <cellStyle name="40% - Accent3 4 2 2 2 3 4 4" xfId="22960"/>
    <cellStyle name="40% - Accent3 4 2 2 2 3 4 5" xfId="22961"/>
    <cellStyle name="40% - Accent3 4 2 2 2 3 5" xfId="22962"/>
    <cellStyle name="40% - Accent3 4 2 2 2 3 5 2" xfId="22963"/>
    <cellStyle name="40% - Accent3 4 2 2 2 3 5 3" xfId="22964"/>
    <cellStyle name="40% - Accent3 4 2 2 2 3 6" xfId="22965"/>
    <cellStyle name="40% - Accent3 4 2 2 2 3 6 2" xfId="22966"/>
    <cellStyle name="40% - Accent3 4 2 2 2 3 6 3" xfId="22967"/>
    <cellStyle name="40% - Accent3 4 2 2 2 3 7" xfId="22968"/>
    <cellStyle name="40% - Accent3 4 2 2 2 3 7 2" xfId="22969"/>
    <cellStyle name="40% - Accent3 4 2 2 2 3 8" xfId="22970"/>
    <cellStyle name="40% - Accent3 4 2 2 2 3 9" xfId="22971"/>
    <cellStyle name="40% - Accent3 4 2 2 2 4" xfId="22972"/>
    <cellStyle name="40% - Accent3 4 2 2 2 4 2" xfId="22973"/>
    <cellStyle name="40% - Accent3 4 2 2 2 4 2 2" xfId="22974"/>
    <cellStyle name="40% - Accent3 4 2 2 2 4 2 2 2" xfId="22975"/>
    <cellStyle name="40% - Accent3 4 2 2 2 4 2 2 3" xfId="22976"/>
    <cellStyle name="40% - Accent3 4 2 2 2 4 2 3" xfId="22977"/>
    <cellStyle name="40% - Accent3 4 2 2 2 4 2 3 2" xfId="22978"/>
    <cellStyle name="40% - Accent3 4 2 2 2 4 2 3 3" xfId="22979"/>
    <cellStyle name="40% - Accent3 4 2 2 2 4 2 4" xfId="22980"/>
    <cellStyle name="40% - Accent3 4 2 2 2 4 2 4 2" xfId="22981"/>
    <cellStyle name="40% - Accent3 4 2 2 2 4 2 5" xfId="22982"/>
    <cellStyle name="40% - Accent3 4 2 2 2 4 2 6" xfId="22983"/>
    <cellStyle name="40% - Accent3 4 2 2 2 4 3" xfId="22984"/>
    <cellStyle name="40% - Accent3 4 2 2 2 4 3 2" xfId="22985"/>
    <cellStyle name="40% - Accent3 4 2 2 2 4 3 2 2" xfId="22986"/>
    <cellStyle name="40% - Accent3 4 2 2 2 4 3 2 3" xfId="22987"/>
    <cellStyle name="40% - Accent3 4 2 2 2 4 3 3" xfId="22988"/>
    <cellStyle name="40% - Accent3 4 2 2 2 4 3 3 2" xfId="22989"/>
    <cellStyle name="40% - Accent3 4 2 2 2 4 3 3 3" xfId="22990"/>
    <cellStyle name="40% - Accent3 4 2 2 2 4 3 4" xfId="22991"/>
    <cellStyle name="40% - Accent3 4 2 2 2 4 3 4 2" xfId="22992"/>
    <cellStyle name="40% - Accent3 4 2 2 2 4 3 5" xfId="22993"/>
    <cellStyle name="40% - Accent3 4 2 2 2 4 3 6" xfId="22994"/>
    <cellStyle name="40% - Accent3 4 2 2 2 4 4" xfId="22995"/>
    <cellStyle name="40% - Accent3 4 2 2 2 4 4 2" xfId="22996"/>
    <cellStyle name="40% - Accent3 4 2 2 2 4 4 2 2" xfId="22997"/>
    <cellStyle name="40% - Accent3 4 2 2 2 4 4 2 3" xfId="22998"/>
    <cellStyle name="40% - Accent3 4 2 2 2 4 4 3" xfId="22999"/>
    <cellStyle name="40% - Accent3 4 2 2 2 4 4 3 2" xfId="23000"/>
    <cellStyle name="40% - Accent3 4 2 2 2 4 4 4" xfId="23001"/>
    <cellStyle name="40% - Accent3 4 2 2 2 4 4 5" xfId="23002"/>
    <cellStyle name="40% - Accent3 4 2 2 2 4 5" xfId="23003"/>
    <cellStyle name="40% - Accent3 4 2 2 2 4 5 2" xfId="23004"/>
    <cellStyle name="40% - Accent3 4 2 2 2 4 5 3" xfId="23005"/>
    <cellStyle name="40% - Accent3 4 2 2 2 4 6" xfId="23006"/>
    <cellStyle name="40% - Accent3 4 2 2 2 4 6 2" xfId="23007"/>
    <cellStyle name="40% - Accent3 4 2 2 2 4 6 3" xfId="23008"/>
    <cellStyle name="40% - Accent3 4 2 2 2 4 7" xfId="23009"/>
    <cellStyle name="40% - Accent3 4 2 2 2 4 7 2" xfId="23010"/>
    <cellStyle name="40% - Accent3 4 2 2 2 4 8" xfId="23011"/>
    <cellStyle name="40% - Accent3 4 2 2 2 4 9" xfId="23012"/>
    <cellStyle name="40% - Accent3 4 2 2 2 5" xfId="23013"/>
    <cellStyle name="40% - Accent3 4 2 2 2 5 2" xfId="23014"/>
    <cellStyle name="40% - Accent3 4 2 2 2 5 2 2" xfId="23015"/>
    <cellStyle name="40% - Accent3 4 2 2 2 5 2 3" xfId="23016"/>
    <cellStyle name="40% - Accent3 4 2 2 2 5 3" xfId="23017"/>
    <cellStyle name="40% - Accent3 4 2 2 2 5 3 2" xfId="23018"/>
    <cellStyle name="40% - Accent3 4 2 2 2 5 3 3" xfId="23019"/>
    <cellStyle name="40% - Accent3 4 2 2 2 5 4" xfId="23020"/>
    <cellStyle name="40% - Accent3 4 2 2 2 5 4 2" xfId="23021"/>
    <cellStyle name="40% - Accent3 4 2 2 2 5 5" xfId="23022"/>
    <cellStyle name="40% - Accent3 4 2 2 2 5 6" xfId="23023"/>
    <cellStyle name="40% - Accent3 4 2 2 2 6" xfId="23024"/>
    <cellStyle name="40% - Accent3 4 2 2 2 6 2" xfId="23025"/>
    <cellStyle name="40% - Accent3 4 2 2 2 6 2 2" xfId="23026"/>
    <cellStyle name="40% - Accent3 4 2 2 2 6 2 3" xfId="23027"/>
    <cellStyle name="40% - Accent3 4 2 2 2 6 3" xfId="23028"/>
    <cellStyle name="40% - Accent3 4 2 2 2 6 3 2" xfId="23029"/>
    <cellStyle name="40% - Accent3 4 2 2 2 6 3 3" xfId="23030"/>
    <cellStyle name="40% - Accent3 4 2 2 2 6 4" xfId="23031"/>
    <cellStyle name="40% - Accent3 4 2 2 2 6 4 2" xfId="23032"/>
    <cellStyle name="40% - Accent3 4 2 2 2 6 5" xfId="23033"/>
    <cellStyle name="40% - Accent3 4 2 2 2 6 6" xfId="23034"/>
    <cellStyle name="40% - Accent3 4 2 2 2 7" xfId="23035"/>
    <cellStyle name="40% - Accent3 4 2 2 2 7 2" xfId="23036"/>
    <cellStyle name="40% - Accent3 4 2 2 2 7 2 2" xfId="23037"/>
    <cellStyle name="40% - Accent3 4 2 2 2 7 2 3" xfId="23038"/>
    <cellStyle name="40% - Accent3 4 2 2 2 7 3" xfId="23039"/>
    <cellStyle name="40% - Accent3 4 2 2 2 7 3 2" xfId="23040"/>
    <cellStyle name="40% - Accent3 4 2 2 2 7 4" xfId="23041"/>
    <cellStyle name="40% - Accent3 4 2 2 2 7 5" xfId="23042"/>
    <cellStyle name="40% - Accent3 4 2 2 2 8" xfId="23043"/>
    <cellStyle name="40% - Accent3 4 2 2 2 8 2" xfId="23044"/>
    <cellStyle name="40% - Accent3 4 2 2 2 8 3" xfId="23045"/>
    <cellStyle name="40% - Accent3 4 2 2 2 9" xfId="23046"/>
    <cellStyle name="40% - Accent3 4 2 2 2 9 2" xfId="23047"/>
    <cellStyle name="40% - Accent3 4 2 2 2 9 3" xfId="23048"/>
    <cellStyle name="40% - Accent3 4 2 2 3" xfId="2003"/>
    <cellStyle name="40% - Accent3 4 2 2 3 10" xfId="23049"/>
    <cellStyle name="40% - Accent3 4 2 2 3 2" xfId="2004"/>
    <cellStyle name="40% - Accent3 4 2 2 3 2 2" xfId="23050"/>
    <cellStyle name="40% - Accent3 4 2 2 3 2 2 2" xfId="23051"/>
    <cellStyle name="40% - Accent3 4 2 2 3 2 2 2 2" xfId="23052"/>
    <cellStyle name="40% - Accent3 4 2 2 3 2 2 2 3" xfId="23053"/>
    <cellStyle name="40% - Accent3 4 2 2 3 2 2 3" xfId="23054"/>
    <cellStyle name="40% - Accent3 4 2 2 3 2 2 3 2" xfId="23055"/>
    <cellStyle name="40% - Accent3 4 2 2 3 2 2 3 3" xfId="23056"/>
    <cellStyle name="40% - Accent3 4 2 2 3 2 2 4" xfId="23057"/>
    <cellStyle name="40% - Accent3 4 2 2 3 2 2 4 2" xfId="23058"/>
    <cellStyle name="40% - Accent3 4 2 2 3 2 2 5" xfId="23059"/>
    <cellStyle name="40% - Accent3 4 2 2 3 2 2 6" xfId="23060"/>
    <cellStyle name="40% - Accent3 4 2 2 3 2 3" xfId="23061"/>
    <cellStyle name="40% - Accent3 4 2 2 3 2 3 2" xfId="23062"/>
    <cellStyle name="40% - Accent3 4 2 2 3 2 3 2 2" xfId="23063"/>
    <cellStyle name="40% - Accent3 4 2 2 3 2 3 2 3" xfId="23064"/>
    <cellStyle name="40% - Accent3 4 2 2 3 2 3 3" xfId="23065"/>
    <cellStyle name="40% - Accent3 4 2 2 3 2 3 3 2" xfId="23066"/>
    <cellStyle name="40% - Accent3 4 2 2 3 2 3 3 3" xfId="23067"/>
    <cellStyle name="40% - Accent3 4 2 2 3 2 3 4" xfId="23068"/>
    <cellStyle name="40% - Accent3 4 2 2 3 2 3 4 2" xfId="23069"/>
    <cellStyle name="40% - Accent3 4 2 2 3 2 3 5" xfId="23070"/>
    <cellStyle name="40% - Accent3 4 2 2 3 2 3 6" xfId="23071"/>
    <cellStyle name="40% - Accent3 4 2 2 3 2 4" xfId="23072"/>
    <cellStyle name="40% - Accent3 4 2 2 3 2 4 2" xfId="23073"/>
    <cellStyle name="40% - Accent3 4 2 2 3 2 4 2 2" xfId="23074"/>
    <cellStyle name="40% - Accent3 4 2 2 3 2 4 2 3" xfId="23075"/>
    <cellStyle name="40% - Accent3 4 2 2 3 2 4 3" xfId="23076"/>
    <cellStyle name="40% - Accent3 4 2 2 3 2 4 3 2" xfId="23077"/>
    <cellStyle name="40% - Accent3 4 2 2 3 2 4 4" xfId="23078"/>
    <cellStyle name="40% - Accent3 4 2 2 3 2 4 5" xfId="23079"/>
    <cellStyle name="40% - Accent3 4 2 2 3 2 5" xfId="23080"/>
    <cellStyle name="40% - Accent3 4 2 2 3 2 5 2" xfId="23081"/>
    <cellStyle name="40% - Accent3 4 2 2 3 2 5 3" xfId="23082"/>
    <cellStyle name="40% - Accent3 4 2 2 3 2 6" xfId="23083"/>
    <cellStyle name="40% - Accent3 4 2 2 3 2 6 2" xfId="23084"/>
    <cellStyle name="40% - Accent3 4 2 2 3 2 6 3" xfId="23085"/>
    <cellStyle name="40% - Accent3 4 2 2 3 2 7" xfId="23086"/>
    <cellStyle name="40% - Accent3 4 2 2 3 2 7 2" xfId="23087"/>
    <cellStyle name="40% - Accent3 4 2 2 3 2 8" xfId="23088"/>
    <cellStyle name="40% - Accent3 4 2 2 3 2 9" xfId="23089"/>
    <cellStyle name="40% - Accent3 4 2 2 3 3" xfId="23090"/>
    <cellStyle name="40% - Accent3 4 2 2 3 3 2" xfId="23091"/>
    <cellStyle name="40% - Accent3 4 2 2 3 3 2 2" xfId="23092"/>
    <cellStyle name="40% - Accent3 4 2 2 3 3 2 3" xfId="23093"/>
    <cellStyle name="40% - Accent3 4 2 2 3 3 3" xfId="23094"/>
    <cellStyle name="40% - Accent3 4 2 2 3 3 3 2" xfId="23095"/>
    <cellStyle name="40% - Accent3 4 2 2 3 3 3 3" xfId="23096"/>
    <cellStyle name="40% - Accent3 4 2 2 3 3 4" xfId="23097"/>
    <cellStyle name="40% - Accent3 4 2 2 3 3 4 2" xfId="23098"/>
    <cellStyle name="40% - Accent3 4 2 2 3 3 5" xfId="23099"/>
    <cellStyle name="40% - Accent3 4 2 2 3 3 6" xfId="23100"/>
    <cellStyle name="40% - Accent3 4 2 2 3 4" xfId="23101"/>
    <cellStyle name="40% - Accent3 4 2 2 3 4 2" xfId="23102"/>
    <cellStyle name="40% - Accent3 4 2 2 3 4 2 2" xfId="23103"/>
    <cellStyle name="40% - Accent3 4 2 2 3 4 2 3" xfId="23104"/>
    <cellStyle name="40% - Accent3 4 2 2 3 4 3" xfId="23105"/>
    <cellStyle name="40% - Accent3 4 2 2 3 4 3 2" xfId="23106"/>
    <cellStyle name="40% - Accent3 4 2 2 3 4 3 3" xfId="23107"/>
    <cellStyle name="40% - Accent3 4 2 2 3 4 4" xfId="23108"/>
    <cellStyle name="40% - Accent3 4 2 2 3 4 4 2" xfId="23109"/>
    <cellStyle name="40% - Accent3 4 2 2 3 4 5" xfId="23110"/>
    <cellStyle name="40% - Accent3 4 2 2 3 4 6" xfId="23111"/>
    <cellStyle name="40% - Accent3 4 2 2 3 5" xfId="23112"/>
    <cellStyle name="40% - Accent3 4 2 2 3 5 2" xfId="23113"/>
    <cellStyle name="40% - Accent3 4 2 2 3 5 2 2" xfId="23114"/>
    <cellStyle name="40% - Accent3 4 2 2 3 5 2 3" xfId="23115"/>
    <cellStyle name="40% - Accent3 4 2 2 3 5 3" xfId="23116"/>
    <cellStyle name="40% - Accent3 4 2 2 3 5 3 2" xfId="23117"/>
    <cellStyle name="40% - Accent3 4 2 2 3 5 4" xfId="23118"/>
    <cellStyle name="40% - Accent3 4 2 2 3 5 5" xfId="23119"/>
    <cellStyle name="40% - Accent3 4 2 2 3 6" xfId="23120"/>
    <cellStyle name="40% - Accent3 4 2 2 3 6 2" xfId="23121"/>
    <cellStyle name="40% - Accent3 4 2 2 3 6 3" xfId="23122"/>
    <cellStyle name="40% - Accent3 4 2 2 3 7" xfId="23123"/>
    <cellStyle name="40% - Accent3 4 2 2 3 7 2" xfId="23124"/>
    <cellStyle name="40% - Accent3 4 2 2 3 7 3" xfId="23125"/>
    <cellStyle name="40% - Accent3 4 2 2 3 8" xfId="23126"/>
    <cellStyle name="40% - Accent3 4 2 2 3 8 2" xfId="23127"/>
    <cellStyle name="40% - Accent3 4 2 2 3 9" xfId="23128"/>
    <cellStyle name="40% - Accent3 4 2 2 4" xfId="2005"/>
    <cellStyle name="40% - Accent3 4 2 2 4 2" xfId="23129"/>
    <cellStyle name="40% - Accent3 4 2 2 4 2 2" xfId="23130"/>
    <cellStyle name="40% - Accent3 4 2 2 4 2 2 2" xfId="23131"/>
    <cellStyle name="40% - Accent3 4 2 2 4 2 2 3" xfId="23132"/>
    <cellStyle name="40% - Accent3 4 2 2 4 2 3" xfId="23133"/>
    <cellStyle name="40% - Accent3 4 2 2 4 2 3 2" xfId="23134"/>
    <cellStyle name="40% - Accent3 4 2 2 4 2 3 3" xfId="23135"/>
    <cellStyle name="40% - Accent3 4 2 2 4 2 4" xfId="23136"/>
    <cellStyle name="40% - Accent3 4 2 2 4 2 4 2" xfId="23137"/>
    <cellStyle name="40% - Accent3 4 2 2 4 2 5" xfId="23138"/>
    <cellStyle name="40% - Accent3 4 2 2 4 2 6" xfId="23139"/>
    <cellStyle name="40% - Accent3 4 2 2 4 3" xfId="23140"/>
    <cellStyle name="40% - Accent3 4 2 2 4 3 2" xfId="23141"/>
    <cellStyle name="40% - Accent3 4 2 2 4 3 2 2" xfId="23142"/>
    <cellStyle name="40% - Accent3 4 2 2 4 3 2 3" xfId="23143"/>
    <cellStyle name="40% - Accent3 4 2 2 4 3 3" xfId="23144"/>
    <cellStyle name="40% - Accent3 4 2 2 4 3 3 2" xfId="23145"/>
    <cellStyle name="40% - Accent3 4 2 2 4 3 3 3" xfId="23146"/>
    <cellStyle name="40% - Accent3 4 2 2 4 3 4" xfId="23147"/>
    <cellStyle name="40% - Accent3 4 2 2 4 3 4 2" xfId="23148"/>
    <cellStyle name="40% - Accent3 4 2 2 4 3 5" xfId="23149"/>
    <cellStyle name="40% - Accent3 4 2 2 4 3 6" xfId="23150"/>
    <cellStyle name="40% - Accent3 4 2 2 4 4" xfId="23151"/>
    <cellStyle name="40% - Accent3 4 2 2 4 4 2" xfId="23152"/>
    <cellStyle name="40% - Accent3 4 2 2 4 4 2 2" xfId="23153"/>
    <cellStyle name="40% - Accent3 4 2 2 4 4 2 3" xfId="23154"/>
    <cellStyle name="40% - Accent3 4 2 2 4 4 3" xfId="23155"/>
    <cellStyle name="40% - Accent3 4 2 2 4 4 3 2" xfId="23156"/>
    <cellStyle name="40% - Accent3 4 2 2 4 4 4" xfId="23157"/>
    <cellStyle name="40% - Accent3 4 2 2 4 4 5" xfId="23158"/>
    <cellStyle name="40% - Accent3 4 2 2 4 5" xfId="23159"/>
    <cellStyle name="40% - Accent3 4 2 2 4 5 2" xfId="23160"/>
    <cellStyle name="40% - Accent3 4 2 2 4 5 3" xfId="23161"/>
    <cellStyle name="40% - Accent3 4 2 2 4 6" xfId="23162"/>
    <cellStyle name="40% - Accent3 4 2 2 4 6 2" xfId="23163"/>
    <cellStyle name="40% - Accent3 4 2 2 4 6 3" xfId="23164"/>
    <cellStyle name="40% - Accent3 4 2 2 4 7" xfId="23165"/>
    <cellStyle name="40% - Accent3 4 2 2 4 7 2" xfId="23166"/>
    <cellStyle name="40% - Accent3 4 2 2 4 8" xfId="23167"/>
    <cellStyle name="40% - Accent3 4 2 2 4 9" xfId="23168"/>
    <cellStyle name="40% - Accent3 4 2 2 5" xfId="23169"/>
    <cellStyle name="40% - Accent3 4 2 2 5 2" xfId="23170"/>
    <cellStyle name="40% - Accent3 4 2 2 5 2 2" xfId="23171"/>
    <cellStyle name="40% - Accent3 4 2 2 5 2 2 2" xfId="23172"/>
    <cellStyle name="40% - Accent3 4 2 2 5 2 2 3" xfId="23173"/>
    <cellStyle name="40% - Accent3 4 2 2 5 2 3" xfId="23174"/>
    <cellStyle name="40% - Accent3 4 2 2 5 2 3 2" xfId="23175"/>
    <cellStyle name="40% - Accent3 4 2 2 5 2 3 3" xfId="23176"/>
    <cellStyle name="40% - Accent3 4 2 2 5 2 4" xfId="23177"/>
    <cellStyle name="40% - Accent3 4 2 2 5 2 4 2" xfId="23178"/>
    <cellStyle name="40% - Accent3 4 2 2 5 2 5" xfId="23179"/>
    <cellStyle name="40% - Accent3 4 2 2 5 2 6" xfId="23180"/>
    <cellStyle name="40% - Accent3 4 2 2 5 3" xfId="23181"/>
    <cellStyle name="40% - Accent3 4 2 2 5 3 2" xfId="23182"/>
    <cellStyle name="40% - Accent3 4 2 2 5 3 2 2" xfId="23183"/>
    <cellStyle name="40% - Accent3 4 2 2 5 3 2 3" xfId="23184"/>
    <cellStyle name="40% - Accent3 4 2 2 5 3 3" xfId="23185"/>
    <cellStyle name="40% - Accent3 4 2 2 5 3 3 2" xfId="23186"/>
    <cellStyle name="40% - Accent3 4 2 2 5 3 3 3" xfId="23187"/>
    <cellStyle name="40% - Accent3 4 2 2 5 3 4" xfId="23188"/>
    <cellStyle name="40% - Accent3 4 2 2 5 3 4 2" xfId="23189"/>
    <cellStyle name="40% - Accent3 4 2 2 5 3 5" xfId="23190"/>
    <cellStyle name="40% - Accent3 4 2 2 5 3 6" xfId="23191"/>
    <cellStyle name="40% - Accent3 4 2 2 5 4" xfId="23192"/>
    <cellStyle name="40% - Accent3 4 2 2 5 4 2" xfId="23193"/>
    <cellStyle name="40% - Accent3 4 2 2 5 4 2 2" xfId="23194"/>
    <cellStyle name="40% - Accent3 4 2 2 5 4 2 3" xfId="23195"/>
    <cellStyle name="40% - Accent3 4 2 2 5 4 3" xfId="23196"/>
    <cellStyle name="40% - Accent3 4 2 2 5 4 3 2" xfId="23197"/>
    <cellStyle name="40% - Accent3 4 2 2 5 4 4" xfId="23198"/>
    <cellStyle name="40% - Accent3 4 2 2 5 4 5" xfId="23199"/>
    <cellStyle name="40% - Accent3 4 2 2 5 5" xfId="23200"/>
    <cellStyle name="40% - Accent3 4 2 2 5 5 2" xfId="23201"/>
    <cellStyle name="40% - Accent3 4 2 2 5 5 3" xfId="23202"/>
    <cellStyle name="40% - Accent3 4 2 2 5 6" xfId="23203"/>
    <cellStyle name="40% - Accent3 4 2 2 5 6 2" xfId="23204"/>
    <cellStyle name="40% - Accent3 4 2 2 5 6 3" xfId="23205"/>
    <cellStyle name="40% - Accent3 4 2 2 5 7" xfId="23206"/>
    <cellStyle name="40% - Accent3 4 2 2 5 7 2" xfId="23207"/>
    <cellStyle name="40% - Accent3 4 2 2 5 8" xfId="23208"/>
    <cellStyle name="40% - Accent3 4 2 2 5 9" xfId="23209"/>
    <cellStyle name="40% - Accent3 4 2 2 6" xfId="23210"/>
    <cellStyle name="40% - Accent3 4 2 2 6 2" xfId="23211"/>
    <cellStyle name="40% - Accent3 4 2 2 6 2 2" xfId="23212"/>
    <cellStyle name="40% - Accent3 4 2 2 6 2 3" xfId="23213"/>
    <cellStyle name="40% - Accent3 4 2 2 6 3" xfId="23214"/>
    <cellStyle name="40% - Accent3 4 2 2 6 3 2" xfId="23215"/>
    <cellStyle name="40% - Accent3 4 2 2 6 3 3" xfId="23216"/>
    <cellStyle name="40% - Accent3 4 2 2 6 4" xfId="23217"/>
    <cellStyle name="40% - Accent3 4 2 2 6 4 2" xfId="23218"/>
    <cellStyle name="40% - Accent3 4 2 2 6 5" xfId="23219"/>
    <cellStyle name="40% - Accent3 4 2 2 6 6" xfId="23220"/>
    <cellStyle name="40% - Accent3 4 2 2 7" xfId="23221"/>
    <cellStyle name="40% - Accent3 4 2 2 7 2" xfId="23222"/>
    <cellStyle name="40% - Accent3 4 2 2 7 2 2" xfId="23223"/>
    <cellStyle name="40% - Accent3 4 2 2 7 2 3" xfId="23224"/>
    <cellStyle name="40% - Accent3 4 2 2 7 3" xfId="23225"/>
    <cellStyle name="40% - Accent3 4 2 2 7 3 2" xfId="23226"/>
    <cellStyle name="40% - Accent3 4 2 2 7 3 3" xfId="23227"/>
    <cellStyle name="40% - Accent3 4 2 2 7 4" xfId="23228"/>
    <cellStyle name="40% - Accent3 4 2 2 7 4 2" xfId="23229"/>
    <cellStyle name="40% - Accent3 4 2 2 7 5" xfId="23230"/>
    <cellStyle name="40% - Accent3 4 2 2 7 6" xfId="23231"/>
    <cellStyle name="40% - Accent3 4 2 2 8" xfId="23232"/>
    <cellStyle name="40% - Accent3 4 2 2 8 2" xfId="23233"/>
    <cellStyle name="40% - Accent3 4 2 2 8 2 2" xfId="23234"/>
    <cellStyle name="40% - Accent3 4 2 2 8 2 3" xfId="23235"/>
    <cellStyle name="40% - Accent3 4 2 2 8 3" xfId="23236"/>
    <cellStyle name="40% - Accent3 4 2 2 8 3 2" xfId="23237"/>
    <cellStyle name="40% - Accent3 4 2 2 8 4" xfId="23238"/>
    <cellStyle name="40% - Accent3 4 2 2 8 5" xfId="23239"/>
    <cellStyle name="40% - Accent3 4 2 2 9" xfId="23240"/>
    <cellStyle name="40% - Accent3 4 2 2 9 2" xfId="23241"/>
    <cellStyle name="40% - Accent3 4 2 2 9 3" xfId="23242"/>
    <cellStyle name="40% - Accent3 4 2 3" xfId="2006"/>
    <cellStyle name="40% - Accent3 4 2 3 10" xfId="23243"/>
    <cellStyle name="40% - Accent3 4 2 3 10 2" xfId="23244"/>
    <cellStyle name="40% - Accent3 4 2 3 11" xfId="23245"/>
    <cellStyle name="40% - Accent3 4 2 3 12" xfId="23246"/>
    <cellStyle name="40% - Accent3 4 2 3 2" xfId="2007"/>
    <cellStyle name="40% - Accent3 4 2 3 2 10" xfId="23247"/>
    <cellStyle name="40% - Accent3 4 2 3 2 2" xfId="2008"/>
    <cellStyle name="40% - Accent3 4 2 3 2 2 2" xfId="23248"/>
    <cellStyle name="40% - Accent3 4 2 3 2 2 2 2" xfId="23249"/>
    <cellStyle name="40% - Accent3 4 2 3 2 2 2 2 2" xfId="23250"/>
    <cellStyle name="40% - Accent3 4 2 3 2 2 2 2 3" xfId="23251"/>
    <cellStyle name="40% - Accent3 4 2 3 2 2 2 3" xfId="23252"/>
    <cellStyle name="40% - Accent3 4 2 3 2 2 2 3 2" xfId="23253"/>
    <cellStyle name="40% - Accent3 4 2 3 2 2 2 3 3" xfId="23254"/>
    <cellStyle name="40% - Accent3 4 2 3 2 2 2 4" xfId="23255"/>
    <cellStyle name="40% - Accent3 4 2 3 2 2 2 4 2" xfId="23256"/>
    <cellStyle name="40% - Accent3 4 2 3 2 2 2 5" xfId="23257"/>
    <cellStyle name="40% - Accent3 4 2 3 2 2 2 6" xfId="23258"/>
    <cellStyle name="40% - Accent3 4 2 3 2 2 3" xfId="23259"/>
    <cellStyle name="40% - Accent3 4 2 3 2 2 3 2" xfId="23260"/>
    <cellStyle name="40% - Accent3 4 2 3 2 2 3 2 2" xfId="23261"/>
    <cellStyle name="40% - Accent3 4 2 3 2 2 3 2 3" xfId="23262"/>
    <cellStyle name="40% - Accent3 4 2 3 2 2 3 3" xfId="23263"/>
    <cellStyle name="40% - Accent3 4 2 3 2 2 3 3 2" xfId="23264"/>
    <cellStyle name="40% - Accent3 4 2 3 2 2 3 3 3" xfId="23265"/>
    <cellStyle name="40% - Accent3 4 2 3 2 2 3 4" xfId="23266"/>
    <cellStyle name="40% - Accent3 4 2 3 2 2 3 4 2" xfId="23267"/>
    <cellStyle name="40% - Accent3 4 2 3 2 2 3 5" xfId="23268"/>
    <cellStyle name="40% - Accent3 4 2 3 2 2 3 6" xfId="23269"/>
    <cellStyle name="40% - Accent3 4 2 3 2 2 4" xfId="23270"/>
    <cellStyle name="40% - Accent3 4 2 3 2 2 4 2" xfId="23271"/>
    <cellStyle name="40% - Accent3 4 2 3 2 2 4 2 2" xfId="23272"/>
    <cellStyle name="40% - Accent3 4 2 3 2 2 4 2 3" xfId="23273"/>
    <cellStyle name="40% - Accent3 4 2 3 2 2 4 3" xfId="23274"/>
    <cellStyle name="40% - Accent3 4 2 3 2 2 4 3 2" xfId="23275"/>
    <cellStyle name="40% - Accent3 4 2 3 2 2 4 4" xfId="23276"/>
    <cellStyle name="40% - Accent3 4 2 3 2 2 4 5" xfId="23277"/>
    <cellStyle name="40% - Accent3 4 2 3 2 2 5" xfId="23278"/>
    <cellStyle name="40% - Accent3 4 2 3 2 2 5 2" xfId="23279"/>
    <cellStyle name="40% - Accent3 4 2 3 2 2 5 3" xfId="23280"/>
    <cellStyle name="40% - Accent3 4 2 3 2 2 6" xfId="23281"/>
    <cellStyle name="40% - Accent3 4 2 3 2 2 6 2" xfId="23282"/>
    <cellStyle name="40% - Accent3 4 2 3 2 2 6 3" xfId="23283"/>
    <cellStyle name="40% - Accent3 4 2 3 2 2 7" xfId="23284"/>
    <cellStyle name="40% - Accent3 4 2 3 2 2 7 2" xfId="23285"/>
    <cellStyle name="40% - Accent3 4 2 3 2 2 8" xfId="23286"/>
    <cellStyle name="40% - Accent3 4 2 3 2 2 9" xfId="23287"/>
    <cellStyle name="40% - Accent3 4 2 3 2 3" xfId="23288"/>
    <cellStyle name="40% - Accent3 4 2 3 2 3 2" xfId="23289"/>
    <cellStyle name="40% - Accent3 4 2 3 2 3 2 2" xfId="23290"/>
    <cellStyle name="40% - Accent3 4 2 3 2 3 2 3" xfId="23291"/>
    <cellStyle name="40% - Accent3 4 2 3 2 3 3" xfId="23292"/>
    <cellStyle name="40% - Accent3 4 2 3 2 3 3 2" xfId="23293"/>
    <cellStyle name="40% - Accent3 4 2 3 2 3 3 3" xfId="23294"/>
    <cellStyle name="40% - Accent3 4 2 3 2 3 4" xfId="23295"/>
    <cellStyle name="40% - Accent3 4 2 3 2 3 4 2" xfId="23296"/>
    <cellStyle name="40% - Accent3 4 2 3 2 3 5" xfId="23297"/>
    <cellStyle name="40% - Accent3 4 2 3 2 3 6" xfId="23298"/>
    <cellStyle name="40% - Accent3 4 2 3 2 4" xfId="23299"/>
    <cellStyle name="40% - Accent3 4 2 3 2 4 2" xfId="23300"/>
    <cellStyle name="40% - Accent3 4 2 3 2 4 2 2" xfId="23301"/>
    <cellStyle name="40% - Accent3 4 2 3 2 4 2 3" xfId="23302"/>
    <cellStyle name="40% - Accent3 4 2 3 2 4 3" xfId="23303"/>
    <cellStyle name="40% - Accent3 4 2 3 2 4 3 2" xfId="23304"/>
    <cellStyle name="40% - Accent3 4 2 3 2 4 3 3" xfId="23305"/>
    <cellStyle name="40% - Accent3 4 2 3 2 4 4" xfId="23306"/>
    <cellStyle name="40% - Accent3 4 2 3 2 4 4 2" xfId="23307"/>
    <cellStyle name="40% - Accent3 4 2 3 2 4 5" xfId="23308"/>
    <cellStyle name="40% - Accent3 4 2 3 2 4 6" xfId="23309"/>
    <cellStyle name="40% - Accent3 4 2 3 2 5" xfId="23310"/>
    <cellStyle name="40% - Accent3 4 2 3 2 5 2" xfId="23311"/>
    <cellStyle name="40% - Accent3 4 2 3 2 5 2 2" xfId="23312"/>
    <cellStyle name="40% - Accent3 4 2 3 2 5 2 3" xfId="23313"/>
    <cellStyle name="40% - Accent3 4 2 3 2 5 3" xfId="23314"/>
    <cellStyle name="40% - Accent3 4 2 3 2 5 3 2" xfId="23315"/>
    <cellStyle name="40% - Accent3 4 2 3 2 5 4" xfId="23316"/>
    <cellStyle name="40% - Accent3 4 2 3 2 5 5" xfId="23317"/>
    <cellStyle name="40% - Accent3 4 2 3 2 6" xfId="23318"/>
    <cellStyle name="40% - Accent3 4 2 3 2 6 2" xfId="23319"/>
    <cellStyle name="40% - Accent3 4 2 3 2 6 3" xfId="23320"/>
    <cellStyle name="40% - Accent3 4 2 3 2 7" xfId="23321"/>
    <cellStyle name="40% - Accent3 4 2 3 2 7 2" xfId="23322"/>
    <cellStyle name="40% - Accent3 4 2 3 2 7 3" xfId="23323"/>
    <cellStyle name="40% - Accent3 4 2 3 2 8" xfId="23324"/>
    <cellStyle name="40% - Accent3 4 2 3 2 8 2" xfId="23325"/>
    <cellStyle name="40% - Accent3 4 2 3 2 9" xfId="23326"/>
    <cellStyle name="40% - Accent3 4 2 3 3" xfId="2009"/>
    <cellStyle name="40% - Accent3 4 2 3 3 2" xfId="23327"/>
    <cellStyle name="40% - Accent3 4 2 3 3 2 2" xfId="23328"/>
    <cellStyle name="40% - Accent3 4 2 3 3 2 2 2" xfId="23329"/>
    <cellStyle name="40% - Accent3 4 2 3 3 2 2 3" xfId="23330"/>
    <cellStyle name="40% - Accent3 4 2 3 3 2 3" xfId="23331"/>
    <cellStyle name="40% - Accent3 4 2 3 3 2 3 2" xfId="23332"/>
    <cellStyle name="40% - Accent3 4 2 3 3 2 3 3" xfId="23333"/>
    <cellStyle name="40% - Accent3 4 2 3 3 2 4" xfId="23334"/>
    <cellStyle name="40% - Accent3 4 2 3 3 2 4 2" xfId="23335"/>
    <cellStyle name="40% - Accent3 4 2 3 3 2 5" xfId="23336"/>
    <cellStyle name="40% - Accent3 4 2 3 3 2 6" xfId="23337"/>
    <cellStyle name="40% - Accent3 4 2 3 3 3" xfId="23338"/>
    <cellStyle name="40% - Accent3 4 2 3 3 3 2" xfId="23339"/>
    <cellStyle name="40% - Accent3 4 2 3 3 3 2 2" xfId="23340"/>
    <cellStyle name="40% - Accent3 4 2 3 3 3 2 3" xfId="23341"/>
    <cellStyle name="40% - Accent3 4 2 3 3 3 3" xfId="23342"/>
    <cellStyle name="40% - Accent3 4 2 3 3 3 3 2" xfId="23343"/>
    <cellStyle name="40% - Accent3 4 2 3 3 3 3 3" xfId="23344"/>
    <cellStyle name="40% - Accent3 4 2 3 3 3 4" xfId="23345"/>
    <cellStyle name="40% - Accent3 4 2 3 3 3 4 2" xfId="23346"/>
    <cellStyle name="40% - Accent3 4 2 3 3 3 5" xfId="23347"/>
    <cellStyle name="40% - Accent3 4 2 3 3 3 6" xfId="23348"/>
    <cellStyle name="40% - Accent3 4 2 3 3 4" xfId="23349"/>
    <cellStyle name="40% - Accent3 4 2 3 3 4 2" xfId="23350"/>
    <cellStyle name="40% - Accent3 4 2 3 3 4 2 2" xfId="23351"/>
    <cellStyle name="40% - Accent3 4 2 3 3 4 2 3" xfId="23352"/>
    <cellStyle name="40% - Accent3 4 2 3 3 4 3" xfId="23353"/>
    <cellStyle name="40% - Accent3 4 2 3 3 4 3 2" xfId="23354"/>
    <cellStyle name="40% - Accent3 4 2 3 3 4 4" xfId="23355"/>
    <cellStyle name="40% - Accent3 4 2 3 3 4 5" xfId="23356"/>
    <cellStyle name="40% - Accent3 4 2 3 3 5" xfId="23357"/>
    <cellStyle name="40% - Accent3 4 2 3 3 5 2" xfId="23358"/>
    <cellStyle name="40% - Accent3 4 2 3 3 5 3" xfId="23359"/>
    <cellStyle name="40% - Accent3 4 2 3 3 6" xfId="23360"/>
    <cellStyle name="40% - Accent3 4 2 3 3 6 2" xfId="23361"/>
    <cellStyle name="40% - Accent3 4 2 3 3 6 3" xfId="23362"/>
    <cellStyle name="40% - Accent3 4 2 3 3 7" xfId="23363"/>
    <cellStyle name="40% - Accent3 4 2 3 3 7 2" xfId="23364"/>
    <cellStyle name="40% - Accent3 4 2 3 3 8" xfId="23365"/>
    <cellStyle name="40% - Accent3 4 2 3 3 9" xfId="23366"/>
    <cellStyle name="40% - Accent3 4 2 3 4" xfId="23367"/>
    <cellStyle name="40% - Accent3 4 2 3 4 2" xfId="23368"/>
    <cellStyle name="40% - Accent3 4 2 3 4 2 2" xfId="23369"/>
    <cellStyle name="40% - Accent3 4 2 3 4 2 2 2" xfId="23370"/>
    <cellStyle name="40% - Accent3 4 2 3 4 2 2 3" xfId="23371"/>
    <cellStyle name="40% - Accent3 4 2 3 4 2 3" xfId="23372"/>
    <cellStyle name="40% - Accent3 4 2 3 4 2 3 2" xfId="23373"/>
    <cellStyle name="40% - Accent3 4 2 3 4 2 3 3" xfId="23374"/>
    <cellStyle name="40% - Accent3 4 2 3 4 2 4" xfId="23375"/>
    <cellStyle name="40% - Accent3 4 2 3 4 2 4 2" xfId="23376"/>
    <cellStyle name="40% - Accent3 4 2 3 4 2 5" xfId="23377"/>
    <cellStyle name="40% - Accent3 4 2 3 4 2 6" xfId="23378"/>
    <cellStyle name="40% - Accent3 4 2 3 4 3" xfId="23379"/>
    <cellStyle name="40% - Accent3 4 2 3 4 3 2" xfId="23380"/>
    <cellStyle name="40% - Accent3 4 2 3 4 3 2 2" xfId="23381"/>
    <cellStyle name="40% - Accent3 4 2 3 4 3 2 3" xfId="23382"/>
    <cellStyle name="40% - Accent3 4 2 3 4 3 3" xfId="23383"/>
    <cellStyle name="40% - Accent3 4 2 3 4 3 3 2" xfId="23384"/>
    <cellStyle name="40% - Accent3 4 2 3 4 3 3 3" xfId="23385"/>
    <cellStyle name="40% - Accent3 4 2 3 4 3 4" xfId="23386"/>
    <cellStyle name="40% - Accent3 4 2 3 4 3 4 2" xfId="23387"/>
    <cellStyle name="40% - Accent3 4 2 3 4 3 5" xfId="23388"/>
    <cellStyle name="40% - Accent3 4 2 3 4 3 6" xfId="23389"/>
    <cellStyle name="40% - Accent3 4 2 3 4 4" xfId="23390"/>
    <cellStyle name="40% - Accent3 4 2 3 4 4 2" xfId="23391"/>
    <cellStyle name="40% - Accent3 4 2 3 4 4 2 2" xfId="23392"/>
    <cellStyle name="40% - Accent3 4 2 3 4 4 2 3" xfId="23393"/>
    <cellStyle name="40% - Accent3 4 2 3 4 4 3" xfId="23394"/>
    <cellStyle name="40% - Accent3 4 2 3 4 4 3 2" xfId="23395"/>
    <cellStyle name="40% - Accent3 4 2 3 4 4 4" xfId="23396"/>
    <cellStyle name="40% - Accent3 4 2 3 4 4 5" xfId="23397"/>
    <cellStyle name="40% - Accent3 4 2 3 4 5" xfId="23398"/>
    <cellStyle name="40% - Accent3 4 2 3 4 5 2" xfId="23399"/>
    <cellStyle name="40% - Accent3 4 2 3 4 5 3" xfId="23400"/>
    <cellStyle name="40% - Accent3 4 2 3 4 6" xfId="23401"/>
    <cellStyle name="40% - Accent3 4 2 3 4 6 2" xfId="23402"/>
    <cellStyle name="40% - Accent3 4 2 3 4 6 3" xfId="23403"/>
    <cellStyle name="40% - Accent3 4 2 3 4 7" xfId="23404"/>
    <cellStyle name="40% - Accent3 4 2 3 4 7 2" xfId="23405"/>
    <cellStyle name="40% - Accent3 4 2 3 4 8" xfId="23406"/>
    <cellStyle name="40% - Accent3 4 2 3 4 9" xfId="23407"/>
    <cellStyle name="40% - Accent3 4 2 3 5" xfId="23408"/>
    <cellStyle name="40% - Accent3 4 2 3 5 2" xfId="23409"/>
    <cellStyle name="40% - Accent3 4 2 3 5 2 2" xfId="23410"/>
    <cellStyle name="40% - Accent3 4 2 3 5 2 3" xfId="23411"/>
    <cellStyle name="40% - Accent3 4 2 3 5 3" xfId="23412"/>
    <cellStyle name="40% - Accent3 4 2 3 5 3 2" xfId="23413"/>
    <cellStyle name="40% - Accent3 4 2 3 5 3 3" xfId="23414"/>
    <cellStyle name="40% - Accent3 4 2 3 5 4" xfId="23415"/>
    <cellStyle name="40% - Accent3 4 2 3 5 4 2" xfId="23416"/>
    <cellStyle name="40% - Accent3 4 2 3 5 5" xfId="23417"/>
    <cellStyle name="40% - Accent3 4 2 3 5 6" xfId="23418"/>
    <cellStyle name="40% - Accent3 4 2 3 6" xfId="23419"/>
    <cellStyle name="40% - Accent3 4 2 3 6 2" xfId="23420"/>
    <cellStyle name="40% - Accent3 4 2 3 6 2 2" xfId="23421"/>
    <cellStyle name="40% - Accent3 4 2 3 6 2 3" xfId="23422"/>
    <cellStyle name="40% - Accent3 4 2 3 6 3" xfId="23423"/>
    <cellStyle name="40% - Accent3 4 2 3 6 3 2" xfId="23424"/>
    <cellStyle name="40% - Accent3 4 2 3 6 3 3" xfId="23425"/>
    <cellStyle name="40% - Accent3 4 2 3 6 4" xfId="23426"/>
    <cellStyle name="40% - Accent3 4 2 3 6 4 2" xfId="23427"/>
    <cellStyle name="40% - Accent3 4 2 3 6 5" xfId="23428"/>
    <cellStyle name="40% - Accent3 4 2 3 6 6" xfId="23429"/>
    <cellStyle name="40% - Accent3 4 2 3 7" xfId="23430"/>
    <cellStyle name="40% - Accent3 4 2 3 7 2" xfId="23431"/>
    <cellStyle name="40% - Accent3 4 2 3 7 2 2" xfId="23432"/>
    <cellStyle name="40% - Accent3 4 2 3 7 2 3" xfId="23433"/>
    <cellStyle name="40% - Accent3 4 2 3 7 3" xfId="23434"/>
    <cellStyle name="40% - Accent3 4 2 3 7 3 2" xfId="23435"/>
    <cellStyle name="40% - Accent3 4 2 3 7 4" xfId="23436"/>
    <cellStyle name="40% - Accent3 4 2 3 7 5" xfId="23437"/>
    <cellStyle name="40% - Accent3 4 2 3 8" xfId="23438"/>
    <cellStyle name="40% - Accent3 4 2 3 8 2" xfId="23439"/>
    <cellStyle name="40% - Accent3 4 2 3 8 3" xfId="23440"/>
    <cellStyle name="40% - Accent3 4 2 3 9" xfId="23441"/>
    <cellStyle name="40% - Accent3 4 2 3 9 2" xfId="23442"/>
    <cellStyle name="40% - Accent3 4 2 3 9 3" xfId="23443"/>
    <cellStyle name="40% - Accent3 4 2 4" xfId="2010"/>
    <cellStyle name="40% - Accent3 4 2 4 10" xfId="23444"/>
    <cellStyle name="40% - Accent3 4 2 4 2" xfId="2011"/>
    <cellStyle name="40% - Accent3 4 2 4 2 2" xfId="23445"/>
    <cellStyle name="40% - Accent3 4 2 4 2 2 2" xfId="23446"/>
    <cellStyle name="40% - Accent3 4 2 4 2 2 2 2" xfId="23447"/>
    <cellStyle name="40% - Accent3 4 2 4 2 2 2 3" xfId="23448"/>
    <cellStyle name="40% - Accent3 4 2 4 2 2 3" xfId="23449"/>
    <cellStyle name="40% - Accent3 4 2 4 2 2 3 2" xfId="23450"/>
    <cellStyle name="40% - Accent3 4 2 4 2 2 3 3" xfId="23451"/>
    <cellStyle name="40% - Accent3 4 2 4 2 2 4" xfId="23452"/>
    <cellStyle name="40% - Accent3 4 2 4 2 2 4 2" xfId="23453"/>
    <cellStyle name="40% - Accent3 4 2 4 2 2 5" xfId="23454"/>
    <cellStyle name="40% - Accent3 4 2 4 2 2 6" xfId="23455"/>
    <cellStyle name="40% - Accent3 4 2 4 2 3" xfId="23456"/>
    <cellStyle name="40% - Accent3 4 2 4 2 3 2" xfId="23457"/>
    <cellStyle name="40% - Accent3 4 2 4 2 3 2 2" xfId="23458"/>
    <cellStyle name="40% - Accent3 4 2 4 2 3 2 3" xfId="23459"/>
    <cellStyle name="40% - Accent3 4 2 4 2 3 3" xfId="23460"/>
    <cellStyle name="40% - Accent3 4 2 4 2 3 3 2" xfId="23461"/>
    <cellStyle name="40% - Accent3 4 2 4 2 3 3 3" xfId="23462"/>
    <cellStyle name="40% - Accent3 4 2 4 2 3 4" xfId="23463"/>
    <cellStyle name="40% - Accent3 4 2 4 2 3 4 2" xfId="23464"/>
    <cellStyle name="40% - Accent3 4 2 4 2 3 5" xfId="23465"/>
    <cellStyle name="40% - Accent3 4 2 4 2 3 6" xfId="23466"/>
    <cellStyle name="40% - Accent3 4 2 4 2 4" xfId="23467"/>
    <cellStyle name="40% - Accent3 4 2 4 2 4 2" xfId="23468"/>
    <cellStyle name="40% - Accent3 4 2 4 2 4 2 2" xfId="23469"/>
    <cellStyle name="40% - Accent3 4 2 4 2 4 2 3" xfId="23470"/>
    <cellStyle name="40% - Accent3 4 2 4 2 4 3" xfId="23471"/>
    <cellStyle name="40% - Accent3 4 2 4 2 4 3 2" xfId="23472"/>
    <cellStyle name="40% - Accent3 4 2 4 2 4 4" xfId="23473"/>
    <cellStyle name="40% - Accent3 4 2 4 2 4 5" xfId="23474"/>
    <cellStyle name="40% - Accent3 4 2 4 2 5" xfId="23475"/>
    <cellStyle name="40% - Accent3 4 2 4 2 5 2" xfId="23476"/>
    <cellStyle name="40% - Accent3 4 2 4 2 5 3" xfId="23477"/>
    <cellStyle name="40% - Accent3 4 2 4 2 6" xfId="23478"/>
    <cellStyle name="40% - Accent3 4 2 4 2 6 2" xfId="23479"/>
    <cellStyle name="40% - Accent3 4 2 4 2 6 3" xfId="23480"/>
    <cellStyle name="40% - Accent3 4 2 4 2 7" xfId="23481"/>
    <cellStyle name="40% - Accent3 4 2 4 2 7 2" xfId="23482"/>
    <cellStyle name="40% - Accent3 4 2 4 2 8" xfId="23483"/>
    <cellStyle name="40% - Accent3 4 2 4 2 9" xfId="23484"/>
    <cellStyle name="40% - Accent3 4 2 4 3" xfId="23485"/>
    <cellStyle name="40% - Accent3 4 2 4 3 2" xfId="23486"/>
    <cellStyle name="40% - Accent3 4 2 4 3 2 2" xfId="23487"/>
    <cellStyle name="40% - Accent3 4 2 4 3 2 3" xfId="23488"/>
    <cellStyle name="40% - Accent3 4 2 4 3 3" xfId="23489"/>
    <cellStyle name="40% - Accent3 4 2 4 3 3 2" xfId="23490"/>
    <cellStyle name="40% - Accent3 4 2 4 3 3 3" xfId="23491"/>
    <cellStyle name="40% - Accent3 4 2 4 3 4" xfId="23492"/>
    <cellStyle name="40% - Accent3 4 2 4 3 4 2" xfId="23493"/>
    <cellStyle name="40% - Accent3 4 2 4 3 5" xfId="23494"/>
    <cellStyle name="40% - Accent3 4 2 4 3 6" xfId="23495"/>
    <cellStyle name="40% - Accent3 4 2 4 4" xfId="23496"/>
    <cellStyle name="40% - Accent3 4 2 4 4 2" xfId="23497"/>
    <cellStyle name="40% - Accent3 4 2 4 4 2 2" xfId="23498"/>
    <cellStyle name="40% - Accent3 4 2 4 4 2 3" xfId="23499"/>
    <cellStyle name="40% - Accent3 4 2 4 4 3" xfId="23500"/>
    <cellStyle name="40% - Accent3 4 2 4 4 3 2" xfId="23501"/>
    <cellStyle name="40% - Accent3 4 2 4 4 3 3" xfId="23502"/>
    <cellStyle name="40% - Accent3 4 2 4 4 4" xfId="23503"/>
    <cellStyle name="40% - Accent3 4 2 4 4 4 2" xfId="23504"/>
    <cellStyle name="40% - Accent3 4 2 4 4 5" xfId="23505"/>
    <cellStyle name="40% - Accent3 4 2 4 4 6" xfId="23506"/>
    <cellStyle name="40% - Accent3 4 2 4 5" xfId="23507"/>
    <cellStyle name="40% - Accent3 4 2 4 5 2" xfId="23508"/>
    <cellStyle name="40% - Accent3 4 2 4 5 2 2" xfId="23509"/>
    <cellStyle name="40% - Accent3 4 2 4 5 2 3" xfId="23510"/>
    <cellStyle name="40% - Accent3 4 2 4 5 3" xfId="23511"/>
    <cellStyle name="40% - Accent3 4 2 4 5 3 2" xfId="23512"/>
    <cellStyle name="40% - Accent3 4 2 4 5 4" xfId="23513"/>
    <cellStyle name="40% - Accent3 4 2 4 5 5" xfId="23514"/>
    <cellStyle name="40% - Accent3 4 2 4 6" xfId="23515"/>
    <cellStyle name="40% - Accent3 4 2 4 6 2" xfId="23516"/>
    <cellStyle name="40% - Accent3 4 2 4 6 3" xfId="23517"/>
    <cellStyle name="40% - Accent3 4 2 4 7" xfId="23518"/>
    <cellStyle name="40% - Accent3 4 2 4 7 2" xfId="23519"/>
    <cellStyle name="40% - Accent3 4 2 4 7 3" xfId="23520"/>
    <cellStyle name="40% - Accent3 4 2 4 8" xfId="23521"/>
    <cellStyle name="40% - Accent3 4 2 4 8 2" xfId="23522"/>
    <cellStyle name="40% - Accent3 4 2 4 9" xfId="23523"/>
    <cellStyle name="40% - Accent3 4 2 5" xfId="2012"/>
    <cellStyle name="40% - Accent3 4 2 5 2" xfId="23524"/>
    <cellStyle name="40% - Accent3 4 2 5 2 2" xfId="23525"/>
    <cellStyle name="40% - Accent3 4 2 5 2 2 2" xfId="23526"/>
    <cellStyle name="40% - Accent3 4 2 5 2 2 3" xfId="23527"/>
    <cellStyle name="40% - Accent3 4 2 5 2 3" xfId="23528"/>
    <cellStyle name="40% - Accent3 4 2 5 2 3 2" xfId="23529"/>
    <cellStyle name="40% - Accent3 4 2 5 2 3 3" xfId="23530"/>
    <cellStyle name="40% - Accent3 4 2 5 2 4" xfId="23531"/>
    <cellStyle name="40% - Accent3 4 2 5 2 4 2" xfId="23532"/>
    <cellStyle name="40% - Accent3 4 2 5 2 5" xfId="23533"/>
    <cellStyle name="40% - Accent3 4 2 5 2 6" xfId="23534"/>
    <cellStyle name="40% - Accent3 4 2 5 3" xfId="23535"/>
    <cellStyle name="40% - Accent3 4 2 5 3 2" xfId="23536"/>
    <cellStyle name="40% - Accent3 4 2 5 3 2 2" xfId="23537"/>
    <cellStyle name="40% - Accent3 4 2 5 3 2 3" xfId="23538"/>
    <cellStyle name="40% - Accent3 4 2 5 3 3" xfId="23539"/>
    <cellStyle name="40% - Accent3 4 2 5 3 3 2" xfId="23540"/>
    <cellStyle name="40% - Accent3 4 2 5 3 3 3" xfId="23541"/>
    <cellStyle name="40% - Accent3 4 2 5 3 4" xfId="23542"/>
    <cellStyle name="40% - Accent3 4 2 5 3 4 2" xfId="23543"/>
    <cellStyle name="40% - Accent3 4 2 5 3 5" xfId="23544"/>
    <cellStyle name="40% - Accent3 4 2 5 3 6" xfId="23545"/>
    <cellStyle name="40% - Accent3 4 2 5 4" xfId="23546"/>
    <cellStyle name="40% - Accent3 4 2 5 4 2" xfId="23547"/>
    <cellStyle name="40% - Accent3 4 2 5 4 2 2" xfId="23548"/>
    <cellStyle name="40% - Accent3 4 2 5 4 2 3" xfId="23549"/>
    <cellStyle name="40% - Accent3 4 2 5 4 3" xfId="23550"/>
    <cellStyle name="40% - Accent3 4 2 5 4 3 2" xfId="23551"/>
    <cellStyle name="40% - Accent3 4 2 5 4 4" xfId="23552"/>
    <cellStyle name="40% - Accent3 4 2 5 4 5" xfId="23553"/>
    <cellStyle name="40% - Accent3 4 2 5 5" xfId="23554"/>
    <cellStyle name="40% - Accent3 4 2 5 5 2" xfId="23555"/>
    <cellStyle name="40% - Accent3 4 2 5 5 3" xfId="23556"/>
    <cellStyle name="40% - Accent3 4 2 5 6" xfId="23557"/>
    <cellStyle name="40% - Accent3 4 2 5 6 2" xfId="23558"/>
    <cellStyle name="40% - Accent3 4 2 5 6 3" xfId="23559"/>
    <cellStyle name="40% - Accent3 4 2 5 7" xfId="23560"/>
    <cellStyle name="40% - Accent3 4 2 5 7 2" xfId="23561"/>
    <cellStyle name="40% - Accent3 4 2 5 8" xfId="23562"/>
    <cellStyle name="40% - Accent3 4 2 5 9" xfId="23563"/>
    <cellStyle name="40% - Accent3 4 2 6" xfId="23564"/>
    <cellStyle name="40% - Accent3 4 2 6 2" xfId="23565"/>
    <cellStyle name="40% - Accent3 4 2 6 2 2" xfId="23566"/>
    <cellStyle name="40% - Accent3 4 2 6 2 2 2" xfId="23567"/>
    <cellStyle name="40% - Accent3 4 2 6 2 2 3" xfId="23568"/>
    <cellStyle name="40% - Accent3 4 2 6 2 3" xfId="23569"/>
    <cellStyle name="40% - Accent3 4 2 6 2 3 2" xfId="23570"/>
    <cellStyle name="40% - Accent3 4 2 6 2 3 3" xfId="23571"/>
    <cellStyle name="40% - Accent3 4 2 6 2 4" xfId="23572"/>
    <cellStyle name="40% - Accent3 4 2 6 2 4 2" xfId="23573"/>
    <cellStyle name="40% - Accent3 4 2 6 2 5" xfId="23574"/>
    <cellStyle name="40% - Accent3 4 2 6 2 6" xfId="23575"/>
    <cellStyle name="40% - Accent3 4 2 6 3" xfId="23576"/>
    <cellStyle name="40% - Accent3 4 2 6 3 2" xfId="23577"/>
    <cellStyle name="40% - Accent3 4 2 6 3 2 2" xfId="23578"/>
    <cellStyle name="40% - Accent3 4 2 6 3 2 3" xfId="23579"/>
    <cellStyle name="40% - Accent3 4 2 6 3 3" xfId="23580"/>
    <cellStyle name="40% - Accent3 4 2 6 3 3 2" xfId="23581"/>
    <cellStyle name="40% - Accent3 4 2 6 3 3 3" xfId="23582"/>
    <cellStyle name="40% - Accent3 4 2 6 3 4" xfId="23583"/>
    <cellStyle name="40% - Accent3 4 2 6 3 4 2" xfId="23584"/>
    <cellStyle name="40% - Accent3 4 2 6 3 5" xfId="23585"/>
    <cellStyle name="40% - Accent3 4 2 6 3 6" xfId="23586"/>
    <cellStyle name="40% - Accent3 4 2 6 4" xfId="23587"/>
    <cellStyle name="40% - Accent3 4 2 6 4 2" xfId="23588"/>
    <cellStyle name="40% - Accent3 4 2 6 4 2 2" xfId="23589"/>
    <cellStyle name="40% - Accent3 4 2 6 4 2 3" xfId="23590"/>
    <cellStyle name="40% - Accent3 4 2 6 4 3" xfId="23591"/>
    <cellStyle name="40% - Accent3 4 2 6 4 3 2" xfId="23592"/>
    <cellStyle name="40% - Accent3 4 2 6 4 4" xfId="23593"/>
    <cellStyle name="40% - Accent3 4 2 6 4 5" xfId="23594"/>
    <cellStyle name="40% - Accent3 4 2 6 5" xfId="23595"/>
    <cellStyle name="40% - Accent3 4 2 6 5 2" xfId="23596"/>
    <cellStyle name="40% - Accent3 4 2 6 5 3" xfId="23597"/>
    <cellStyle name="40% - Accent3 4 2 6 6" xfId="23598"/>
    <cellStyle name="40% - Accent3 4 2 6 6 2" xfId="23599"/>
    <cellStyle name="40% - Accent3 4 2 6 6 3" xfId="23600"/>
    <cellStyle name="40% - Accent3 4 2 6 7" xfId="23601"/>
    <cellStyle name="40% - Accent3 4 2 6 7 2" xfId="23602"/>
    <cellStyle name="40% - Accent3 4 2 6 8" xfId="23603"/>
    <cellStyle name="40% - Accent3 4 2 6 9" xfId="23604"/>
    <cellStyle name="40% - Accent3 4 2 7" xfId="23605"/>
    <cellStyle name="40% - Accent3 4 2 7 2" xfId="23606"/>
    <cellStyle name="40% - Accent3 4 2 7 2 2" xfId="23607"/>
    <cellStyle name="40% - Accent3 4 2 7 2 3" xfId="23608"/>
    <cellStyle name="40% - Accent3 4 2 7 3" xfId="23609"/>
    <cellStyle name="40% - Accent3 4 2 7 3 2" xfId="23610"/>
    <cellStyle name="40% - Accent3 4 2 7 3 3" xfId="23611"/>
    <cellStyle name="40% - Accent3 4 2 7 4" xfId="23612"/>
    <cellStyle name="40% - Accent3 4 2 7 4 2" xfId="23613"/>
    <cellStyle name="40% - Accent3 4 2 7 5" xfId="23614"/>
    <cellStyle name="40% - Accent3 4 2 7 6" xfId="23615"/>
    <cellStyle name="40% - Accent3 4 2 8" xfId="23616"/>
    <cellStyle name="40% - Accent3 4 2 8 2" xfId="23617"/>
    <cellStyle name="40% - Accent3 4 2 8 2 2" xfId="23618"/>
    <cellStyle name="40% - Accent3 4 2 8 2 3" xfId="23619"/>
    <cellStyle name="40% - Accent3 4 2 8 3" xfId="23620"/>
    <cellStyle name="40% - Accent3 4 2 8 3 2" xfId="23621"/>
    <cellStyle name="40% - Accent3 4 2 8 3 3" xfId="23622"/>
    <cellStyle name="40% - Accent3 4 2 8 4" xfId="23623"/>
    <cellStyle name="40% - Accent3 4 2 8 4 2" xfId="23624"/>
    <cellStyle name="40% - Accent3 4 2 8 5" xfId="23625"/>
    <cellStyle name="40% - Accent3 4 2 8 6" xfId="23626"/>
    <cellStyle name="40% - Accent3 4 2 9" xfId="23627"/>
    <cellStyle name="40% - Accent3 4 2 9 2" xfId="23628"/>
    <cellStyle name="40% - Accent3 4 2 9 2 2" xfId="23629"/>
    <cellStyle name="40% - Accent3 4 2 9 2 3" xfId="23630"/>
    <cellStyle name="40% - Accent3 4 2 9 3" xfId="23631"/>
    <cellStyle name="40% - Accent3 4 2 9 3 2" xfId="23632"/>
    <cellStyle name="40% - Accent3 4 2 9 4" xfId="23633"/>
    <cellStyle name="40% - Accent3 4 2 9 5" xfId="23634"/>
    <cellStyle name="40% - Accent3 4 3" xfId="2013"/>
    <cellStyle name="40% - Accent3 4 3 10" xfId="23635"/>
    <cellStyle name="40% - Accent3 4 3 10 2" xfId="23636"/>
    <cellStyle name="40% - Accent3 4 3 10 3" xfId="23637"/>
    <cellStyle name="40% - Accent3 4 3 11" xfId="23638"/>
    <cellStyle name="40% - Accent3 4 3 11 2" xfId="23639"/>
    <cellStyle name="40% - Accent3 4 3 12" xfId="23640"/>
    <cellStyle name="40% - Accent3 4 3 13" xfId="23641"/>
    <cellStyle name="40% - Accent3 4 3 14" xfId="23642"/>
    <cellStyle name="40% - Accent3 4 3 2" xfId="2014"/>
    <cellStyle name="40% - Accent3 4 3 2 10" xfId="23643"/>
    <cellStyle name="40% - Accent3 4 3 2 10 2" xfId="23644"/>
    <cellStyle name="40% - Accent3 4 3 2 11" xfId="23645"/>
    <cellStyle name="40% - Accent3 4 3 2 12" xfId="23646"/>
    <cellStyle name="40% - Accent3 4 3 2 2" xfId="2015"/>
    <cellStyle name="40% - Accent3 4 3 2 2 10" xfId="23647"/>
    <cellStyle name="40% - Accent3 4 3 2 2 2" xfId="2016"/>
    <cellStyle name="40% - Accent3 4 3 2 2 2 2" xfId="23648"/>
    <cellStyle name="40% - Accent3 4 3 2 2 2 2 2" xfId="23649"/>
    <cellStyle name="40% - Accent3 4 3 2 2 2 2 2 2" xfId="23650"/>
    <cellStyle name="40% - Accent3 4 3 2 2 2 2 2 3" xfId="23651"/>
    <cellStyle name="40% - Accent3 4 3 2 2 2 2 3" xfId="23652"/>
    <cellStyle name="40% - Accent3 4 3 2 2 2 2 3 2" xfId="23653"/>
    <cellStyle name="40% - Accent3 4 3 2 2 2 2 3 3" xfId="23654"/>
    <cellStyle name="40% - Accent3 4 3 2 2 2 2 4" xfId="23655"/>
    <cellStyle name="40% - Accent3 4 3 2 2 2 2 4 2" xfId="23656"/>
    <cellStyle name="40% - Accent3 4 3 2 2 2 2 5" xfId="23657"/>
    <cellStyle name="40% - Accent3 4 3 2 2 2 2 6" xfId="23658"/>
    <cellStyle name="40% - Accent3 4 3 2 2 2 3" xfId="23659"/>
    <cellStyle name="40% - Accent3 4 3 2 2 2 3 2" xfId="23660"/>
    <cellStyle name="40% - Accent3 4 3 2 2 2 3 2 2" xfId="23661"/>
    <cellStyle name="40% - Accent3 4 3 2 2 2 3 2 3" xfId="23662"/>
    <cellStyle name="40% - Accent3 4 3 2 2 2 3 3" xfId="23663"/>
    <cellStyle name="40% - Accent3 4 3 2 2 2 3 3 2" xfId="23664"/>
    <cellStyle name="40% - Accent3 4 3 2 2 2 3 3 3" xfId="23665"/>
    <cellStyle name="40% - Accent3 4 3 2 2 2 3 4" xfId="23666"/>
    <cellStyle name="40% - Accent3 4 3 2 2 2 3 4 2" xfId="23667"/>
    <cellStyle name="40% - Accent3 4 3 2 2 2 3 5" xfId="23668"/>
    <cellStyle name="40% - Accent3 4 3 2 2 2 3 6" xfId="23669"/>
    <cellStyle name="40% - Accent3 4 3 2 2 2 4" xfId="23670"/>
    <cellStyle name="40% - Accent3 4 3 2 2 2 4 2" xfId="23671"/>
    <cellStyle name="40% - Accent3 4 3 2 2 2 4 2 2" xfId="23672"/>
    <cellStyle name="40% - Accent3 4 3 2 2 2 4 2 3" xfId="23673"/>
    <cellStyle name="40% - Accent3 4 3 2 2 2 4 3" xfId="23674"/>
    <cellStyle name="40% - Accent3 4 3 2 2 2 4 3 2" xfId="23675"/>
    <cellStyle name="40% - Accent3 4 3 2 2 2 4 4" xfId="23676"/>
    <cellStyle name="40% - Accent3 4 3 2 2 2 4 5" xfId="23677"/>
    <cellStyle name="40% - Accent3 4 3 2 2 2 5" xfId="23678"/>
    <cellStyle name="40% - Accent3 4 3 2 2 2 5 2" xfId="23679"/>
    <cellStyle name="40% - Accent3 4 3 2 2 2 5 3" xfId="23680"/>
    <cellStyle name="40% - Accent3 4 3 2 2 2 6" xfId="23681"/>
    <cellStyle name="40% - Accent3 4 3 2 2 2 6 2" xfId="23682"/>
    <cellStyle name="40% - Accent3 4 3 2 2 2 6 3" xfId="23683"/>
    <cellStyle name="40% - Accent3 4 3 2 2 2 7" xfId="23684"/>
    <cellStyle name="40% - Accent3 4 3 2 2 2 7 2" xfId="23685"/>
    <cellStyle name="40% - Accent3 4 3 2 2 2 8" xfId="23686"/>
    <cellStyle name="40% - Accent3 4 3 2 2 2 9" xfId="23687"/>
    <cellStyle name="40% - Accent3 4 3 2 2 3" xfId="23688"/>
    <cellStyle name="40% - Accent3 4 3 2 2 3 2" xfId="23689"/>
    <cellStyle name="40% - Accent3 4 3 2 2 3 2 2" xfId="23690"/>
    <cellStyle name="40% - Accent3 4 3 2 2 3 2 3" xfId="23691"/>
    <cellStyle name="40% - Accent3 4 3 2 2 3 3" xfId="23692"/>
    <cellStyle name="40% - Accent3 4 3 2 2 3 3 2" xfId="23693"/>
    <cellStyle name="40% - Accent3 4 3 2 2 3 3 3" xfId="23694"/>
    <cellStyle name="40% - Accent3 4 3 2 2 3 4" xfId="23695"/>
    <cellStyle name="40% - Accent3 4 3 2 2 3 4 2" xfId="23696"/>
    <cellStyle name="40% - Accent3 4 3 2 2 3 5" xfId="23697"/>
    <cellStyle name="40% - Accent3 4 3 2 2 3 6" xfId="23698"/>
    <cellStyle name="40% - Accent3 4 3 2 2 4" xfId="23699"/>
    <cellStyle name="40% - Accent3 4 3 2 2 4 2" xfId="23700"/>
    <cellStyle name="40% - Accent3 4 3 2 2 4 2 2" xfId="23701"/>
    <cellStyle name="40% - Accent3 4 3 2 2 4 2 3" xfId="23702"/>
    <cellStyle name="40% - Accent3 4 3 2 2 4 3" xfId="23703"/>
    <cellStyle name="40% - Accent3 4 3 2 2 4 3 2" xfId="23704"/>
    <cellStyle name="40% - Accent3 4 3 2 2 4 3 3" xfId="23705"/>
    <cellStyle name="40% - Accent3 4 3 2 2 4 4" xfId="23706"/>
    <cellStyle name="40% - Accent3 4 3 2 2 4 4 2" xfId="23707"/>
    <cellStyle name="40% - Accent3 4 3 2 2 4 5" xfId="23708"/>
    <cellStyle name="40% - Accent3 4 3 2 2 4 6" xfId="23709"/>
    <cellStyle name="40% - Accent3 4 3 2 2 5" xfId="23710"/>
    <cellStyle name="40% - Accent3 4 3 2 2 5 2" xfId="23711"/>
    <cellStyle name="40% - Accent3 4 3 2 2 5 2 2" xfId="23712"/>
    <cellStyle name="40% - Accent3 4 3 2 2 5 2 3" xfId="23713"/>
    <cellStyle name="40% - Accent3 4 3 2 2 5 3" xfId="23714"/>
    <cellStyle name="40% - Accent3 4 3 2 2 5 3 2" xfId="23715"/>
    <cellStyle name="40% - Accent3 4 3 2 2 5 4" xfId="23716"/>
    <cellStyle name="40% - Accent3 4 3 2 2 5 5" xfId="23717"/>
    <cellStyle name="40% - Accent3 4 3 2 2 6" xfId="23718"/>
    <cellStyle name="40% - Accent3 4 3 2 2 6 2" xfId="23719"/>
    <cellStyle name="40% - Accent3 4 3 2 2 6 3" xfId="23720"/>
    <cellStyle name="40% - Accent3 4 3 2 2 7" xfId="23721"/>
    <cellStyle name="40% - Accent3 4 3 2 2 7 2" xfId="23722"/>
    <cellStyle name="40% - Accent3 4 3 2 2 7 3" xfId="23723"/>
    <cellStyle name="40% - Accent3 4 3 2 2 8" xfId="23724"/>
    <cellStyle name="40% - Accent3 4 3 2 2 8 2" xfId="23725"/>
    <cellStyle name="40% - Accent3 4 3 2 2 9" xfId="23726"/>
    <cellStyle name="40% - Accent3 4 3 2 3" xfId="2017"/>
    <cellStyle name="40% - Accent3 4 3 2 3 2" xfId="23727"/>
    <cellStyle name="40% - Accent3 4 3 2 3 2 2" xfId="23728"/>
    <cellStyle name="40% - Accent3 4 3 2 3 2 2 2" xfId="23729"/>
    <cellStyle name="40% - Accent3 4 3 2 3 2 2 3" xfId="23730"/>
    <cellStyle name="40% - Accent3 4 3 2 3 2 3" xfId="23731"/>
    <cellStyle name="40% - Accent3 4 3 2 3 2 3 2" xfId="23732"/>
    <cellStyle name="40% - Accent3 4 3 2 3 2 3 3" xfId="23733"/>
    <cellStyle name="40% - Accent3 4 3 2 3 2 4" xfId="23734"/>
    <cellStyle name="40% - Accent3 4 3 2 3 2 4 2" xfId="23735"/>
    <cellStyle name="40% - Accent3 4 3 2 3 2 5" xfId="23736"/>
    <cellStyle name="40% - Accent3 4 3 2 3 2 6" xfId="23737"/>
    <cellStyle name="40% - Accent3 4 3 2 3 3" xfId="23738"/>
    <cellStyle name="40% - Accent3 4 3 2 3 3 2" xfId="23739"/>
    <cellStyle name="40% - Accent3 4 3 2 3 3 2 2" xfId="23740"/>
    <cellStyle name="40% - Accent3 4 3 2 3 3 2 3" xfId="23741"/>
    <cellStyle name="40% - Accent3 4 3 2 3 3 3" xfId="23742"/>
    <cellStyle name="40% - Accent3 4 3 2 3 3 3 2" xfId="23743"/>
    <cellStyle name="40% - Accent3 4 3 2 3 3 3 3" xfId="23744"/>
    <cellStyle name="40% - Accent3 4 3 2 3 3 4" xfId="23745"/>
    <cellStyle name="40% - Accent3 4 3 2 3 3 4 2" xfId="23746"/>
    <cellStyle name="40% - Accent3 4 3 2 3 3 5" xfId="23747"/>
    <cellStyle name="40% - Accent3 4 3 2 3 3 6" xfId="23748"/>
    <cellStyle name="40% - Accent3 4 3 2 3 4" xfId="23749"/>
    <cellStyle name="40% - Accent3 4 3 2 3 4 2" xfId="23750"/>
    <cellStyle name="40% - Accent3 4 3 2 3 4 2 2" xfId="23751"/>
    <cellStyle name="40% - Accent3 4 3 2 3 4 2 3" xfId="23752"/>
    <cellStyle name="40% - Accent3 4 3 2 3 4 3" xfId="23753"/>
    <cellStyle name="40% - Accent3 4 3 2 3 4 3 2" xfId="23754"/>
    <cellStyle name="40% - Accent3 4 3 2 3 4 4" xfId="23755"/>
    <cellStyle name="40% - Accent3 4 3 2 3 4 5" xfId="23756"/>
    <cellStyle name="40% - Accent3 4 3 2 3 5" xfId="23757"/>
    <cellStyle name="40% - Accent3 4 3 2 3 5 2" xfId="23758"/>
    <cellStyle name="40% - Accent3 4 3 2 3 5 3" xfId="23759"/>
    <cellStyle name="40% - Accent3 4 3 2 3 6" xfId="23760"/>
    <cellStyle name="40% - Accent3 4 3 2 3 6 2" xfId="23761"/>
    <cellStyle name="40% - Accent3 4 3 2 3 6 3" xfId="23762"/>
    <cellStyle name="40% - Accent3 4 3 2 3 7" xfId="23763"/>
    <cellStyle name="40% - Accent3 4 3 2 3 7 2" xfId="23764"/>
    <cellStyle name="40% - Accent3 4 3 2 3 8" xfId="23765"/>
    <cellStyle name="40% - Accent3 4 3 2 3 9" xfId="23766"/>
    <cellStyle name="40% - Accent3 4 3 2 4" xfId="23767"/>
    <cellStyle name="40% - Accent3 4 3 2 4 2" xfId="23768"/>
    <cellStyle name="40% - Accent3 4 3 2 4 2 2" xfId="23769"/>
    <cellStyle name="40% - Accent3 4 3 2 4 2 2 2" xfId="23770"/>
    <cellStyle name="40% - Accent3 4 3 2 4 2 2 3" xfId="23771"/>
    <cellStyle name="40% - Accent3 4 3 2 4 2 3" xfId="23772"/>
    <cellStyle name="40% - Accent3 4 3 2 4 2 3 2" xfId="23773"/>
    <cellStyle name="40% - Accent3 4 3 2 4 2 3 3" xfId="23774"/>
    <cellStyle name="40% - Accent3 4 3 2 4 2 4" xfId="23775"/>
    <cellStyle name="40% - Accent3 4 3 2 4 2 4 2" xfId="23776"/>
    <cellStyle name="40% - Accent3 4 3 2 4 2 5" xfId="23777"/>
    <cellStyle name="40% - Accent3 4 3 2 4 2 6" xfId="23778"/>
    <cellStyle name="40% - Accent3 4 3 2 4 3" xfId="23779"/>
    <cellStyle name="40% - Accent3 4 3 2 4 3 2" xfId="23780"/>
    <cellStyle name="40% - Accent3 4 3 2 4 3 2 2" xfId="23781"/>
    <cellStyle name="40% - Accent3 4 3 2 4 3 2 3" xfId="23782"/>
    <cellStyle name="40% - Accent3 4 3 2 4 3 3" xfId="23783"/>
    <cellStyle name="40% - Accent3 4 3 2 4 3 3 2" xfId="23784"/>
    <cellStyle name="40% - Accent3 4 3 2 4 3 3 3" xfId="23785"/>
    <cellStyle name="40% - Accent3 4 3 2 4 3 4" xfId="23786"/>
    <cellStyle name="40% - Accent3 4 3 2 4 3 4 2" xfId="23787"/>
    <cellStyle name="40% - Accent3 4 3 2 4 3 5" xfId="23788"/>
    <cellStyle name="40% - Accent3 4 3 2 4 3 6" xfId="23789"/>
    <cellStyle name="40% - Accent3 4 3 2 4 4" xfId="23790"/>
    <cellStyle name="40% - Accent3 4 3 2 4 4 2" xfId="23791"/>
    <cellStyle name="40% - Accent3 4 3 2 4 4 2 2" xfId="23792"/>
    <cellStyle name="40% - Accent3 4 3 2 4 4 2 3" xfId="23793"/>
    <cellStyle name="40% - Accent3 4 3 2 4 4 3" xfId="23794"/>
    <cellStyle name="40% - Accent3 4 3 2 4 4 3 2" xfId="23795"/>
    <cellStyle name="40% - Accent3 4 3 2 4 4 4" xfId="23796"/>
    <cellStyle name="40% - Accent3 4 3 2 4 4 5" xfId="23797"/>
    <cellStyle name="40% - Accent3 4 3 2 4 5" xfId="23798"/>
    <cellStyle name="40% - Accent3 4 3 2 4 5 2" xfId="23799"/>
    <cellStyle name="40% - Accent3 4 3 2 4 5 3" xfId="23800"/>
    <cellStyle name="40% - Accent3 4 3 2 4 6" xfId="23801"/>
    <cellStyle name="40% - Accent3 4 3 2 4 6 2" xfId="23802"/>
    <cellStyle name="40% - Accent3 4 3 2 4 6 3" xfId="23803"/>
    <cellStyle name="40% - Accent3 4 3 2 4 7" xfId="23804"/>
    <cellStyle name="40% - Accent3 4 3 2 4 7 2" xfId="23805"/>
    <cellStyle name="40% - Accent3 4 3 2 4 8" xfId="23806"/>
    <cellStyle name="40% - Accent3 4 3 2 4 9" xfId="23807"/>
    <cellStyle name="40% - Accent3 4 3 2 5" xfId="23808"/>
    <cellStyle name="40% - Accent3 4 3 2 5 2" xfId="23809"/>
    <cellStyle name="40% - Accent3 4 3 2 5 2 2" xfId="23810"/>
    <cellStyle name="40% - Accent3 4 3 2 5 2 3" xfId="23811"/>
    <cellStyle name="40% - Accent3 4 3 2 5 3" xfId="23812"/>
    <cellStyle name="40% - Accent3 4 3 2 5 3 2" xfId="23813"/>
    <cellStyle name="40% - Accent3 4 3 2 5 3 3" xfId="23814"/>
    <cellStyle name="40% - Accent3 4 3 2 5 4" xfId="23815"/>
    <cellStyle name="40% - Accent3 4 3 2 5 4 2" xfId="23816"/>
    <cellStyle name="40% - Accent3 4 3 2 5 5" xfId="23817"/>
    <cellStyle name="40% - Accent3 4 3 2 5 6" xfId="23818"/>
    <cellStyle name="40% - Accent3 4 3 2 6" xfId="23819"/>
    <cellStyle name="40% - Accent3 4 3 2 6 2" xfId="23820"/>
    <cellStyle name="40% - Accent3 4 3 2 6 2 2" xfId="23821"/>
    <cellStyle name="40% - Accent3 4 3 2 6 2 3" xfId="23822"/>
    <cellStyle name="40% - Accent3 4 3 2 6 3" xfId="23823"/>
    <cellStyle name="40% - Accent3 4 3 2 6 3 2" xfId="23824"/>
    <cellStyle name="40% - Accent3 4 3 2 6 3 3" xfId="23825"/>
    <cellStyle name="40% - Accent3 4 3 2 6 4" xfId="23826"/>
    <cellStyle name="40% - Accent3 4 3 2 6 4 2" xfId="23827"/>
    <cellStyle name="40% - Accent3 4 3 2 6 5" xfId="23828"/>
    <cellStyle name="40% - Accent3 4 3 2 6 6" xfId="23829"/>
    <cellStyle name="40% - Accent3 4 3 2 7" xfId="23830"/>
    <cellStyle name="40% - Accent3 4 3 2 7 2" xfId="23831"/>
    <cellStyle name="40% - Accent3 4 3 2 7 2 2" xfId="23832"/>
    <cellStyle name="40% - Accent3 4 3 2 7 2 3" xfId="23833"/>
    <cellStyle name="40% - Accent3 4 3 2 7 3" xfId="23834"/>
    <cellStyle name="40% - Accent3 4 3 2 7 3 2" xfId="23835"/>
    <cellStyle name="40% - Accent3 4 3 2 7 4" xfId="23836"/>
    <cellStyle name="40% - Accent3 4 3 2 7 5" xfId="23837"/>
    <cellStyle name="40% - Accent3 4 3 2 8" xfId="23838"/>
    <cellStyle name="40% - Accent3 4 3 2 8 2" xfId="23839"/>
    <cellStyle name="40% - Accent3 4 3 2 8 3" xfId="23840"/>
    <cellStyle name="40% - Accent3 4 3 2 9" xfId="23841"/>
    <cellStyle name="40% - Accent3 4 3 2 9 2" xfId="23842"/>
    <cellStyle name="40% - Accent3 4 3 2 9 3" xfId="23843"/>
    <cellStyle name="40% - Accent3 4 3 3" xfId="2018"/>
    <cellStyle name="40% - Accent3 4 3 3 10" xfId="23844"/>
    <cellStyle name="40% - Accent3 4 3 3 2" xfId="2019"/>
    <cellStyle name="40% - Accent3 4 3 3 2 2" xfId="23845"/>
    <cellStyle name="40% - Accent3 4 3 3 2 2 2" xfId="23846"/>
    <cellStyle name="40% - Accent3 4 3 3 2 2 2 2" xfId="23847"/>
    <cellStyle name="40% - Accent3 4 3 3 2 2 2 3" xfId="23848"/>
    <cellStyle name="40% - Accent3 4 3 3 2 2 3" xfId="23849"/>
    <cellStyle name="40% - Accent3 4 3 3 2 2 3 2" xfId="23850"/>
    <cellStyle name="40% - Accent3 4 3 3 2 2 3 3" xfId="23851"/>
    <cellStyle name="40% - Accent3 4 3 3 2 2 4" xfId="23852"/>
    <cellStyle name="40% - Accent3 4 3 3 2 2 4 2" xfId="23853"/>
    <cellStyle name="40% - Accent3 4 3 3 2 2 5" xfId="23854"/>
    <cellStyle name="40% - Accent3 4 3 3 2 2 6" xfId="23855"/>
    <cellStyle name="40% - Accent3 4 3 3 2 3" xfId="23856"/>
    <cellStyle name="40% - Accent3 4 3 3 2 3 2" xfId="23857"/>
    <cellStyle name="40% - Accent3 4 3 3 2 3 2 2" xfId="23858"/>
    <cellStyle name="40% - Accent3 4 3 3 2 3 2 3" xfId="23859"/>
    <cellStyle name="40% - Accent3 4 3 3 2 3 3" xfId="23860"/>
    <cellStyle name="40% - Accent3 4 3 3 2 3 3 2" xfId="23861"/>
    <cellStyle name="40% - Accent3 4 3 3 2 3 3 3" xfId="23862"/>
    <cellStyle name="40% - Accent3 4 3 3 2 3 4" xfId="23863"/>
    <cellStyle name="40% - Accent3 4 3 3 2 3 4 2" xfId="23864"/>
    <cellStyle name="40% - Accent3 4 3 3 2 3 5" xfId="23865"/>
    <cellStyle name="40% - Accent3 4 3 3 2 3 6" xfId="23866"/>
    <cellStyle name="40% - Accent3 4 3 3 2 4" xfId="23867"/>
    <cellStyle name="40% - Accent3 4 3 3 2 4 2" xfId="23868"/>
    <cellStyle name="40% - Accent3 4 3 3 2 4 2 2" xfId="23869"/>
    <cellStyle name="40% - Accent3 4 3 3 2 4 2 3" xfId="23870"/>
    <cellStyle name="40% - Accent3 4 3 3 2 4 3" xfId="23871"/>
    <cellStyle name="40% - Accent3 4 3 3 2 4 3 2" xfId="23872"/>
    <cellStyle name="40% - Accent3 4 3 3 2 4 4" xfId="23873"/>
    <cellStyle name="40% - Accent3 4 3 3 2 4 5" xfId="23874"/>
    <cellStyle name="40% - Accent3 4 3 3 2 5" xfId="23875"/>
    <cellStyle name="40% - Accent3 4 3 3 2 5 2" xfId="23876"/>
    <cellStyle name="40% - Accent3 4 3 3 2 5 3" xfId="23877"/>
    <cellStyle name="40% - Accent3 4 3 3 2 6" xfId="23878"/>
    <cellStyle name="40% - Accent3 4 3 3 2 6 2" xfId="23879"/>
    <cellStyle name="40% - Accent3 4 3 3 2 6 3" xfId="23880"/>
    <cellStyle name="40% - Accent3 4 3 3 2 7" xfId="23881"/>
    <cellStyle name="40% - Accent3 4 3 3 2 7 2" xfId="23882"/>
    <cellStyle name="40% - Accent3 4 3 3 2 8" xfId="23883"/>
    <cellStyle name="40% - Accent3 4 3 3 2 9" xfId="23884"/>
    <cellStyle name="40% - Accent3 4 3 3 3" xfId="23885"/>
    <cellStyle name="40% - Accent3 4 3 3 3 2" xfId="23886"/>
    <cellStyle name="40% - Accent3 4 3 3 3 2 2" xfId="23887"/>
    <cellStyle name="40% - Accent3 4 3 3 3 2 3" xfId="23888"/>
    <cellStyle name="40% - Accent3 4 3 3 3 3" xfId="23889"/>
    <cellStyle name="40% - Accent3 4 3 3 3 3 2" xfId="23890"/>
    <cellStyle name="40% - Accent3 4 3 3 3 3 3" xfId="23891"/>
    <cellStyle name="40% - Accent3 4 3 3 3 4" xfId="23892"/>
    <cellStyle name="40% - Accent3 4 3 3 3 4 2" xfId="23893"/>
    <cellStyle name="40% - Accent3 4 3 3 3 5" xfId="23894"/>
    <cellStyle name="40% - Accent3 4 3 3 3 6" xfId="23895"/>
    <cellStyle name="40% - Accent3 4 3 3 4" xfId="23896"/>
    <cellStyle name="40% - Accent3 4 3 3 4 2" xfId="23897"/>
    <cellStyle name="40% - Accent3 4 3 3 4 2 2" xfId="23898"/>
    <cellStyle name="40% - Accent3 4 3 3 4 2 3" xfId="23899"/>
    <cellStyle name="40% - Accent3 4 3 3 4 3" xfId="23900"/>
    <cellStyle name="40% - Accent3 4 3 3 4 3 2" xfId="23901"/>
    <cellStyle name="40% - Accent3 4 3 3 4 3 3" xfId="23902"/>
    <cellStyle name="40% - Accent3 4 3 3 4 4" xfId="23903"/>
    <cellStyle name="40% - Accent3 4 3 3 4 4 2" xfId="23904"/>
    <cellStyle name="40% - Accent3 4 3 3 4 5" xfId="23905"/>
    <cellStyle name="40% - Accent3 4 3 3 4 6" xfId="23906"/>
    <cellStyle name="40% - Accent3 4 3 3 5" xfId="23907"/>
    <cellStyle name="40% - Accent3 4 3 3 5 2" xfId="23908"/>
    <cellStyle name="40% - Accent3 4 3 3 5 2 2" xfId="23909"/>
    <cellStyle name="40% - Accent3 4 3 3 5 2 3" xfId="23910"/>
    <cellStyle name="40% - Accent3 4 3 3 5 3" xfId="23911"/>
    <cellStyle name="40% - Accent3 4 3 3 5 3 2" xfId="23912"/>
    <cellStyle name="40% - Accent3 4 3 3 5 4" xfId="23913"/>
    <cellStyle name="40% - Accent3 4 3 3 5 5" xfId="23914"/>
    <cellStyle name="40% - Accent3 4 3 3 6" xfId="23915"/>
    <cellStyle name="40% - Accent3 4 3 3 6 2" xfId="23916"/>
    <cellStyle name="40% - Accent3 4 3 3 6 3" xfId="23917"/>
    <cellStyle name="40% - Accent3 4 3 3 7" xfId="23918"/>
    <cellStyle name="40% - Accent3 4 3 3 7 2" xfId="23919"/>
    <cellStyle name="40% - Accent3 4 3 3 7 3" xfId="23920"/>
    <cellStyle name="40% - Accent3 4 3 3 8" xfId="23921"/>
    <cellStyle name="40% - Accent3 4 3 3 8 2" xfId="23922"/>
    <cellStyle name="40% - Accent3 4 3 3 9" xfId="23923"/>
    <cellStyle name="40% - Accent3 4 3 4" xfId="2020"/>
    <cellStyle name="40% - Accent3 4 3 4 2" xfId="23924"/>
    <cellStyle name="40% - Accent3 4 3 4 2 2" xfId="23925"/>
    <cellStyle name="40% - Accent3 4 3 4 2 2 2" xfId="23926"/>
    <cellStyle name="40% - Accent3 4 3 4 2 2 3" xfId="23927"/>
    <cellStyle name="40% - Accent3 4 3 4 2 3" xfId="23928"/>
    <cellStyle name="40% - Accent3 4 3 4 2 3 2" xfId="23929"/>
    <cellStyle name="40% - Accent3 4 3 4 2 3 3" xfId="23930"/>
    <cellStyle name="40% - Accent3 4 3 4 2 4" xfId="23931"/>
    <cellStyle name="40% - Accent3 4 3 4 2 4 2" xfId="23932"/>
    <cellStyle name="40% - Accent3 4 3 4 2 5" xfId="23933"/>
    <cellStyle name="40% - Accent3 4 3 4 2 6" xfId="23934"/>
    <cellStyle name="40% - Accent3 4 3 4 3" xfId="23935"/>
    <cellStyle name="40% - Accent3 4 3 4 3 2" xfId="23936"/>
    <cellStyle name="40% - Accent3 4 3 4 3 2 2" xfId="23937"/>
    <cellStyle name="40% - Accent3 4 3 4 3 2 3" xfId="23938"/>
    <cellStyle name="40% - Accent3 4 3 4 3 3" xfId="23939"/>
    <cellStyle name="40% - Accent3 4 3 4 3 3 2" xfId="23940"/>
    <cellStyle name="40% - Accent3 4 3 4 3 3 3" xfId="23941"/>
    <cellStyle name="40% - Accent3 4 3 4 3 4" xfId="23942"/>
    <cellStyle name="40% - Accent3 4 3 4 3 4 2" xfId="23943"/>
    <cellStyle name="40% - Accent3 4 3 4 3 5" xfId="23944"/>
    <cellStyle name="40% - Accent3 4 3 4 3 6" xfId="23945"/>
    <cellStyle name="40% - Accent3 4 3 4 4" xfId="23946"/>
    <cellStyle name="40% - Accent3 4 3 4 4 2" xfId="23947"/>
    <cellStyle name="40% - Accent3 4 3 4 4 2 2" xfId="23948"/>
    <cellStyle name="40% - Accent3 4 3 4 4 2 3" xfId="23949"/>
    <cellStyle name="40% - Accent3 4 3 4 4 3" xfId="23950"/>
    <cellStyle name="40% - Accent3 4 3 4 4 3 2" xfId="23951"/>
    <cellStyle name="40% - Accent3 4 3 4 4 4" xfId="23952"/>
    <cellStyle name="40% - Accent3 4 3 4 4 5" xfId="23953"/>
    <cellStyle name="40% - Accent3 4 3 4 5" xfId="23954"/>
    <cellStyle name="40% - Accent3 4 3 4 5 2" xfId="23955"/>
    <cellStyle name="40% - Accent3 4 3 4 5 3" xfId="23956"/>
    <cellStyle name="40% - Accent3 4 3 4 6" xfId="23957"/>
    <cellStyle name="40% - Accent3 4 3 4 6 2" xfId="23958"/>
    <cellStyle name="40% - Accent3 4 3 4 6 3" xfId="23959"/>
    <cellStyle name="40% - Accent3 4 3 4 7" xfId="23960"/>
    <cellStyle name="40% - Accent3 4 3 4 7 2" xfId="23961"/>
    <cellStyle name="40% - Accent3 4 3 4 8" xfId="23962"/>
    <cellStyle name="40% - Accent3 4 3 4 9" xfId="23963"/>
    <cellStyle name="40% - Accent3 4 3 5" xfId="23964"/>
    <cellStyle name="40% - Accent3 4 3 5 2" xfId="23965"/>
    <cellStyle name="40% - Accent3 4 3 5 2 2" xfId="23966"/>
    <cellStyle name="40% - Accent3 4 3 5 2 2 2" xfId="23967"/>
    <cellStyle name="40% - Accent3 4 3 5 2 2 3" xfId="23968"/>
    <cellStyle name="40% - Accent3 4 3 5 2 3" xfId="23969"/>
    <cellStyle name="40% - Accent3 4 3 5 2 3 2" xfId="23970"/>
    <cellStyle name="40% - Accent3 4 3 5 2 3 3" xfId="23971"/>
    <cellStyle name="40% - Accent3 4 3 5 2 4" xfId="23972"/>
    <cellStyle name="40% - Accent3 4 3 5 2 4 2" xfId="23973"/>
    <cellStyle name="40% - Accent3 4 3 5 2 5" xfId="23974"/>
    <cellStyle name="40% - Accent3 4 3 5 2 6" xfId="23975"/>
    <cellStyle name="40% - Accent3 4 3 5 3" xfId="23976"/>
    <cellStyle name="40% - Accent3 4 3 5 3 2" xfId="23977"/>
    <cellStyle name="40% - Accent3 4 3 5 3 2 2" xfId="23978"/>
    <cellStyle name="40% - Accent3 4 3 5 3 2 3" xfId="23979"/>
    <cellStyle name="40% - Accent3 4 3 5 3 3" xfId="23980"/>
    <cellStyle name="40% - Accent3 4 3 5 3 3 2" xfId="23981"/>
    <cellStyle name="40% - Accent3 4 3 5 3 3 3" xfId="23982"/>
    <cellStyle name="40% - Accent3 4 3 5 3 4" xfId="23983"/>
    <cellStyle name="40% - Accent3 4 3 5 3 4 2" xfId="23984"/>
    <cellStyle name="40% - Accent3 4 3 5 3 5" xfId="23985"/>
    <cellStyle name="40% - Accent3 4 3 5 3 6" xfId="23986"/>
    <cellStyle name="40% - Accent3 4 3 5 4" xfId="23987"/>
    <cellStyle name="40% - Accent3 4 3 5 4 2" xfId="23988"/>
    <cellStyle name="40% - Accent3 4 3 5 4 2 2" xfId="23989"/>
    <cellStyle name="40% - Accent3 4 3 5 4 2 3" xfId="23990"/>
    <cellStyle name="40% - Accent3 4 3 5 4 3" xfId="23991"/>
    <cellStyle name="40% - Accent3 4 3 5 4 3 2" xfId="23992"/>
    <cellStyle name="40% - Accent3 4 3 5 4 4" xfId="23993"/>
    <cellStyle name="40% - Accent3 4 3 5 4 5" xfId="23994"/>
    <cellStyle name="40% - Accent3 4 3 5 5" xfId="23995"/>
    <cellStyle name="40% - Accent3 4 3 5 5 2" xfId="23996"/>
    <cellStyle name="40% - Accent3 4 3 5 5 3" xfId="23997"/>
    <cellStyle name="40% - Accent3 4 3 5 6" xfId="23998"/>
    <cellStyle name="40% - Accent3 4 3 5 6 2" xfId="23999"/>
    <cellStyle name="40% - Accent3 4 3 5 6 3" xfId="24000"/>
    <cellStyle name="40% - Accent3 4 3 5 7" xfId="24001"/>
    <cellStyle name="40% - Accent3 4 3 5 7 2" xfId="24002"/>
    <cellStyle name="40% - Accent3 4 3 5 8" xfId="24003"/>
    <cellStyle name="40% - Accent3 4 3 5 9" xfId="24004"/>
    <cellStyle name="40% - Accent3 4 3 6" xfId="24005"/>
    <cellStyle name="40% - Accent3 4 3 6 2" xfId="24006"/>
    <cellStyle name="40% - Accent3 4 3 6 2 2" xfId="24007"/>
    <cellStyle name="40% - Accent3 4 3 6 2 3" xfId="24008"/>
    <cellStyle name="40% - Accent3 4 3 6 3" xfId="24009"/>
    <cellStyle name="40% - Accent3 4 3 6 3 2" xfId="24010"/>
    <cellStyle name="40% - Accent3 4 3 6 3 3" xfId="24011"/>
    <cellStyle name="40% - Accent3 4 3 6 4" xfId="24012"/>
    <cellStyle name="40% - Accent3 4 3 6 4 2" xfId="24013"/>
    <cellStyle name="40% - Accent3 4 3 6 5" xfId="24014"/>
    <cellStyle name="40% - Accent3 4 3 6 6" xfId="24015"/>
    <cellStyle name="40% - Accent3 4 3 7" xfId="24016"/>
    <cellStyle name="40% - Accent3 4 3 7 2" xfId="24017"/>
    <cellStyle name="40% - Accent3 4 3 7 2 2" xfId="24018"/>
    <cellStyle name="40% - Accent3 4 3 7 2 3" xfId="24019"/>
    <cellStyle name="40% - Accent3 4 3 7 3" xfId="24020"/>
    <cellStyle name="40% - Accent3 4 3 7 3 2" xfId="24021"/>
    <cellStyle name="40% - Accent3 4 3 7 3 3" xfId="24022"/>
    <cellStyle name="40% - Accent3 4 3 7 4" xfId="24023"/>
    <cellStyle name="40% - Accent3 4 3 7 4 2" xfId="24024"/>
    <cellStyle name="40% - Accent3 4 3 7 5" xfId="24025"/>
    <cellStyle name="40% - Accent3 4 3 7 6" xfId="24026"/>
    <cellStyle name="40% - Accent3 4 3 8" xfId="24027"/>
    <cellStyle name="40% - Accent3 4 3 8 2" xfId="24028"/>
    <cellStyle name="40% - Accent3 4 3 8 2 2" xfId="24029"/>
    <cellStyle name="40% - Accent3 4 3 8 2 3" xfId="24030"/>
    <cellStyle name="40% - Accent3 4 3 8 3" xfId="24031"/>
    <cellStyle name="40% - Accent3 4 3 8 3 2" xfId="24032"/>
    <cellStyle name="40% - Accent3 4 3 8 4" xfId="24033"/>
    <cellStyle name="40% - Accent3 4 3 8 5" xfId="24034"/>
    <cellStyle name="40% - Accent3 4 3 9" xfId="24035"/>
    <cellStyle name="40% - Accent3 4 3 9 2" xfId="24036"/>
    <cellStyle name="40% - Accent3 4 3 9 3" xfId="24037"/>
    <cellStyle name="40% - Accent3 4 4" xfId="2021"/>
    <cellStyle name="40% - Accent3 4 4 10" xfId="24038"/>
    <cellStyle name="40% - Accent3 4 4 10 2" xfId="24039"/>
    <cellStyle name="40% - Accent3 4 4 11" xfId="24040"/>
    <cellStyle name="40% - Accent3 4 4 12" xfId="24041"/>
    <cellStyle name="40% - Accent3 4 4 2" xfId="2022"/>
    <cellStyle name="40% - Accent3 4 4 2 10" xfId="24042"/>
    <cellStyle name="40% - Accent3 4 4 2 2" xfId="2023"/>
    <cellStyle name="40% - Accent3 4 4 2 2 2" xfId="24043"/>
    <cellStyle name="40% - Accent3 4 4 2 2 2 2" xfId="24044"/>
    <cellStyle name="40% - Accent3 4 4 2 2 2 2 2" xfId="24045"/>
    <cellStyle name="40% - Accent3 4 4 2 2 2 2 3" xfId="24046"/>
    <cellStyle name="40% - Accent3 4 4 2 2 2 3" xfId="24047"/>
    <cellStyle name="40% - Accent3 4 4 2 2 2 3 2" xfId="24048"/>
    <cellStyle name="40% - Accent3 4 4 2 2 2 3 3" xfId="24049"/>
    <cellStyle name="40% - Accent3 4 4 2 2 2 4" xfId="24050"/>
    <cellStyle name="40% - Accent3 4 4 2 2 2 4 2" xfId="24051"/>
    <cellStyle name="40% - Accent3 4 4 2 2 2 5" xfId="24052"/>
    <cellStyle name="40% - Accent3 4 4 2 2 2 6" xfId="24053"/>
    <cellStyle name="40% - Accent3 4 4 2 2 3" xfId="24054"/>
    <cellStyle name="40% - Accent3 4 4 2 2 3 2" xfId="24055"/>
    <cellStyle name="40% - Accent3 4 4 2 2 3 2 2" xfId="24056"/>
    <cellStyle name="40% - Accent3 4 4 2 2 3 2 3" xfId="24057"/>
    <cellStyle name="40% - Accent3 4 4 2 2 3 3" xfId="24058"/>
    <cellStyle name="40% - Accent3 4 4 2 2 3 3 2" xfId="24059"/>
    <cellStyle name="40% - Accent3 4 4 2 2 3 3 3" xfId="24060"/>
    <cellStyle name="40% - Accent3 4 4 2 2 3 4" xfId="24061"/>
    <cellStyle name="40% - Accent3 4 4 2 2 3 4 2" xfId="24062"/>
    <cellStyle name="40% - Accent3 4 4 2 2 3 5" xfId="24063"/>
    <cellStyle name="40% - Accent3 4 4 2 2 3 6" xfId="24064"/>
    <cellStyle name="40% - Accent3 4 4 2 2 4" xfId="24065"/>
    <cellStyle name="40% - Accent3 4 4 2 2 4 2" xfId="24066"/>
    <cellStyle name="40% - Accent3 4 4 2 2 4 2 2" xfId="24067"/>
    <cellStyle name="40% - Accent3 4 4 2 2 4 2 3" xfId="24068"/>
    <cellStyle name="40% - Accent3 4 4 2 2 4 3" xfId="24069"/>
    <cellStyle name="40% - Accent3 4 4 2 2 4 3 2" xfId="24070"/>
    <cellStyle name="40% - Accent3 4 4 2 2 4 4" xfId="24071"/>
    <cellStyle name="40% - Accent3 4 4 2 2 4 5" xfId="24072"/>
    <cellStyle name="40% - Accent3 4 4 2 2 5" xfId="24073"/>
    <cellStyle name="40% - Accent3 4 4 2 2 5 2" xfId="24074"/>
    <cellStyle name="40% - Accent3 4 4 2 2 5 3" xfId="24075"/>
    <cellStyle name="40% - Accent3 4 4 2 2 6" xfId="24076"/>
    <cellStyle name="40% - Accent3 4 4 2 2 6 2" xfId="24077"/>
    <cellStyle name="40% - Accent3 4 4 2 2 6 3" xfId="24078"/>
    <cellStyle name="40% - Accent3 4 4 2 2 7" xfId="24079"/>
    <cellStyle name="40% - Accent3 4 4 2 2 7 2" xfId="24080"/>
    <cellStyle name="40% - Accent3 4 4 2 2 8" xfId="24081"/>
    <cellStyle name="40% - Accent3 4 4 2 2 9" xfId="24082"/>
    <cellStyle name="40% - Accent3 4 4 2 3" xfId="24083"/>
    <cellStyle name="40% - Accent3 4 4 2 3 2" xfId="24084"/>
    <cellStyle name="40% - Accent3 4 4 2 3 2 2" xfId="24085"/>
    <cellStyle name="40% - Accent3 4 4 2 3 2 3" xfId="24086"/>
    <cellStyle name="40% - Accent3 4 4 2 3 3" xfId="24087"/>
    <cellStyle name="40% - Accent3 4 4 2 3 3 2" xfId="24088"/>
    <cellStyle name="40% - Accent3 4 4 2 3 3 3" xfId="24089"/>
    <cellStyle name="40% - Accent3 4 4 2 3 4" xfId="24090"/>
    <cellStyle name="40% - Accent3 4 4 2 3 4 2" xfId="24091"/>
    <cellStyle name="40% - Accent3 4 4 2 3 5" xfId="24092"/>
    <cellStyle name="40% - Accent3 4 4 2 3 6" xfId="24093"/>
    <cellStyle name="40% - Accent3 4 4 2 4" xfId="24094"/>
    <cellStyle name="40% - Accent3 4 4 2 4 2" xfId="24095"/>
    <cellStyle name="40% - Accent3 4 4 2 4 2 2" xfId="24096"/>
    <cellStyle name="40% - Accent3 4 4 2 4 2 3" xfId="24097"/>
    <cellStyle name="40% - Accent3 4 4 2 4 3" xfId="24098"/>
    <cellStyle name="40% - Accent3 4 4 2 4 3 2" xfId="24099"/>
    <cellStyle name="40% - Accent3 4 4 2 4 3 3" xfId="24100"/>
    <cellStyle name="40% - Accent3 4 4 2 4 4" xfId="24101"/>
    <cellStyle name="40% - Accent3 4 4 2 4 4 2" xfId="24102"/>
    <cellStyle name="40% - Accent3 4 4 2 4 5" xfId="24103"/>
    <cellStyle name="40% - Accent3 4 4 2 4 6" xfId="24104"/>
    <cellStyle name="40% - Accent3 4 4 2 5" xfId="24105"/>
    <cellStyle name="40% - Accent3 4 4 2 5 2" xfId="24106"/>
    <cellStyle name="40% - Accent3 4 4 2 5 2 2" xfId="24107"/>
    <cellStyle name="40% - Accent3 4 4 2 5 2 3" xfId="24108"/>
    <cellStyle name="40% - Accent3 4 4 2 5 3" xfId="24109"/>
    <cellStyle name="40% - Accent3 4 4 2 5 3 2" xfId="24110"/>
    <cellStyle name="40% - Accent3 4 4 2 5 4" xfId="24111"/>
    <cellStyle name="40% - Accent3 4 4 2 5 5" xfId="24112"/>
    <cellStyle name="40% - Accent3 4 4 2 6" xfId="24113"/>
    <cellStyle name="40% - Accent3 4 4 2 6 2" xfId="24114"/>
    <cellStyle name="40% - Accent3 4 4 2 6 3" xfId="24115"/>
    <cellStyle name="40% - Accent3 4 4 2 7" xfId="24116"/>
    <cellStyle name="40% - Accent3 4 4 2 7 2" xfId="24117"/>
    <cellStyle name="40% - Accent3 4 4 2 7 3" xfId="24118"/>
    <cellStyle name="40% - Accent3 4 4 2 8" xfId="24119"/>
    <cellStyle name="40% - Accent3 4 4 2 8 2" xfId="24120"/>
    <cellStyle name="40% - Accent3 4 4 2 9" xfId="24121"/>
    <cellStyle name="40% - Accent3 4 4 3" xfId="2024"/>
    <cellStyle name="40% - Accent3 4 4 3 2" xfId="24122"/>
    <cellStyle name="40% - Accent3 4 4 3 2 2" xfId="24123"/>
    <cellStyle name="40% - Accent3 4 4 3 2 2 2" xfId="24124"/>
    <cellStyle name="40% - Accent3 4 4 3 2 2 3" xfId="24125"/>
    <cellStyle name="40% - Accent3 4 4 3 2 3" xfId="24126"/>
    <cellStyle name="40% - Accent3 4 4 3 2 3 2" xfId="24127"/>
    <cellStyle name="40% - Accent3 4 4 3 2 3 3" xfId="24128"/>
    <cellStyle name="40% - Accent3 4 4 3 2 4" xfId="24129"/>
    <cellStyle name="40% - Accent3 4 4 3 2 4 2" xfId="24130"/>
    <cellStyle name="40% - Accent3 4 4 3 2 5" xfId="24131"/>
    <cellStyle name="40% - Accent3 4 4 3 2 6" xfId="24132"/>
    <cellStyle name="40% - Accent3 4 4 3 3" xfId="24133"/>
    <cellStyle name="40% - Accent3 4 4 3 3 2" xfId="24134"/>
    <cellStyle name="40% - Accent3 4 4 3 3 2 2" xfId="24135"/>
    <cellStyle name="40% - Accent3 4 4 3 3 2 3" xfId="24136"/>
    <cellStyle name="40% - Accent3 4 4 3 3 3" xfId="24137"/>
    <cellStyle name="40% - Accent3 4 4 3 3 3 2" xfId="24138"/>
    <cellStyle name="40% - Accent3 4 4 3 3 3 3" xfId="24139"/>
    <cellStyle name="40% - Accent3 4 4 3 3 4" xfId="24140"/>
    <cellStyle name="40% - Accent3 4 4 3 3 4 2" xfId="24141"/>
    <cellStyle name="40% - Accent3 4 4 3 3 5" xfId="24142"/>
    <cellStyle name="40% - Accent3 4 4 3 3 6" xfId="24143"/>
    <cellStyle name="40% - Accent3 4 4 3 4" xfId="24144"/>
    <cellStyle name="40% - Accent3 4 4 3 4 2" xfId="24145"/>
    <cellStyle name="40% - Accent3 4 4 3 4 2 2" xfId="24146"/>
    <cellStyle name="40% - Accent3 4 4 3 4 2 3" xfId="24147"/>
    <cellStyle name="40% - Accent3 4 4 3 4 3" xfId="24148"/>
    <cellStyle name="40% - Accent3 4 4 3 4 3 2" xfId="24149"/>
    <cellStyle name="40% - Accent3 4 4 3 4 4" xfId="24150"/>
    <cellStyle name="40% - Accent3 4 4 3 4 5" xfId="24151"/>
    <cellStyle name="40% - Accent3 4 4 3 5" xfId="24152"/>
    <cellStyle name="40% - Accent3 4 4 3 5 2" xfId="24153"/>
    <cellStyle name="40% - Accent3 4 4 3 5 3" xfId="24154"/>
    <cellStyle name="40% - Accent3 4 4 3 6" xfId="24155"/>
    <cellStyle name="40% - Accent3 4 4 3 6 2" xfId="24156"/>
    <cellStyle name="40% - Accent3 4 4 3 6 3" xfId="24157"/>
    <cellStyle name="40% - Accent3 4 4 3 7" xfId="24158"/>
    <cellStyle name="40% - Accent3 4 4 3 7 2" xfId="24159"/>
    <cellStyle name="40% - Accent3 4 4 3 8" xfId="24160"/>
    <cellStyle name="40% - Accent3 4 4 3 9" xfId="24161"/>
    <cellStyle name="40% - Accent3 4 4 4" xfId="24162"/>
    <cellStyle name="40% - Accent3 4 4 4 2" xfId="24163"/>
    <cellStyle name="40% - Accent3 4 4 4 2 2" xfId="24164"/>
    <cellStyle name="40% - Accent3 4 4 4 2 2 2" xfId="24165"/>
    <cellStyle name="40% - Accent3 4 4 4 2 2 3" xfId="24166"/>
    <cellStyle name="40% - Accent3 4 4 4 2 3" xfId="24167"/>
    <cellStyle name="40% - Accent3 4 4 4 2 3 2" xfId="24168"/>
    <cellStyle name="40% - Accent3 4 4 4 2 3 3" xfId="24169"/>
    <cellStyle name="40% - Accent3 4 4 4 2 4" xfId="24170"/>
    <cellStyle name="40% - Accent3 4 4 4 2 4 2" xfId="24171"/>
    <cellStyle name="40% - Accent3 4 4 4 2 5" xfId="24172"/>
    <cellStyle name="40% - Accent3 4 4 4 2 6" xfId="24173"/>
    <cellStyle name="40% - Accent3 4 4 4 3" xfId="24174"/>
    <cellStyle name="40% - Accent3 4 4 4 3 2" xfId="24175"/>
    <cellStyle name="40% - Accent3 4 4 4 3 2 2" xfId="24176"/>
    <cellStyle name="40% - Accent3 4 4 4 3 2 3" xfId="24177"/>
    <cellStyle name="40% - Accent3 4 4 4 3 3" xfId="24178"/>
    <cellStyle name="40% - Accent3 4 4 4 3 3 2" xfId="24179"/>
    <cellStyle name="40% - Accent3 4 4 4 3 3 3" xfId="24180"/>
    <cellStyle name="40% - Accent3 4 4 4 3 4" xfId="24181"/>
    <cellStyle name="40% - Accent3 4 4 4 3 4 2" xfId="24182"/>
    <cellStyle name="40% - Accent3 4 4 4 3 5" xfId="24183"/>
    <cellStyle name="40% - Accent3 4 4 4 3 6" xfId="24184"/>
    <cellStyle name="40% - Accent3 4 4 4 4" xfId="24185"/>
    <cellStyle name="40% - Accent3 4 4 4 4 2" xfId="24186"/>
    <cellStyle name="40% - Accent3 4 4 4 4 2 2" xfId="24187"/>
    <cellStyle name="40% - Accent3 4 4 4 4 2 3" xfId="24188"/>
    <cellStyle name="40% - Accent3 4 4 4 4 3" xfId="24189"/>
    <cellStyle name="40% - Accent3 4 4 4 4 3 2" xfId="24190"/>
    <cellStyle name="40% - Accent3 4 4 4 4 4" xfId="24191"/>
    <cellStyle name="40% - Accent3 4 4 4 4 5" xfId="24192"/>
    <cellStyle name="40% - Accent3 4 4 4 5" xfId="24193"/>
    <cellStyle name="40% - Accent3 4 4 4 5 2" xfId="24194"/>
    <cellStyle name="40% - Accent3 4 4 4 5 3" xfId="24195"/>
    <cellStyle name="40% - Accent3 4 4 4 6" xfId="24196"/>
    <cellStyle name="40% - Accent3 4 4 4 6 2" xfId="24197"/>
    <cellStyle name="40% - Accent3 4 4 4 6 3" xfId="24198"/>
    <cellStyle name="40% - Accent3 4 4 4 7" xfId="24199"/>
    <cellStyle name="40% - Accent3 4 4 4 7 2" xfId="24200"/>
    <cellStyle name="40% - Accent3 4 4 4 8" xfId="24201"/>
    <cellStyle name="40% - Accent3 4 4 4 9" xfId="24202"/>
    <cellStyle name="40% - Accent3 4 4 5" xfId="24203"/>
    <cellStyle name="40% - Accent3 4 4 5 2" xfId="24204"/>
    <cellStyle name="40% - Accent3 4 4 5 2 2" xfId="24205"/>
    <cellStyle name="40% - Accent3 4 4 5 2 3" xfId="24206"/>
    <cellStyle name="40% - Accent3 4 4 5 3" xfId="24207"/>
    <cellStyle name="40% - Accent3 4 4 5 3 2" xfId="24208"/>
    <cellStyle name="40% - Accent3 4 4 5 3 3" xfId="24209"/>
    <cellStyle name="40% - Accent3 4 4 5 4" xfId="24210"/>
    <cellStyle name="40% - Accent3 4 4 5 4 2" xfId="24211"/>
    <cellStyle name="40% - Accent3 4 4 5 5" xfId="24212"/>
    <cellStyle name="40% - Accent3 4 4 5 6" xfId="24213"/>
    <cellStyle name="40% - Accent3 4 4 6" xfId="24214"/>
    <cellStyle name="40% - Accent3 4 4 6 2" xfId="24215"/>
    <cellStyle name="40% - Accent3 4 4 6 2 2" xfId="24216"/>
    <cellStyle name="40% - Accent3 4 4 6 2 3" xfId="24217"/>
    <cellStyle name="40% - Accent3 4 4 6 3" xfId="24218"/>
    <cellStyle name="40% - Accent3 4 4 6 3 2" xfId="24219"/>
    <cellStyle name="40% - Accent3 4 4 6 3 3" xfId="24220"/>
    <cellStyle name="40% - Accent3 4 4 6 4" xfId="24221"/>
    <cellStyle name="40% - Accent3 4 4 6 4 2" xfId="24222"/>
    <cellStyle name="40% - Accent3 4 4 6 5" xfId="24223"/>
    <cellStyle name="40% - Accent3 4 4 6 6" xfId="24224"/>
    <cellStyle name="40% - Accent3 4 4 7" xfId="24225"/>
    <cellStyle name="40% - Accent3 4 4 7 2" xfId="24226"/>
    <cellStyle name="40% - Accent3 4 4 7 2 2" xfId="24227"/>
    <cellStyle name="40% - Accent3 4 4 7 2 3" xfId="24228"/>
    <cellStyle name="40% - Accent3 4 4 7 3" xfId="24229"/>
    <cellStyle name="40% - Accent3 4 4 7 3 2" xfId="24230"/>
    <cellStyle name="40% - Accent3 4 4 7 4" xfId="24231"/>
    <cellStyle name="40% - Accent3 4 4 7 5" xfId="24232"/>
    <cellStyle name="40% - Accent3 4 4 8" xfId="24233"/>
    <cellStyle name="40% - Accent3 4 4 8 2" xfId="24234"/>
    <cellStyle name="40% - Accent3 4 4 8 3" xfId="24235"/>
    <cellStyle name="40% - Accent3 4 4 9" xfId="24236"/>
    <cellStyle name="40% - Accent3 4 4 9 2" xfId="24237"/>
    <cellStyle name="40% - Accent3 4 4 9 3" xfId="24238"/>
    <cellStyle name="40% - Accent3 4 5" xfId="2025"/>
    <cellStyle name="40% - Accent3 4 5 10" xfId="24239"/>
    <cellStyle name="40% - Accent3 4 5 2" xfId="2026"/>
    <cellStyle name="40% - Accent3 4 5 2 2" xfId="24240"/>
    <cellStyle name="40% - Accent3 4 5 2 2 2" xfId="24241"/>
    <cellStyle name="40% - Accent3 4 5 2 2 2 2" xfId="24242"/>
    <cellStyle name="40% - Accent3 4 5 2 2 2 3" xfId="24243"/>
    <cellStyle name="40% - Accent3 4 5 2 2 3" xfId="24244"/>
    <cellStyle name="40% - Accent3 4 5 2 2 3 2" xfId="24245"/>
    <cellStyle name="40% - Accent3 4 5 2 2 3 3" xfId="24246"/>
    <cellStyle name="40% - Accent3 4 5 2 2 4" xfId="24247"/>
    <cellStyle name="40% - Accent3 4 5 2 2 4 2" xfId="24248"/>
    <cellStyle name="40% - Accent3 4 5 2 2 5" xfId="24249"/>
    <cellStyle name="40% - Accent3 4 5 2 2 6" xfId="24250"/>
    <cellStyle name="40% - Accent3 4 5 2 3" xfId="24251"/>
    <cellStyle name="40% - Accent3 4 5 2 3 2" xfId="24252"/>
    <cellStyle name="40% - Accent3 4 5 2 3 2 2" xfId="24253"/>
    <cellStyle name="40% - Accent3 4 5 2 3 2 3" xfId="24254"/>
    <cellStyle name="40% - Accent3 4 5 2 3 3" xfId="24255"/>
    <cellStyle name="40% - Accent3 4 5 2 3 3 2" xfId="24256"/>
    <cellStyle name="40% - Accent3 4 5 2 3 3 3" xfId="24257"/>
    <cellStyle name="40% - Accent3 4 5 2 3 4" xfId="24258"/>
    <cellStyle name="40% - Accent3 4 5 2 3 4 2" xfId="24259"/>
    <cellStyle name="40% - Accent3 4 5 2 3 5" xfId="24260"/>
    <cellStyle name="40% - Accent3 4 5 2 3 6" xfId="24261"/>
    <cellStyle name="40% - Accent3 4 5 2 4" xfId="24262"/>
    <cellStyle name="40% - Accent3 4 5 2 4 2" xfId="24263"/>
    <cellStyle name="40% - Accent3 4 5 2 4 2 2" xfId="24264"/>
    <cellStyle name="40% - Accent3 4 5 2 4 2 3" xfId="24265"/>
    <cellStyle name="40% - Accent3 4 5 2 4 3" xfId="24266"/>
    <cellStyle name="40% - Accent3 4 5 2 4 3 2" xfId="24267"/>
    <cellStyle name="40% - Accent3 4 5 2 4 4" xfId="24268"/>
    <cellStyle name="40% - Accent3 4 5 2 4 5" xfId="24269"/>
    <cellStyle name="40% - Accent3 4 5 2 5" xfId="24270"/>
    <cellStyle name="40% - Accent3 4 5 2 5 2" xfId="24271"/>
    <cellStyle name="40% - Accent3 4 5 2 5 3" xfId="24272"/>
    <cellStyle name="40% - Accent3 4 5 2 6" xfId="24273"/>
    <cellStyle name="40% - Accent3 4 5 2 6 2" xfId="24274"/>
    <cellStyle name="40% - Accent3 4 5 2 6 3" xfId="24275"/>
    <cellStyle name="40% - Accent3 4 5 2 7" xfId="24276"/>
    <cellStyle name="40% - Accent3 4 5 2 7 2" xfId="24277"/>
    <cellStyle name="40% - Accent3 4 5 2 8" xfId="24278"/>
    <cellStyle name="40% - Accent3 4 5 2 9" xfId="24279"/>
    <cellStyle name="40% - Accent3 4 5 3" xfId="24280"/>
    <cellStyle name="40% - Accent3 4 5 3 2" xfId="24281"/>
    <cellStyle name="40% - Accent3 4 5 3 2 2" xfId="24282"/>
    <cellStyle name="40% - Accent3 4 5 3 2 3" xfId="24283"/>
    <cellStyle name="40% - Accent3 4 5 3 3" xfId="24284"/>
    <cellStyle name="40% - Accent3 4 5 3 3 2" xfId="24285"/>
    <cellStyle name="40% - Accent3 4 5 3 3 3" xfId="24286"/>
    <cellStyle name="40% - Accent3 4 5 3 4" xfId="24287"/>
    <cellStyle name="40% - Accent3 4 5 3 4 2" xfId="24288"/>
    <cellStyle name="40% - Accent3 4 5 3 5" xfId="24289"/>
    <cellStyle name="40% - Accent3 4 5 3 6" xfId="24290"/>
    <cellStyle name="40% - Accent3 4 5 4" xfId="24291"/>
    <cellStyle name="40% - Accent3 4 5 4 2" xfId="24292"/>
    <cellStyle name="40% - Accent3 4 5 4 2 2" xfId="24293"/>
    <cellStyle name="40% - Accent3 4 5 4 2 3" xfId="24294"/>
    <cellStyle name="40% - Accent3 4 5 4 3" xfId="24295"/>
    <cellStyle name="40% - Accent3 4 5 4 3 2" xfId="24296"/>
    <cellStyle name="40% - Accent3 4 5 4 3 3" xfId="24297"/>
    <cellStyle name="40% - Accent3 4 5 4 4" xfId="24298"/>
    <cellStyle name="40% - Accent3 4 5 4 4 2" xfId="24299"/>
    <cellStyle name="40% - Accent3 4 5 4 5" xfId="24300"/>
    <cellStyle name="40% - Accent3 4 5 4 6" xfId="24301"/>
    <cellStyle name="40% - Accent3 4 5 5" xfId="24302"/>
    <cellStyle name="40% - Accent3 4 5 5 2" xfId="24303"/>
    <cellStyle name="40% - Accent3 4 5 5 2 2" xfId="24304"/>
    <cellStyle name="40% - Accent3 4 5 5 2 3" xfId="24305"/>
    <cellStyle name="40% - Accent3 4 5 5 3" xfId="24306"/>
    <cellStyle name="40% - Accent3 4 5 5 3 2" xfId="24307"/>
    <cellStyle name="40% - Accent3 4 5 5 4" xfId="24308"/>
    <cellStyle name="40% - Accent3 4 5 5 5" xfId="24309"/>
    <cellStyle name="40% - Accent3 4 5 6" xfId="24310"/>
    <cellStyle name="40% - Accent3 4 5 6 2" xfId="24311"/>
    <cellStyle name="40% - Accent3 4 5 6 3" xfId="24312"/>
    <cellStyle name="40% - Accent3 4 5 7" xfId="24313"/>
    <cellStyle name="40% - Accent3 4 5 7 2" xfId="24314"/>
    <cellStyle name="40% - Accent3 4 5 7 3" xfId="24315"/>
    <cellStyle name="40% - Accent3 4 5 8" xfId="24316"/>
    <cellStyle name="40% - Accent3 4 5 8 2" xfId="24317"/>
    <cellStyle name="40% - Accent3 4 5 9" xfId="24318"/>
    <cellStyle name="40% - Accent3 4 6" xfId="2027"/>
    <cellStyle name="40% - Accent3 4 6 2" xfId="24319"/>
    <cellStyle name="40% - Accent3 4 6 2 2" xfId="24320"/>
    <cellStyle name="40% - Accent3 4 6 2 2 2" xfId="24321"/>
    <cellStyle name="40% - Accent3 4 6 2 2 3" xfId="24322"/>
    <cellStyle name="40% - Accent3 4 6 2 3" xfId="24323"/>
    <cellStyle name="40% - Accent3 4 6 2 3 2" xfId="24324"/>
    <cellStyle name="40% - Accent3 4 6 2 3 3" xfId="24325"/>
    <cellStyle name="40% - Accent3 4 6 2 4" xfId="24326"/>
    <cellStyle name="40% - Accent3 4 6 2 4 2" xfId="24327"/>
    <cellStyle name="40% - Accent3 4 6 2 5" xfId="24328"/>
    <cellStyle name="40% - Accent3 4 6 2 6" xfId="24329"/>
    <cellStyle name="40% - Accent3 4 6 3" xfId="24330"/>
    <cellStyle name="40% - Accent3 4 6 3 2" xfId="24331"/>
    <cellStyle name="40% - Accent3 4 6 3 2 2" xfId="24332"/>
    <cellStyle name="40% - Accent3 4 6 3 2 3" xfId="24333"/>
    <cellStyle name="40% - Accent3 4 6 3 3" xfId="24334"/>
    <cellStyle name="40% - Accent3 4 6 3 3 2" xfId="24335"/>
    <cellStyle name="40% - Accent3 4 6 3 3 3" xfId="24336"/>
    <cellStyle name="40% - Accent3 4 6 3 4" xfId="24337"/>
    <cellStyle name="40% - Accent3 4 6 3 4 2" xfId="24338"/>
    <cellStyle name="40% - Accent3 4 6 3 5" xfId="24339"/>
    <cellStyle name="40% - Accent3 4 6 3 6" xfId="24340"/>
    <cellStyle name="40% - Accent3 4 6 4" xfId="24341"/>
    <cellStyle name="40% - Accent3 4 6 4 2" xfId="24342"/>
    <cellStyle name="40% - Accent3 4 6 4 2 2" xfId="24343"/>
    <cellStyle name="40% - Accent3 4 6 4 2 3" xfId="24344"/>
    <cellStyle name="40% - Accent3 4 6 4 3" xfId="24345"/>
    <cellStyle name="40% - Accent3 4 6 4 3 2" xfId="24346"/>
    <cellStyle name="40% - Accent3 4 6 4 4" xfId="24347"/>
    <cellStyle name="40% - Accent3 4 6 4 5" xfId="24348"/>
    <cellStyle name="40% - Accent3 4 6 5" xfId="24349"/>
    <cellStyle name="40% - Accent3 4 6 5 2" xfId="24350"/>
    <cellStyle name="40% - Accent3 4 6 5 3" xfId="24351"/>
    <cellStyle name="40% - Accent3 4 6 6" xfId="24352"/>
    <cellStyle name="40% - Accent3 4 6 6 2" xfId="24353"/>
    <cellStyle name="40% - Accent3 4 6 6 3" xfId="24354"/>
    <cellStyle name="40% - Accent3 4 6 7" xfId="24355"/>
    <cellStyle name="40% - Accent3 4 6 7 2" xfId="24356"/>
    <cellStyle name="40% - Accent3 4 6 8" xfId="24357"/>
    <cellStyle name="40% - Accent3 4 6 9" xfId="24358"/>
    <cellStyle name="40% - Accent3 4 7" xfId="8976"/>
    <cellStyle name="40% - Accent3 4 7 2" xfId="24359"/>
    <cellStyle name="40% - Accent3 4 7 2 2" xfId="24360"/>
    <cellStyle name="40% - Accent3 4 7 2 2 2" xfId="24361"/>
    <cellStyle name="40% - Accent3 4 7 2 2 3" xfId="24362"/>
    <cellStyle name="40% - Accent3 4 7 2 3" xfId="24363"/>
    <cellStyle name="40% - Accent3 4 7 2 3 2" xfId="24364"/>
    <cellStyle name="40% - Accent3 4 7 2 3 3" xfId="24365"/>
    <cellStyle name="40% - Accent3 4 7 2 4" xfId="24366"/>
    <cellStyle name="40% - Accent3 4 7 2 4 2" xfId="24367"/>
    <cellStyle name="40% - Accent3 4 7 2 5" xfId="24368"/>
    <cellStyle name="40% - Accent3 4 7 2 6" xfId="24369"/>
    <cellStyle name="40% - Accent3 4 7 3" xfId="24370"/>
    <cellStyle name="40% - Accent3 4 7 3 2" xfId="24371"/>
    <cellStyle name="40% - Accent3 4 7 3 2 2" xfId="24372"/>
    <cellStyle name="40% - Accent3 4 7 3 2 3" xfId="24373"/>
    <cellStyle name="40% - Accent3 4 7 3 3" xfId="24374"/>
    <cellStyle name="40% - Accent3 4 7 3 3 2" xfId="24375"/>
    <cellStyle name="40% - Accent3 4 7 3 3 3" xfId="24376"/>
    <cellStyle name="40% - Accent3 4 7 3 4" xfId="24377"/>
    <cellStyle name="40% - Accent3 4 7 3 4 2" xfId="24378"/>
    <cellStyle name="40% - Accent3 4 7 3 5" xfId="24379"/>
    <cellStyle name="40% - Accent3 4 7 3 6" xfId="24380"/>
    <cellStyle name="40% - Accent3 4 7 4" xfId="24381"/>
    <cellStyle name="40% - Accent3 4 7 4 2" xfId="24382"/>
    <cellStyle name="40% - Accent3 4 7 4 2 2" xfId="24383"/>
    <cellStyle name="40% - Accent3 4 7 4 2 3" xfId="24384"/>
    <cellStyle name="40% - Accent3 4 7 4 3" xfId="24385"/>
    <cellStyle name="40% - Accent3 4 7 4 3 2" xfId="24386"/>
    <cellStyle name="40% - Accent3 4 7 4 4" xfId="24387"/>
    <cellStyle name="40% - Accent3 4 7 4 5" xfId="24388"/>
    <cellStyle name="40% - Accent3 4 7 5" xfId="24389"/>
    <cellStyle name="40% - Accent3 4 7 5 2" xfId="24390"/>
    <cellStyle name="40% - Accent3 4 7 5 3" xfId="24391"/>
    <cellStyle name="40% - Accent3 4 7 6" xfId="24392"/>
    <cellStyle name="40% - Accent3 4 7 6 2" xfId="24393"/>
    <cellStyle name="40% - Accent3 4 7 6 3" xfId="24394"/>
    <cellStyle name="40% - Accent3 4 7 7" xfId="24395"/>
    <cellStyle name="40% - Accent3 4 7 7 2" xfId="24396"/>
    <cellStyle name="40% - Accent3 4 7 8" xfId="24397"/>
    <cellStyle name="40% - Accent3 4 7 9" xfId="24398"/>
    <cellStyle name="40% - Accent3 4 8" xfId="24399"/>
    <cellStyle name="40% - Accent3 4 8 2" xfId="24400"/>
    <cellStyle name="40% - Accent3 4 8 2 2" xfId="24401"/>
    <cellStyle name="40% - Accent3 4 8 2 3" xfId="24402"/>
    <cellStyle name="40% - Accent3 4 8 3" xfId="24403"/>
    <cellStyle name="40% - Accent3 4 8 3 2" xfId="24404"/>
    <cellStyle name="40% - Accent3 4 8 3 3" xfId="24405"/>
    <cellStyle name="40% - Accent3 4 8 4" xfId="24406"/>
    <cellStyle name="40% - Accent3 4 8 4 2" xfId="24407"/>
    <cellStyle name="40% - Accent3 4 8 5" xfId="24408"/>
    <cellStyle name="40% - Accent3 4 8 6" xfId="24409"/>
    <cellStyle name="40% - Accent3 4 9" xfId="24410"/>
    <cellStyle name="40% - Accent3 4 9 2" xfId="24411"/>
    <cellStyle name="40% - Accent3 4 9 2 2" xfId="24412"/>
    <cellStyle name="40% - Accent3 4 9 2 3" xfId="24413"/>
    <cellStyle name="40% - Accent3 4 9 3" xfId="24414"/>
    <cellStyle name="40% - Accent3 4 9 3 2" xfId="24415"/>
    <cellStyle name="40% - Accent3 4 9 3 3" xfId="24416"/>
    <cellStyle name="40% - Accent3 4 9 4" xfId="24417"/>
    <cellStyle name="40% - Accent3 4 9 4 2" xfId="24418"/>
    <cellStyle name="40% - Accent3 4 9 5" xfId="24419"/>
    <cellStyle name="40% - Accent3 4 9 6" xfId="24420"/>
    <cellStyle name="40% - Accent3 5" xfId="2028"/>
    <cellStyle name="40% - Accent3 5 2" xfId="2029"/>
    <cellStyle name="40% - Accent3 5 2 2" xfId="2030"/>
    <cellStyle name="40% - Accent3 5 2 2 2" xfId="2031"/>
    <cellStyle name="40% - Accent3 5 2 2 2 2" xfId="2032"/>
    <cellStyle name="40% - Accent3 5 2 2 3" xfId="2033"/>
    <cellStyle name="40% - Accent3 5 2 3" xfId="2034"/>
    <cellStyle name="40% - Accent3 5 2 3 2" xfId="2035"/>
    <cellStyle name="40% - Accent3 5 2 4" xfId="2036"/>
    <cellStyle name="40% - Accent3 5 2 5" xfId="58052"/>
    <cellStyle name="40% - Accent3 5 3" xfId="2037"/>
    <cellStyle name="40% - Accent3 5 3 2" xfId="2038"/>
    <cellStyle name="40% - Accent3 5 3 2 2" xfId="2039"/>
    <cellStyle name="40% - Accent3 5 3 3" xfId="2040"/>
    <cellStyle name="40% - Accent3 5 4" xfId="2041"/>
    <cellStyle name="40% - Accent3 5 4 2" xfId="2042"/>
    <cellStyle name="40% - Accent3 5 5" xfId="2043"/>
    <cellStyle name="40% - Accent3 5 6" xfId="8977"/>
    <cellStyle name="40% - Accent3 6" xfId="2044"/>
    <cellStyle name="40% - Accent3 6 2" xfId="2045"/>
    <cellStyle name="40% - Accent3 6 2 2" xfId="2046"/>
    <cellStyle name="40% - Accent3 6 2 2 2" xfId="2047"/>
    <cellStyle name="40% - Accent3 6 2 3" xfId="2048"/>
    <cellStyle name="40% - Accent3 6 2 4" xfId="58053"/>
    <cellStyle name="40% - Accent3 6 2 5" xfId="58054"/>
    <cellStyle name="40% - Accent3 6 3" xfId="2049"/>
    <cellStyle name="40% - Accent3 6 3 2" xfId="2050"/>
    <cellStyle name="40% - Accent3 6 4" xfId="2051"/>
    <cellStyle name="40% - Accent3 6 5" xfId="58055"/>
    <cellStyle name="40% - Accent3 7" xfId="2052"/>
    <cellStyle name="40% - Accent3 7 2" xfId="2053"/>
    <cellStyle name="40% - Accent3 7 2 2" xfId="2054"/>
    <cellStyle name="40% - Accent3 7 2 2 2" xfId="2055"/>
    <cellStyle name="40% - Accent3 7 2 3" xfId="2056"/>
    <cellStyle name="40% - Accent3 7 3" xfId="2057"/>
    <cellStyle name="40% - Accent3 7 3 2" xfId="2058"/>
    <cellStyle name="40% - Accent3 7 4" xfId="2059"/>
    <cellStyle name="40% - Accent3 7 5" xfId="58056"/>
    <cellStyle name="40% - Accent3 8" xfId="2060"/>
    <cellStyle name="40% - Accent3 8 2" xfId="2061"/>
    <cellStyle name="40% - Accent3 8 2 2" xfId="2062"/>
    <cellStyle name="40% - Accent3 8 2 2 2" xfId="2063"/>
    <cellStyle name="40% - Accent3 8 2 3" xfId="2064"/>
    <cellStyle name="40% - Accent3 8 3" xfId="2065"/>
    <cellStyle name="40% - Accent3 8 3 2" xfId="2066"/>
    <cellStyle name="40% - Accent3 8 4" xfId="2067"/>
    <cellStyle name="40% - Accent3 8 5" xfId="58057"/>
    <cellStyle name="40% - Accent3 9" xfId="2068"/>
    <cellStyle name="40% - Accent3 9 2" xfId="2069"/>
    <cellStyle name="40% - Accent3 9 2 2" xfId="2070"/>
    <cellStyle name="40% - Accent3 9 3" xfId="2071"/>
    <cellStyle name="40% - Accent3 9 4" xfId="58058"/>
    <cellStyle name="40% - Accent4 10" xfId="2072"/>
    <cellStyle name="40% - Accent4 10 2" xfId="2073"/>
    <cellStyle name="40% - Accent4 10 2 2" xfId="2074"/>
    <cellStyle name="40% - Accent4 10 3" xfId="2075"/>
    <cellStyle name="40% - Accent4 10 4" xfId="58059"/>
    <cellStyle name="40% - Accent4 11" xfId="2076"/>
    <cellStyle name="40% - Accent4 11 2" xfId="2077"/>
    <cellStyle name="40% - Accent4 11 2 2" xfId="2078"/>
    <cellStyle name="40% - Accent4 11 3" xfId="2079"/>
    <cellStyle name="40% - Accent4 11 4" xfId="58060"/>
    <cellStyle name="40% - Accent4 12" xfId="2080"/>
    <cellStyle name="40% - Accent4 12 2" xfId="2081"/>
    <cellStyle name="40% - Accent4 12 3" xfId="58061"/>
    <cellStyle name="40% - Accent4 13" xfId="2082"/>
    <cellStyle name="40% - Accent4 13 2" xfId="58062"/>
    <cellStyle name="40% - Accent4 14" xfId="8978"/>
    <cellStyle name="40% - Accent4 15" xfId="9406"/>
    <cellStyle name="40% - Accent4 16" xfId="9407"/>
    <cellStyle name="40% - Accent4 17" xfId="9408"/>
    <cellStyle name="40% - Accent4 17 2" xfId="58063"/>
    <cellStyle name="40% - Accent4 18" xfId="58064"/>
    <cellStyle name="40% - Accent4 19" xfId="58065"/>
    <cellStyle name="40% - Accent4 2" xfId="2083"/>
    <cellStyle name="40% - Accent4 2 2" xfId="2084"/>
    <cellStyle name="40% - Accent4 2 2 2" xfId="2085"/>
    <cellStyle name="40% - Accent4 2 2 2 2" xfId="2086"/>
    <cellStyle name="40% - Accent4 2 2 2 2 2" xfId="2087"/>
    <cellStyle name="40% - Accent4 2 2 2 2 2 2" xfId="2088"/>
    <cellStyle name="40% - Accent4 2 2 2 2 2 2 2" xfId="2089"/>
    <cellStyle name="40% - Accent4 2 2 2 2 2 3" xfId="2090"/>
    <cellStyle name="40% - Accent4 2 2 2 2 3" xfId="2091"/>
    <cellStyle name="40% - Accent4 2 2 2 2 3 2" xfId="2092"/>
    <cellStyle name="40% - Accent4 2 2 2 2 4" xfId="2093"/>
    <cellStyle name="40% - Accent4 2 2 2 2 5" xfId="58066"/>
    <cellStyle name="40% - Accent4 2 2 2 3" xfId="2094"/>
    <cellStyle name="40% - Accent4 2 2 2 3 2" xfId="2095"/>
    <cellStyle name="40% - Accent4 2 2 2 3 2 2" xfId="2096"/>
    <cellStyle name="40% - Accent4 2 2 2 3 3" xfId="2097"/>
    <cellStyle name="40% - Accent4 2 2 2 4" xfId="2098"/>
    <cellStyle name="40% - Accent4 2 2 2 4 2" xfId="2099"/>
    <cellStyle name="40% - Accent4 2 2 2 5" xfId="2100"/>
    <cellStyle name="40% - Accent4 2 2 2 6" xfId="58067"/>
    <cellStyle name="40% - Accent4 2 2 3" xfId="2101"/>
    <cellStyle name="40% - Accent4 2 2 3 2" xfId="2102"/>
    <cellStyle name="40% - Accent4 2 2 3 2 2" xfId="2103"/>
    <cellStyle name="40% - Accent4 2 2 3 2 2 2" xfId="2104"/>
    <cellStyle name="40% - Accent4 2 2 3 2 3" xfId="2105"/>
    <cellStyle name="40% - Accent4 2 2 3 3" xfId="2106"/>
    <cellStyle name="40% - Accent4 2 2 3 3 2" xfId="2107"/>
    <cellStyle name="40% - Accent4 2 2 3 4" xfId="2108"/>
    <cellStyle name="40% - Accent4 2 2 3 5" xfId="58068"/>
    <cellStyle name="40% - Accent4 2 2 4" xfId="2109"/>
    <cellStyle name="40% - Accent4 2 2 4 2" xfId="2110"/>
    <cellStyle name="40% - Accent4 2 2 4 2 2" xfId="2111"/>
    <cellStyle name="40% - Accent4 2 2 4 3" xfId="2112"/>
    <cellStyle name="40% - Accent4 2 2 5" xfId="2113"/>
    <cellStyle name="40% - Accent4 2 2 5 2" xfId="2114"/>
    <cellStyle name="40% - Accent4 2 2 6" xfId="2115"/>
    <cellStyle name="40% - Accent4 2 2 7" xfId="58069"/>
    <cellStyle name="40% - Accent4 2 3" xfId="2116"/>
    <cellStyle name="40% - Accent4 2 3 2" xfId="2117"/>
    <cellStyle name="40% - Accent4 2 3 2 2" xfId="2118"/>
    <cellStyle name="40% - Accent4 2 3 2 2 2" xfId="2119"/>
    <cellStyle name="40% - Accent4 2 3 2 2 2 2" xfId="2120"/>
    <cellStyle name="40% - Accent4 2 3 2 2 3" xfId="2121"/>
    <cellStyle name="40% - Accent4 2 3 2 3" xfId="2122"/>
    <cellStyle name="40% - Accent4 2 3 2 3 2" xfId="2123"/>
    <cellStyle name="40% - Accent4 2 3 2 4" xfId="2124"/>
    <cellStyle name="40% - Accent4 2 3 3" xfId="2125"/>
    <cellStyle name="40% - Accent4 2 3 3 2" xfId="2126"/>
    <cellStyle name="40% - Accent4 2 3 3 2 2" xfId="2127"/>
    <cellStyle name="40% - Accent4 2 3 3 3" xfId="2128"/>
    <cellStyle name="40% - Accent4 2 3 4" xfId="2129"/>
    <cellStyle name="40% - Accent4 2 3 4 2" xfId="2130"/>
    <cellStyle name="40% - Accent4 2 3 5" xfId="2131"/>
    <cellStyle name="40% - Accent4 2 3 6" xfId="58070"/>
    <cellStyle name="40% - Accent4 2 4" xfId="2132"/>
    <cellStyle name="40% - Accent4 2 4 2" xfId="2133"/>
    <cellStyle name="40% - Accent4 2 4 2 2" xfId="2134"/>
    <cellStyle name="40% - Accent4 2 4 2 2 2" xfId="2135"/>
    <cellStyle name="40% - Accent4 2 4 2 3" xfId="2136"/>
    <cellStyle name="40% - Accent4 2 4 3" xfId="2137"/>
    <cellStyle name="40% - Accent4 2 4 3 2" xfId="2138"/>
    <cellStyle name="40% - Accent4 2 4 4" xfId="2139"/>
    <cellStyle name="40% - Accent4 2 4 5" xfId="58071"/>
    <cellStyle name="40% - Accent4 2 5" xfId="2140"/>
    <cellStyle name="40% - Accent4 2 5 2" xfId="2141"/>
    <cellStyle name="40% - Accent4 2 5 2 2" xfId="2142"/>
    <cellStyle name="40% - Accent4 2 5 3" xfId="2143"/>
    <cellStyle name="40% - Accent4 2 5 4" xfId="58072"/>
    <cellStyle name="40% - Accent4 2 6" xfId="2144"/>
    <cellStyle name="40% - Accent4 2 6 2" xfId="2145"/>
    <cellStyle name="40% - Accent4 2 6 3" xfId="58073"/>
    <cellStyle name="40% - Accent4 2 7" xfId="2146"/>
    <cellStyle name="40% - Accent4 2 8" xfId="2147"/>
    <cellStyle name="40% - Accent4 2 9" xfId="58074"/>
    <cellStyle name="40% - Accent4 20" xfId="58075"/>
    <cellStyle name="40% - Accent4 21" xfId="58076"/>
    <cellStyle name="40% - Accent4 3" xfId="2148"/>
    <cellStyle name="40% - Accent4 3 2" xfId="2149"/>
    <cellStyle name="40% - Accent4 3 2 2" xfId="2150"/>
    <cellStyle name="40% - Accent4 3 2 2 2" xfId="2151"/>
    <cellStyle name="40% - Accent4 3 2 2 2 2" xfId="2152"/>
    <cellStyle name="40% - Accent4 3 2 2 2 2 2" xfId="2153"/>
    <cellStyle name="40% - Accent4 3 2 2 2 2 2 2" xfId="2154"/>
    <cellStyle name="40% - Accent4 3 2 2 2 2 3" xfId="2155"/>
    <cellStyle name="40% - Accent4 3 2 2 2 3" xfId="2156"/>
    <cellStyle name="40% - Accent4 3 2 2 2 3 2" xfId="2157"/>
    <cellStyle name="40% - Accent4 3 2 2 2 4" xfId="2158"/>
    <cellStyle name="40% - Accent4 3 2 2 2 5" xfId="8979"/>
    <cellStyle name="40% - Accent4 3 2 2 3" xfId="2159"/>
    <cellStyle name="40% - Accent4 3 2 2 3 2" xfId="2160"/>
    <cellStyle name="40% - Accent4 3 2 2 3 2 2" xfId="2161"/>
    <cellStyle name="40% - Accent4 3 2 2 3 3" xfId="2162"/>
    <cellStyle name="40% - Accent4 3 2 2 4" xfId="2163"/>
    <cellStyle name="40% - Accent4 3 2 2 4 2" xfId="2164"/>
    <cellStyle name="40% - Accent4 3 2 2 5" xfId="2165"/>
    <cellStyle name="40% - Accent4 3 2 2 6" xfId="8980"/>
    <cellStyle name="40% - Accent4 3 2 3" xfId="2166"/>
    <cellStyle name="40% - Accent4 3 2 3 2" xfId="2167"/>
    <cellStyle name="40% - Accent4 3 2 3 2 2" xfId="2168"/>
    <cellStyle name="40% - Accent4 3 2 3 2 2 2" xfId="2169"/>
    <cellStyle name="40% - Accent4 3 2 3 2 3" xfId="2170"/>
    <cellStyle name="40% - Accent4 3 2 3 3" xfId="2171"/>
    <cellStyle name="40% - Accent4 3 2 3 3 2" xfId="2172"/>
    <cellStyle name="40% - Accent4 3 2 3 4" xfId="2173"/>
    <cellStyle name="40% - Accent4 3 2 3 5" xfId="8981"/>
    <cellStyle name="40% - Accent4 3 2 4" xfId="2174"/>
    <cellStyle name="40% - Accent4 3 2 4 2" xfId="2175"/>
    <cellStyle name="40% - Accent4 3 2 4 2 2" xfId="2176"/>
    <cellStyle name="40% - Accent4 3 2 4 3" xfId="2177"/>
    <cellStyle name="40% - Accent4 3 2 5" xfId="2178"/>
    <cellStyle name="40% - Accent4 3 2 5 2" xfId="2179"/>
    <cellStyle name="40% - Accent4 3 2 6" xfId="2180"/>
    <cellStyle name="40% - Accent4 3 2 7" xfId="8982"/>
    <cellStyle name="40% - Accent4 3 3" xfId="2181"/>
    <cellStyle name="40% - Accent4 3 3 2" xfId="2182"/>
    <cellStyle name="40% - Accent4 3 3 2 2" xfId="2183"/>
    <cellStyle name="40% - Accent4 3 3 2 2 2" xfId="2184"/>
    <cellStyle name="40% - Accent4 3 3 2 2 2 2" xfId="2185"/>
    <cellStyle name="40% - Accent4 3 3 2 2 3" xfId="2186"/>
    <cellStyle name="40% - Accent4 3 3 2 3" xfId="2187"/>
    <cellStyle name="40% - Accent4 3 3 2 3 2" xfId="2188"/>
    <cellStyle name="40% - Accent4 3 3 2 4" xfId="2189"/>
    <cellStyle name="40% - Accent4 3 3 2 5" xfId="8983"/>
    <cellStyle name="40% - Accent4 3 3 3" xfId="2190"/>
    <cellStyle name="40% - Accent4 3 3 3 2" xfId="2191"/>
    <cellStyle name="40% - Accent4 3 3 3 2 2" xfId="2192"/>
    <cellStyle name="40% - Accent4 3 3 3 3" xfId="2193"/>
    <cellStyle name="40% - Accent4 3 3 4" xfId="2194"/>
    <cellStyle name="40% - Accent4 3 3 4 2" xfId="2195"/>
    <cellStyle name="40% - Accent4 3 3 5" xfId="2196"/>
    <cellStyle name="40% - Accent4 3 3 6" xfId="8984"/>
    <cellStyle name="40% - Accent4 3 4" xfId="2197"/>
    <cellStyle name="40% - Accent4 3 4 2" xfId="2198"/>
    <cellStyle name="40% - Accent4 3 4 2 2" xfId="2199"/>
    <cellStyle name="40% - Accent4 3 4 2 2 2" xfId="2200"/>
    <cellStyle name="40% - Accent4 3 4 2 3" xfId="2201"/>
    <cellStyle name="40% - Accent4 3 4 3" xfId="2202"/>
    <cellStyle name="40% - Accent4 3 4 3 2" xfId="2203"/>
    <cellStyle name="40% - Accent4 3 4 4" xfId="2204"/>
    <cellStyle name="40% - Accent4 3 4 5" xfId="8985"/>
    <cellStyle name="40% - Accent4 3 5" xfId="2205"/>
    <cellStyle name="40% - Accent4 3 5 2" xfId="2206"/>
    <cellStyle name="40% - Accent4 3 5 2 2" xfId="2207"/>
    <cellStyle name="40% - Accent4 3 5 3" xfId="2208"/>
    <cellStyle name="40% - Accent4 3 6" xfId="2209"/>
    <cellStyle name="40% - Accent4 3 6 2" xfId="2210"/>
    <cellStyle name="40% - Accent4 3 7" xfId="2211"/>
    <cellStyle name="40% - Accent4 3 8" xfId="2212"/>
    <cellStyle name="40% - Accent4 3 9" xfId="8986"/>
    <cellStyle name="40% - Accent4 4" xfId="2213"/>
    <cellStyle name="40% - Accent4 4 10" xfId="24421"/>
    <cellStyle name="40% - Accent4 4 10 2" xfId="24422"/>
    <cellStyle name="40% - Accent4 4 10 2 2" xfId="24423"/>
    <cellStyle name="40% - Accent4 4 10 2 3" xfId="24424"/>
    <cellStyle name="40% - Accent4 4 10 3" xfId="24425"/>
    <cellStyle name="40% - Accent4 4 10 3 2" xfId="24426"/>
    <cellStyle name="40% - Accent4 4 10 4" xfId="24427"/>
    <cellStyle name="40% - Accent4 4 10 5" xfId="24428"/>
    <cellStyle name="40% - Accent4 4 11" xfId="24429"/>
    <cellStyle name="40% - Accent4 4 11 2" xfId="24430"/>
    <cellStyle name="40% - Accent4 4 11 3" xfId="24431"/>
    <cellStyle name="40% - Accent4 4 12" xfId="24432"/>
    <cellStyle name="40% - Accent4 4 12 2" xfId="24433"/>
    <cellStyle name="40% - Accent4 4 12 3" xfId="24434"/>
    <cellStyle name="40% - Accent4 4 13" xfId="24435"/>
    <cellStyle name="40% - Accent4 4 13 2" xfId="24436"/>
    <cellStyle name="40% - Accent4 4 14" xfId="24437"/>
    <cellStyle name="40% - Accent4 4 15" xfId="24438"/>
    <cellStyle name="40% - Accent4 4 16" xfId="24439"/>
    <cellStyle name="40% - Accent4 4 2" xfId="2214"/>
    <cellStyle name="40% - Accent4 4 2 10" xfId="24440"/>
    <cellStyle name="40% - Accent4 4 2 10 2" xfId="24441"/>
    <cellStyle name="40% - Accent4 4 2 10 3" xfId="24442"/>
    <cellStyle name="40% - Accent4 4 2 11" xfId="24443"/>
    <cellStyle name="40% - Accent4 4 2 11 2" xfId="24444"/>
    <cellStyle name="40% - Accent4 4 2 11 3" xfId="24445"/>
    <cellStyle name="40% - Accent4 4 2 12" xfId="24446"/>
    <cellStyle name="40% - Accent4 4 2 12 2" xfId="24447"/>
    <cellStyle name="40% - Accent4 4 2 13" xfId="24448"/>
    <cellStyle name="40% - Accent4 4 2 14" xfId="24449"/>
    <cellStyle name="40% - Accent4 4 2 15" xfId="24450"/>
    <cellStyle name="40% - Accent4 4 2 2" xfId="2215"/>
    <cellStyle name="40% - Accent4 4 2 2 10" xfId="24451"/>
    <cellStyle name="40% - Accent4 4 2 2 10 2" xfId="24452"/>
    <cellStyle name="40% - Accent4 4 2 2 10 3" xfId="24453"/>
    <cellStyle name="40% - Accent4 4 2 2 11" xfId="24454"/>
    <cellStyle name="40% - Accent4 4 2 2 11 2" xfId="24455"/>
    <cellStyle name="40% - Accent4 4 2 2 12" xfId="24456"/>
    <cellStyle name="40% - Accent4 4 2 2 13" xfId="24457"/>
    <cellStyle name="40% - Accent4 4 2 2 2" xfId="2216"/>
    <cellStyle name="40% - Accent4 4 2 2 2 10" xfId="24458"/>
    <cellStyle name="40% - Accent4 4 2 2 2 10 2" xfId="24459"/>
    <cellStyle name="40% - Accent4 4 2 2 2 11" xfId="24460"/>
    <cellStyle name="40% - Accent4 4 2 2 2 12" xfId="24461"/>
    <cellStyle name="40% - Accent4 4 2 2 2 2" xfId="2217"/>
    <cellStyle name="40% - Accent4 4 2 2 2 2 10" xfId="24462"/>
    <cellStyle name="40% - Accent4 4 2 2 2 2 2" xfId="2218"/>
    <cellStyle name="40% - Accent4 4 2 2 2 2 2 2" xfId="24463"/>
    <cellStyle name="40% - Accent4 4 2 2 2 2 2 2 2" xfId="24464"/>
    <cellStyle name="40% - Accent4 4 2 2 2 2 2 2 2 2" xfId="24465"/>
    <cellStyle name="40% - Accent4 4 2 2 2 2 2 2 2 3" xfId="24466"/>
    <cellStyle name="40% - Accent4 4 2 2 2 2 2 2 3" xfId="24467"/>
    <cellStyle name="40% - Accent4 4 2 2 2 2 2 2 3 2" xfId="24468"/>
    <cellStyle name="40% - Accent4 4 2 2 2 2 2 2 3 3" xfId="24469"/>
    <cellStyle name="40% - Accent4 4 2 2 2 2 2 2 4" xfId="24470"/>
    <cellStyle name="40% - Accent4 4 2 2 2 2 2 2 4 2" xfId="24471"/>
    <cellStyle name="40% - Accent4 4 2 2 2 2 2 2 5" xfId="24472"/>
    <cellStyle name="40% - Accent4 4 2 2 2 2 2 2 6" xfId="24473"/>
    <cellStyle name="40% - Accent4 4 2 2 2 2 2 3" xfId="24474"/>
    <cellStyle name="40% - Accent4 4 2 2 2 2 2 3 2" xfId="24475"/>
    <cellStyle name="40% - Accent4 4 2 2 2 2 2 3 2 2" xfId="24476"/>
    <cellStyle name="40% - Accent4 4 2 2 2 2 2 3 2 3" xfId="24477"/>
    <cellStyle name="40% - Accent4 4 2 2 2 2 2 3 3" xfId="24478"/>
    <cellStyle name="40% - Accent4 4 2 2 2 2 2 3 3 2" xfId="24479"/>
    <cellStyle name="40% - Accent4 4 2 2 2 2 2 3 3 3" xfId="24480"/>
    <cellStyle name="40% - Accent4 4 2 2 2 2 2 3 4" xfId="24481"/>
    <cellStyle name="40% - Accent4 4 2 2 2 2 2 3 4 2" xfId="24482"/>
    <cellStyle name="40% - Accent4 4 2 2 2 2 2 3 5" xfId="24483"/>
    <cellStyle name="40% - Accent4 4 2 2 2 2 2 3 6" xfId="24484"/>
    <cellStyle name="40% - Accent4 4 2 2 2 2 2 4" xfId="24485"/>
    <cellStyle name="40% - Accent4 4 2 2 2 2 2 4 2" xfId="24486"/>
    <cellStyle name="40% - Accent4 4 2 2 2 2 2 4 2 2" xfId="24487"/>
    <cellStyle name="40% - Accent4 4 2 2 2 2 2 4 2 3" xfId="24488"/>
    <cellStyle name="40% - Accent4 4 2 2 2 2 2 4 3" xfId="24489"/>
    <cellStyle name="40% - Accent4 4 2 2 2 2 2 4 3 2" xfId="24490"/>
    <cellStyle name="40% - Accent4 4 2 2 2 2 2 4 4" xfId="24491"/>
    <cellStyle name="40% - Accent4 4 2 2 2 2 2 4 5" xfId="24492"/>
    <cellStyle name="40% - Accent4 4 2 2 2 2 2 5" xfId="24493"/>
    <cellStyle name="40% - Accent4 4 2 2 2 2 2 5 2" xfId="24494"/>
    <cellStyle name="40% - Accent4 4 2 2 2 2 2 5 3" xfId="24495"/>
    <cellStyle name="40% - Accent4 4 2 2 2 2 2 6" xfId="24496"/>
    <cellStyle name="40% - Accent4 4 2 2 2 2 2 6 2" xfId="24497"/>
    <cellStyle name="40% - Accent4 4 2 2 2 2 2 6 3" xfId="24498"/>
    <cellStyle name="40% - Accent4 4 2 2 2 2 2 7" xfId="24499"/>
    <cellStyle name="40% - Accent4 4 2 2 2 2 2 7 2" xfId="24500"/>
    <cellStyle name="40% - Accent4 4 2 2 2 2 2 8" xfId="24501"/>
    <cellStyle name="40% - Accent4 4 2 2 2 2 2 9" xfId="24502"/>
    <cellStyle name="40% - Accent4 4 2 2 2 2 3" xfId="24503"/>
    <cellStyle name="40% - Accent4 4 2 2 2 2 3 2" xfId="24504"/>
    <cellStyle name="40% - Accent4 4 2 2 2 2 3 2 2" xfId="24505"/>
    <cellStyle name="40% - Accent4 4 2 2 2 2 3 2 3" xfId="24506"/>
    <cellStyle name="40% - Accent4 4 2 2 2 2 3 3" xfId="24507"/>
    <cellStyle name="40% - Accent4 4 2 2 2 2 3 3 2" xfId="24508"/>
    <cellStyle name="40% - Accent4 4 2 2 2 2 3 3 3" xfId="24509"/>
    <cellStyle name="40% - Accent4 4 2 2 2 2 3 4" xfId="24510"/>
    <cellStyle name="40% - Accent4 4 2 2 2 2 3 4 2" xfId="24511"/>
    <cellStyle name="40% - Accent4 4 2 2 2 2 3 5" xfId="24512"/>
    <cellStyle name="40% - Accent4 4 2 2 2 2 3 6" xfId="24513"/>
    <cellStyle name="40% - Accent4 4 2 2 2 2 4" xfId="24514"/>
    <cellStyle name="40% - Accent4 4 2 2 2 2 4 2" xfId="24515"/>
    <cellStyle name="40% - Accent4 4 2 2 2 2 4 2 2" xfId="24516"/>
    <cellStyle name="40% - Accent4 4 2 2 2 2 4 2 3" xfId="24517"/>
    <cellStyle name="40% - Accent4 4 2 2 2 2 4 3" xfId="24518"/>
    <cellStyle name="40% - Accent4 4 2 2 2 2 4 3 2" xfId="24519"/>
    <cellStyle name="40% - Accent4 4 2 2 2 2 4 3 3" xfId="24520"/>
    <cellStyle name="40% - Accent4 4 2 2 2 2 4 4" xfId="24521"/>
    <cellStyle name="40% - Accent4 4 2 2 2 2 4 4 2" xfId="24522"/>
    <cellStyle name="40% - Accent4 4 2 2 2 2 4 5" xfId="24523"/>
    <cellStyle name="40% - Accent4 4 2 2 2 2 4 6" xfId="24524"/>
    <cellStyle name="40% - Accent4 4 2 2 2 2 5" xfId="24525"/>
    <cellStyle name="40% - Accent4 4 2 2 2 2 5 2" xfId="24526"/>
    <cellStyle name="40% - Accent4 4 2 2 2 2 5 2 2" xfId="24527"/>
    <cellStyle name="40% - Accent4 4 2 2 2 2 5 2 3" xfId="24528"/>
    <cellStyle name="40% - Accent4 4 2 2 2 2 5 3" xfId="24529"/>
    <cellStyle name="40% - Accent4 4 2 2 2 2 5 3 2" xfId="24530"/>
    <cellStyle name="40% - Accent4 4 2 2 2 2 5 4" xfId="24531"/>
    <cellStyle name="40% - Accent4 4 2 2 2 2 5 5" xfId="24532"/>
    <cellStyle name="40% - Accent4 4 2 2 2 2 6" xfId="24533"/>
    <cellStyle name="40% - Accent4 4 2 2 2 2 6 2" xfId="24534"/>
    <cellStyle name="40% - Accent4 4 2 2 2 2 6 3" xfId="24535"/>
    <cellStyle name="40% - Accent4 4 2 2 2 2 7" xfId="24536"/>
    <cellStyle name="40% - Accent4 4 2 2 2 2 7 2" xfId="24537"/>
    <cellStyle name="40% - Accent4 4 2 2 2 2 7 3" xfId="24538"/>
    <cellStyle name="40% - Accent4 4 2 2 2 2 8" xfId="24539"/>
    <cellStyle name="40% - Accent4 4 2 2 2 2 8 2" xfId="24540"/>
    <cellStyle name="40% - Accent4 4 2 2 2 2 9" xfId="24541"/>
    <cellStyle name="40% - Accent4 4 2 2 2 3" xfId="2219"/>
    <cellStyle name="40% - Accent4 4 2 2 2 3 2" xfId="24542"/>
    <cellStyle name="40% - Accent4 4 2 2 2 3 2 2" xfId="24543"/>
    <cellStyle name="40% - Accent4 4 2 2 2 3 2 2 2" xfId="24544"/>
    <cellStyle name="40% - Accent4 4 2 2 2 3 2 2 3" xfId="24545"/>
    <cellStyle name="40% - Accent4 4 2 2 2 3 2 3" xfId="24546"/>
    <cellStyle name="40% - Accent4 4 2 2 2 3 2 3 2" xfId="24547"/>
    <cellStyle name="40% - Accent4 4 2 2 2 3 2 3 3" xfId="24548"/>
    <cellStyle name="40% - Accent4 4 2 2 2 3 2 4" xfId="24549"/>
    <cellStyle name="40% - Accent4 4 2 2 2 3 2 4 2" xfId="24550"/>
    <cellStyle name="40% - Accent4 4 2 2 2 3 2 5" xfId="24551"/>
    <cellStyle name="40% - Accent4 4 2 2 2 3 2 6" xfId="24552"/>
    <cellStyle name="40% - Accent4 4 2 2 2 3 3" xfId="24553"/>
    <cellStyle name="40% - Accent4 4 2 2 2 3 3 2" xfId="24554"/>
    <cellStyle name="40% - Accent4 4 2 2 2 3 3 2 2" xfId="24555"/>
    <cellStyle name="40% - Accent4 4 2 2 2 3 3 2 3" xfId="24556"/>
    <cellStyle name="40% - Accent4 4 2 2 2 3 3 3" xfId="24557"/>
    <cellStyle name="40% - Accent4 4 2 2 2 3 3 3 2" xfId="24558"/>
    <cellStyle name="40% - Accent4 4 2 2 2 3 3 3 3" xfId="24559"/>
    <cellStyle name="40% - Accent4 4 2 2 2 3 3 4" xfId="24560"/>
    <cellStyle name="40% - Accent4 4 2 2 2 3 3 4 2" xfId="24561"/>
    <cellStyle name="40% - Accent4 4 2 2 2 3 3 5" xfId="24562"/>
    <cellStyle name="40% - Accent4 4 2 2 2 3 3 6" xfId="24563"/>
    <cellStyle name="40% - Accent4 4 2 2 2 3 4" xfId="24564"/>
    <cellStyle name="40% - Accent4 4 2 2 2 3 4 2" xfId="24565"/>
    <cellStyle name="40% - Accent4 4 2 2 2 3 4 2 2" xfId="24566"/>
    <cellStyle name="40% - Accent4 4 2 2 2 3 4 2 3" xfId="24567"/>
    <cellStyle name="40% - Accent4 4 2 2 2 3 4 3" xfId="24568"/>
    <cellStyle name="40% - Accent4 4 2 2 2 3 4 3 2" xfId="24569"/>
    <cellStyle name="40% - Accent4 4 2 2 2 3 4 4" xfId="24570"/>
    <cellStyle name="40% - Accent4 4 2 2 2 3 4 5" xfId="24571"/>
    <cellStyle name="40% - Accent4 4 2 2 2 3 5" xfId="24572"/>
    <cellStyle name="40% - Accent4 4 2 2 2 3 5 2" xfId="24573"/>
    <cellStyle name="40% - Accent4 4 2 2 2 3 5 3" xfId="24574"/>
    <cellStyle name="40% - Accent4 4 2 2 2 3 6" xfId="24575"/>
    <cellStyle name="40% - Accent4 4 2 2 2 3 6 2" xfId="24576"/>
    <cellStyle name="40% - Accent4 4 2 2 2 3 6 3" xfId="24577"/>
    <cellStyle name="40% - Accent4 4 2 2 2 3 7" xfId="24578"/>
    <cellStyle name="40% - Accent4 4 2 2 2 3 7 2" xfId="24579"/>
    <cellStyle name="40% - Accent4 4 2 2 2 3 8" xfId="24580"/>
    <cellStyle name="40% - Accent4 4 2 2 2 3 9" xfId="24581"/>
    <cellStyle name="40% - Accent4 4 2 2 2 4" xfId="24582"/>
    <cellStyle name="40% - Accent4 4 2 2 2 4 2" xfId="24583"/>
    <cellStyle name="40% - Accent4 4 2 2 2 4 2 2" xfId="24584"/>
    <cellStyle name="40% - Accent4 4 2 2 2 4 2 2 2" xfId="24585"/>
    <cellStyle name="40% - Accent4 4 2 2 2 4 2 2 3" xfId="24586"/>
    <cellStyle name="40% - Accent4 4 2 2 2 4 2 3" xfId="24587"/>
    <cellStyle name="40% - Accent4 4 2 2 2 4 2 3 2" xfId="24588"/>
    <cellStyle name="40% - Accent4 4 2 2 2 4 2 3 3" xfId="24589"/>
    <cellStyle name="40% - Accent4 4 2 2 2 4 2 4" xfId="24590"/>
    <cellStyle name="40% - Accent4 4 2 2 2 4 2 4 2" xfId="24591"/>
    <cellStyle name="40% - Accent4 4 2 2 2 4 2 5" xfId="24592"/>
    <cellStyle name="40% - Accent4 4 2 2 2 4 2 6" xfId="24593"/>
    <cellStyle name="40% - Accent4 4 2 2 2 4 3" xfId="24594"/>
    <cellStyle name="40% - Accent4 4 2 2 2 4 3 2" xfId="24595"/>
    <cellStyle name="40% - Accent4 4 2 2 2 4 3 2 2" xfId="24596"/>
    <cellStyle name="40% - Accent4 4 2 2 2 4 3 2 3" xfId="24597"/>
    <cellStyle name="40% - Accent4 4 2 2 2 4 3 3" xfId="24598"/>
    <cellStyle name="40% - Accent4 4 2 2 2 4 3 3 2" xfId="24599"/>
    <cellStyle name="40% - Accent4 4 2 2 2 4 3 3 3" xfId="24600"/>
    <cellStyle name="40% - Accent4 4 2 2 2 4 3 4" xfId="24601"/>
    <cellStyle name="40% - Accent4 4 2 2 2 4 3 4 2" xfId="24602"/>
    <cellStyle name="40% - Accent4 4 2 2 2 4 3 5" xfId="24603"/>
    <cellStyle name="40% - Accent4 4 2 2 2 4 3 6" xfId="24604"/>
    <cellStyle name="40% - Accent4 4 2 2 2 4 4" xfId="24605"/>
    <cellStyle name="40% - Accent4 4 2 2 2 4 4 2" xfId="24606"/>
    <cellStyle name="40% - Accent4 4 2 2 2 4 4 2 2" xfId="24607"/>
    <cellStyle name="40% - Accent4 4 2 2 2 4 4 2 3" xfId="24608"/>
    <cellStyle name="40% - Accent4 4 2 2 2 4 4 3" xfId="24609"/>
    <cellStyle name="40% - Accent4 4 2 2 2 4 4 3 2" xfId="24610"/>
    <cellStyle name="40% - Accent4 4 2 2 2 4 4 4" xfId="24611"/>
    <cellStyle name="40% - Accent4 4 2 2 2 4 4 5" xfId="24612"/>
    <cellStyle name="40% - Accent4 4 2 2 2 4 5" xfId="24613"/>
    <cellStyle name="40% - Accent4 4 2 2 2 4 5 2" xfId="24614"/>
    <cellStyle name="40% - Accent4 4 2 2 2 4 5 3" xfId="24615"/>
    <cellStyle name="40% - Accent4 4 2 2 2 4 6" xfId="24616"/>
    <cellStyle name="40% - Accent4 4 2 2 2 4 6 2" xfId="24617"/>
    <cellStyle name="40% - Accent4 4 2 2 2 4 6 3" xfId="24618"/>
    <cellStyle name="40% - Accent4 4 2 2 2 4 7" xfId="24619"/>
    <cellStyle name="40% - Accent4 4 2 2 2 4 7 2" xfId="24620"/>
    <cellStyle name="40% - Accent4 4 2 2 2 4 8" xfId="24621"/>
    <cellStyle name="40% - Accent4 4 2 2 2 4 9" xfId="24622"/>
    <cellStyle name="40% - Accent4 4 2 2 2 5" xfId="24623"/>
    <cellStyle name="40% - Accent4 4 2 2 2 5 2" xfId="24624"/>
    <cellStyle name="40% - Accent4 4 2 2 2 5 2 2" xfId="24625"/>
    <cellStyle name="40% - Accent4 4 2 2 2 5 2 3" xfId="24626"/>
    <cellStyle name="40% - Accent4 4 2 2 2 5 3" xfId="24627"/>
    <cellStyle name="40% - Accent4 4 2 2 2 5 3 2" xfId="24628"/>
    <cellStyle name="40% - Accent4 4 2 2 2 5 3 3" xfId="24629"/>
    <cellStyle name="40% - Accent4 4 2 2 2 5 4" xfId="24630"/>
    <cellStyle name="40% - Accent4 4 2 2 2 5 4 2" xfId="24631"/>
    <cellStyle name="40% - Accent4 4 2 2 2 5 5" xfId="24632"/>
    <cellStyle name="40% - Accent4 4 2 2 2 5 6" xfId="24633"/>
    <cellStyle name="40% - Accent4 4 2 2 2 6" xfId="24634"/>
    <cellStyle name="40% - Accent4 4 2 2 2 6 2" xfId="24635"/>
    <cellStyle name="40% - Accent4 4 2 2 2 6 2 2" xfId="24636"/>
    <cellStyle name="40% - Accent4 4 2 2 2 6 2 3" xfId="24637"/>
    <cellStyle name="40% - Accent4 4 2 2 2 6 3" xfId="24638"/>
    <cellStyle name="40% - Accent4 4 2 2 2 6 3 2" xfId="24639"/>
    <cellStyle name="40% - Accent4 4 2 2 2 6 3 3" xfId="24640"/>
    <cellStyle name="40% - Accent4 4 2 2 2 6 4" xfId="24641"/>
    <cellStyle name="40% - Accent4 4 2 2 2 6 4 2" xfId="24642"/>
    <cellStyle name="40% - Accent4 4 2 2 2 6 5" xfId="24643"/>
    <cellStyle name="40% - Accent4 4 2 2 2 6 6" xfId="24644"/>
    <cellStyle name="40% - Accent4 4 2 2 2 7" xfId="24645"/>
    <cellStyle name="40% - Accent4 4 2 2 2 7 2" xfId="24646"/>
    <cellStyle name="40% - Accent4 4 2 2 2 7 2 2" xfId="24647"/>
    <cellStyle name="40% - Accent4 4 2 2 2 7 2 3" xfId="24648"/>
    <cellStyle name="40% - Accent4 4 2 2 2 7 3" xfId="24649"/>
    <cellStyle name="40% - Accent4 4 2 2 2 7 3 2" xfId="24650"/>
    <cellStyle name="40% - Accent4 4 2 2 2 7 4" xfId="24651"/>
    <cellStyle name="40% - Accent4 4 2 2 2 7 5" xfId="24652"/>
    <cellStyle name="40% - Accent4 4 2 2 2 8" xfId="24653"/>
    <cellStyle name="40% - Accent4 4 2 2 2 8 2" xfId="24654"/>
    <cellStyle name="40% - Accent4 4 2 2 2 8 3" xfId="24655"/>
    <cellStyle name="40% - Accent4 4 2 2 2 9" xfId="24656"/>
    <cellStyle name="40% - Accent4 4 2 2 2 9 2" xfId="24657"/>
    <cellStyle name="40% - Accent4 4 2 2 2 9 3" xfId="24658"/>
    <cellStyle name="40% - Accent4 4 2 2 3" xfId="2220"/>
    <cellStyle name="40% - Accent4 4 2 2 3 10" xfId="24659"/>
    <cellStyle name="40% - Accent4 4 2 2 3 2" xfId="2221"/>
    <cellStyle name="40% - Accent4 4 2 2 3 2 2" xfId="24660"/>
    <cellStyle name="40% - Accent4 4 2 2 3 2 2 2" xfId="24661"/>
    <cellStyle name="40% - Accent4 4 2 2 3 2 2 2 2" xfId="24662"/>
    <cellStyle name="40% - Accent4 4 2 2 3 2 2 2 3" xfId="24663"/>
    <cellStyle name="40% - Accent4 4 2 2 3 2 2 3" xfId="24664"/>
    <cellStyle name="40% - Accent4 4 2 2 3 2 2 3 2" xfId="24665"/>
    <cellStyle name="40% - Accent4 4 2 2 3 2 2 3 3" xfId="24666"/>
    <cellStyle name="40% - Accent4 4 2 2 3 2 2 4" xfId="24667"/>
    <cellStyle name="40% - Accent4 4 2 2 3 2 2 4 2" xfId="24668"/>
    <cellStyle name="40% - Accent4 4 2 2 3 2 2 5" xfId="24669"/>
    <cellStyle name="40% - Accent4 4 2 2 3 2 2 6" xfId="24670"/>
    <cellStyle name="40% - Accent4 4 2 2 3 2 3" xfId="24671"/>
    <cellStyle name="40% - Accent4 4 2 2 3 2 3 2" xfId="24672"/>
    <cellStyle name="40% - Accent4 4 2 2 3 2 3 2 2" xfId="24673"/>
    <cellStyle name="40% - Accent4 4 2 2 3 2 3 2 3" xfId="24674"/>
    <cellStyle name="40% - Accent4 4 2 2 3 2 3 3" xfId="24675"/>
    <cellStyle name="40% - Accent4 4 2 2 3 2 3 3 2" xfId="24676"/>
    <cellStyle name="40% - Accent4 4 2 2 3 2 3 3 3" xfId="24677"/>
    <cellStyle name="40% - Accent4 4 2 2 3 2 3 4" xfId="24678"/>
    <cellStyle name="40% - Accent4 4 2 2 3 2 3 4 2" xfId="24679"/>
    <cellStyle name="40% - Accent4 4 2 2 3 2 3 5" xfId="24680"/>
    <cellStyle name="40% - Accent4 4 2 2 3 2 3 6" xfId="24681"/>
    <cellStyle name="40% - Accent4 4 2 2 3 2 4" xfId="24682"/>
    <cellStyle name="40% - Accent4 4 2 2 3 2 4 2" xfId="24683"/>
    <cellStyle name="40% - Accent4 4 2 2 3 2 4 2 2" xfId="24684"/>
    <cellStyle name="40% - Accent4 4 2 2 3 2 4 2 3" xfId="24685"/>
    <cellStyle name="40% - Accent4 4 2 2 3 2 4 3" xfId="24686"/>
    <cellStyle name="40% - Accent4 4 2 2 3 2 4 3 2" xfId="24687"/>
    <cellStyle name="40% - Accent4 4 2 2 3 2 4 4" xfId="24688"/>
    <cellStyle name="40% - Accent4 4 2 2 3 2 4 5" xfId="24689"/>
    <cellStyle name="40% - Accent4 4 2 2 3 2 5" xfId="24690"/>
    <cellStyle name="40% - Accent4 4 2 2 3 2 5 2" xfId="24691"/>
    <cellStyle name="40% - Accent4 4 2 2 3 2 5 3" xfId="24692"/>
    <cellStyle name="40% - Accent4 4 2 2 3 2 6" xfId="24693"/>
    <cellStyle name="40% - Accent4 4 2 2 3 2 6 2" xfId="24694"/>
    <cellStyle name="40% - Accent4 4 2 2 3 2 6 3" xfId="24695"/>
    <cellStyle name="40% - Accent4 4 2 2 3 2 7" xfId="24696"/>
    <cellStyle name="40% - Accent4 4 2 2 3 2 7 2" xfId="24697"/>
    <cellStyle name="40% - Accent4 4 2 2 3 2 8" xfId="24698"/>
    <cellStyle name="40% - Accent4 4 2 2 3 2 9" xfId="24699"/>
    <cellStyle name="40% - Accent4 4 2 2 3 3" xfId="24700"/>
    <cellStyle name="40% - Accent4 4 2 2 3 3 2" xfId="24701"/>
    <cellStyle name="40% - Accent4 4 2 2 3 3 2 2" xfId="24702"/>
    <cellStyle name="40% - Accent4 4 2 2 3 3 2 3" xfId="24703"/>
    <cellStyle name="40% - Accent4 4 2 2 3 3 3" xfId="24704"/>
    <cellStyle name="40% - Accent4 4 2 2 3 3 3 2" xfId="24705"/>
    <cellStyle name="40% - Accent4 4 2 2 3 3 3 3" xfId="24706"/>
    <cellStyle name="40% - Accent4 4 2 2 3 3 4" xfId="24707"/>
    <cellStyle name="40% - Accent4 4 2 2 3 3 4 2" xfId="24708"/>
    <cellStyle name="40% - Accent4 4 2 2 3 3 5" xfId="24709"/>
    <cellStyle name="40% - Accent4 4 2 2 3 3 6" xfId="24710"/>
    <cellStyle name="40% - Accent4 4 2 2 3 4" xfId="24711"/>
    <cellStyle name="40% - Accent4 4 2 2 3 4 2" xfId="24712"/>
    <cellStyle name="40% - Accent4 4 2 2 3 4 2 2" xfId="24713"/>
    <cellStyle name="40% - Accent4 4 2 2 3 4 2 3" xfId="24714"/>
    <cellStyle name="40% - Accent4 4 2 2 3 4 3" xfId="24715"/>
    <cellStyle name="40% - Accent4 4 2 2 3 4 3 2" xfId="24716"/>
    <cellStyle name="40% - Accent4 4 2 2 3 4 3 3" xfId="24717"/>
    <cellStyle name="40% - Accent4 4 2 2 3 4 4" xfId="24718"/>
    <cellStyle name="40% - Accent4 4 2 2 3 4 4 2" xfId="24719"/>
    <cellStyle name="40% - Accent4 4 2 2 3 4 5" xfId="24720"/>
    <cellStyle name="40% - Accent4 4 2 2 3 4 6" xfId="24721"/>
    <cellStyle name="40% - Accent4 4 2 2 3 5" xfId="24722"/>
    <cellStyle name="40% - Accent4 4 2 2 3 5 2" xfId="24723"/>
    <cellStyle name="40% - Accent4 4 2 2 3 5 2 2" xfId="24724"/>
    <cellStyle name="40% - Accent4 4 2 2 3 5 2 3" xfId="24725"/>
    <cellStyle name="40% - Accent4 4 2 2 3 5 3" xfId="24726"/>
    <cellStyle name="40% - Accent4 4 2 2 3 5 3 2" xfId="24727"/>
    <cellStyle name="40% - Accent4 4 2 2 3 5 4" xfId="24728"/>
    <cellStyle name="40% - Accent4 4 2 2 3 5 5" xfId="24729"/>
    <cellStyle name="40% - Accent4 4 2 2 3 6" xfId="24730"/>
    <cellStyle name="40% - Accent4 4 2 2 3 6 2" xfId="24731"/>
    <cellStyle name="40% - Accent4 4 2 2 3 6 3" xfId="24732"/>
    <cellStyle name="40% - Accent4 4 2 2 3 7" xfId="24733"/>
    <cellStyle name="40% - Accent4 4 2 2 3 7 2" xfId="24734"/>
    <cellStyle name="40% - Accent4 4 2 2 3 7 3" xfId="24735"/>
    <cellStyle name="40% - Accent4 4 2 2 3 8" xfId="24736"/>
    <cellStyle name="40% - Accent4 4 2 2 3 8 2" xfId="24737"/>
    <cellStyle name="40% - Accent4 4 2 2 3 9" xfId="24738"/>
    <cellStyle name="40% - Accent4 4 2 2 4" xfId="2222"/>
    <cellStyle name="40% - Accent4 4 2 2 4 2" xfId="24739"/>
    <cellStyle name="40% - Accent4 4 2 2 4 2 2" xfId="24740"/>
    <cellStyle name="40% - Accent4 4 2 2 4 2 2 2" xfId="24741"/>
    <cellStyle name="40% - Accent4 4 2 2 4 2 2 3" xfId="24742"/>
    <cellStyle name="40% - Accent4 4 2 2 4 2 3" xfId="24743"/>
    <cellStyle name="40% - Accent4 4 2 2 4 2 3 2" xfId="24744"/>
    <cellStyle name="40% - Accent4 4 2 2 4 2 3 3" xfId="24745"/>
    <cellStyle name="40% - Accent4 4 2 2 4 2 4" xfId="24746"/>
    <cellStyle name="40% - Accent4 4 2 2 4 2 4 2" xfId="24747"/>
    <cellStyle name="40% - Accent4 4 2 2 4 2 5" xfId="24748"/>
    <cellStyle name="40% - Accent4 4 2 2 4 2 6" xfId="24749"/>
    <cellStyle name="40% - Accent4 4 2 2 4 3" xfId="24750"/>
    <cellStyle name="40% - Accent4 4 2 2 4 3 2" xfId="24751"/>
    <cellStyle name="40% - Accent4 4 2 2 4 3 2 2" xfId="24752"/>
    <cellStyle name="40% - Accent4 4 2 2 4 3 2 3" xfId="24753"/>
    <cellStyle name="40% - Accent4 4 2 2 4 3 3" xfId="24754"/>
    <cellStyle name="40% - Accent4 4 2 2 4 3 3 2" xfId="24755"/>
    <cellStyle name="40% - Accent4 4 2 2 4 3 3 3" xfId="24756"/>
    <cellStyle name="40% - Accent4 4 2 2 4 3 4" xfId="24757"/>
    <cellStyle name="40% - Accent4 4 2 2 4 3 4 2" xfId="24758"/>
    <cellStyle name="40% - Accent4 4 2 2 4 3 5" xfId="24759"/>
    <cellStyle name="40% - Accent4 4 2 2 4 3 6" xfId="24760"/>
    <cellStyle name="40% - Accent4 4 2 2 4 4" xfId="24761"/>
    <cellStyle name="40% - Accent4 4 2 2 4 4 2" xfId="24762"/>
    <cellStyle name="40% - Accent4 4 2 2 4 4 2 2" xfId="24763"/>
    <cellStyle name="40% - Accent4 4 2 2 4 4 2 3" xfId="24764"/>
    <cellStyle name="40% - Accent4 4 2 2 4 4 3" xfId="24765"/>
    <cellStyle name="40% - Accent4 4 2 2 4 4 3 2" xfId="24766"/>
    <cellStyle name="40% - Accent4 4 2 2 4 4 4" xfId="24767"/>
    <cellStyle name="40% - Accent4 4 2 2 4 4 5" xfId="24768"/>
    <cellStyle name="40% - Accent4 4 2 2 4 5" xfId="24769"/>
    <cellStyle name="40% - Accent4 4 2 2 4 5 2" xfId="24770"/>
    <cellStyle name="40% - Accent4 4 2 2 4 5 3" xfId="24771"/>
    <cellStyle name="40% - Accent4 4 2 2 4 6" xfId="24772"/>
    <cellStyle name="40% - Accent4 4 2 2 4 6 2" xfId="24773"/>
    <cellStyle name="40% - Accent4 4 2 2 4 6 3" xfId="24774"/>
    <cellStyle name="40% - Accent4 4 2 2 4 7" xfId="24775"/>
    <cellStyle name="40% - Accent4 4 2 2 4 7 2" xfId="24776"/>
    <cellStyle name="40% - Accent4 4 2 2 4 8" xfId="24777"/>
    <cellStyle name="40% - Accent4 4 2 2 4 9" xfId="24778"/>
    <cellStyle name="40% - Accent4 4 2 2 5" xfId="24779"/>
    <cellStyle name="40% - Accent4 4 2 2 5 2" xfId="24780"/>
    <cellStyle name="40% - Accent4 4 2 2 5 2 2" xfId="24781"/>
    <cellStyle name="40% - Accent4 4 2 2 5 2 2 2" xfId="24782"/>
    <cellStyle name="40% - Accent4 4 2 2 5 2 2 3" xfId="24783"/>
    <cellStyle name="40% - Accent4 4 2 2 5 2 3" xfId="24784"/>
    <cellStyle name="40% - Accent4 4 2 2 5 2 3 2" xfId="24785"/>
    <cellStyle name="40% - Accent4 4 2 2 5 2 3 3" xfId="24786"/>
    <cellStyle name="40% - Accent4 4 2 2 5 2 4" xfId="24787"/>
    <cellStyle name="40% - Accent4 4 2 2 5 2 4 2" xfId="24788"/>
    <cellStyle name="40% - Accent4 4 2 2 5 2 5" xfId="24789"/>
    <cellStyle name="40% - Accent4 4 2 2 5 2 6" xfId="24790"/>
    <cellStyle name="40% - Accent4 4 2 2 5 3" xfId="24791"/>
    <cellStyle name="40% - Accent4 4 2 2 5 3 2" xfId="24792"/>
    <cellStyle name="40% - Accent4 4 2 2 5 3 2 2" xfId="24793"/>
    <cellStyle name="40% - Accent4 4 2 2 5 3 2 3" xfId="24794"/>
    <cellStyle name="40% - Accent4 4 2 2 5 3 3" xfId="24795"/>
    <cellStyle name="40% - Accent4 4 2 2 5 3 3 2" xfId="24796"/>
    <cellStyle name="40% - Accent4 4 2 2 5 3 3 3" xfId="24797"/>
    <cellStyle name="40% - Accent4 4 2 2 5 3 4" xfId="24798"/>
    <cellStyle name="40% - Accent4 4 2 2 5 3 4 2" xfId="24799"/>
    <cellStyle name="40% - Accent4 4 2 2 5 3 5" xfId="24800"/>
    <cellStyle name="40% - Accent4 4 2 2 5 3 6" xfId="24801"/>
    <cellStyle name="40% - Accent4 4 2 2 5 4" xfId="24802"/>
    <cellStyle name="40% - Accent4 4 2 2 5 4 2" xfId="24803"/>
    <cellStyle name="40% - Accent4 4 2 2 5 4 2 2" xfId="24804"/>
    <cellStyle name="40% - Accent4 4 2 2 5 4 2 3" xfId="24805"/>
    <cellStyle name="40% - Accent4 4 2 2 5 4 3" xfId="24806"/>
    <cellStyle name="40% - Accent4 4 2 2 5 4 3 2" xfId="24807"/>
    <cellStyle name="40% - Accent4 4 2 2 5 4 4" xfId="24808"/>
    <cellStyle name="40% - Accent4 4 2 2 5 4 5" xfId="24809"/>
    <cellStyle name="40% - Accent4 4 2 2 5 5" xfId="24810"/>
    <cellStyle name="40% - Accent4 4 2 2 5 5 2" xfId="24811"/>
    <cellStyle name="40% - Accent4 4 2 2 5 5 3" xfId="24812"/>
    <cellStyle name="40% - Accent4 4 2 2 5 6" xfId="24813"/>
    <cellStyle name="40% - Accent4 4 2 2 5 6 2" xfId="24814"/>
    <cellStyle name="40% - Accent4 4 2 2 5 6 3" xfId="24815"/>
    <cellStyle name="40% - Accent4 4 2 2 5 7" xfId="24816"/>
    <cellStyle name="40% - Accent4 4 2 2 5 7 2" xfId="24817"/>
    <cellStyle name="40% - Accent4 4 2 2 5 8" xfId="24818"/>
    <cellStyle name="40% - Accent4 4 2 2 5 9" xfId="24819"/>
    <cellStyle name="40% - Accent4 4 2 2 6" xfId="24820"/>
    <cellStyle name="40% - Accent4 4 2 2 6 2" xfId="24821"/>
    <cellStyle name="40% - Accent4 4 2 2 6 2 2" xfId="24822"/>
    <cellStyle name="40% - Accent4 4 2 2 6 2 3" xfId="24823"/>
    <cellStyle name="40% - Accent4 4 2 2 6 3" xfId="24824"/>
    <cellStyle name="40% - Accent4 4 2 2 6 3 2" xfId="24825"/>
    <cellStyle name="40% - Accent4 4 2 2 6 3 3" xfId="24826"/>
    <cellStyle name="40% - Accent4 4 2 2 6 4" xfId="24827"/>
    <cellStyle name="40% - Accent4 4 2 2 6 4 2" xfId="24828"/>
    <cellStyle name="40% - Accent4 4 2 2 6 5" xfId="24829"/>
    <cellStyle name="40% - Accent4 4 2 2 6 6" xfId="24830"/>
    <cellStyle name="40% - Accent4 4 2 2 7" xfId="24831"/>
    <cellStyle name="40% - Accent4 4 2 2 7 2" xfId="24832"/>
    <cellStyle name="40% - Accent4 4 2 2 7 2 2" xfId="24833"/>
    <cellStyle name="40% - Accent4 4 2 2 7 2 3" xfId="24834"/>
    <cellStyle name="40% - Accent4 4 2 2 7 3" xfId="24835"/>
    <cellStyle name="40% - Accent4 4 2 2 7 3 2" xfId="24836"/>
    <cellStyle name="40% - Accent4 4 2 2 7 3 3" xfId="24837"/>
    <cellStyle name="40% - Accent4 4 2 2 7 4" xfId="24838"/>
    <cellStyle name="40% - Accent4 4 2 2 7 4 2" xfId="24839"/>
    <cellStyle name="40% - Accent4 4 2 2 7 5" xfId="24840"/>
    <cellStyle name="40% - Accent4 4 2 2 7 6" xfId="24841"/>
    <cellStyle name="40% - Accent4 4 2 2 8" xfId="24842"/>
    <cellStyle name="40% - Accent4 4 2 2 8 2" xfId="24843"/>
    <cellStyle name="40% - Accent4 4 2 2 8 2 2" xfId="24844"/>
    <cellStyle name="40% - Accent4 4 2 2 8 2 3" xfId="24845"/>
    <cellStyle name="40% - Accent4 4 2 2 8 3" xfId="24846"/>
    <cellStyle name="40% - Accent4 4 2 2 8 3 2" xfId="24847"/>
    <cellStyle name="40% - Accent4 4 2 2 8 4" xfId="24848"/>
    <cellStyle name="40% - Accent4 4 2 2 8 5" xfId="24849"/>
    <cellStyle name="40% - Accent4 4 2 2 9" xfId="24850"/>
    <cellStyle name="40% - Accent4 4 2 2 9 2" xfId="24851"/>
    <cellStyle name="40% - Accent4 4 2 2 9 3" xfId="24852"/>
    <cellStyle name="40% - Accent4 4 2 3" xfId="2223"/>
    <cellStyle name="40% - Accent4 4 2 3 10" xfId="24853"/>
    <cellStyle name="40% - Accent4 4 2 3 10 2" xfId="24854"/>
    <cellStyle name="40% - Accent4 4 2 3 11" xfId="24855"/>
    <cellStyle name="40% - Accent4 4 2 3 12" xfId="24856"/>
    <cellStyle name="40% - Accent4 4 2 3 2" xfId="2224"/>
    <cellStyle name="40% - Accent4 4 2 3 2 10" xfId="24857"/>
    <cellStyle name="40% - Accent4 4 2 3 2 2" xfId="2225"/>
    <cellStyle name="40% - Accent4 4 2 3 2 2 2" xfId="24858"/>
    <cellStyle name="40% - Accent4 4 2 3 2 2 2 2" xfId="24859"/>
    <cellStyle name="40% - Accent4 4 2 3 2 2 2 2 2" xfId="24860"/>
    <cellStyle name="40% - Accent4 4 2 3 2 2 2 2 3" xfId="24861"/>
    <cellStyle name="40% - Accent4 4 2 3 2 2 2 3" xfId="24862"/>
    <cellStyle name="40% - Accent4 4 2 3 2 2 2 3 2" xfId="24863"/>
    <cellStyle name="40% - Accent4 4 2 3 2 2 2 3 3" xfId="24864"/>
    <cellStyle name="40% - Accent4 4 2 3 2 2 2 4" xfId="24865"/>
    <cellStyle name="40% - Accent4 4 2 3 2 2 2 4 2" xfId="24866"/>
    <cellStyle name="40% - Accent4 4 2 3 2 2 2 5" xfId="24867"/>
    <cellStyle name="40% - Accent4 4 2 3 2 2 2 6" xfId="24868"/>
    <cellStyle name="40% - Accent4 4 2 3 2 2 3" xfId="24869"/>
    <cellStyle name="40% - Accent4 4 2 3 2 2 3 2" xfId="24870"/>
    <cellStyle name="40% - Accent4 4 2 3 2 2 3 2 2" xfId="24871"/>
    <cellStyle name="40% - Accent4 4 2 3 2 2 3 2 3" xfId="24872"/>
    <cellStyle name="40% - Accent4 4 2 3 2 2 3 3" xfId="24873"/>
    <cellStyle name="40% - Accent4 4 2 3 2 2 3 3 2" xfId="24874"/>
    <cellStyle name="40% - Accent4 4 2 3 2 2 3 3 3" xfId="24875"/>
    <cellStyle name="40% - Accent4 4 2 3 2 2 3 4" xfId="24876"/>
    <cellStyle name="40% - Accent4 4 2 3 2 2 3 4 2" xfId="24877"/>
    <cellStyle name="40% - Accent4 4 2 3 2 2 3 5" xfId="24878"/>
    <cellStyle name="40% - Accent4 4 2 3 2 2 3 6" xfId="24879"/>
    <cellStyle name="40% - Accent4 4 2 3 2 2 4" xfId="24880"/>
    <cellStyle name="40% - Accent4 4 2 3 2 2 4 2" xfId="24881"/>
    <cellStyle name="40% - Accent4 4 2 3 2 2 4 2 2" xfId="24882"/>
    <cellStyle name="40% - Accent4 4 2 3 2 2 4 2 3" xfId="24883"/>
    <cellStyle name="40% - Accent4 4 2 3 2 2 4 3" xfId="24884"/>
    <cellStyle name="40% - Accent4 4 2 3 2 2 4 3 2" xfId="24885"/>
    <cellStyle name="40% - Accent4 4 2 3 2 2 4 4" xfId="24886"/>
    <cellStyle name="40% - Accent4 4 2 3 2 2 4 5" xfId="24887"/>
    <cellStyle name="40% - Accent4 4 2 3 2 2 5" xfId="24888"/>
    <cellStyle name="40% - Accent4 4 2 3 2 2 5 2" xfId="24889"/>
    <cellStyle name="40% - Accent4 4 2 3 2 2 5 3" xfId="24890"/>
    <cellStyle name="40% - Accent4 4 2 3 2 2 6" xfId="24891"/>
    <cellStyle name="40% - Accent4 4 2 3 2 2 6 2" xfId="24892"/>
    <cellStyle name="40% - Accent4 4 2 3 2 2 6 3" xfId="24893"/>
    <cellStyle name="40% - Accent4 4 2 3 2 2 7" xfId="24894"/>
    <cellStyle name="40% - Accent4 4 2 3 2 2 7 2" xfId="24895"/>
    <cellStyle name="40% - Accent4 4 2 3 2 2 8" xfId="24896"/>
    <cellStyle name="40% - Accent4 4 2 3 2 2 9" xfId="24897"/>
    <cellStyle name="40% - Accent4 4 2 3 2 3" xfId="24898"/>
    <cellStyle name="40% - Accent4 4 2 3 2 3 2" xfId="24899"/>
    <cellStyle name="40% - Accent4 4 2 3 2 3 2 2" xfId="24900"/>
    <cellStyle name="40% - Accent4 4 2 3 2 3 2 3" xfId="24901"/>
    <cellStyle name="40% - Accent4 4 2 3 2 3 3" xfId="24902"/>
    <cellStyle name="40% - Accent4 4 2 3 2 3 3 2" xfId="24903"/>
    <cellStyle name="40% - Accent4 4 2 3 2 3 3 3" xfId="24904"/>
    <cellStyle name="40% - Accent4 4 2 3 2 3 4" xfId="24905"/>
    <cellStyle name="40% - Accent4 4 2 3 2 3 4 2" xfId="24906"/>
    <cellStyle name="40% - Accent4 4 2 3 2 3 5" xfId="24907"/>
    <cellStyle name="40% - Accent4 4 2 3 2 3 6" xfId="24908"/>
    <cellStyle name="40% - Accent4 4 2 3 2 4" xfId="24909"/>
    <cellStyle name="40% - Accent4 4 2 3 2 4 2" xfId="24910"/>
    <cellStyle name="40% - Accent4 4 2 3 2 4 2 2" xfId="24911"/>
    <cellStyle name="40% - Accent4 4 2 3 2 4 2 3" xfId="24912"/>
    <cellStyle name="40% - Accent4 4 2 3 2 4 3" xfId="24913"/>
    <cellStyle name="40% - Accent4 4 2 3 2 4 3 2" xfId="24914"/>
    <cellStyle name="40% - Accent4 4 2 3 2 4 3 3" xfId="24915"/>
    <cellStyle name="40% - Accent4 4 2 3 2 4 4" xfId="24916"/>
    <cellStyle name="40% - Accent4 4 2 3 2 4 4 2" xfId="24917"/>
    <cellStyle name="40% - Accent4 4 2 3 2 4 5" xfId="24918"/>
    <cellStyle name="40% - Accent4 4 2 3 2 4 6" xfId="24919"/>
    <cellStyle name="40% - Accent4 4 2 3 2 5" xfId="24920"/>
    <cellStyle name="40% - Accent4 4 2 3 2 5 2" xfId="24921"/>
    <cellStyle name="40% - Accent4 4 2 3 2 5 2 2" xfId="24922"/>
    <cellStyle name="40% - Accent4 4 2 3 2 5 2 3" xfId="24923"/>
    <cellStyle name="40% - Accent4 4 2 3 2 5 3" xfId="24924"/>
    <cellStyle name="40% - Accent4 4 2 3 2 5 3 2" xfId="24925"/>
    <cellStyle name="40% - Accent4 4 2 3 2 5 4" xfId="24926"/>
    <cellStyle name="40% - Accent4 4 2 3 2 5 5" xfId="24927"/>
    <cellStyle name="40% - Accent4 4 2 3 2 6" xfId="24928"/>
    <cellStyle name="40% - Accent4 4 2 3 2 6 2" xfId="24929"/>
    <cellStyle name="40% - Accent4 4 2 3 2 6 3" xfId="24930"/>
    <cellStyle name="40% - Accent4 4 2 3 2 7" xfId="24931"/>
    <cellStyle name="40% - Accent4 4 2 3 2 7 2" xfId="24932"/>
    <cellStyle name="40% - Accent4 4 2 3 2 7 3" xfId="24933"/>
    <cellStyle name="40% - Accent4 4 2 3 2 8" xfId="24934"/>
    <cellStyle name="40% - Accent4 4 2 3 2 8 2" xfId="24935"/>
    <cellStyle name="40% - Accent4 4 2 3 2 9" xfId="24936"/>
    <cellStyle name="40% - Accent4 4 2 3 3" xfId="2226"/>
    <cellStyle name="40% - Accent4 4 2 3 3 2" xfId="24937"/>
    <cellStyle name="40% - Accent4 4 2 3 3 2 2" xfId="24938"/>
    <cellStyle name="40% - Accent4 4 2 3 3 2 2 2" xfId="24939"/>
    <cellStyle name="40% - Accent4 4 2 3 3 2 2 3" xfId="24940"/>
    <cellStyle name="40% - Accent4 4 2 3 3 2 3" xfId="24941"/>
    <cellStyle name="40% - Accent4 4 2 3 3 2 3 2" xfId="24942"/>
    <cellStyle name="40% - Accent4 4 2 3 3 2 3 3" xfId="24943"/>
    <cellStyle name="40% - Accent4 4 2 3 3 2 4" xfId="24944"/>
    <cellStyle name="40% - Accent4 4 2 3 3 2 4 2" xfId="24945"/>
    <cellStyle name="40% - Accent4 4 2 3 3 2 5" xfId="24946"/>
    <cellStyle name="40% - Accent4 4 2 3 3 2 6" xfId="24947"/>
    <cellStyle name="40% - Accent4 4 2 3 3 3" xfId="24948"/>
    <cellStyle name="40% - Accent4 4 2 3 3 3 2" xfId="24949"/>
    <cellStyle name="40% - Accent4 4 2 3 3 3 2 2" xfId="24950"/>
    <cellStyle name="40% - Accent4 4 2 3 3 3 2 3" xfId="24951"/>
    <cellStyle name="40% - Accent4 4 2 3 3 3 3" xfId="24952"/>
    <cellStyle name="40% - Accent4 4 2 3 3 3 3 2" xfId="24953"/>
    <cellStyle name="40% - Accent4 4 2 3 3 3 3 3" xfId="24954"/>
    <cellStyle name="40% - Accent4 4 2 3 3 3 4" xfId="24955"/>
    <cellStyle name="40% - Accent4 4 2 3 3 3 4 2" xfId="24956"/>
    <cellStyle name="40% - Accent4 4 2 3 3 3 5" xfId="24957"/>
    <cellStyle name="40% - Accent4 4 2 3 3 3 6" xfId="24958"/>
    <cellStyle name="40% - Accent4 4 2 3 3 4" xfId="24959"/>
    <cellStyle name="40% - Accent4 4 2 3 3 4 2" xfId="24960"/>
    <cellStyle name="40% - Accent4 4 2 3 3 4 2 2" xfId="24961"/>
    <cellStyle name="40% - Accent4 4 2 3 3 4 2 3" xfId="24962"/>
    <cellStyle name="40% - Accent4 4 2 3 3 4 3" xfId="24963"/>
    <cellStyle name="40% - Accent4 4 2 3 3 4 3 2" xfId="24964"/>
    <cellStyle name="40% - Accent4 4 2 3 3 4 4" xfId="24965"/>
    <cellStyle name="40% - Accent4 4 2 3 3 4 5" xfId="24966"/>
    <cellStyle name="40% - Accent4 4 2 3 3 5" xfId="24967"/>
    <cellStyle name="40% - Accent4 4 2 3 3 5 2" xfId="24968"/>
    <cellStyle name="40% - Accent4 4 2 3 3 5 3" xfId="24969"/>
    <cellStyle name="40% - Accent4 4 2 3 3 6" xfId="24970"/>
    <cellStyle name="40% - Accent4 4 2 3 3 6 2" xfId="24971"/>
    <cellStyle name="40% - Accent4 4 2 3 3 6 3" xfId="24972"/>
    <cellStyle name="40% - Accent4 4 2 3 3 7" xfId="24973"/>
    <cellStyle name="40% - Accent4 4 2 3 3 7 2" xfId="24974"/>
    <cellStyle name="40% - Accent4 4 2 3 3 8" xfId="24975"/>
    <cellStyle name="40% - Accent4 4 2 3 3 9" xfId="24976"/>
    <cellStyle name="40% - Accent4 4 2 3 4" xfId="24977"/>
    <cellStyle name="40% - Accent4 4 2 3 4 2" xfId="24978"/>
    <cellStyle name="40% - Accent4 4 2 3 4 2 2" xfId="24979"/>
    <cellStyle name="40% - Accent4 4 2 3 4 2 2 2" xfId="24980"/>
    <cellStyle name="40% - Accent4 4 2 3 4 2 2 3" xfId="24981"/>
    <cellStyle name="40% - Accent4 4 2 3 4 2 3" xfId="24982"/>
    <cellStyle name="40% - Accent4 4 2 3 4 2 3 2" xfId="24983"/>
    <cellStyle name="40% - Accent4 4 2 3 4 2 3 3" xfId="24984"/>
    <cellStyle name="40% - Accent4 4 2 3 4 2 4" xfId="24985"/>
    <cellStyle name="40% - Accent4 4 2 3 4 2 4 2" xfId="24986"/>
    <cellStyle name="40% - Accent4 4 2 3 4 2 5" xfId="24987"/>
    <cellStyle name="40% - Accent4 4 2 3 4 2 6" xfId="24988"/>
    <cellStyle name="40% - Accent4 4 2 3 4 3" xfId="24989"/>
    <cellStyle name="40% - Accent4 4 2 3 4 3 2" xfId="24990"/>
    <cellStyle name="40% - Accent4 4 2 3 4 3 2 2" xfId="24991"/>
    <cellStyle name="40% - Accent4 4 2 3 4 3 2 3" xfId="24992"/>
    <cellStyle name="40% - Accent4 4 2 3 4 3 3" xfId="24993"/>
    <cellStyle name="40% - Accent4 4 2 3 4 3 3 2" xfId="24994"/>
    <cellStyle name="40% - Accent4 4 2 3 4 3 3 3" xfId="24995"/>
    <cellStyle name="40% - Accent4 4 2 3 4 3 4" xfId="24996"/>
    <cellStyle name="40% - Accent4 4 2 3 4 3 4 2" xfId="24997"/>
    <cellStyle name="40% - Accent4 4 2 3 4 3 5" xfId="24998"/>
    <cellStyle name="40% - Accent4 4 2 3 4 3 6" xfId="24999"/>
    <cellStyle name="40% - Accent4 4 2 3 4 4" xfId="25000"/>
    <cellStyle name="40% - Accent4 4 2 3 4 4 2" xfId="25001"/>
    <cellStyle name="40% - Accent4 4 2 3 4 4 2 2" xfId="25002"/>
    <cellStyle name="40% - Accent4 4 2 3 4 4 2 3" xfId="25003"/>
    <cellStyle name="40% - Accent4 4 2 3 4 4 3" xfId="25004"/>
    <cellStyle name="40% - Accent4 4 2 3 4 4 3 2" xfId="25005"/>
    <cellStyle name="40% - Accent4 4 2 3 4 4 4" xfId="25006"/>
    <cellStyle name="40% - Accent4 4 2 3 4 4 5" xfId="25007"/>
    <cellStyle name="40% - Accent4 4 2 3 4 5" xfId="25008"/>
    <cellStyle name="40% - Accent4 4 2 3 4 5 2" xfId="25009"/>
    <cellStyle name="40% - Accent4 4 2 3 4 5 3" xfId="25010"/>
    <cellStyle name="40% - Accent4 4 2 3 4 6" xfId="25011"/>
    <cellStyle name="40% - Accent4 4 2 3 4 6 2" xfId="25012"/>
    <cellStyle name="40% - Accent4 4 2 3 4 6 3" xfId="25013"/>
    <cellStyle name="40% - Accent4 4 2 3 4 7" xfId="25014"/>
    <cellStyle name="40% - Accent4 4 2 3 4 7 2" xfId="25015"/>
    <cellStyle name="40% - Accent4 4 2 3 4 8" xfId="25016"/>
    <cellStyle name="40% - Accent4 4 2 3 4 9" xfId="25017"/>
    <cellStyle name="40% - Accent4 4 2 3 5" xfId="25018"/>
    <cellStyle name="40% - Accent4 4 2 3 5 2" xfId="25019"/>
    <cellStyle name="40% - Accent4 4 2 3 5 2 2" xfId="25020"/>
    <cellStyle name="40% - Accent4 4 2 3 5 2 3" xfId="25021"/>
    <cellStyle name="40% - Accent4 4 2 3 5 3" xfId="25022"/>
    <cellStyle name="40% - Accent4 4 2 3 5 3 2" xfId="25023"/>
    <cellStyle name="40% - Accent4 4 2 3 5 3 3" xfId="25024"/>
    <cellStyle name="40% - Accent4 4 2 3 5 4" xfId="25025"/>
    <cellStyle name="40% - Accent4 4 2 3 5 4 2" xfId="25026"/>
    <cellStyle name="40% - Accent4 4 2 3 5 5" xfId="25027"/>
    <cellStyle name="40% - Accent4 4 2 3 5 6" xfId="25028"/>
    <cellStyle name="40% - Accent4 4 2 3 6" xfId="25029"/>
    <cellStyle name="40% - Accent4 4 2 3 6 2" xfId="25030"/>
    <cellStyle name="40% - Accent4 4 2 3 6 2 2" xfId="25031"/>
    <cellStyle name="40% - Accent4 4 2 3 6 2 3" xfId="25032"/>
    <cellStyle name="40% - Accent4 4 2 3 6 3" xfId="25033"/>
    <cellStyle name="40% - Accent4 4 2 3 6 3 2" xfId="25034"/>
    <cellStyle name="40% - Accent4 4 2 3 6 3 3" xfId="25035"/>
    <cellStyle name="40% - Accent4 4 2 3 6 4" xfId="25036"/>
    <cellStyle name="40% - Accent4 4 2 3 6 4 2" xfId="25037"/>
    <cellStyle name="40% - Accent4 4 2 3 6 5" xfId="25038"/>
    <cellStyle name="40% - Accent4 4 2 3 6 6" xfId="25039"/>
    <cellStyle name="40% - Accent4 4 2 3 7" xfId="25040"/>
    <cellStyle name="40% - Accent4 4 2 3 7 2" xfId="25041"/>
    <cellStyle name="40% - Accent4 4 2 3 7 2 2" xfId="25042"/>
    <cellStyle name="40% - Accent4 4 2 3 7 2 3" xfId="25043"/>
    <cellStyle name="40% - Accent4 4 2 3 7 3" xfId="25044"/>
    <cellStyle name="40% - Accent4 4 2 3 7 3 2" xfId="25045"/>
    <cellStyle name="40% - Accent4 4 2 3 7 4" xfId="25046"/>
    <cellStyle name="40% - Accent4 4 2 3 7 5" xfId="25047"/>
    <cellStyle name="40% - Accent4 4 2 3 8" xfId="25048"/>
    <cellStyle name="40% - Accent4 4 2 3 8 2" xfId="25049"/>
    <cellStyle name="40% - Accent4 4 2 3 8 3" xfId="25050"/>
    <cellStyle name="40% - Accent4 4 2 3 9" xfId="25051"/>
    <cellStyle name="40% - Accent4 4 2 3 9 2" xfId="25052"/>
    <cellStyle name="40% - Accent4 4 2 3 9 3" xfId="25053"/>
    <cellStyle name="40% - Accent4 4 2 4" xfId="2227"/>
    <cellStyle name="40% - Accent4 4 2 4 10" xfId="25054"/>
    <cellStyle name="40% - Accent4 4 2 4 2" xfId="2228"/>
    <cellStyle name="40% - Accent4 4 2 4 2 2" xfId="25055"/>
    <cellStyle name="40% - Accent4 4 2 4 2 2 2" xfId="25056"/>
    <cellStyle name="40% - Accent4 4 2 4 2 2 2 2" xfId="25057"/>
    <cellStyle name="40% - Accent4 4 2 4 2 2 2 3" xfId="25058"/>
    <cellStyle name="40% - Accent4 4 2 4 2 2 3" xfId="25059"/>
    <cellStyle name="40% - Accent4 4 2 4 2 2 3 2" xfId="25060"/>
    <cellStyle name="40% - Accent4 4 2 4 2 2 3 3" xfId="25061"/>
    <cellStyle name="40% - Accent4 4 2 4 2 2 4" xfId="25062"/>
    <cellStyle name="40% - Accent4 4 2 4 2 2 4 2" xfId="25063"/>
    <cellStyle name="40% - Accent4 4 2 4 2 2 5" xfId="25064"/>
    <cellStyle name="40% - Accent4 4 2 4 2 2 6" xfId="25065"/>
    <cellStyle name="40% - Accent4 4 2 4 2 3" xfId="25066"/>
    <cellStyle name="40% - Accent4 4 2 4 2 3 2" xfId="25067"/>
    <cellStyle name="40% - Accent4 4 2 4 2 3 2 2" xfId="25068"/>
    <cellStyle name="40% - Accent4 4 2 4 2 3 2 3" xfId="25069"/>
    <cellStyle name="40% - Accent4 4 2 4 2 3 3" xfId="25070"/>
    <cellStyle name="40% - Accent4 4 2 4 2 3 3 2" xfId="25071"/>
    <cellStyle name="40% - Accent4 4 2 4 2 3 3 3" xfId="25072"/>
    <cellStyle name="40% - Accent4 4 2 4 2 3 4" xfId="25073"/>
    <cellStyle name="40% - Accent4 4 2 4 2 3 4 2" xfId="25074"/>
    <cellStyle name="40% - Accent4 4 2 4 2 3 5" xfId="25075"/>
    <cellStyle name="40% - Accent4 4 2 4 2 3 6" xfId="25076"/>
    <cellStyle name="40% - Accent4 4 2 4 2 4" xfId="25077"/>
    <cellStyle name="40% - Accent4 4 2 4 2 4 2" xfId="25078"/>
    <cellStyle name="40% - Accent4 4 2 4 2 4 2 2" xfId="25079"/>
    <cellStyle name="40% - Accent4 4 2 4 2 4 2 3" xfId="25080"/>
    <cellStyle name="40% - Accent4 4 2 4 2 4 3" xfId="25081"/>
    <cellStyle name="40% - Accent4 4 2 4 2 4 3 2" xfId="25082"/>
    <cellStyle name="40% - Accent4 4 2 4 2 4 4" xfId="25083"/>
    <cellStyle name="40% - Accent4 4 2 4 2 4 5" xfId="25084"/>
    <cellStyle name="40% - Accent4 4 2 4 2 5" xfId="25085"/>
    <cellStyle name="40% - Accent4 4 2 4 2 5 2" xfId="25086"/>
    <cellStyle name="40% - Accent4 4 2 4 2 5 3" xfId="25087"/>
    <cellStyle name="40% - Accent4 4 2 4 2 6" xfId="25088"/>
    <cellStyle name="40% - Accent4 4 2 4 2 6 2" xfId="25089"/>
    <cellStyle name="40% - Accent4 4 2 4 2 6 3" xfId="25090"/>
    <cellStyle name="40% - Accent4 4 2 4 2 7" xfId="25091"/>
    <cellStyle name="40% - Accent4 4 2 4 2 7 2" xfId="25092"/>
    <cellStyle name="40% - Accent4 4 2 4 2 8" xfId="25093"/>
    <cellStyle name="40% - Accent4 4 2 4 2 9" xfId="25094"/>
    <cellStyle name="40% - Accent4 4 2 4 3" xfId="25095"/>
    <cellStyle name="40% - Accent4 4 2 4 3 2" xfId="25096"/>
    <cellStyle name="40% - Accent4 4 2 4 3 2 2" xfId="25097"/>
    <cellStyle name="40% - Accent4 4 2 4 3 2 3" xfId="25098"/>
    <cellStyle name="40% - Accent4 4 2 4 3 3" xfId="25099"/>
    <cellStyle name="40% - Accent4 4 2 4 3 3 2" xfId="25100"/>
    <cellStyle name="40% - Accent4 4 2 4 3 3 3" xfId="25101"/>
    <cellStyle name="40% - Accent4 4 2 4 3 4" xfId="25102"/>
    <cellStyle name="40% - Accent4 4 2 4 3 4 2" xfId="25103"/>
    <cellStyle name="40% - Accent4 4 2 4 3 5" xfId="25104"/>
    <cellStyle name="40% - Accent4 4 2 4 3 6" xfId="25105"/>
    <cellStyle name="40% - Accent4 4 2 4 4" xfId="25106"/>
    <cellStyle name="40% - Accent4 4 2 4 4 2" xfId="25107"/>
    <cellStyle name="40% - Accent4 4 2 4 4 2 2" xfId="25108"/>
    <cellStyle name="40% - Accent4 4 2 4 4 2 3" xfId="25109"/>
    <cellStyle name="40% - Accent4 4 2 4 4 3" xfId="25110"/>
    <cellStyle name="40% - Accent4 4 2 4 4 3 2" xfId="25111"/>
    <cellStyle name="40% - Accent4 4 2 4 4 3 3" xfId="25112"/>
    <cellStyle name="40% - Accent4 4 2 4 4 4" xfId="25113"/>
    <cellStyle name="40% - Accent4 4 2 4 4 4 2" xfId="25114"/>
    <cellStyle name="40% - Accent4 4 2 4 4 5" xfId="25115"/>
    <cellStyle name="40% - Accent4 4 2 4 4 6" xfId="25116"/>
    <cellStyle name="40% - Accent4 4 2 4 5" xfId="25117"/>
    <cellStyle name="40% - Accent4 4 2 4 5 2" xfId="25118"/>
    <cellStyle name="40% - Accent4 4 2 4 5 2 2" xfId="25119"/>
    <cellStyle name="40% - Accent4 4 2 4 5 2 3" xfId="25120"/>
    <cellStyle name="40% - Accent4 4 2 4 5 3" xfId="25121"/>
    <cellStyle name="40% - Accent4 4 2 4 5 3 2" xfId="25122"/>
    <cellStyle name="40% - Accent4 4 2 4 5 4" xfId="25123"/>
    <cellStyle name="40% - Accent4 4 2 4 5 5" xfId="25124"/>
    <cellStyle name="40% - Accent4 4 2 4 6" xfId="25125"/>
    <cellStyle name="40% - Accent4 4 2 4 6 2" xfId="25126"/>
    <cellStyle name="40% - Accent4 4 2 4 6 3" xfId="25127"/>
    <cellStyle name="40% - Accent4 4 2 4 7" xfId="25128"/>
    <cellStyle name="40% - Accent4 4 2 4 7 2" xfId="25129"/>
    <cellStyle name="40% - Accent4 4 2 4 7 3" xfId="25130"/>
    <cellStyle name="40% - Accent4 4 2 4 8" xfId="25131"/>
    <cellStyle name="40% - Accent4 4 2 4 8 2" xfId="25132"/>
    <cellStyle name="40% - Accent4 4 2 4 9" xfId="25133"/>
    <cellStyle name="40% - Accent4 4 2 5" xfId="2229"/>
    <cellStyle name="40% - Accent4 4 2 5 2" xfId="25134"/>
    <cellStyle name="40% - Accent4 4 2 5 2 2" xfId="25135"/>
    <cellStyle name="40% - Accent4 4 2 5 2 2 2" xfId="25136"/>
    <cellStyle name="40% - Accent4 4 2 5 2 2 3" xfId="25137"/>
    <cellStyle name="40% - Accent4 4 2 5 2 3" xfId="25138"/>
    <cellStyle name="40% - Accent4 4 2 5 2 3 2" xfId="25139"/>
    <cellStyle name="40% - Accent4 4 2 5 2 3 3" xfId="25140"/>
    <cellStyle name="40% - Accent4 4 2 5 2 4" xfId="25141"/>
    <cellStyle name="40% - Accent4 4 2 5 2 4 2" xfId="25142"/>
    <cellStyle name="40% - Accent4 4 2 5 2 5" xfId="25143"/>
    <cellStyle name="40% - Accent4 4 2 5 2 6" xfId="25144"/>
    <cellStyle name="40% - Accent4 4 2 5 3" xfId="25145"/>
    <cellStyle name="40% - Accent4 4 2 5 3 2" xfId="25146"/>
    <cellStyle name="40% - Accent4 4 2 5 3 2 2" xfId="25147"/>
    <cellStyle name="40% - Accent4 4 2 5 3 2 3" xfId="25148"/>
    <cellStyle name="40% - Accent4 4 2 5 3 3" xfId="25149"/>
    <cellStyle name="40% - Accent4 4 2 5 3 3 2" xfId="25150"/>
    <cellStyle name="40% - Accent4 4 2 5 3 3 3" xfId="25151"/>
    <cellStyle name="40% - Accent4 4 2 5 3 4" xfId="25152"/>
    <cellStyle name="40% - Accent4 4 2 5 3 4 2" xfId="25153"/>
    <cellStyle name="40% - Accent4 4 2 5 3 5" xfId="25154"/>
    <cellStyle name="40% - Accent4 4 2 5 3 6" xfId="25155"/>
    <cellStyle name="40% - Accent4 4 2 5 4" xfId="25156"/>
    <cellStyle name="40% - Accent4 4 2 5 4 2" xfId="25157"/>
    <cellStyle name="40% - Accent4 4 2 5 4 2 2" xfId="25158"/>
    <cellStyle name="40% - Accent4 4 2 5 4 2 3" xfId="25159"/>
    <cellStyle name="40% - Accent4 4 2 5 4 3" xfId="25160"/>
    <cellStyle name="40% - Accent4 4 2 5 4 3 2" xfId="25161"/>
    <cellStyle name="40% - Accent4 4 2 5 4 4" xfId="25162"/>
    <cellStyle name="40% - Accent4 4 2 5 4 5" xfId="25163"/>
    <cellStyle name="40% - Accent4 4 2 5 5" xfId="25164"/>
    <cellStyle name="40% - Accent4 4 2 5 5 2" xfId="25165"/>
    <cellStyle name="40% - Accent4 4 2 5 5 3" xfId="25166"/>
    <cellStyle name="40% - Accent4 4 2 5 6" xfId="25167"/>
    <cellStyle name="40% - Accent4 4 2 5 6 2" xfId="25168"/>
    <cellStyle name="40% - Accent4 4 2 5 6 3" xfId="25169"/>
    <cellStyle name="40% - Accent4 4 2 5 7" xfId="25170"/>
    <cellStyle name="40% - Accent4 4 2 5 7 2" xfId="25171"/>
    <cellStyle name="40% - Accent4 4 2 5 8" xfId="25172"/>
    <cellStyle name="40% - Accent4 4 2 5 9" xfId="25173"/>
    <cellStyle name="40% - Accent4 4 2 6" xfId="25174"/>
    <cellStyle name="40% - Accent4 4 2 6 2" xfId="25175"/>
    <cellStyle name="40% - Accent4 4 2 6 2 2" xfId="25176"/>
    <cellStyle name="40% - Accent4 4 2 6 2 2 2" xfId="25177"/>
    <cellStyle name="40% - Accent4 4 2 6 2 2 3" xfId="25178"/>
    <cellStyle name="40% - Accent4 4 2 6 2 3" xfId="25179"/>
    <cellStyle name="40% - Accent4 4 2 6 2 3 2" xfId="25180"/>
    <cellStyle name="40% - Accent4 4 2 6 2 3 3" xfId="25181"/>
    <cellStyle name="40% - Accent4 4 2 6 2 4" xfId="25182"/>
    <cellStyle name="40% - Accent4 4 2 6 2 4 2" xfId="25183"/>
    <cellStyle name="40% - Accent4 4 2 6 2 5" xfId="25184"/>
    <cellStyle name="40% - Accent4 4 2 6 2 6" xfId="25185"/>
    <cellStyle name="40% - Accent4 4 2 6 3" xfId="25186"/>
    <cellStyle name="40% - Accent4 4 2 6 3 2" xfId="25187"/>
    <cellStyle name="40% - Accent4 4 2 6 3 2 2" xfId="25188"/>
    <cellStyle name="40% - Accent4 4 2 6 3 2 3" xfId="25189"/>
    <cellStyle name="40% - Accent4 4 2 6 3 3" xfId="25190"/>
    <cellStyle name="40% - Accent4 4 2 6 3 3 2" xfId="25191"/>
    <cellStyle name="40% - Accent4 4 2 6 3 3 3" xfId="25192"/>
    <cellStyle name="40% - Accent4 4 2 6 3 4" xfId="25193"/>
    <cellStyle name="40% - Accent4 4 2 6 3 4 2" xfId="25194"/>
    <cellStyle name="40% - Accent4 4 2 6 3 5" xfId="25195"/>
    <cellStyle name="40% - Accent4 4 2 6 3 6" xfId="25196"/>
    <cellStyle name="40% - Accent4 4 2 6 4" xfId="25197"/>
    <cellStyle name="40% - Accent4 4 2 6 4 2" xfId="25198"/>
    <cellStyle name="40% - Accent4 4 2 6 4 2 2" xfId="25199"/>
    <cellStyle name="40% - Accent4 4 2 6 4 2 3" xfId="25200"/>
    <cellStyle name="40% - Accent4 4 2 6 4 3" xfId="25201"/>
    <cellStyle name="40% - Accent4 4 2 6 4 3 2" xfId="25202"/>
    <cellStyle name="40% - Accent4 4 2 6 4 4" xfId="25203"/>
    <cellStyle name="40% - Accent4 4 2 6 4 5" xfId="25204"/>
    <cellStyle name="40% - Accent4 4 2 6 5" xfId="25205"/>
    <cellStyle name="40% - Accent4 4 2 6 5 2" xfId="25206"/>
    <cellStyle name="40% - Accent4 4 2 6 5 3" xfId="25207"/>
    <cellStyle name="40% - Accent4 4 2 6 6" xfId="25208"/>
    <cellStyle name="40% - Accent4 4 2 6 6 2" xfId="25209"/>
    <cellStyle name="40% - Accent4 4 2 6 6 3" xfId="25210"/>
    <cellStyle name="40% - Accent4 4 2 6 7" xfId="25211"/>
    <cellStyle name="40% - Accent4 4 2 6 7 2" xfId="25212"/>
    <cellStyle name="40% - Accent4 4 2 6 8" xfId="25213"/>
    <cellStyle name="40% - Accent4 4 2 6 9" xfId="25214"/>
    <cellStyle name="40% - Accent4 4 2 7" xfId="25215"/>
    <cellStyle name="40% - Accent4 4 2 7 2" xfId="25216"/>
    <cellStyle name="40% - Accent4 4 2 7 2 2" xfId="25217"/>
    <cellStyle name="40% - Accent4 4 2 7 2 3" xfId="25218"/>
    <cellStyle name="40% - Accent4 4 2 7 3" xfId="25219"/>
    <cellStyle name="40% - Accent4 4 2 7 3 2" xfId="25220"/>
    <cellStyle name="40% - Accent4 4 2 7 3 3" xfId="25221"/>
    <cellStyle name="40% - Accent4 4 2 7 4" xfId="25222"/>
    <cellStyle name="40% - Accent4 4 2 7 4 2" xfId="25223"/>
    <cellStyle name="40% - Accent4 4 2 7 5" xfId="25224"/>
    <cellStyle name="40% - Accent4 4 2 7 6" xfId="25225"/>
    <cellStyle name="40% - Accent4 4 2 8" xfId="25226"/>
    <cellStyle name="40% - Accent4 4 2 8 2" xfId="25227"/>
    <cellStyle name="40% - Accent4 4 2 8 2 2" xfId="25228"/>
    <cellStyle name="40% - Accent4 4 2 8 2 3" xfId="25229"/>
    <cellStyle name="40% - Accent4 4 2 8 3" xfId="25230"/>
    <cellStyle name="40% - Accent4 4 2 8 3 2" xfId="25231"/>
    <cellStyle name="40% - Accent4 4 2 8 3 3" xfId="25232"/>
    <cellStyle name="40% - Accent4 4 2 8 4" xfId="25233"/>
    <cellStyle name="40% - Accent4 4 2 8 4 2" xfId="25234"/>
    <cellStyle name="40% - Accent4 4 2 8 5" xfId="25235"/>
    <cellStyle name="40% - Accent4 4 2 8 6" xfId="25236"/>
    <cellStyle name="40% - Accent4 4 2 9" xfId="25237"/>
    <cellStyle name="40% - Accent4 4 2 9 2" xfId="25238"/>
    <cellStyle name="40% - Accent4 4 2 9 2 2" xfId="25239"/>
    <cellStyle name="40% - Accent4 4 2 9 2 3" xfId="25240"/>
    <cellStyle name="40% - Accent4 4 2 9 3" xfId="25241"/>
    <cellStyle name="40% - Accent4 4 2 9 3 2" xfId="25242"/>
    <cellStyle name="40% - Accent4 4 2 9 4" xfId="25243"/>
    <cellStyle name="40% - Accent4 4 2 9 5" xfId="25244"/>
    <cellStyle name="40% - Accent4 4 3" xfId="2230"/>
    <cellStyle name="40% - Accent4 4 3 10" xfId="25245"/>
    <cellStyle name="40% - Accent4 4 3 10 2" xfId="25246"/>
    <cellStyle name="40% - Accent4 4 3 10 3" xfId="25247"/>
    <cellStyle name="40% - Accent4 4 3 11" xfId="25248"/>
    <cellStyle name="40% - Accent4 4 3 11 2" xfId="25249"/>
    <cellStyle name="40% - Accent4 4 3 12" xfId="25250"/>
    <cellStyle name="40% - Accent4 4 3 13" xfId="25251"/>
    <cellStyle name="40% - Accent4 4 3 14" xfId="25252"/>
    <cellStyle name="40% - Accent4 4 3 2" xfId="2231"/>
    <cellStyle name="40% - Accent4 4 3 2 10" xfId="25253"/>
    <cellStyle name="40% - Accent4 4 3 2 10 2" xfId="25254"/>
    <cellStyle name="40% - Accent4 4 3 2 11" xfId="25255"/>
    <cellStyle name="40% - Accent4 4 3 2 12" xfId="25256"/>
    <cellStyle name="40% - Accent4 4 3 2 2" xfId="2232"/>
    <cellStyle name="40% - Accent4 4 3 2 2 10" xfId="25257"/>
    <cellStyle name="40% - Accent4 4 3 2 2 2" xfId="2233"/>
    <cellStyle name="40% - Accent4 4 3 2 2 2 2" xfId="25258"/>
    <cellStyle name="40% - Accent4 4 3 2 2 2 2 2" xfId="25259"/>
    <cellStyle name="40% - Accent4 4 3 2 2 2 2 2 2" xfId="25260"/>
    <cellStyle name="40% - Accent4 4 3 2 2 2 2 2 3" xfId="25261"/>
    <cellStyle name="40% - Accent4 4 3 2 2 2 2 3" xfId="25262"/>
    <cellStyle name="40% - Accent4 4 3 2 2 2 2 3 2" xfId="25263"/>
    <cellStyle name="40% - Accent4 4 3 2 2 2 2 3 3" xfId="25264"/>
    <cellStyle name="40% - Accent4 4 3 2 2 2 2 4" xfId="25265"/>
    <cellStyle name="40% - Accent4 4 3 2 2 2 2 4 2" xfId="25266"/>
    <cellStyle name="40% - Accent4 4 3 2 2 2 2 5" xfId="25267"/>
    <cellStyle name="40% - Accent4 4 3 2 2 2 2 6" xfId="25268"/>
    <cellStyle name="40% - Accent4 4 3 2 2 2 3" xfId="25269"/>
    <cellStyle name="40% - Accent4 4 3 2 2 2 3 2" xfId="25270"/>
    <cellStyle name="40% - Accent4 4 3 2 2 2 3 2 2" xfId="25271"/>
    <cellStyle name="40% - Accent4 4 3 2 2 2 3 2 3" xfId="25272"/>
    <cellStyle name="40% - Accent4 4 3 2 2 2 3 3" xfId="25273"/>
    <cellStyle name="40% - Accent4 4 3 2 2 2 3 3 2" xfId="25274"/>
    <cellStyle name="40% - Accent4 4 3 2 2 2 3 3 3" xfId="25275"/>
    <cellStyle name="40% - Accent4 4 3 2 2 2 3 4" xfId="25276"/>
    <cellStyle name="40% - Accent4 4 3 2 2 2 3 4 2" xfId="25277"/>
    <cellStyle name="40% - Accent4 4 3 2 2 2 3 5" xfId="25278"/>
    <cellStyle name="40% - Accent4 4 3 2 2 2 3 6" xfId="25279"/>
    <cellStyle name="40% - Accent4 4 3 2 2 2 4" xfId="25280"/>
    <cellStyle name="40% - Accent4 4 3 2 2 2 4 2" xfId="25281"/>
    <cellStyle name="40% - Accent4 4 3 2 2 2 4 2 2" xfId="25282"/>
    <cellStyle name="40% - Accent4 4 3 2 2 2 4 2 3" xfId="25283"/>
    <cellStyle name="40% - Accent4 4 3 2 2 2 4 3" xfId="25284"/>
    <cellStyle name="40% - Accent4 4 3 2 2 2 4 3 2" xfId="25285"/>
    <cellStyle name="40% - Accent4 4 3 2 2 2 4 4" xfId="25286"/>
    <cellStyle name="40% - Accent4 4 3 2 2 2 4 5" xfId="25287"/>
    <cellStyle name="40% - Accent4 4 3 2 2 2 5" xfId="25288"/>
    <cellStyle name="40% - Accent4 4 3 2 2 2 5 2" xfId="25289"/>
    <cellStyle name="40% - Accent4 4 3 2 2 2 5 3" xfId="25290"/>
    <cellStyle name="40% - Accent4 4 3 2 2 2 6" xfId="25291"/>
    <cellStyle name="40% - Accent4 4 3 2 2 2 6 2" xfId="25292"/>
    <cellStyle name="40% - Accent4 4 3 2 2 2 6 3" xfId="25293"/>
    <cellStyle name="40% - Accent4 4 3 2 2 2 7" xfId="25294"/>
    <cellStyle name="40% - Accent4 4 3 2 2 2 7 2" xfId="25295"/>
    <cellStyle name="40% - Accent4 4 3 2 2 2 8" xfId="25296"/>
    <cellStyle name="40% - Accent4 4 3 2 2 2 9" xfId="25297"/>
    <cellStyle name="40% - Accent4 4 3 2 2 3" xfId="25298"/>
    <cellStyle name="40% - Accent4 4 3 2 2 3 2" xfId="25299"/>
    <cellStyle name="40% - Accent4 4 3 2 2 3 2 2" xfId="25300"/>
    <cellStyle name="40% - Accent4 4 3 2 2 3 2 3" xfId="25301"/>
    <cellStyle name="40% - Accent4 4 3 2 2 3 3" xfId="25302"/>
    <cellStyle name="40% - Accent4 4 3 2 2 3 3 2" xfId="25303"/>
    <cellStyle name="40% - Accent4 4 3 2 2 3 3 3" xfId="25304"/>
    <cellStyle name="40% - Accent4 4 3 2 2 3 4" xfId="25305"/>
    <cellStyle name="40% - Accent4 4 3 2 2 3 4 2" xfId="25306"/>
    <cellStyle name="40% - Accent4 4 3 2 2 3 5" xfId="25307"/>
    <cellStyle name="40% - Accent4 4 3 2 2 3 6" xfId="25308"/>
    <cellStyle name="40% - Accent4 4 3 2 2 4" xfId="25309"/>
    <cellStyle name="40% - Accent4 4 3 2 2 4 2" xfId="25310"/>
    <cellStyle name="40% - Accent4 4 3 2 2 4 2 2" xfId="25311"/>
    <cellStyle name="40% - Accent4 4 3 2 2 4 2 3" xfId="25312"/>
    <cellStyle name="40% - Accent4 4 3 2 2 4 3" xfId="25313"/>
    <cellStyle name="40% - Accent4 4 3 2 2 4 3 2" xfId="25314"/>
    <cellStyle name="40% - Accent4 4 3 2 2 4 3 3" xfId="25315"/>
    <cellStyle name="40% - Accent4 4 3 2 2 4 4" xfId="25316"/>
    <cellStyle name="40% - Accent4 4 3 2 2 4 4 2" xfId="25317"/>
    <cellStyle name="40% - Accent4 4 3 2 2 4 5" xfId="25318"/>
    <cellStyle name="40% - Accent4 4 3 2 2 4 6" xfId="25319"/>
    <cellStyle name="40% - Accent4 4 3 2 2 5" xfId="25320"/>
    <cellStyle name="40% - Accent4 4 3 2 2 5 2" xfId="25321"/>
    <cellStyle name="40% - Accent4 4 3 2 2 5 2 2" xfId="25322"/>
    <cellStyle name="40% - Accent4 4 3 2 2 5 2 3" xfId="25323"/>
    <cellStyle name="40% - Accent4 4 3 2 2 5 3" xfId="25324"/>
    <cellStyle name="40% - Accent4 4 3 2 2 5 3 2" xfId="25325"/>
    <cellStyle name="40% - Accent4 4 3 2 2 5 4" xfId="25326"/>
    <cellStyle name="40% - Accent4 4 3 2 2 5 5" xfId="25327"/>
    <cellStyle name="40% - Accent4 4 3 2 2 6" xfId="25328"/>
    <cellStyle name="40% - Accent4 4 3 2 2 6 2" xfId="25329"/>
    <cellStyle name="40% - Accent4 4 3 2 2 6 3" xfId="25330"/>
    <cellStyle name="40% - Accent4 4 3 2 2 7" xfId="25331"/>
    <cellStyle name="40% - Accent4 4 3 2 2 7 2" xfId="25332"/>
    <cellStyle name="40% - Accent4 4 3 2 2 7 3" xfId="25333"/>
    <cellStyle name="40% - Accent4 4 3 2 2 8" xfId="25334"/>
    <cellStyle name="40% - Accent4 4 3 2 2 8 2" xfId="25335"/>
    <cellStyle name="40% - Accent4 4 3 2 2 9" xfId="25336"/>
    <cellStyle name="40% - Accent4 4 3 2 3" xfId="2234"/>
    <cellStyle name="40% - Accent4 4 3 2 3 2" xfId="25337"/>
    <cellStyle name="40% - Accent4 4 3 2 3 2 2" xfId="25338"/>
    <cellStyle name="40% - Accent4 4 3 2 3 2 2 2" xfId="25339"/>
    <cellStyle name="40% - Accent4 4 3 2 3 2 2 3" xfId="25340"/>
    <cellStyle name="40% - Accent4 4 3 2 3 2 3" xfId="25341"/>
    <cellStyle name="40% - Accent4 4 3 2 3 2 3 2" xfId="25342"/>
    <cellStyle name="40% - Accent4 4 3 2 3 2 3 3" xfId="25343"/>
    <cellStyle name="40% - Accent4 4 3 2 3 2 4" xfId="25344"/>
    <cellStyle name="40% - Accent4 4 3 2 3 2 4 2" xfId="25345"/>
    <cellStyle name="40% - Accent4 4 3 2 3 2 5" xfId="25346"/>
    <cellStyle name="40% - Accent4 4 3 2 3 2 6" xfId="25347"/>
    <cellStyle name="40% - Accent4 4 3 2 3 3" xfId="25348"/>
    <cellStyle name="40% - Accent4 4 3 2 3 3 2" xfId="25349"/>
    <cellStyle name="40% - Accent4 4 3 2 3 3 2 2" xfId="25350"/>
    <cellStyle name="40% - Accent4 4 3 2 3 3 2 3" xfId="25351"/>
    <cellStyle name="40% - Accent4 4 3 2 3 3 3" xfId="25352"/>
    <cellStyle name="40% - Accent4 4 3 2 3 3 3 2" xfId="25353"/>
    <cellStyle name="40% - Accent4 4 3 2 3 3 3 3" xfId="25354"/>
    <cellStyle name="40% - Accent4 4 3 2 3 3 4" xfId="25355"/>
    <cellStyle name="40% - Accent4 4 3 2 3 3 4 2" xfId="25356"/>
    <cellStyle name="40% - Accent4 4 3 2 3 3 5" xfId="25357"/>
    <cellStyle name="40% - Accent4 4 3 2 3 3 6" xfId="25358"/>
    <cellStyle name="40% - Accent4 4 3 2 3 4" xfId="25359"/>
    <cellStyle name="40% - Accent4 4 3 2 3 4 2" xfId="25360"/>
    <cellStyle name="40% - Accent4 4 3 2 3 4 2 2" xfId="25361"/>
    <cellStyle name="40% - Accent4 4 3 2 3 4 2 3" xfId="25362"/>
    <cellStyle name="40% - Accent4 4 3 2 3 4 3" xfId="25363"/>
    <cellStyle name="40% - Accent4 4 3 2 3 4 3 2" xfId="25364"/>
    <cellStyle name="40% - Accent4 4 3 2 3 4 4" xfId="25365"/>
    <cellStyle name="40% - Accent4 4 3 2 3 4 5" xfId="25366"/>
    <cellStyle name="40% - Accent4 4 3 2 3 5" xfId="25367"/>
    <cellStyle name="40% - Accent4 4 3 2 3 5 2" xfId="25368"/>
    <cellStyle name="40% - Accent4 4 3 2 3 5 3" xfId="25369"/>
    <cellStyle name="40% - Accent4 4 3 2 3 6" xfId="25370"/>
    <cellStyle name="40% - Accent4 4 3 2 3 6 2" xfId="25371"/>
    <cellStyle name="40% - Accent4 4 3 2 3 6 3" xfId="25372"/>
    <cellStyle name="40% - Accent4 4 3 2 3 7" xfId="25373"/>
    <cellStyle name="40% - Accent4 4 3 2 3 7 2" xfId="25374"/>
    <cellStyle name="40% - Accent4 4 3 2 3 8" xfId="25375"/>
    <cellStyle name="40% - Accent4 4 3 2 3 9" xfId="25376"/>
    <cellStyle name="40% - Accent4 4 3 2 4" xfId="25377"/>
    <cellStyle name="40% - Accent4 4 3 2 4 2" xfId="25378"/>
    <cellStyle name="40% - Accent4 4 3 2 4 2 2" xfId="25379"/>
    <cellStyle name="40% - Accent4 4 3 2 4 2 2 2" xfId="25380"/>
    <cellStyle name="40% - Accent4 4 3 2 4 2 2 3" xfId="25381"/>
    <cellStyle name="40% - Accent4 4 3 2 4 2 3" xfId="25382"/>
    <cellStyle name="40% - Accent4 4 3 2 4 2 3 2" xfId="25383"/>
    <cellStyle name="40% - Accent4 4 3 2 4 2 3 3" xfId="25384"/>
    <cellStyle name="40% - Accent4 4 3 2 4 2 4" xfId="25385"/>
    <cellStyle name="40% - Accent4 4 3 2 4 2 4 2" xfId="25386"/>
    <cellStyle name="40% - Accent4 4 3 2 4 2 5" xfId="25387"/>
    <cellStyle name="40% - Accent4 4 3 2 4 2 6" xfId="25388"/>
    <cellStyle name="40% - Accent4 4 3 2 4 3" xfId="25389"/>
    <cellStyle name="40% - Accent4 4 3 2 4 3 2" xfId="25390"/>
    <cellStyle name="40% - Accent4 4 3 2 4 3 2 2" xfId="25391"/>
    <cellStyle name="40% - Accent4 4 3 2 4 3 2 3" xfId="25392"/>
    <cellStyle name="40% - Accent4 4 3 2 4 3 3" xfId="25393"/>
    <cellStyle name="40% - Accent4 4 3 2 4 3 3 2" xfId="25394"/>
    <cellStyle name="40% - Accent4 4 3 2 4 3 3 3" xfId="25395"/>
    <cellStyle name="40% - Accent4 4 3 2 4 3 4" xfId="25396"/>
    <cellStyle name="40% - Accent4 4 3 2 4 3 4 2" xfId="25397"/>
    <cellStyle name="40% - Accent4 4 3 2 4 3 5" xfId="25398"/>
    <cellStyle name="40% - Accent4 4 3 2 4 3 6" xfId="25399"/>
    <cellStyle name="40% - Accent4 4 3 2 4 4" xfId="25400"/>
    <cellStyle name="40% - Accent4 4 3 2 4 4 2" xfId="25401"/>
    <cellStyle name="40% - Accent4 4 3 2 4 4 2 2" xfId="25402"/>
    <cellStyle name="40% - Accent4 4 3 2 4 4 2 3" xfId="25403"/>
    <cellStyle name="40% - Accent4 4 3 2 4 4 3" xfId="25404"/>
    <cellStyle name="40% - Accent4 4 3 2 4 4 3 2" xfId="25405"/>
    <cellStyle name="40% - Accent4 4 3 2 4 4 4" xfId="25406"/>
    <cellStyle name="40% - Accent4 4 3 2 4 4 5" xfId="25407"/>
    <cellStyle name="40% - Accent4 4 3 2 4 5" xfId="25408"/>
    <cellStyle name="40% - Accent4 4 3 2 4 5 2" xfId="25409"/>
    <cellStyle name="40% - Accent4 4 3 2 4 5 3" xfId="25410"/>
    <cellStyle name="40% - Accent4 4 3 2 4 6" xfId="25411"/>
    <cellStyle name="40% - Accent4 4 3 2 4 6 2" xfId="25412"/>
    <cellStyle name="40% - Accent4 4 3 2 4 6 3" xfId="25413"/>
    <cellStyle name="40% - Accent4 4 3 2 4 7" xfId="25414"/>
    <cellStyle name="40% - Accent4 4 3 2 4 7 2" xfId="25415"/>
    <cellStyle name="40% - Accent4 4 3 2 4 8" xfId="25416"/>
    <cellStyle name="40% - Accent4 4 3 2 4 9" xfId="25417"/>
    <cellStyle name="40% - Accent4 4 3 2 5" xfId="25418"/>
    <cellStyle name="40% - Accent4 4 3 2 5 2" xfId="25419"/>
    <cellStyle name="40% - Accent4 4 3 2 5 2 2" xfId="25420"/>
    <cellStyle name="40% - Accent4 4 3 2 5 2 3" xfId="25421"/>
    <cellStyle name="40% - Accent4 4 3 2 5 3" xfId="25422"/>
    <cellStyle name="40% - Accent4 4 3 2 5 3 2" xfId="25423"/>
    <cellStyle name="40% - Accent4 4 3 2 5 3 3" xfId="25424"/>
    <cellStyle name="40% - Accent4 4 3 2 5 4" xfId="25425"/>
    <cellStyle name="40% - Accent4 4 3 2 5 4 2" xfId="25426"/>
    <cellStyle name="40% - Accent4 4 3 2 5 5" xfId="25427"/>
    <cellStyle name="40% - Accent4 4 3 2 5 6" xfId="25428"/>
    <cellStyle name="40% - Accent4 4 3 2 6" xfId="25429"/>
    <cellStyle name="40% - Accent4 4 3 2 6 2" xfId="25430"/>
    <cellStyle name="40% - Accent4 4 3 2 6 2 2" xfId="25431"/>
    <cellStyle name="40% - Accent4 4 3 2 6 2 3" xfId="25432"/>
    <cellStyle name="40% - Accent4 4 3 2 6 3" xfId="25433"/>
    <cellStyle name="40% - Accent4 4 3 2 6 3 2" xfId="25434"/>
    <cellStyle name="40% - Accent4 4 3 2 6 3 3" xfId="25435"/>
    <cellStyle name="40% - Accent4 4 3 2 6 4" xfId="25436"/>
    <cellStyle name="40% - Accent4 4 3 2 6 4 2" xfId="25437"/>
    <cellStyle name="40% - Accent4 4 3 2 6 5" xfId="25438"/>
    <cellStyle name="40% - Accent4 4 3 2 6 6" xfId="25439"/>
    <cellStyle name="40% - Accent4 4 3 2 7" xfId="25440"/>
    <cellStyle name="40% - Accent4 4 3 2 7 2" xfId="25441"/>
    <cellStyle name="40% - Accent4 4 3 2 7 2 2" xfId="25442"/>
    <cellStyle name="40% - Accent4 4 3 2 7 2 3" xfId="25443"/>
    <cellStyle name="40% - Accent4 4 3 2 7 3" xfId="25444"/>
    <cellStyle name="40% - Accent4 4 3 2 7 3 2" xfId="25445"/>
    <cellStyle name="40% - Accent4 4 3 2 7 4" xfId="25446"/>
    <cellStyle name="40% - Accent4 4 3 2 7 5" xfId="25447"/>
    <cellStyle name="40% - Accent4 4 3 2 8" xfId="25448"/>
    <cellStyle name="40% - Accent4 4 3 2 8 2" xfId="25449"/>
    <cellStyle name="40% - Accent4 4 3 2 8 3" xfId="25450"/>
    <cellStyle name="40% - Accent4 4 3 2 9" xfId="25451"/>
    <cellStyle name="40% - Accent4 4 3 2 9 2" xfId="25452"/>
    <cellStyle name="40% - Accent4 4 3 2 9 3" xfId="25453"/>
    <cellStyle name="40% - Accent4 4 3 3" xfId="2235"/>
    <cellStyle name="40% - Accent4 4 3 3 10" xfId="25454"/>
    <cellStyle name="40% - Accent4 4 3 3 2" xfId="2236"/>
    <cellStyle name="40% - Accent4 4 3 3 2 2" xfId="25455"/>
    <cellStyle name="40% - Accent4 4 3 3 2 2 2" xfId="25456"/>
    <cellStyle name="40% - Accent4 4 3 3 2 2 2 2" xfId="25457"/>
    <cellStyle name="40% - Accent4 4 3 3 2 2 2 3" xfId="25458"/>
    <cellStyle name="40% - Accent4 4 3 3 2 2 3" xfId="25459"/>
    <cellStyle name="40% - Accent4 4 3 3 2 2 3 2" xfId="25460"/>
    <cellStyle name="40% - Accent4 4 3 3 2 2 3 3" xfId="25461"/>
    <cellStyle name="40% - Accent4 4 3 3 2 2 4" xfId="25462"/>
    <cellStyle name="40% - Accent4 4 3 3 2 2 4 2" xfId="25463"/>
    <cellStyle name="40% - Accent4 4 3 3 2 2 5" xfId="25464"/>
    <cellStyle name="40% - Accent4 4 3 3 2 2 6" xfId="25465"/>
    <cellStyle name="40% - Accent4 4 3 3 2 3" xfId="25466"/>
    <cellStyle name="40% - Accent4 4 3 3 2 3 2" xfId="25467"/>
    <cellStyle name="40% - Accent4 4 3 3 2 3 2 2" xfId="25468"/>
    <cellStyle name="40% - Accent4 4 3 3 2 3 2 3" xfId="25469"/>
    <cellStyle name="40% - Accent4 4 3 3 2 3 3" xfId="25470"/>
    <cellStyle name="40% - Accent4 4 3 3 2 3 3 2" xfId="25471"/>
    <cellStyle name="40% - Accent4 4 3 3 2 3 3 3" xfId="25472"/>
    <cellStyle name="40% - Accent4 4 3 3 2 3 4" xfId="25473"/>
    <cellStyle name="40% - Accent4 4 3 3 2 3 4 2" xfId="25474"/>
    <cellStyle name="40% - Accent4 4 3 3 2 3 5" xfId="25475"/>
    <cellStyle name="40% - Accent4 4 3 3 2 3 6" xfId="25476"/>
    <cellStyle name="40% - Accent4 4 3 3 2 4" xfId="25477"/>
    <cellStyle name="40% - Accent4 4 3 3 2 4 2" xfId="25478"/>
    <cellStyle name="40% - Accent4 4 3 3 2 4 2 2" xfId="25479"/>
    <cellStyle name="40% - Accent4 4 3 3 2 4 2 3" xfId="25480"/>
    <cellStyle name="40% - Accent4 4 3 3 2 4 3" xfId="25481"/>
    <cellStyle name="40% - Accent4 4 3 3 2 4 3 2" xfId="25482"/>
    <cellStyle name="40% - Accent4 4 3 3 2 4 4" xfId="25483"/>
    <cellStyle name="40% - Accent4 4 3 3 2 4 5" xfId="25484"/>
    <cellStyle name="40% - Accent4 4 3 3 2 5" xfId="25485"/>
    <cellStyle name="40% - Accent4 4 3 3 2 5 2" xfId="25486"/>
    <cellStyle name="40% - Accent4 4 3 3 2 5 3" xfId="25487"/>
    <cellStyle name="40% - Accent4 4 3 3 2 6" xfId="25488"/>
    <cellStyle name="40% - Accent4 4 3 3 2 6 2" xfId="25489"/>
    <cellStyle name="40% - Accent4 4 3 3 2 6 3" xfId="25490"/>
    <cellStyle name="40% - Accent4 4 3 3 2 7" xfId="25491"/>
    <cellStyle name="40% - Accent4 4 3 3 2 7 2" xfId="25492"/>
    <cellStyle name="40% - Accent4 4 3 3 2 8" xfId="25493"/>
    <cellStyle name="40% - Accent4 4 3 3 2 9" xfId="25494"/>
    <cellStyle name="40% - Accent4 4 3 3 3" xfId="25495"/>
    <cellStyle name="40% - Accent4 4 3 3 3 2" xfId="25496"/>
    <cellStyle name="40% - Accent4 4 3 3 3 2 2" xfId="25497"/>
    <cellStyle name="40% - Accent4 4 3 3 3 2 3" xfId="25498"/>
    <cellStyle name="40% - Accent4 4 3 3 3 3" xfId="25499"/>
    <cellStyle name="40% - Accent4 4 3 3 3 3 2" xfId="25500"/>
    <cellStyle name="40% - Accent4 4 3 3 3 3 3" xfId="25501"/>
    <cellStyle name="40% - Accent4 4 3 3 3 4" xfId="25502"/>
    <cellStyle name="40% - Accent4 4 3 3 3 4 2" xfId="25503"/>
    <cellStyle name="40% - Accent4 4 3 3 3 5" xfId="25504"/>
    <cellStyle name="40% - Accent4 4 3 3 3 6" xfId="25505"/>
    <cellStyle name="40% - Accent4 4 3 3 4" xfId="25506"/>
    <cellStyle name="40% - Accent4 4 3 3 4 2" xfId="25507"/>
    <cellStyle name="40% - Accent4 4 3 3 4 2 2" xfId="25508"/>
    <cellStyle name="40% - Accent4 4 3 3 4 2 3" xfId="25509"/>
    <cellStyle name="40% - Accent4 4 3 3 4 3" xfId="25510"/>
    <cellStyle name="40% - Accent4 4 3 3 4 3 2" xfId="25511"/>
    <cellStyle name="40% - Accent4 4 3 3 4 3 3" xfId="25512"/>
    <cellStyle name="40% - Accent4 4 3 3 4 4" xfId="25513"/>
    <cellStyle name="40% - Accent4 4 3 3 4 4 2" xfId="25514"/>
    <cellStyle name="40% - Accent4 4 3 3 4 5" xfId="25515"/>
    <cellStyle name="40% - Accent4 4 3 3 4 6" xfId="25516"/>
    <cellStyle name="40% - Accent4 4 3 3 5" xfId="25517"/>
    <cellStyle name="40% - Accent4 4 3 3 5 2" xfId="25518"/>
    <cellStyle name="40% - Accent4 4 3 3 5 2 2" xfId="25519"/>
    <cellStyle name="40% - Accent4 4 3 3 5 2 3" xfId="25520"/>
    <cellStyle name="40% - Accent4 4 3 3 5 3" xfId="25521"/>
    <cellStyle name="40% - Accent4 4 3 3 5 3 2" xfId="25522"/>
    <cellStyle name="40% - Accent4 4 3 3 5 4" xfId="25523"/>
    <cellStyle name="40% - Accent4 4 3 3 5 5" xfId="25524"/>
    <cellStyle name="40% - Accent4 4 3 3 6" xfId="25525"/>
    <cellStyle name="40% - Accent4 4 3 3 6 2" xfId="25526"/>
    <cellStyle name="40% - Accent4 4 3 3 6 3" xfId="25527"/>
    <cellStyle name="40% - Accent4 4 3 3 7" xfId="25528"/>
    <cellStyle name="40% - Accent4 4 3 3 7 2" xfId="25529"/>
    <cellStyle name="40% - Accent4 4 3 3 7 3" xfId="25530"/>
    <cellStyle name="40% - Accent4 4 3 3 8" xfId="25531"/>
    <cellStyle name="40% - Accent4 4 3 3 8 2" xfId="25532"/>
    <cellStyle name="40% - Accent4 4 3 3 9" xfId="25533"/>
    <cellStyle name="40% - Accent4 4 3 4" xfId="2237"/>
    <cellStyle name="40% - Accent4 4 3 4 2" xfId="25534"/>
    <cellStyle name="40% - Accent4 4 3 4 2 2" xfId="25535"/>
    <cellStyle name="40% - Accent4 4 3 4 2 2 2" xfId="25536"/>
    <cellStyle name="40% - Accent4 4 3 4 2 2 3" xfId="25537"/>
    <cellStyle name="40% - Accent4 4 3 4 2 3" xfId="25538"/>
    <cellStyle name="40% - Accent4 4 3 4 2 3 2" xfId="25539"/>
    <cellStyle name="40% - Accent4 4 3 4 2 3 3" xfId="25540"/>
    <cellStyle name="40% - Accent4 4 3 4 2 4" xfId="25541"/>
    <cellStyle name="40% - Accent4 4 3 4 2 4 2" xfId="25542"/>
    <cellStyle name="40% - Accent4 4 3 4 2 5" xfId="25543"/>
    <cellStyle name="40% - Accent4 4 3 4 2 6" xfId="25544"/>
    <cellStyle name="40% - Accent4 4 3 4 3" xfId="25545"/>
    <cellStyle name="40% - Accent4 4 3 4 3 2" xfId="25546"/>
    <cellStyle name="40% - Accent4 4 3 4 3 2 2" xfId="25547"/>
    <cellStyle name="40% - Accent4 4 3 4 3 2 3" xfId="25548"/>
    <cellStyle name="40% - Accent4 4 3 4 3 3" xfId="25549"/>
    <cellStyle name="40% - Accent4 4 3 4 3 3 2" xfId="25550"/>
    <cellStyle name="40% - Accent4 4 3 4 3 3 3" xfId="25551"/>
    <cellStyle name="40% - Accent4 4 3 4 3 4" xfId="25552"/>
    <cellStyle name="40% - Accent4 4 3 4 3 4 2" xfId="25553"/>
    <cellStyle name="40% - Accent4 4 3 4 3 5" xfId="25554"/>
    <cellStyle name="40% - Accent4 4 3 4 3 6" xfId="25555"/>
    <cellStyle name="40% - Accent4 4 3 4 4" xfId="25556"/>
    <cellStyle name="40% - Accent4 4 3 4 4 2" xfId="25557"/>
    <cellStyle name="40% - Accent4 4 3 4 4 2 2" xfId="25558"/>
    <cellStyle name="40% - Accent4 4 3 4 4 2 3" xfId="25559"/>
    <cellStyle name="40% - Accent4 4 3 4 4 3" xfId="25560"/>
    <cellStyle name="40% - Accent4 4 3 4 4 3 2" xfId="25561"/>
    <cellStyle name="40% - Accent4 4 3 4 4 4" xfId="25562"/>
    <cellStyle name="40% - Accent4 4 3 4 4 5" xfId="25563"/>
    <cellStyle name="40% - Accent4 4 3 4 5" xfId="25564"/>
    <cellStyle name="40% - Accent4 4 3 4 5 2" xfId="25565"/>
    <cellStyle name="40% - Accent4 4 3 4 5 3" xfId="25566"/>
    <cellStyle name="40% - Accent4 4 3 4 6" xfId="25567"/>
    <cellStyle name="40% - Accent4 4 3 4 6 2" xfId="25568"/>
    <cellStyle name="40% - Accent4 4 3 4 6 3" xfId="25569"/>
    <cellStyle name="40% - Accent4 4 3 4 7" xfId="25570"/>
    <cellStyle name="40% - Accent4 4 3 4 7 2" xfId="25571"/>
    <cellStyle name="40% - Accent4 4 3 4 8" xfId="25572"/>
    <cellStyle name="40% - Accent4 4 3 4 9" xfId="25573"/>
    <cellStyle name="40% - Accent4 4 3 5" xfId="25574"/>
    <cellStyle name="40% - Accent4 4 3 5 2" xfId="25575"/>
    <cellStyle name="40% - Accent4 4 3 5 2 2" xfId="25576"/>
    <cellStyle name="40% - Accent4 4 3 5 2 2 2" xfId="25577"/>
    <cellStyle name="40% - Accent4 4 3 5 2 2 3" xfId="25578"/>
    <cellStyle name="40% - Accent4 4 3 5 2 3" xfId="25579"/>
    <cellStyle name="40% - Accent4 4 3 5 2 3 2" xfId="25580"/>
    <cellStyle name="40% - Accent4 4 3 5 2 3 3" xfId="25581"/>
    <cellStyle name="40% - Accent4 4 3 5 2 4" xfId="25582"/>
    <cellStyle name="40% - Accent4 4 3 5 2 4 2" xfId="25583"/>
    <cellStyle name="40% - Accent4 4 3 5 2 5" xfId="25584"/>
    <cellStyle name="40% - Accent4 4 3 5 2 6" xfId="25585"/>
    <cellStyle name="40% - Accent4 4 3 5 3" xfId="25586"/>
    <cellStyle name="40% - Accent4 4 3 5 3 2" xfId="25587"/>
    <cellStyle name="40% - Accent4 4 3 5 3 2 2" xfId="25588"/>
    <cellStyle name="40% - Accent4 4 3 5 3 2 3" xfId="25589"/>
    <cellStyle name="40% - Accent4 4 3 5 3 3" xfId="25590"/>
    <cellStyle name="40% - Accent4 4 3 5 3 3 2" xfId="25591"/>
    <cellStyle name="40% - Accent4 4 3 5 3 3 3" xfId="25592"/>
    <cellStyle name="40% - Accent4 4 3 5 3 4" xfId="25593"/>
    <cellStyle name="40% - Accent4 4 3 5 3 4 2" xfId="25594"/>
    <cellStyle name="40% - Accent4 4 3 5 3 5" xfId="25595"/>
    <cellStyle name="40% - Accent4 4 3 5 3 6" xfId="25596"/>
    <cellStyle name="40% - Accent4 4 3 5 4" xfId="25597"/>
    <cellStyle name="40% - Accent4 4 3 5 4 2" xfId="25598"/>
    <cellStyle name="40% - Accent4 4 3 5 4 2 2" xfId="25599"/>
    <cellStyle name="40% - Accent4 4 3 5 4 2 3" xfId="25600"/>
    <cellStyle name="40% - Accent4 4 3 5 4 3" xfId="25601"/>
    <cellStyle name="40% - Accent4 4 3 5 4 3 2" xfId="25602"/>
    <cellStyle name="40% - Accent4 4 3 5 4 4" xfId="25603"/>
    <cellStyle name="40% - Accent4 4 3 5 4 5" xfId="25604"/>
    <cellStyle name="40% - Accent4 4 3 5 5" xfId="25605"/>
    <cellStyle name="40% - Accent4 4 3 5 5 2" xfId="25606"/>
    <cellStyle name="40% - Accent4 4 3 5 5 3" xfId="25607"/>
    <cellStyle name="40% - Accent4 4 3 5 6" xfId="25608"/>
    <cellStyle name="40% - Accent4 4 3 5 6 2" xfId="25609"/>
    <cellStyle name="40% - Accent4 4 3 5 6 3" xfId="25610"/>
    <cellStyle name="40% - Accent4 4 3 5 7" xfId="25611"/>
    <cellStyle name="40% - Accent4 4 3 5 7 2" xfId="25612"/>
    <cellStyle name="40% - Accent4 4 3 5 8" xfId="25613"/>
    <cellStyle name="40% - Accent4 4 3 5 9" xfId="25614"/>
    <cellStyle name="40% - Accent4 4 3 6" xfId="25615"/>
    <cellStyle name="40% - Accent4 4 3 6 2" xfId="25616"/>
    <cellStyle name="40% - Accent4 4 3 6 2 2" xfId="25617"/>
    <cellStyle name="40% - Accent4 4 3 6 2 3" xfId="25618"/>
    <cellStyle name="40% - Accent4 4 3 6 3" xfId="25619"/>
    <cellStyle name="40% - Accent4 4 3 6 3 2" xfId="25620"/>
    <cellStyle name="40% - Accent4 4 3 6 3 3" xfId="25621"/>
    <cellStyle name="40% - Accent4 4 3 6 4" xfId="25622"/>
    <cellStyle name="40% - Accent4 4 3 6 4 2" xfId="25623"/>
    <cellStyle name="40% - Accent4 4 3 6 5" xfId="25624"/>
    <cellStyle name="40% - Accent4 4 3 6 6" xfId="25625"/>
    <cellStyle name="40% - Accent4 4 3 7" xfId="25626"/>
    <cellStyle name="40% - Accent4 4 3 7 2" xfId="25627"/>
    <cellStyle name="40% - Accent4 4 3 7 2 2" xfId="25628"/>
    <cellStyle name="40% - Accent4 4 3 7 2 3" xfId="25629"/>
    <cellStyle name="40% - Accent4 4 3 7 3" xfId="25630"/>
    <cellStyle name="40% - Accent4 4 3 7 3 2" xfId="25631"/>
    <cellStyle name="40% - Accent4 4 3 7 3 3" xfId="25632"/>
    <cellStyle name="40% - Accent4 4 3 7 4" xfId="25633"/>
    <cellStyle name="40% - Accent4 4 3 7 4 2" xfId="25634"/>
    <cellStyle name="40% - Accent4 4 3 7 5" xfId="25635"/>
    <cellStyle name="40% - Accent4 4 3 7 6" xfId="25636"/>
    <cellStyle name="40% - Accent4 4 3 8" xfId="25637"/>
    <cellStyle name="40% - Accent4 4 3 8 2" xfId="25638"/>
    <cellStyle name="40% - Accent4 4 3 8 2 2" xfId="25639"/>
    <cellStyle name="40% - Accent4 4 3 8 2 3" xfId="25640"/>
    <cellStyle name="40% - Accent4 4 3 8 3" xfId="25641"/>
    <cellStyle name="40% - Accent4 4 3 8 3 2" xfId="25642"/>
    <cellStyle name="40% - Accent4 4 3 8 4" xfId="25643"/>
    <cellStyle name="40% - Accent4 4 3 8 5" xfId="25644"/>
    <cellStyle name="40% - Accent4 4 3 9" xfId="25645"/>
    <cellStyle name="40% - Accent4 4 3 9 2" xfId="25646"/>
    <cellStyle name="40% - Accent4 4 3 9 3" xfId="25647"/>
    <cellStyle name="40% - Accent4 4 4" xfId="2238"/>
    <cellStyle name="40% - Accent4 4 4 10" xfId="25648"/>
    <cellStyle name="40% - Accent4 4 4 10 2" xfId="25649"/>
    <cellStyle name="40% - Accent4 4 4 11" xfId="25650"/>
    <cellStyle name="40% - Accent4 4 4 12" xfId="25651"/>
    <cellStyle name="40% - Accent4 4 4 2" xfId="2239"/>
    <cellStyle name="40% - Accent4 4 4 2 10" xfId="25652"/>
    <cellStyle name="40% - Accent4 4 4 2 2" xfId="2240"/>
    <cellStyle name="40% - Accent4 4 4 2 2 2" xfId="25653"/>
    <cellStyle name="40% - Accent4 4 4 2 2 2 2" xfId="25654"/>
    <cellStyle name="40% - Accent4 4 4 2 2 2 2 2" xfId="25655"/>
    <cellStyle name="40% - Accent4 4 4 2 2 2 2 3" xfId="25656"/>
    <cellStyle name="40% - Accent4 4 4 2 2 2 3" xfId="25657"/>
    <cellStyle name="40% - Accent4 4 4 2 2 2 3 2" xfId="25658"/>
    <cellStyle name="40% - Accent4 4 4 2 2 2 3 3" xfId="25659"/>
    <cellStyle name="40% - Accent4 4 4 2 2 2 4" xfId="25660"/>
    <cellStyle name="40% - Accent4 4 4 2 2 2 4 2" xfId="25661"/>
    <cellStyle name="40% - Accent4 4 4 2 2 2 5" xfId="25662"/>
    <cellStyle name="40% - Accent4 4 4 2 2 2 6" xfId="25663"/>
    <cellStyle name="40% - Accent4 4 4 2 2 3" xfId="25664"/>
    <cellStyle name="40% - Accent4 4 4 2 2 3 2" xfId="25665"/>
    <cellStyle name="40% - Accent4 4 4 2 2 3 2 2" xfId="25666"/>
    <cellStyle name="40% - Accent4 4 4 2 2 3 2 3" xfId="25667"/>
    <cellStyle name="40% - Accent4 4 4 2 2 3 3" xfId="25668"/>
    <cellStyle name="40% - Accent4 4 4 2 2 3 3 2" xfId="25669"/>
    <cellStyle name="40% - Accent4 4 4 2 2 3 3 3" xfId="25670"/>
    <cellStyle name="40% - Accent4 4 4 2 2 3 4" xfId="25671"/>
    <cellStyle name="40% - Accent4 4 4 2 2 3 4 2" xfId="25672"/>
    <cellStyle name="40% - Accent4 4 4 2 2 3 5" xfId="25673"/>
    <cellStyle name="40% - Accent4 4 4 2 2 3 6" xfId="25674"/>
    <cellStyle name="40% - Accent4 4 4 2 2 4" xfId="25675"/>
    <cellStyle name="40% - Accent4 4 4 2 2 4 2" xfId="25676"/>
    <cellStyle name="40% - Accent4 4 4 2 2 4 2 2" xfId="25677"/>
    <cellStyle name="40% - Accent4 4 4 2 2 4 2 3" xfId="25678"/>
    <cellStyle name="40% - Accent4 4 4 2 2 4 3" xfId="25679"/>
    <cellStyle name="40% - Accent4 4 4 2 2 4 3 2" xfId="25680"/>
    <cellStyle name="40% - Accent4 4 4 2 2 4 4" xfId="25681"/>
    <cellStyle name="40% - Accent4 4 4 2 2 4 5" xfId="25682"/>
    <cellStyle name="40% - Accent4 4 4 2 2 5" xfId="25683"/>
    <cellStyle name="40% - Accent4 4 4 2 2 5 2" xfId="25684"/>
    <cellStyle name="40% - Accent4 4 4 2 2 5 3" xfId="25685"/>
    <cellStyle name="40% - Accent4 4 4 2 2 6" xfId="25686"/>
    <cellStyle name="40% - Accent4 4 4 2 2 6 2" xfId="25687"/>
    <cellStyle name="40% - Accent4 4 4 2 2 6 3" xfId="25688"/>
    <cellStyle name="40% - Accent4 4 4 2 2 7" xfId="25689"/>
    <cellStyle name="40% - Accent4 4 4 2 2 7 2" xfId="25690"/>
    <cellStyle name="40% - Accent4 4 4 2 2 8" xfId="25691"/>
    <cellStyle name="40% - Accent4 4 4 2 2 9" xfId="25692"/>
    <cellStyle name="40% - Accent4 4 4 2 3" xfId="25693"/>
    <cellStyle name="40% - Accent4 4 4 2 3 2" xfId="25694"/>
    <cellStyle name="40% - Accent4 4 4 2 3 2 2" xfId="25695"/>
    <cellStyle name="40% - Accent4 4 4 2 3 2 3" xfId="25696"/>
    <cellStyle name="40% - Accent4 4 4 2 3 3" xfId="25697"/>
    <cellStyle name="40% - Accent4 4 4 2 3 3 2" xfId="25698"/>
    <cellStyle name="40% - Accent4 4 4 2 3 3 3" xfId="25699"/>
    <cellStyle name="40% - Accent4 4 4 2 3 4" xfId="25700"/>
    <cellStyle name="40% - Accent4 4 4 2 3 4 2" xfId="25701"/>
    <cellStyle name="40% - Accent4 4 4 2 3 5" xfId="25702"/>
    <cellStyle name="40% - Accent4 4 4 2 3 6" xfId="25703"/>
    <cellStyle name="40% - Accent4 4 4 2 4" xfId="25704"/>
    <cellStyle name="40% - Accent4 4 4 2 4 2" xfId="25705"/>
    <cellStyle name="40% - Accent4 4 4 2 4 2 2" xfId="25706"/>
    <cellStyle name="40% - Accent4 4 4 2 4 2 3" xfId="25707"/>
    <cellStyle name="40% - Accent4 4 4 2 4 3" xfId="25708"/>
    <cellStyle name="40% - Accent4 4 4 2 4 3 2" xfId="25709"/>
    <cellStyle name="40% - Accent4 4 4 2 4 3 3" xfId="25710"/>
    <cellStyle name="40% - Accent4 4 4 2 4 4" xfId="25711"/>
    <cellStyle name="40% - Accent4 4 4 2 4 4 2" xfId="25712"/>
    <cellStyle name="40% - Accent4 4 4 2 4 5" xfId="25713"/>
    <cellStyle name="40% - Accent4 4 4 2 4 6" xfId="25714"/>
    <cellStyle name="40% - Accent4 4 4 2 5" xfId="25715"/>
    <cellStyle name="40% - Accent4 4 4 2 5 2" xfId="25716"/>
    <cellStyle name="40% - Accent4 4 4 2 5 2 2" xfId="25717"/>
    <cellStyle name="40% - Accent4 4 4 2 5 2 3" xfId="25718"/>
    <cellStyle name="40% - Accent4 4 4 2 5 3" xfId="25719"/>
    <cellStyle name="40% - Accent4 4 4 2 5 3 2" xfId="25720"/>
    <cellStyle name="40% - Accent4 4 4 2 5 4" xfId="25721"/>
    <cellStyle name="40% - Accent4 4 4 2 5 5" xfId="25722"/>
    <cellStyle name="40% - Accent4 4 4 2 6" xfId="25723"/>
    <cellStyle name="40% - Accent4 4 4 2 6 2" xfId="25724"/>
    <cellStyle name="40% - Accent4 4 4 2 6 3" xfId="25725"/>
    <cellStyle name="40% - Accent4 4 4 2 7" xfId="25726"/>
    <cellStyle name="40% - Accent4 4 4 2 7 2" xfId="25727"/>
    <cellStyle name="40% - Accent4 4 4 2 7 3" xfId="25728"/>
    <cellStyle name="40% - Accent4 4 4 2 8" xfId="25729"/>
    <cellStyle name="40% - Accent4 4 4 2 8 2" xfId="25730"/>
    <cellStyle name="40% - Accent4 4 4 2 9" xfId="25731"/>
    <cellStyle name="40% - Accent4 4 4 3" xfId="2241"/>
    <cellStyle name="40% - Accent4 4 4 3 2" xfId="25732"/>
    <cellStyle name="40% - Accent4 4 4 3 2 2" xfId="25733"/>
    <cellStyle name="40% - Accent4 4 4 3 2 2 2" xfId="25734"/>
    <cellStyle name="40% - Accent4 4 4 3 2 2 3" xfId="25735"/>
    <cellStyle name="40% - Accent4 4 4 3 2 3" xfId="25736"/>
    <cellStyle name="40% - Accent4 4 4 3 2 3 2" xfId="25737"/>
    <cellStyle name="40% - Accent4 4 4 3 2 3 3" xfId="25738"/>
    <cellStyle name="40% - Accent4 4 4 3 2 4" xfId="25739"/>
    <cellStyle name="40% - Accent4 4 4 3 2 4 2" xfId="25740"/>
    <cellStyle name="40% - Accent4 4 4 3 2 5" xfId="25741"/>
    <cellStyle name="40% - Accent4 4 4 3 2 6" xfId="25742"/>
    <cellStyle name="40% - Accent4 4 4 3 3" xfId="25743"/>
    <cellStyle name="40% - Accent4 4 4 3 3 2" xfId="25744"/>
    <cellStyle name="40% - Accent4 4 4 3 3 2 2" xfId="25745"/>
    <cellStyle name="40% - Accent4 4 4 3 3 2 3" xfId="25746"/>
    <cellStyle name="40% - Accent4 4 4 3 3 3" xfId="25747"/>
    <cellStyle name="40% - Accent4 4 4 3 3 3 2" xfId="25748"/>
    <cellStyle name="40% - Accent4 4 4 3 3 3 3" xfId="25749"/>
    <cellStyle name="40% - Accent4 4 4 3 3 4" xfId="25750"/>
    <cellStyle name="40% - Accent4 4 4 3 3 4 2" xfId="25751"/>
    <cellStyle name="40% - Accent4 4 4 3 3 5" xfId="25752"/>
    <cellStyle name="40% - Accent4 4 4 3 3 6" xfId="25753"/>
    <cellStyle name="40% - Accent4 4 4 3 4" xfId="25754"/>
    <cellStyle name="40% - Accent4 4 4 3 4 2" xfId="25755"/>
    <cellStyle name="40% - Accent4 4 4 3 4 2 2" xfId="25756"/>
    <cellStyle name="40% - Accent4 4 4 3 4 2 3" xfId="25757"/>
    <cellStyle name="40% - Accent4 4 4 3 4 3" xfId="25758"/>
    <cellStyle name="40% - Accent4 4 4 3 4 3 2" xfId="25759"/>
    <cellStyle name="40% - Accent4 4 4 3 4 4" xfId="25760"/>
    <cellStyle name="40% - Accent4 4 4 3 4 5" xfId="25761"/>
    <cellStyle name="40% - Accent4 4 4 3 5" xfId="25762"/>
    <cellStyle name="40% - Accent4 4 4 3 5 2" xfId="25763"/>
    <cellStyle name="40% - Accent4 4 4 3 5 3" xfId="25764"/>
    <cellStyle name="40% - Accent4 4 4 3 6" xfId="25765"/>
    <cellStyle name="40% - Accent4 4 4 3 6 2" xfId="25766"/>
    <cellStyle name="40% - Accent4 4 4 3 6 3" xfId="25767"/>
    <cellStyle name="40% - Accent4 4 4 3 7" xfId="25768"/>
    <cellStyle name="40% - Accent4 4 4 3 7 2" xfId="25769"/>
    <cellStyle name="40% - Accent4 4 4 3 8" xfId="25770"/>
    <cellStyle name="40% - Accent4 4 4 3 9" xfId="25771"/>
    <cellStyle name="40% - Accent4 4 4 4" xfId="25772"/>
    <cellStyle name="40% - Accent4 4 4 4 2" xfId="25773"/>
    <cellStyle name="40% - Accent4 4 4 4 2 2" xfId="25774"/>
    <cellStyle name="40% - Accent4 4 4 4 2 2 2" xfId="25775"/>
    <cellStyle name="40% - Accent4 4 4 4 2 2 3" xfId="25776"/>
    <cellStyle name="40% - Accent4 4 4 4 2 3" xfId="25777"/>
    <cellStyle name="40% - Accent4 4 4 4 2 3 2" xfId="25778"/>
    <cellStyle name="40% - Accent4 4 4 4 2 3 3" xfId="25779"/>
    <cellStyle name="40% - Accent4 4 4 4 2 4" xfId="25780"/>
    <cellStyle name="40% - Accent4 4 4 4 2 4 2" xfId="25781"/>
    <cellStyle name="40% - Accent4 4 4 4 2 5" xfId="25782"/>
    <cellStyle name="40% - Accent4 4 4 4 2 6" xfId="25783"/>
    <cellStyle name="40% - Accent4 4 4 4 3" xfId="25784"/>
    <cellStyle name="40% - Accent4 4 4 4 3 2" xfId="25785"/>
    <cellStyle name="40% - Accent4 4 4 4 3 2 2" xfId="25786"/>
    <cellStyle name="40% - Accent4 4 4 4 3 2 3" xfId="25787"/>
    <cellStyle name="40% - Accent4 4 4 4 3 3" xfId="25788"/>
    <cellStyle name="40% - Accent4 4 4 4 3 3 2" xfId="25789"/>
    <cellStyle name="40% - Accent4 4 4 4 3 3 3" xfId="25790"/>
    <cellStyle name="40% - Accent4 4 4 4 3 4" xfId="25791"/>
    <cellStyle name="40% - Accent4 4 4 4 3 4 2" xfId="25792"/>
    <cellStyle name="40% - Accent4 4 4 4 3 5" xfId="25793"/>
    <cellStyle name="40% - Accent4 4 4 4 3 6" xfId="25794"/>
    <cellStyle name="40% - Accent4 4 4 4 4" xfId="25795"/>
    <cellStyle name="40% - Accent4 4 4 4 4 2" xfId="25796"/>
    <cellStyle name="40% - Accent4 4 4 4 4 2 2" xfId="25797"/>
    <cellStyle name="40% - Accent4 4 4 4 4 2 3" xfId="25798"/>
    <cellStyle name="40% - Accent4 4 4 4 4 3" xfId="25799"/>
    <cellStyle name="40% - Accent4 4 4 4 4 3 2" xfId="25800"/>
    <cellStyle name="40% - Accent4 4 4 4 4 4" xfId="25801"/>
    <cellStyle name="40% - Accent4 4 4 4 4 5" xfId="25802"/>
    <cellStyle name="40% - Accent4 4 4 4 5" xfId="25803"/>
    <cellStyle name="40% - Accent4 4 4 4 5 2" xfId="25804"/>
    <cellStyle name="40% - Accent4 4 4 4 5 3" xfId="25805"/>
    <cellStyle name="40% - Accent4 4 4 4 6" xfId="25806"/>
    <cellStyle name="40% - Accent4 4 4 4 6 2" xfId="25807"/>
    <cellStyle name="40% - Accent4 4 4 4 6 3" xfId="25808"/>
    <cellStyle name="40% - Accent4 4 4 4 7" xfId="25809"/>
    <cellStyle name="40% - Accent4 4 4 4 7 2" xfId="25810"/>
    <cellStyle name="40% - Accent4 4 4 4 8" xfId="25811"/>
    <cellStyle name="40% - Accent4 4 4 4 9" xfId="25812"/>
    <cellStyle name="40% - Accent4 4 4 5" xfId="25813"/>
    <cellStyle name="40% - Accent4 4 4 5 2" xfId="25814"/>
    <cellStyle name="40% - Accent4 4 4 5 2 2" xfId="25815"/>
    <cellStyle name="40% - Accent4 4 4 5 2 3" xfId="25816"/>
    <cellStyle name="40% - Accent4 4 4 5 3" xfId="25817"/>
    <cellStyle name="40% - Accent4 4 4 5 3 2" xfId="25818"/>
    <cellStyle name="40% - Accent4 4 4 5 3 3" xfId="25819"/>
    <cellStyle name="40% - Accent4 4 4 5 4" xfId="25820"/>
    <cellStyle name="40% - Accent4 4 4 5 4 2" xfId="25821"/>
    <cellStyle name="40% - Accent4 4 4 5 5" xfId="25822"/>
    <cellStyle name="40% - Accent4 4 4 5 6" xfId="25823"/>
    <cellStyle name="40% - Accent4 4 4 6" xfId="25824"/>
    <cellStyle name="40% - Accent4 4 4 6 2" xfId="25825"/>
    <cellStyle name="40% - Accent4 4 4 6 2 2" xfId="25826"/>
    <cellStyle name="40% - Accent4 4 4 6 2 3" xfId="25827"/>
    <cellStyle name="40% - Accent4 4 4 6 3" xfId="25828"/>
    <cellStyle name="40% - Accent4 4 4 6 3 2" xfId="25829"/>
    <cellStyle name="40% - Accent4 4 4 6 3 3" xfId="25830"/>
    <cellStyle name="40% - Accent4 4 4 6 4" xfId="25831"/>
    <cellStyle name="40% - Accent4 4 4 6 4 2" xfId="25832"/>
    <cellStyle name="40% - Accent4 4 4 6 5" xfId="25833"/>
    <cellStyle name="40% - Accent4 4 4 6 6" xfId="25834"/>
    <cellStyle name="40% - Accent4 4 4 7" xfId="25835"/>
    <cellStyle name="40% - Accent4 4 4 7 2" xfId="25836"/>
    <cellStyle name="40% - Accent4 4 4 7 2 2" xfId="25837"/>
    <cellStyle name="40% - Accent4 4 4 7 2 3" xfId="25838"/>
    <cellStyle name="40% - Accent4 4 4 7 3" xfId="25839"/>
    <cellStyle name="40% - Accent4 4 4 7 3 2" xfId="25840"/>
    <cellStyle name="40% - Accent4 4 4 7 4" xfId="25841"/>
    <cellStyle name="40% - Accent4 4 4 7 5" xfId="25842"/>
    <cellStyle name="40% - Accent4 4 4 8" xfId="25843"/>
    <cellStyle name="40% - Accent4 4 4 8 2" xfId="25844"/>
    <cellStyle name="40% - Accent4 4 4 8 3" xfId="25845"/>
    <cellStyle name="40% - Accent4 4 4 9" xfId="25846"/>
    <cellStyle name="40% - Accent4 4 4 9 2" xfId="25847"/>
    <cellStyle name="40% - Accent4 4 4 9 3" xfId="25848"/>
    <cellStyle name="40% - Accent4 4 5" xfId="2242"/>
    <cellStyle name="40% - Accent4 4 5 10" xfId="25849"/>
    <cellStyle name="40% - Accent4 4 5 2" xfId="2243"/>
    <cellStyle name="40% - Accent4 4 5 2 2" xfId="25850"/>
    <cellStyle name="40% - Accent4 4 5 2 2 2" xfId="25851"/>
    <cellStyle name="40% - Accent4 4 5 2 2 2 2" xfId="25852"/>
    <cellStyle name="40% - Accent4 4 5 2 2 2 3" xfId="25853"/>
    <cellStyle name="40% - Accent4 4 5 2 2 3" xfId="25854"/>
    <cellStyle name="40% - Accent4 4 5 2 2 3 2" xfId="25855"/>
    <cellStyle name="40% - Accent4 4 5 2 2 3 3" xfId="25856"/>
    <cellStyle name="40% - Accent4 4 5 2 2 4" xfId="25857"/>
    <cellStyle name="40% - Accent4 4 5 2 2 4 2" xfId="25858"/>
    <cellStyle name="40% - Accent4 4 5 2 2 5" xfId="25859"/>
    <cellStyle name="40% - Accent4 4 5 2 2 6" xfId="25860"/>
    <cellStyle name="40% - Accent4 4 5 2 3" xfId="25861"/>
    <cellStyle name="40% - Accent4 4 5 2 3 2" xfId="25862"/>
    <cellStyle name="40% - Accent4 4 5 2 3 2 2" xfId="25863"/>
    <cellStyle name="40% - Accent4 4 5 2 3 2 3" xfId="25864"/>
    <cellStyle name="40% - Accent4 4 5 2 3 3" xfId="25865"/>
    <cellStyle name="40% - Accent4 4 5 2 3 3 2" xfId="25866"/>
    <cellStyle name="40% - Accent4 4 5 2 3 3 3" xfId="25867"/>
    <cellStyle name="40% - Accent4 4 5 2 3 4" xfId="25868"/>
    <cellStyle name="40% - Accent4 4 5 2 3 4 2" xfId="25869"/>
    <cellStyle name="40% - Accent4 4 5 2 3 5" xfId="25870"/>
    <cellStyle name="40% - Accent4 4 5 2 3 6" xfId="25871"/>
    <cellStyle name="40% - Accent4 4 5 2 4" xfId="25872"/>
    <cellStyle name="40% - Accent4 4 5 2 4 2" xfId="25873"/>
    <cellStyle name="40% - Accent4 4 5 2 4 2 2" xfId="25874"/>
    <cellStyle name="40% - Accent4 4 5 2 4 2 3" xfId="25875"/>
    <cellStyle name="40% - Accent4 4 5 2 4 3" xfId="25876"/>
    <cellStyle name="40% - Accent4 4 5 2 4 3 2" xfId="25877"/>
    <cellStyle name="40% - Accent4 4 5 2 4 4" xfId="25878"/>
    <cellStyle name="40% - Accent4 4 5 2 4 5" xfId="25879"/>
    <cellStyle name="40% - Accent4 4 5 2 5" xfId="25880"/>
    <cellStyle name="40% - Accent4 4 5 2 5 2" xfId="25881"/>
    <cellStyle name="40% - Accent4 4 5 2 5 3" xfId="25882"/>
    <cellStyle name="40% - Accent4 4 5 2 6" xfId="25883"/>
    <cellStyle name="40% - Accent4 4 5 2 6 2" xfId="25884"/>
    <cellStyle name="40% - Accent4 4 5 2 6 3" xfId="25885"/>
    <cellStyle name="40% - Accent4 4 5 2 7" xfId="25886"/>
    <cellStyle name="40% - Accent4 4 5 2 7 2" xfId="25887"/>
    <cellStyle name="40% - Accent4 4 5 2 8" xfId="25888"/>
    <cellStyle name="40% - Accent4 4 5 2 9" xfId="25889"/>
    <cellStyle name="40% - Accent4 4 5 3" xfId="25890"/>
    <cellStyle name="40% - Accent4 4 5 3 2" xfId="25891"/>
    <cellStyle name="40% - Accent4 4 5 3 2 2" xfId="25892"/>
    <cellStyle name="40% - Accent4 4 5 3 2 3" xfId="25893"/>
    <cellStyle name="40% - Accent4 4 5 3 3" xfId="25894"/>
    <cellStyle name="40% - Accent4 4 5 3 3 2" xfId="25895"/>
    <cellStyle name="40% - Accent4 4 5 3 3 3" xfId="25896"/>
    <cellStyle name="40% - Accent4 4 5 3 4" xfId="25897"/>
    <cellStyle name="40% - Accent4 4 5 3 4 2" xfId="25898"/>
    <cellStyle name="40% - Accent4 4 5 3 5" xfId="25899"/>
    <cellStyle name="40% - Accent4 4 5 3 6" xfId="25900"/>
    <cellStyle name="40% - Accent4 4 5 4" xfId="25901"/>
    <cellStyle name="40% - Accent4 4 5 4 2" xfId="25902"/>
    <cellStyle name="40% - Accent4 4 5 4 2 2" xfId="25903"/>
    <cellStyle name="40% - Accent4 4 5 4 2 3" xfId="25904"/>
    <cellStyle name="40% - Accent4 4 5 4 3" xfId="25905"/>
    <cellStyle name="40% - Accent4 4 5 4 3 2" xfId="25906"/>
    <cellStyle name="40% - Accent4 4 5 4 3 3" xfId="25907"/>
    <cellStyle name="40% - Accent4 4 5 4 4" xfId="25908"/>
    <cellStyle name="40% - Accent4 4 5 4 4 2" xfId="25909"/>
    <cellStyle name="40% - Accent4 4 5 4 5" xfId="25910"/>
    <cellStyle name="40% - Accent4 4 5 4 6" xfId="25911"/>
    <cellStyle name="40% - Accent4 4 5 5" xfId="25912"/>
    <cellStyle name="40% - Accent4 4 5 5 2" xfId="25913"/>
    <cellStyle name="40% - Accent4 4 5 5 2 2" xfId="25914"/>
    <cellStyle name="40% - Accent4 4 5 5 2 3" xfId="25915"/>
    <cellStyle name="40% - Accent4 4 5 5 3" xfId="25916"/>
    <cellStyle name="40% - Accent4 4 5 5 3 2" xfId="25917"/>
    <cellStyle name="40% - Accent4 4 5 5 4" xfId="25918"/>
    <cellStyle name="40% - Accent4 4 5 5 5" xfId="25919"/>
    <cellStyle name="40% - Accent4 4 5 6" xfId="25920"/>
    <cellStyle name="40% - Accent4 4 5 6 2" xfId="25921"/>
    <cellStyle name="40% - Accent4 4 5 6 3" xfId="25922"/>
    <cellStyle name="40% - Accent4 4 5 7" xfId="25923"/>
    <cellStyle name="40% - Accent4 4 5 7 2" xfId="25924"/>
    <cellStyle name="40% - Accent4 4 5 7 3" xfId="25925"/>
    <cellStyle name="40% - Accent4 4 5 8" xfId="25926"/>
    <cellStyle name="40% - Accent4 4 5 8 2" xfId="25927"/>
    <cellStyle name="40% - Accent4 4 5 9" xfId="25928"/>
    <cellStyle name="40% - Accent4 4 6" xfId="2244"/>
    <cellStyle name="40% - Accent4 4 6 2" xfId="25929"/>
    <cellStyle name="40% - Accent4 4 6 2 2" xfId="25930"/>
    <cellStyle name="40% - Accent4 4 6 2 2 2" xfId="25931"/>
    <cellStyle name="40% - Accent4 4 6 2 2 3" xfId="25932"/>
    <cellStyle name="40% - Accent4 4 6 2 3" xfId="25933"/>
    <cellStyle name="40% - Accent4 4 6 2 3 2" xfId="25934"/>
    <cellStyle name="40% - Accent4 4 6 2 3 3" xfId="25935"/>
    <cellStyle name="40% - Accent4 4 6 2 4" xfId="25936"/>
    <cellStyle name="40% - Accent4 4 6 2 4 2" xfId="25937"/>
    <cellStyle name="40% - Accent4 4 6 2 5" xfId="25938"/>
    <cellStyle name="40% - Accent4 4 6 2 6" xfId="25939"/>
    <cellStyle name="40% - Accent4 4 6 3" xfId="25940"/>
    <cellStyle name="40% - Accent4 4 6 3 2" xfId="25941"/>
    <cellStyle name="40% - Accent4 4 6 3 2 2" xfId="25942"/>
    <cellStyle name="40% - Accent4 4 6 3 2 3" xfId="25943"/>
    <cellStyle name="40% - Accent4 4 6 3 3" xfId="25944"/>
    <cellStyle name="40% - Accent4 4 6 3 3 2" xfId="25945"/>
    <cellStyle name="40% - Accent4 4 6 3 3 3" xfId="25946"/>
    <cellStyle name="40% - Accent4 4 6 3 4" xfId="25947"/>
    <cellStyle name="40% - Accent4 4 6 3 4 2" xfId="25948"/>
    <cellStyle name="40% - Accent4 4 6 3 5" xfId="25949"/>
    <cellStyle name="40% - Accent4 4 6 3 6" xfId="25950"/>
    <cellStyle name="40% - Accent4 4 6 4" xfId="25951"/>
    <cellStyle name="40% - Accent4 4 6 4 2" xfId="25952"/>
    <cellStyle name="40% - Accent4 4 6 4 2 2" xfId="25953"/>
    <cellStyle name="40% - Accent4 4 6 4 2 3" xfId="25954"/>
    <cellStyle name="40% - Accent4 4 6 4 3" xfId="25955"/>
    <cellStyle name="40% - Accent4 4 6 4 3 2" xfId="25956"/>
    <cellStyle name="40% - Accent4 4 6 4 4" xfId="25957"/>
    <cellStyle name="40% - Accent4 4 6 4 5" xfId="25958"/>
    <cellStyle name="40% - Accent4 4 6 5" xfId="25959"/>
    <cellStyle name="40% - Accent4 4 6 5 2" xfId="25960"/>
    <cellStyle name="40% - Accent4 4 6 5 3" xfId="25961"/>
    <cellStyle name="40% - Accent4 4 6 6" xfId="25962"/>
    <cellStyle name="40% - Accent4 4 6 6 2" xfId="25963"/>
    <cellStyle name="40% - Accent4 4 6 6 3" xfId="25964"/>
    <cellStyle name="40% - Accent4 4 6 7" xfId="25965"/>
    <cellStyle name="40% - Accent4 4 6 7 2" xfId="25966"/>
    <cellStyle name="40% - Accent4 4 6 8" xfId="25967"/>
    <cellStyle name="40% - Accent4 4 6 9" xfId="25968"/>
    <cellStyle name="40% - Accent4 4 7" xfId="8987"/>
    <cellStyle name="40% - Accent4 4 7 2" xfId="25969"/>
    <cellStyle name="40% - Accent4 4 7 2 2" xfId="25970"/>
    <cellStyle name="40% - Accent4 4 7 2 2 2" xfId="25971"/>
    <cellStyle name="40% - Accent4 4 7 2 2 3" xfId="25972"/>
    <cellStyle name="40% - Accent4 4 7 2 3" xfId="25973"/>
    <cellStyle name="40% - Accent4 4 7 2 3 2" xfId="25974"/>
    <cellStyle name="40% - Accent4 4 7 2 3 3" xfId="25975"/>
    <cellStyle name="40% - Accent4 4 7 2 4" xfId="25976"/>
    <cellStyle name="40% - Accent4 4 7 2 4 2" xfId="25977"/>
    <cellStyle name="40% - Accent4 4 7 2 5" xfId="25978"/>
    <cellStyle name="40% - Accent4 4 7 2 6" xfId="25979"/>
    <cellStyle name="40% - Accent4 4 7 3" xfId="25980"/>
    <cellStyle name="40% - Accent4 4 7 3 2" xfId="25981"/>
    <cellStyle name="40% - Accent4 4 7 3 2 2" xfId="25982"/>
    <cellStyle name="40% - Accent4 4 7 3 2 3" xfId="25983"/>
    <cellStyle name="40% - Accent4 4 7 3 3" xfId="25984"/>
    <cellStyle name="40% - Accent4 4 7 3 3 2" xfId="25985"/>
    <cellStyle name="40% - Accent4 4 7 3 3 3" xfId="25986"/>
    <cellStyle name="40% - Accent4 4 7 3 4" xfId="25987"/>
    <cellStyle name="40% - Accent4 4 7 3 4 2" xfId="25988"/>
    <cellStyle name="40% - Accent4 4 7 3 5" xfId="25989"/>
    <cellStyle name="40% - Accent4 4 7 3 6" xfId="25990"/>
    <cellStyle name="40% - Accent4 4 7 4" xfId="25991"/>
    <cellStyle name="40% - Accent4 4 7 4 2" xfId="25992"/>
    <cellStyle name="40% - Accent4 4 7 4 2 2" xfId="25993"/>
    <cellStyle name="40% - Accent4 4 7 4 2 3" xfId="25994"/>
    <cellStyle name="40% - Accent4 4 7 4 3" xfId="25995"/>
    <cellStyle name="40% - Accent4 4 7 4 3 2" xfId="25996"/>
    <cellStyle name="40% - Accent4 4 7 4 4" xfId="25997"/>
    <cellStyle name="40% - Accent4 4 7 4 5" xfId="25998"/>
    <cellStyle name="40% - Accent4 4 7 5" xfId="25999"/>
    <cellStyle name="40% - Accent4 4 7 5 2" xfId="26000"/>
    <cellStyle name="40% - Accent4 4 7 5 3" xfId="26001"/>
    <cellStyle name="40% - Accent4 4 7 6" xfId="26002"/>
    <cellStyle name="40% - Accent4 4 7 6 2" xfId="26003"/>
    <cellStyle name="40% - Accent4 4 7 6 3" xfId="26004"/>
    <cellStyle name="40% - Accent4 4 7 7" xfId="26005"/>
    <cellStyle name="40% - Accent4 4 7 7 2" xfId="26006"/>
    <cellStyle name="40% - Accent4 4 7 8" xfId="26007"/>
    <cellStyle name="40% - Accent4 4 7 9" xfId="26008"/>
    <cellStyle name="40% - Accent4 4 8" xfId="26009"/>
    <cellStyle name="40% - Accent4 4 8 2" xfId="26010"/>
    <cellStyle name="40% - Accent4 4 8 2 2" xfId="26011"/>
    <cellStyle name="40% - Accent4 4 8 2 3" xfId="26012"/>
    <cellStyle name="40% - Accent4 4 8 3" xfId="26013"/>
    <cellStyle name="40% - Accent4 4 8 3 2" xfId="26014"/>
    <cellStyle name="40% - Accent4 4 8 3 3" xfId="26015"/>
    <cellStyle name="40% - Accent4 4 8 4" xfId="26016"/>
    <cellStyle name="40% - Accent4 4 8 4 2" xfId="26017"/>
    <cellStyle name="40% - Accent4 4 8 5" xfId="26018"/>
    <cellStyle name="40% - Accent4 4 8 6" xfId="26019"/>
    <cellStyle name="40% - Accent4 4 9" xfId="26020"/>
    <cellStyle name="40% - Accent4 4 9 2" xfId="26021"/>
    <cellStyle name="40% - Accent4 4 9 2 2" xfId="26022"/>
    <cellStyle name="40% - Accent4 4 9 2 3" xfId="26023"/>
    <cellStyle name="40% - Accent4 4 9 3" xfId="26024"/>
    <cellStyle name="40% - Accent4 4 9 3 2" xfId="26025"/>
    <cellStyle name="40% - Accent4 4 9 3 3" xfId="26026"/>
    <cellStyle name="40% - Accent4 4 9 4" xfId="26027"/>
    <cellStyle name="40% - Accent4 4 9 4 2" xfId="26028"/>
    <cellStyle name="40% - Accent4 4 9 5" xfId="26029"/>
    <cellStyle name="40% - Accent4 4 9 6" xfId="26030"/>
    <cellStyle name="40% - Accent4 5" xfId="2245"/>
    <cellStyle name="40% - Accent4 5 2" xfId="2246"/>
    <cellStyle name="40% - Accent4 5 2 2" xfId="2247"/>
    <cellStyle name="40% - Accent4 5 2 2 2" xfId="2248"/>
    <cellStyle name="40% - Accent4 5 2 2 2 2" xfId="2249"/>
    <cellStyle name="40% - Accent4 5 2 2 3" xfId="2250"/>
    <cellStyle name="40% - Accent4 5 2 3" xfId="2251"/>
    <cellStyle name="40% - Accent4 5 2 3 2" xfId="2252"/>
    <cellStyle name="40% - Accent4 5 2 4" xfId="2253"/>
    <cellStyle name="40% - Accent4 5 2 5" xfId="58077"/>
    <cellStyle name="40% - Accent4 5 3" xfId="2254"/>
    <cellStyle name="40% - Accent4 5 3 2" xfId="2255"/>
    <cellStyle name="40% - Accent4 5 3 2 2" xfId="2256"/>
    <cellStyle name="40% - Accent4 5 3 3" xfId="2257"/>
    <cellStyle name="40% - Accent4 5 4" xfId="2258"/>
    <cellStyle name="40% - Accent4 5 4 2" xfId="2259"/>
    <cellStyle name="40% - Accent4 5 5" xfId="2260"/>
    <cellStyle name="40% - Accent4 5 6" xfId="8988"/>
    <cellStyle name="40% - Accent4 6" xfId="2261"/>
    <cellStyle name="40% - Accent4 6 2" xfId="2262"/>
    <cellStyle name="40% - Accent4 6 2 2" xfId="2263"/>
    <cellStyle name="40% - Accent4 6 2 2 2" xfId="2264"/>
    <cellStyle name="40% - Accent4 6 2 3" xfId="2265"/>
    <cellStyle name="40% - Accent4 6 2 4" xfId="58078"/>
    <cellStyle name="40% - Accent4 6 2 5" xfId="58079"/>
    <cellStyle name="40% - Accent4 6 3" xfId="2266"/>
    <cellStyle name="40% - Accent4 6 3 2" xfId="2267"/>
    <cellStyle name="40% - Accent4 6 4" xfId="2268"/>
    <cellStyle name="40% - Accent4 6 5" xfId="58080"/>
    <cellStyle name="40% - Accent4 7" xfId="2269"/>
    <cellStyle name="40% - Accent4 7 2" xfId="2270"/>
    <cellStyle name="40% - Accent4 7 2 2" xfId="2271"/>
    <cellStyle name="40% - Accent4 7 2 2 2" xfId="2272"/>
    <cellStyle name="40% - Accent4 7 2 3" xfId="2273"/>
    <cellStyle name="40% - Accent4 7 3" xfId="2274"/>
    <cellStyle name="40% - Accent4 7 3 2" xfId="2275"/>
    <cellStyle name="40% - Accent4 7 4" xfId="2276"/>
    <cellStyle name="40% - Accent4 7 5" xfId="58081"/>
    <cellStyle name="40% - Accent4 8" xfId="2277"/>
    <cellStyle name="40% - Accent4 8 2" xfId="2278"/>
    <cellStyle name="40% - Accent4 8 2 2" xfId="2279"/>
    <cellStyle name="40% - Accent4 8 2 2 2" xfId="2280"/>
    <cellStyle name="40% - Accent4 8 2 3" xfId="2281"/>
    <cellStyle name="40% - Accent4 8 3" xfId="2282"/>
    <cellStyle name="40% - Accent4 8 3 2" xfId="2283"/>
    <cellStyle name="40% - Accent4 8 4" xfId="2284"/>
    <cellStyle name="40% - Accent4 8 5" xfId="58082"/>
    <cellStyle name="40% - Accent4 9" xfId="2285"/>
    <cellStyle name="40% - Accent4 9 2" xfId="2286"/>
    <cellStyle name="40% - Accent4 9 2 2" xfId="2287"/>
    <cellStyle name="40% - Accent4 9 3" xfId="2288"/>
    <cellStyle name="40% - Accent4 9 4" xfId="58083"/>
    <cellStyle name="40% - Accent5 10" xfId="2289"/>
    <cellStyle name="40% - Accent5 10 2" xfId="2290"/>
    <cellStyle name="40% - Accent5 10 2 2" xfId="2291"/>
    <cellStyle name="40% - Accent5 10 3" xfId="2292"/>
    <cellStyle name="40% - Accent5 10 4" xfId="58084"/>
    <cellStyle name="40% - Accent5 11" xfId="2293"/>
    <cellStyle name="40% - Accent5 11 2" xfId="2294"/>
    <cellStyle name="40% - Accent5 11 2 2" xfId="2295"/>
    <cellStyle name="40% - Accent5 11 3" xfId="2296"/>
    <cellStyle name="40% - Accent5 11 4" xfId="58085"/>
    <cellStyle name="40% - Accent5 12" xfId="2297"/>
    <cellStyle name="40% - Accent5 12 2" xfId="2298"/>
    <cellStyle name="40% - Accent5 12 3" xfId="58086"/>
    <cellStyle name="40% - Accent5 13" xfId="2299"/>
    <cellStyle name="40% - Accent5 13 2" xfId="58087"/>
    <cellStyle name="40% - Accent5 14" xfId="8989"/>
    <cellStyle name="40% - Accent5 15" xfId="9409"/>
    <cellStyle name="40% - Accent5 16" xfId="9410"/>
    <cellStyle name="40% - Accent5 17" xfId="9411"/>
    <cellStyle name="40% - Accent5 17 2" xfId="58088"/>
    <cellStyle name="40% - Accent5 18" xfId="58089"/>
    <cellStyle name="40% - Accent5 19" xfId="58090"/>
    <cellStyle name="40% - Accent5 2" xfId="2300"/>
    <cellStyle name="40% - Accent5 2 2" xfId="2301"/>
    <cellStyle name="40% - Accent5 2 2 2" xfId="2302"/>
    <cellStyle name="40% - Accent5 2 2 2 2" xfId="2303"/>
    <cellStyle name="40% - Accent5 2 2 2 2 2" xfId="2304"/>
    <cellStyle name="40% - Accent5 2 2 2 2 2 2" xfId="2305"/>
    <cellStyle name="40% - Accent5 2 2 2 2 2 2 2" xfId="2306"/>
    <cellStyle name="40% - Accent5 2 2 2 2 2 3" xfId="2307"/>
    <cellStyle name="40% - Accent5 2 2 2 2 3" xfId="2308"/>
    <cellStyle name="40% - Accent5 2 2 2 2 3 2" xfId="2309"/>
    <cellStyle name="40% - Accent5 2 2 2 2 4" xfId="2310"/>
    <cellStyle name="40% - Accent5 2 2 2 2 5" xfId="58091"/>
    <cellStyle name="40% - Accent5 2 2 2 3" xfId="2311"/>
    <cellStyle name="40% - Accent5 2 2 2 3 2" xfId="2312"/>
    <cellStyle name="40% - Accent5 2 2 2 3 2 2" xfId="2313"/>
    <cellStyle name="40% - Accent5 2 2 2 3 3" xfId="2314"/>
    <cellStyle name="40% - Accent5 2 2 2 4" xfId="2315"/>
    <cellStyle name="40% - Accent5 2 2 2 4 2" xfId="2316"/>
    <cellStyle name="40% - Accent5 2 2 2 5" xfId="2317"/>
    <cellStyle name="40% - Accent5 2 2 2 6" xfId="58092"/>
    <cellStyle name="40% - Accent5 2 2 3" xfId="2318"/>
    <cellStyle name="40% - Accent5 2 2 3 2" xfId="2319"/>
    <cellStyle name="40% - Accent5 2 2 3 2 2" xfId="2320"/>
    <cellStyle name="40% - Accent5 2 2 3 2 2 2" xfId="2321"/>
    <cellStyle name="40% - Accent5 2 2 3 2 3" xfId="2322"/>
    <cellStyle name="40% - Accent5 2 2 3 3" xfId="2323"/>
    <cellStyle name="40% - Accent5 2 2 3 3 2" xfId="2324"/>
    <cellStyle name="40% - Accent5 2 2 3 4" xfId="2325"/>
    <cellStyle name="40% - Accent5 2 2 3 5" xfId="58093"/>
    <cellStyle name="40% - Accent5 2 2 4" xfId="2326"/>
    <cellStyle name="40% - Accent5 2 2 4 2" xfId="2327"/>
    <cellStyle name="40% - Accent5 2 2 4 2 2" xfId="2328"/>
    <cellStyle name="40% - Accent5 2 2 4 3" xfId="2329"/>
    <cellStyle name="40% - Accent5 2 2 5" xfId="2330"/>
    <cellStyle name="40% - Accent5 2 2 5 2" xfId="2331"/>
    <cellStyle name="40% - Accent5 2 2 6" xfId="2332"/>
    <cellStyle name="40% - Accent5 2 2 7" xfId="58094"/>
    <cellStyle name="40% - Accent5 2 3" xfId="2333"/>
    <cellStyle name="40% - Accent5 2 3 2" xfId="2334"/>
    <cellStyle name="40% - Accent5 2 3 2 2" xfId="2335"/>
    <cellStyle name="40% - Accent5 2 3 2 2 2" xfId="2336"/>
    <cellStyle name="40% - Accent5 2 3 2 2 2 2" xfId="2337"/>
    <cellStyle name="40% - Accent5 2 3 2 2 3" xfId="2338"/>
    <cellStyle name="40% - Accent5 2 3 2 3" xfId="2339"/>
    <cellStyle name="40% - Accent5 2 3 2 3 2" xfId="2340"/>
    <cellStyle name="40% - Accent5 2 3 2 4" xfId="2341"/>
    <cellStyle name="40% - Accent5 2 3 3" xfId="2342"/>
    <cellStyle name="40% - Accent5 2 3 3 2" xfId="2343"/>
    <cellStyle name="40% - Accent5 2 3 3 2 2" xfId="2344"/>
    <cellStyle name="40% - Accent5 2 3 3 3" xfId="2345"/>
    <cellStyle name="40% - Accent5 2 3 4" xfId="2346"/>
    <cellStyle name="40% - Accent5 2 3 4 2" xfId="2347"/>
    <cellStyle name="40% - Accent5 2 3 5" xfId="2348"/>
    <cellStyle name="40% - Accent5 2 3 6" xfId="58095"/>
    <cellStyle name="40% - Accent5 2 4" xfId="2349"/>
    <cellStyle name="40% - Accent5 2 4 2" xfId="2350"/>
    <cellStyle name="40% - Accent5 2 4 2 2" xfId="2351"/>
    <cellStyle name="40% - Accent5 2 4 2 2 2" xfId="2352"/>
    <cellStyle name="40% - Accent5 2 4 2 3" xfId="2353"/>
    <cellStyle name="40% - Accent5 2 4 3" xfId="2354"/>
    <cellStyle name="40% - Accent5 2 4 3 2" xfId="2355"/>
    <cellStyle name="40% - Accent5 2 4 4" xfId="2356"/>
    <cellStyle name="40% - Accent5 2 4 5" xfId="58096"/>
    <cellStyle name="40% - Accent5 2 5" xfId="2357"/>
    <cellStyle name="40% - Accent5 2 5 2" xfId="2358"/>
    <cellStyle name="40% - Accent5 2 5 2 2" xfId="2359"/>
    <cellStyle name="40% - Accent5 2 5 3" xfId="2360"/>
    <cellStyle name="40% - Accent5 2 5 4" xfId="58097"/>
    <cellStyle name="40% - Accent5 2 6" xfId="2361"/>
    <cellStyle name="40% - Accent5 2 6 2" xfId="2362"/>
    <cellStyle name="40% - Accent5 2 6 3" xfId="58098"/>
    <cellStyle name="40% - Accent5 2 7" xfId="2363"/>
    <cellStyle name="40% - Accent5 2 8" xfId="2364"/>
    <cellStyle name="40% - Accent5 2 9" xfId="58099"/>
    <cellStyle name="40% - Accent5 20" xfId="58100"/>
    <cellStyle name="40% - Accent5 21" xfId="58101"/>
    <cellStyle name="40% - Accent5 3" xfId="2365"/>
    <cellStyle name="40% - Accent5 3 2" xfId="2366"/>
    <cellStyle name="40% - Accent5 3 2 2" xfId="2367"/>
    <cellStyle name="40% - Accent5 3 2 2 2" xfId="2368"/>
    <cellStyle name="40% - Accent5 3 2 2 2 2" xfId="2369"/>
    <cellStyle name="40% - Accent5 3 2 2 2 2 2" xfId="2370"/>
    <cellStyle name="40% - Accent5 3 2 2 2 2 2 2" xfId="2371"/>
    <cellStyle name="40% - Accent5 3 2 2 2 2 3" xfId="2372"/>
    <cellStyle name="40% - Accent5 3 2 2 2 3" xfId="2373"/>
    <cellStyle name="40% - Accent5 3 2 2 2 3 2" xfId="2374"/>
    <cellStyle name="40% - Accent5 3 2 2 2 4" xfId="2375"/>
    <cellStyle name="40% - Accent5 3 2 2 2 5" xfId="8990"/>
    <cellStyle name="40% - Accent5 3 2 2 3" xfId="2376"/>
    <cellStyle name="40% - Accent5 3 2 2 3 2" xfId="2377"/>
    <cellStyle name="40% - Accent5 3 2 2 3 2 2" xfId="2378"/>
    <cellStyle name="40% - Accent5 3 2 2 3 3" xfId="2379"/>
    <cellStyle name="40% - Accent5 3 2 2 4" xfId="2380"/>
    <cellStyle name="40% - Accent5 3 2 2 4 2" xfId="2381"/>
    <cellStyle name="40% - Accent5 3 2 2 5" xfId="2382"/>
    <cellStyle name="40% - Accent5 3 2 2 6" xfId="8991"/>
    <cellStyle name="40% - Accent5 3 2 3" xfId="2383"/>
    <cellStyle name="40% - Accent5 3 2 3 2" xfId="2384"/>
    <cellStyle name="40% - Accent5 3 2 3 2 2" xfId="2385"/>
    <cellStyle name="40% - Accent5 3 2 3 2 2 2" xfId="2386"/>
    <cellStyle name="40% - Accent5 3 2 3 2 3" xfId="2387"/>
    <cellStyle name="40% - Accent5 3 2 3 3" xfId="2388"/>
    <cellStyle name="40% - Accent5 3 2 3 3 2" xfId="2389"/>
    <cellStyle name="40% - Accent5 3 2 3 4" xfId="2390"/>
    <cellStyle name="40% - Accent5 3 2 3 5" xfId="8992"/>
    <cellStyle name="40% - Accent5 3 2 4" xfId="2391"/>
    <cellStyle name="40% - Accent5 3 2 4 2" xfId="2392"/>
    <cellStyle name="40% - Accent5 3 2 4 2 2" xfId="2393"/>
    <cellStyle name="40% - Accent5 3 2 4 3" xfId="2394"/>
    <cellStyle name="40% - Accent5 3 2 5" xfId="2395"/>
    <cellStyle name="40% - Accent5 3 2 5 2" xfId="2396"/>
    <cellStyle name="40% - Accent5 3 2 6" xfId="2397"/>
    <cellStyle name="40% - Accent5 3 2 7" xfId="8993"/>
    <cellStyle name="40% - Accent5 3 3" xfId="2398"/>
    <cellStyle name="40% - Accent5 3 3 2" xfId="2399"/>
    <cellStyle name="40% - Accent5 3 3 2 2" xfId="2400"/>
    <cellStyle name="40% - Accent5 3 3 2 2 2" xfId="2401"/>
    <cellStyle name="40% - Accent5 3 3 2 2 2 2" xfId="2402"/>
    <cellStyle name="40% - Accent5 3 3 2 2 3" xfId="2403"/>
    <cellStyle name="40% - Accent5 3 3 2 3" xfId="2404"/>
    <cellStyle name="40% - Accent5 3 3 2 3 2" xfId="2405"/>
    <cellStyle name="40% - Accent5 3 3 2 4" xfId="2406"/>
    <cellStyle name="40% - Accent5 3 3 2 5" xfId="8994"/>
    <cellStyle name="40% - Accent5 3 3 3" xfId="2407"/>
    <cellStyle name="40% - Accent5 3 3 3 2" xfId="2408"/>
    <cellStyle name="40% - Accent5 3 3 3 2 2" xfId="2409"/>
    <cellStyle name="40% - Accent5 3 3 3 3" xfId="2410"/>
    <cellStyle name="40% - Accent5 3 3 4" xfId="2411"/>
    <cellStyle name="40% - Accent5 3 3 4 2" xfId="2412"/>
    <cellStyle name="40% - Accent5 3 3 5" xfId="2413"/>
    <cellStyle name="40% - Accent5 3 3 6" xfId="8995"/>
    <cellStyle name="40% - Accent5 3 4" xfId="2414"/>
    <cellStyle name="40% - Accent5 3 4 2" xfId="2415"/>
    <cellStyle name="40% - Accent5 3 4 2 2" xfId="2416"/>
    <cellStyle name="40% - Accent5 3 4 2 2 2" xfId="2417"/>
    <cellStyle name="40% - Accent5 3 4 2 3" xfId="2418"/>
    <cellStyle name="40% - Accent5 3 4 3" xfId="2419"/>
    <cellStyle name="40% - Accent5 3 4 3 2" xfId="2420"/>
    <cellStyle name="40% - Accent5 3 4 4" xfId="2421"/>
    <cellStyle name="40% - Accent5 3 4 5" xfId="8996"/>
    <cellStyle name="40% - Accent5 3 5" xfId="2422"/>
    <cellStyle name="40% - Accent5 3 5 2" xfId="2423"/>
    <cellStyle name="40% - Accent5 3 5 2 2" xfId="2424"/>
    <cellStyle name="40% - Accent5 3 5 3" xfId="2425"/>
    <cellStyle name="40% - Accent5 3 6" xfId="2426"/>
    <cellStyle name="40% - Accent5 3 6 2" xfId="2427"/>
    <cellStyle name="40% - Accent5 3 7" xfId="2428"/>
    <cellStyle name="40% - Accent5 3 8" xfId="2429"/>
    <cellStyle name="40% - Accent5 3 9" xfId="8997"/>
    <cellStyle name="40% - Accent5 4" xfId="2430"/>
    <cellStyle name="40% - Accent5 4 10" xfId="26031"/>
    <cellStyle name="40% - Accent5 4 10 2" xfId="26032"/>
    <cellStyle name="40% - Accent5 4 10 2 2" xfId="26033"/>
    <cellStyle name="40% - Accent5 4 10 2 3" xfId="26034"/>
    <cellStyle name="40% - Accent5 4 10 3" xfId="26035"/>
    <cellStyle name="40% - Accent5 4 10 3 2" xfId="26036"/>
    <cellStyle name="40% - Accent5 4 10 4" xfId="26037"/>
    <cellStyle name="40% - Accent5 4 10 5" xfId="26038"/>
    <cellStyle name="40% - Accent5 4 11" xfId="26039"/>
    <cellStyle name="40% - Accent5 4 11 2" xfId="26040"/>
    <cellStyle name="40% - Accent5 4 11 3" xfId="26041"/>
    <cellStyle name="40% - Accent5 4 12" xfId="26042"/>
    <cellStyle name="40% - Accent5 4 12 2" xfId="26043"/>
    <cellStyle name="40% - Accent5 4 12 3" xfId="26044"/>
    <cellStyle name="40% - Accent5 4 13" xfId="26045"/>
    <cellStyle name="40% - Accent5 4 13 2" xfId="26046"/>
    <cellStyle name="40% - Accent5 4 14" xfId="26047"/>
    <cellStyle name="40% - Accent5 4 15" xfId="26048"/>
    <cellStyle name="40% - Accent5 4 16" xfId="26049"/>
    <cellStyle name="40% - Accent5 4 2" xfId="2431"/>
    <cellStyle name="40% - Accent5 4 2 10" xfId="26050"/>
    <cellStyle name="40% - Accent5 4 2 10 2" xfId="26051"/>
    <cellStyle name="40% - Accent5 4 2 10 3" xfId="26052"/>
    <cellStyle name="40% - Accent5 4 2 11" xfId="26053"/>
    <cellStyle name="40% - Accent5 4 2 11 2" xfId="26054"/>
    <cellStyle name="40% - Accent5 4 2 11 3" xfId="26055"/>
    <cellStyle name="40% - Accent5 4 2 12" xfId="26056"/>
    <cellStyle name="40% - Accent5 4 2 12 2" xfId="26057"/>
    <cellStyle name="40% - Accent5 4 2 13" xfId="26058"/>
    <cellStyle name="40% - Accent5 4 2 14" xfId="26059"/>
    <cellStyle name="40% - Accent5 4 2 15" xfId="26060"/>
    <cellStyle name="40% - Accent5 4 2 2" xfId="2432"/>
    <cellStyle name="40% - Accent5 4 2 2 10" xfId="26061"/>
    <cellStyle name="40% - Accent5 4 2 2 10 2" xfId="26062"/>
    <cellStyle name="40% - Accent5 4 2 2 10 3" xfId="26063"/>
    <cellStyle name="40% - Accent5 4 2 2 11" xfId="26064"/>
    <cellStyle name="40% - Accent5 4 2 2 11 2" xfId="26065"/>
    <cellStyle name="40% - Accent5 4 2 2 12" xfId="26066"/>
    <cellStyle name="40% - Accent5 4 2 2 13" xfId="26067"/>
    <cellStyle name="40% - Accent5 4 2 2 2" xfId="2433"/>
    <cellStyle name="40% - Accent5 4 2 2 2 10" xfId="26068"/>
    <cellStyle name="40% - Accent5 4 2 2 2 10 2" xfId="26069"/>
    <cellStyle name="40% - Accent5 4 2 2 2 11" xfId="26070"/>
    <cellStyle name="40% - Accent5 4 2 2 2 12" xfId="26071"/>
    <cellStyle name="40% - Accent5 4 2 2 2 2" xfId="2434"/>
    <cellStyle name="40% - Accent5 4 2 2 2 2 10" xfId="26072"/>
    <cellStyle name="40% - Accent5 4 2 2 2 2 2" xfId="2435"/>
    <cellStyle name="40% - Accent5 4 2 2 2 2 2 2" xfId="26073"/>
    <cellStyle name="40% - Accent5 4 2 2 2 2 2 2 2" xfId="26074"/>
    <cellStyle name="40% - Accent5 4 2 2 2 2 2 2 2 2" xfId="26075"/>
    <cellStyle name="40% - Accent5 4 2 2 2 2 2 2 2 3" xfId="26076"/>
    <cellStyle name="40% - Accent5 4 2 2 2 2 2 2 3" xfId="26077"/>
    <cellStyle name="40% - Accent5 4 2 2 2 2 2 2 3 2" xfId="26078"/>
    <cellStyle name="40% - Accent5 4 2 2 2 2 2 2 3 3" xfId="26079"/>
    <cellStyle name="40% - Accent5 4 2 2 2 2 2 2 4" xfId="26080"/>
    <cellStyle name="40% - Accent5 4 2 2 2 2 2 2 4 2" xfId="26081"/>
    <cellStyle name="40% - Accent5 4 2 2 2 2 2 2 5" xfId="26082"/>
    <cellStyle name="40% - Accent5 4 2 2 2 2 2 2 6" xfId="26083"/>
    <cellStyle name="40% - Accent5 4 2 2 2 2 2 3" xfId="26084"/>
    <cellStyle name="40% - Accent5 4 2 2 2 2 2 3 2" xfId="26085"/>
    <cellStyle name="40% - Accent5 4 2 2 2 2 2 3 2 2" xfId="26086"/>
    <cellStyle name="40% - Accent5 4 2 2 2 2 2 3 2 3" xfId="26087"/>
    <cellStyle name="40% - Accent5 4 2 2 2 2 2 3 3" xfId="26088"/>
    <cellStyle name="40% - Accent5 4 2 2 2 2 2 3 3 2" xfId="26089"/>
    <cellStyle name="40% - Accent5 4 2 2 2 2 2 3 3 3" xfId="26090"/>
    <cellStyle name="40% - Accent5 4 2 2 2 2 2 3 4" xfId="26091"/>
    <cellStyle name="40% - Accent5 4 2 2 2 2 2 3 4 2" xfId="26092"/>
    <cellStyle name="40% - Accent5 4 2 2 2 2 2 3 5" xfId="26093"/>
    <cellStyle name="40% - Accent5 4 2 2 2 2 2 3 6" xfId="26094"/>
    <cellStyle name="40% - Accent5 4 2 2 2 2 2 4" xfId="26095"/>
    <cellStyle name="40% - Accent5 4 2 2 2 2 2 4 2" xfId="26096"/>
    <cellStyle name="40% - Accent5 4 2 2 2 2 2 4 2 2" xfId="26097"/>
    <cellStyle name="40% - Accent5 4 2 2 2 2 2 4 2 3" xfId="26098"/>
    <cellStyle name="40% - Accent5 4 2 2 2 2 2 4 3" xfId="26099"/>
    <cellStyle name="40% - Accent5 4 2 2 2 2 2 4 3 2" xfId="26100"/>
    <cellStyle name="40% - Accent5 4 2 2 2 2 2 4 4" xfId="26101"/>
    <cellStyle name="40% - Accent5 4 2 2 2 2 2 4 5" xfId="26102"/>
    <cellStyle name="40% - Accent5 4 2 2 2 2 2 5" xfId="26103"/>
    <cellStyle name="40% - Accent5 4 2 2 2 2 2 5 2" xfId="26104"/>
    <cellStyle name="40% - Accent5 4 2 2 2 2 2 5 3" xfId="26105"/>
    <cellStyle name="40% - Accent5 4 2 2 2 2 2 6" xfId="26106"/>
    <cellStyle name="40% - Accent5 4 2 2 2 2 2 6 2" xfId="26107"/>
    <cellStyle name="40% - Accent5 4 2 2 2 2 2 6 3" xfId="26108"/>
    <cellStyle name="40% - Accent5 4 2 2 2 2 2 7" xfId="26109"/>
    <cellStyle name="40% - Accent5 4 2 2 2 2 2 7 2" xfId="26110"/>
    <cellStyle name="40% - Accent5 4 2 2 2 2 2 8" xfId="26111"/>
    <cellStyle name="40% - Accent5 4 2 2 2 2 2 9" xfId="26112"/>
    <cellStyle name="40% - Accent5 4 2 2 2 2 3" xfId="26113"/>
    <cellStyle name="40% - Accent5 4 2 2 2 2 3 2" xfId="26114"/>
    <cellStyle name="40% - Accent5 4 2 2 2 2 3 2 2" xfId="26115"/>
    <cellStyle name="40% - Accent5 4 2 2 2 2 3 2 3" xfId="26116"/>
    <cellStyle name="40% - Accent5 4 2 2 2 2 3 3" xfId="26117"/>
    <cellStyle name="40% - Accent5 4 2 2 2 2 3 3 2" xfId="26118"/>
    <cellStyle name="40% - Accent5 4 2 2 2 2 3 3 3" xfId="26119"/>
    <cellStyle name="40% - Accent5 4 2 2 2 2 3 4" xfId="26120"/>
    <cellStyle name="40% - Accent5 4 2 2 2 2 3 4 2" xfId="26121"/>
    <cellStyle name="40% - Accent5 4 2 2 2 2 3 5" xfId="26122"/>
    <cellStyle name="40% - Accent5 4 2 2 2 2 3 6" xfId="26123"/>
    <cellStyle name="40% - Accent5 4 2 2 2 2 4" xfId="26124"/>
    <cellStyle name="40% - Accent5 4 2 2 2 2 4 2" xfId="26125"/>
    <cellStyle name="40% - Accent5 4 2 2 2 2 4 2 2" xfId="26126"/>
    <cellStyle name="40% - Accent5 4 2 2 2 2 4 2 3" xfId="26127"/>
    <cellStyle name="40% - Accent5 4 2 2 2 2 4 3" xfId="26128"/>
    <cellStyle name="40% - Accent5 4 2 2 2 2 4 3 2" xfId="26129"/>
    <cellStyle name="40% - Accent5 4 2 2 2 2 4 3 3" xfId="26130"/>
    <cellStyle name="40% - Accent5 4 2 2 2 2 4 4" xfId="26131"/>
    <cellStyle name="40% - Accent5 4 2 2 2 2 4 4 2" xfId="26132"/>
    <cellStyle name="40% - Accent5 4 2 2 2 2 4 5" xfId="26133"/>
    <cellStyle name="40% - Accent5 4 2 2 2 2 4 6" xfId="26134"/>
    <cellStyle name="40% - Accent5 4 2 2 2 2 5" xfId="26135"/>
    <cellStyle name="40% - Accent5 4 2 2 2 2 5 2" xfId="26136"/>
    <cellStyle name="40% - Accent5 4 2 2 2 2 5 2 2" xfId="26137"/>
    <cellStyle name="40% - Accent5 4 2 2 2 2 5 2 3" xfId="26138"/>
    <cellStyle name="40% - Accent5 4 2 2 2 2 5 3" xfId="26139"/>
    <cellStyle name="40% - Accent5 4 2 2 2 2 5 3 2" xfId="26140"/>
    <cellStyle name="40% - Accent5 4 2 2 2 2 5 4" xfId="26141"/>
    <cellStyle name="40% - Accent5 4 2 2 2 2 5 5" xfId="26142"/>
    <cellStyle name="40% - Accent5 4 2 2 2 2 6" xfId="26143"/>
    <cellStyle name="40% - Accent5 4 2 2 2 2 6 2" xfId="26144"/>
    <cellStyle name="40% - Accent5 4 2 2 2 2 6 3" xfId="26145"/>
    <cellStyle name="40% - Accent5 4 2 2 2 2 7" xfId="26146"/>
    <cellStyle name="40% - Accent5 4 2 2 2 2 7 2" xfId="26147"/>
    <cellStyle name="40% - Accent5 4 2 2 2 2 7 3" xfId="26148"/>
    <cellStyle name="40% - Accent5 4 2 2 2 2 8" xfId="26149"/>
    <cellStyle name="40% - Accent5 4 2 2 2 2 8 2" xfId="26150"/>
    <cellStyle name="40% - Accent5 4 2 2 2 2 9" xfId="26151"/>
    <cellStyle name="40% - Accent5 4 2 2 2 3" xfId="2436"/>
    <cellStyle name="40% - Accent5 4 2 2 2 3 2" xfId="26152"/>
    <cellStyle name="40% - Accent5 4 2 2 2 3 2 2" xfId="26153"/>
    <cellStyle name="40% - Accent5 4 2 2 2 3 2 2 2" xfId="26154"/>
    <cellStyle name="40% - Accent5 4 2 2 2 3 2 2 3" xfId="26155"/>
    <cellStyle name="40% - Accent5 4 2 2 2 3 2 3" xfId="26156"/>
    <cellStyle name="40% - Accent5 4 2 2 2 3 2 3 2" xfId="26157"/>
    <cellStyle name="40% - Accent5 4 2 2 2 3 2 3 3" xfId="26158"/>
    <cellStyle name="40% - Accent5 4 2 2 2 3 2 4" xfId="26159"/>
    <cellStyle name="40% - Accent5 4 2 2 2 3 2 4 2" xfId="26160"/>
    <cellStyle name="40% - Accent5 4 2 2 2 3 2 5" xfId="26161"/>
    <cellStyle name="40% - Accent5 4 2 2 2 3 2 6" xfId="26162"/>
    <cellStyle name="40% - Accent5 4 2 2 2 3 3" xfId="26163"/>
    <cellStyle name="40% - Accent5 4 2 2 2 3 3 2" xfId="26164"/>
    <cellStyle name="40% - Accent5 4 2 2 2 3 3 2 2" xfId="26165"/>
    <cellStyle name="40% - Accent5 4 2 2 2 3 3 2 3" xfId="26166"/>
    <cellStyle name="40% - Accent5 4 2 2 2 3 3 3" xfId="26167"/>
    <cellStyle name="40% - Accent5 4 2 2 2 3 3 3 2" xfId="26168"/>
    <cellStyle name="40% - Accent5 4 2 2 2 3 3 3 3" xfId="26169"/>
    <cellStyle name="40% - Accent5 4 2 2 2 3 3 4" xfId="26170"/>
    <cellStyle name="40% - Accent5 4 2 2 2 3 3 4 2" xfId="26171"/>
    <cellStyle name="40% - Accent5 4 2 2 2 3 3 5" xfId="26172"/>
    <cellStyle name="40% - Accent5 4 2 2 2 3 3 6" xfId="26173"/>
    <cellStyle name="40% - Accent5 4 2 2 2 3 4" xfId="26174"/>
    <cellStyle name="40% - Accent5 4 2 2 2 3 4 2" xfId="26175"/>
    <cellStyle name="40% - Accent5 4 2 2 2 3 4 2 2" xfId="26176"/>
    <cellStyle name="40% - Accent5 4 2 2 2 3 4 2 3" xfId="26177"/>
    <cellStyle name="40% - Accent5 4 2 2 2 3 4 3" xfId="26178"/>
    <cellStyle name="40% - Accent5 4 2 2 2 3 4 3 2" xfId="26179"/>
    <cellStyle name="40% - Accent5 4 2 2 2 3 4 4" xfId="26180"/>
    <cellStyle name="40% - Accent5 4 2 2 2 3 4 5" xfId="26181"/>
    <cellStyle name="40% - Accent5 4 2 2 2 3 5" xfId="26182"/>
    <cellStyle name="40% - Accent5 4 2 2 2 3 5 2" xfId="26183"/>
    <cellStyle name="40% - Accent5 4 2 2 2 3 5 3" xfId="26184"/>
    <cellStyle name="40% - Accent5 4 2 2 2 3 6" xfId="26185"/>
    <cellStyle name="40% - Accent5 4 2 2 2 3 6 2" xfId="26186"/>
    <cellStyle name="40% - Accent5 4 2 2 2 3 6 3" xfId="26187"/>
    <cellStyle name="40% - Accent5 4 2 2 2 3 7" xfId="26188"/>
    <cellStyle name="40% - Accent5 4 2 2 2 3 7 2" xfId="26189"/>
    <cellStyle name="40% - Accent5 4 2 2 2 3 8" xfId="26190"/>
    <cellStyle name="40% - Accent5 4 2 2 2 3 9" xfId="26191"/>
    <cellStyle name="40% - Accent5 4 2 2 2 4" xfId="26192"/>
    <cellStyle name="40% - Accent5 4 2 2 2 4 2" xfId="26193"/>
    <cellStyle name="40% - Accent5 4 2 2 2 4 2 2" xfId="26194"/>
    <cellStyle name="40% - Accent5 4 2 2 2 4 2 2 2" xfId="26195"/>
    <cellStyle name="40% - Accent5 4 2 2 2 4 2 2 3" xfId="26196"/>
    <cellStyle name="40% - Accent5 4 2 2 2 4 2 3" xfId="26197"/>
    <cellStyle name="40% - Accent5 4 2 2 2 4 2 3 2" xfId="26198"/>
    <cellStyle name="40% - Accent5 4 2 2 2 4 2 3 3" xfId="26199"/>
    <cellStyle name="40% - Accent5 4 2 2 2 4 2 4" xfId="26200"/>
    <cellStyle name="40% - Accent5 4 2 2 2 4 2 4 2" xfId="26201"/>
    <cellStyle name="40% - Accent5 4 2 2 2 4 2 5" xfId="26202"/>
    <cellStyle name="40% - Accent5 4 2 2 2 4 2 6" xfId="26203"/>
    <cellStyle name="40% - Accent5 4 2 2 2 4 3" xfId="26204"/>
    <cellStyle name="40% - Accent5 4 2 2 2 4 3 2" xfId="26205"/>
    <cellStyle name="40% - Accent5 4 2 2 2 4 3 2 2" xfId="26206"/>
    <cellStyle name="40% - Accent5 4 2 2 2 4 3 2 3" xfId="26207"/>
    <cellStyle name="40% - Accent5 4 2 2 2 4 3 3" xfId="26208"/>
    <cellStyle name="40% - Accent5 4 2 2 2 4 3 3 2" xfId="26209"/>
    <cellStyle name="40% - Accent5 4 2 2 2 4 3 3 3" xfId="26210"/>
    <cellStyle name="40% - Accent5 4 2 2 2 4 3 4" xfId="26211"/>
    <cellStyle name="40% - Accent5 4 2 2 2 4 3 4 2" xfId="26212"/>
    <cellStyle name="40% - Accent5 4 2 2 2 4 3 5" xfId="26213"/>
    <cellStyle name="40% - Accent5 4 2 2 2 4 3 6" xfId="26214"/>
    <cellStyle name="40% - Accent5 4 2 2 2 4 4" xfId="26215"/>
    <cellStyle name="40% - Accent5 4 2 2 2 4 4 2" xfId="26216"/>
    <cellStyle name="40% - Accent5 4 2 2 2 4 4 2 2" xfId="26217"/>
    <cellStyle name="40% - Accent5 4 2 2 2 4 4 2 3" xfId="26218"/>
    <cellStyle name="40% - Accent5 4 2 2 2 4 4 3" xfId="26219"/>
    <cellStyle name="40% - Accent5 4 2 2 2 4 4 3 2" xfId="26220"/>
    <cellStyle name="40% - Accent5 4 2 2 2 4 4 4" xfId="26221"/>
    <cellStyle name="40% - Accent5 4 2 2 2 4 4 5" xfId="26222"/>
    <cellStyle name="40% - Accent5 4 2 2 2 4 5" xfId="26223"/>
    <cellStyle name="40% - Accent5 4 2 2 2 4 5 2" xfId="26224"/>
    <cellStyle name="40% - Accent5 4 2 2 2 4 5 3" xfId="26225"/>
    <cellStyle name="40% - Accent5 4 2 2 2 4 6" xfId="26226"/>
    <cellStyle name="40% - Accent5 4 2 2 2 4 6 2" xfId="26227"/>
    <cellStyle name="40% - Accent5 4 2 2 2 4 6 3" xfId="26228"/>
    <cellStyle name="40% - Accent5 4 2 2 2 4 7" xfId="26229"/>
    <cellStyle name="40% - Accent5 4 2 2 2 4 7 2" xfId="26230"/>
    <cellStyle name="40% - Accent5 4 2 2 2 4 8" xfId="26231"/>
    <cellStyle name="40% - Accent5 4 2 2 2 4 9" xfId="26232"/>
    <cellStyle name="40% - Accent5 4 2 2 2 5" xfId="26233"/>
    <cellStyle name="40% - Accent5 4 2 2 2 5 2" xfId="26234"/>
    <cellStyle name="40% - Accent5 4 2 2 2 5 2 2" xfId="26235"/>
    <cellStyle name="40% - Accent5 4 2 2 2 5 2 3" xfId="26236"/>
    <cellStyle name="40% - Accent5 4 2 2 2 5 3" xfId="26237"/>
    <cellStyle name="40% - Accent5 4 2 2 2 5 3 2" xfId="26238"/>
    <cellStyle name="40% - Accent5 4 2 2 2 5 3 3" xfId="26239"/>
    <cellStyle name="40% - Accent5 4 2 2 2 5 4" xfId="26240"/>
    <cellStyle name="40% - Accent5 4 2 2 2 5 4 2" xfId="26241"/>
    <cellStyle name="40% - Accent5 4 2 2 2 5 5" xfId="26242"/>
    <cellStyle name="40% - Accent5 4 2 2 2 5 6" xfId="26243"/>
    <cellStyle name="40% - Accent5 4 2 2 2 6" xfId="26244"/>
    <cellStyle name="40% - Accent5 4 2 2 2 6 2" xfId="26245"/>
    <cellStyle name="40% - Accent5 4 2 2 2 6 2 2" xfId="26246"/>
    <cellStyle name="40% - Accent5 4 2 2 2 6 2 3" xfId="26247"/>
    <cellStyle name="40% - Accent5 4 2 2 2 6 3" xfId="26248"/>
    <cellStyle name="40% - Accent5 4 2 2 2 6 3 2" xfId="26249"/>
    <cellStyle name="40% - Accent5 4 2 2 2 6 3 3" xfId="26250"/>
    <cellStyle name="40% - Accent5 4 2 2 2 6 4" xfId="26251"/>
    <cellStyle name="40% - Accent5 4 2 2 2 6 4 2" xfId="26252"/>
    <cellStyle name="40% - Accent5 4 2 2 2 6 5" xfId="26253"/>
    <cellStyle name="40% - Accent5 4 2 2 2 6 6" xfId="26254"/>
    <cellStyle name="40% - Accent5 4 2 2 2 7" xfId="26255"/>
    <cellStyle name="40% - Accent5 4 2 2 2 7 2" xfId="26256"/>
    <cellStyle name="40% - Accent5 4 2 2 2 7 2 2" xfId="26257"/>
    <cellStyle name="40% - Accent5 4 2 2 2 7 2 3" xfId="26258"/>
    <cellStyle name="40% - Accent5 4 2 2 2 7 3" xfId="26259"/>
    <cellStyle name="40% - Accent5 4 2 2 2 7 3 2" xfId="26260"/>
    <cellStyle name="40% - Accent5 4 2 2 2 7 4" xfId="26261"/>
    <cellStyle name="40% - Accent5 4 2 2 2 7 5" xfId="26262"/>
    <cellStyle name="40% - Accent5 4 2 2 2 8" xfId="26263"/>
    <cellStyle name="40% - Accent5 4 2 2 2 8 2" xfId="26264"/>
    <cellStyle name="40% - Accent5 4 2 2 2 8 3" xfId="26265"/>
    <cellStyle name="40% - Accent5 4 2 2 2 9" xfId="26266"/>
    <cellStyle name="40% - Accent5 4 2 2 2 9 2" xfId="26267"/>
    <cellStyle name="40% - Accent5 4 2 2 2 9 3" xfId="26268"/>
    <cellStyle name="40% - Accent5 4 2 2 3" xfId="2437"/>
    <cellStyle name="40% - Accent5 4 2 2 3 10" xfId="26269"/>
    <cellStyle name="40% - Accent5 4 2 2 3 2" xfId="2438"/>
    <cellStyle name="40% - Accent5 4 2 2 3 2 2" xfId="26270"/>
    <cellStyle name="40% - Accent5 4 2 2 3 2 2 2" xfId="26271"/>
    <cellStyle name="40% - Accent5 4 2 2 3 2 2 2 2" xfId="26272"/>
    <cellStyle name="40% - Accent5 4 2 2 3 2 2 2 3" xfId="26273"/>
    <cellStyle name="40% - Accent5 4 2 2 3 2 2 3" xfId="26274"/>
    <cellStyle name="40% - Accent5 4 2 2 3 2 2 3 2" xfId="26275"/>
    <cellStyle name="40% - Accent5 4 2 2 3 2 2 3 3" xfId="26276"/>
    <cellStyle name="40% - Accent5 4 2 2 3 2 2 4" xfId="26277"/>
    <cellStyle name="40% - Accent5 4 2 2 3 2 2 4 2" xfId="26278"/>
    <cellStyle name="40% - Accent5 4 2 2 3 2 2 5" xfId="26279"/>
    <cellStyle name="40% - Accent5 4 2 2 3 2 2 6" xfId="26280"/>
    <cellStyle name="40% - Accent5 4 2 2 3 2 3" xfId="26281"/>
    <cellStyle name="40% - Accent5 4 2 2 3 2 3 2" xfId="26282"/>
    <cellStyle name="40% - Accent5 4 2 2 3 2 3 2 2" xfId="26283"/>
    <cellStyle name="40% - Accent5 4 2 2 3 2 3 2 3" xfId="26284"/>
    <cellStyle name="40% - Accent5 4 2 2 3 2 3 3" xfId="26285"/>
    <cellStyle name="40% - Accent5 4 2 2 3 2 3 3 2" xfId="26286"/>
    <cellStyle name="40% - Accent5 4 2 2 3 2 3 3 3" xfId="26287"/>
    <cellStyle name="40% - Accent5 4 2 2 3 2 3 4" xfId="26288"/>
    <cellStyle name="40% - Accent5 4 2 2 3 2 3 4 2" xfId="26289"/>
    <cellStyle name="40% - Accent5 4 2 2 3 2 3 5" xfId="26290"/>
    <cellStyle name="40% - Accent5 4 2 2 3 2 3 6" xfId="26291"/>
    <cellStyle name="40% - Accent5 4 2 2 3 2 4" xfId="26292"/>
    <cellStyle name="40% - Accent5 4 2 2 3 2 4 2" xfId="26293"/>
    <cellStyle name="40% - Accent5 4 2 2 3 2 4 2 2" xfId="26294"/>
    <cellStyle name="40% - Accent5 4 2 2 3 2 4 2 3" xfId="26295"/>
    <cellStyle name="40% - Accent5 4 2 2 3 2 4 3" xfId="26296"/>
    <cellStyle name="40% - Accent5 4 2 2 3 2 4 3 2" xfId="26297"/>
    <cellStyle name="40% - Accent5 4 2 2 3 2 4 4" xfId="26298"/>
    <cellStyle name="40% - Accent5 4 2 2 3 2 4 5" xfId="26299"/>
    <cellStyle name="40% - Accent5 4 2 2 3 2 5" xfId="26300"/>
    <cellStyle name="40% - Accent5 4 2 2 3 2 5 2" xfId="26301"/>
    <cellStyle name="40% - Accent5 4 2 2 3 2 5 3" xfId="26302"/>
    <cellStyle name="40% - Accent5 4 2 2 3 2 6" xfId="26303"/>
    <cellStyle name="40% - Accent5 4 2 2 3 2 6 2" xfId="26304"/>
    <cellStyle name="40% - Accent5 4 2 2 3 2 6 3" xfId="26305"/>
    <cellStyle name="40% - Accent5 4 2 2 3 2 7" xfId="26306"/>
    <cellStyle name="40% - Accent5 4 2 2 3 2 7 2" xfId="26307"/>
    <cellStyle name="40% - Accent5 4 2 2 3 2 8" xfId="26308"/>
    <cellStyle name="40% - Accent5 4 2 2 3 2 9" xfId="26309"/>
    <cellStyle name="40% - Accent5 4 2 2 3 3" xfId="26310"/>
    <cellStyle name="40% - Accent5 4 2 2 3 3 2" xfId="26311"/>
    <cellStyle name="40% - Accent5 4 2 2 3 3 2 2" xfId="26312"/>
    <cellStyle name="40% - Accent5 4 2 2 3 3 2 3" xfId="26313"/>
    <cellStyle name="40% - Accent5 4 2 2 3 3 3" xfId="26314"/>
    <cellStyle name="40% - Accent5 4 2 2 3 3 3 2" xfId="26315"/>
    <cellStyle name="40% - Accent5 4 2 2 3 3 3 3" xfId="26316"/>
    <cellStyle name="40% - Accent5 4 2 2 3 3 4" xfId="26317"/>
    <cellStyle name="40% - Accent5 4 2 2 3 3 4 2" xfId="26318"/>
    <cellStyle name="40% - Accent5 4 2 2 3 3 5" xfId="26319"/>
    <cellStyle name="40% - Accent5 4 2 2 3 3 6" xfId="26320"/>
    <cellStyle name="40% - Accent5 4 2 2 3 4" xfId="26321"/>
    <cellStyle name="40% - Accent5 4 2 2 3 4 2" xfId="26322"/>
    <cellStyle name="40% - Accent5 4 2 2 3 4 2 2" xfId="26323"/>
    <cellStyle name="40% - Accent5 4 2 2 3 4 2 3" xfId="26324"/>
    <cellStyle name="40% - Accent5 4 2 2 3 4 3" xfId="26325"/>
    <cellStyle name="40% - Accent5 4 2 2 3 4 3 2" xfId="26326"/>
    <cellStyle name="40% - Accent5 4 2 2 3 4 3 3" xfId="26327"/>
    <cellStyle name="40% - Accent5 4 2 2 3 4 4" xfId="26328"/>
    <cellStyle name="40% - Accent5 4 2 2 3 4 4 2" xfId="26329"/>
    <cellStyle name="40% - Accent5 4 2 2 3 4 5" xfId="26330"/>
    <cellStyle name="40% - Accent5 4 2 2 3 4 6" xfId="26331"/>
    <cellStyle name="40% - Accent5 4 2 2 3 5" xfId="26332"/>
    <cellStyle name="40% - Accent5 4 2 2 3 5 2" xfId="26333"/>
    <cellStyle name="40% - Accent5 4 2 2 3 5 2 2" xfId="26334"/>
    <cellStyle name="40% - Accent5 4 2 2 3 5 2 3" xfId="26335"/>
    <cellStyle name="40% - Accent5 4 2 2 3 5 3" xfId="26336"/>
    <cellStyle name="40% - Accent5 4 2 2 3 5 3 2" xfId="26337"/>
    <cellStyle name="40% - Accent5 4 2 2 3 5 4" xfId="26338"/>
    <cellStyle name="40% - Accent5 4 2 2 3 5 5" xfId="26339"/>
    <cellStyle name="40% - Accent5 4 2 2 3 6" xfId="26340"/>
    <cellStyle name="40% - Accent5 4 2 2 3 6 2" xfId="26341"/>
    <cellStyle name="40% - Accent5 4 2 2 3 6 3" xfId="26342"/>
    <cellStyle name="40% - Accent5 4 2 2 3 7" xfId="26343"/>
    <cellStyle name="40% - Accent5 4 2 2 3 7 2" xfId="26344"/>
    <cellStyle name="40% - Accent5 4 2 2 3 7 3" xfId="26345"/>
    <cellStyle name="40% - Accent5 4 2 2 3 8" xfId="26346"/>
    <cellStyle name="40% - Accent5 4 2 2 3 8 2" xfId="26347"/>
    <cellStyle name="40% - Accent5 4 2 2 3 9" xfId="26348"/>
    <cellStyle name="40% - Accent5 4 2 2 4" xfId="2439"/>
    <cellStyle name="40% - Accent5 4 2 2 4 2" xfId="26349"/>
    <cellStyle name="40% - Accent5 4 2 2 4 2 2" xfId="26350"/>
    <cellStyle name="40% - Accent5 4 2 2 4 2 2 2" xfId="26351"/>
    <cellStyle name="40% - Accent5 4 2 2 4 2 2 3" xfId="26352"/>
    <cellStyle name="40% - Accent5 4 2 2 4 2 3" xfId="26353"/>
    <cellStyle name="40% - Accent5 4 2 2 4 2 3 2" xfId="26354"/>
    <cellStyle name="40% - Accent5 4 2 2 4 2 3 3" xfId="26355"/>
    <cellStyle name="40% - Accent5 4 2 2 4 2 4" xfId="26356"/>
    <cellStyle name="40% - Accent5 4 2 2 4 2 4 2" xfId="26357"/>
    <cellStyle name="40% - Accent5 4 2 2 4 2 5" xfId="26358"/>
    <cellStyle name="40% - Accent5 4 2 2 4 2 6" xfId="26359"/>
    <cellStyle name="40% - Accent5 4 2 2 4 3" xfId="26360"/>
    <cellStyle name="40% - Accent5 4 2 2 4 3 2" xfId="26361"/>
    <cellStyle name="40% - Accent5 4 2 2 4 3 2 2" xfId="26362"/>
    <cellStyle name="40% - Accent5 4 2 2 4 3 2 3" xfId="26363"/>
    <cellStyle name="40% - Accent5 4 2 2 4 3 3" xfId="26364"/>
    <cellStyle name="40% - Accent5 4 2 2 4 3 3 2" xfId="26365"/>
    <cellStyle name="40% - Accent5 4 2 2 4 3 3 3" xfId="26366"/>
    <cellStyle name="40% - Accent5 4 2 2 4 3 4" xfId="26367"/>
    <cellStyle name="40% - Accent5 4 2 2 4 3 4 2" xfId="26368"/>
    <cellStyle name="40% - Accent5 4 2 2 4 3 5" xfId="26369"/>
    <cellStyle name="40% - Accent5 4 2 2 4 3 6" xfId="26370"/>
    <cellStyle name="40% - Accent5 4 2 2 4 4" xfId="26371"/>
    <cellStyle name="40% - Accent5 4 2 2 4 4 2" xfId="26372"/>
    <cellStyle name="40% - Accent5 4 2 2 4 4 2 2" xfId="26373"/>
    <cellStyle name="40% - Accent5 4 2 2 4 4 2 3" xfId="26374"/>
    <cellStyle name="40% - Accent5 4 2 2 4 4 3" xfId="26375"/>
    <cellStyle name="40% - Accent5 4 2 2 4 4 3 2" xfId="26376"/>
    <cellStyle name="40% - Accent5 4 2 2 4 4 4" xfId="26377"/>
    <cellStyle name="40% - Accent5 4 2 2 4 4 5" xfId="26378"/>
    <cellStyle name="40% - Accent5 4 2 2 4 5" xfId="26379"/>
    <cellStyle name="40% - Accent5 4 2 2 4 5 2" xfId="26380"/>
    <cellStyle name="40% - Accent5 4 2 2 4 5 3" xfId="26381"/>
    <cellStyle name="40% - Accent5 4 2 2 4 6" xfId="26382"/>
    <cellStyle name="40% - Accent5 4 2 2 4 6 2" xfId="26383"/>
    <cellStyle name="40% - Accent5 4 2 2 4 6 3" xfId="26384"/>
    <cellStyle name="40% - Accent5 4 2 2 4 7" xfId="26385"/>
    <cellStyle name="40% - Accent5 4 2 2 4 7 2" xfId="26386"/>
    <cellStyle name="40% - Accent5 4 2 2 4 8" xfId="26387"/>
    <cellStyle name="40% - Accent5 4 2 2 4 9" xfId="26388"/>
    <cellStyle name="40% - Accent5 4 2 2 5" xfId="26389"/>
    <cellStyle name="40% - Accent5 4 2 2 5 2" xfId="26390"/>
    <cellStyle name="40% - Accent5 4 2 2 5 2 2" xfId="26391"/>
    <cellStyle name="40% - Accent5 4 2 2 5 2 2 2" xfId="26392"/>
    <cellStyle name="40% - Accent5 4 2 2 5 2 2 3" xfId="26393"/>
    <cellStyle name="40% - Accent5 4 2 2 5 2 3" xfId="26394"/>
    <cellStyle name="40% - Accent5 4 2 2 5 2 3 2" xfId="26395"/>
    <cellStyle name="40% - Accent5 4 2 2 5 2 3 3" xfId="26396"/>
    <cellStyle name="40% - Accent5 4 2 2 5 2 4" xfId="26397"/>
    <cellStyle name="40% - Accent5 4 2 2 5 2 4 2" xfId="26398"/>
    <cellStyle name="40% - Accent5 4 2 2 5 2 5" xfId="26399"/>
    <cellStyle name="40% - Accent5 4 2 2 5 2 6" xfId="26400"/>
    <cellStyle name="40% - Accent5 4 2 2 5 3" xfId="26401"/>
    <cellStyle name="40% - Accent5 4 2 2 5 3 2" xfId="26402"/>
    <cellStyle name="40% - Accent5 4 2 2 5 3 2 2" xfId="26403"/>
    <cellStyle name="40% - Accent5 4 2 2 5 3 2 3" xfId="26404"/>
    <cellStyle name="40% - Accent5 4 2 2 5 3 3" xfId="26405"/>
    <cellStyle name="40% - Accent5 4 2 2 5 3 3 2" xfId="26406"/>
    <cellStyle name="40% - Accent5 4 2 2 5 3 3 3" xfId="26407"/>
    <cellStyle name="40% - Accent5 4 2 2 5 3 4" xfId="26408"/>
    <cellStyle name="40% - Accent5 4 2 2 5 3 4 2" xfId="26409"/>
    <cellStyle name="40% - Accent5 4 2 2 5 3 5" xfId="26410"/>
    <cellStyle name="40% - Accent5 4 2 2 5 3 6" xfId="26411"/>
    <cellStyle name="40% - Accent5 4 2 2 5 4" xfId="26412"/>
    <cellStyle name="40% - Accent5 4 2 2 5 4 2" xfId="26413"/>
    <cellStyle name="40% - Accent5 4 2 2 5 4 2 2" xfId="26414"/>
    <cellStyle name="40% - Accent5 4 2 2 5 4 2 3" xfId="26415"/>
    <cellStyle name="40% - Accent5 4 2 2 5 4 3" xfId="26416"/>
    <cellStyle name="40% - Accent5 4 2 2 5 4 3 2" xfId="26417"/>
    <cellStyle name="40% - Accent5 4 2 2 5 4 4" xfId="26418"/>
    <cellStyle name="40% - Accent5 4 2 2 5 4 5" xfId="26419"/>
    <cellStyle name="40% - Accent5 4 2 2 5 5" xfId="26420"/>
    <cellStyle name="40% - Accent5 4 2 2 5 5 2" xfId="26421"/>
    <cellStyle name="40% - Accent5 4 2 2 5 5 3" xfId="26422"/>
    <cellStyle name="40% - Accent5 4 2 2 5 6" xfId="26423"/>
    <cellStyle name="40% - Accent5 4 2 2 5 6 2" xfId="26424"/>
    <cellStyle name="40% - Accent5 4 2 2 5 6 3" xfId="26425"/>
    <cellStyle name="40% - Accent5 4 2 2 5 7" xfId="26426"/>
    <cellStyle name="40% - Accent5 4 2 2 5 7 2" xfId="26427"/>
    <cellStyle name="40% - Accent5 4 2 2 5 8" xfId="26428"/>
    <cellStyle name="40% - Accent5 4 2 2 5 9" xfId="26429"/>
    <cellStyle name="40% - Accent5 4 2 2 6" xfId="26430"/>
    <cellStyle name="40% - Accent5 4 2 2 6 2" xfId="26431"/>
    <cellStyle name="40% - Accent5 4 2 2 6 2 2" xfId="26432"/>
    <cellStyle name="40% - Accent5 4 2 2 6 2 3" xfId="26433"/>
    <cellStyle name="40% - Accent5 4 2 2 6 3" xfId="26434"/>
    <cellStyle name="40% - Accent5 4 2 2 6 3 2" xfId="26435"/>
    <cellStyle name="40% - Accent5 4 2 2 6 3 3" xfId="26436"/>
    <cellStyle name="40% - Accent5 4 2 2 6 4" xfId="26437"/>
    <cellStyle name="40% - Accent5 4 2 2 6 4 2" xfId="26438"/>
    <cellStyle name="40% - Accent5 4 2 2 6 5" xfId="26439"/>
    <cellStyle name="40% - Accent5 4 2 2 6 6" xfId="26440"/>
    <cellStyle name="40% - Accent5 4 2 2 7" xfId="26441"/>
    <cellStyle name="40% - Accent5 4 2 2 7 2" xfId="26442"/>
    <cellStyle name="40% - Accent5 4 2 2 7 2 2" xfId="26443"/>
    <cellStyle name="40% - Accent5 4 2 2 7 2 3" xfId="26444"/>
    <cellStyle name="40% - Accent5 4 2 2 7 3" xfId="26445"/>
    <cellStyle name="40% - Accent5 4 2 2 7 3 2" xfId="26446"/>
    <cellStyle name="40% - Accent5 4 2 2 7 3 3" xfId="26447"/>
    <cellStyle name="40% - Accent5 4 2 2 7 4" xfId="26448"/>
    <cellStyle name="40% - Accent5 4 2 2 7 4 2" xfId="26449"/>
    <cellStyle name="40% - Accent5 4 2 2 7 5" xfId="26450"/>
    <cellStyle name="40% - Accent5 4 2 2 7 6" xfId="26451"/>
    <cellStyle name="40% - Accent5 4 2 2 8" xfId="26452"/>
    <cellStyle name="40% - Accent5 4 2 2 8 2" xfId="26453"/>
    <cellStyle name="40% - Accent5 4 2 2 8 2 2" xfId="26454"/>
    <cellStyle name="40% - Accent5 4 2 2 8 2 3" xfId="26455"/>
    <cellStyle name="40% - Accent5 4 2 2 8 3" xfId="26456"/>
    <cellStyle name="40% - Accent5 4 2 2 8 3 2" xfId="26457"/>
    <cellStyle name="40% - Accent5 4 2 2 8 4" xfId="26458"/>
    <cellStyle name="40% - Accent5 4 2 2 8 5" xfId="26459"/>
    <cellStyle name="40% - Accent5 4 2 2 9" xfId="26460"/>
    <cellStyle name="40% - Accent5 4 2 2 9 2" xfId="26461"/>
    <cellStyle name="40% - Accent5 4 2 2 9 3" xfId="26462"/>
    <cellStyle name="40% - Accent5 4 2 3" xfId="2440"/>
    <cellStyle name="40% - Accent5 4 2 3 10" xfId="26463"/>
    <cellStyle name="40% - Accent5 4 2 3 10 2" xfId="26464"/>
    <cellStyle name="40% - Accent5 4 2 3 11" xfId="26465"/>
    <cellStyle name="40% - Accent5 4 2 3 12" xfId="26466"/>
    <cellStyle name="40% - Accent5 4 2 3 2" xfId="2441"/>
    <cellStyle name="40% - Accent5 4 2 3 2 10" xfId="26467"/>
    <cellStyle name="40% - Accent5 4 2 3 2 2" xfId="2442"/>
    <cellStyle name="40% - Accent5 4 2 3 2 2 2" xfId="26468"/>
    <cellStyle name="40% - Accent5 4 2 3 2 2 2 2" xfId="26469"/>
    <cellStyle name="40% - Accent5 4 2 3 2 2 2 2 2" xfId="26470"/>
    <cellStyle name="40% - Accent5 4 2 3 2 2 2 2 3" xfId="26471"/>
    <cellStyle name="40% - Accent5 4 2 3 2 2 2 3" xfId="26472"/>
    <cellStyle name="40% - Accent5 4 2 3 2 2 2 3 2" xfId="26473"/>
    <cellStyle name="40% - Accent5 4 2 3 2 2 2 3 3" xfId="26474"/>
    <cellStyle name="40% - Accent5 4 2 3 2 2 2 4" xfId="26475"/>
    <cellStyle name="40% - Accent5 4 2 3 2 2 2 4 2" xfId="26476"/>
    <cellStyle name="40% - Accent5 4 2 3 2 2 2 5" xfId="26477"/>
    <cellStyle name="40% - Accent5 4 2 3 2 2 2 6" xfId="26478"/>
    <cellStyle name="40% - Accent5 4 2 3 2 2 3" xfId="26479"/>
    <cellStyle name="40% - Accent5 4 2 3 2 2 3 2" xfId="26480"/>
    <cellStyle name="40% - Accent5 4 2 3 2 2 3 2 2" xfId="26481"/>
    <cellStyle name="40% - Accent5 4 2 3 2 2 3 2 3" xfId="26482"/>
    <cellStyle name="40% - Accent5 4 2 3 2 2 3 3" xfId="26483"/>
    <cellStyle name="40% - Accent5 4 2 3 2 2 3 3 2" xfId="26484"/>
    <cellStyle name="40% - Accent5 4 2 3 2 2 3 3 3" xfId="26485"/>
    <cellStyle name="40% - Accent5 4 2 3 2 2 3 4" xfId="26486"/>
    <cellStyle name="40% - Accent5 4 2 3 2 2 3 4 2" xfId="26487"/>
    <cellStyle name="40% - Accent5 4 2 3 2 2 3 5" xfId="26488"/>
    <cellStyle name="40% - Accent5 4 2 3 2 2 3 6" xfId="26489"/>
    <cellStyle name="40% - Accent5 4 2 3 2 2 4" xfId="26490"/>
    <cellStyle name="40% - Accent5 4 2 3 2 2 4 2" xfId="26491"/>
    <cellStyle name="40% - Accent5 4 2 3 2 2 4 2 2" xfId="26492"/>
    <cellStyle name="40% - Accent5 4 2 3 2 2 4 2 3" xfId="26493"/>
    <cellStyle name="40% - Accent5 4 2 3 2 2 4 3" xfId="26494"/>
    <cellStyle name="40% - Accent5 4 2 3 2 2 4 3 2" xfId="26495"/>
    <cellStyle name="40% - Accent5 4 2 3 2 2 4 4" xfId="26496"/>
    <cellStyle name="40% - Accent5 4 2 3 2 2 4 5" xfId="26497"/>
    <cellStyle name="40% - Accent5 4 2 3 2 2 5" xfId="26498"/>
    <cellStyle name="40% - Accent5 4 2 3 2 2 5 2" xfId="26499"/>
    <cellStyle name="40% - Accent5 4 2 3 2 2 5 3" xfId="26500"/>
    <cellStyle name="40% - Accent5 4 2 3 2 2 6" xfId="26501"/>
    <cellStyle name="40% - Accent5 4 2 3 2 2 6 2" xfId="26502"/>
    <cellStyle name="40% - Accent5 4 2 3 2 2 6 3" xfId="26503"/>
    <cellStyle name="40% - Accent5 4 2 3 2 2 7" xfId="26504"/>
    <cellStyle name="40% - Accent5 4 2 3 2 2 7 2" xfId="26505"/>
    <cellStyle name="40% - Accent5 4 2 3 2 2 8" xfId="26506"/>
    <cellStyle name="40% - Accent5 4 2 3 2 2 9" xfId="26507"/>
    <cellStyle name="40% - Accent5 4 2 3 2 3" xfId="26508"/>
    <cellStyle name="40% - Accent5 4 2 3 2 3 2" xfId="26509"/>
    <cellStyle name="40% - Accent5 4 2 3 2 3 2 2" xfId="26510"/>
    <cellStyle name="40% - Accent5 4 2 3 2 3 2 3" xfId="26511"/>
    <cellStyle name="40% - Accent5 4 2 3 2 3 3" xfId="26512"/>
    <cellStyle name="40% - Accent5 4 2 3 2 3 3 2" xfId="26513"/>
    <cellStyle name="40% - Accent5 4 2 3 2 3 3 3" xfId="26514"/>
    <cellStyle name="40% - Accent5 4 2 3 2 3 4" xfId="26515"/>
    <cellStyle name="40% - Accent5 4 2 3 2 3 4 2" xfId="26516"/>
    <cellStyle name="40% - Accent5 4 2 3 2 3 5" xfId="26517"/>
    <cellStyle name="40% - Accent5 4 2 3 2 3 6" xfId="26518"/>
    <cellStyle name="40% - Accent5 4 2 3 2 4" xfId="26519"/>
    <cellStyle name="40% - Accent5 4 2 3 2 4 2" xfId="26520"/>
    <cellStyle name="40% - Accent5 4 2 3 2 4 2 2" xfId="26521"/>
    <cellStyle name="40% - Accent5 4 2 3 2 4 2 3" xfId="26522"/>
    <cellStyle name="40% - Accent5 4 2 3 2 4 3" xfId="26523"/>
    <cellStyle name="40% - Accent5 4 2 3 2 4 3 2" xfId="26524"/>
    <cellStyle name="40% - Accent5 4 2 3 2 4 3 3" xfId="26525"/>
    <cellStyle name="40% - Accent5 4 2 3 2 4 4" xfId="26526"/>
    <cellStyle name="40% - Accent5 4 2 3 2 4 4 2" xfId="26527"/>
    <cellStyle name="40% - Accent5 4 2 3 2 4 5" xfId="26528"/>
    <cellStyle name="40% - Accent5 4 2 3 2 4 6" xfId="26529"/>
    <cellStyle name="40% - Accent5 4 2 3 2 5" xfId="26530"/>
    <cellStyle name="40% - Accent5 4 2 3 2 5 2" xfId="26531"/>
    <cellStyle name="40% - Accent5 4 2 3 2 5 2 2" xfId="26532"/>
    <cellStyle name="40% - Accent5 4 2 3 2 5 2 3" xfId="26533"/>
    <cellStyle name="40% - Accent5 4 2 3 2 5 3" xfId="26534"/>
    <cellStyle name="40% - Accent5 4 2 3 2 5 3 2" xfId="26535"/>
    <cellStyle name="40% - Accent5 4 2 3 2 5 4" xfId="26536"/>
    <cellStyle name="40% - Accent5 4 2 3 2 5 5" xfId="26537"/>
    <cellStyle name="40% - Accent5 4 2 3 2 6" xfId="26538"/>
    <cellStyle name="40% - Accent5 4 2 3 2 6 2" xfId="26539"/>
    <cellStyle name="40% - Accent5 4 2 3 2 6 3" xfId="26540"/>
    <cellStyle name="40% - Accent5 4 2 3 2 7" xfId="26541"/>
    <cellStyle name="40% - Accent5 4 2 3 2 7 2" xfId="26542"/>
    <cellStyle name="40% - Accent5 4 2 3 2 7 3" xfId="26543"/>
    <cellStyle name="40% - Accent5 4 2 3 2 8" xfId="26544"/>
    <cellStyle name="40% - Accent5 4 2 3 2 8 2" xfId="26545"/>
    <cellStyle name="40% - Accent5 4 2 3 2 9" xfId="26546"/>
    <cellStyle name="40% - Accent5 4 2 3 3" xfId="2443"/>
    <cellStyle name="40% - Accent5 4 2 3 3 2" xfId="26547"/>
    <cellStyle name="40% - Accent5 4 2 3 3 2 2" xfId="26548"/>
    <cellStyle name="40% - Accent5 4 2 3 3 2 2 2" xfId="26549"/>
    <cellStyle name="40% - Accent5 4 2 3 3 2 2 3" xfId="26550"/>
    <cellStyle name="40% - Accent5 4 2 3 3 2 3" xfId="26551"/>
    <cellStyle name="40% - Accent5 4 2 3 3 2 3 2" xfId="26552"/>
    <cellStyle name="40% - Accent5 4 2 3 3 2 3 3" xfId="26553"/>
    <cellStyle name="40% - Accent5 4 2 3 3 2 4" xfId="26554"/>
    <cellStyle name="40% - Accent5 4 2 3 3 2 4 2" xfId="26555"/>
    <cellStyle name="40% - Accent5 4 2 3 3 2 5" xfId="26556"/>
    <cellStyle name="40% - Accent5 4 2 3 3 2 6" xfId="26557"/>
    <cellStyle name="40% - Accent5 4 2 3 3 3" xfId="26558"/>
    <cellStyle name="40% - Accent5 4 2 3 3 3 2" xfId="26559"/>
    <cellStyle name="40% - Accent5 4 2 3 3 3 2 2" xfId="26560"/>
    <cellStyle name="40% - Accent5 4 2 3 3 3 2 3" xfId="26561"/>
    <cellStyle name="40% - Accent5 4 2 3 3 3 3" xfId="26562"/>
    <cellStyle name="40% - Accent5 4 2 3 3 3 3 2" xfId="26563"/>
    <cellStyle name="40% - Accent5 4 2 3 3 3 3 3" xfId="26564"/>
    <cellStyle name="40% - Accent5 4 2 3 3 3 4" xfId="26565"/>
    <cellStyle name="40% - Accent5 4 2 3 3 3 4 2" xfId="26566"/>
    <cellStyle name="40% - Accent5 4 2 3 3 3 5" xfId="26567"/>
    <cellStyle name="40% - Accent5 4 2 3 3 3 6" xfId="26568"/>
    <cellStyle name="40% - Accent5 4 2 3 3 4" xfId="26569"/>
    <cellStyle name="40% - Accent5 4 2 3 3 4 2" xfId="26570"/>
    <cellStyle name="40% - Accent5 4 2 3 3 4 2 2" xfId="26571"/>
    <cellStyle name="40% - Accent5 4 2 3 3 4 2 3" xfId="26572"/>
    <cellStyle name="40% - Accent5 4 2 3 3 4 3" xfId="26573"/>
    <cellStyle name="40% - Accent5 4 2 3 3 4 3 2" xfId="26574"/>
    <cellStyle name="40% - Accent5 4 2 3 3 4 4" xfId="26575"/>
    <cellStyle name="40% - Accent5 4 2 3 3 4 5" xfId="26576"/>
    <cellStyle name="40% - Accent5 4 2 3 3 5" xfId="26577"/>
    <cellStyle name="40% - Accent5 4 2 3 3 5 2" xfId="26578"/>
    <cellStyle name="40% - Accent5 4 2 3 3 5 3" xfId="26579"/>
    <cellStyle name="40% - Accent5 4 2 3 3 6" xfId="26580"/>
    <cellStyle name="40% - Accent5 4 2 3 3 6 2" xfId="26581"/>
    <cellStyle name="40% - Accent5 4 2 3 3 6 3" xfId="26582"/>
    <cellStyle name="40% - Accent5 4 2 3 3 7" xfId="26583"/>
    <cellStyle name="40% - Accent5 4 2 3 3 7 2" xfId="26584"/>
    <cellStyle name="40% - Accent5 4 2 3 3 8" xfId="26585"/>
    <cellStyle name="40% - Accent5 4 2 3 3 9" xfId="26586"/>
    <cellStyle name="40% - Accent5 4 2 3 4" xfId="26587"/>
    <cellStyle name="40% - Accent5 4 2 3 4 2" xfId="26588"/>
    <cellStyle name="40% - Accent5 4 2 3 4 2 2" xfId="26589"/>
    <cellStyle name="40% - Accent5 4 2 3 4 2 2 2" xfId="26590"/>
    <cellStyle name="40% - Accent5 4 2 3 4 2 2 3" xfId="26591"/>
    <cellStyle name="40% - Accent5 4 2 3 4 2 3" xfId="26592"/>
    <cellStyle name="40% - Accent5 4 2 3 4 2 3 2" xfId="26593"/>
    <cellStyle name="40% - Accent5 4 2 3 4 2 3 3" xfId="26594"/>
    <cellStyle name="40% - Accent5 4 2 3 4 2 4" xfId="26595"/>
    <cellStyle name="40% - Accent5 4 2 3 4 2 4 2" xfId="26596"/>
    <cellStyle name="40% - Accent5 4 2 3 4 2 5" xfId="26597"/>
    <cellStyle name="40% - Accent5 4 2 3 4 2 6" xfId="26598"/>
    <cellStyle name="40% - Accent5 4 2 3 4 3" xfId="26599"/>
    <cellStyle name="40% - Accent5 4 2 3 4 3 2" xfId="26600"/>
    <cellStyle name="40% - Accent5 4 2 3 4 3 2 2" xfId="26601"/>
    <cellStyle name="40% - Accent5 4 2 3 4 3 2 3" xfId="26602"/>
    <cellStyle name="40% - Accent5 4 2 3 4 3 3" xfId="26603"/>
    <cellStyle name="40% - Accent5 4 2 3 4 3 3 2" xfId="26604"/>
    <cellStyle name="40% - Accent5 4 2 3 4 3 3 3" xfId="26605"/>
    <cellStyle name="40% - Accent5 4 2 3 4 3 4" xfId="26606"/>
    <cellStyle name="40% - Accent5 4 2 3 4 3 4 2" xfId="26607"/>
    <cellStyle name="40% - Accent5 4 2 3 4 3 5" xfId="26608"/>
    <cellStyle name="40% - Accent5 4 2 3 4 3 6" xfId="26609"/>
    <cellStyle name="40% - Accent5 4 2 3 4 4" xfId="26610"/>
    <cellStyle name="40% - Accent5 4 2 3 4 4 2" xfId="26611"/>
    <cellStyle name="40% - Accent5 4 2 3 4 4 2 2" xfId="26612"/>
    <cellStyle name="40% - Accent5 4 2 3 4 4 2 3" xfId="26613"/>
    <cellStyle name="40% - Accent5 4 2 3 4 4 3" xfId="26614"/>
    <cellStyle name="40% - Accent5 4 2 3 4 4 3 2" xfId="26615"/>
    <cellStyle name="40% - Accent5 4 2 3 4 4 4" xfId="26616"/>
    <cellStyle name="40% - Accent5 4 2 3 4 4 5" xfId="26617"/>
    <cellStyle name="40% - Accent5 4 2 3 4 5" xfId="26618"/>
    <cellStyle name="40% - Accent5 4 2 3 4 5 2" xfId="26619"/>
    <cellStyle name="40% - Accent5 4 2 3 4 5 3" xfId="26620"/>
    <cellStyle name="40% - Accent5 4 2 3 4 6" xfId="26621"/>
    <cellStyle name="40% - Accent5 4 2 3 4 6 2" xfId="26622"/>
    <cellStyle name="40% - Accent5 4 2 3 4 6 3" xfId="26623"/>
    <cellStyle name="40% - Accent5 4 2 3 4 7" xfId="26624"/>
    <cellStyle name="40% - Accent5 4 2 3 4 7 2" xfId="26625"/>
    <cellStyle name="40% - Accent5 4 2 3 4 8" xfId="26626"/>
    <cellStyle name="40% - Accent5 4 2 3 4 9" xfId="26627"/>
    <cellStyle name="40% - Accent5 4 2 3 5" xfId="26628"/>
    <cellStyle name="40% - Accent5 4 2 3 5 2" xfId="26629"/>
    <cellStyle name="40% - Accent5 4 2 3 5 2 2" xfId="26630"/>
    <cellStyle name="40% - Accent5 4 2 3 5 2 3" xfId="26631"/>
    <cellStyle name="40% - Accent5 4 2 3 5 3" xfId="26632"/>
    <cellStyle name="40% - Accent5 4 2 3 5 3 2" xfId="26633"/>
    <cellStyle name="40% - Accent5 4 2 3 5 3 3" xfId="26634"/>
    <cellStyle name="40% - Accent5 4 2 3 5 4" xfId="26635"/>
    <cellStyle name="40% - Accent5 4 2 3 5 4 2" xfId="26636"/>
    <cellStyle name="40% - Accent5 4 2 3 5 5" xfId="26637"/>
    <cellStyle name="40% - Accent5 4 2 3 5 6" xfId="26638"/>
    <cellStyle name="40% - Accent5 4 2 3 6" xfId="26639"/>
    <cellStyle name="40% - Accent5 4 2 3 6 2" xfId="26640"/>
    <cellStyle name="40% - Accent5 4 2 3 6 2 2" xfId="26641"/>
    <cellStyle name="40% - Accent5 4 2 3 6 2 3" xfId="26642"/>
    <cellStyle name="40% - Accent5 4 2 3 6 3" xfId="26643"/>
    <cellStyle name="40% - Accent5 4 2 3 6 3 2" xfId="26644"/>
    <cellStyle name="40% - Accent5 4 2 3 6 3 3" xfId="26645"/>
    <cellStyle name="40% - Accent5 4 2 3 6 4" xfId="26646"/>
    <cellStyle name="40% - Accent5 4 2 3 6 4 2" xfId="26647"/>
    <cellStyle name="40% - Accent5 4 2 3 6 5" xfId="26648"/>
    <cellStyle name="40% - Accent5 4 2 3 6 6" xfId="26649"/>
    <cellStyle name="40% - Accent5 4 2 3 7" xfId="26650"/>
    <cellStyle name="40% - Accent5 4 2 3 7 2" xfId="26651"/>
    <cellStyle name="40% - Accent5 4 2 3 7 2 2" xfId="26652"/>
    <cellStyle name="40% - Accent5 4 2 3 7 2 3" xfId="26653"/>
    <cellStyle name="40% - Accent5 4 2 3 7 3" xfId="26654"/>
    <cellStyle name="40% - Accent5 4 2 3 7 3 2" xfId="26655"/>
    <cellStyle name="40% - Accent5 4 2 3 7 4" xfId="26656"/>
    <cellStyle name="40% - Accent5 4 2 3 7 5" xfId="26657"/>
    <cellStyle name="40% - Accent5 4 2 3 8" xfId="26658"/>
    <cellStyle name="40% - Accent5 4 2 3 8 2" xfId="26659"/>
    <cellStyle name="40% - Accent5 4 2 3 8 3" xfId="26660"/>
    <cellStyle name="40% - Accent5 4 2 3 9" xfId="26661"/>
    <cellStyle name="40% - Accent5 4 2 3 9 2" xfId="26662"/>
    <cellStyle name="40% - Accent5 4 2 3 9 3" xfId="26663"/>
    <cellStyle name="40% - Accent5 4 2 4" xfId="2444"/>
    <cellStyle name="40% - Accent5 4 2 4 10" xfId="26664"/>
    <cellStyle name="40% - Accent5 4 2 4 2" xfId="2445"/>
    <cellStyle name="40% - Accent5 4 2 4 2 2" xfId="26665"/>
    <cellStyle name="40% - Accent5 4 2 4 2 2 2" xfId="26666"/>
    <cellStyle name="40% - Accent5 4 2 4 2 2 2 2" xfId="26667"/>
    <cellStyle name="40% - Accent5 4 2 4 2 2 2 3" xfId="26668"/>
    <cellStyle name="40% - Accent5 4 2 4 2 2 3" xfId="26669"/>
    <cellStyle name="40% - Accent5 4 2 4 2 2 3 2" xfId="26670"/>
    <cellStyle name="40% - Accent5 4 2 4 2 2 3 3" xfId="26671"/>
    <cellStyle name="40% - Accent5 4 2 4 2 2 4" xfId="26672"/>
    <cellStyle name="40% - Accent5 4 2 4 2 2 4 2" xfId="26673"/>
    <cellStyle name="40% - Accent5 4 2 4 2 2 5" xfId="26674"/>
    <cellStyle name="40% - Accent5 4 2 4 2 2 6" xfId="26675"/>
    <cellStyle name="40% - Accent5 4 2 4 2 3" xfId="26676"/>
    <cellStyle name="40% - Accent5 4 2 4 2 3 2" xfId="26677"/>
    <cellStyle name="40% - Accent5 4 2 4 2 3 2 2" xfId="26678"/>
    <cellStyle name="40% - Accent5 4 2 4 2 3 2 3" xfId="26679"/>
    <cellStyle name="40% - Accent5 4 2 4 2 3 3" xfId="26680"/>
    <cellStyle name="40% - Accent5 4 2 4 2 3 3 2" xfId="26681"/>
    <cellStyle name="40% - Accent5 4 2 4 2 3 3 3" xfId="26682"/>
    <cellStyle name="40% - Accent5 4 2 4 2 3 4" xfId="26683"/>
    <cellStyle name="40% - Accent5 4 2 4 2 3 4 2" xfId="26684"/>
    <cellStyle name="40% - Accent5 4 2 4 2 3 5" xfId="26685"/>
    <cellStyle name="40% - Accent5 4 2 4 2 3 6" xfId="26686"/>
    <cellStyle name="40% - Accent5 4 2 4 2 4" xfId="26687"/>
    <cellStyle name="40% - Accent5 4 2 4 2 4 2" xfId="26688"/>
    <cellStyle name="40% - Accent5 4 2 4 2 4 2 2" xfId="26689"/>
    <cellStyle name="40% - Accent5 4 2 4 2 4 2 3" xfId="26690"/>
    <cellStyle name="40% - Accent5 4 2 4 2 4 3" xfId="26691"/>
    <cellStyle name="40% - Accent5 4 2 4 2 4 3 2" xfId="26692"/>
    <cellStyle name="40% - Accent5 4 2 4 2 4 4" xfId="26693"/>
    <cellStyle name="40% - Accent5 4 2 4 2 4 5" xfId="26694"/>
    <cellStyle name="40% - Accent5 4 2 4 2 5" xfId="26695"/>
    <cellStyle name="40% - Accent5 4 2 4 2 5 2" xfId="26696"/>
    <cellStyle name="40% - Accent5 4 2 4 2 5 3" xfId="26697"/>
    <cellStyle name="40% - Accent5 4 2 4 2 6" xfId="26698"/>
    <cellStyle name="40% - Accent5 4 2 4 2 6 2" xfId="26699"/>
    <cellStyle name="40% - Accent5 4 2 4 2 6 3" xfId="26700"/>
    <cellStyle name="40% - Accent5 4 2 4 2 7" xfId="26701"/>
    <cellStyle name="40% - Accent5 4 2 4 2 7 2" xfId="26702"/>
    <cellStyle name="40% - Accent5 4 2 4 2 8" xfId="26703"/>
    <cellStyle name="40% - Accent5 4 2 4 2 9" xfId="26704"/>
    <cellStyle name="40% - Accent5 4 2 4 3" xfId="26705"/>
    <cellStyle name="40% - Accent5 4 2 4 3 2" xfId="26706"/>
    <cellStyle name="40% - Accent5 4 2 4 3 2 2" xfId="26707"/>
    <cellStyle name="40% - Accent5 4 2 4 3 2 3" xfId="26708"/>
    <cellStyle name="40% - Accent5 4 2 4 3 3" xfId="26709"/>
    <cellStyle name="40% - Accent5 4 2 4 3 3 2" xfId="26710"/>
    <cellStyle name="40% - Accent5 4 2 4 3 3 3" xfId="26711"/>
    <cellStyle name="40% - Accent5 4 2 4 3 4" xfId="26712"/>
    <cellStyle name="40% - Accent5 4 2 4 3 4 2" xfId="26713"/>
    <cellStyle name="40% - Accent5 4 2 4 3 5" xfId="26714"/>
    <cellStyle name="40% - Accent5 4 2 4 3 6" xfId="26715"/>
    <cellStyle name="40% - Accent5 4 2 4 4" xfId="26716"/>
    <cellStyle name="40% - Accent5 4 2 4 4 2" xfId="26717"/>
    <cellStyle name="40% - Accent5 4 2 4 4 2 2" xfId="26718"/>
    <cellStyle name="40% - Accent5 4 2 4 4 2 3" xfId="26719"/>
    <cellStyle name="40% - Accent5 4 2 4 4 3" xfId="26720"/>
    <cellStyle name="40% - Accent5 4 2 4 4 3 2" xfId="26721"/>
    <cellStyle name="40% - Accent5 4 2 4 4 3 3" xfId="26722"/>
    <cellStyle name="40% - Accent5 4 2 4 4 4" xfId="26723"/>
    <cellStyle name="40% - Accent5 4 2 4 4 4 2" xfId="26724"/>
    <cellStyle name="40% - Accent5 4 2 4 4 5" xfId="26725"/>
    <cellStyle name="40% - Accent5 4 2 4 4 6" xfId="26726"/>
    <cellStyle name="40% - Accent5 4 2 4 5" xfId="26727"/>
    <cellStyle name="40% - Accent5 4 2 4 5 2" xfId="26728"/>
    <cellStyle name="40% - Accent5 4 2 4 5 2 2" xfId="26729"/>
    <cellStyle name="40% - Accent5 4 2 4 5 2 3" xfId="26730"/>
    <cellStyle name="40% - Accent5 4 2 4 5 3" xfId="26731"/>
    <cellStyle name="40% - Accent5 4 2 4 5 3 2" xfId="26732"/>
    <cellStyle name="40% - Accent5 4 2 4 5 4" xfId="26733"/>
    <cellStyle name="40% - Accent5 4 2 4 5 5" xfId="26734"/>
    <cellStyle name="40% - Accent5 4 2 4 6" xfId="26735"/>
    <cellStyle name="40% - Accent5 4 2 4 6 2" xfId="26736"/>
    <cellStyle name="40% - Accent5 4 2 4 6 3" xfId="26737"/>
    <cellStyle name="40% - Accent5 4 2 4 7" xfId="26738"/>
    <cellStyle name="40% - Accent5 4 2 4 7 2" xfId="26739"/>
    <cellStyle name="40% - Accent5 4 2 4 7 3" xfId="26740"/>
    <cellStyle name="40% - Accent5 4 2 4 8" xfId="26741"/>
    <cellStyle name="40% - Accent5 4 2 4 8 2" xfId="26742"/>
    <cellStyle name="40% - Accent5 4 2 4 9" xfId="26743"/>
    <cellStyle name="40% - Accent5 4 2 5" xfId="2446"/>
    <cellStyle name="40% - Accent5 4 2 5 2" xfId="26744"/>
    <cellStyle name="40% - Accent5 4 2 5 2 2" xfId="26745"/>
    <cellStyle name="40% - Accent5 4 2 5 2 2 2" xfId="26746"/>
    <cellStyle name="40% - Accent5 4 2 5 2 2 3" xfId="26747"/>
    <cellStyle name="40% - Accent5 4 2 5 2 3" xfId="26748"/>
    <cellStyle name="40% - Accent5 4 2 5 2 3 2" xfId="26749"/>
    <cellStyle name="40% - Accent5 4 2 5 2 3 3" xfId="26750"/>
    <cellStyle name="40% - Accent5 4 2 5 2 4" xfId="26751"/>
    <cellStyle name="40% - Accent5 4 2 5 2 4 2" xfId="26752"/>
    <cellStyle name="40% - Accent5 4 2 5 2 5" xfId="26753"/>
    <cellStyle name="40% - Accent5 4 2 5 2 6" xfId="26754"/>
    <cellStyle name="40% - Accent5 4 2 5 3" xfId="26755"/>
    <cellStyle name="40% - Accent5 4 2 5 3 2" xfId="26756"/>
    <cellStyle name="40% - Accent5 4 2 5 3 2 2" xfId="26757"/>
    <cellStyle name="40% - Accent5 4 2 5 3 2 3" xfId="26758"/>
    <cellStyle name="40% - Accent5 4 2 5 3 3" xfId="26759"/>
    <cellStyle name="40% - Accent5 4 2 5 3 3 2" xfId="26760"/>
    <cellStyle name="40% - Accent5 4 2 5 3 3 3" xfId="26761"/>
    <cellStyle name="40% - Accent5 4 2 5 3 4" xfId="26762"/>
    <cellStyle name="40% - Accent5 4 2 5 3 4 2" xfId="26763"/>
    <cellStyle name="40% - Accent5 4 2 5 3 5" xfId="26764"/>
    <cellStyle name="40% - Accent5 4 2 5 3 6" xfId="26765"/>
    <cellStyle name="40% - Accent5 4 2 5 4" xfId="26766"/>
    <cellStyle name="40% - Accent5 4 2 5 4 2" xfId="26767"/>
    <cellStyle name="40% - Accent5 4 2 5 4 2 2" xfId="26768"/>
    <cellStyle name="40% - Accent5 4 2 5 4 2 3" xfId="26769"/>
    <cellStyle name="40% - Accent5 4 2 5 4 3" xfId="26770"/>
    <cellStyle name="40% - Accent5 4 2 5 4 3 2" xfId="26771"/>
    <cellStyle name="40% - Accent5 4 2 5 4 4" xfId="26772"/>
    <cellStyle name="40% - Accent5 4 2 5 4 5" xfId="26773"/>
    <cellStyle name="40% - Accent5 4 2 5 5" xfId="26774"/>
    <cellStyle name="40% - Accent5 4 2 5 5 2" xfId="26775"/>
    <cellStyle name="40% - Accent5 4 2 5 5 3" xfId="26776"/>
    <cellStyle name="40% - Accent5 4 2 5 6" xfId="26777"/>
    <cellStyle name="40% - Accent5 4 2 5 6 2" xfId="26778"/>
    <cellStyle name="40% - Accent5 4 2 5 6 3" xfId="26779"/>
    <cellStyle name="40% - Accent5 4 2 5 7" xfId="26780"/>
    <cellStyle name="40% - Accent5 4 2 5 7 2" xfId="26781"/>
    <cellStyle name="40% - Accent5 4 2 5 8" xfId="26782"/>
    <cellStyle name="40% - Accent5 4 2 5 9" xfId="26783"/>
    <cellStyle name="40% - Accent5 4 2 6" xfId="26784"/>
    <cellStyle name="40% - Accent5 4 2 6 2" xfId="26785"/>
    <cellStyle name="40% - Accent5 4 2 6 2 2" xfId="26786"/>
    <cellStyle name="40% - Accent5 4 2 6 2 2 2" xfId="26787"/>
    <cellStyle name="40% - Accent5 4 2 6 2 2 3" xfId="26788"/>
    <cellStyle name="40% - Accent5 4 2 6 2 3" xfId="26789"/>
    <cellStyle name="40% - Accent5 4 2 6 2 3 2" xfId="26790"/>
    <cellStyle name="40% - Accent5 4 2 6 2 3 3" xfId="26791"/>
    <cellStyle name="40% - Accent5 4 2 6 2 4" xfId="26792"/>
    <cellStyle name="40% - Accent5 4 2 6 2 4 2" xfId="26793"/>
    <cellStyle name="40% - Accent5 4 2 6 2 5" xfId="26794"/>
    <cellStyle name="40% - Accent5 4 2 6 2 6" xfId="26795"/>
    <cellStyle name="40% - Accent5 4 2 6 3" xfId="26796"/>
    <cellStyle name="40% - Accent5 4 2 6 3 2" xfId="26797"/>
    <cellStyle name="40% - Accent5 4 2 6 3 2 2" xfId="26798"/>
    <cellStyle name="40% - Accent5 4 2 6 3 2 3" xfId="26799"/>
    <cellStyle name="40% - Accent5 4 2 6 3 3" xfId="26800"/>
    <cellStyle name="40% - Accent5 4 2 6 3 3 2" xfId="26801"/>
    <cellStyle name="40% - Accent5 4 2 6 3 3 3" xfId="26802"/>
    <cellStyle name="40% - Accent5 4 2 6 3 4" xfId="26803"/>
    <cellStyle name="40% - Accent5 4 2 6 3 4 2" xfId="26804"/>
    <cellStyle name="40% - Accent5 4 2 6 3 5" xfId="26805"/>
    <cellStyle name="40% - Accent5 4 2 6 3 6" xfId="26806"/>
    <cellStyle name="40% - Accent5 4 2 6 4" xfId="26807"/>
    <cellStyle name="40% - Accent5 4 2 6 4 2" xfId="26808"/>
    <cellStyle name="40% - Accent5 4 2 6 4 2 2" xfId="26809"/>
    <cellStyle name="40% - Accent5 4 2 6 4 2 3" xfId="26810"/>
    <cellStyle name="40% - Accent5 4 2 6 4 3" xfId="26811"/>
    <cellStyle name="40% - Accent5 4 2 6 4 3 2" xfId="26812"/>
    <cellStyle name="40% - Accent5 4 2 6 4 4" xfId="26813"/>
    <cellStyle name="40% - Accent5 4 2 6 4 5" xfId="26814"/>
    <cellStyle name="40% - Accent5 4 2 6 5" xfId="26815"/>
    <cellStyle name="40% - Accent5 4 2 6 5 2" xfId="26816"/>
    <cellStyle name="40% - Accent5 4 2 6 5 3" xfId="26817"/>
    <cellStyle name="40% - Accent5 4 2 6 6" xfId="26818"/>
    <cellStyle name="40% - Accent5 4 2 6 6 2" xfId="26819"/>
    <cellStyle name="40% - Accent5 4 2 6 6 3" xfId="26820"/>
    <cellStyle name="40% - Accent5 4 2 6 7" xfId="26821"/>
    <cellStyle name="40% - Accent5 4 2 6 7 2" xfId="26822"/>
    <cellStyle name="40% - Accent5 4 2 6 8" xfId="26823"/>
    <cellStyle name="40% - Accent5 4 2 6 9" xfId="26824"/>
    <cellStyle name="40% - Accent5 4 2 7" xfId="26825"/>
    <cellStyle name="40% - Accent5 4 2 7 2" xfId="26826"/>
    <cellStyle name="40% - Accent5 4 2 7 2 2" xfId="26827"/>
    <cellStyle name="40% - Accent5 4 2 7 2 3" xfId="26828"/>
    <cellStyle name="40% - Accent5 4 2 7 3" xfId="26829"/>
    <cellStyle name="40% - Accent5 4 2 7 3 2" xfId="26830"/>
    <cellStyle name="40% - Accent5 4 2 7 3 3" xfId="26831"/>
    <cellStyle name="40% - Accent5 4 2 7 4" xfId="26832"/>
    <cellStyle name="40% - Accent5 4 2 7 4 2" xfId="26833"/>
    <cellStyle name="40% - Accent5 4 2 7 5" xfId="26834"/>
    <cellStyle name="40% - Accent5 4 2 7 6" xfId="26835"/>
    <cellStyle name="40% - Accent5 4 2 8" xfId="26836"/>
    <cellStyle name="40% - Accent5 4 2 8 2" xfId="26837"/>
    <cellStyle name="40% - Accent5 4 2 8 2 2" xfId="26838"/>
    <cellStyle name="40% - Accent5 4 2 8 2 3" xfId="26839"/>
    <cellStyle name="40% - Accent5 4 2 8 3" xfId="26840"/>
    <cellStyle name="40% - Accent5 4 2 8 3 2" xfId="26841"/>
    <cellStyle name="40% - Accent5 4 2 8 3 3" xfId="26842"/>
    <cellStyle name="40% - Accent5 4 2 8 4" xfId="26843"/>
    <cellStyle name="40% - Accent5 4 2 8 4 2" xfId="26844"/>
    <cellStyle name="40% - Accent5 4 2 8 5" xfId="26845"/>
    <cellStyle name="40% - Accent5 4 2 8 6" xfId="26846"/>
    <cellStyle name="40% - Accent5 4 2 9" xfId="26847"/>
    <cellStyle name="40% - Accent5 4 2 9 2" xfId="26848"/>
    <cellStyle name="40% - Accent5 4 2 9 2 2" xfId="26849"/>
    <cellStyle name="40% - Accent5 4 2 9 2 3" xfId="26850"/>
    <cellStyle name="40% - Accent5 4 2 9 3" xfId="26851"/>
    <cellStyle name="40% - Accent5 4 2 9 3 2" xfId="26852"/>
    <cellStyle name="40% - Accent5 4 2 9 4" xfId="26853"/>
    <cellStyle name="40% - Accent5 4 2 9 5" xfId="26854"/>
    <cellStyle name="40% - Accent5 4 3" xfId="2447"/>
    <cellStyle name="40% - Accent5 4 3 10" xfId="26855"/>
    <cellStyle name="40% - Accent5 4 3 10 2" xfId="26856"/>
    <cellStyle name="40% - Accent5 4 3 10 3" xfId="26857"/>
    <cellStyle name="40% - Accent5 4 3 11" xfId="26858"/>
    <cellStyle name="40% - Accent5 4 3 11 2" xfId="26859"/>
    <cellStyle name="40% - Accent5 4 3 12" xfId="26860"/>
    <cellStyle name="40% - Accent5 4 3 13" xfId="26861"/>
    <cellStyle name="40% - Accent5 4 3 14" xfId="26862"/>
    <cellStyle name="40% - Accent5 4 3 2" xfId="2448"/>
    <cellStyle name="40% - Accent5 4 3 2 10" xfId="26863"/>
    <cellStyle name="40% - Accent5 4 3 2 10 2" xfId="26864"/>
    <cellStyle name="40% - Accent5 4 3 2 11" xfId="26865"/>
    <cellStyle name="40% - Accent5 4 3 2 12" xfId="26866"/>
    <cellStyle name="40% - Accent5 4 3 2 2" xfId="2449"/>
    <cellStyle name="40% - Accent5 4 3 2 2 10" xfId="26867"/>
    <cellStyle name="40% - Accent5 4 3 2 2 2" xfId="2450"/>
    <cellStyle name="40% - Accent5 4 3 2 2 2 2" xfId="26868"/>
    <cellStyle name="40% - Accent5 4 3 2 2 2 2 2" xfId="26869"/>
    <cellStyle name="40% - Accent5 4 3 2 2 2 2 2 2" xfId="26870"/>
    <cellStyle name="40% - Accent5 4 3 2 2 2 2 2 3" xfId="26871"/>
    <cellStyle name="40% - Accent5 4 3 2 2 2 2 3" xfId="26872"/>
    <cellStyle name="40% - Accent5 4 3 2 2 2 2 3 2" xfId="26873"/>
    <cellStyle name="40% - Accent5 4 3 2 2 2 2 3 3" xfId="26874"/>
    <cellStyle name="40% - Accent5 4 3 2 2 2 2 4" xfId="26875"/>
    <cellStyle name="40% - Accent5 4 3 2 2 2 2 4 2" xfId="26876"/>
    <cellStyle name="40% - Accent5 4 3 2 2 2 2 5" xfId="26877"/>
    <cellStyle name="40% - Accent5 4 3 2 2 2 2 6" xfId="26878"/>
    <cellStyle name="40% - Accent5 4 3 2 2 2 3" xfId="26879"/>
    <cellStyle name="40% - Accent5 4 3 2 2 2 3 2" xfId="26880"/>
    <cellStyle name="40% - Accent5 4 3 2 2 2 3 2 2" xfId="26881"/>
    <cellStyle name="40% - Accent5 4 3 2 2 2 3 2 3" xfId="26882"/>
    <cellStyle name="40% - Accent5 4 3 2 2 2 3 3" xfId="26883"/>
    <cellStyle name="40% - Accent5 4 3 2 2 2 3 3 2" xfId="26884"/>
    <cellStyle name="40% - Accent5 4 3 2 2 2 3 3 3" xfId="26885"/>
    <cellStyle name="40% - Accent5 4 3 2 2 2 3 4" xfId="26886"/>
    <cellStyle name="40% - Accent5 4 3 2 2 2 3 4 2" xfId="26887"/>
    <cellStyle name="40% - Accent5 4 3 2 2 2 3 5" xfId="26888"/>
    <cellStyle name="40% - Accent5 4 3 2 2 2 3 6" xfId="26889"/>
    <cellStyle name="40% - Accent5 4 3 2 2 2 4" xfId="26890"/>
    <cellStyle name="40% - Accent5 4 3 2 2 2 4 2" xfId="26891"/>
    <cellStyle name="40% - Accent5 4 3 2 2 2 4 2 2" xfId="26892"/>
    <cellStyle name="40% - Accent5 4 3 2 2 2 4 2 3" xfId="26893"/>
    <cellStyle name="40% - Accent5 4 3 2 2 2 4 3" xfId="26894"/>
    <cellStyle name="40% - Accent5 4 3 2 2 2 4 3 2" xfId="26895"/>
    <cellStyle name="40% - Accent5 4 3 2 2 2 4 4" xfId="26896"/>
    <cellStyle name="40% - Accent5 4 3 2 2 2 4 5" xfId="26897"/>
    <cellStyle name="40% - Accent5 4 3 2 2 2 5" xfId="26898"/>
    <cellStyle name="40% - Accent5 4 3 2 2 2 5 2" xfId="26899"/>
    <cellStyle name="40% - Accent5 4 3 2 2 2 5 3" xfId="26900"/>
    <cellStyle name="40% - Accent5 4 3 2 2 2 6" xfId="26901"/>
    <cellStyle name="40% - Accent5 4 3 2 2 2 6 2" xfId="26902"/>
    <cellStyle name="40% - Accent5 4 3 2 2 2 6 3" xfId="26903"/>
    <cellStyle name="40% - Accent5 4 3 2 2 2 7" xfId="26904"/>
    <cellStyle name="40% - Accent5 4 3 2 2 2 7 2" xfId="26905"/>
    <cellStyle name="40% - Accent5 4 3 2 2 2 8" xfId="26906"/>
    <cellStyle name="40% - Accent5 4 3 2 2 2 9" xfId="26907"/>
    <cellStyle name="40% - Accent5 4 3 2 2 3" xfId="26908"/>
    <cellStyle name="40% - Accent5 4 3 2 2 3 2" xfId="26909"/>
    <cellStyle name="40% - Accent5 4 3 2 2 3 2 2" xfId="26910"/>
    <cellStyle name="40% - Accent5 4 3 2 2 3 2 3" xfId="26911"/>
    <cellStyle name="40% - Accent5 4 3 2 2 3 3" xfId="26912"/>
    <cellStyle name="40% - Accent5 4 3 2 2 3 3 2" xfId="26913"/>
    <cellStyle name="40% - Accent5 4 3 2 2 3 3 3" xfId="26914"/>
    <cellStyle name="40% - Accent5 4 3 2 2 3 4" xfId="26915"/>
    <cellStyle name="40% - Accent5 4 3 2 2 3 4 2" xfId="26916"/>
    <cellStyle name="40% - Accent5 4 3 2 2 3 5" xfId="26917"/>
    <cellStyle name="40% - Accent5 4 3 2 2 3 6" xfId="26918"/>
    <cellStyle name="40% - Accent5 4 3 2 2 4" xfId="26919"/>
    <cellStyle name="40% - Accent5 4 3 2 2 4 2" xfId="26920"/>
    <cellStyle name="40% - Accent5 4 3 2 2 4 2 2" xfId="26921"/>
    <cellStyle name="40% - Accent5 4 3 2 2 4 2 3" xfId="26922"/>
    <cellStyle name="40% - Accent5 4 3 2 2 4 3" xfId="26923"/>
    <cellStyle name="40% - Accent5 4 3 2 2 4 3 2" xfId="26924"/>
    <cellStyle name="40% - Accent5 4 3 2 2 4 3 3" xfId="26925"/>
    <cellStyle name="40% - Accent5 4 3 2 2 4 4" xfId="26926"/>
    <cellStyle name="40% - Accent5 4 3 2 2 4 4 2" xfId="26927"/>
    <cellStyle name="40% - Accent5 4 3 2 2 4 5" xfId="26928"/>
    <cellStyle name="40% - Accent5 4 3 2 2 4 6" xfId="26929"/>
    <cellStyle name="40% - Accent5 4 3 2 2 5" xfId="26930"/>
    <cellStyle name="40% - Accent5 4 3 2 2 5 2" xfId="26931"/>
    <cellStyle name="40% - Accent5 4 3 2 2 5 2 2" xfId="26932"/>
    <cellStyle name="40% - Accent5 4 3 2 2 5 2 3" xfId="26933"/>
    <cellStyle name="40% - Accent5 4 3 2 2 5 3" xfId="26934"/>
    <cellStyle name="40% - Accent5 4 3 2 2 5 3 2" xfId="26935"/>
    <cellStyle name="40% - Accent5 4 3 2 2 5 4" xfId="26936"/>
    <cellStyle name="40% - Accent5 4 3 2 2 5 5" xfId="26937"/>
    <cellStyle name="40% - Accent5 4 3 2 2 6" xfId="26938"/>
    <cellStyle name="40% - Accent5 4 3 2 2 6 2" xfId="26939"/>
    <cellStyle name="40% - Accent5 4 3 2 2 6 3" xfId="26940"/>
    <cellStyle name="40% - Accent5 4 3 2 2 7" xfId="26941"/>
    <cellStyle name="40% - Accent5 4 3 2 2 7 2" xfId="26942"/>
    <cellStyle name="40% - Accent5 4 3 2 2 7 3" xfId="26943"/>
    <cellStyle name="40% - Accent5 4 3 2 2 8" xfId="26944"/>
    <cellStyle name="40% - Accent5 4 3 2 2 8 2" xfId="26945"/>
    <cellStyle name="40% - Accent5 4 3 2 2 9" xfId="26946"/>
    <cellStyle name="40% - Accent5 4 3 2 3" xfId="2451"/>
    <cellStyle name="40% - Accent5 4 3 2 3 2" xfId="26947"/>
    <cellStyle name="40% - Accent5 4 3 2 3 2 2" xfId="26948"/>
    <cellStyle name="40% - Accent5 4 3 2 3 2 2 2" xfId="26949"/>
    <cellStyle name="40% - Accent5 4 3 2 3 2 2 3" xfId="26950"/>
    <cellStyle name="40% - Accent5 4 3 2 3 2 3" xfId="26951"/>
    <cellStyle name="40% - Accent5 4 3 2 3 2 3 2" xfId="26952"/>
    <cellStyle name="40% - Accent5 4 3 2 3 2 3 3" xfId="26953"/>
    <cellStyle name="40% - Accent5 4 3 2 3 2 4" xfId="26954"/>
    <cellStyle name="40% - Accent5 4 3 2 3 2 4 2" xfId="26955"/>
    <cellStyle name="40% - Accent5 4 3 2 3 2 5" xfId="26956"/>
    <cellStyle name="40% - Accent5 4 3 2 3 2 6" xfId="26957"/>
    <cellStyle name="40% - Accent5 4 3 2 3 3" xfId="26958"/>
    <cellStyle name="40% - Accent5 4 3 2 3 3 2" xfId="26959"/>
    <cellStyle name="40% - Accent5 4 3 2 3 3 2 2" xfId="26960"/>
    <cellStyle name="40% - Accent5 4 3 2 3 3 2 3" xfId="26961"/>
    <cellStyle name="40% - Accent5 4 3 2 3 3 3" xfId="26962"/>
    <cellStyle name="40% - Accent5 4 3 2 3 3 3 2" xfId="26963"/>
    <cellStyle name="40% - Accent5 4 3 2 3 3 3 3" xfId="26964"/>
    <cellStyle name="40% - Accent5 4 3 2 3 3 4" xfId="26965"/>
    <cellStyle name="40% - Accent5 4 3 2 3 3 4 2" xfId="26966"/>
    <cellStyle name="40% - Accent5 4 3 2 3 3 5" xfId="26967"/>
    <cellStyle name="40% - Accent5 4 3 2 3 3 6" xfId="26968"/>
    <cellStyle name="40% - Accent5 4 3 2 3 4" xfId="26969"/>
    <cellStyle name="40% - Accent5 4 3 2 3 4 2" xfId="26970"/>
    <cellStyle name="40% - Accent5 4 3 2 3 4 2 2" xfId="26971"/>
    <cellStyle name="40% - Accent5 4 3 2 3 4 2 3" xfId="26972"/>
    <cellStyle name="40% - Accent5 4 3 2 3 4 3" xfId="26973"/>
    <cellStyle name="40% - Accent5 4 3 2 3 4 3 2" xfId="26974"/>
    <cellStyle name="40% - Accent5 4 3 2 3 4 4" xfId="26975"/>
    <cellStyle name="40% - Accent5 4 3 2 3 4 5" xfId="26976"/>
    <cellStyle name="40% - Accent5 4 3 2 3 5" xfId="26977"/>
    <cellStyle name="40% - Accent5 4 3 2 3 5 2" xfId="26978"/>
    <cellStyle name="40% - Accent5 4 3 2 3 5 3" xfId="26979"/>
    <cellStyle name="40% - Accent5 4 3 2 3 6" xfId="26980"/>
    <cellStyle name="40% - Accent5 4 3 2 3 6 2" xfId="26981"/>
    <cellStyle name="40% - Accent5 4 3 2 3 6 3" xfId="26982"/>
    <cellStyle name="40% - Accent5 4 3 2 3 7" xfId="26983"/>
    <cellStyle name="40% - Accent5 4 3 2 3 7 2" xfId="26984"/>
    <cellStyle name="40% - Accent5 4 3 2 3 8" xfId="26985"/>
    <cellStyle name="40% - Accent5 4 3 2 3 9" xfId="26986"/>
    <cellStyle name="40% - Accent5 4 3 2 4" xfId="26987"/>
    <cellStyle name="40% - Accent5 4 3 2 4 2" xfId="26988"/>
    <cellStyle name="40% - Accent5 4 3 2 4 2 2" xfId="26989"/>
    <cellStyle name="40% - Accent5 4 3 2 4 2 2 2" xfId="26990"/>
    <cellStyle name="40% - Accent5 4 3 2 4 2 2 3" xfId="26991"/>
    <cellStyle name="40% - Accent5 4 3 2 4 2 3" xfId="26992"/>
    <cellStyle name="40% - Accent5 4 3 2 4 2 3 2" xfId="26993"/>
    <cellStyle name="40% - Accent5 4 3 2 4 2 3 3" xfId="26994"/>
    <cellStyle name="40% - Accent5 4 3 2 4 2 4" xfId="26995"/>
    <cellStyle name="40% - Accent5 4 3 2 4 2 4 2" xfId="26996"/>
    <cellStyle name="40% - Accent5 4 3 2 4 2 5" xfId="26997"/>
    <cellStyle name="40% - Accent5 4 3 2 4 2 6" xfId="26998"/>
    <cellStyle name="40% - Accent5 4 3 2 4 3" xfId="26999"/>
    <cellStyle name="40% - Accent5 4 3 2 4 3 2" xfId="27000"/>
    <cellStyle name="40% - Accent5 4 3 2 4 3 2 2" xfId="27001"/>
    <cellStyle name="40% - Accent5 4 3 2 4 3 2 3" xfId="27002"/>
    <cellStyle name="40% - Accent5 4 3 2 4 3 3" xfId="27003"/>
    <cellStyle name="40% - Accent5 4 3 2 4 3 3 2" xfId="27004"/>
    <cellStyle name="40% - Accent5 4 3 2 4 3 3 3" xfId="27005"/>
    <cellStyle name="40% - Accent5 4 3 2 4 3 4" xfId="27006"/>
    <cellStyle name="40% - Accent5 4 3 2 4 3 4 2" xfId="27007"/>
    <cellStyle name="40% - Accent5 4 3 2 4 3 5" xfId="27008"/>
    <cellStyle name="40% - Accent5 4 3 2 4 3 6" xfId="27009"/>
    <cellStyle name="40% - Accent5 4 3 2 4 4" xfId="27010"/>
    <cellStyle name="40% - Accent5 4 3 2 4 4 2" xfId="27011"/>
    <cellStyle name="40% - Accent5 4 3 2 4 4 2 2" xfId="27012"/>
    <cellStyle name="40% - Accent5 4 3 2 4 4 2 3" xfId="27013"/>
    <cellStyle name="40% - Accent5 4 3 2 4 4 3" xfId="27014"/>
    <cellStyle name="40% - Accent5 4 3 2 4 4 3 2" xfId="27015"/>
    <cellStyle name="40% - Accent5 4 3 2 4 4 4" xfId="27016"/>
    <cellStyle name="40% - Accent5 4 3 2 4 4 5" xfId="27017"/>
    <cellStyle name="40% - Accent5 4 3 2 4 5" xfId="27018"/>
    <cellStyle name="40% - Accent5 4 3 2 4 5 2" xfId="27019"/>
    <cellStyle name="40% - Accent5 4 3 2 4 5 3" xfId="27020"/>
    <cellStyle name="40% - Accent5 4 3 2 4 6" xfId="27021"/>
    <cellStyle name="40% - Accent5 4 3 2 4 6 2" xfId="27022"/>
    <cellStyle name="40% - Accent5 4 3 2 4 6 3" xfId="27023"/>
    <cellStyle name="40% - Accent5 4 3 2 4 7" xfId="27024"/>
    <cellStyle name="40% - Accent5 4 3 2 4 7 2" xfId="27025"/>
    <cellStyle name="40% - Accent5 4 3 2 4 8" xfId="27026"/>
    <cellStyle name="40% - Accent5 4 3 2 4 9" xfId="27027"/>
    <cellStyle name="40% - Accent5 4 3 2 5" xfId="27028"/>
    <cellStyle name="40% - Accent5 4 3 2 5 2" xfId="27029"/>
    <cellStyle name="40% - Accent5 4 3 2 5 2 2" xfId="27030"/>
    <cellStyle name="40% - Accent5 4 3 2 5 2 3" xfId="27031"/>
    <cellStyle name="40% - Accent5 4 3 2 5 3" xfId="27032"/>
    <cellStyle name="40% - Accent5 4 3 2 5 3 2" xfId="27033"/>
    <cellStyle name="40% - Accent5 4 3 2 5 3 3" xfId="27034"/>
    <cellStyle name="40% - Accent5 4 3 2 5 4" xfId="27035"/>
    <cellStyle name="40% - Accent5 4 3 2 5 4 2" xfId="27036"/>
    <cellStyle name="40% - Accent5 4 3 2 5 5" xfId="27037"/>
    <cellStyle name="40% - Accent5 4 3 2 5 6" xfId="27038"/>
    <cellStyle name="40% - Accent5 4 3 2 6" xfId="27039"/>
    <cellStyle name="40% - Accent5 4 3 2 6 2" xfId="27040"/>
    <cellStyle name="40% - Accent5 4 3 2 6 2 2" xfId="27041"/>
    <cellStyle name="40% - Accent5 4 3 2 6 2 3" xfId="27042"/>
    <cellStyle name="40% - Accent5 4 3 2 6 3" xfId="27043"/>
    <cellStyle name="40% - Accent5 4 3 2 6 3 2" xfId="27044"/>
    <cellStyle name="40% - Accent5 4 3 2 6 3 3" xfId="27045"/>
    <cellStyle name="40% - Accent5 4 3 2 6 4" xfId="27046"/>
    <cellStyle name="40% - Accent5 4 3 2 6 4 2" xfId="27047"/>
    <cellStyle name="40% - Accent5 4 3 2 6 5" xfId="27048"/>
    <cellStyle name="40% - Accent5 4 3 2 6 6" xfId="27049"/>
    <cellStyle name="40% - Accent5 4 3 2 7" xfId="27050"/>
    <cellStyle name="40% - Accent5 4 3 2 7 2" xfId="27051"/>
    <cellStyle name="40% - Accent5 4 3 2 7 2 2" xfId="27052"/>
    <cellStyle name="40% - Accent5 4 3 2 7 2 3" xfId="27053"/>
    <cellStyle name="40% - Accent5 4 3 2 7 3" xfId="27054"/>
    <cellStyle name="40% - Accent5 4 3 2 7 3 2" xfId="27055"/>
    <cellStyle name="40% - Accent5 4 3 2 7 4" xfId="27056"/>
    <cellStyle name="40% - Accent5 4 3 2 7 5" xfId="27057"/>
    <cellStyle name="40% - Accent5 4 3 2 8" xfId="27058"/>
    <cellStyle name="40% - Accent5 4 3 2 8 2" xfId="27059"/>
    <cellStyle name="40% - Accent5 4 3 2 8 3" xfId="27060"/>
    <cellStyle name="40% - Accent5 4 3 2 9" xfId="27061"/>
    <cellStyle name="40% - Accent5 4 3 2 9 2" xfId="27062"/>
    <cellStyle name="40% - Accent5 4 3 2 9 3" xfId="27063"/>
    <cellStyle name="40% - Accent5 4 3 3" xfId="2452"/>
    <cellStyle name="40% - Accent5 4 3 3 10" xfId="27064"/>
    <cellStyle name="40% - Accent5 4 3 3 2" xfId="2453"/>
    <cellStyle name="40% - Accent5 4 3 3 2 2" xfId="27065"/>
    <cellStyle name="40% - Accent5 4 3 3 2 2 2" xfId="27066"/>
    <cellStyle name="40% - Accent5 4 3 3 2 2 2 2" xfId="27067"/>
    <cellStyle name="40% - Accent5 4 3 3 2 2 2 3" xfId="27068"/>
    <cellStyle name="40% - Accent5 4 3 3 2 2 3" xfId="27069"/>
    <cellStyle name="40% - Accent5 4 3 3 2 2 3 2" xfId="27070"/>
    <cellStyle name="40% - Accent5 4 3 3 2 2 3 3" xfId="27071"/>
    <cellStyle name="40% - Accent5 4 3 3 2 2 4" xfId="27072"/>
    <cellStyle name="40% - Accent5 4 3 3 2 2 4 2" xfId="27073"/>
    <cellStyle name="40% - Accent5 4 3 3 2 2 5" xfId="27074"/>
    <cellStyle name="40% - Accent5 4 3 3 2 2 6" xfId="27075"/>
    <cellStyle name="40% - Accent5 4 3 3 2 3" xfId="27076"/>
    <cellStyle name="40% - Accent5 4 3 3 2 3 2" xfId="27077"/>
    <cellStyle name="40% - Accent5 4 3 3 2 3 2 2" xfId="27078"/>
    <cellStyle name="40% - Accent5 4 3 3 2 3 2 3" xfId="27079"/>
    <cellStyle name="40% - Accent5 4 3 3 2 3 3" xfId="27080"/>
    <cellStyle name="40% - Accent5 4 3 3 2 3 3 2" xfId="27081"/>
    <cellStyle name="40% - Accent5 4 3 3 2 3 3 3" xfId="27082"/>
    <cellStyle name="40% - Accent5 4 3 3 2 3 4" xfId="27083"/>
    <cellStyle name="40% - Accent5 4 3 3 2 3 4 2" xfId="27084"/>
    <cellStyle name="40% - Accent5 4 3 3 2 3 5" xfId="27085"/>
    <cellStyle name="40% - Accent5 4 3 3 2 3 6" xfId="27086"/>
    <cellStyle name="40% - Accent5 4 3 3 2 4" xfId="27087"/>
    <cellStyle name="40% - Accent5 4 3 3 2 4 2" xfId="27088"/>
    <cellStyle name="40% - Accent5 4 3 3 2 4 2 2" xfId="27089"/>
    <cellStyle name="40% - Accent5 4 3 3 2 4 2 3" xfId="27090"/>
    <cellStyle name="40% - Accent5 4 3 3 2 4 3" xfId="27091"/>
    <cellStyle name="40% - Accent5 4 3 3 2 4 3 2" xfId="27092"/>
    <cellStyle name="40% - Accent5 4 3 3 2 4 4" xfId="27093"/>
    <cellStyle name="40% - Accent5 4 3 3 2 4 5" xfId="27094"/>
    <cellStyle name="40% - Accent5 4 3 3 2 5" xfId="27095"/>
    <cellStyle name="40% - Accent5 4 3 3 2 5 2" xfId="27096"/>
    <cellStyle name="40% - Accent5 4 3 3 2 5 3" xfId="27097"/>
    <cellStyle name="40% - Accent5 4 3 3 2 6" xfId="27098"/>
    <cellStyle name="40% - Accent5 4 3 3 2 6 2" xfId="27099"/>
    <cellStyle name="40% - Accent5 4 3 3 2 6 3" xfId="27100"/>
    <cellStyle name="40% - Accent5 4 3 3 2 7" xfId="27101"/>
    <cellStyle name="40% - Accent5 4 3 3 2 7 2" xfId="27102"/>
    <cellStyle name="40% - Accent5 4 3 3 2 8" xfId="27103"/>
    <cellStyle name="40% - Accent5 4 3 3 2 9" xfId="27104"/>
    <cellStyle name="40% - Accent5 4 3 3 3" xfId="27105"/>
    <cellStyle name="40% - Accent5 4 3 3 3 2" xfId="27106"/>
    <cellStyle name="40% - Accent5 4 3 3 3 2 2" xfId="27107"/>
    <cellStyle name="40% - Accent5 4 3 3 3 2 3" xfId="27108"/>
    <cellStyle name="40% - Accent5 4 3 3 3 3" xfId="27109"/>
    <cellStyle name="40% - Accent5 4 3 3 3 3 2" xfId="27110"/>
    <cellStyle name="40% - Accent5 4 3 3 3 3 3" xfId="27111"/>
    <cellStyle name="40% - Accent5 4 3 3 3 4" xfId="27112"/>
    <cellStyle name="40% - Accent5 4 3 3 3 4 2" xfId="27113"/>
    <cellStyle name="40% - Accent5 4 3 3 3 5" xfId="27114"/>
    <cellStyle name="40% - Accent5 4 3 3 3 6" xfId="27115"/>
    <cellStyle name="40% - Accent5 4 3 3 4" xfId="27116"/>
    <cellStyle name="40% - Accent5 4 3 3 4 2" xfId="27117"/>
    <cellStyle name="40% - Accent5 4 3 3 4 2 2" xfId="27118"/>
    <cellStyle name="40% - Accent5 4 3 3 4 2 3" xfId="27119"/>
    <cellStyle name="40% - Accent5 4 3 3 4 3" xfId="27120"/>
    <cellStyle name="40% - Accent5 4 3 3 4 3 2" xfId="27121"/>
    <cellStyle name="40% - Accent5 4 3 3 4 3 3" xfId="27122"/>
    <cellStyle name="40% - Accent5 4 3 3 4 4" xfId="27123"/>
    <cellStyle name="40% - Accent5 4 3 3 4 4 2" xfId="27124"/>
    <cellStyle name="40% - Accent5 4 3 3 4 5" xfId="27125"/>
    <cellStyle name="40% - Accent5 4 3 3 4 6" xfId="27126"/>
    <cellStyle name="40% - Accent5 4 3 3 5" xfId="27127"/>
    <cellStyle name="40% - Accent5 4 3 3 5 2" xfId="27128"/>
    <cellStyle name="40% - Accent5 4 3 3 5 2 2" xfId="27129"/>
    <cellStyle name="40% - Accent5 4 3 3 5 2 3" xfId="27130"/>
    <cellStyle name="40% - Accent5 4 3 3 5 3" xfId="27131"/>
    <cellStyle name="40% - Accent5 4 3 3 5 3 2" xfId="27132"/>
    <cellStyle name="40% - Accent5 4 3 3 5 4" xfId="27133"/>
    <cellStyle name="40% - Accent5 4 3 3 5 5" xfId="27134"/>
    <cellStyle name="40% - Accent5 4 3 3 6" xfId="27135"/>
    <cellStyle name="40% - Accent5 4 3 3 6 2" xfId="27136"/>
    <cellStyle name="40% - Accent5 4 3 3 6 3" xfId="27137"/>
    <cellStyle name="40% - Accent5 4 3 3 7" xfId="27138"/>
    <cellStyle name="40% - Accent5 4 3 3 7 2" xfId="27139"/>
    <cellStyle name="40% - Accent5 4 3 3 7 3" xfId="27140"/>
    <cellStyle name="40% - Accent5 4 3 3 8" xfId="27141"/>
    <cellStyle name="40% - Accent5 4 3 3 8 2" xfId="27142"/>
    <cellStyle name="40% - Accent5 4 3 3 9" xfId="27143"/>
    <cellStyle name="40% - Accent5 4 3 4" xfId="2454"/>
    <cellStyle name="40% - Accent5 4 3 4 2" xfId="27144"/>
    <cellStyle name="40% - Accent5 4 3 4 2 2" xfId="27145"/>
    <cellStyle name="40% - Accent5 4 3 4 2 2 2" xfId="27146"/>
    <cellStyle name="40% - Accent5 4 3 4 2 2 3" xfId="27147"/>
    <cellStyle name="40% - Accent5 4 3 4 2 3" xfId="27148"/>
    <cellStyle name="40% - Accent5 4 3 4 2 3 2" xfId="27149"/>
    <cellStyle name="40% - Accent5 4 3 4 2 3 3" xfId="27150"/>
    <cellStyle name="40% - Accent5 4 3 4 2 4" xfId="27151"/>
    <cellStyle name="40% - Accent5 4 3 4 2 4 2" xfId="27152"/>
    <cellStyle name="40% - Accent5 4 3 4 2 5" xfId="27153"/>
    <cellStyle name="40% - Accent5 4 3 4 2 6" xfId="27154"/>
    <cellStyle name="40% - Accent5 4 3 4 3" xfId="27155"/>
    <cellStyle name="40% - Accent5 4 3 4 3 2" xfId="27156"/>
    <cellStyle name="40% - Accent5 4 3 4 3 2 2" xfId="27157"/>
    <cellStyle name="40% - Accent5 4 3 4 3 2 3" xfId="27158"/>
    <cellStyle name="40% - Accent5 4 3 4 3 3" xfId="27159"/>
    <cellStyle name="40% - Accent5 4 3 4 3 3 2" xfId="27160"/>
    <cellStyle name="40% - Accent5 4 3 4 3 3 3" xfId="27161"/>
    <cellStyle name="40% - Accent5 4 3 4 3 4" xfId="27162"/>
    <cellStyle name="40% - Accent5 4 3 4 3 4 2" xfId="27163"/>
    <cellStyle name="40% - Accent5 4 3 4 3 5" xfId="27164"/>
    <cellStyle name="40% - Accent5 4 3 4 3 6" xfId="27165"/>
    <cellStyle name="40% - Accent5 4 3 4 4" xfId="27166"/>
    <cellStyle name="40% - Accent5 4 3 4 4 2" xfId="27167"/>
    <cellStyle name="40% - Accent5 4 3 4 4 2 2" xfId="27168"/>
    <cellStyle name="40% - Accent5 4 3 4 4 2 3" xfId="27169"/>
    <cellStyle name="40% - Accent5 4 3 4 4 3" xfId="27170"/>
    <cellStyle name="40% - Accent5 4 3 4 4 3 2" xfId="27171"/>
    <cellStyle name="40% - Accent5 4 3 4 4 4" xfId="27172"/>
    <cellStyle name="40% - Accent5 4 3 4 4 5" xfId="27173"/>
    <cellStyle name="40% - Accent5 4 3 4 5" xfId="27174"/>
    <cellStyle name="40% - Accent5 4 3 4 5 2" xfId="27175"/>
    <cellStyle name="40% - Accent5 4 3 4 5 3" xfId="27176"/>
    <cellStyle name="40% - Accent5 4 3 4 6" xfId="27177"/>
    <cellStyle name="40% - Accent5 4 3 4 6 2" xfId="27178"/>
    <cellStyle name="40% - Accent5 4 3 4 6 3" xfId="27179"/>
    <cellStyle name="40% - Accent5 4 3 4 7" xfId="27180"/>
    <cellStyle name="40% - Accent5 4 3 4 7 2" xfId="27181"/>
    <cellStyle name="40% - Accent5 4 3 4 8" xfId="27182"/>
    <cellStyle name="40% - Accent5 4 3 4 9" xfId="27183"/>
    <cellStyle name="40% - Accent5 4 3 5" xfId="27184"/>
    <cellStyle name="40% - Accent5 4 3 5 2" xfId="27185"/>
    <cellStyle name="40% - Accent5 4 3 5 2 2" xfId="27186"/>
    <cellStyle name="40% - Accent5 4 3 5 2 2 2" xfId="27187"/>
    <cellStyle name="40% - Accent5 4 3 5 2 2 3" xfId="27188"/>
    <cellStyle name="40% - Accent5 4 3 5 2 3" xfId="27189"/>
    <cellStyle name="40% - Accent5 4 3 5 2 3 2" xfId="27190"/>
    <cellStyle name="40% - Accent5 4 3 5 2 3 3" xfId="27191"/>
    <cellStyle name="40% - Accent5 4 3 5 2 4" xfId="27192"/>
    <cellStyle name="40% - Accent5 4 3 5 2 4 2" xfId="27193"/>
    <cellStyle name="40% - Accent5 4 3 5 2 5" xfId="27194"/>
    <cellStyle name="40% - Accent5 4 3 5 2 6" xfId="27195"/>
    <cellStyle name="40% - Accent5 4 3 5 3" xfId="27196"/>
    <cellStyle name="40% - Accent5 4 3 5 3 2" xfId="27197"/>
    <cellStyle name="40% - Accent5 4 3 5 3 2 2" xfId="27198"/>
    <cellStyle name="40% - Accent5 4 3 5 3 2 3" xfId="27199"/>
    <cellStyle name="40% - Accent5 4 3 5 3 3" xfId="27200"/>
    <cellStyle name="40% - Accent5 4 3 5 3 3 2" xfId="27201"/>
    <cellStyle name="40% - Accent5 4 3 5 3 3 3" xfId="27202"/>
    <cellStyle name="40% - Accent5 4 3 5 3 4" xfId="27203"/>
    <cellStyle name="40% - Accent5 4 3 5 3 4 2" xfId="27204"/>
    <cellStyle name="40% - Accent5 4 3 5 3 5" xfId="27205"/>
    <cellStyle name="40% - Accent5 4 3 5 3 6" xfId="27206"/>
    <cellStyle name="40% - Accent5 4 3 5 4" xfId="27207"/>
    <cellStyle name="40% - Accent5 4 3 5 4 2" xfId="27208"/>
    <cellStyle name="40% - Accent5 4 3 5 4 2 2" xfId="27209"/>
    <cellStyle name="40% - Accent5 4 3 5 4 2 3" xfId="27210"/>
    <cellStyle name="40% - Accent5 4 3 5 4 3" xfId="27211"/>
    <cellStyle name="40% - Accent5 4 3 5 4 3 2" xfId="27212"/>
    <cellStyle name="40% - Accent5 4 3 5 4 4" xfId="27213"/>
    <cellStyle name="40% - Accent5 4 3 5 4 5" xfId="27214"/>
    <cellStyle name="40% - Accent5 4 3 5 5" xfId="27215"/>
    <cellStyle name="40% - Accent5 4 3 5 5 2" xfId="27216"/>
    <cellStyle name="40% - Accent5 4 3 5 5 3" xfId="27217"/>
    <cellStyle name="40% - Accent5 4 3 5 6" xfId="27218"/>
    <cellStyle name="40% - Accent5 4 3 5 6 2" xfId="27219"/>
    <cellStyle name="40% - Accent5 4 3 5 6 3" xfId="27220"/>
    <cellStyle name="40% - Accent5 4 3 5 7" xfId="27221"/>
    <cellStyle name="40% - Accent5 4 3 5 7 2" xfId="27222"/>
    <cellStyle name="40% - Accent5 4 3 5 8" xfId="27223"/>
    <cellStyle name="40% - Accent5 4 3 5 9" xfId="27224"/>
    <cellStyle name="40% - Accent5 4 3 6" xfId="27225"/>
    <cellStyle name="40% - Accent5 4 3 6 2" xfId="27226"/>
    <cellStyle name="40% - Accent5 4 3 6 2 2" xfId="27227"/>
    <cellStyle name="40% - Accent5 4 3 6 2 3" xfId="27228"/>
    <cellStyle name="40% - Accent5 4 3 6 3" xfId="27229"/>
    <cellStyle name="40% - Accent5 4 3 6 3 2" xfId="27230"/>
    <cellStyle name="40% - Accent5 4 3 6 3 3" xfId="27231"/>
    <cellStyle name="40% - Accent5 4 3 6 4" xfId="27232"/>
    <cellStyle name="40% - Accent5 4 3 6 4 2" xfId="27233"/>
    <cellStyle name="40% - Accent5 4 3 6 5" xfId="27234"/>
    <cellStyle name="40% - Accent5 4 3 6 6" xfId="27235"/>
    <cellStyle name="40% - Accent5 4 3 7" xfId="27236"/>
    <cellStyle name="40% - Accent5 4 3 7 2" xfId="27237"/>
    <cellStyle name="40% - Accent5 4 3 7 2 2" xfId="27238"/>
    <cellStyle name="40% - Accent5 4 3 7 2 3" xfId="27239"/>
    <cellStyle name="40% - Accent5 4 3 7 3" xfId="27240"/>
    <cellStyle name="40% - Accent5 4 3 7 3 2" xfId="27241"/>
    <cellStyle name="40% - Accent5 4 3 7 3 3" xfId="27242"/>
    <cellStyle name="40% - Accent5 4 3 7 4" xfId="27243"/>
    <cellStyle name="40% - Accent5 4 3 7 4 2" xfId="27244"/>
    <cellStyle name="40% - Accent5 4 3 7 5" xfId="27245"/>
    <cellStyle name="40% - Accent5 4 3 7 6" xfId="27246"/>
    <cellStyle name="40% - Accent5 4 3 8" xfId="27247"/>
    <cellStyle name="40% - Accent5 4 3 8 2" xfId="27248"/>
    <cellStyle name="40% - Accent5 4 3 8 2 2" xfId="27249"/>
    <cellStyle name="40% - Accent5 4 3 8 2 3" xfId="27250"/>
    <cellStyle name="40% - Accent5 4 3 8 3" xfId="27251"/>
    <cellStyle name="40% - Accent5 4 3 8 3 2" xfId="27252"/>
    <cellStyle name="40% - Accent5 4 3 8 4" xfId="27253"/>
    <cellStyle name="40% - Accent5 4 3 8 5" xfId="27254"/>
    <cellStyle name="40% - Accent5 4 3 9" xfId="27255"/>
    <cellStyle name="40% - Accent5 4 3 9 2" xfId="27256"/>
    <cellStyle name="40% - Accent5 4 3 9 3" xfId="27257"/>
    <cellStyle name="40% - Accent5 4 4" xfId="2455"/>
    <cellStyle name="40% - Accent5 4 4 10" xfId="27258"/>
    <cellStyle name="40% - Accent5 4 4 10 2" xfId="27259"/>
    <cellStyle name="40% - Accent5 4 4 11" xfId="27260"/>
    <cellStyle name="40% - Accent5 4 4 12" xfId="27261"/>
    <cellStyle name="40% - Accent5 4 4 2" xfId="2456"/>
    <cellStyle name="40% - Accent5 4 4 2 10" xfId="27262"/>
    <cellStyle name="40% - Accent5 4 4 2 2" xfId="2457"/>
    <cellStyle name="40% - Accent5 4 4 2 2 2" xfId="27263"/>
    <cellStyle name="40% - Accent5 4 4 2 2 2 2" xfId="27264"/>
    <cellStyle name="40% - Accent5 4 4 2 2 2 2 2" xfId="27265"/>
    <cellStyle name="40% - Accent5 4 4 2 2 2 2 3" xfId="27266"/>
    <cellStyle name="40% - Accent5 4 4 2 2 2 3" xfId="27267"/>
    <cellStyle name="40% - Accent5 4 4 2 2 2 3 2" xfId="27268"/>
    <cellStyle name="40% - Accent5 4 4 2 2 2 3 3" xfId="27269"/>
    <cellStyle name="40% - Accent5 4 4 2 2 2 4" xfId="27270"/>
    <cellStyle name="40% - Accent5 4 4 2 2 2 4 2" xfId="27271"/>
    <cellStyle name="40% - Accent5 4 4 2 2 2 5" xfId="27272"/>
    <cellStyle name="40% - Accent5 4 4 2 2 2 6" xfId="27273"/>
    <cellStyle name="40% - Accent5 4 4 2 2 3" xfId="27274"/>
    <cellStyle name="40% - Accent5 4 4 2 2 3 2" xfId="27275"/>
    <cellStyle name="40% - Accent5 4 4 2 2 3 2 2" xfId="27276"/>
    <cellStyle name="40% - Accent5 4 4 2 2 3 2 3" xfId="27277"/>
    <cellStyle name="40% - Accent5 4 4 2 2 3 3" xfId="27278"/>
    <cellStyle name="40% - Accent5 4 4 2 2 3 3 2" xfId="27279"/>
    <cellStyle name="40% - Accent5 4 4 2 2 3 3 3" xfId="27280"/>
    <cellStyle name="40% - Accent5 4 4 2 2 3 4" xfId="27281"/>
    <cellStyle name="40% - Accent5 4 4 2 2 3 4 2" xfId="27282"/>
    <cellStyle name="40% - Accent5 4 4 2 2 3 5" xfId="27283"/>
    <cellStyle name="40% - Accent5 4 4 2 2 3 6" xfId="27284"/>
    <cellStyle name="40% - Accent5 4 4 2 2 4" xfId="27285"/>
    <cellStyle name="40% - Accent5 4 4 2 2 4 2" xfId="27286"/>
    <cellStyle name="40% - Accent5 4 4 2 2 4 2 2" xfId="27287"/>
    <cellStyle name="40% - Accent5 4 4 2 2 4 2 3" xfId="27288"/>
    <cellStyle name="40% - Accent5 4 4 2 2 4 3" xfId="27289"/>
    <cellStyle name="40% - Accent5 4 4 2 2 4 3 2" xfId="27290"/>
    <cellStyle name="40% - Accent5 4 4 2 2 4 4" xfId="27291"/>
    <cellStyle name="40% - Accent5 4 4 2 2 4 5" xfId="27292"/>
    <cellStyle name="40% - Accent5 4 4 2 2 5" xfId="27293"/>
    <cellStyle name="40% - Accent5 4 4 2 2 5 2" xfId="27294"/>
    <cellStyle name="40% - Accent5 4 4 2 2 5 3" xfId="27295"/>
    <cellStyle name="40% - Accent5 4 4 2 2 6" xfId="27296"/>
    <cellStyle name="40% - Accent5 4 4 2 2 6 2" xfId="27297"/>
    <cellStyle name="40% - Accent5 4 4 2 2 6 3" xfId="27298"/>
    <cellStyle name="40% - Accent5 4 4 2 2 7" xfId="27299"/>
    <cellStyle name="40% - Accent5 4 4 2 2 7 2" xfId="27300"/>
    <cellStyle name="40% - Accent5 4 4 2 2 8" xfId="27301"/>
    <cellStyle name="40% - Accent5 4 4 2 2 9" xfId="27302"/>
    <cellStyle name="40% - Accent5 4 4 2 3" xfId="27303"/>
    <cellStyle name="40% - Accent5 4 4 2 3 2" xfId="27304"/>
    <cellStyle name="40% - Accent5 4 4 2 3 2 2" xfId="27305"/>
    <cellStyle name="40% - Accent5 4 4 2 3 2 3" xfId="27306"/>
    <cellStyle name="40% - Accent5 4 4 2 3 3" xfId="27307"/>
    <cellStyle name="40% - Accent5 4 4 2 3 3 2" xfId="27308"/>
    <cellStyle name="40% - Accent5 4 4 2 3 3 3" xfId="27309"/>
    <cellStyle name="40% - Accent5 4 4 2 3 4" xfId="27310"/>
    <cellStyle name="40% - Accent5 4 4 2 3 4 2" xfId="27311"/>
    <cellStyle name="40% - Accent5 4 4 2 3 5" xfId="27312"/>
    <cellStyle name="40% - Accent5 4 4 2 3 6" xfId="27313"/>
    <cellStyle name="40% - Accent5 4 4 2 4" xfId="27314"/>
    <cellStyle name="40% - Accent5 4 4 2 4 2" xfId="27315"/>
    <cellStyle name="40% - Accent5 4 4 2 4 2 2" xfId="27316"/>
    <cellStyle name="40% - Accent5 4 4 2 4 2 3" xfId="27317"/>
    <cellStyle name="40% - Accent5 4 4 2 4 3" xfId="27318"/>
    <cellStyle name="40% - Accent5 4 4 2 4 3 2" xfId="27319"/>
    <cellStyle name="40% - Accent5 4 4 2 4 3 3" xfId="27320"/>
    <cellStyle name="40% - Accent5 4 4 2 4 4" xfId="27321"/>
    <cellStyle name="40% - Accent5 4 4 2 4 4 2" xfId="27322"/>
    <cellStyle name="40% - Accent5 4 4 2 4 5" xfId="27323"/>
    <cellStyle name="40% - Accent5 4 4 2 4 6" xfId="27324"/>
    <cellStyle name="40% - Accent5 4 4 2 5" xfId="27325"/>
    <cellStyle name="40% - Accent5 4 4 2 5 2" xfId="27326"/>
    <cellStyle name="40% - Accent5 4 4 2 5 2 2" xfId="27327"/>
    <cellStyle name="40% - Accent5 4 4 2 5 2 3" xfId="27328"/>
    <cellStyle name="40% - Accent5 4 4 2 5 3" xfId="27329"/>
    <cellStyle name="40% - Accent5 4 4 2 5 3 2" xfId="27330"/>
    <cellStyle name="40% - Accent5 4 4 2 5 4" xfId="27331"/>
    <cellStyle name="40% - Accent5 4 4 2 5 5" xfId="27332"/>
    <cellStyle name="40% - Accent5 4 4 2 6" xfId="27333"/>
    <cellStyle name="40% - Accent5 4 4 2 6 2" xfId="27334"/>
    <cellStyle name="40% - Accent5 4 4 2 6 3" xfId="27335"/>
    <cellStyle name="40% - Accent5 4 4 2 7" xfId="27336"/>
    <cellStyle name="40% - Accent5 4 4 2 7 2" xfId="27337"/>
    <cellStyle name="40% - Accent5 4 4 2 7 3" xfId="27338"/>
    <cellStyle name="40% - Accent5 4 4 2 8" xfId="27339"/>
    <cellStyle name="40% - Accent5 4 4 2 8 2" xfId="27340"/>
    <cellStyle name="40% - Accent5 4 4 2 9" xfId="27341"/>
    <cellStyle name="40% - Accent5 4 4 3" xfId="2458"/>
    <cellStyle name="40% - Accent5 4 4 3 2" xfId="27342"/>
    <cellStyle name="40% - Accent5 4 4 3 2 2" xfId="27343"/>
    <cellStyle name="40% - Accent5 4 4 3 2 2 2" xfId="27344"/>
    <cellStyle name="40% - Accent5 4 4 3 2 2 3" xfId="27345"/>
    <cellStyle name="40% - Accent5 4 4 3 2 3" xfId="27346"/>
    <cellStyle name="40% - Accent5 4 4 3 2 3 2" xfId="27347"/>
    <cellStyle name="40% - Accent5 4 4 3 2 3 3" xfId="27348"/>
    <cellStyle name="40% - Accent5 4 4 3 2 4" xfId="27349"/>
    <cellStyle name="40% - Accent5 4 4 3 2 4 2" xfId="27350"/>
    <cellStyle name="40% - Accent5 4 4 3 2 5" xfId="27351"/>
    <cellStyle name="40% - Accent5 4 4 3 2 6" xfId="27352"/>
    <cellStyle name="40% - Accent5 4 4 3 3" xfId="27353"/>
    <cellStyle name="40% - Accent5 4 4 3 3 2" xfId="27354"/>
    <cellStyle name="40% - Accent5 4 4 3 3 2 2" xfId="27355"/>
    <cellStyle name="40% - Accent5 4 4 3 3 2 3" xfId="27356"/>
    <cellStyle name="40% - Accent5 4 4 3 3 3" xfId="27357"/>
    <cellStyle name="40% - Accent5 4 4 3 3 3 2" xfId="27358"/>
    <cellStyle name="40% - Accent5 4 4 3 3 3 3" xfId="27359"/>
    <cellStyle name="40% - Accent5 4 4 3 3 4" xfId="27360"/>
    <cellStyle name="40% - Accent5 4 4 3 3 4 2" xfId="27361"/>
    <cellStyle name="40% - Accent5 4 4 3 3 5" xfId="27362"/>
    <cellStyle name="40% - Accent5 4 4 3 3 6" xfId="27363"/>
    <cellStyle name="40% - Accent5 4 4 3 4" xfId="27364"/>
    <cellStyle name="40% - Accent5 4 4 3 4 2" xfId="27365"/>
    <cellStyle name="40% - Accent5 4 4 3 4 2 2" xfId="27366"/>
    <cellStyle name="40% - Accent5 4 4 3 4 2 3" xfId="27367"/>
    <cellStyle name="40% - Accent5 4 4 3 4 3" xfId="27368"/>
    <cellStyle name="40% - Accent5 4 4 3 4 3 2" xfId="27369"/>
    <cellStyle name="40% - Accent5 4 4 3 4 4" xfId="27370"/>
    <cellStyle name="40% - Accent5 4 4 3 4 5" xfId="27371"/>
    <cellStyle name="40% - Accent5 4 4 3 5" xfId="27372"/>
    <cellStyle name="40% - Accent5 4 4 3 5 2" xfId="27373"/>
    <cellStyle name="40% - Accent5 4 4 3 5 3" xfId="27374"/>
    <cellStyle name="40% - Accent5 4 4 3 6" xfId="27375"/>
    <cellStyle name="40% - Accent5 4 4 3 6 2" xfId="27376"/>
    <cellStyle name="40% - Accent5 4 4 3 6 3" xfId="27377"/>
    <cellStyle name="40% - Accent5 4 4 3 7" xfId="27378"/>
    <cellStyle name="40% - Accent5 4 4 3 7 2" xfId="27379"/>
    <cellStyle name="40% - Accent5 4 4 3 8" xfId="27380"/>
    <cellStyle name="40% - Accent5 4 4 3 9" xfId="27381"/>
    <cellStyle name="40% - Accent5 4 4 4" xfId="27382"/>
    <cellStyle name="40% - Accent5 4 4 4 2" xfId="27383"/>
    <cellStyle name="40% - Accent5 4 4 4 2 2" xfId="27384"/>
    <cellStyle name="40% - Accent5 4 4 4 2 2 2" xfId="27385"/>
    <cellStyle name="40% - Accent5 4 4 4 2 2 3" xfId="27386"/>
    <cellStyle name="40% - Accent5 4 4 4 2 3" xfId="27387"/>
    <cellStyle name="40% - Accent5 4 4 4 2 3 2" xfId="27388"/>
    <cellStyle name="40% - Accent5 4 4 4 2 3 3" xfId="27389"/>
    <cellStyle name="40% - Accent5 4 4 4 2 4" xfId="27390"/>
    <cellStyle name="40% - Accent5 4 4 4 2 4 2" xfId="27391"/>
    <cellStyle name="40% - Accent5 4 4 4 2 5" xfId="27392"/>
    <cellStyle name="40% - Accent5 4 4 4 2 6" xfId="27393"/>
    <cellStyle name="40% - Accent5 4 4 4 3" xfId="27394"/>
    <cellStyle name="40% - Accent5 4 4 4 3 2" xfId="27395"/>
    <cellStyle name="40% - Accent5 4 4 4 3 2 2" xfId="27396"/>
    <cellStyle name="40% - Accent5 4 4 4 3 2 3" xfId="27397"/>
    <cellStyle name="40% - Accent5 4 4 4 3 3" xfId="27398"/>
    <cellStyle name="40% - Accent5 4 4 4 3 3 2" xfId="27399"/>
    <cellStyle name="40% - Accent5 4 4 4 3 3 3" xfId="27400"/>
    <cellStyle name="40% - Accent5 4 4 4 3 4" xfId="27401"/>
    <cellStyle name="40% - Accent5 4 4 4 3 4 2" xfId="27402"/>
    <cellStyle name="40% - Accent5 4 4 4 3 5" xfId="27403"/>
    <cellStyle name="40% - Accent5 4 4 4 3 6" xfId="27404"/>
    <cellStyle name="40% - Accent5 4 4 4 4" xfId="27405"/>
    <cellStyle name="40% - Accent5 4 4 4 4 2" xfId="27406"/>
    <cellStyle name="40% - Accent5 4 4 4 4 2 2" xfId="27407"/>
    <cellStyle name="40% - Accent5 4 4 4 4 2 3" xfId="27408"/>
    <cellStyle name="40% - Accent5 4 4 4 4 3" xfId="27409"/>
    <cellStyle name="40% - Accent5 4 4 4 4 3 2" xfId="27410"/>
    <cellStyle name="40% - Accent5 4 4 4 4 4" xfId="27411"/>
    <cellStyle name="40% - Accent5 4 4 4 4 5" xfId="27412"/>
    <cellStyle name="40% - Accent5 4 4 4 5" xfId="27413"/>
    <cellStyle name="40% - Accent5 4 4 4 5 2" xfId="27414"/>
    <cellStyle name="40% - Accent5 4 4 4 5 3" xfId="27415"/>
    <cellStyle name="40% - Accent5 4 4 4 6" xfId="27416"/>
    <cellStyle name="40% - Accent5 4 4 4 6 2" xfId="27417"/>
    <cellStyle name="40% - Accent5 4 4 4 6 3" xfId="27418"/>
    <cellStyle name="40% - Accent5 4 4 4 7" xfId="27419"/>
    <cellStyle name="40% - Accent5 4 4 4 7 2" xfId="27420"/>
    <cellStyle name="40% - Accent5 4 4 4 8" xfId="27421"/>
    <cellStyle name="40% - Accent5 4 4 4 9" xfId="27422"/>
    <cellStyle name="40% - Accent5 4 4 5" xfId="27423"/>
    <cellStyle name="40% - Accent5 4 4 5 2" xfId="27424"/>
    <cellStyle name="40% - Accent5 4 4 5 2 2" xfId="27425"/>
    <cellStyle name="40% - Accent5 4 4 5 2 3" xfId="27426"/>
    <cellStyle name="40% - Accent5 4 4 5 3" xfId="27427"/>
    <cellStyle name="40% - Accent5 4 4 5 3 2" xfId="27428"/>
    <cellStyle name="40% - Accent5 4 4 5 3 3" xfId="27429"/>
    <cellStyle name="40% - Accent5 4 4 5 4" xfId="27430"/>
    <cellStyle name="40% - Accent5 4 4 5 4 2" xfId="27431"/>
    <cellStyle name="40% - Accent5 4 4 5 5" xfId="27432"/>
    <cellStyle name="40% - Accent5 4 4 5 6" xfId="27433"/>
    <cellStyle name="40% - Accent5 4 4 6" xfId="27434"/>
    <cellStyle name="40% - Accent5 4 4 6 2" xfId="27435"/>
    <cellStyle name="40% - Accent5 4 4 6 2 2" xfId="27436"/>
    <cellStyle name="40% - Accent5 4 4 6 2 3" xfId="27437"/>
    <cellStyle name="40% - Accent5 4 4 6 3" xfId="27438"/>
    <cellStyle name="40% - Accent5 4 4 6 3 2" xfId="27439"/>
    <cellStyle name="40% - Accent5 4 4 6 3 3" xfId="27440"/>
    <cellStyle name="40% - Accent5 4 4 6 4" xfId="27441"/>
    <cellStyle name="40% - Accent5 4 4 6 4 2" xfId="27442"/>
    <cellStyle name="40% - Accent5 4 4 6 5" xfId="27443"/>
    <cellStyle name="40% - Accent5 4 4 6 6" xfId="27444"/>
    <cellStyle name="40% - Accent5 4 4 7" xfId="27445"/>
    <cellStyle name="40% - Accent5 4 4 7 2" xfId="27446"/>
    <cellStyle name="40% - Accent5 4 4 7 2 2" xfId="27447"/>
    <cellStyle name="40% - Accent5 4 4 7 2 3" xfId="27448"/>
    <cellStyle name="40% - Accent5 4 4 7 3" xfId="27449"/>
    <cellStyle name="40% - Accent5 4 4 7 3 2" xfId="27450"/>
    <cellStyle name="40% - Accent5 4 4 7 4" xfId="27451"/>
    <cellStyle name="40% - Accent5 4 4 7 5" xfId="27452"/>
    <cellStyle name="40% - Accent5 4 4 8" xfId="27453"/>
    <cellStyle name="40% - Accent5 4 4 8 2" xfId="27454"/>
    <cellStyle name="40% - Accent5 4 4 8 3" xfId="27455"/>
    <cellStyle name="40% - Accent5 4 4 9" xfId="27456"/>
    <cellStyle name="40% - Accent5 4 4 9 2" xfId="27457"/>
    <cellStyle name="40% - Accent5 4 4 9 3" xfId="27458"/>
    <cellStyle name="40% - Accent5 4 5" xfId="2459"/>
    <cellStyle name="40% - Accent5 4 5 10" xfId="27459"/>
    <cellStyle name="40% - Accent5 4 5 2" xfId="2460"/>
    <cellStyle name="40% - Accent5 4 5 2 2" xfId="27460"/>
    <cellStyle name="40% - Accent5 4 5 2 2 2" xfId="27461"/>
    <cellStyle name="40% - Accent5 4 5 2 2 2 2" xfId="27462"/>
    <cellStyle name="40% - Accent5 4 5 2 2 2 3" xfId="27463"/>
    <cellStyle name="40% - Accent5 4 5 2 2 3" xfId="27464"/>
    <cellStyle name="40% - Accent5 4 5 2 2 3 2" xfId="27465"/>
    <cellStyle name="40% - Accent5 4 5 2 2 3 3" xfId="27466"/>
    <cellStyle name="40% - Accent5 4 5 2 2 4" xfId="27467"/>
    <cellStyle name="40% - Accent5 4 5 2 2 4 2" xfId="27468"/>
    <cellStyle name="40% - Accent5 4 5 2 2 5" xfId="27469"/>
    <cellStyle name="40% - Accent5 4 5 2 2 6" xfId="27470"/>
    <cellStyle name="40% - Accent5 4 5 2 3" xfId="27471"/>
    <cellStyle name="40% - Accent5 4 5 2 3 2" xfId="27472"/>
    <cellStyle name="40% - Accent5 4 5 2 3 2 2" xfId="27473"/>
    <cellStyle name="40% - Accent5 4 5 2 3 2 3" xfId="27474"/>
    <cellStyle name="40% - Accent5 4 5 2 3 3" xfId="27475"/>
    <cellStyle name="40% - Accent5 4 5 2 3 3 2" xfId="27476"/>
    <cellStyle name="40% - Accent5 4 5 2 3 3 3" xfId="27477"/>
    <cellStyle name="40% - Accent5 4 5 2 3 4" xfId="27478"/>
    <cellStyle name="40% - Accent5 4 5 2 3 4 2" xfId="27479"/>
    <cellStyle name="40% - Accent5 4 5 2 3 5" xfId="27480"/>
    <cellStyle name="40% - Accent5 4 5 2 3 6" xfId="27481"/>
    <cellStyle name="40% - Accent5 4 5 2 4" xfId="27482"/>
    <cellStyle name="40% - Accent5 4 5 2 4 2" xfId="27483"/>
    <cellStyle name="40% - Accent5 4 5 2 4 2 2" xfId="27484"/>
    <cellStyle name="40% - Accent5 4 5 2 4 2 3" xfId="27485"/>
    <cellStyle name="40% - Accent5 4 5 2 4 3" xfId="27486"/>
    <cellStyle name="40% - Accent5 4 5 2 4 3 2" xfId="27487"/>
    <cellStyle name="40% - Accent5 4 5 2 4 4" xfId="27488"/>
    <cellStyle name="40% - Accent5 4 5 2 4 5" xfId="27489"/>
    <cellStyle name="40% - Accent5 4 5 2 5" xfId="27490"/>
    <cellStyle name="40% - Accent5 4 5 2 5 2" xfId="27491"/>
    <cellStyle name="40% - Accent5 4 5 2 5 3" xfId="27492"/>
    <cellStyle name="40% - Accent5 4 5 2 6" xfId="27493"/>
    <cellStyle name="40% - Accent5 4 5 2 6 2" xfId="27494"/>
    <cellStyle name="40% - Accent5 4 5 2 6 3" xfId="27495"/>
    <cellStyle name="40% - Accent5 4 5 2 7" xfId="27496"/>
    <cellStyle name="40% - Accent5 4 5 2 7 2" xfId="27497"/>
    <cellStyle name="40% - Accent5 4 5 2 8" xfId="27498"/>
    <cellStyle name="40% - Accent5 4 5 2 9" xfId="27499"/>
    <cellStyle name="40% - Accent5 4 5 3" xfId="27500"/>
    <cellStyle name="40% - Accent5 4 5 3 2" xfId="27501"/>
    <cellStyle name="40% - Accent5 4 5 3 2 2" xfId="27502"/>
    <cellStyle name="40% - Accent5 4 5 3 2 3" xfId="27503"/>
    <cellStyle name="40% - Accent5 4 5 3 3" xfId="27504"/>
    <cellStyle name="40% - Accent5 4 5 3 3 2" xfId="27505"/>
    <cellStyle name="40% - Accent5 4 5 3 3 3" xfId="27506"/>
    <cellStyle name="40% - Accent5 4 5 3 4" xfId="27507"/>
    <cellStyle name="40% - Accent5 4 5 3 4 2" xfId="27508"/>
    <cellStyle name="40% - Accent5 4 5 3 5" xfId="27509"/>
    <cellStyle name="40% - Accent5 4 5 3 6" xfId="27510"/>
    <cellStyle name="40% - Accent5 4 5 4" xfId="27511"/>
    <cellStyle name="40% - Accent5 4 5 4 2" xfId="27512"/>
    <cellStyle name="40% - Accent5 4 5 4 2 2" xfId="27513"/>
    <cellStyle name="40% - Accent5 4 5 4 2 3" xfId="27514"/>
    <cellStyle name="40% - Accent5 4 5 4 3" xfId="27515"/>
    <cellStyle name="40% - Accent5 4 5 4 3 2" xfId="27516"/>
    <cellStyle name="40% - Accent5 4 5 4 3 3" xfId="27517"/>
    <cellStyle name="40% - Accent5 4 5 4 4" xfId="27518"/>
    <cellStyle name="40% - Accent5 4 5 4 4 2" xfId="27519"/>
    <cellStyle name="40% - Accent5 4 5 4 5" xfId="27520"/>
    <cellStyle name="40% - Accent5 4 5 4 6" xfId="27521"/>
    <cellStyle name="40% - Accent5 4 5 5" xfId="27522"/>
    <cellStyle name="40% - Accent5 4 5 5 2" xfId="27523"/>
    <cellStyle name="40% - Accent5 4 5 5 2 2" xfId="27524"/>
    <cellStyle name="40% - Accent5 4 5 5 2 3" xfId="27525"/>
    <cellStyle name="40% - Accent5 4 5 5 3" xfId="27526"/>
    <cellStyle name="40% - Accent5 4 5 5 3 2" xfId="27527"/>
    <cellStyle name="40% - Accent5 4 5 5 4" xfId="27528"/>
    <cellStyle name="40% - Accent5 4 5 5 5" xfId="27529"/>
    <cellStyle name="40% - Accent5 4 5 6" xfId="27530"/>
    <cellStyle name="40% - Accent5 4 5 6 2" xfId="27531"/>
    <cellStyle name="40% - Accent5 4 5 6 3" xfId="27532"/>
    <cellStyle name="40% - Accent5 4 5 7" xfId="27533"/>
    <cellStyle name="40% - Accent5 4 5 7 2" xfId="27534"/>
    <cellStyle name="40% - Accent5 4 5 7 3" xfId="27535"/>
    <cellStyle name="40% - Accent5 4 5 8" xfId="27536"/>
    <cellStyle name="40% - Accent5 4 5 8 2" xfId="27537"/>
    <cellStyle name="40% - Accent5 4 5 9" xfId="27538"/>
    <cellStyle name="40% - Accent5 4 6" xfId="2461"/>
    <cellStyle name="40% - Accent5 4 6 2" xfId="27539"/>
    <cellStyle name="40% - Accent5 4 6 2 2" xfId="27540"/>
    <cellStyle name="40% - Accent5 4 6 2 2 2" xfId="27541"/>
    <cellStyle name="40% - Accent5 4 6 2 2 3" xfId="27542"/>
    <cellStyle name="40% - Accent5 4 6 2 3" xfId="27543"/>
    <cellStyle name="40% - Accent5 4 6 2 3 2" xfId="27544"/>
    <cellStyle name="40% - Accent5 4 6 2 3 3" xfId="27545"/>
    <cellStyle name="40% - Accent5 4 6 2 4" xfId="27546"/>
    <cellStyle name="40% - Accent5 4 6 2 4 2" xfId="27547"/>
    <cellStyle name="40% - Accent5 4 6 2 5" xfId="27548"/>
    <cellStyle name="40% - Accent5 4 6 2 6" xfId="27549"/>
    <cellStyle name="40% - Accent5 4 6 3" xfId="27550"/>
    <cellStyle name="40% - Accent5 4 6 3 2" xfId="27551"/>
    <cellStyle name="40% - Accent5 4 6 3 2 2" xfId="27552"/>
    <cellStyle name="40% - Accent5 4 6 3 2 3" xfId="27553"/>
    <cellStyle name="40% - Accent5 4 6 3 3" xfId="27554"/>
    <cellStyle name="40% - Accent5 4 6 3 3 2" xfId="27555"/>
    <cellStyle name="40% - Accent5 4 6 3 3 3" xfId="27556"/>
    <cellStyle name="40% - Accent5 4 6 3 4" xfId="27557"/>
    <cellStyle name="40% - Accent5 4 6 3 4 2" xfId="27558"/>
    <cellStyle name="40% - Accent5 4 6 3 5" xfId="27559"/>
    <cellStyle name="40% - Accent5 4 6 3 6" xfId="27560"/>
    <cellStyle name="40% - Accent5 4 6 4" xfId="27561"/>
    <cellStyle name="40% - Accent5 4 6 4 2" xfId="27562"/>
    <cellStyle name="40% - Accent5 4 6 4 2 2" xfId="27563"/>
    <cellStyle name="40% - Accent5 4 6 4 2 3" xfId="27564"/>
    <cellStyle name="40% - Accent5 4 6 4 3" xfId="27565"/>
    <cellStyle name="40% - Accent5 4 6 4 3 2" xfId="27566"/>
    <cellStyle name="40% - Accent5 4 6 4 4" xfId="27567"/>
    <cellStyle name="40% - Accent5 4 6 4 5" xfId="27568"/>
    <cellStyle name="40% - Accent5 4 6 5" xfId="27569"/>
    <cellStyle name="40% - Accent5 4 6 5 2" xfId="27570"/>
    <cellStyle name="40% - Accent5 4 6 5 3" xfId="27571"/>
    <cellStyle name="40% - Accent5 4 6 6" xfId="27572"/>
    <cellStyle name="40% - Accent5 4 6 6 2" xfId="27573"/>
    <cellStyle name="40% - Accent5 4 6 6 3" xfId="27574"/>
    <cellStyle name="40% - Accent5 4 6 7" xfId="27575"/>
    <cellStyle name="40% - Accent5 4 6 7 2" xfId="27576"/>
    <cellStyle name="40% - Accent5 4 6 8" xfId="27577"/>
    <cellStyle name="40% - Accent5 4 6 9" xfId="27578"/>
    <cellStyle name="40% - Accent5 4 7" xfId="8998"/>
    <cellStyle name="40% - Accent5 4 7 2" xfId="27579"/>
    <cellStyle name="40% - Accent5 4 7 2 2" xfId="27580"/>
    <cellStyle name="40% - Accent5 4 7 2 2 2" xfId="27581"/>
    <cellStyle name="40% - Accent5 4 7 2 2 3" xfId="27582"/>
    <cellStyle name="40% - Accent5 4 7 2 3" xfId="27583"/>
    <cellStyle name="40% - Accent5 4 7 2 3 2" xfId="27584"/>
    <cellStyle name="40% - Accent5 4 7 2 3 3" xfId="27585"/>
    <cellStyle name="40% - Accent5 4 7 2 4" xfId="27586"/>
    <cellStyle name="40% - Accent5 4 7 2 4 2" xfId="27587"/>
    <cellStyle name="40% - Accent5 4 7 2 5" xfId="27588"/>
    <cellStyle name="40% - Accent5 4 7 2 6" xfId="27589"/>
    <cellStyle name="40% - Accent5 4 7 3" xfId="27590"/>
    <cellStyle name="40% - Accent5 4 7 3 2" xfId="27591"/>
    <cellStyle name="40% - Accent5 4 7 3 2 2" xfId="27592"/>
    <cellStyle name="40% - Accent5 4 7 3 2 3" xfId="27593"/>
    <cellStyle name="40% - Accent5 4 7 3 3" xfId="27594"/>
    <cellStyle name="40% - Accent5 4 7 3 3 2" xfId="27595"/>
    <cellStyle name="40% - Accent5 4 7 3 3 3" xfId="27596"/>
    <cellStyle name="40% - Accent5 4 7 3 4" xfId="27597"/>
    <cellStyle name="40% - Accent5 4 7 3 4 2" xfId="27598"/>
    <cellStyle name="40% - Accent5 4 7 3 5" xfId="27599"/>
    <cellStyle name="40% - Accent5 4 7 3 6" xfId="27600"/>
    <cellStyle name="40% - Accent5 4 7 4" xfId="27601"/>
    <cellStyle name="40% - Accent5 4 7 4 2" xfId="27602"/>
    <cellStyle name="40% - Accent5 4 7 4 2 2" xfId="27603"/>
    <cellStyle name="40% - Accent5 4 7 4 2 3" xfId="27604"/>
    <cellStyle name="40% - Accent5 4 7 4 3" xfId="27605"/>
    <cellStyle name="40% - Accent5 4 7 4 3 2" xfId="27606"/>
    <cellStyle name="40% - Accent5 4 7 4 4" xfId="27607"/>
    <cellStyle name="40% - Accent5 4 7 4 5" xfId="27608"/>
    <cellStyle name="40% - Accent5 4 7 5" xfId="27609"/>
    <cellStyle name="40% - Accent5 4 7 5 2" xfId="27610"/>
    <cellStyle name="40% - Accent5 4 7 5 3" xfId="27611"/>
    <cellStyle name="40% - Accent5 4 7 6" xfId="27612"/>
    <cellStyle name="40% - Accent5 4 7 6 2" xfId="27613"/>
    <cellStyle name="40% - Accent5 4 7 6 3" xfId="27614"/>
    <cellStyle name="40% - Accent5 4 7 7" xfId="27615"/>
    <cellStyle name="40% - Accent5 4 7 7 2" xfId="27616"/>
    <cellStyle name="40% - Accent5 4 7 8" xfId="27617"/>
    <cellStyle name="40% - Accent5 4 7 9" xfId="27618"/>
    <cellStyle name="40% - Accent5 4 8" xfId="27619"/>
    <cellStyle name="40% - Accent5 4 8 2" xfId="27620"/>
    <cellStyle name="40% - Accent5 4 8 2 2" xfId="27621"/>
    <cellStyle name="40% - Accent5 4 8 2 3" xfId="27622"/>
    <cellStyle name="40% - Accent5 4 8 3" xfId="27623"/>
    <cellStyle name="40% - Accent5 4 8 3 2" xfId="27624"/>
    <cellStyle name="40% - Accent5 4 8 3 3" xfId="27625"/>
    <cellStyle name="40% - Accent5 4 8 4" xfId="27626"/>
    <cellStyle name="40% - Accent5 4 8 4 2" xfId="27627"/>
    <cellStyle name="40% - Accent5 4 8 5" xfId="27628"/>
    <cellStyle name="40% - Accent5 4 8 6" xfId="27629"/>
    <cellStyle name="40% - Accent5 4 9" xfId="27630"/>
    <cellStyle name="40% - Accent5 4 9 2" xfId="27631"/>
    <cellStyle name="40% - Accent5 4 9 2 2" xfId="27632"/>
    <cellStyle name="40% - Accent5 4 9 2 3" xfId="27633"/>
    <cellStyle name="40% - Accent5 4 9 3" xfId="27634"/>
    <cellStyle name="40% - Accent5 4 9 3 2" xfId="27635"/>
    <cellStyle name="40% - Accent5 4 9 3 3" xfId="27636"/>
    <cellStyle name="40% - Accent5 4 9 4" xfId="27637"/>
    <cellStyle name="40% - Accent5 4 9 4 2" xfId="27638"/>
    <cellStyle name="40% - Accent5 4 9 5" xfId="27639"/>
    <cellStyle name="40% - Accent5 4 9 6" xfId="27640"/>
    <cellStyle name="40% - Accent5 5" xfId="2462"/>
    <cellStyle name="40% - Accent5 5 2" xfId="2463"/>
    <cellStyle name="40% - Accent5 5 2 2" xfId="2464"/>
    <cellStyle name="40% - Accent5 5 2 2 2" xfId="2465"/>
    <cellStyle name="40% - Accent5 5 2 2 2 2" xfId="2466"/>
    <cellStyle name="40% - Accent5 5 2 2 3" xfId="2467"/>
    <cellStyle name="40% - Accent5 5 2 3" xfId="2468"/>
    <cellStyle name="40% - Accent5 5 2 3 2" xfId="2469"/>
    <cellStyle name="40% - Accent5 5 2 4" xfId="2470"/>
    <cellStyle name="40% - Accent5 5 2 5" xfId="58102"/>
    <cellStyle name="40% - Accent5 5 3" xfId="2471"/>
    <cellStyle name="40% - Accent5 5 3 2" xfId="2472"/>
    <cellStyle name="40% - Accent5 5 3 2 2" xfId="2473"/>
    <cellStyle name="40% - Accent5 5 3 3" xfId="2474"/>
    <cellStyle name="40% - Accent5 5 4" xfId="2475"/>
    <cellStyle name="40% - Accent5 5 4 2" xfId="2476"/>
    <cellStyle name="40% - Accent5 5 5" xfId="2477"/>
    <cellStyle name="40% - Accent5 5 6" xfId="8999"/>
    <cellStyle name="40% - Accent5 6" xfId="2478"/>
    <cellStyle name="40% - Accent5 6 2" xfId="2479"/>
    <cellStyle name="40% - Accent5 6 2 2" xfId="2480"/>
    <cellStyle name="40% - Accent5 6 2 2 2" xfId="2481"/>
    <cellStyle name="40% - Accent5 6 2 3" xfId="2482"/>
    <cellStyle name="40% - Accent5 6 2 4" xfId="58103"/>
    <cellStyle name="40% - Accent5 6 2 5" xfId="58104"/>
    <cellStyle name="40% - Accent5 6 3" xfId="2483"/>
    <cellStyle name="40% - Accent5 6 3 2" xfId="2484"/>
    <cellStyle name="40% - Accent5 6 4" xfId="2485"/>
    <cellStyle name="40% - Accent5 6 5" xfId="58105"/>
    <cellStyle name="40% - Accent5 7" xfId="2486"/>
    <cellStyle name="40% - Accent5 7 2" xfId="2487"/>
    <cellStyle name="40% - Accent5 7 2 2" xfId="2488"/>
    <cellStyle name="40% - Accent5 7 2 2 2" xfId="2489"/>
    <cellStyle name="40% - Accent5 7 2 3" xfId="2490"/>
    <cellStyle name="40% - Accent5 7 3" xfId="2491"/>
    <cellStyle name="40% - Accent5 7 3 2" xfId="2492"/>
    <cellStyle name="40% - Accent5 7 4" xfId="2493"/>
    <cellStyle name="40% - Accent5 7 5" xfId="58106"/>
    <cellStyle name="40% - Accent5 8" xfId="2494"/>
    <cellStyle name="40% - Accent5 8 2" xfId="2495"/>
    <cellStyle name="40% - Accent5 8 2 2" xfId="2496"/>
    <cellStyle name="40% - Accent5 8 2 2 2" xfId="2497"/>
    <cellStyle name="40% - Accent5 8 2 3" xfId="2498"/>
    <cellStyle name="40% - Accent5 8 3" xfId="2499"/>
    <cellStyle name="40% - Accent5 8 3 2" xfId="2500"/>
    <cellStyle name="40% - Accent5 8 4" xfId="2501"/>
    <cellStyle name="40% - Accent5 8 5" xfId="58107"/>
    <cellStyle name="40% - Accent5 9" xfId="2502"/>
    <cellStyle name="40% - Accent5 9 2" xfId="2503"/>
    <cellStyle name="40% - Accent5 9 2 2" xfId="2504"/>
    <cellStyle name="40% - Accent5 9 3" xfId="2505"/>
    <cellStyle name="40% - Accent5 9 4" xfId="58108"/>
    <cellStyle name="40% - Accent6 10" xfId="2506"/>
    <cellStyle name="40% - Accent6 10 2" xfId="2507"/>
    <cellStyle name="40% - Accent6 10 2 2" xfId="2508"/>
    <cellStyle name="40% - Accent6 10 3" xfId="2509"/>
    <cellStyle name="40% - Accent6 10 4" xfId="58109"/>
    <cellStyle name="40% - Accent6 11" xfId="2510"/>
    <cellStyle name="40% - Accent6 11 2" xfId="2511"/>
    <cellStyle name="40% - Accent6 11 2 2" xfId="2512"/>
    <cellStyle name="40% - Accent6 11 3" xfId="2513"/>
    <cellStyle name="40% - Accent6 11 4" xfId="58110"/>
    <cellStyle name="40% - Accent6 12" xfId="2514"/>
    <cellStyle name="40% - Accent6 12 2" xfId="2515"/>
    <cellStyle name="40% - Accent6 12 3" xfId="58111"/>
    <cellStyle name="40% - Accent6 13" xfId="2516"/>
    <cellStyle name="40% - Accent6 13 2" xfId="58112"/>
    <cellStyle name="40% - Accent6 14" xfId="9000"/>
    <cellStyle name="40% - Accent6 15" xfId="9412"/>
    <cellStyle name="40% - Accent6 16" xfId="9413"/>
    <cellStyle name="40% - Accent6 17" xfId="9414"/>
    <cellStyle name="40% - Accent6 17 2" xfId="58113"/>
    <cellStyle name="40% - Accent6 18" xfId="58114"/>
    <cellStyle name="40% - Accent6 19" xfId="58115"/>
    <cellStyle name="40% - Accent6 2" xfId="2517"/>
    <cellStyle name="40% - Accent6 2 2" xfId="2518"/>
    <cellStyle name="40% - Accent6 2 2 2" xfId="2519"/>
    <cellStyle name="40% - Accent6 2 2 2 2" xfId="2520"/>
    <cellStyle name="40% - Accent6 2 2 2 2 2" xfId="2521"/>
    <cellStyle name="40% - Accent6 2 2 2 2 2 2" xfId="2522"/>
    <cellStyle name="40% - Accent6 2 2 2 2 2 2 2" xfId="2523"/>
    <cellStyle name="40% - Accent6 2 2 2 2 2 3" xfId="2524"/>
    <cellStyle name="40% - Accent6 2 2 2 2 3" xfId="2525"/>
    <cellStyle name="40% - Accent6 2 2 2 2 3 2" xfId="2526"/>
    <cellStyle name="40% - Accent6 2 2 2 2 4" xfId="2527"/>
    <cellStyle name="40% - Accent6 2 2 2 2 5" xfId="58116"/>
    <cellStyle name="40% - Accent6 2 2 2 3" xfId="2528"/>
    <cellStyle name="40% - Accent6 2 2 2 3 2" xfId="2529"/>
    <cellStyle name="40% - Accent6 2 2 2 3 2 2" xfId="2530"/>
    <cellStyle name="40% - Accent6 2 2 2 3 3" xfId="2531"/>
    <cellStyle name="40% - Accent6 2 2 2 4" xfId="2532"/>
    <cellStyle name="40% - Accent6 2 2 2 4 2" xfId="2533"/>
    <cellStyle name="40% - Accent6 2 2 2 5" xfId="2534"/>
    <cellStyle name="40% - Accent6 2 2 2 6" xfId="58117"/>
    <cellStyle name="40% - Accent6 2 2 3" xfId="2535"/>
    <cellStyle name="40% - Accent6 2 2 3 2" xfId="2536"/>
    <cellStyle name="40% - Accent6 2 2 3 2 2" xfId="2537"/>
    <cellStyle name="40% - Accent6 2 2 3 2 2 2" xfId="2538"/>
    <cellStyle name="40% - Accent6 2 2 3 2 3" xfId="2539"/>
    <cellStyle name="40% - Accent6 2 2 3 3" xfId="2540"/>
    <cellStyle name="40% - Accent6 2 2 3 3 2" xfId="2541"/>
    <cellStyle name="40% - Accent6 2 2 3 4" xfId="2542"/>
    <cellStyle name="40% - Accent6 2 2 3 5" xfId="58118"/>
    <cellStyle name="40% - Accent6 2 2 4" xfId="2543"/>
    <cellStyle name="40% - Accent6 2 2 4 2" xfId="2544"/>
    <cellStyle name="40% - Accent6 2 2 4 2 2" xfId="2545"/>
    <cellStyle name="40% - Accent6 2 2 4 3" xfId="2546"/>
    <cellStyle name="40% - Accent6 2 2 5" xfId="2547"/>
    <cellStyle name="40% - Accent6 2 2 5 2" xfId="2548"/>
    <cellStyle name="40% - Accent6 2 2 6" xfId="2549"/>
    <cellStyle name="40% - Accent6 2 2 7" xfId="58119"/>
    <cellStyle name="40% - Accent6 2 3" xfId="2550"/>
    <cellStyle name="40% - Accent6 2 3 2" xfId="2551"/>
    <cellStyle name="40% - Accent6 2 3 2 2" xfId="2552"/>
    <cellStyle name="40% - Accent6 2 3 2 2 2" xfId="2553"/>
    <cellStyle name="40% - Accent6 2 3 2 2 2 2" xfId="2554"/>
    <cellStyle name="40% - Accent6 2 3 2 2 3" xfId="2555"/>
    <cellStyle name="40% - Accent6 2 3 2 3" xfId="2556"/>
    <cellStyle name="40% - Accent6 2 3 2 3 2" xfId="2557"/>
    <cellStyle name="40% - Accent6 2 3 2 4" xfId="2558"/>
    <cellStyle name="40% - Accent6 2 3 3" xfId="2559"/>
    <cellStyle name="40% - Accent6 2 3 3 2" xfId="2560"/>
    <cellStyle name="40% - Accent6 2 3 3 2 2" xfId="2561"/>
    <cellStyle name="40% - Accent6 2 3 3 3" xfId="2562"/>
    <cellStyle name="40% - Accent6 2 3 4" xfId="2563"/>
    <cellStyle name="40% - Accent6 2 3 4 2" xfId="2564"/>
    <cellStyle name="40% - Accent6 2 3 5" xfId="2565"/>
    <cellStyle name="40% - Accent6 2 3 6" xfId="58120"/>
    <cellStyle name="40% - Accent6 2 4" xfId="2566"/>
    <cellStyle name="40% - Accent6 2 4 2" xfId="2567"/>
    <cellStyle name="40% - Accent6 2 4 2 2" xfId="2568"/>
    <cellStyle name="40% - Accent6 2 4 2 2 2" xfId="2569"/>
    <cellStyle name="40% - Accent6 2 4 2 3" xfId="2570"/>
    <cellStyle name="40% - Accent6 2 4 3" xfId="2571"/>
    <cellStyle name="40% - Accent6 2 4 3 2" xfId="2572"/>
    <cellStyle name="40% - Accent6 2 4 4" xfId="2573"/>
    <cellStyle name="40% - Accent6 2 4 5" xfId="58121"/>
    <cellStyle name="40% - Accent6 2 5" xfId="2574"/>
    <cellStyle name="40% - Accent6 2 5 2" xfId="2575"/>
    <cellStyle name="40% - Accent6 2 5 2 2" xfId="2576"/>
    <cellStyle name="40% - Accent6 2 5 3" xfId="2577"/>
    <cellStyle name="40% - Accent6 2 5 4" xfId="58122"/>
    <cellStyle name="40% - Accent6 2 6" xfId="2578"/>
    <cellStyle name="40% - Accent6 2 6 2" xfId="2579"/>
    <cellStyle name="40% - Accent6 2 6 3" xfId="58123"/>
    <cellStyle name="40% - Accent6 2 7" xfId="2580"/>
    <cellStyle name="40% - Accent6 2 8" xfId="2581"/>
    <cellStyle name="40% - Accent6 2 9" xfId="58124"/>
    <cellStyle name="40% - Accent6 20" xfId="58125"/>
    <cellStyle name="40% - Accent6 21" xfId="58126"/>
    <cellStyle name="40% - Accent6 3" xfId="2582"/>
    <cellStyle name="40% - Accent6 3 2" xfId="2583"/>
    <cellStyle name="40% - Accent6 3 2 2" xfId="2584"/>
    <cellStyle name="40% - Accent6 3 2 2 2" xfId="2585"/>
    <cellStyle name="40% - Accent6 3 2 2 2 2" xfId="2586"/>
    <cellStyle name="40% - Accent6 3 2 2 2 2 2" xfId="2587"/>
    <cellStyle name="40% - Accent6 3 2 2 2 2 2 2" xfId="2588"/>
    <cellStyle name="40% - Accent6 3 2 2 2 2 3" xfId="2589"/>
    <cellStyle name="40% - Accent6 3 2 2 2 3" xfId="2590"/>
    <cellStyle name="40% - Accent6 3 2 2 2 3 2" xfId="2591"/>
    <cellStyle name="40% - Accent6 3 2 2 2 4" xfId="2592"/>
    <cellStyle name="40% - Accent6 3 2 2 2 5" xfId="9001"/>
    <cellStyle name="40% - Accent6 3 2 2 3" xfId="2593"/>
    <cellStyle name="40% - Accent6 3 2 2 3 2" xfId="2594"/>
    <cellStyle name="40% - Accent6 3 2 2 3 2 2" xfId="2595"/>
    <cellStyle name="40% - Accent6 3 2 2 3 3" xfId="2596"/>
    <cellStyle name="40% - Accent6 3 2 2 4" xfId="2597"/>
    <cellStyle name="40% - Accent6 3 2 2 4 2" xfId="2598"/>
    <cellStyle name="40% - Accent6 3 2 2 5" xfId="2599"/>
    <cellStyle name="40% - Accent6 3 2 2 6" xfId="9002"/>
    <cellStyle name="40% - Accent6 3 2 3" xfId="2600"/>
    <cellStyle name="40% - Accent6 3 2 3 2" xfId="2601"/>
    <cellStyle name="40% - Accent6 3 2 3 2 2" xfId="2602"/>
    <cellStyle name="40% - Accent6 3 2 3 2 2 2" xfId="2603"/>
    <cellStyle name="40% - Accent6 3 2 3 2 3" xfId="2604"/>
    <cellStyle name="40% - Accent6 3 2 3 3" xfId="2605"/>
    <cellStyle name="40% - Accent6 3 2 3 3 2" xfId="2606"/>
    <cellStyle name="40% - Accent6 3 2 3 4" xfId="2607"/>
    <cellStyle name="40% - Accent6 3 2 3 5" xfId="9003"/>
    <cellStyle name="40% - Accent6 3 2 4" xfId="2608"/>
    <cellStyle name="40% - Accent6 3 2 4 2" xfId="2609"/>
    <cellStyle name="40% - Accent6 3 2 4 2 2" xfId="2610"/>
    <cellStyle name="40% - Accent6 3 2 4 3" xfId="2611"/>
    <cellStyle name="40% - Accent6 3 2 5" xfId="2612"/>
    <cellStyle name="40% - Accent6 3 2 5 2" xfId="2613"/>
    <cellStyle name="40% - Accent6 3 2 6" xfId="2614"/>
    <cellStyle name="40% - Accent6 3 2 7" xfId="9004"/>
    <cellStyle name="40% - Accent6 3 3" xfId="2615"/>
    <cellStyle name="40% - Accent6 3 3 2" xfId="2616"/>
    <cellStyle name="40% - Accent6 3 3 2 2" xfId="2617"/>
    <cellStyle name="40% - Accent6 3 3 2 2 2" xfId="2618"/>
    <cellStyle name="40% - Accent6 3 3 2 2 2 2" xfId="2619"/>
    <cellStyle name="40% - Accent6 3 3 2 2 3" xfId="2620"/>
    <cellStyle name="40% - Accent6 3 3 2 3" xfId="2621"/>
    <cellStyle name="40% - Accent6 3 3 2 3 2" xfId="2622"/>
    <cellStyle name="40% - Accent6 3 3 2 4" xfId="2623"/>
    <cellStyle name="40% - Accent6 3 3 2 5" xfId="9005"/>
    <cellStyle name="40% - Accent6 3 3 3" xfId="2624"/>
    <cellStyle name="40% - Accent6 3 3 3 2" xfId="2625"/>
    <cellStyle name="40% - Accent6 3 3 3 2 2" xfId="2626"/>
    <cellStyle name="40% - Accent6 3 3 3 3" xfId="2627"/>
    <cellStyle name="40% - Accent6 3 3 4" xfId="2628"/>
    <cellStyle name="40% - Accent6 3 3 4 2" xfId="2629"/>
    <cellStyle name="40% - Accent6 3 3 5" xfId="2630"/>
    <cellStyle name="40% - Accent6 3 3 6" xfId="9006"/>
    <cellStyle name="40% - Accent6 3 4" xfId="2631"/>
    <cellStyle name="40% - Accent6 3 4 2" xfId="2632"/>
    <cellStyle name="40% - Accent6 3 4 2 2" xfId="2633"/>
    <cellStyle name="40% - Accent6 3 4 2 2 2" xfId="2634"/>
    <cellStyle name="40% - Accent6 3 4 2 3" xfId="2635"/>
    <cellStyle name="40% - Accent6 3 4 3" xfId="2636"/>
    <cellStyle name="40% - Accent6 3 4 3 2" xfId="2637"/>
    <cellStyle name="40% - Accent6 3 4 4" xfId="2638"/>
    <cellStyle name="40% - Accent6 3 4 5" xfId="9007"/>
    <cellStyle name="40% - Accent6 3 5" xfId="2639"/>
    <cellStyle name="40% - Accent6 3 5 2" xfId="2640"/>
    <cellStyle name="40% - Accent6 3 5 2 2" xfId="2641"/>
    <cellStyle name="40% - Accent6 3 5 3" xfId="2642"/>
    <cellStyle name="40% - Accent6 3 6" xfId="2643"/>
    <cellStyle name="40% - Accent6 3 6 2" xfId="2644"/>
    <cellStyle name="40% - Accent6 3 7" xfId="2645"/>
    <cellStyle name="40% - Accent6 3 8" xfId="2646"/>
    <cellStyle name="40% - Accent6 3 9" xfId="9008"/>
    <cellStyle name="40% - Accent6 4" xfId="2647"/>
    <cellStyle name="40% - Accent6 4 10" xfId="27641"/>
    <cellStyle name="40% - Accent6 4 10 2" xfId="27642"/>
    <cellStyle name="40% - Accent6 4 10 2 2" xfId="27643"/>
    <cellStyle name="40% - Accent6 4 10 2 3" xfId="27644"/>
    <cellStyle name="40% - Accent6 4 10 3" xfId="27645"/>
    <cellStyle name="40% - Accent6 4 10 3 2" xfId="27646"/>
    <cellStyle name="40% - Accent6 4 10 4" xfId="27647"/>
    <cellStyle name="40% - Accent6 4 10 5" xfId="27648"/>
    <cellStyle name="40% - Accent6 4 11" xfId="27649"/>
    <cellStyle name="40% - Accent6 4 11 2" xfId="27650"/>
    <cellStyle name="40% - Accent6 4 11 3" xfId="27651"/>
    <cellStyle name="40% - Accent6 4 12" xfId="27652"/>
    <cellStyle name="40% - Accent6 4 12 2" xfId="27653"/>
    <cellStyle name="40% - Accent6 4 12 3" xfId="27654"/>
    <cellStyle name="40% - Accent6 4 13" xfId="27655"/>
    <cellStyle name="40% - Accent6 4 13 2" xfId="27656"/>
    <cellStyle name="40% - Accent6 4 14" xfId="27657"/>
    <cellStyle name="40% - Accent6 4 15" xfId="27658"/>
    <cellStyle name="40% - Accent6 4 16" xfId="27659"/>
    <cellStyle name="40% - Accent6 4 2" xfId="2648"/>
    <cellStyle name="40% - Accent6 4 2 10" xfId="27660"/>
    <cellStyle name="40% - Accent6 4 2 10 2" xfId="27661"/>
    <cellStyle name="40% - Accent6 4 2 10 3" xfId="27662"/>
    <cellStyle name="40% - Accent6 4 2 11" xfId="27663"/>
    <cellStyle name="40% - Accent6 4 2 11 2" xfId="27664"/>
    <cellStyle name="40% - Accent6 4 2 11 3" xfId="27665"/>
    <cellStyle name="40% - Accent6 4 2 12" xfId="27666"/>
    <cellStyle name="40% - Accent6 4 2 12 2" xfId="27667"/>
    <cellStyle name="40% - Accent6 4 2 13" xfId="27668"/>
    <cellStyle name="40% - Accent6 4 2 14" xfId="27669"/>
    <cellStyle name="40% - Accent6 4 2 15" xfId="27670"/>
    <cellStyle name="40% - Accent6 4 2 2" xfId="2649"/>
    <cellStyle name="40% - Accent6 4 2 2 10" xfId="27671"/>
    <cellStyle name="40% - Accent6 4 2 2 10 2" xfId="27672"/>
    <cellStyle name="40% - Accent6 4 2 2 10 3" xfId="27673"/>
    <cellStyle name="40% - Accent6 4 2 2 11" xfId="27674"/>
    <cellStyle name="40% - Accent6 4 2 2 11 2" xfId="27675"/>
    <cellStyle name="40% - Accent6 4 2 2 12" xfId="27676"/>
    <cellStyle name="40% - Accent6 4 2 2 13" xfId="27677"/>
    <cellStyle name="40% - Accent6 4 2 2 2" xfId="2650"/>
    <cellStyle name="40% - Accent6 4 2 2 2 10" xfId="27678"/>
    <cellStyle name="40% - Accent6 4 2 2 2 10 2" xfId="27679"/>
    <cellStyle name="40% - Accent6 4 2 2 2 11" xfId="27680"/>
    <cellStyle name="40% - Accent6 4 2 2 2 12" xfId="27681"/>
    <cellStyle name="40% - Accent6 4 2 2 2 2" xfId="2651"/>
    <cellStyle name="40% - Accent6 4 2 2 2 2 10" xfId="27682"/>
    <cellStyle name="40% - Accent6 4 2 2 2 2 2" xfId="2652"/>
    <cellStyle name="40% - Accent6 4 2 2 2 2 2 2" xfId="27683"/>
    <cellStyle name="40% - Accent6 4 2 2 2 2 2 2 2" xfId="27684"/>
    <cellStyle name="40% - Accent6 4 2 2 2 2 2 2 2 2" xfId="27685"/>
    <cellStyle name="40% - Accent6 4 2 2 2 2 2 2 2 3" xfId="27686"/>
    <cellStyle name="40% - Accent6 4 2 2 2 2 2 2 3" xfId="27687"/>
    <cellStyle name="40% - Accent6 4 2 2 2 2 2 2 3 2" xfId="27688"/>
    <cellStyle name="40% - Accent6 4 2 2 2 2 2 2 3 3" xfId="27689"/>
    <cellStyle name="40% - Accent6 4 2 2 2 2 2 2 4" xfId="27690"/>
    <cellStyle name="40% - Accent6 4 2 2 2 2 2 2 4 2" xfId="27691"/>
    <cellStyle name="40% - Accent6 4 2 2 2 2 2 2 5" xfId="27692"/>
    <cellStyle name="40% - Accent6 4 2 2 2 2 2 2 6" xfId="27693"/>
    <cellStyle name="40% - Accent6 4 2 2 2 2 2 3" xfId="27694"/>
    <cellStyle name="40% - Accent6 4 2 2 2 2 2 3 2" xfId="27695"/>
    <cellStyle name="40% - Accent6 4 2 2 2 2 2 3 2 2" xfId="27696"/>
    <cellStyle name="40% - Accent6 4 2 2 2 2 2 3 2 3" xfId="27697"/>
    <cellStyle name="40% - Accent6 4 2 2 2 2 2 3 3" xfId="27698"/>
    <cellStyle name="40% - Accent6 4 2 2 2 2 2 3 3 2" xfId="27699"/>
    <cellStyle name="40% - Accent6 4 2 2 2 2 2 3 3 3" xfId="27700"/>
    <cellStyle name="40% - Accent6 4 2 2 2 2 2 3 4" xfId="27701"/>
    <cellStyle name="40% - Accent6 4 2 2 2 2 2 3 4 2" xfId="27702"/>
    <cellStyle name="40% - Accent6 4 2 2 2 2 2 3 5" xfId="27703"/>
    <cellStyle name="40% - Accent6 4 2 2 2 2 2 3 6" xfId="27704"/>
    <cellStyle name="40% - Accent6 4 2 2 2 2 2 4" xfId="27705"/>
    <cellStyle name="40% - Accent6 4 2 2 2 2 2 4 2" xfId="27706"/>
    <cellStyle name="40% - Accent6 4 2 2 2 2 2 4 2 2" xfId="27707"/>
    <cellStyle name="40% - Accent6 4 2 2 2 2 2 4 2 3" xfId="27708"/>
    <cellStyle name="40% - Accent6 4 2 2 2 2 2 4 3" xfId="27709"/>
    <cellStyle name="40% - Accent6 4 2 2 2 2 2 4 3 2" xfId="27710"/>
    <cellStyle name="40% - Accent6 4 2 2 2 2 2 4 4" xfId="27711"/>
    <cellStyle name="40% - Accent6 4 2 2 2 2 2 4 5" xfId="27712"/>
    <cellStyle name="40% - Accent6 4 2 2 2 2 2 5" xfId="27713"/>
    <cellStyle name="40% - Accent6 4 2 2 2 2 2 5 2" xfId="27714"/>
    <cellStyle name="40% - Accent6 4 2 2 2 2 2 5 3" xfId="27715"/>
    <cellStyle name="40% - Accent6 4 2 2 2 2 2 6" xfId="27716"/>
    <cellStyle name="40% - Accent6 4 2 2 2 2 2 6 2" xfId="27717"/>
    <cellStyle name="40% - Accent6 4 2 2 2 2 2 6 3" xfId="27718"/>
    <cellStyle name="40% - Accent6 4 2 2 2 2 2 7" xfId="27719"/>
    <cellStyle name="40% - Accent6 4 2 2 2 2 2 7 2" xfId="27720"/>
    <cellStyle name="40% - Accent6 4 2 2 2 2 2 8" xfId="27721"/>
    <cellStyle name="40% - Accent6 4 2 2 2 2 2 9" xfId="27722"/>
    <cellStyle name="40% - Accent6 4 2 2 2 2 3" xfId="27723"/>
    <cellStyle name="40% - Accent6 4 2 2 2 2 3 2" xfId="27724"/>
    <cellStyle name="40% - Accent6 4 2 2 2 2 3 2 2" xfId="27725"/>
    <cellStyle name="40% - Accent6 4 2 2 2 2 3 2 3" xfId="27726"/>
    <cellStyle name="40% - Accent6 4 2 2 2 2 3 3" xfId="27727"/>
    <cellStyle name="40% - Accent6 4 2 2 2 2 3 3 2" xfId="27728"/>
    <cellStyle name="40% - Accent6 4 2 2 2 2 3 3 3" xfId="27729"/>
    <cellStyle name="40% - Accent6 4 2 2 2 2 3 4" xfId="27730"/>
    <cellStyle name="40% - Accent6 4 2 2 2 2 3 4 2" xfId="27731"/>
    <cellStyle name="40% - Accent6 4 2 2 2 2 3 5" xfId="27732"/>
    <cellStyle name="40% - Accent6 4 2 2 2 2 3 6" xfId="27733"/>
    <cellStyle name="40% - Accent6 4 2 2 2 2 4" xfId="27734"/>
    <cellStyle name="40% - Accent6 4 2 2 2 2 4 2" xfId="27735"/>
    <cellStyle name="40% - Accent6 4 2 2 2 2 4 2 2" xfId="27736"/>
    <cellStyle name="40% - Accent6 4 2 2 2 2 4 2 3" xfId="27737"/>
    <cellStyle name="40% - Accent6 4 2 2 2 2 4 3" xfId="27738"/>
    <cellStyle name="40% - Accent6 4 2 2 2 2 4 3 2" xfId="27739"/>
    <cellStyle name="40% - Accent6 4 2 2 2 2 4 3 3" xfId="27740"/>
    <cellStyle name="40% - Accent6 4 2 2 2 2 4 4" xfId="27741"/>
    <cellStyle name="40% - Accent6 4 2 2 2 2 4 4 2" xfId="27742"/>
    <cellStyle name="40% - Accent6 4 2 2 2 2 4 5" xfId="27743"/>
    <cellStyle name="40% - Accent6 4 2 2 2 2 4 6" xfId="27744"/>
    <cellStyle name="40% - Accent6 4 2 2 2 2 5" xfId="27745"/>
    <cellStyle name="40% - Accent6 4 2 2 2 2 5 2" xfId="27746"/>
    <cellStyle name="40% - Accent6 4 2 2 2 2 5 2 2" xfId="27747"/>
    <cellStyle name="40% - Accent6 4 2 2 2 2 5 2 3" xfId="27748"/>
    <cellStyle name="40% - Accent6 4 2 2 2 2 5 3" xfId="27749"/>
    <cellStyle name="40% - Accent6 4 2 2 2 2 5 3 2" xfId="27750"/>
    <cellStyle name="40% - Accent6 4 2 2 2 2 5 4" xfId="27751"/>
    <cellStyle name="40% - Accent6 4 2 2 2 2 5 5" xfId="27752"/>
    <cellStyle name="40% - Accent6 4 2 2 2 2 6" xfId="27753"/>
    <cellStyle name="40% - Accent6 4 2 2 2 2 6 2" xfId="27754"/>
    <cellStyle name="40% - Accent6 4 2 2 2 2 6 3" xfId="27755"/>
    <cellStyle name="40% - Accent6 4 2 2 2 2 7" xfId="27756"/>
    <cellStyle name="40% - Accent6 4 2 2 2 2 7 2" xfId="27757"/>
    <cellStyle name="40% - Accent6 4 2 2 2 2 7 3" xfId="27758"/>
    <cellStyle name="40% - Accent6 4 2 2 2 2 8" xfId="27759"/>
    <cellStyle name="40% - Accent6 4 2 2 2 2 8 2" xfId="27760"/>
    <cellStyle name="40% - Accent6 4 2 2 2 2 9" xfId="27761"/>
    <cellStyle name="40% - Accent6 4 2 2 2 3" xfId="2653"/>
    <cellStyle name="40% - Accent6 4 2 2 2 3 2" xfId="27762"/>
    <cellStyle name="40% - Accent6 4 2 2 2 3 2 2" xfId="27763"/>
    <cellStyle name="40% - Accent6 4 2 2 2 3 2 2 2" xfId="27764"/>
    <cellStyle name="40% - Accent6 4 2 2 2 3 2 2 3" xfId="27765"/>
    <cellStyle name="40% - Accent6 4 2 2 2 3 2 3" xfId="27766"/>
    <cellStyle name="40% - Accent6 4 2 2 2 3 2 3 2" xfId="27767"/>
    <cellStyle name="40% - Accent6 4 2 2 2 3 2 3 3" xfId="27768"/>
    <cellStyle name="40% - Accent6 4 2 2 2 3 2 4" xfId="27769"/>
    <cellStyle name="40% - Accent6 4 2 2 2 3 2 4 2" xfId="27770"/>
    <cellStyle name="40% - Accent6 4 2 2 2 3 2 5" xfId="27771"/>
    <cellStyle name="40% - Accent6 4 2 2 2 3 2 6" xfId="27772"/>
    <cellStyle name="40% - Accent6 4 2 2 2 3 3" xfId="27773"/>
    <cellStyle name="40% - Accent6 4 2 2 2 3 3 2" xfId="27774"/>
    <cellStyle name="40% - Accent6 4 2 2 2 3 3 2 2" xfId="27775"/>
    <cellStyle name="40% - Accent6 4 2 2 2 3 3 2 3" xfId="27776"/>
    <cellStyle name="40% - Accent6 4 2 2 2 3 3 3" xfId="27777"/>
    <cellStyle name="40% - Accent6 4 2 2 2 3 3 3 2" xfId="27778"/>
    <cellStyle name="40% - Accent6 4 2 2 2 3 3 3 3" xfId="27779"/>
    <cellStyle name="40% - Accent6 4 2 2 2 3 3 4" xfId="27780"/>
    <cellStyle name="40% - Accent6 4 2 2 2 3 3 4 2" xfId="27781"/>
    <cellStyle name="40% - Accent6 4 2 2 2 3 3 5" xfId="27782"/>
    <cellStyle name="40% - Accent6 4 2 2 2 3 3 6" xfId="27783"/>
    <cellStyle name="40% - Accent6 4 2 2 2 3 4" xfId="27784"/>
    <cellStyle name="40% - Accent6 4 2 2 2 3 4 2" xfId="27785"/>
    <cellStyle name="40% - Accent6 4 2 2 2 3 4 2 2" xfId="27786"/>
    <cellStyle name="40% - Accent6 4 2 2 2 3 4 2 3" xfId="27787"/>
    <cellStyle name="40% - Accent6 4 2 2 2 3 4 3" xfId="27788"/>
    <cellStyle name="40% - Accent6 4 2 2 2 3 4 3 2" xfId="27789"/>
    <cellStyle name="40% - Accent6 4 2 2 2 3 4 4" xfId="27790"/>
    <cellStyle name="40% - Accent6 4 2 2 2 3 4 5" xfId="27791"/>
    <cellStyle name="40% - Accent6 4 2 2 2 3 5" xfId="27792"/>
    <cellStyle name="40% - Accent6 4 2 2 2 3 5 2" xfId="27793"/>
    <cellStyle name="40% - Accent6 4 2 2 2 3 5 3" xfId="27794"/>
    <cellStyle name="40% - Accent6 4 2 2 2 3 6" xfId="27795"/>
    <cellStyle name="40% - Accent6 4 2 2 2 3 6 2" xfId="27796"/>
    <cellStyle name="40% - Accent6 4 2 2 2 3 6 3" xfId="27797"/>
    <cellStyle name="40% - Accent6 4 2 2 2 3 7" xfId="27798"/>
    <cellStyle name="40% - Accent6 4 2 2 2 3 7 2" xfId="27799"/>
    <cellStyle name="40% - Accent6 4 2 2 2 3 8" xfId="27800"/>
    <cellStyle name="40% - Accent6 4 2 2 2 3 9" xfId="27801"/>
    <cellStyle name="40% - Accent6 4 2 2 2 4" xfId="27802"/>
    <cellStyle name="40% - Accent6 4 2 2 2 4 2" xfId="27803"/>
    <cellStyle name="40% - Accent6 4 2 2 2 4 2 2" xfId="27804"/>
    <cellStyle name="40% - Accent6 4 2 2 2 4 2 2 2" xfId="27805"/>
    <cellStyle name="40% - Accent6 4 2 2 2 4 2 2 3" xfId="27806"/>
    <cellStyle name="40% - Accent6 4 2 2 2 4 2 3" xfId="27807"/>
    <cellStyle name="40% - Accent6 4 2 2 2 4 2 3 2" xfId="27808"/>
    <cellStyle name="40% - Accent6 4 2 2 2 4 2 3 3" xfId="27809"/>
    <cellStyle name="40% - Accent6 4 2 2 2 4 2 4" xfId="27810"/>
    <cellStyle name="40% - Accent6 4 2 2 2 4 2 4 2" xfId="27811"/>
    <cellStyle name="40% - Accent6 4 2 2 2 4 2 5" xfId="27812"/>
    <cellStyle name="40% - Accent6 4 2 2 2 4 2 6" xfId="27813"/>
    <cellStyle name="40% - Accent6 4 2 2 2 4 3" xfId="27814"/>
    <cellStyle name="40% - Accent6 4 2 2 2 4 3 2" xfId="27815"/>
    <cellStyle name="40% - Accent6 4 2 2 2 4 3 2 2" xfId="27816"/>
    <cellStyle name="40% - Accent6 4 2 2 2 4 3 2 3" xfId="27817"/>
    <cellStyle name="40% - Accent6 4 2 2 2 4 3 3" xfId="27818"/>
    <cellStyle name="40% - Accent6 4 2 2 2 4 3 3 2" xfId="27819"/>
    <cellStyle name="40% - Accent6 4 2 2 2 4 3 3 3" xfId="27820"/>
    <cellStyle name="40% - Accent6 4 2 2 2 4 3 4" xfId="27821"/>
    <cellStyle name="40% - Accent6 4 2 2 2 4 3 4 2" xfId="27822"/>
    <cellStyle name="40% - Accent6 4 2 2 2 4 3 5" xfId="27823"/>
    <cellStyle name="40% - Accent6 4 2 2 2 4 3 6" xfId="27824"/>
    <cellStyle name="40% - Accent6 4 2 2 2 4 4" xfId="27825"/>
    <cellStyle name="40% - Accent6 4 2 2 2 4 4 2" xfId="27826"/>
    <cellStyle name="40% - Accent6 4 2 2 2 4 4 2 2" xfId="27827"/>
    <cellStyle name="40% - Accent6 4 2 2 2 4 4 2 3" xfId="27828"/>
    <cellStyle name="40% - Accent6 4 2 2 2 4 4 3" xfId="27829"/>
    <cellStyle name="40% - Accent6 4 2 2 2 4 4 3 2" xfId="27830"/>
    <cellStyle name="40% - Accent6 4 2 2 2 4 4 4" xfId="27831"/>
    <cellStyle name="40% - Accent6 4 2 2 2 4 4 5" xfId="27832"/>
    <cellStyle name="40% - Accent6 4 2 2 2 4 5" xfId="27833"/>
    <cellStyle name="40% - Accent6 4 2 2 2 4 5 2" xfId="27834"/>
    <cellStyle name="40% - Accent6 4 2 2 2 4 5 3" xfId="27835"/>
    <cellStyle name="40% - Accent6 4 2 2 2 4 6" xfId="27836"/>
    <cellStyle name="40% - Accent6 4 2 2 2 4 6 2" xfId="27837"/>
    <cellStyle name="40% - Accent6 4 2 2 2 4 6 3" xfId="27838"/>
    <cellStyle name="40% - Accent6 4 2 2 2 4 7" xfId="27839"/>
    <cellStyle name="40% - Accent6 4 2 2 2 4 7 2" xfId="27840"/>
    <cellStyle name="40% - Accent6 4 2 2 2 4 8" xfId="27841"/>
    <cellStyle name="40% - Accent6 4 2 2 2 4 9" xfId="27842"/>
    <cellStyle name="40% - Accent6 4 2 2 2 5" xfId="27843"/>
    <cellStyle name="40% - Accent6 4 2 2 2 5 2" xfId="27844"/>
    <cellStyle name="40% - Accent6 4 2 2 2 5 2 2" xfId="27845"/>
    <cellStyle name="40% - Accent6 4 2 2 2 5 2 3" xfId="27846"/>
    <cellStyle name="40% - Accent6 4 2 2 2 5 3" xfId="27847"/>
    <cellStyle name="40% - Accent6 4 2 2 2 5 3 2" xfId="27848"/>
    <cellStyle name="40% - Accent6 4 2 2 2 5 3 3" xfId="27849"/>
    <cellStyle name="40% - Accent6 4 2 2 2 5 4" xfId="27850"/>
    <cellStyle name="40% - Accent6 4 2 2 2 5 4 2" xfId="27851"/>
    <cellStyle name="40% - Accent6 4 2 2 2 5 5" xfId="27852"/>
    <cellStyle name="40% - Accent6 4 2 2 2 5 6" xfId="27853"/>
    <cellStyle name="40% - Accent6 4 2 2 2 6" xfId="27854"/>
    <cellStyle name="40% - Accent6 4 2 2 2 6 2" xfId="27855"/>
    <cellStyle name="40% - Accent6 4 2 2 2 6 2 2" xfId="27856"/>
    <cellStyle name="40% - Accent6 4 2 2 2 6 2 3" xfId="27857"/>
    <cellStyle name="40% - Accent6 4 2 2 2 6 3" xfId="27858"/>
    <cellStyle name="40% - Accent6 4 2 2 2 6 3 2" xfId="27859"/>
    <cellStyle name="40% - Accent6 4 2 2 2 6 3 3" xfId="27860"/>
    <cellStyle name="40% - Accent6 4 2 2 2 6 4" xfId="27861"/>
    <cellStyle name="40% - Accent6 4 2 2 2 6 4 2" xfId="27862"/>
    <cellStyle name="40% - Accent6 4 2 2 2 6 5" xfId="27863"/>
    <cellStyle name="40% - Accent6 4 2 2 2 6 6" xfId="27864"/>
    <cellStyle name="40% - Accent6 4 2 2 2 7" xfId="27865"/>
    <cellStyle name="40% - Accent6 4 2 2 2 7 2" xfId="27866"/>
    <cellStyle name="40% - Accent6 4 2 2 2 7 2 2" xfId="27867"/>
    <cellStyle name="40% - Accent6 4 2 2 2 7 2 3" xfId="27868"/>
    <cellStyle name="40% - Accent6 4 2 2 2 7 3" xfId="27869"/>
    <cellStyle name="40% - Accent6 4 2 2 2 7 3 2" xfId="27870"/>
    <cellStyle name="40% - Accent6 4 2 2 2 7 4" xfId="27871"/>
    <cellStyle name="40% - Accent6 4 2 2 2 7 5" xfId="27872"/>
    <cellStyle name="40% - Accent6 4 2 2 2 8" xfId="27873"/>
    <cellStyle name="40% - Accent6 4 2 2 2 8 2" xfId="27874"/>
    <cellStyle name="40% - Accent6 4 2 2 2 8 3" xfId="27875"/>
    <cellStyle name="40% - Accent6 4 2 2 2 9" xfId="27876"/>
    <cellStyle name="40% - Accent6 4 2 2 2 9 2" xfId="27877"/>
    <cellStyle name="40% - Accent6 4 2 2 2 9 3" xfId="27878"/>
    <cellStyle name="40% - Accent6 4 2 2 3" xfId="2654"/>
    <cellStyle name="40% - Accent6 4 2 2 3 10" xfId="27879"/>
    <cellStyle name="40% - Accent6 4 2 2 3 2" xfId="2655"/>
    <cellStyle name="40% - Accent6 4 2 2 3 2 2" xfId="27880"/>
    <cellStyle name="40% - Accent6 4 2 2 3 2 2 2" xfId="27881"/>
    <cellStyle name="40% - Accent6 4 2 2 3 2 2 2 2" xfId="27882"/>
    <cellStyle name="40% - Accent6 4 2 2 3 2 2 2 3" xfId="27883"/>
    <cellStyle name="40% - Accent6 4 2 2 3 2 2 3" xfId="27884"/>
    <cellStyle name="40% - Accent6 4 2 2 3 2 2 3 2" xfId="27885"/>
    <cellStyle name="40% - Accent6 4 2 2 3 2 2 3 3" xfId="27886"/>
    <cellStyle name="40% - Accent6 4 2 2 3 2 2 4" xfId="27887"/>
    <cellStyle name="40% - Accent6 4 2 2 3 2 2 4 2" xfId="27888"/>
    <cellStyle name="40% - Accent6 4 2 2 3 2 2 5" xfId="27889"/>
    <cellStyle name="40% - Accent6 4 2 2 3 2 2 6" xfId="27890"/>
    <cellStyle name="40% - Accent6 4 2 2 3 2 3" xfId="27891"/>
    <cellStyle name="40% - Accent6 4 2 2 3 2 3 2" xfId="27892"/>
    <cellStyle name="40% - Accent6 4 2 2 3 2 3 2 2" xfId="27893"/>
    <cellStyle name="40% - Accent6 4 2 2 3 2 3 2 3" xfId="27894"/>
    <cellStyle name="40% - Accent6 4 2 2 3 2 3 3" xfId="27895"/>
    <cellStyle name="40% - Accent6 4 2 2 3 2 3 3 2" xfId="27896"/>
    <cellStyle name="40% - Accent6 4 2 2 3 2 3 3 3" xfId="27897"/>
    <cellStyle name="40% - Accent6 4 2 2 3 2 3 4" xfId="27898"/>
    <cellStyle name="40% - Accent6 4 2 2 3 2 3 4 2" xfId="27899"/>
    <cellStyle name="40% - Accent6 4 2 2 3 2 3 5" xfId="27900"/>
    <cellStyle name="40% - Accent6 4 2 2 3 2 3 6" xfId="27901"/>
    <cellStyle name="40% - Accent6 4 2 2 3 2 4" xfId="27902"/>
    <cellStyle name="40% - Accent6 4 2 2 3 2 4 2" xfId="27903"/>
    <cellStyle name="40% - Accent6 4 2 2 3 2 4 2 2" xfId="27904"/>
    <cellStyle name="40% - Accent6 4 2 2 3 2 4 2 3" xfId="27905"/>
    <cellStyle name="40% - Accent6 4 2 2 3 2 4 3" xfId="27906"/>
    <cellStyle name="40% - Accent6 4 2 2 3 2 4 3 2" xfId="27907"/>
    <cellStyle name="40% - Accent6 4 2 2 3 2 4 4" xfId="27908"/>
    <cellStyle name="40% - Accent6 4 2 2 3 2 4 5" xfId="27909"/>
    <cellStyle name="40% - Accent6 4 2 2 3 2 5" xfId="27910"/>
    <cellStyle name="40% - Accent6 4 2 2 3 2 5 2" xfId="27911"/>
    <cellStyle name="40% - Accent6 4 2 2 3 2 5 3" xfId="27912"/>
    <cellStyle name="40% - Accent6 4 2 2 3 2 6" xfId="27913"/>
    <cellStyle name="40% - Accent6 4 2 2 3 2 6 2" xfId="27914"/>
    <cellStyle name="40% - Accent6 4 2 2 3 2 6 3" xfId="27915"/>
    <cellStyle name="40% - Accent6 4 2 2 3 2 7" xfId="27916"/>
    <cellStyle name="40% - Accent6 4 2 2 3 2 7 2" xfId="27917"/>
    <cellStyle name="40% - Accent6 4 2 2 3 2 8" xfId="27918"/>
    <cellStyle name="40% - Accent6 4 2 2 3 2 9" xfId="27919"/>
    <cellStyle name="40% - Accent6 4 2 2 3 3" xfId="27920"/>
    <cellStyle name="40% - Accent6 4 2 2 3 3 2" xfId="27921"/>
    <cellStyle name="40% - Accent6 4 2 2 3 3 2 2" xfId="27922"/>
    <cellStyle name="40% - Accent6 4 2 2 3 3 2 3" xfId="27923"/>
    <cellStyle name="40% - Accent6 4 2 2 3 3 3" xfId="27924"/>
    <cellStyle name="40% - Accent6 4 2 2 3 3 3 2" xfId="27925"/>
    <cellStyle name="40% - Accent6 4 2 2 3 3 3 3" xfId="27926"/>
    <cellStyle name="40% - Accent6 4 2 2 3 3 4" xfId="27927"/>
    <cellStyle name="40% - Accent6 4 2 2 3 3 4 2" xfId="27928"/>
    <cellStyle name="40% - Accent6 4 2 2 3 3 5" xfId="27929"/>
    <cellStyle name="40% - Accent6 4 2 2 3 3 6" xfId="27930"/>
    <cellStyle name="40% - Accent6 4 2 2 3 4" xfId="27931"/>
    <cellStyle name="40% - Accent6 4 2 2 3 4 2" xfId="27932"/>
    <cellStyle name="40% - Accent6 4 2 2 3 4 2 2" xfId="27933"/>
    <cellStyle name="40% - Accent6 4 2 2 3 4 2 3" xfId="27934"/>
    <cellStyle name="40% - Accent6 4 2 2 3 4 3" xfId="27935"/>
    <cellStyle name="40% - Accent6 4 2 2 3 4 3 2" xfId="27936"/>
    <cellStyle name="40% - Accent6 4 2 2 3 4 3 3" xfId="27937"/>
    <cellStyle name="40% - Accent6 4 2 2 3 4 4" xfId="27938"/>
    <cellStyle name="40% - Accent6 4 2 2 3 4 4 2" xfId="27939"/>
    <cellStyle name="40% - Accent6 4 2 2 3 4 5" xfId="27940"/>
    <cellStyle name="40% - Accent6 4 2 2 3 4 6" xfId="27941"/>
    <cellStyle name="40% - Accent6 4 2 2 3 5" xfId="27942"/>
    <cellStyle name="40% - Accent6 4 2 2 3 5 2" xfId="27943"/>
    <cellStyle name="40% - Accent6 4 2 2 3 5 2 2" xfId="27944"/>
    <cellStyle name="40% - Accent6 4 2 2 3 5 2 3" xfId="27945"/>
    <cellStyle name="40% - Accent6 4 2 2 3 5 3" xfId="27946"/>
    <cellStyle name="40% - Accent6 4 2 2 3 5 3 2" xfId="27947"/>
    <cellStyle name="40% - Accent6 4 2 2 3 5 4" xfId="27948"/>
    <cellStyle name="40% - Accent6 4 2 2 3 5 5" xfId="27949"/>
    <cellStyle name="40% - Accent6 4 2 2 3 6" xfId="27950"/>
    <cellStyle name="40% - Accent6 4 2 2 3 6 2" xfId="27951"/>
    <cellStyle name="40% - Accent6 4 2 2 3 6 3" xfId="27952"/>
    <cellStyle name="40% - Accent6 4 2 2 3 7" xfId="27953"/>
    <cellStyle name="40% - Accent6 4 2 2 3 7 2" xfId="27954"/>
    <cellStyle name="40% - Accent6 4 2 2 3 7 3" xfId="27955"/>
    <cellStyle name="40% - Accent6 4 2 2 3 8" xfId="27956"/>
    <cellStyle name="40% - Accent6 4 2 2 3 8 2" xfId="27957"/>
    <cellStyle name="40% - Accent6 4 2 2 3 9" xfId="27958"/>
    <cellStyle name="40% - Accent6 4 2 2 4" xfId="2656"/>
    <cellStyle name="40% - Accent6 4 2 2 4 2" xfId="27959"/>
    <cellStyle name="40% - Accent6 4 2 2 4 2 2" xfId="27960"/>
    <cellStyle name="40% - Accent6 4 2 2 4 2 2 2" xfId="27961"/>
    <cellStyle name="40% - Accent6 4 2 2 4 2 2 3" xfId="27962"/>
    <cellStyle name="40% - Accent6 4 2 2 4 2 3" xfId="27963"/>
    <cellStyle name="40% - Accent6 4 2 2 4 2 3 2" xfId="27964"/>
    <cellStyle name="40% - Accent6 4 2 2 4 2 3 3" xfId="27965"/>
    <cellStyle name="40% - Accent6 4 2 2 4 2 4" xfId="27966"/>
    <cellStyle name="40% - Accent6 4 2 2 4 2 4 2" xfId="27967"/>
    <cellStyle name="40% - Accent6 4 2 2 4 2 5" xfId="27968"/>
    <cellStyle name="40% - Accent6 4 2 2 4 2 6" xfId="27969"/>
    <cellStyle name="40% - Accent6 4 2 2 4 3" xfId="27970"/>
    <cellStyle name="40% - Accent6 4 2 2 4 3 2" xfId="27971"/>
    <cellStyle name="40% - Accent6 4 2 2 4 3 2 2" xfId="27972"/>
    <cellStyle name="40% - Accent6 4 2 2 4 3 2 3" xfId="27973"/>
    <cellStyle name="40% - Accent6 4 2 2 4 3 3" xfId="27974"/>
    <cellStyle name="40% - Accent6 4 2 2 4 3 3 2" xfId="27975"/>
    <cellStyle name="40% - Accent6 4 2 2 4 3 3 3" xfId="27976"/>
    <cellStyle name="40% - Accent6 4 2 2 4 3 4" xfId="27977"/>
    <cellStyle name="40% - Accent6 4 2 2 4 3 4 2" xfId="27978"/>
    <cellStyle name="40% - Accent6 4 2 2 4 3 5" xfId="27979"/>
    <cellStyle name="40% - Accent6 4 2 2 4 3 6" xfId="27980"/>
    <cellStyle name="40% - Accent6 4 2 2 4 4" xfId="27981"/>
    <cellStyle name="40% - Accent6 4 2 2 4 4 2" xfId="27982"/>
    <cellStyle name="40% - Accent6 4 2 2 4 4 2 2" xfId="27983"/>
    <cellStyle name="40% - Accent6 4 2 2 4 4 2 3" xfId="27984"/>
    <cellStyle name="40% - Accent6 4 2 2 4 4 3" xfId="27985"/>
    <cellStyle name="40% - Accent6 4 2 2 4 4 3 2" xfId="27986"/>
    <cellStyle name="40% - Accent6 4 2 2 4 4 4" xfId="27987"/>
    <cellStyle name="40% - Accent6 4 2 2 4 4 5" xfId="27988"/>
    <cellStyle name="40% - Accent6 4 2 2 4 5" xfId="27989"/>
    <cellStyle name="40% - Accent6 4 2 2 4 5 2" xfId="27990"/>
    <cellStyle name="40% - Accent6 4 2 2 4 5 3" xfId="27991"/>
    <cellStyle name="40% - Accent6 4 2 2 4 6" xfId="27992"/>
    <cellStyle name="40% - Accent6 4 2 2 4 6 2" xfId="27993"/>
    <cellStyle name="40% - Accent6 4 2 2 4 6 3" xfId="27994"/>
    <cellStyle name="40% - Accent6 4 2 2 4 7" xfId="27995"/>
    <cellStyle name="40% - Accent6 4 2 2 4 7 2" xfId="27996"/>
    <cellStyle name="40% - Accent6 4 2 2 4 8" xfId="27997"/>
    <cellStyle name="40% - Accent6 4 2 2 4 9" xfId="27998"/>
    <cellStyle name="40% - Accent6 4 2 2 5" xfId="27999"/>
    <cellStyle name="40% - Accent6 4 2 2 5 2" xfId="28000"/>
    <cellStyle name="40% - Accent6 4 2 2 5 2 2" xfId="28001"/>
    <cellStyle name="40% - Accent6 4 2 2 5 2 2 2" xfId="28002"/>
    <cellStyle name="40% - Accent6 4 2 2 5 2 2 3" xfId="28003"/>
    <cellStyle name="40% - Accent6 4 2 2 5 2 3" xfId="28004"/>
    <cellStyle name="40% - Accent6 4 2 2 5 2 3 2" xfId="28005"/>
    <cellStyle name="40% - Accent6 4 2 2 5 2 3 3" xfId="28006"/>
    <cellStyle name="40% - Accent6 4 2 2 5 2 4" xfId="28007"/>
    <cellStyle name="40% - Accent6 4 2 2 5 2 4 2" xfId="28008"/>
    <cellStyle name="40% - Accent6 4 2 2 5 2 5" xfId="28009"/>
    <cellStyle name="40% - Accent6 4 2 2 5 2 6" xfId="28010"/>
    <cellStyle name="40% - Accent6 4 2 2 5 3" xfId="28011"/>
    <cellStyle name="40% - Accent6 4 2 2 5 3 2" xfId="28012"/>
    <cellStyle name="40% - Accent6 4 2 2 5 3 2 2" xfId="28013"/>
    <cellStyle name="40% - Accent6 4 2 2 5 3 2 3" xfId="28014"/>
    <cellStyle name="40% - Accent6 4 2 2 5 3 3" xfId="28015"/>
    <cellStyle name="40% - Accent6 4 2 2 5 3 3 2" xfId="28016"/>
    <cellStyle name="40% - Accent6 4 2 2 5 3 3 3" xfId="28017"/>
    <cellStyle name="40% - Accent6 4 2 2 5 3 4" xfId="28018"/>
    <cellStyle name="40% - Accent6 4 2 2 5 3 4 2" xfId="28019"/>
    <cellStyle name="40% - Accent6 4 2 2 5 3 5" xfId="28020"/>
    <cellStyle name="40% - Accent6 4 2 2 5 3 6" xfId="28021"/>
    <cellStyle name="40% - Accent6 4 2 2 5 4" xfId="28022"/>
    <cellStyle name="40% - Accent6 4 2 2 5 4 2" xfId="28023"/>
    <cellStyle name="40% - Accent6 4 2 2 5 4 2 2" xfId="28024"/>
    <cellStyle name="40% - Accent6 4 2 2 5 4 2 3" xfId="28025"/>
    <cellStyle name="40% - Accent6 4 2 2 5 4 3" xfId="28026"/>
    <cellStyle name="40% - Accent6 4 2 2 5 4 3 2" xfId="28027"/>
    <cellStyle name="40% - Accent6 4 2 2 5 4 4" xfId="28028"/>
    <cellStyle name="40% - Accent6 4 2 2 5 4 5" xfId="28029"/>
    <cellStyle name="40% - Accent6 4 2 2 5 5" xfId="28030"/>
    <cellStyle name="40% - Accent6 4 2 2 5 5 2" xfId="28031"/>
    <cellStyle name="40% - Accent6 4 2 2 5 5 3" xfId="28032"/>
    <cellStyle name="40% - Accent6 4 2 2 5 6" xfId="28033"/>
    <cellStyle name="40% - Accent6 4 2 2 5 6 2" xfId="28034"/>
    <cellStyle name="40% - Accent6 4 2 2 5 6 3" xfId="28035"/>
    <cellStyle name="40% - Accent6 4 2 2 5 7" xfId="28036"/>
    <cellStyle name="40% - Accent6 4 2 2 5 7 2" xfId="28037"/>
    <cellStyle name="40% - Accent6 4 2 2 5 8" xfId="28038"/>
    <cellStyle name="40% - Accent6 4 2 2 5 9" xfId="28039"/>
    <cellStyle name="40% - Accent6 4 2 2 6" xfId="28040"/>
    <cellStyle name="40% - Accent6 4 2 2 6 2" xfId="28041"/>
    <cellStyle name="40% - Accent6 4 2 2 6 2 2" xfId="28042"/>
    <cellStyle name="40% - Accent6 4 2 2 6 2 3" xfId="28043"/>
    <cellStyle name="40% - Accent6 4 2 2 6 3" xfId="28044"/>
    <cellStyle name="40% - Accent6 4 2 2 6 3 2" xfId="28045"/>
    <cellStyle name="40% - Accent6 4 2 2 6 3 3" xfId="28046"/>
    <cellStyle name="40% - Accent6 4 2 2 6 4" xfId="28047"/>
    <cellStyle name="40% - Accent6 4 2 2 6 4 2" xfId="28048"/>
    <cellStyle name="40% - Accent6 4 2 2 6 5" xfId="28049"/>
    <cellStyle name="40% - Accent6 4 2 2 6 6" xfId="28050"/>
    <cellStyle name="40% - Accent6 4 2 2 7" xfId="28051"/>
    <cellStyle name="40% - Accent6 4 2 2 7 2" xfId="28052"/>
    <cellStyle name="40% - Accent6 4 2 2 7 2 2" xfId="28053"/>
    <cellStyle name="40% - Accent6 4 2 2 7 2 3" xfId="28054"/>
    <cellStyle name="40% - Accent6 4 2 2 7 3" xfId="28055"/>
    <cellStyle name="40% - Accent6 4 2 2 7 3 2" xfId="28056"/>
    <cellStyle name="40% - Accent6 4 2 2 7 3 3" xfId="28057"/>
    <cellStyle name="40% - Accent6 4 2 2 7 4" xfId="28058"/>
    <cellStyle name="40% - Accent6 4 2 2 7 4 2" xfId="28059"/>
    <cellStyle name="40% - Accent6 4 2 2 7 5" xfId="28060"/>
    <cellStyle name="40% - Accent6 4 2 2 7 6" xfId="28061"/>
    <cellStyle name="40% - Accent6 4 2 2 8" xfId="28062"/>
    <cellStyle name="40% - Accent6 4 2 2 8 2" xfId="28063"/>
    <cellStyle name="40% - Accent6 4 2 2 8 2 2" xfId="28064"/>
    <cellStyle name="40% - Accent6 4 2 2 8 2 3" xfId="28065"/>
    <cellStyle name="40% - Accent6 4 2 2 8 3" xfId="28066"/>
    <cellStyle name="40% - Accent6 4 2 2 8 3 2" xfId="28067"/>
    <cellStyle name="40% - Accent6 4 2 2 8 4" xfId="28068"/>
    <cellStyle name="40% - Accent6 4 2 2 8 5" xfId="28069"/>
    <cellStyle name="40% - Accent6 4 2 2 9" xfId="28070"/>
    <cellStyle name="40% - Accent6 4 2 2 9 2" xfId="28071"/>
    <cellStyle name="40% - Accent6 4 2 2 9 3" xfId="28072"/>
    <cellStyle name="40% - Accent6 4 2 3" xfId="2657"/>
    <cellStyle name="40% - Accent6 4 2 3 10" xfId="28073"/>
    <cellStyle name="40% - Accent6 4 2 3 10 2" xfId="28074"/>
    <cellStyle name="40% - Accent6 4 2 3 11" xfId="28075"/>
    <cellStyle name="40% - Accent6 4 2 3 12" xfId="28076"/>
    <cellStyle name="40% - Accent6 4 2 3 2" xfId="2658"/>
    <cellStyle name="40% - Accent6 4 2 3 2 10" xfId="28077"/>
    <cellStyle name="40% - Accent6 4 2 3 2 2" xfId="2659"/>
    <cellStyle name="40% - Accent6 4 2 3 2 2 2" xfId="28078"/>
    <cellStyle name="40% - Accent6 4 2 3 2 2 2 2" xfId="28079"/>
    <cellStyle name="40% - Accent6 4 2 3 2 2 2 2 2" xfId="28080"/>
    <cellStyle name="40% - Accent6 4 2 3 2 2 2 2 3" xfId="28081"/>
    <cellStyle name="40% - Accent6 4 2 3 2 2 2 3" xfId="28082"/>
    <cellStyle name="40% - Accent6 4 2 3 2 2 2 3 2" xfId="28083"/>
    <cellStyle name="40% - Accent6 4 2 3 2 2 2 3 3" xfId="28084"/>
    <cellStyle name="40% - Accent6 4 2 3 2 2 2 4" xfId="28085"/>
    <cellStyle name="40% - Accent6 4 2 3 2 2 2 4 2" xfId="28086"/>
    <cellStyle name="40% - Accent6 4 2 3 2 2 2 5" xfId="28087"/>
    <cellStyle name="40% - Accent6 4 2 3 2 2 2 6" xfId="28088"/>
    <cellStyle name="40% - Accent6 4 2 3 2 2 3" xfId="28089"/>
    <cellStyle name="40% - Accent6 4 2 3 2 2 3 2" xfId="28090"/>
    <cellStyle name="40% - Accent6 4 2 3 2 2 3 2 2" xfId="28091"/>
    <cellStyle name="40% - Accent6 4 2 3 2 2 3 2 3" xfId="28092"/>
    <cellStyle name="40% - Accent6 4 2 3 2 2 3 3" xfId="28093"/>
    <cellStyle name="40% - Accent6 4 2 3 2 2 3 3 2" xfId="28094"/>
    <cellStyle name="40% - Accent6 4 2 3 2 2 3 3 3" xfId="28095"/>
    <cellStyle name="40% - Accent6 4 2 3 2 2 3 4" xfId="28096"/>
    <cellStyle name="40% - Accent6 4 2 3 2 2 3 4 2" xfId="28097"/>
    <cellStyle name="40% - Accent6 4 2 3 2 2 3 5" xfId="28098"/>
    <cellStyle name="40% - Accent6 4 2 3 2 2 3 6" xfId="28099"/>
    <cellStyle name="40% - Accent6 4 2 3 2 2 4" xfId="28100"/>
    <cellStyle name="40% - Accent6 4 2 3 2 2 4 2" xfId="28101"/>
    <cellStyle name="40% - Accent6 4 2 3 2 2 4 2 2" xfId="28102"/>
    <cellStyle name="40% - Accent6 4 2 3 2 2 4 2 3" xfId="28103"/>
    <cellStyle name="40% - Accent6 4 2 3 2 2 4 3" xfId="28104"/>
    <cellStyle name="40% - Accent6 4 2 3 2 2 4 3 2" xfId="28105"/>
    <cellStyle name="40% - Accent6 4 2 3 2 2 4 4" xfId="28106"/>
    <cellStyle name="40% - Accent6 4 2 3 2 2 4 5" xfId="28107"/>
    <cellStyle name="40% - Accent6 4 2 3 2 2 5" xfId="28108"/>
    <cellStyle name="40% - Accent6 4 2 3 2 2 5 2" xfId="28109"/>
    <cellStyle name="40% - Accent6 4 2 3 2 2 5 3" xfId="28110"/>
    <cellStyle name="40% - Accent6 4 2 3 2 2 6" xfId="28111"/>
    <cellStyle name="40% - Accent6 4 2 3 2 2 6 2" xfId="28112"/>
    <cellStyle name="40% - Accent6 4 2 3 2 2 6 3" xfId="28113"/>
    <cellStyle name="40% - Accent6 4 2 3 2 2 7" xfId="28114"/>
    <cellStyle name="40% - Accent6 4 2 3 2 2 7 2" xfId="28115"/>
    <cellStyle name="40% - Accent6 4 2 3 2 2 8" xfId="28116"/>
    <cellStyle name="40% - Accent6 4 2 3 2 2 9" xfId="28117"/>
    <cellStyle name="40% - Accent6 4 2 3 2 3" xfId="28118"/>
    <cellStyle name="40% - Accent6 4 2 3 2 3 2" xfId="28119"/>
    <cellStyle name="40% - Accent6 4 2 3 2 3 2 2" xfId="28120"/>
    <cellStyle name="40% - Accent6 4 2 3 2 3 2 3" xfId="28121"/>
    <cellStyle name="40% - Accent6 4 2 3 2 3 3" xfId="28122"/>
    <cellStyle name="40% - Accent6 4 2 3 2 3 3 2" xfId="28123"/>
    <cellStyle name="40% - Accent6 4 2 3 2 3 3 3" xfId="28124"/>
    <cellStyle name="40% - Accent6 4 2 3 2 3 4" xfId="28125"/>
    <cellStyle name="40% - Accent6 4 2 3 2 3 4 2" xfId="28126"/>
    <cellStyle name="40% - Accent6 4 2 3 2 3 5" xfId="28127"/>
    <cellStyle name="40% - Accent6 4 2 3 2 3 6" xfId="28128"/>
    <cellStyle name="40% - Accent6 4 2 3 2 4" xfId="28129"/>
    <cellStyle name="40% - Accent6 4 2 3 2 4 2" xfId="28130"/>
    <cellStyle name="40% - Accent6 4 2 3 2 4 2 2" xfId="28131"/>
    <cellStyle name="40% - Accent6 4 2 3 2 4 2 3" xfId="28132"/>
    <cellStyle name="40% - Accent6 4 2 3 2 4 3" xfId="28133"/>
    <cellStyle name="40% - Accent6 4 2 3 2 4 3 2" xfId="28134"/>
    <cellStyle name="40% - Accent6 4 2 3 2 4 3 3" xfId="28135"/>
    <cellStyle name="40% - Accent6 4 2 3 2 4 4" xfId="28136"/>
    <cellStyle name="40% - Accent6 4 2 3 2 4 4 2" xfId="28137"/>
    <cellStyle name="40% - Accent6 4 2 3 2 4 5" xfId="28138"/>
    <cellStyle name="40% - Accent6 4 2 3 2 4 6" xfId="28139"/>
    <cellStyle name="40% - Accent6 4 2 3 2 5" xfId="28140"/>
    <cellStyle name="40% - Accent6 4 2 3 2 5 2" xfId="28141"/>
    <cellStyle name="40% - Accent6 4 2 3 2 5 2 2" xfId="28142"/>
    <cellStyle name="40% - Accent6 4 2 3 2 5 2 3" xfId="28143"/>
    <cellStyle name="40% - Accent6 4 2 3 2 5 3" xfId="28144"/>
    <cellStyle name="40% - Accent6 4 2 3 2 5 3 2" xfId="28145"/>
    <cellStyle name="40% - Accent6 4 2 3 2 5 4" xfId="28146"/>
    <cellStyle name="40% - Accent6 4 2 3 2 5 5" xfId="28147"/>
    <cellStyle name="40% - Accent6 4 2 3 2 6" xfId="28148"/>
    <cellStyle name="40% - Accent6 4 2 3 2 6 2" xfId="28149"/>
    <cellStyle name="40% - Accent6 4 2 3 2 6 3" xfId="28150"/>
    <cellStyle name="40% - Accent6 4 2 3 2 7" xfId="28151"/>
    <cellStyle name="40% - Accent6 4 2 3 2 7 2" xfId="28152"/>
    <cellStyle name="40% - Accent6 4 2 3 2 7 3" xfId="28153"/>
    <cellStyle name="40% - Accent6 4 2 3 2 8" xfId="28154"/>
    <cellStyle name="40% - Accent6 4 2 3 2 8 2" xfId="28155"/>
    <cellStyle name="40% - Accent6 4 2 3 2 9" xfId="28156"/>
    <cellStyle name="40% - Accent6 4 2 3 3" xfId="2660"/>
    <cellStyle name="40% - Accent6 4 2 3 3 2" xfId="28157"/>
    <cellStyle name="40% - Accent6 4 2 3 3 2 2" xfId="28158"/>
    <cellStyle name="40% - Accent6 4 2 3 3 2 2 2" xfId="28159"/>
    <cellStyle name="40% - Accent6 4 2 3 3 2 2 3" xfId="28160"/>
    <cellStyle name="40% - Accent6 4 2 3 3 2 3" xfId="28161"/>
    <cellStyle name="40% - Accent6 4 2 3 3 2 3 2" xfId="28162"/>
    <cellStyle name="40% - Accent6 4 2 3 3 2 3 3" xfId="28163"/>
    <cellStyle name="40% - Accent6 4 2 3 3 2 4" xfId="28164"/>
    <cellStyle name="40% - Accent6 4 2 3 3 2 4 2" xfId="28165"/>
    <cellStyle name="40% - Accent6 4 2 3 3 2 5" xfId="28166"/>
    <cellStyle name="40% - Accent6 4 2 3 3 2 6" xfId="28167"/>
    <cellStyle name="40% - Accent6 4 2 3 3 3" xfId="28168"/>
    <cellStyle name="40% - Accent6 4 2 3 3 3 2" xfId="28169"/>
    <cellStyle name="40% - Accent6 4 2 3 3 3 2 2" xfId="28170"/>
    <cellStyle name="40% - Accent6 4 2 3 3 3 2 3" xfId="28171"/>
    <cellStyle name="40% - Accent6 4 2 3 3 3 3" xfId="28172"/>
    <cellStyle name="40% - Accent6 4 2 3 3 3 3 2" xfId="28173"/>
    <cellStyle name="40% - Accent6 4 2 3 3 3 3 3" xfId="28174"/>
    <cellStyle name="40% - Accent6 4 2 3 3 3 4" xfId="28175"/>
    <cellStyle name="40% - Accent6 4 2 3 3 3 4 2" xfId="28176"/>
    <cellStyle name="40% - Accent6 4 2 3 3 3 5" xfId="28177"/>
    <cellStyle name="40% - Accent6 4 2 3 3 3 6" xfId="28178"/>
    <cellStyle name="40% - Accent6 4 2 3 3 4" xfId="28179"/>
    <cellStyle name="40% - Accent6 4 2 3 3 4 2" xfId="28180"/>
    <cellStyle name="40% - Accent6 4 2 3 3 4 2 2" xfId="28181"/>
    <cellStyle name="40% - Accent6 4 2 3 3 4 2 3" xfId="28182"/>
    <cellStyle name="40% - Accent6 4 2 3 3 4 3" xfId="28183"/>
    <cellStyle name="40% - Accent6 4 2 3 3 4 3 2" xfId="28184"/>
    <cellStyle name="40% - Accent6 4 2 3 3 4 4" xfId="28185"/>
    <cellStyle name="40% - Accent6 4 2 3 3 4 5" xfId="28186"/>
    <cellStyle name="40% - Accent6 4 2 3 3 5" xfId="28187"/>
    <cellStyle name="40% - Accent6 4 2 3 3 5 2" xfId="28188"/>
    <cellStyle name="40% - Accent6 4 2 3 3 5 3" xfId="28189"/>
    <cellStyle name="40% - Accent6 4 2 3 3 6" xfId="28190"/>
    <cellStyle name="40% - Accent6 4 2 3 3 6 2" xfId="28191"/>
    <cellStyle name="40% - Accent6 4 2 3 3 6 3" xfId="28192"/>
    <cellStyle name="40% - Accent6 4 2 3 3 7" xfId="28193"/>
    <cellStyle name="40% - Accent6 4 2 3 3 7 2" xfId="28194"/>
    <cellStyle name="40% - Accent6 4 2 3 3 8" xfId="28195"/>
    <cellStyle name="40% - Accent6 4 2 3 3 9" xfId="28196"/>
    <cellStyle name="40% - Accent6 4 2 3 4" xfId="28197"/>
    <cellStyle name="40% - Accent6 4 2 3 4 2" xfId="28198"/>
    <cellStyle name="40% - Accent6 4 2 3 4 2 2" xfId="28199"/>
    <cellStyle name="40% - Accent6 4 2 3 4 2 2 2" xfId="28200"/>
    <cellStyle name="40% - Accent6 4 2 3 4 2 2 3" xfId="28201"/>
    <cellStyle name="40% - Accent6 4 2 3 4 2 3" xfId="28202"/>
    <cellStyle name="40% - Accent6 4 2 3 4 2 3 2" xfId="28203"/>
    <cellStyle name="40% - Accent6 4 2 3 4 2 3 3" xfId="28204"/>
    <cellStyle name="40% - Accent6 4 2 3 4 2 4" xfId="28205"/>
    <cellStyle name="40% - Accent6 4 2 3 4 2 4 2" xfId="28206"/>
    <cellStyle name="40% - Accent6 4 2 3 4 2 5" xfId="28207"/>
    <cellStyle name="40% - Accent6 4 2 3 4 2 6" xfId="28208"/>
    <cellStyle name="40% - Accent6 4 2 3 4 3" xfId="28209"/>
    <cellStyle name="40% - Accent6 4 2 3 4 3 2" xfId="28210"/>
    <cellStyle name="40% - Accent6 4 2 3 4 3 2 2" xfId="28211"/>
    <cellStyle name="40% - Accent6 4 2 3 4 3 2 3" xfId="28212"/>
    <cellStyle name="40% - Accent6 4 2 3 4 3 3" xfId="28213"/>
    <cellStyle name="40% - Accent6 4 2 3 4 3 3 2" xfId="28214"/>
    <cellStyle name="40% - Accent6 4 2 3 4 3 3 3" xfId="28215"/>
    <cellStyle name="40% - Accent6 4 2 3 4 3 4" xfId="28216"/>
    <cellStyle name="40% - Accent6 4 2 3 4 3 4 2" xfId="28217"/>
    <cellStyle name="40% - Accent6 4 2 3 4 3 5" xfId="28218"/>
    <cellStyle name="40% - Accent6 4 2 3 4 3 6" xfId="28219"/>
    <cellStyle name="40% - Accent6 4 2 3 4 4" xfId="28220"/>
    <cellStyle name="40% - Accent6 4 2 3 4 4 2" xfId="28221"/>
    <cellStyle name="40% - Accent6 4 2 3 4 4 2 2" xfId="28222"/>
    <cellStyle name="40% - Accent6 4 2 3 4 4 2 3" xfId="28223"/>
    <cellStyle name="40% - Accent6 4 2 3 4 4 3" xfId="28224"/>
    <cellStyle name="40% - Accent6 4 2 3 4 4 3 2" xfId="28225"/>
    <cellStyle name="40% - Accent6 4 2 3 4 4 4" xfId="28226"/>
    <cellStyle name="40% - Accent6 4 2 3 4 4 5" xfId="28227"/>
    <cellStyle name="40% - Accent6 4 2 3 4 5" xfId="28228"/>
    <cellStyle name="40% - Accent6 4 2 3 4 5 2" xfId="28229"/>
    <cellStyle name="40% - Accent6 4 2 3 4 5 3" xfId="28230"/>
    <cellStyle name="40% - Accent6 4 2 3 4 6" xfId="28231"/>
    <cellStyle name="40% - Accent6 4 2 3 4 6 2" xfId="28232"/>
    <cellStyle name="40% - Accent6 4 2 3 4 6 3" xfId="28233"/>
    <cellStyle name="40% - Accent6 4 2 3 4 7" xfId="28234"/>
    <cellStyle name="40% - Accent6 4 2 3 4 7 2" xfId="28235"/>
    <cellStyle name="40% - Accent6 4 2 3 4 8" xfId="28236"/>
    <cellStyle name="40% - Accent6 4 2 3 4 9" xfId="28237"/>
    <cellStyle name="40% - Accent6 4 2 3 5" xfId="28238"/>
    <cellStyle name="40% - Accent6 4 2 3 5 2" xfId="28239"/>
    <cellStyle name="40% - Accent6 4 2 3 5 2 2" xfId="28240"/>
    <cellStyle name="40% - Accent6 4 2 3 5 2 3" xfId="28241"/>
    <cellStyle name="40% - Accent6 4 2 3 5 3" xfId="28242"/>
    <cellStyle name="40% - Accent6 4 2 3 5 3 2" xfId="28243"/>
    <cellStyle name="40% - Accent6 4 2 3 5 3 3" xfId="28244"/>
    <cellStyle name="40% - Accent6 4 2 3 5 4" xfId="28245"/>
    <cellStyle name="40% - Accent6 4 2 3 5 4 2" xfId="28246"/>
    <cellStyle name="40% - Accent6 4 2 3 5 5" xfId="28247"/>
    <cellStyle name="40% - Accent6 4 2 3 5 6" xfId="28248"/>
    <cellStyle name="40% - Accent6 4 2 3 6" xfId="28249"/>
    <cellStyle name="40% - Accent6 4 2 3 6 2" xfId="28250"/>
    <cellStyle name="40% - Accent6 4 2 3 6 2 2" xfId="28251"/>
    <cellStyle name="40% - Accent6 4 2 3 6 2 3" xfId="28252"/>
    <cellStyle name="40% - Accent6 4 2 3 6 3" xfId="28253"/>
    <cellStyle name="40% - Accent6 4 2 3 6 3 2" xfId="28254"/>
    <cellStyle name="40% - Accent6 4 2 3 6 3 3" xfId="28255"/>
    <cellStyle name="40% - Accent6 4 2 3 6 4" xfId="28256"/>
    <cellStyle name="40% - Accent6 4 2 3 6 4 2" xfId="28257"/>
    <cellStyle name="40% - Accent6 4 2 3 6 5" xfId="28258"/>
    <cellStyle name="40% - Accent6 4 2 3 6 6" xfId="28259"/>
    <cellStyle name="40% - Accent6 4 2 3 7" xfId="28260"/>
    <cellStyle name="40% - Accent6 4 2 3 7 2" xfId="28261"/>
    <cellStyle name="40% - Accent6 4 2 3 7 2 2" xfId="28262"/>
    <cellStyle name="40% - Accent6 4 2 3 7 2 3" xfId="28263"/>
    <cellStyle name="40% - Accent6 4 2 3 7 3" xfId="28264"/>
    <cellStyle name="40% - Accent6 4 2 3 7 3 2" xfId="28265"/>
    <cellStyle name="40% - Accent6 4 2 3 7 4" xfId="28266"/>
    <cellStyle name="40% - Accent6 4 2 3 7 5" xfId="28267"/>
    <cellStyle name="40% - Accent6 4 2 3 8" xfId="28268"/>
    <cellStyle name="40% - Accent6 4 2 3 8 2" xfId="28269"/>
    <cellStyle name="40% - Accent6 4 2 3 8 3" xfId="28270"/>
    <cellStyle name="40% - Accent6 4 2 3 9" xfId="28271"/>
    <cellStyle name="40% - Accent6 4 2 3 9 2" xfId="28272"/>
    <cellStyle name="40% - Accent6 4 2 3 9 3" xfId="28273"/>
    <cellStyle name="40% - Accent6 4 2 4" xfId="2661"/>
    <cellStyle name="40% - Accent6 4 2 4 10" xfId="28274"/>
    <cellStyle name="40% - Accent6 4 2 4 2" xfId="2662"/>
    <cellStyle name="40% - Accent6 4 2 4 2 2" xfId="28275"/>
    <cellStyle name="40% - Accent6 4 2 4 2 2 2" xfId="28276"/>
    <cellStyle name="40% - Accent6 4 2 4 2 2 2 2" xfId="28277"/>
    <cellStyle name="40% - Accent6 4 2 4 2 2 2 3" xfId="28278"/>
    <cellStyle name="40% - Accent6 4 2 4 2 2 3" xfId="28279"/>
    <cellStyle name="40% - Accent6 4 2 4 2 2 3 2" xfId="28280"/>
    <cellStyle name="40% - Accent6 4 2 4 2 2 3 3" xfId="28281"/>
    <cellStyle name="40% - Accent6 4 2 4 2 2 4" xfId="28282"/>
    <cellStyle name="40% - Accent6 4 2 4 2 2 4 2" xfId="28283"/>
    <cellStyle name="40% - Accent6 4 2 4 2 2 5" xfId="28284"/>
    <cellStyle name="40% - Accent6 4 2 4 2 2 6" xfId="28285"/>
    <cellStyle name="40% - Accent6 4 2 4 2 3" xfId="28286"/>
    <cellStyle name="40% - Accent6 4 2 4 2 3 2" xfId="28287"/>
    <cellStyle name="40% - Accent6 4 2 4 2 3 2 2" xfId="28288"/>
    <cellStyle name="40% - Accent6 4 2 4 2 3 2 3" xfId="28289"/>
    <cellStyle name="40% - Accent6 4 2 4 2 3 3" xfId="28290"/>
    <cellStyle name="40% - Accent6 4 2 4 2 3 3 2" xfId="28291"/>
    <cellStyle name="40% - Accent6 4 2 4 2 3 3 3" xfId="28292"/>
    <cellStyle name="40% - Accent6 4 2 4 2 3 4" xfId="28293"/>
    <cellStyle name="40% - Accent6 4 2 4 2 3 4 2" xfId="28294"/>
    <cellStyle name="40% - Accent6 4 2 4 2 3 5" xfId="28295"/>
    <cellStyle name="40% - Accent6 4 2 4 2 3 6" xfId="28296"/>
    <cellStyle name="40% - Accent6 4 2 4 2 4" xfId="28297"/>
    <cellStyle name="40% - Accent6 4 2 4 2 4 2" xfId="28298"/>
    <cellStyle name="40% - Accent6 4 2 4 2 4 2 2" xfId="28299"/>
    <cellStyle name="40% - Accent6 4 2 4 2 4 2 3" xfId="28300"/>
    <cellStyle name="40% - Accent6 4 2 4 2 4 3" xfId="28301"/>
    <cellStyle name="40% - Accent6 4 2 4 2 4 3 2" xfId="28302"/>
    <cellStyle name="40% - Accent6 4 2 4 2 4 4" xfId="28303"/>
    <cellStyle name="40% - Accent6 4 2 4 2 4 5" xfId="28304"/>
    <cellStyle name="40% - Accent6 4 2 4 2 5" xfId="28305"/>
    <cellStyle name="40% - Accent6 4 2 4 2 5 2" xfId="28306"/>
    <cellStyle name="40% - Accent6 4 2 4 2 5 3" xfId="28307"/>
    <cellStyle name="40% - Accent6 4 2 4 2 6" xfId="28308"/>
    <cellStyle name="40% - Accent6 4 2 4 2 6 2" xfId="28309"/>
    <cellStyle name="40% - Accent6 4 2 4 2 6 3" xfId="28310"/>
    <cellStyle name="40% - Accent6 4 2 4 2 7" xfId="28311"/>
    <cellStyle name="40% - Accent6 4 2 4 2 7 2" xfId="28312"/>
    <cellStyle name="40% - Accent6 4 2 4 2 8" xfId="28313"/>
    <cellStyle name="40% - Accent6 4 2 4 2 9" xfId="28314"/>
    <cellStyle name="40% - Accent6 4 2 4 3" xfId="28315"/>
    <cellStyle name="40% - Accent6 4 2 4 3 2" xfId="28316"/>
    <cellStyle name="40% - Accent6 4 2 4 3 2 2" xfId="28317"/>
    <cellStyle name="40% - Accent6 4 2 4 3 2 3" xfId="28318"/>
    <cellStyle name="40% - Accent6 4 2 4 3 3" xfId="28319"/>
    <cellStyle name="40% - Accent6 4 2 4 3 3 2" xfId="28320"/>
    <cellStyle name="40% - Accent6 4 2 4 3 3 3" xfId="28321"/>
    <cellStyle name="40% - Accent6 4 2 4 3 4" xfId="28322"/>
    <cellStyle name="40% - Accent6 4 2 4 3 4 2" xfId="28323"/>
    <cellStyle name="40% - Accent6 4 2 4 3 5" xfId="28324"/>
    <cellStyle name="40% - Accent6 4 2 4 3 6" xfId="28325"/>
    <cellStyle name="40% - Accent6 4 2 4 4" xfId="28326"/>
    <cellStyle name="40% - Accent6 4 2 4 4 2" xfId="28327"/>
    <cellStyle name="40% - Accent6 4 2 4 4 2 2" xfId="28328"/>
    <cellStyle name="40% - Accent6 4 2 4 4 2 3" xfId="28329"/>
    <cellStyle name="40% - Accent6 4 2 4 4 3" xfId="28330"/>
    <cellStyle name="40% - Accent6 4 2 4 4 3 2" xfId="28331"/>
    <cellStyle name="40% - Accent6 4 2 4 4 3 3" xfId="28332"/>
    <cellStyle name="40% - Accent6 4 2 4 4 4" xfId="28333"/>
    <cellStyle name="40% - Accent6 4 2 4 4 4 2" xfId="28334"/>
    <cellStyle name="40% - Accent6 4 2 4 4 5" xfId="28335"/>
    <cellStyle name="40% - Accent6 4 2 4 4 6" xfId="28336"/>
    <cellStyle name="40% - Accent6 4 2 4 5" xfId="28337"/>
    <cellStyle name="40% - Accent6 4 2 4 5 2" xfId="28338"/>
    <cellStyle name="40% - Accent6 4 2 4 5 2 2" xfId="28339"/>
    <cellStyle name="40% - Accent6 4 2 4 5 2 3" xfId="28340"/>
    <cellStyle name="40% - Accent6 4 2 4 5 3" xfId="28341"/>
    <cellStyle name="40% - Accent6 4 2 4 5 3 2" xfId="28342"/>
    <cellStyle name="40% - Accent6 4 2 4 5 4" xfId="28343"/>
    <cellStyle name="40% - Accent6 4 2 4 5 5" xfId="28344"/>
    <cellStyle name="40% - Accent6 4 2 4 6" xfId="28345"/>
    <cellStyle name="40% - Accent6 4 2 4 6 2" xfId="28346"/>
    <cellStyle name="40% - Accent6 4 2 4 6 3" xfId="28347"/>
    <cellStyle name="40% - Accent6 4 2 4 7" xfId="28348"/>
    <cellStyle name="40% - Accent6 4 2 4 7 2" xfId="28349"/>
    <cellStyle name="40% - Accent6 4 2 4 7 3" xfId="28350"/>
    <cellStyle name="40% - Accent6 4 2 4 8" xfId="28351"/>
    <cellStyle name="40% - Accent6 4 2 4 8 2" xfId="28352"/>
    <cellStyle name="40% - Accent6 4 2 4 9" xfId="28353"/>
    <cellStyle name="40% - Accent6 4 2 5" xfId="2663"/>
    <cellStyle name="40% - Accent6 4 2 5 2" xfId="28354"/>
    <cellStyle name="40% - Accent6 4 2 5 2 2" xfId="28355"/>
    <cellStyle name="40% - Accent6 4 2 5 2 2 2" xfId="28356"/>
    <cellStyle name="40% - Accent6 4 2 5 2 2 3" xfId="28357"/>
    <cellStyle name="40% - Accent6 4 2 5 2 3" xfId="28358"/>
    <cellStyle name="40% - Accent6 4 2 5 2 3 2" xfId="28359"/>
    <cellStyle name="40% - Accent6 4 2 5 2 3 3" xfId="28360"/>
    <cellStyle name="40% - Accent6 4 2 5 2 4" xfId="28361"/>
    <cellStyle name="40% - Accent6 4 2 5 2 4 2" xfId="28362"/>
    <cellStyle name="40% - Accent6 4 2 5 2 5" xfId="28363"/>
    <cellStyle name="40% - Accent6 4 2 5 2 6" xfId="28364"/>
    <cellStyle name="40% - Accent6 4 2 5 3" xfId="28365"/>
    <cellStyle name="40% - Accent6 4 2 5 3 2" xfId="28366"/>
    <cellStyle name="40% - Accent6 4 2 5 3 2 2" xfId="28367"/>
    <cellStyle name="40% - Accent6 4 2 5 3 2 3" xfId="28368"/>
    <cellStyle name="40% - Accent6 4 2 5 3 3" xfId="28369"/>
    <cellStyle name="40% - Accent6 4 2 5 3 3 2" xfId="28370"/>
    <cellStyle name="40% - Accent6 4 2 5 3 3 3" xfId="28371"/>
    <cellStyle name="40% - Accent6 4 2 5 3 4" xfId="28372"/>
    <cellStyle name="40% - Accent6 4 2 5 3 4 2" xfId="28373"/>
    <cellStyle name="40% - Accent6 4 2 5 3 5" xfId="28374"/>
    <cellStyle name="40% - Accent6 4 2 5 3 6" xfId="28375"/>
    <cellStyle name="40% - Accent6 4 2 5 4" xfId="28376"/>
    <cellStyle name="40% - Accent6 4 2 5 4 2" xfId="28377"/>
    <cellStyle name="40% - Accent6 4 2 5 4 2 2" xfId="28378"/>
    <cellStyle name="40% - Accent6 4 2 5 4 2 3" xfId="28379"/>
    <cellStyle name="40% - Accent6 4 2 5 4 3" xfId="28380"/>
    <cellStyle name="40% - Accent6 4 2 5 4 3 2" xfId="28381"/>
    <cellStyle name="40% - Accent6 4 2 5 4 4" xfId="28382"/>
    <cellStyle name="40% - Accent6 4 2 5 4 5" xfId="28383"/>
    <cellStyle name="40% - Accent6 4 2 5 5" xfId="28384"/>
    <cellStyle name="40% - Accent6 4 2 5 5 2" xfId="28385"/>
    <cellStyle name="40% - Accent6 4 2 5 5 3" xfId="28386"/>
    <cellStyle name="40% - Accent6 4 2 5 6" xfId="28387"/>
    <cellStyle name="40% - Accent6 4 2 5 6 2" xfId="28388"/>
    <cellStyle name="40% - Accent6 4 2 5 6 3" xfId="28389"/>
    <cellStyle name="40% - Accent6 4 2 5 7" xfId="28390"/>
    <cellStyle name="40% - Accent6 4 2 5 7 2" xfId="28391"/>
    <cellStyle name="40% - Accent6 4 2 5 8" xfId="28392"/>
    <cellStyle name="40% - Accent6 4 2 5 9" xfId="28393"/>
    <cellStyle name="40% - Accent6 4 2 6" xfId="28394"/>
    <cellStyle name="40% - Accent6 4 2 6 2" xfId="28395"/>
    <cellStyle name="40% - Accent6 4 2 6 2 2" xfId="28396"/>
    <cellStyle name="40% - Accent6 4 2 6 2 2 2" xfId="28397"/>
    <cellStyle name="40% - Accent6 4 2 6 2 2 3" xfId="28398"/>
    <cellStyle name="40% - Accent6 4 2 6 2 3" xfId="28399"/>
    <cellStyle name="40% - Accent6 4 2 6 2 3 2" xfId="28400"/>
    <cellStyle name="40% - Accent6 4 2 6 2 3 3" xfId="28401"/>
    <cellStyle name="40% - Accent6 4 2 6 2 4" xfId="28402"/>
    <cellStyle name="40% - Accent6 4 2 6 2 4 2" xfId="28403"/>
    <cellStyle name="40% - Accent6 4 2 6 2 5" xfId="28404"/>
    <cellStyle name="40% - Accent6 4 2 6 2 6" xfId="28405"/>
    <cellStyle name="40% - Accent6 4 2 6 3" xfId="28406"/>
    <cellStyle name="40% - Accent6 4 2 6 3 2" xfId="28407"/>
    <cellStyle name="40% - Accent6 4 2 6 3 2 2" xfId="28408"/>
    <cellStyle name="40% - Accent6 4 2 6 3 2 3" xfId="28409"/>
    <cellStyle name="40% - Accent6 4 2 6 3 3" xfId="28410"/>
    <cellStyle name="40% - Accent6 4 2 6 3 3 2" xfId="28411"/>
    <cellStyle name="40% - Accent6 4 2 6 3 3 3" xfId="28412"/>
    <cellStyle name="40% - Accent6 4 2 6 3 4" xfId="28413"/>
    <cellStyle name="40% - Accent6 4 2 6 3 4 2" xfId="28414"/>
    <cellStyle name="40% - Accent6 4 2 6 3 5" xfId="28415"/>
    <cellStyle name="40% - Accent6 4 2 6 3 6" xfId="28416"/>
    <cellStyle name="40% - Accent6 4 2 6 4" xfId="28417"/>
    <cellStyle name="40% - Accent6 4 2 6 4 2" xfId="28418"/>
    <cellStyle name="40% - Accent6 4 2 6 4 2 2" xfId="28419"/>
    <cellStyle name="40% - Accent6 4 2 6 4 2 3" xfId="28420"/>
    <cellStyle name="40% - Accent6 4 2 6 4 3" xfId="28421"/>
    <cellStyle name="40% - Accent6 4 2 6 4 3 2" xfId="28422"/>
    <cellStyle name="40% - Accent6 4 2 6 4 4" xfId="28423"/>
    <cellStyle name="40% - Accent6 4 2 6 4 5" xfId="28424"/>
    <cellStyle name="40% - Accent6 4 2 6 5" xfId="28425"/>
    <cellStyle name="40% - Accent6 4 2 6 5 2" xfId="28426"/>
    <cellStyle name="40% - Accent6 4 2 6 5 3" xfId="28427"/>
    <cellStyle name="40% - Accent6 4 2 6 6" xfId="28428"/>
    <cellStyle name="40% - Accent6 4 2 6 6 2" xfId="28429"/>
    <cellStyle name="40% - Accent6 4 2 6 6 3" xfId="28430"/>
    <cellStyle name="40% - Accent6 4 2 6 7" xfId="28431"/>
    <cellStyle name="40% - Accent6 4 2 6 7 2" xfId="28432"/>
    <cellStyle name="40% - Accent6 4 2 6 8" xfId="28433"/>
    <cellStyle name="40% - Accent6 4 2 6 9" xfId="28434"/>
    <cellStyle name="40% - Accent6 4 2 7" xfId="28435"/>
    <cellStyle name="40% - Accent6 4 2 7 2" xfId="28436"/>
    <cellStyle name="40% - Accent6 4 2 7 2 2" xfId="28437"/>
    <cellStyle name="40% - Accent6 4 2 7 2 3" xfId="28438"/>
    <cellStyle name="40% - Accent6 4 2 7 3" xfId="28439"/>
    <cellStyle name="40% - Accent6 4 2 7 3 2" xfId="28440"/>
    <cellStyle name="40% - Accent6 4 2 7 3 3" xfId="28441"/>
    <cellStyle name="40% - Accent6 4 2 7 4" xfId="28442"/>
    <cellStyle name="40% - Accent6 4 2 7 4 2" xfId="28443"/>
    <cellStyle name="40% - Accent6 4 2 7 5" xfId="28444"/>
    <cellStyle name="40% - Accent6 4 2 7 6" xfId="28445"/>
    <cellStyle name="40% - Accent6 4 2 8" xfId="28446"/>
    <cellStyle name="40% - Accent6 4 2 8 2" xfId="28447"/>
    <cellStyle name="40% - Accent6 4 2 8 2 2" xfId="28448"/>
    <cellStyle name="40% - Accent6 4 2 8 2 3" xfId="28449"/>
    <cellStyle name="40% - Accent6 4 2 8 3" xfId="28450"/>
    <cellStyle name="40% - Accent6 4 2 8 3 2" xfId="28451"/>
    <cellStyle name="40% - Accent6 4 2 8 3 3" xfId="28452"/>
    <cellStyle name="40% - Accent6 4 2 8 4" xfId="28453"/>
    <cellStyle name="40% - Accent6 4 2 8 4 2" xfId="28454"/>
    <cellStyle name="40% - Accent6 4 2 8 5" xfId="28455"/>
    <cellStyle name="40% - Accent6 4 2 8 6" xfId="28456"/>
    <cellStyle name="40% - Accent6 4 2 9" xfId="28457"/>
    <cellStyle name="40% - Accent6 4 2 9 2" xfId="28458"/>
    <cellStyle name="40% - Accent6 4 2 9 2 2" xfId="28459"/>
    <cellStyle name="40% - Accent6 4 2 9 2 3" xfId="28460"/>
    <cellStyle name="40% - Accent6 4 2 9 3" xfId="28461"/>
    <cellStyle name="40% - Accent6 4 2 9 3 2" xfId="28462"/>
    <cellStyle name="40% - Accent6 4 2 9 4" xfId="28463"/>
    <cellStyle name="40% - Accent6 4 2 9 5" xfId="28464"/>
    <cellStyle name="40% - Accent6 4 3" xfId="2664"/>
    <cellStyle name="40% - Accent6 4 3 10" xfId="28465"/>
    <cellStyle name="40% - Accent6 4 3 10 2" xfId="28466"/>
    <cellStyle name="40% - Accent6 4 3 10 3" xfId="28467"/>
    <cellStyle name="40% - Accent6 4 3 11" xfId="28468"/>
    <cellStyle name="40% - Accent6 4 3 11 2" xfId="28469"/>
    <cellStyle name="40% - Accent6 4 3 12" xfId="28470"/>
    <cellStyle name="40% - Accent6 4 3 13" xfId="28471"/>
    <cellStyle name="40% - Accent6 4 3 14" xfId="28472"/>
    <cellStyle name="40% - Accent6 4 3 2" xfId="2665"/>
    <cellStyle name="40% - Accent6 4 3 2 10" xfId="28473"/>
    <cellStyle name="40% - Accent6 4 3 2 10 2" xfId="28474"/>
    <cellStyle name="40% - Accent6 4 3 2 11" xfId="28475"/>
    <cellStyle name="40% - Accent6 4 3 2 12" xfId="28476"/>
    <cellStyle name="40% - Accent6 4 3 2 2" xfId="2666"/>
    <cellStyle name="40% - Accent6 4 3 2 2 10" xfId="28477"/>
    <cellStyle name="40% - Accent6 4 3 2 2 2" xfId="2667"/>
    <cellStyle name="40% - Accent6 4 3 2 2 2 2" xfId="28478"/>
    <cellStyle name="40% - Accent6 4 3 2 2 2 2 2" xfId="28479"/>
    <cellStyle name="40% - Accent6 4 3 2 2 2 2 2 2" xfId="28480"/>
    <cellStyle name="40% - Accent6 4 3 2 2 2 2 2 3" xfId="28481"/>
    <cellStyle name="40% - Accent6 4 3 2 2 2 2 3" xfId="28482"/>
    <cellStyle name="40% - Accent6 4 3 2 2 2 2 3 2" xfId="28483"/>
    <cellStyle name="40% - Accent6 4 3 2 2 2 2 3 3" xfId="28484"/>
    <cellStyle name="40% - Accent6 4 3 2 2 2 2 4" xfId="28485"/>
    <cellStyle name="40% - Accent6 4 3 2 2 2 2 4 2" xfId="28486"/>
    <cellStyle name="40% - Accent6 4 3 2 2 2 2 5" xfId="28487"/>
    <cellStyle name="40% - Accent6 4 3 2 2 2 2 6" xfId="28488"/>
    <cellStyle name="40% - Accent6 4 3 2 2 2 3" xfId="28489"/>
    <cellStyle name="40% - Accent6 4 3 2 2 2 3 2" xfId="28490"/>
    <cellStyle name="40% - Accent6 4 3 2 2 2 3 2 2" xfId="28491"/>
    <cellStyle name="40% - Accent6 4 3 2 2 2 3 2 3" xfId="28492"/>
    <cellStyle name="40% - Accent6 4 3 2 2 2 3 3" xfId="28493"/>
    <cellStyle name="40% - Accent6 4 3 2 2 2 3 3 2" xfId="28494"/>
    <cellStyle name="40% - Accent6 4 3 2 2 2 3 3 3" xfId="28495"/>
    <cellStyle name="40% - Accent6 4 3 2 2 2 3 4" xfId="28496"/>
    <cellStyle name="40% - Accent6 4 3 2 2 2 3 4 2" xfId="28497"/>
    <cellStyle name="40% - Accent6 4 3 2 2 2 3 5" xfId="28498"/>
    <cellStyle name="40% - Accent6 4 3 2 2 2 3 6" xfId="28499"/>
    <cellStyle name="40% - Accent6 4 3 2 2 2 4" xfId="28500"/>
    <cellStyle name="40% - Accent6 4 3 2 2 2 4 2" xfId="28501"/>
    <cellStyle name="40% - Accent6 4 3 2 2 2 4 2 2" xfId="28502"/>
    <cellStyle name="40% - Accent6 4 3 2 2 2 4 2 3" xfId="28503"/>
    <cellStyle name="40% - Accent6 4 3 2 2 2 4 3" xfId="28504"/>
    <cellStyle name="40% - Accent6 4 3 2 2 2 4 3 2" xfId="28505"/>
    <cellStyle name="40% - Accent6 4 3 2 2 2 4 4" xfId="28506"/>
    <cellStyle name="40% - Accent6 4 3 2 2 2 4 5" xfId="28507"/>
    <cellStyle name="40% - Accent6 4 3 2 2 2 5" xfId="28508"/>
    <cellStyle name="40% - Accent6 4 3 2 2 2 5 2" xfId="28509"/>
    <cellStyle name="40% - Accent6 4 3 2 2 2 5 3" xfId="28510"/>
    <cellStyle name="40% - Accent6 4 3 2 2 2 6" xfId="28511"/>
    <cellStyle name="40% - Accent6 4 3 2 2 2 6 2" xfId="28512"/>
    <cellStyle name="40% - Accent6 4 3 2 2 2 6 3" xfId="28513"/>
    <cellStyle name="40% - Accent6 4 3 2 2 2 7" xfId="28514"/>
    <cellStyle name="40% - Accent6 4 3 2 2 2 7 2" xfId="28515"/>
    <cellStyle name="40% - Accent6 4 3 2 2 2 8" xfId="28516"/>
    <cellStyle name="40% - Accent6 4 3 2 2 2 9" xfId="28517"/>
    <cellStyle name="40% - Accent6 4 3 2 2 3" xfId="28518"/>
    <cellStyle name="40% - Accent6 4 3 2 2 3 2" xfId="28519"/>
    <cellStyle name="40% - Accent6 4 3 2 2 3 2 2" xfId="28520"/>
    <cellStyle name="40% - Accent6 4 3 2 2 3 2 3" xfId="28521"/>
    <cellStyle name="40% - Accent6 4 3 2 2 3 3" xfId="28522"/>
    <cellStyle name="40% - Accent6 4 3 2 2 3 3 2" xfId="28523"/>
    <cellStyle name="40% - Accent6 4 3 2 2 3 3 3" xfId="28524"/>
    <cellStyle name="40% - Accent6 4 3 2 2 3 4" xfId="28525"/>
    <cellStyle name="40% - Accent6 4 3 2 2 3 4 2" xfId="28526"/>
    <cellStyle name="40% - Accent6 4 3 2 2 3 5" xfId="28527"/>
    <cellStyle name="40% - Accent6 4 3 2 2 3 6" xfId="28528"/>
    <cellStyle name="40% - Accent6 4 3 2 2 4" xfId="28529"/>
    <cellStyle name="40% - Accent6 4 3 2 2 4 2" xfId="28530"/>
    <cellStyle name="40% - Accent6 4 3 2 2 4 2 2" xfId="28531"/>
    <cellStyle name="40% - Accent6 4 3 2 2 4 2 3" xfId="28532"/>
    <cellStyle name="40% - Accent6 4 3 2 2 4 3" xfId="28533"/>
    <cellStyle name="40% - Accent6 4 3 2 2 4 3 2" xfId="28534"/>
    <cellStyle name="40% - Accent6 4 3 2 2 4 3 3" xfId="28535"/>
    <cellStyle name="40% - Accent6 4 3 2 2 4 4" xfId="28536"/>
    <cellStyle name="40% - Accent6 4 3 2 2 4 4 2" xfId="28537"/>
    <cellStyle name="40% - Accent6 4 3 2 2 4 5" xfId="28538"/>
    <cellStyle name="40% - Accent6 4 3 2 2 4 6" xfId="28539"/>
    <cellStyle name="40% - Accent6 4 3 2 2 5" xfId="28540"/>
    <cellStyle name="40% - Accent6 4 3 2 2 5 2" xfId="28541"/>
    <cellStyle name="40% - Accent6 4 3 2 2 5 2 2" xfId="28542"/>
    <cellStyle name="40% - Accent6 4 3 2 2 5 2 3" xfId="28543"/>
    <cellStyle name="40% - Accent6 4 3 2 2 5 3" xfId="28544"/>
    <cellStyle name="40% - Accent6 4 3 2 2 5 3 2" xfId="28545"/>
    <cellStyle name="40% - Accent6 4 3 2 2 5 4" xfId="28546"/>
    <cellStyle name="40% - Accent6 4 3 2 2 5 5" xfId="28547"/>
    <cellStyle name="40% - Accent6 4 3 2 2 6" xfId="28548"/>
    <cellStyle name="40% - Accent6 4 3 2 2 6 2" xfId="28549"/>
    <cellStyle name="40% - Accent6 4 3 2 2 6 3" xfId="28550"/>
    <cellStyle name="40% - Accent6 4 3 2 2 7" xfId="28551"/>
    <cellStyle name="40% - Accent6 4 3 2 2 7 2" xfId="28552"/>
    <cellStyle name="40% - Accent6 4 3 2 2 7 3" xfId="28553"/>
    <cellStyle name="40% - Accent6 4 3 2 2 8" xfId="28554"/>
    <cellStyle name="40% - Accent6 4 3 2 2 8 2" xfId="28555"/>
    <cellStyle name="40% - Accent6 4 3 2 2 9" xfId="28556"/>
    <cellStyle name="40% - Accent6 4 3 2 3" xfId="2668"/>
    <cellStyle name="40% - Accent6 4 3 2 3 2" xfId="28557"/>
    <cellStyle name="40% - Accent6 4 3 2 3 2 2" xfId="28558"/>
    <cellStyle name="40% - Accent6 4 3 2 3 2 2 2" xfId="28559"/>
    <cellStyle name="40% - Accent6 4 3 2 3 2 2 3" xfId="28560"/>
    <cellStyle name="40% - Accent6 4 3 2 3 2 3" xfId="28561"/>
    <cellStyle name="40% - Accent6 4 3 2 3 2 3 2" xfId="28562"/>
    <cellStyle name="40% - Accent6 4 3 2 3 2 3 3" xfId="28563"/>
    <cellStyle name="40% - Accent6 4 3 2 3 2 4" xfId="28564"/>
    <cellStyle name="40% - Accent6 4 3 2 3 2 4 2" xfId="28565"/>
    <cellStyle name="40% - Accent6 4 3 2 3 2 5" xfId="28566"/>
    <cellStyle name="40% - Accent6 4 3 2 3 2 6" xfId="28567"/>
    <cellStyle name="40% - Accent6 4 3 2 3 3" xfId="28568"/>
    <cellStyle name="40% - Accent6 4 3 2 3 3 2" xfId="28569"/>
    <cellStyle name="40% - Accent6 4 3 2 3 3 2 2" xfId="28570"/>
    <cellStyle name="40% - Accent6 4 3 2 3 3 2 3" xfId="28571"/>
    <cellStyle name="40% - Accent6 4 3 2 3 3 3" xfId="28572"/>
    <cellStyle name="40% - Accent6 4 3 2 3 3 3 2" xfId="28573"/>
    <cellStyle name="40% - Accent6 4 3 2 3 3 3 3" xfId="28574"/>
    <cellStyle name="40% - Accent6 4 3 2 3 3 4" xfId="28575"/>
    <cellStyle name="40% - Accent6 4 3 2 3 3 4 2" xfId="28576"/>
    <cellStyle name="40% - Accent6 4 3 2 3 3 5" xfId="28577"/>
    <cellStyle name="40% - Accent6 4 3 2 3 3 6" xfId="28578"/>
    <cellStyle name="40% - Accent6 4 3 2 3 4" xfId="28579"/>
    <cellStyle name="40% - Accent6 4 3 2 3 4 2" xfId="28580"/>
    <cellStyle name="40% - Accent6 4 3 2 3 4 2 2" xfId="28581"/>
    <cellStyle name="40% - Accent6 4 3 2 3 4 2 3" xfId="28582"/>
    <cellStyle name="40% - Accent6 4 3 2 3 4 3" xfId="28583"/>
    <cellStyle name="40% - Accent6 4 3 2 3 4 3 2" xfId="28584"/>
    <cellStyle name="40% - Accent6 4 3 2 3 4 4" xfId="28585"/>
    <cellStyle name="40% - Accent6 4 3 2 3 4 5" xfId="28586"/>
    <cellStyle name="40% - Accent6 4 3 2 3 5" xfId="28587"/>
    <cellStyle name="40% - Accent6 4 3 2 3 5 2" xfId="28588"/>
    <cellStyle name="40% - Accent6 4 3 2 3 5 3" xfId="28589"/>
    <cellStyle name="40% - Accent6 4 3 2 3 6" xfId="28590"/>
    <cellStyle name="40% - Accent6 4 3 2 3 6 2" xfId="28591"/>
    <cellStyle name="40% - Accent6 4 3 2 3 6 3" xfId="28592"/>
    <cellStyle name="40% - Accent6 4 3 2 3 7" xfId="28593"/>
    <cellStyle name="40% - Accent6 4 3 2 3 7 2" xfId="28594"/>
    <cellStyle name="40% - Accent6 4 3 2 3 8" xfId="28595"/>
    <cellStyle name="40% - Accent6 4 3 2 3 9" xfId="28596"/>
    <cellStyle name="40% - Accent6 4 3 2 4" xfId="28597"/>
    <cellStyle name="40% - Accent6 4 3 2 4 2" xfId="28598"/>
    <cellStyle name="40% - Accent6 4 3 2 4 2 2" xfId="28599"/>
    <cellStyle name="40% - Accent6 4 3 2 4 2 2 2" xfId="28600"/>
    <cellStyle name="40% - Accent6 4 3 2 4 2 2 3" xfId="28601"/>
    <cellStyle name="40% - Accent6 4 3 2 4 2 3" xfId="28602"/>
    <cellStyle name="40% - Accent6 4 3 2 4 2 3 2" xfId="28603"/>
    <cellStyle name="40% - Accent6 4 3 2 4 2 3 3" xfId="28604"/>
    <cellStyle name="40% - Accent6 4 3 2 4 2 4" xfId="28605"/>
    <cellStyle name="40% - Accent6 4 3 2 4 2 4 2" xfId="28606"/>
    <cellStyle name="40% - Accent6 4 3 2 4 2 5" xfId="28607"/>
    <cellStyle name="40% - Accent6 4 3 2 4 2 6" xfId="28608"/>
    <cellStyle name="40% - Accent6 4 3 2 4 3" xfId="28609"/>
    <cellStyle name="40% - Accent6 4 3 2 4 3 2" xfId="28610"/>
    <cellStyle name="40% - Accent6 4 3 2 4 3 2 2" xfId="28611"/>
    <cellStyle name="40% - Accent6 4 3 2 4 3 2 3" xfId="28612"/>
    <cellStyle name="40% - Accent6 4 3 2 4 3 3" xfId="28613"/>
    <cellStyle name="40% - Accent6 4 3 2 4 3 3 2" xfId="28614"/>
    <cellStyle name="40% - Accent6 4 3 2 4 3 3 3" xfId="28615"/>
    <cellStyle name="40% - Accent6 4 3 2 4 3 4" xfId="28616"/>
    <cellStyle name="40% - Accent6 4 3 2 4 3 4 2" xfId="28617"/>
    <cellStyle name="40% - Accent6 4 3 2 4 3 5" xfId="28618"/>
    <cellStyle name="40% - Accent6 4 3 2 4 3 6" xfId="28619"/>
    <cellStyle name="40% - Accent6 4 3 2 4 4" xfId="28620"/>
    <cellStyle name="40% - Accent6 4 3 2 4 4 2" xfId="28621"/>
    <cellStyle name="40% - Accent6 4 3 2 4 4 2 2" xfId="28622"/>
    <cellStyle name="40% - Accent6 4 3 2 4 4 2 3" xfId="28623"/>
    <cellStyle name="40% - Accent6 4 3 2 4 4 3" xfId="28624"/>
    <cellStyle name="40% - Accent6 4 3 2 4 4 3 2" xfId="28625"/>
    <cellStyle name="40% - Accent6 4 3 2 4 4 4" xfId="28626"/>
    <cellStyle name="40% - Accent6 4 3 2 4 4 5" xfId="28627"/>
    <cellStyle name="40% - Accent6 4 3 2 4 5" xfId="28628"/>
    <cellStyle name="40% - Accent6 4 3 2 4 5 2" xfId="28629"/>
    <cellStyle name="40% - Accent6 4 3 2 4 5 3" xfId="28630"/>
    <cellStyle name="40% - Accent6 4 3 2 4 6" xfId="28631"/>
    <cellStyle name="40% - Accent6 4 3 2 4 6 2" xfId="28632"/>
    <cellStyle name="40% - Accent6 4 3 2 4 6 3" xfId="28633"/>
    <cellStyle name="40% - Accent6 4 3 2 4 7" xfId="28634"/>
    <cellStyle name="40% - Accent6 4 3 2 4 7 2" xfId="28635"/>
    <cellStyle name="40% - Accent6 4 3 2 4 8" xfId="28636"/>
    <cellStyle name="40% - Accent6 4 3 2 4 9" xfId="28637"/>
    <cellStyle name="40% - Accent6 4 3 2 5" xfId="28638"/>
    <cellStyle name="40% - Accent6 4 3 2 5 2" xfId="28639"/>
    <cellStyle name="40% - Accent6 4 3 2 5 2 2" xfId="28640"/>
    <cellStyle name="40% - Accent6 4 3 2 5 2 3" xfId="28641"/>
    <cellStyle name="40% - Accent6 4 3 2 5 3" xfId="28642"/>
    <cellStyle name="40% - Accent6 4 3 2 5 3 2" xfId="28643"/>
    <cellStyle name="40% - Accent6 4 3 2 5 3 3" xfId="28644"/>
    <cellStyle name="40% - Accent6 4 3 2 5 4" xfId="28645"/>
    <cellStyle name="40% - Accent6 4 3 2 5 4 2" xfId="28646"/>
    <cellStyle name="40% - Accent6 4 3 2 5 5" xfId="28647"/>
    <cellStyle name="40% - Accent6 4 3 2 5 6" xfId="28648"/>
    <cellStyle name="40% - Accent6 4 3 2 6" xfId="28649"/>
    <cellStyle name="40% - Accent6 4 3 2 6 2" xfId="28650"/>
    <cellStyle name="40% - Accent6 4 3 2 6 2 2" xfId="28651"/>
    <cellStyle name="40% - Accent6 4 3 2 6 2 3" xfId="28652"/>
    <cellStyle name="40% - Accent6 4 3 2 6 3" xfId="28653"/>
    <cellStyle name="40% - Accent6 4 3 2 6 3 2" xfId="28654"/>
    <cellStyle name="40% - Accent6 4 3 2 6 3 3" xfId="28655"/>
    <cellStyle name="40% - Accent6 4 3 2 6 4" xfId="28656"/>
    <cellStyle name="40% - Accent6 4 3 2 6 4 2" xfId="28657"/>
    <cellStyle name="40% - Accent6 4 3 2 6 5" xfId="28658"/>
    <cellStyle name="40% - Accent6 4 3 2 6 6" xfId="28659"/>
    <cellStyle name="40% - Accent6 4 3 2 7" xfId="28660"/>
    <cellStyle name="40% - Accent6 4 3 2 7 2" xfId="28661"/>
    <cellStyle name="40% - Accent6 4 3 2 7 2 2" xfId="28662"/>
    <cellStyle name="40% - Accent6 4 3 2 7 2 3" xfId="28663"/>
    <cellStyle name="40% - Accent6 4 3 2 7 3" xfId="28664"/>
    <cellStyle name="40% - Accent6 4 3 2 7 3 2" xfId="28665"/>
    <cellStyle name="40% - Accent6 4 3 2 7 4" xfId="28666"/>
    <cellStyle name="40% - Accent6 4 3 2 7 5" xfId="28667"/>
    <cellStyle name="40% - Accent6 4 3 2 8" xfId="28668"/>
    <cellStyle name="40% - Accent6 4 3 2 8 2" xfId="28669"/>
    <cellStyle name="40% - Accent6 4 3 2 8 3" xfId="28670"/>
    <cellStyle name="40% - Accent6 4 3 2 9" xfId="28671"/>
    <cellStyle name="40% - Accent6 4 3 2 9 2" xfId="28672"/>
    <cellStyle name="40% - Accent6 4 3 2 9 3" xfId="28673"/>
    <cellStyle name="40% - Accent6 4 3 3" xfId="2669"/>
    <cellStyle name="40% - Accent6 4 3 3 10" xfId="28674"/>
    <cellStyle name="40% - Accent6 4 3 3 2" xfId="2670"/>
    <cellStyle name="40% - Accent6 4 3 3 2 2" xfId="28675"/>
    <cellStyle name="40% - Accent6 4 3 3 2 2 2" xfId="28676"/>
    <cellStyle name="40% - Accent6 4 3 3 2 2 2 2" xfId="28677"/>
    <cellStyle name="40% - Accent6 4 3 3 2 2 2 3" xfId="28678"/>
    <cellStyle name="40% - Accent6 4 3 3 2 2 3" xfId="28679"/>
    <cellStyle name="40% - Accent6 4 3 3 2 2 3 2" xfId="28680"/>
    <cellStyle name="40% - Accent6 4 3 3 2 2 3 3" xfId="28681"/>
    <cellStyle name="40% - Accent6 4 3 3 2 2 4" xfId="28682"/>
    <cellStyle name="40% - Accent6 4 3 3 2 2 4 2" xfId="28683"/>
    <cellStyle name="40% - Accent6 4 3 3 2 2 5" xfId="28684"/>
    <cellStyle name="40% - Accent6 4 3 3 2 2 6" xfId="28685"/>
    <cellStyle name="40% - Accent6 4 3 3 2 3" xfId="28686"/>
    <cellStyle name="40% - Accent6 4 3 3 2 3 2" xfId="28687"/>
    <cellStyle name="40% - Accent6 4 3 3 2 3 2 2" xfId="28688"/>
    <cellStyle name="40% - Accent6 4 3 3 2 3 2 3" xfId="28689"/>
    <cellStyle name="40% - Accent6 4 3 3 2 3 3" xfId="28690"/>
    <cellStyle name="40% - Accent6 4 3 3 2 3 3 2" xfId="28691"/>
    <cellStyle name="40% - Accent6 4 3 3 2 3 3 3" xfId="28692"/>
    <cellStyle name="40% - Accent6 4 3 3 2 3 4" xfId="28693"/>
    <cellStyle name="40% - Accent6 4 3 3 2 3 4 2" xfId="28694"/>
    <cellStyle name="40% - Accent6 4 3 3 2 3 5" xfId="28695"/>
    <cellStyle name="40% - Accent6 4 3 3 2 3 6" xfId="28696"/>
    <cellStyle name="40% - Accent6 4 3 3 2 4" xfId="28697"/>
    <cellStyle name="40% - Accent6 4 3 3 2 4 2" xfId="28698"/>
    <cellStyle name="40% - Accent6 4 3 3 2 4 2 2" xfId="28699"/>
    <cellStyle name="40% - Accent6 4 3 3 2 4 2 3" xfId="28700"/>
    <cellStyle name="40% - Accent6 4 3 3 2 4 3" xfId="28701"/>
    <cellStyle name="40% - Accent6 4 3 3 2 4 3 2" xfId="28702"/>
    <cellStyle name="40% - Accent6 4 3 3 2 4 4" xfId="28703"/>
    <cellStyle name="40% - Accent6 4 3 3 2 4 5" xfId="28704"/>
    <cellStyle name="40% - Accent6 4 3 3 2 5" xfId="28705"/>
    <cellStyle name="40% - Accent6 4 3 3 2 5 2" xfId="28706"/>
    <cellStyle name="40% - Accent6 4 3 3 2 5 3" xfId="28707"/>
    <cellStyle name="40% - Accent6 4 3 3 2 6" xfId="28708"/>
    <cellStyle name="40% - Accent6 4 3 3 2 6 2" xfId="28709"/>
    <cellStyle name="40% - Accent6 4 3 3 2 6 3" xfId="28710"/>
    <cellStyle name="40% - Accent6 4 3 3 2 7" xfId="28711"/>
    <cellStyle name="40% - Accent6 4 3 3 2 7 2" xfId="28712"/>
    <cellStyle name="40% - Accent6 4 3 3 2 8" xfId="28713"/>
    <cellStyle name="40% - Accent6 4 3 3 2 9" xfId="28714"/>
    <cellStyle name="40% - Accent6 4 3 3 3" xfId="28715"/>
    <cellStyle name="40% - Accent6 4 3 3 3 2" xfId="28716"/>
    <cellStyle name="40% - Accent6 4 3 3 3 2 2" xfId="28717"/>
    <cellStyle name="40% - Accent6 4 3 3 3 2 3" xfId="28718"/>
    <cellStyle name="40% - Accent6 4 3 3 3 3" xfId="28719"/>
    <cellStyle name="40% - Accent6 4 3 3 3 3 2" xfId="28720"/>
    <cellStyle name="40% - Accent6 4 3 3 3 3 3" xfId="28721"/>
    <cellStyle name="40% - Accent6 4 3 3 3 4" xfId="28722"/>
    <cellStyle name="40% - Accent6 4 3 3 3 4 2" xfId="28723"/>
    <cellStyle name="40% - Accent6 4 3 3 3 5" xfId="28724"/>
    <cellStyle name="40% - Accent6 4 3 3 3 6" xfId="28725"/>
    <cellStyle name="40% - Accent6 4 3 3 4" xfId="28726"/>
    <cellStyle name="40% - Accent6 4 3 3 4 2" xfId="28727"/>
    <cellStyle name="40% - Accent6 4 3 3 4 2 2" xfId="28728"/>
    <cellStyle name="40% - Accent6 4 3 3 4 2 3" xfId="28729"/>
    <cellStyle name="40% - Accent6 4 3 3 4 3" xfId="28730"/>
    <cellStyle name="40% - Accent6 4 3 3 4 3 2" xfId="28731"/>
    <cellStyle name="40% - Accent6 4 3 3 4 3 3" xfId="28732"/>
    <cellStyle name="40% - Accent6 4 3 3 4 4" xfId="28733"/>
    <cellStyle name="40% - Accent6 4 3 3 4 4 2" xfId="28734"/>
    <cellStyle name="40% - Accent6 4 3 3 4 5" xfId="28735"/>
    <cellStyle name="40% - Accent6 4 3 3 4 6" xfId="28736"/>
    <cellStyle name="40% - Accent6 4 3 3 5" xfId="28737"/>
    <cellStyle name="40% - Accent6 4 3 3 5 2" xfId="28738"/>
    <cellStyle name="40% - Accent6 4 3 3 5 2 2" xfId="28739"/>
    <cellStyle name="40% - Accent6 4 3 3 5 2 3" xfId="28740"/>
    <cellStyle name="40% - Accent6 4 3 3 5 3" xfId="28741"/>
    <cellStyle name="40% - Accent6 4 3 3 5 3 2" xfId="28742"/>
    <cellStyle name="40% - Accent6 4 3 3 5 4" xfId="28743"/>
    <cellStyle name="40% - Accent6 4 3 3 5 5" xfId="28744"/>
    <cellStyle name="40% - Accent6 4 3 3 6" xfId="28745"/>
    <cellStyle name="40% - Accent6 4 3 3 6 2" xfId="28746"/>
    <cellStyle name="40% - Accent6 4 3 3 6 3" xfId="28747"/>
    <cellStyle name="40% - Accent6 4 3 3 7" xfId="28748"/>
    <cellStyle name="40% - Accent6 4 3 3 7 2" xfId="28749"/>
    <cellStyle name="40% - Accent6 4 3 3 7 3" xfId="28750"/>
    <cellStyle name="40% - Accent6 4 3 3 8" xfId="28751"/>
    <cellStyle name="40% - Accent6 4 3 3 8 2" xfId="28752"/>
    <cellStyle name="40% - Accent6 4 3 3 9" xfId="28753"/>
    <cellStyle name="40% - Accent6 4 3 4" xfId="2671"/>
    <cellStyle name="40% - Accent6 4 3 4 2" xfId="28754"/>
    <cellStyle name="40% - Accent6 4 3 4 2 2" xfId="28755"/>
    <cellStyle name="40% - Accent6 4 3 4 2 2 2" xfId="28756"/>
    <cellStyle name="40% - Accent6 4 3 4 2 2 3" xfId="28757"/>
    <cellStyle name="40% - Accent6 4 3 4 2 3" xfId="28758"/>
    <cellStyle name="40% - Accent6 4 3 4 2 3 2" xfId="28759"/>
    <cellStyle name="40% - Accent6 4 3 4 2 3 3" xfId="28760"/>
    <cellStyle name="40% - Accent6 4 3 4 2 4" xfId="28761"/>
    <cellStyle name="40% - Accent6 4 3 4 2 4 2" xfId="28762"/>
    <cellStyle name="40% - Accent6 4 3 4 2 5" xfId="28763"/>
    <cellStyle name="40% - Accent6 4 3 4 2 6" xfId="28764"/>
    <cellStyle name="40% - Accent6 4 3 4 3" xfId="28765"/>
    <cellStyle name="40% - Accent6 4 3 4 3 2" xfId="28766"/>
    <cellStyle name="40% - Accent6 4 3 4 3 2 2" xfId="28767"/>
    <cellStyle name="40% - Accent6 4 3 4 3 2 3" xfId="28768"/>
    <cellStyle name="40% - Accent6 4 3 4 3 3" xfId="28769"/>
    <cellStyle name="40% - Accent6 4 3 4 3 3 2" xfId="28770"/>
    <cellStyle name="40% - Accent6 4 3 4 3 3 3" xfId="28771"/>
    <cellStyle name="40% - Accent6 4 3 4 3 4" xfId="28772"/>
    <cellStyle name="40% - Accent6 4 3 4 3 4 2" xfId="28773"/>
    <cellStyle name="40% - Accent6 4 3 4 3 5" xfId="28774"/>
    <cellStyle name="40% - Accent6 4 3 4 3 6" xfId="28775"/>
    <cellStyle name="40% - Accent6 4 3 4 4" xfId="28776"/>
    <cellStyle name="40% - Accent6 4 3 4 4 2" xfId="28777"/>
    <cellStyle name="40% - Accent6 4 3 4 4 2 2" xfId="28778"/>
    <cellStyle name="40% - Accent6 4 3 4 4 2 3" xfId="28779"/>
    <cellStyle name="40% - Accent6 4 3 4 4 3" xfId="28780"/>
    <cellStyle name="40% - Accent6 4 3 4 4 3 2" xfId="28781"/>
    <cellStyle name="40% - Accent6 4 3 4 4 4" xfId="28782"/>
    <cellStyle name="40% - Accent6 4 3 4 4 5" xfId="28783"/>
    <cellStyle name="40% - Accent6 4 3 4 5" xfId="28784"/>
    <cellStyle name="40% - Accent6 4 3 4 5 2" xfId="28785"/>
    <cellStyle name="40% - Accent6 4 3 4 5 3" xfId="28786"/>
    <cellStyle name="40% - Accent6 4 3 4 6" xfId="28787"/>
    <cellStyle name="40% - Accent6 4 3 4 6 2" xfId="28788"/>
    <cellStyle name="40% - Accent6 4 3 4 6 3" xfId="28789"/>
    <cellStyle name="40% - Accent6 4 3 4 7" xfId="28790"/>
    <cellStyle name="40% - Accent6 4 3 4 7 2" xfId="28791"/>
    <cellStyle name="40% - Accent6 4 3 4 8" xfId="28792"/>
    <cellStyle name="40% - Accent6 4 3 4 9" xfId="28793"/>
    <cellStyle name="40% - Accent6 4 3 5" xfId="28794"/>
    <cellStyle name="40% - Accent6 4 3 5 2" xfId="28795"/>
    <cellStyle name="40% - Accent6 4 3 5 2 2" xfId="28796"/>
    <cellStyle name="40% - Accent6 4 3 5 2 2 2" xfId="28797"/>
    <cellStyle name="40% - Accent6 4 3 5 2 2 3" xfId="28798"/>
    <cellStyle name="40% - Accent6 4 3 5 2 3" xfId="28799"/>
    <cellStyle name="40% - Accent6 4 3 5 2 3 2" xfId="28800"/>
    <cellStyle name="40% - Accent6 4 3 5 2 3 3" xfId="28801"/>
    <cellStyle name="40% - Accent6 4 3 5 2 4" xfId="28802"/>
    <cellStyle name="40% - Accent6 4 3 5 2 4 2" xfId="28803"/>
    <cellStyle name="40% - Accent6 4 3 5 2 5" xfId="28804"/>
    <cellStyle name="40% - Accent6 4 3 5 2 6" xfId="28805"/>
    <cellStyle name="40% - Accent6 4 3 5 3" xfId="28806"/>
    <cellStyle name="40% - Accent6 4 3 5 3 2" xfId="28807"/>
    <cellStyle name="40% - Accent6 4 3 5 3 2 2" xfId="28808"/>
    <cellStyle name="40% - Accent6 4 3 5 3 2 3" xfId="28809"/>
    <cellStyle name="40% - Accent6 4 3 5 3 3" xfId="28810"/>
    <cellStyle name="40% - Accent6 4 3 5 3 3 2" xfId="28811"/>
    <cellStyle name="40% - Accent6 4 3 5 3 3 3" xfId="28812"/>
    <cellStyle name="40% - Accent6 4 3 5 3 4" xfId="28813"/>
    <cellStyle name="40% - Accent6 4 3 5 3 4 2" xfId="28814"/>
    <cellStyle name="40% - Accent6 4 3 5 3 5" xfId="28815"/>
    <cellStyle name="40% - Accent6 4 3 5 3 6" xfId="28816"/>
    <cellStyle name="40% - Accent6 4 3 5 4" xfId="28817"/>
    <cellStyle name="40% - Accent6 4 3 5 4 2" xfId="28818"/>
    <cellStyle name="40% - Accent6 4 3 5 4 2 2" xfId="28819"/>
    <cellStyle name="40% - Accent6 4 3 5 4 2 3" xfId="28820"/>
    <cellStyle name="40% - Accent6 4 3 5 4 3" xfId="28821"/>
    <cellStyle name="40% - Accent6 4 3 5 4 3 2" xfId="28822"/>
    <cellStyle name="40% - Accent6 4 3 5 4 4" xfId="28823"/>
    <cellStyle name="40% - Accent6 4 3 5 4 5" xfId="28824"/>
    <cellStyle name="40% - Accent6 4 3 5 5" xfId="28825"/>
    <cellStyle name="40% - Accent6 4 3 5 5 2" xfId="28826"/>
    <cellStyle name="40% - Accent6 4 3 5 5 3" xfId="28827"/>
    <cellStyle name="40% - Accent6 4 3 5 6" xfId="28828"/>
    <cellStyle name="40% - Accent6 4 3 5 6 2" xfId="28829"/>
    <cellStyle name="40% - Accent6 4 3 5 6 3" xfId="28830"/>
    <cellStyle name="40% - Accent6 4 3 5 7" xfId="28831"/>
    <cellStyle name="40% - Accent6 4 3 5 7 2" xfId="28832"/>
    <cellStyle name="40% - Accent6 4 3 5 8" xfId="28833"/>
    <cellStyle name="40% - Accent6 4 3 5 9" xfId="28834"/>
    <cellStyle name="40% - Accent6 4 3 6" xfId="28835"/>
    <cellStyle name="40% - Accent6 4 3 6 2" xfId="28836"/>
    <cellStyle name="40% - Accent6 4 3 6 2 2" xfId="28837"/>
    <cellStyle name="40% - Accent6 4 3 6 2 3" xfId="28838"/>
    <cellStyle name="40% - Accent6 4 3 6 3" xfId="28839"/>
    <cellStyle name="40% - Accent6 4 3 6 3 2" xfId="28840"/>
    <cellStyle name="40% - Accent6 4 3 6 3 3" xfId="28841"/>
    <cellStyle name="40% - Accent6 4 3 6 4" xfId="28842"/>
    <cellStyle name="40% - Accent6 4 3 6 4 2" xfId="28843"/>
    <cellStyle name="40% - Accent6 4 3 6 5" xfId="28844"/>
    <cellStyle name="40% - Accent6 4 3 6 6" xfId="28845"/>
    <cellStyle name="40% - Accent6 4 3 7" xfId="28846"/>
    <cellStyle name="40% - Accent6 4 3 7 2" xfId="28847"/>
    <cellStyle name="40% - Accent6 4 3 7 2 2" xfId="28848"/>
    <cellStyle name="40% - Accent6 4 3 7 2 3" xfId="28849"/>
    <cellStyle name="40% - Accent6 4 3 7 3" xfId="28850"/>
    <cellStyle name="40% - Accent6 4 3 7 3 2" xfId="28851"/>
    <cellStyle name="40% - Accent6 4 3 7 3 3" xfId="28852"/>
    <cellStyle name="40% - Accent6 4 3 7 4" xfId="28853"/>
    <cellStyle name="40% - Accent6 4 3 7 4 2" xfId="28854"/>
    <cellStyle name="40% - Accent6 4 3 7 5" xfId="28855"/>
    <cellStyle name="40% - Accent6 4 3 7 6" xfId="28856"/>
    <cellStyle name="40% - Accent6 4 3 8" xfId="28857"/>
    <cellStyle name="40% - Accent6 4 3 8 2" xfId="28858"/>
    <cellStyle name="40% - Accent6 4 3 8 2 2" xfId="28859"/>
    <cellStyle name="40% - Accent6 4 3 8 2 3" xfId="28860"/>
    <cellStyle name="40% - Accent6 4 3 8 3" xfId="28861"/>
    <cellStyle name="40% - Accent6 4 3 8 3 2" xfId="28862"/>
    <cellStyle name="40% - Accent6 4 3 8 4" xfId="28863"/>
    <cellStyle name="40% - Accent6 4 3 8 5" xfId="28864"/>
    <cellStyle name="40% - Accent6 4 3 9" xfId="28865"/>
    <cellStyle name="40% - Accent6 4 3 9 2" xfId="28866"/>
    <cellStyle name="40% - Accent6 4 3 9 3" xfId="28867"/>
    <cellStyle name="40% - Accent6 4 4" xfId="2672"/>
    <cellStyle name="40% - Accent6 4 4 10" xfId="28868"/>
    <cellStyle name="40% - Accent6 4 4 10 2" xfId="28869"/>
    <cellStyle name="40% - Accent6 4 4 11" xfId="28870"/>
    <cellStyle name="40% - Accent6 4 4 12" xfId="28871"/>
    <cellStyle name="40% - Accent6 4 4 2" xfId="2673"/>
    <cellStyle name="40% - Accent6 4 4 2 10" xfId="28872"/>
    <cellStyle name="40% - Accent6 4 4 2 2" xfId="2674"/>
    <cellStyle name="40% - Accent6 4 4 2 2 2" xfId="28873"/>
    <cellStyle name="40% - Accent6 4 4 2 2 2 2" xfId="28874"/>
    <cellStyle name="40% - Accent6 4 4 2 2 2 2 2" xfId="28875"/>
    <cellStyle name="40% - Accent6 4 4 2 2 2 2 3" xfId="28876"/>
    <cellStyle name="40% - Accent6 4 4 2 2 2 3" xfId="28877"/>
    <cellStyle name="40% - Accent6 4 4 2 2 2 3 2" xfId="28878"/>
    <cellStyle name="40% - Accent6 4 4 2 2 2 3 3" xfId="28879"/>
    <cellStyle name="40% - Accent6 4 4 2 2 2 4" xfId="28880"/>
    <cellStyle name="40% - Accent6 4 4 2 2 2 4 2" xfId="28881"/>
    <cellStyle name="40% - Accent6 4 4 2 2 2 5" xfId="28882"/>
    <cellStyle name="40% - Accent6 4 4 2 2 2 6" xfId="28883"/>
    <cellStyle name="40% - Accent6 4 4 2 2 3" xfId="28884"/>
    <cellStyle name="40% - Accent6 4 4 2 2 3 2" xfId="28885"/>
    <cellStyle name="40% - Accent6 4 4 2 2 3 2 2" xfId="28886"/>
    <cellStyle name="40% - Accent6 4 4 2 2 3 2 3" xfId="28887"/>
    <cellStyle name="40% - Accent6 4 4 2 2 3 3" xfId="28888"/>
    <cellStyle name="40% - Accent6 4 4 2 2 3 3 2" xfId="28889"/>
    <cellStyle name="40% - Accent6 4 4 2 2 3 3 3" xfId="28890"/>
    <cellStyle name="40% - Accent6 4 4 2 2 3 4" xfId="28891"/>
    <cellStyle name="40% - Accent6 4 4 2 2 3 4 2" xfId="28892"/>
    <cellStyle name="40% - Accent6 4 4 2 2 3 5" xfId="28893"/>
    <cellStyle name="40% - Accent6 4 4 2 2 3 6" xfId="28894"/>
    <cellStyle name="40% - Accent6 4 4 2 2 4" xfId="28895"/>
    <cellStyle name="40% - Accent6 4 4 2 2 4 2" xfId="28896"/>
    <cellStyle name="40% - Accent6 4 4 2 2 4 2 2" xfId="28897"/>
    <cellStyle name="40% - Accent6 4 4 2 2 4 2 3" xfId="28898"/>
    <cellStyle name="40% - Accent6 4 4 2 2 4 3" xfId="28899"/>
    <cellStyle name="40% - Accent6 4 4 2 2 4 3 2" xfId="28900"/>
    <cellStyle name="40% - Accent6 4 4 2 2 4 4" xfId="28901"/>
    <cellStyle name="40% - Accent6 4 4 2 2 4 5" xfId="28902"/>
    <cellStyle name="40% - Accent6 4 4 2 2 5" xfId="28903"/>
    <cellStyle name="40% - Accent6 4 4 2 2 5 2" xfId="28904"/>
    <cellStyle name="40% - Accent6 4 4 2 2 5 3" xfId="28905"/>
    <cellStyle name="40% - Accent6 4 4 2 2 6" xfId="28906"/>
    <cellStyle name="40% - Accent6 4 4 2 2 6 2" xfId="28907"/>
    <cellStyle name="40% - Accent6 4 4 2 2 6 3" xfId="28908"/>
    <cellStyle name="40% - Accent6 4 4 2 2 7" xfId="28909"/>
    <cellStyle name="40% - Accent6 4 4 2 2 7 2" xfId="28910"/>
    <cellStyle name="40% - Accent6 4 4 2 2 8" xfId="28911"/>
    <cellStyle name="40% - Accent6 4 4 2 2 9" xfId="28912"/>
    <cellStyle name="40% - Accent6 4 4 2 3" xfId="28913"/>
    <cellStyle name="40% - Accent6 4 4 2 3 2" xfId="28914"/>
    <cellStyle name="40% - Accent6 4 4 2 3 2 2" xfId="28915"/>
    <cellStyle name="40% - Accent6 4 4 2 3 2 3" xfId="28916"/>
    <cellStyle name="40% - Accent6 4 4 2 3 3" xfId="28917"/>
    <cellStyle name="40% - Accent6 4 4 2 3 3 2" xfId="28918"/>
    <cellStyle name="40% - Accent6 4 4 2 3 3 3" xfId="28919"/>
    <cellStyle name="40% - Accent6 4 4 2 3 4" xfId="28920"/>
    <cellStyle name="40% - Accent6 4 4 2 3 4 2" xfId="28921"/>
    <cellStyle name="40% - Accent6 4 4 2 3 5" xfId="28922"/>
    <cellStyle name="40% - Accent6 4 4 2 3 6" xfId="28923"/>
    <cellStyle name="40% - Accent6 4 4 2 4" xfId="28924"/>
    <cellStyle name="40% - Accent6 4 4 2 4 2" xfId="28925"/>
    <cellStyle name="40% - Accent6 4 4 2 4 2 2" xfId="28926"/>
    <cellStyle name="40% - Accent6 4 4 2 4 2 3" xfId="28927"/>
    <cellStyle name="40% - Accent6 4 4 2 4 3" xfId="28928"/>
    <cellStyle name="40% - Accent6 4 4 2 4 3 2" xfId="28929"/>
    <cellStyle name="40% - Accent6 4 4 2 4 3 3" xfId="28930"/>
    <cellStyle name="40% - Accent6 4 4 2 4 4" xfId="28931"/>
    <cellStyle name="40% - Accent6 4 4 2 4 4 2" xfId="28932"/>
    <cellStyle name="40% - Accent6 4 4 2 4 5" xfId="28933"/>
    <cellStyle name="40% - Accent6 4 4 2 4 6" xfId="28934"/>
    <cellStyle name="40% - Accent6 4 4 2 5" xfId="28935"/>
    <cellStyle name="40% - Accent6 4 4 2 5 2" xfId="28936"/>
    <cellStyle name="40% - Accent6 4 4 2 5 2 2" xfId="28937"/>
    <cellStyle name="40% - Accent6 4 4 2 5 2 3" xfId="28938"/>
    <cellStyle name="40% - Accent6 4 4 2 5 3" xfId="28939"/>
    <cellStyle name="40% - Accent6 4 4 2 5 3 2" xfId="28940"/>
    <cellStyle name="40% - Accent6 4 4 2 5 4" xfId="28941"/>
    <cellStyle name="40% - Accent6 4 4 2 5 5" xfId="28942"/>
    <cellStyle name="40% - Accent6 4 4 2 6" xfId="28943"/>
    <cellStyle name="40% - Accent6 4 4 2 6 2" xfId="28944"/>
    <cellStyle name="40% - Accent6 4 4 2 6 3" xfId="28945"/>
    <cellStyle name="40% - Accent6 4 4 2 7" xfId="28946"/>
    <cellStyle name="40% - Accent6 4 4 2 7 2" xfId="28947"/>
    <cellStyle name="40% - Accent6 4 4 2 7 3" xfId="28948"/>
    <cellStyle name="40% - Accent6 4 4 2 8" xfId="28949"/>
    <cellStyle name="40% - Accent6 4 4 2 8 2" xfId="28950"/>
    <cellStyle name="40% - Accent6 4 4 2 9" xfId="28951"/>
    <cellStyle name="40% - Accent6 4 4 3" xfId="2675"/>
    <cellStyle name="40% - Accent6 4 4 3 2" xfId="28952"/>
    <cellStyle name="40% - Accent6 4 4 3 2 2" xfId="28953"/>
    <cellStyle name="40% - Accent6 4 4 3 2 2 2" xfId="28954"/>
    <cellStyle name="40% - Accent6 4 4 3 2 2 3" xfId="28955"/>
    <cellStyle name="40% - Accent6 4 4 3 2 3" xfId="28956"/>
    <cellStyle name="40% - Accent6 4 4 3 2 3 2" xfId="28957"/>
    <cellStyle name="40% - Accent6 4 4 3 2 3 3" xfId="28958"/>
    <cellStyle name="40% - Accent6 4 4 3 2 4" xfId="28959"/>
    <cellStyle name="40% - Accent6 4 4 3 2 4 2" xfId="28960"/>
    <cellStyle name="40% - Accent6 4 4 3 2 5" xfId="28961"/>
    <cellStyle name="40% - Accent6 4 4 3 2 6" xfId="28962"/>
    <cellStyle name="40% - Accent6 4 4 3 3" xfId="28963"/>
    <cellStyle name="40% - Accent6 4 4 3 3 2" xfId="28964"/>
    <cellStyle name="40% - Accent6 4 4 3 3 2 2" xfId="28965"/>
    <cellStyle name="40% - Accent6 4 4 3 3 2 3" xfId="28966"/>
    <cellStyle name="40% - Accent6 4 4 3 3 3" xfId="28967"/>
    <cellStyle name="40% - Accent6 4 4 3 3 3 2" xfId="28968"/>
    <cellStyle name="40% - Accent6 4 4 3 3 3 3" xfId="28969"/>
    <cellStyle name="40% - Accent6 4 4 3 3 4" xfId="28970"/>
    <cellStyle name="40% - Accent6 4 4 3 3 4 2" xfId="28971"/>
    <cellStyle name="40% - Accent6 4 4 3 3 5" xfId="28972"/>
    <cellStyle name="40% - Accent6 4 4 3 3 6" xfId="28973"/>
    <cellStyle name="40% - Accent6 4 4 3 4" xfId="28974"/>
    <cellStyle name="40% - Accent6 4 4 3 4 2" xfId="28975"/>
    <cellStyle name="40% - Accent6 4 4 3 4 2 2" xfId="28976"/>
    <cellStyle name="40% - Accent6 4 4 3 4 2 3" xfId="28977"/>
    <cellStyle name="40% - Accent6 4 4 3 4 3" xfId="28978"/>
    <cellStyle name="40% - Accent6 4 4 3 4 3 2" xfId="28979"/>
    <cellStyle name="40% - Accent6 4 4 3 4 4" xfId="28980"/>
    <cellStyle name="40% - Accent6 4 4 3 4 5" xfId="28981"/>
    <cellStyle name="40% - Accent6 4 4 3 5" xfId="28982"/>
    <cellStyle name="40% - Accent6 4 4 3 5 2" xfId="28983"/>
    <cellStyle name="40% - Accent6 4 4 3 5 3" xfId="28984"/>
    <cellStyle name="40% - Accent6 4 4 3 6" xfId="28985"/>
    <cellStyle name="40% - Accent6 4 4 3 6 2" xfId="28986"/>
    <cellStyle name="40% - Accent6 4 4 3 6 3" xfId="28987"/>
    <cellStyle name="40% - Accent6 4 4 3 7" xfId="28988"/>
    <cellStyle name="40% - Accent6 4 4 3 7 2" xfId="28989"/>
    <cellStyle name="40% - Accent6 4 4 3 8" xfId="28990"/>
    <cellStyle name="40% - Accent6 4 4 3 9" xfId="28991"/>
    <cellStyle name="40% - Accent6 4 4 4" xfId="28992"/>
    <cellStyle name="40% - Accent6 4 4 4 2" xfId="28993"/>
    <cellStyle name="40% - Accent6 4 4 4 2 2" xfId="28994"/>
    <cellStyle name="40% - Accent6 4 4 4 2 2 2" xfId="28995"/>
    <cellStyle name="40% - Accent6 4 4 4 2 2 3" xfId="28996"/>
    <cellStyle name="40% - Accent6 4 4 4 2 3" xfId="28997"/>
    <cellStyle name="40% - Accent6 4 4 4 2 3 2" xfId="28998"/>
    <cellStyle name="40% - Accent6 4 4 4 2 3 3" xfId="28999"/>
    <cellStyle name="40% - Accent6 4 4 4 2 4" xfId="29000"/>
    <cellStyle name="40% - Accent6 4 4 4 2 4 2" xfId="29001"/>
    <cellStyle name="40% - Accent6 4 4 4 2 5" xfId="29002"/>
    <cellStyle name="40% - Accent6 4 4 4 2 6" xfId="29003"/>
    <cellStyle name="40% - Accent6 4 4 4 3" xfId="29004"/>
    <cellStyle name="40% - Accent6 4 4 4 3 2" xfId="29005"/>
    <cellStyle name="40% - Accent6 4 4 4 3 2 2" xfId="29006"/>
    <cellStyle name="40% - Accent6 4 4 4 3 2 3" xfId="29007"/>
    <cellStyle name="40% - Accent6 4 4 4 3 3" xfId="29008"/>
    <cellStyle name="40% - Accent6 4 4 4 3 3 2" xfId="29009"/>
    <cellStyle name="40% - Accent6 4 4 4 3 3 3" xfId="29010"/>
    <cellStyle name="40% - Accent6 4 4 4 3 4" xfId="29011"/>
    <cellStyle name="40% - Accent6 4 4 4 3 4 2" xfId="29012"/>
    <cellStyle name="40% - Accent6 4 4 4 3 5" xfId="29013"/>
    <cellStyle name="40% - Accent6 4 4 4 3 6" xfId="29014"/>
    <cellStyle name="40% - Accent6 4 4 4 4" xfId="29015"/>
    <cellStyle name="40% - Accent6 4 4 4 4 2" xfId="29016"/>
    <cellStyle name="40% - Accent6 4 4 4 4 2 2" xfId="29017"/>
    <cellStyle name="40% - Accent6 4 4 4 4 2 3" xfId="29018"/>
    <cellStyle name="40% - Accent6 4 4 4 4 3" xfId="29019"/>
    <cellStyle name="40% - Accent6 4 4 4 4 3 2" xfId="29020"/>
    <cellStyle name="40% - Accent6 4 4 4 4 4" xfId="29021"/>
    <cellStyle name="40% - Accent6 4 4 4 4 5" xfId="29022"/>
    <cellStyle name="40% - Accent6 4 4 4 5" xfId="29023"/>
    <cellStyle name="40% - Accent6 4 4 4 5 2" xfId="29024"/>
    <cellStyle name="40% - Accent6 4 4 4 5 3" xfId="29025"/>
    <cellStyle name="40% - Accent6 4 4 4 6" xfId="29026"/>
    <cellStyle name="40% - Accent6 4 4 4 6 2" xfId="29027"/>
    <cellStyle name="40% - Accent6 4 4 4 6 3" xfId="29028"/>
    <cellStyle name="40% - Accent6 4 4 4 7" xfId="29029"/>
    <cellStyle name="40% - Accent6 4 4 4 7 2" xfId="29030"/>
    <cellStyle name="40% - Accent6 4 4 4 8" xfId="29031"/>
    <cellStyle name="40% - Accent6 4 4 4 9" xfId="29032"/>
    <cellStyle name="40% - Accent6 4 4 5" xfId="29033"/>
    <cellStyle name="40% - Accent6 4 4 5 2" xfId="29034"/>
    <cellStyle name="40% - Accent6 4 4 5 2 2" xfId="29035"/>
    <cellStyle name="40% - Accent6 4 4 5 2 3" xfId="29036"/>
    <cellStyle name="40% - Accent6 4 4 5 3" xfId="29037"/>
    <cellStyle name="40% - Accent6 4 4 5 3 2" xfId="29038"/>
    <cellStyle name="40% - Accent6 4 4 5 3 3" xfId="29039"/>
    <cellStyle name="40% - Accent6 4 4 5 4" xfId="29040"/>
    <cellStyle name="40% - Accent6 4 4 5 4 2" xfId="29041"/>
    <cellStyle name="40% - Accent6 4 4 5 5" xfId="29042"/>
    <cellStyle name="40% - Accent6 4 4 5 6" xfId="29043"/>
    <cellStyle name="40% - Accent6 4 4 6" xfId="29044"/>
    <cellStyle name="40% - Accent6 4 4 6 2" xfId="29045"/>
    <cellStyle name="40% - Accent6 4 4 6 2 2" xfId="29046"/>
    <cellStyle name="40% - Accent6 4 4 6 2 3" xfId="29047"/>
    <cellStyle name="40% - Accent6 4 4 6 3" xfId="29048"/>
    <cellStyle name="40% - Accent6 4 4 6 3 2" xfId="29049"/>
    <cellStyle name="40% - Accent6 4 4 6 3 3" xfId="29050"/>
    <cellStyle name="40% - Accent6 4 4 6 4" xfId="29051"/>
    <cellStyle name="40% - Accent6 4 4 6 4 2" xfId="29052"/>
    <cellStyle name="40% - Accent6 4 4 6 5" xfId="29053"/>
    <cellStyle name="40% - Accent6 4 4 6 6" xfId="29054"/>
    <cellStyle name="40% - Accent6 4 4 7" xfId="29055"/>
    <cellStyle name="40% - Accent6 4 4 7 2" xfId="29056"/>
    <cellStyle name="40% - Accent6 4 4 7 2 2" xfId="29057"/>
    <cellStyle name="40% - Accent6 4 4 7 2 3" xfId="29058"/>
    <cellStyle name="40% - Accent6 4 4 7 3" xfId="29059"/>
    <cellStyle name="40% - Accent6 4 4 7 3 2" xfId="29060"/>
    <cellStyle name="40% - Accent6 4 4 7 4" xfId="29061"/>
    <cellStyle name="40% - Accent6 4 4 7 5" xfId="29062"/>
    <cellStyle name="40% - Accent6 4 4 8" xfId="29063"/>
    <cellStyle name="40% - Accent6 4 4 8 2" xfId="29064"/>
    <cellStyle name="40% - Accent6 4 4 8 3" xfId="29065"/>
    <cellStyle name="40% - Accent6 4 4 9" xfId="29066"/>
    <cellStyle name="40% - Accent6 4 4 9 2" xfId="29067"/>
    <cellStyle name="40% - Accent6 4 4 9 3" xfId="29068"/>
    <cellStyle name="40% - Accent6 4 5" xfId="2676"/>
    <cellStyle name="40% - Accent6 4 5 10" xfId="29069"/>
    <cellStyle name="40% - Accent6 4 5 2" xfId="2677"/>
    <cellStyle name="40% - Accent6 4 5 2 2" xfId="29070"/>
    <cellStyle name="40% - Accent6 4 5 2 2 2" xfId="29071"/>
    <cellStyle name="40% - Accent6 4 5 2 2 2 2" xfId="29072"/>
    <cellStyle name="40% - Accent6 4 5 2 2 2 3" xfId="29073"/>
    <cellStyle name="40% - Accent6 4 5 2 2 3" xfId="29074"/>
    <cellStyle name="40% - Accent6 4 5 2 2 3 2" xfId="29075"/>
    <cellStyle name="40% - Accent6 4 5 2 2 3 3" xfId="29076"/>
    <cellStyle name="40% - Accent6 4 5 2 2 4" xfId="29077"/>
    <cellStyle name="40% - Accent6 4 5 2 2 4 2" xfId="29078"/>
    <cellStyle name="40% - Accent6 4 5 2 2 5" xfId="29079"/>
    <cellStyle name="40% - Accent6 4 5 2 2 6" xfId="29080"/>
    <cellStyle name="40% - Accent6 4 5 2 3" xfId="29081"/>
    <cellStyle name="40% - Accent6 4 5 2 3 2" xfId="29082"/>
    <cellStyle name="40% - Accent6 4 5 2 3 2 2" xfId="29083"/>
    <cellStyle name="40% - Accent6 4 5 2 3 2 3" xfId="29084"/>
    <cellStyle name="40% - Accent6 4 5 2 3 3" xfId="29085"/>
    <cellStyle name="40% - Accent6 4 5 2 3 3 2" xfId="29086"/>
    <cellStyle name="40% - Accent6 4 5 2 3 3 3" xfId="29087"/>
    <cellStyle name="40% - Accent6 4 5 2 3 4" xfId="29088"/>
    <cellStyle name="40% - Accent6 4 5 2 3 4 2" xfId="29089"/>
    <cellStyle name="40% - Accent6 4 5 2 3 5" xfId="29090"/>
    <cellStyle name="40% - Accent6 4 5 2 3 6" xfId="29091"/>
    <cellStyle name="40% - Accent6 4 5 2 4" xfId="29092"/>
    <cellStyle name="40% - Accent6 4 5 2 4 2" xfId="29093"/>
    <cellStyle name="40% - Accent6 4 5 2 4 2 2" xfId="29094"/>
    <cellStyle name="40% - Accent6 4 5 2 4 2 3" xfId="29095"/>
    <cellStyle name="40% - Accent6 4 5 2 4 3" xfId="29096"/>
    <cellStyle name="40% - Accent6 4 5 2 4 3 2" xfId="29097"/>
    <cellStyle name="40% - Accent6 4 5 2 4 4" xfId="29098"/>
    <cellStyle name="40% - Accent6 4 5 2 4 5" xfId="29099"/>
    <cellStyle name="40% - Accent6 4 5 2 5" xfId="29100"/>
    <cellStyle name="40% - Accent6 4 5 2 5 2" xfId="29101"/>
    <cellStyle name="40% - Accent6 4 5 2 5 3" xfId="29102"/>
    <cellStyle name="40% - Accent6 4 5 2 6" xfId="29103"/>
    <cellStyle name="40% - Accent6 4 5 2 6 2" xfId="29104"/>
    <cellStyle name="40% - Accent6 4 5 2 6 3" xfId="29105"/>
    <cellStyle name="40% - Accent6 4 5 2 7" xfId="29106"/>
    <cellStyle name="40% - Accent6 4 5 2 7 2" xfId="29107"/>
    <cellStyle name="40% - Accent6 4 5 2 8" xfId="29108"/>
    <cellStyle name="40% - Accent6 4 5 2 9" xfId="29109"/>
    <cellStyle name="40% - Accent6 4 5 3" xfId="29110"/>
    <cellStyle name="40% - Accent6 4 5 3 2" xfId="29111"/>
    <cellStyle name="40% - Accent6 4 5 3 2 2" xfId="29112"/>
    <cellStyle name="40% - Accent6 4 5 3 2 3" xfId="29113"/>
    <cellStyle name="40% - Accent6 4 5 3 3" xfId="29114"/>
    <cellStyle name="40% - Accent6 4 5 3 3 2" xfId="29115"/>
    <cellStyle name="40% - Accent6 4 5 3 3 3" xfId="29116"/>
    <cellStyle name="40% - Accent6 4 5 3 4" xfId="29117"/>
    <cellStyle name="40% - Accent6 4 5 3 4 2" xfId="29118"/>
    <cellStyle name="40% - Accent6 4 5 3 5" xfId="29119"/>
    <cellStyle name="40% - Accent6 4 5 3 6" xfId="29120"/>
    <cellStyle name="40% - Accent6 4 5 4" xfId="29121"/>
    <cellStyle name="40% - Accent6 4 5 4 2" xfId="29122"/>
    <cellStyle name="40% - Accent6 4 5 4 2 2" xfId="29123"/>
    <cellStyle name="40% - Accent6 4 5 4 2 3" xfId="29124"/>
    <cellStyle name="40% - Accent6 4 5 4 3" xfId="29125"/>
    <cellStyle name="40% - Accent6 4 5 4 3 2" xfId="29126"/>
    <cellStyle name="40% - Accent6 4 5 4 3 3" xfId="29127"/>
    <cellStyle name="40% - Accent6 4 5 4 4" xfId="29128"/>
    <cellStyle name="40% - Accent6 4 5 4 4 2" xfId="29129"/>
    <cellStyle name="40% - Accent6 4 5 4 5" xfId="29130"/>
    <cellStyle name="40% - Accent6 4 5 4 6" xfId="29131"/>
    <cellStyle name="40% - Accent6 4 5 5" xfId="29132"/>
    <cellStyle name="40% - Accent6 4 5 5 2" xfId="29133"/>
    <cellStyle name="40% - Accent6 4 5 5 2 2" xfId="29134"/>
    <cellStyle name="40% - Accent6 4 5 5 2 3" xfId="29135"/>
    <cellStyle name="40% - Accent6 4 5 5 3" xfId="29136"/>
    <cellStyle name="40% - Accent6 4 5 5 3 2" xfId="29137"/>
    <cellStyle name="40% - Accent6 4 5 5 4" xfId="29138"/>
    <cellStyle name="40% - Accent6 4 5 5 5" xfId="29139"/>
    <cellStyle name="40% - Accent6 4 5 6" xfId="29140"/>
    <cellStyle name="40% - Accent6 4 5 6 2" xfId="29141"/>
    <cellStyle name="40% - Accent6 4 5 6 3" xfId="29142"/>
    <cellStyle name="40% - Accent6 4 5 7" xfId="29143"/>
    <cellStyle name="40% - Accent6 4 5 7 2" xfId="29144"/>
    <cellStyle name="40% - Accent6 4 5 7 3" xfId="29145"/>
    <cellStyle name="40% - Accent6 4 5 8" xfId="29146"/>
    <cellStyle name="40% - Accent6 4 5 8 2" xfId="29147"/>
    <cellStyle name="40% - Accent6 4 5 9" xfId="29148"/>
    <cellStyle name="40% - Accent6 4 6" xfId="2678"/>
    <cellStyle name="40% - Accent6 4 6 2" xfId="29149"/>
    <cellStyle name="40% - Accent6 4 6 2 2" xfId="29150"/>
    <cellStyle name="40% - Accent6 4 6 2 2 2" xfId="29151"/>
    <cellStyle name="40% - Accent6 4 6 2 2 3" xfId="29152"/>
    <cellStyle name="40% - Accent6 4 6 2 3" xfId="29153"/>
    <cellStyle name="40% - Accent6 4 6 2 3 2" xfId="29154"/>
    <cellStyle name="40% - Accent6 4 6 2 3 3" xfId="29155"/>
    <cellStyle name="40% - Accent6 4 6 2 4" xfId="29156"/>
    <cellStyle name="40% - Accent6 4 6 2 4 2" xfId="29157"/>
    <cellStyle name="40% - Accent6 4 6 2 5" xfId="29158"/>
    <cellStyle name="40% - Accent6 4 6 2 6" xfId="29159"/>
    <cellStyle name="40% - Accent6 4 6 3" xfId="29160"/>
    <cellStyle name="40% - Accent6 4 6 3 2" xfId="29161"/>
    <cellStyle name="40% - Accent6 4 6 3 2 2" xfId="29162"/>
    <cellStyle name="40% - Accent6 4 6 3 2 3" xfId="29163"/>
    <cellStyle name="40% - Accent6 4 6 3 3" xfId="29164"/>
    <cellStyle name="40% - Accent6 4 6 3 3 2" xfId="29165"/>
    <cellStyle name="40% - Accent6 4 6 3 3 3" xfId="29166"/>
    <cellStyle name="40% - Accent6 4 6 3 4" xfId="29167"/>
    <cellStyle name="40% - Accent6 4 6 3 4 2" xfId="29168"/>
    <cellStyle name="40% - Accent6 4 6 3 5" xfId="29169"/>
    <cellStyle name="40% - Accent6 4 6 3 6" xfId="29170"/>
    <cellStyle name="40% - Accent6 4 6 4" xfId="29171"/>
    <cellStyle name="40% - Accent6 4 6 4 2" xfId="29172"/>
    <cellStyle name="40% - Accent6 4 6 4 2 2" xfId="29173"/>
    <cellStyle name="40% - Accent6 4 6 4 2 3" xfId="29174"/>
    <cellStyle name="40% - Accent6 4 6 4 3" xfId="29175"/>
    <cellStyle name="40% - Accent6 4 6 4 3 2" xfId="29176"/>
    <cellStyle name="40% - Accent6 4 6 4 4" xfId="29177"/>
    <cellStyle name="40% - Accent6 4 6 4 5" xfId="29178"/>
    <cellStyle name="40% - Accent6 4 6 5" xfId="29179"/>
    <cellStyle name="40% - Accent6 4 6 5 2" xfId="29180"/>
    <cellStyle name="40% - Accent6 4 6 5 3" xfId="29181"/>
    <cellStyle name="40% - Accent6 4 6 6" xfId="29182"/>
    <cellStyle name="40% - Accent6 4 6 6 2" xfId="29183"/>
    <cellStyle name="40% - Accent6 4 6 6 3" xfId="29184"/>
    <cellStyle name="40% - Accent6 4 6 7" xfId="29185"/>
    <cellStyle name="40% - Accent6 4 6 7 2" xfId="29186"/>
    <cellStyle name="40% - Accent6 4 6 8" xfId="29187"/>
    <cellStyle name="40% - Accent6 4 6 9" xfId="29188"/>
    <cellStyle name="40% - Accent6 4 7" xfId="9009"/>
    <cellStyle name="40% - Accent6 4 7 2" xfId="29189"/>
    <cellStyle name="40% - Accent6 4 7 2 2" xfId="29190"/>
    <cellStyle name="40% - Accent6 4 7 2 2 2" xfId="29191"/>
    <cellStyle name="40% - Accent6 4 7 2 2 3" xfId="29192"/>
    <cellStyle name="40% - Accent6 4 7 2 3" xfId="29193"/>
    <cellStyle name="40% - Accent6 4 7 2 3 2" xfId="29194"/>
    <cellStyle name="40% - Accent6 4 7 2 3 3" xfId="29195"/>
    <cellStyle name="40% - Accent6 4 7 2 4" xfId="29196"/>
    <cellStyle name="40% - Accent6 4 7 2 4 2" xfId="29197"/>
    <cellStyle name="40% - Accent6 4 7 2 5" xfId="29198"/>
    <cellStyle name="40% - Accent6 4 7 2 6" xfId="29199"/>
    <cellStyle name="40% - Accent6 4 7 3" xfId="29200"/>
    <cellStyle name="40% - Accent6 4 7 3 2" xfId="29201"/>
    <cellStyle name="40% - Accent6 4 7 3 2 2" xfId="29202"/>
    <cellStyle name="40% - Accent6 4 7 3 2 3" xfId="29203"/>
    <cellStyle name="40% - Accent6 4 7 3 3" xfId="29204"/>
    <cellStyle name="40% - Accent6 4 7 3 3 2" xfId="29205"/>
    <cellStyle name="40% - Accent6 4 7 3 3 3" xfId="29206"/>
    <cellStyle name="40% - Accent6 4 7 3 4" xfId="29207"/>
    <cellStyle name="40% - Accent6 4 7 3 4 2" xfId="29208"/>
    <cellStyle name="40% - Accent6 4 7 3 5" xfId="29209"/>
    <cellStyle name="40% - Accent6 4 7 3 6" xfId="29210"/>
    <cellStyle name="40% - Accent6 4 7 4" xfId="29211"/>
    <cellStyle name="40% - Accent6 4 7 4 2" xfId="29212"/>
    <cellStyle name="40% - Accent6 4 7 4 2 2" xfId="29213"/>
    <cellStyle name="40% - Accent6 4 7 4 2 3" xfId="29214"/>
    <cellStyle name="40% - Accent6 4 7 4 3" xfId="29215"/>
    <cellStyle name="40% - Accent6 4 7 4 3 2" xfId="29216"/>
    <cellStyle name="40% - Accent6 4 7 4 4" xfId="29217"/>
    <cellStyle name="40% - Accent6 4 7 4 5" xfId="29218"/>
    <cellStyle name="40% - Accent6 4 7 5" xfId="29219"/>
    <cellStyle name="40% - Accent6 4 7 5 2" xfId="29220"/>
    <cellStyle name="40% - Accent6 4 7 5 3" xfId="29221"/>
    <cellStyle name="40% - Accent6 4 7 6" xfId="29222"/>
    <cellStyle name="40% - Accent6 4 7 6 2" xfId="29223"/>
    <cellStyle name="40% - Accent6 4 7 6 3" xfId="29224"/>
    <cellStyle name="40% - Accent6 4 7 7" xfId="29225"/>
    <cellStyle name="40% - Accent6 4 7 7 2" xfId="29226"/>
    <cellStyle name="40% - Accent6 4 7 8" xfId="29227"/>
    <cellStyle name="40% - Accent6 4 7 9" xfId="29228"/>
    <cellStyle name="40% - Accent6 4 8" xfId="29229"/>
    <cellStyle name="40% - Accent6 4 8 2" xfId="29230"/>
    <cellStyle name="40% - Accent6 4 8 2 2" xfId="29231"/>
    <cellStyle name="40% - Accent6 4 8 2 3" xfId="29232"/>
    <cellStyle name="40% - Accent6 4 8 3" xfId="29233"/>
    <cellStyle name="40% - Accent6 4 8 3 2" xfId="29234"/>
    <cellStyle name="40% - Accent6 4 8 3 3" xfId="29235"/>
    <cellStyle name="40% - Accent6 4 8 4" xfId="29236"/>
    <cellStyle name="40% - Accent6 4 8 4 2" xfId="29237"/>
    <cellStyle name="40% - Accent6 4 8 5" xfId="29238"/>
    <cellStyle name="40% - Accent6 4 8 6" xfId="29239"/>
    <cellStyle name="40% - Accent6 4 9" xfId="29240"/>
    <cellStyle name="40% - Accent6 4 9 2" xfId="29241"/>
    <cellStyle name="40% - Accent6 4 9 2 2" xfId="29242"/>
    <cellStyle name="40% - Accent6 4 9 2 3" xfId="29243"/>
    <cellStyle name="40% - Accent6 4 9 3" xfId="29244"/>
    <cellStyle name="40% - Accent6 4 9 3 2" xfId="29245"/>
    <cellStyle name="40% - Accent6 4 9 3 3" xfId="29246"/>
    <cellStyle name="40% - Accent6 4 9 4" xfId="29247"/>
    <cellStyle name="40% - Accent6 4 9 4 2" xfId="29248"/>
    <cellStyle name="40% - Accent6 4 9 5" xfId="29249"/>
    <cellStyle name="40% - Accent6 4 9 6" xfId="29250"/>
    <cellStyle name="40% - Accent6 5" xfId="2679"/>
    <cellStyle name="40% - Accent6 5 2" xfId="2680"/>
    <cellStyle name="40% - Accent6 5 2 2" xfId="2681"/>
    <cellStyle name="40% - Accent6 5 2 2 2" xfId="2682"/>
    <cellStyle name="40% - Accent6 5 2 2 2 2" xfId="2683"/>
    <cellStyle name="40% - Accent6 5 2 2 3" xfId="2684"/>
    <cellStyle name="40% - Accent6 5 2 3" xfId="2685"/>
    <cellStyle name="40% - Accent6 5 2 3 2" xfId="2686"/>
    <cellStyle name="40% - Accent6 5 2 4" xfId="2687"/>
    <cellStyle name="40% - Accent6 5 2 5" xfId="58127"/>
    <cellStyle name="40% - Accent6 5 3" xfId="2688"/>
    <cellStyle name="40% - Accent6 5 3 2" xfId="2689"/>
    <cellStyle name="40% - Accent6 5 3 2 2" xfId="2690"/>
    <cellStyle name="40% - Accent6 5 3 3" xfId="2691"/>
    <cellStyle name="40% - Accent6 5 4" xfId="2692"/>
    <cellStyle name="40% - Accent6 5 4 2" xfId="2693"/>
    <cellStyle name="40% - Accent6 5 5" xfId="2694"/>
    <cellStyle name="40% - Accent6 5 6" xfId="9010"/>
    <cellStyle name="40% - Accent6 6" xfId="2695"/>
    <cellStyle name="40% - Accent6 6 2" xfId="2696"/>
    <cellStyle name="40% - Accent6 6 2 2" xfId="2697"/>
    <cellStyle name="40% - Accent6 6 2 2 2" xfId="2698"/>
    <cellStyle name="40% - Accent6 6 2 3" xfId="2699"/>
    <cellStyle name="40% - Accent6 6 2 4" xfId="58128"/>
    <cellStyle name="40% - Accent6 6 2 5" xfId="58129"/>
    <cellStyle name="40% - Accent6 6 3" xfId="2700"/>
    <cellStyle name="40% - Accent6 6 3 2" xfId="2701"/>
    <cellStyle name="40% - Accent6 6 4" xfId="2702"/>
    <cellStyle name="40% - Accent6 6 5" xfId="58130"/>
    <cellStyle name="40% - Accent6 7" xfId="2703"/>
    <cellStyle name="40% - Accent6 7 2" xfId="2704"/>
    <cellStyle name="40% - Accent6 7 2 2" xfId="2705"/>
    <cellStyle name="40% - Accent6 7 2 2 2" xfId="2706"/>
    <cellStyle name="40% - Accent6 7 2 3" xfId="2707"/>
    <cellStyle name="40% - Accent6 7 3" xfId="2708"/>
    <cellStyle name="40% - Accent6 7 3 2" xfId="2709"/>
    <cellStyle name="40% - Accent6 7 4" xfId="2710"/>
    <cellStyle name="40% - Accent6 7 5" xfId="58131"/>
    <cellStyle name="40% - Accent6 8" xfId="2711"/>
    <cellStyle name="40% - Accent6 8 2" xfId="2712"/>
    <cellStyle name="40% - Accent6 8 2 2" xfId="2713"/>
    <cellStyle name="40% - Accent6 8 2 2 2" xfId="2714"/>
    <cellStyle name="40% - Accent6 8 2 3" xfId="2715"/>
    <cellStyle name="40% - Accent6 8 3" xfId="2716"/>
    <cellStyle name="40% - Accent6 8 3 2" xfId="2717"/>
    <cellStyle name="40% - Accent6 8 4" xfId="2718"/>
    <cellStyle name="40% - Accent6 8 5" xfId="58132"/>
    <cellStyle name="40% - Accent6 9" xfId="2719"/>
    <cellStyle name="40% - Accent6 9 2" xfId="2720"/>
    <cellStyle name="40% - Accent6 9 2 2" xfId="2721"/>
    <cellStyle name="40% - Accent6 9 3" xfId="2722"/>
    <cellStyle name="40% - Accent6 9 4" xfId="58133"/>
    <cellStyle name="60% - Accent1 10" xfId="9415"/>
    <cellStyle name="60% - Accent1 11" xfId="9416"/>
    <cellStyle name="60% - Accent1 12" xfId="9417"/>
    <cellStyle name="60% - Accent1 13" xfId="9418"/>
    <cellStyle name="60% - Accent1 14" xfId="9419"/>
    <cellStyle name="60% - Accent1 15" xfId="9420"/>
    <cellStyle name="60% - Accent1 16" xfId="9421"/>
    <cellStyle name="60% - Accent1 17" xfId="9422"/>
    <cellStyle name="60% - Accent1 17 2" xfId="58134"/>
    <cellStyle name="60% - Accent1 2" xfId="2723"/>
    <cellStyle name="60% - Accent1 2 2" xfId="2724"/>
    <cellStyle name="60% - Accent1 2 2 2" xfId="29251"/>
    <cellStyle name="60% - Accent1 2 3" xfId="29252"/>
    <cellStyle name="60% - Accent1 2 4" xfId="29253"/>
    <cellStyle name="60% - Accent1 2 5" xfId="29254"/>
    <cellStyle name="60% - Accent1 2 6" xfId="29255"/>
    <cellStyle name="60% - Accent1 3" xfId="2725"/>
    <cellStyle name="60% - Accent1 3 2" xfId="9011"/>
    <cellStyle name="60% - Accent1 3 3" xfId="29256"/>
    <cellStyle name="60% - Accent1 4" xfId="2726"/>
    <cellStyle name="60% - Accent1 4 2" xfId="29257"/>
    <cellStyle name="60% - Accent1 4 3" xfId="29258"/>
    <cellStyle name="60% - Accent1 5" xfId="9012"/>
    <cellStyle name="60% - Accent1 5 2" xfId="29259"/>
    <cellStyle name="60% - Accent1 6" xfId="9423"/>
    <cellStyle name="60% - Accent1 6 2" xfId="29260"/>
    <cellStyle name="60% - Accent1 7" xfId="9424"/>
    <cellStyle name="60% - Accent1 7 2" xfId="29261"/>
    <cellStyle name="60% - Accent1 8" xfId="9425"/>
    <cellStyle name="60% - Accent1 8 2" xfId="29262"/>
    <cellStyle name="60% - Accent1 9" xfId="9426"/>
    <cellStyle name="60% - Accent2 10" xfId="9427"/>
    <cellStyle name="60% - Accent2 11" xfId="9428"/>
    <cellStyle name="60% - Accent2 12" xfId="9429"/>
    <cellStyle name="60% - Accent2 13" xfId="9430"/>
    <cellStyle name="60% - Accent2 14" xfId="9431"/>
    <cellStyle name="60% - Accent2 15" xfId="9432"/>
    <cellStyle name="60% - Accent2 16" xfId="9433"/>
    <cellStyle name="60% - Accent2 17" xfId="9434"/>
    <cellStyle name="60% - Accent2 17 2" xfId="58135"/>
    <cellStyle name="60% - Accent2 2" xfId="2727"/>
    <cellStyle name="60% - Accent2 2 2" xfId="2728"/>
    <cellStyle name="60% - Accent2 2 2 2" xfId="29263"/>
    <cellStyle name="60% - Accent2 2 3" xfId="29264"/>
    <cellStyle name="60% - Accent2 2 4" xfId="29265"/>
    <cellStyle name="60% - Accent2 2 5" xfId="29266"/>
    <cellStyle name="60% - Accent2 2 6" xfId="29267"/>
    <cellStyle name="60% - Accent2 3" xfId="2729"/>
    <cellStyle name="60% - Accent2 3 2" xfId="9013"/>
    <cellStyle name="60% - Accent2 3 3" xfId="29268"/>
    <cellStyle name="60% - Accent2 4" xfId="2730"/>
    <cellStyle name="60% - Accent2 4 2" xfId="29269"/>
    <cellStyle name="60% - Accent2 4 3" xfId="29270"/>
    <cellStyle name="60% - Accent2 5" xfId="9014"/>
    <cellStyle name="60% - Accent2 5 2" xfId="29271"/>
    <cellStyle name="60% - Accent2 6" xfId="9435"/>
    <cellStyle name="60% - Accent2 6 2" xfId="29272"/>
    <cellStyle name="60% - Accent2 7" xfId="9436"/>
    <cellStyle name="60% - Accent2 7 2" xfId="29273"/>
    <cellStyle name="60% - Accent2 8" xfId="9437"/>
    <cellStyle name="60% - Accent2 8 2" xfId="29274"/>
    <cellStyle name="60% - Accent2 9" xfId="9438"/>
    <cellStyle name="60% - Accent3 10" xfId="9439"/>
    <cellStyle name="60% - Accent3 11" xfId="9440"/>
    <cellStyle name="60% - Accent3 12" xfId="9441"/>
    <cellStyle name="60% - Accent3 13" xfId="9442"/>
    <cellStyle name="60% - Accent3 14" xfId="9443"/>
    <cellStyle name="60% - Accent3 15" xfId="9444"/>
    <cellStyle name="60% - Accent3 16" xfId="9445"/>
    <cellStyle name="60% - Accent3 17" xfId="9446"/>
    <cellStyle name="60% - Accent3 17 2" xfId="58136"/>
    <cellStyle name="60% - Accent3 2" xfId="2731"/>
    <cellStyle name="60% - Accent3 2 2" xfId="2732"/>
    <cellStyle name="60% - Accent3 2 2 2" xfId="29275"/>
    <cellStyle name="60% - Accent3 2 3" xfId="29276"/>
    <cellStyle name="60% - Accent3 2 4" xfId="29277"/>
    <cellStyle name="60% - Accent3 2 5" xfId="29278"/>
    <cellStyle name="60% - Accent3 2 6" xfId="29279"/>
    <cellStyle name="60% - Accent3 3" xfId="2733"/>
    <cellStyle name="60% - Accent3 3 2" xfId="9015"/>
    <cellStyle name="60% - Accent3 3 3" xfId="29280"/>
    <cellStyle name="60% - Accent3 4" xfId="2734"/>
    <cellStyle name="60% - Accent3 4 2" xfId="29281"/>
    <cellStyle name="60% - Accent3 5" xfId="9016"/>
    <cellStyle name="60% - Accent3 5 2" xfId="29282"/>
    <cellStyle name="60% - Accent3 6" xfId="9447"/>
    <cellStyle name="60% - Accent3 6 2" xfId="29283"/>
    <cellStyle name="60% - Accent3 7" xfId="9448"/>
    <cellStyle name="60% - Accent3 7 2" xfId="29284"/>
    <cellStyle name="60% - Accent3 8" xfId="9449"/>
    <cellStyle name="60% - Accent3 8 2" xfId="29285"/>
    <cellStyle name="60% - Accent3 9" xfId="9450"/>
    <cellStyle name="60% - Accent4 10" xfId="9451"/>
    <cellStyle name="60% - Accent4 11" xfId="9452"/>
    <cellStyle name="60% - Accent4 12" xfId="9453"/>
    <cellStyle name="60% - Accent4 13" xfId="9454"/>
    <cellStyle name="60% - Accent4 14" xfId="9455"/>
    <cellStyle name="60% - Accent4 15" xfId="9456"/>
    <cellStyle name="60% - Accent4 16" xfId="9457"/>
    <cellStyle name="60% - Accent4 17" xfId="9458"/>
    <cellStyle name="60% - Accent4 17 2" xfId="58137"/>
    <cellStyle name="60% - Accent4 2" xfId="2735"/>
    <cellStyle name="60% - Accent4 2 2" xfId="2736"/>
    <cellStyle name="60% - Accent4 2 2 2" xfId="29286"/>
    <cellStyle name="60% - Accent4 2 3" xfId="29287"/>
    <cellStyle name="60% - Accent4 2 4" xfId="29288"/>
    <cellStyle name="60% - Accent4 2 5" xfId="29289"/>
    <cellStyle name="60% - Accent4 2 6" xfId="29290"/>
    <cellStyle name="60% - Accent4 3" xfId="2737"/>
    <cellStyle name="60% - Accent4 3 2" xfId="9017"/>
    <cellStyle name="60% - Accent4 3 3" xfId="29291"/>
    <cellStyle name="60% - Accent4 4" xfId="2738"/>
    <cellStyle name="60% - Accent4 4 2" xfId="29292"/>
    <cellStyle name="60% - Accent4 5" xfId="9018"/>
    <cellStyle name="60% - Accent4 5 2" xfId="29293"/>
    <cellStyle name="60% - Accent4 6" xfId="9459"/>
    <cellStyle name="60% - Accent4 6 2" xfId="29294"/>
    <cellStyle name="60% - Accent4 7" xfId="9460"/>
    <cellStyle name="60% - Accent4 7 2" xfId="29295"/>
    <cellStyle name="60% - Accent4 8" xfId="9461"/>
    <cellStyle name="60% - Accent4 8 2" xfId="29296"/>
    <cellStyle name="60% - Accent4 9" xfId="9462"/>
    <cellStyle name="60% - Accent5 10" xfId="9463"/>
    <cellStyle name="60% - Accent5 11" xfId="9464"/>
    <cellStyle name="60% - Accent5 12" xfId="9465"/>
    <cellStyle name="60% - Accent5 13" xfId="9466"/>
    <cellStyle name="60% - Accent5 14" xfId="9467"/>
    <cellStyle name="60% - Accent5 15" xfId="9468"/>
    <cellStyle name="60% - Accent5 16" xfId="9469"/>
    <cellStyle name="60% - Accent5 17" xfId="9470"/>
    <cellStyle name="60% - Accent5 17 2" xfId="58138"/>
    <cellStyle name="60% - Accent5 2" xfId="2739"/>
    <cellStyle name="60% - Accent5 2 2" xfId="2740"/>
    <cellStyle name="60% - Accent5 2 2 2" xfId="29297"/>
    <cellStyle name="60% - Accent5 2 3" xfId="29298"/>
    <cellStyle name="60% - Accent5 2 4" xfId="29299"/>
    <cellStyle name="60% - Accent5 2 5" xfId="29300"/>
    <cellStyle name="60% - Accent5 2 6" xfId="29301"/>
    <cellStyle name="60% - Accent5 3" xfId="2741"/>
    <cellStyle name="60% - Accent5 3 2" xfId="9019"/>
    <cellStyle name="60% - Accent5 3 3" xfId="29302"/>
    <cellStyle name="60% - Accent5 4" xfId="2742"/>
    <cellStyle name="60% - Accent5 4 2" xfId="29303"/>
    <cellStyle name="60% - Accent5 4 3" xfId="29304"/>
    <cellStyle name="60% - Accent5 5" xfId="9020"/>
    <cellStyle name="60% - Accent5 5 2" xfId="29305"/>
    <cellStyle name="60% - Accent5 6" xfId="9471"/>
    <cellStyle name="60% - Accent5 6 2" xfId="29306"/>
    <cellStyle name="60% - Accent5 7" xfId="9472"/>
    <cellStyle name="60% - Accent5 7 2" xfId="29307"/>
    <cellStyle name="60% - Accent5 8" xfId="9473"/>
    <cellStyle name="60% - Accent5 8 2" xfId="29308"/>
    <cellStyle name="60% - Accent5 9" xfId="9474"/>
    <cellStyle name="60% - Accent6 10" xfId="9475"/>
    <cellStyle name="60% - Accent6 11" xfId="9476"/>
    <cellStyle name="60% - Accent6 12" xfId="9477"/>
    <cellStyle name="60% - Accent6 13" xfId="9478"/>
    <cellStyle name="60% - Accent6 14" xfId="9479"/>
    <cellStyle name="60% - Accent6 15" xfId="9480"/>
    <cellStyle name="60% - Accent6 16" xfId="9481"/>
    <cellStyle name="60% - Accent6 17" xfId="9482"/>
    <cellStyle name="60% - Accent6 17 2" xfId="58139"/>
    <cellStyle name="60% - Accent6 2" xfId="2743"/>
    <cellStyle name="60% - Accent6 2 2" xfId="2744"/>
    <cellStyle name="60% - Accent6 2 2 2" xfId="29309"/>
    <cellStyle name="60% - Accent6 2 3" xfId="29310"/>
    <cellStyle name="60% - Accent6 2 4" xfId="29311"/>
    <cellStyle name="60% - Accent6 2 5" xfId="29312"/>
    <cellStyle name="60% - Accent6 2 6" xfId="29313"/>
    <cellStyle name="60% - Accent6 3" xfId="2745"/>
    <cellStyle name="60% - Accent6 3 2" xfId="9021"/>
    <cellStyle name="60% - Accent6 3 3" xfId="29314"/>
    <cellStyle name="60% - Accent6 4" xfId="2746"/>
    <cellStyle name="60% - Accent6 4 2" xfId="29315"/>
    <cellStyle name="60% - Accent6 5" xfId="9022"/>
    <cellStyle name="60% - Accent6 5 2" xfId="29316"/>
    <cellStyle name="60% - Accent6 6" xfId="9483"/>
    <cellStyle name="60% - Accent6 6 2" xfId="29317"/>
    <cellStyle name="60% - Accent6 7" xfId="9484"/>
    <cellStyle name="60% - Accent6 7 2" xfId="29318"/>
    <cellStyle name="60% - Accent6 8" xfId="9485"/>
    <cellStyle name="60% - Accent6 8 2" xfId="29319"/>
    <cellStyle name="60% - Accent6 9" xfId="9486"/>
    <cellStyle name="ac" xfId="29320"/>
    <cellStyle name="ac 2" xfId="29321"/>
    <cellStyle name="Accent1 10" xfId="9487"/>
    <cellStyle name="Accent1 11" xfId="9488"/>
    <cellStyle name="Accent1 12" xfId="9489"/>
    <cellStyle name="Accent1 13" xfId="9490"/>
    <cellStyle name="Accent1 14" xfId="9491"/>
    <cellStyle name="Accent1 15" xfId="9492"/>
    <cellStyle name="Accent1 16" xfId="9493"/>
    <cellStyle name="Accent1 17" xfId="9494"/>
    <cellStyle name="Accent1 17 2" xfId="58140"/>
    <cellStyle name="Accent1 2" xfId="2747"/>
    <cellStyle name="Accent1 2 2" xfId="2748"/>
    <cellStyle name="Accent1 2 2 2" xfId="29322"/>
    <cellStyle name="Accent1 2 3" xfId="29323"/>
    <cellStyle name="Accent1 2 4" xfId="29324"/>
    <cellStyle name="Accent1 2 5" xfId="29325"/>
    <cellStyle name="Accent1 2 6" xfId="29326"/>
    <cellStyle name="Accent1 3" xfId="2749"/>
    <cellStyle name="Accent1 3 2" xfId="9023"/>
    <cellStyle name="Accent1 3 3" xfId="29327"/>
    <cellStyle name="Accent1 4" xfId="2750"/>
    <cellStyle name="Accent1 4 2" xfId="29328"/>
    <cellStyle name="Accent1 5" xfId="9024"/>
    <cellStyle name="Accent1 5 2" xfId="29329"/>
    <cellStyle name="Accent1 6" xfId="9495"/>
    <cellStyle name="Accent1 6 2" xfId="29330"/>
    <cellStyle name="Accent1 7" xfId="9496"/>
    <cellStyle name="Accent1 7 2" xfId="29331"/>
    <cellStyle name="Accent1 8" xfId="9497"/>
    <cellStyle name="Accent1 8 2" xfId="29332"/>
    <cellStyle name="Accent1 9" xfId="9498"/>
    <cellStyle name="Accent2 10" xfId="9499"/>
    <cellStyle name="Accent2 11" xfId="9500"/>
    <cellStyle name="Accent2 12" xfId="9501"/>
    <cellStyle name="Accent2 13" xfId="9502"/>
    <cellStyle name="Accent2 14" xfId="9503"/>
    <cellStyle name="Accent2 15" xfId="9504"/>
    <cellStyle name="Accent2 16" xfId="9505"/>
    <cellStyle name="Accent2 17" xfId="9506"/>
    <cellStyle name="Accent2 17 2" xfId="58141"/>
    <cellStyle name="Accent2 2" xfId="2751"/>
    <cellStyle name="Accent2 2 2" xfId="2752"/>
    <cellStyle name="Accent2 2 2 2" xfId="29333"/>
    <cellStyle name="Accent2 2 3" xfId="29334"/>
    <cellStyle name="Accent2 2 4" xfId="29335"/>
    <cellStyle name="Accent2 2 5" xfId="29336"/>
    <cellStyle name="Accent2 2 6" xfId="29337"/>
    <cellStyle name="Accent2 3" xfId="2753"/>
    <cellStyle name="Accent2 3 2" xfId="9025"/>
    <cellStyle name="Accent2 3 3" xfId="29338"/>
    <cellStyle name="Accent2 4" xfId="2754"/>
    <cellStyle name="Accent2 4 2" xfId="29339"/>
    <cellStyle name="Accent2 5" xfId="9026"/>
    <cellStyle name="Accent2 5 2" xfId="29340"/>
    <cellStyle name="Accent2 6" xfId="9507"/>
    <cellStyle name="Accent2 6 2" xfId="29341"/>
    <cellStyle name="Accent2 7" xfId="9508"/>
    <cellStyle name="Accent2 7 2" xfId="29342"/>
    <cellStyle name="Accent2 8" xfId="9509"/>
    <cellStyle name="Accent2 8 2" xfId="29343"/>
    <cellStyle name="Accent2 9" xfId="9510"/>
    <cellStyle name="Accent3 10" xfId="9511"/>
    <cellStyle name="Accent3 11" xfId="9512"/>
    <cellStyle name="Accent3 12" xfId="9513"/>
    <cellStyle name="Accent3 13" xfId="9514"/>
    <cellStyle name="Accent3 14" xfId="9515"/>
    <cellStyle name="Accent3 15" xfId="9516"/>
    <cellStyle name="Accent3 16" xfId="9517"/>
    <cellStyle name="Accent3 17" xfId="9518"/>
    <cellStyle name="Accent3 17 2" xfId="58142"/>
    <cellStyle name="Accent3 2" xfId="2755"/>
    <cellStyle name="Accent3 2 2" xfId="2756"/>
    <cellStyle name="Accent3 2 2 2" xfId="29344"/>
    <cellStyle name="Accent3 2 3" xfId="29345"/>
    <cellStyle name="Accent3 2 4" xfId="29346"/>
    <cellStyle name="Accent3 2 5" xfId="29347"/>
    <cellStyle name="Accent3 2 6" xfId="29348"/>
    <cellStyle name="Accent3 3" xfId="2757"/>
    <cellStyle name="Accent3 3 2" xfId="9027"/>
    <cellStyle name="Accent3 3 3" xfId="29349"/>
    <cellStyle name="Accent3 4" xfId="2758"/>
    <cellStyle name="Accent3 4 2" xfId="29350"/>
    <cellStyle name="Accent3 5" xfId="9028"/>
    <cellStyle name="Accent3 5 2" xfId="29351"/>
    <cellStyle name="Accent3 6" xfId="9519"/>
    <cellStyle name="Accent3 6 2" xfId="29352"/>
    <cellStyle name="Accent3 7" xfId="9520"/>
    <cellStyle name="Accent3 7 2" xfId="29353"/>
    <cellStyle name="Accent3 8" xfId="9521"/>
    <cellStyle name="Accent3 8 2" xfId="29354"/>
    <cellStyle name="Accent3 9" xfId="9522"/>
    <cellStyle name="Accent4 10" xfId="9523"/>
    <cellStyle name="Accent4 11" xfId="9524"/>
    <cellStyle name="Accent4 12" xfId="9525"/>
    <cellStyle name="Accent4 13" xfId="9526"/>
    <cellStyle name="Accent4 14" xfId="9527"/>
    <cellStyle name="Accent4 15" xfId="9528"/>
    <cellStyle name="Accent4 16" xfId="9529"/>
    <cellStyle name="Accent4 17" xfId="9530"/>
    <cellStyle name="Accent4 17 2" xfId="58143"/>
    <cellStyle name="Accent4 2" xfId="2759"/>
    <cellStyle name="Accent4 2 2" xfId="2760"/>
    <cellStyle name="Accent4 2 2 2" xfId="29355"/>
    <cellStyle name="Accent4 2 3" xfId="29356"/>
    <cellStyle name="Accent4 2 4" xfId="29357"/>
    <cellStyle name="Accent4 2 5" xfId="29358"/>
    <cellStyle name="Accent4 2 6" xfId="29359"/>
    <cellStyle name="Accent4 3" xfId="2761"/>
    <cellStyle name="Accent4 3 2" xfId="9029"/>
    <cellStyle name="Accent4 3 3" xfId="29360"/>
    <cellStyle name="Accent4 4" xfId="2762"/>
    <cellStyle name="Accent4 4 2" xfId="29361"/>
    <cellStyle name="Accent4 5" xfId="9030"/>
    <cellStyle name="Accent4 5 2" xfId="29362"/>
    <cellStyle name="Accent4 6" xfId="9531"/>
    <cellStyle name="Accent4 6 2" xfId="29363"/>
    <cellStyle name="Accent4 7" xfId="9532"/>
    <cellStyle name="Accent4 7 2" xfId="29364"/>
    <cellStyle name="Accent4 8" xfId="9533"/>
    <cellStyle name="Accent4 8 2" xfId="29365"/>
    <cellStyle name="Accent4 9" xfId="9534"/>
    <cellStyle name="Accent5 10" xfId="9535"/>
    <cellStyle name="Accent5 11" xfId="9536"/>
    <cellStyle name="Accent5 12" xfId="9537"/>
    <cellStyle name="Accent5 13" xfId="9538"/>
    <cellStyle name="Accent5 14" xfId="9539"/>
    <cellStyle name="Accent5 15" xfId="9540"/>
    <cellStyle name="Accent5 16" xfId="9541"/>
    <cellStyle name="Accent5 17" xfId="9542"/>
    <cellStyle name="Accent5 2" xfId="2763"/>
    <cellStyle name="Accent5 2 2" xfId="2764"/>
    <cellStyle name="Accent5 2 2 2" xfId="58144"/>
    <cellStyle name="Accent5 2 3" xfId="29366"/>
    <cellStyle name="Accent5 2 4" xfId="29367"/>
    <cellStyle name="Accent5 2 5" xfId="29368"/>
    <cellStyle name="Accent5 2 6" xfId="29369"/>
    <cellStyle name="Accent5 3" xfId="2765"/>
    <cellStyle name="Accent5 3 2" xfId="9031"/>
    <cellStyle name="Accent5 3 3" xfId="29370"/>
    <cellStyle name="Accent5 4" xfId="2766"/>
    <cellStyle name="Accent5 4 2" xfId="29371"/>
    <cellStyle name="Accent5 5" xfId="9032"/>
    <cellStyle name="Accent5 5 2" xfId="29372"/>
    <cellStyle name="Accent5 6" xfId="9543"/>
    <cellStyle name="Accent5 6 2" xfId="29373"/>
    <cellStyle name="Accent5 7" xfId="9544"/>
    <cellStyle name="Accent5 7 2" xfId="29374"/>
    <cellStyle name="Accent5 8" xfId="9545"/>
    <cellStyle name="Accent5 8 2" xfId="29375"/>
    <cellStyle name="Accent5 9" xfId="9546"/>
    <cellStyle name="Accent6 10" xfId="9547"/>
    <cellStyle name="Accent6 11" xfId="9548"/>
    <cellStyle name="Accent6 12" xfId="9549"/>
    <cellStyle name="Accent6 13" xfId="9550"/>
    <cellStyle name="Accent6 14" xfId="9551"/>
    <cellStyle name="Accent6 15" xfId="9552"/>
    <cellStyle name="Accent6 16" xfId="9553"/>
    <cellStyle name="Accent6 17" xfId="9554"/>
    <cellStyle name="Accent6 17 2" xfId="58145"/>
    <cellStyle name="Accent6 2" xfId="2767"/>
    <cellStyle name="Accent6 2 2" xfId="2768"/>
    <cellStyle name="Accent6 2 2 2" xfId="29376"/>
    <cellStyle name="Accent6 2 3" xfId="29377"/>
    <cellStyle name="Accent6 2 4" xfId="29378"/>
    <cellStyle name="Accent6 2 5" xfId="29379"/>
    <cellStyle name="Accent6 2 6" xfId="29380"/>
    <cellStyle name="Accent6 3" xfId="2769"/>
    <cellStyle name="Accent6 3 2" xfId="9033"/>
    <cellStyle name="Accent6 3 3" xfId="29381"/>
    <cellStyle name="Accent6 4" xfId="2770"/>
    <cellStyle name="Accent6 4 2" xfId="29382"/>
    <cellStyle name="Accent6 5" xfId="9034"/>
    <cellStyle name="Accent6 5 2" xfId="29383"/>
    <cellStyle name="Accent6 6" xfId="9555"/>
    <cellStyle name="Accent6 6 2" xfId="29384"/>
    <cellStyle name="Accent6 7" xfId="9556"/>
    <cellStyle name="Accent6 7 2" xfId="29385"/>
    <cellStyle name="Accent6 8" xfId="9557"/>
    <cellStyle name="Accent6 8 2" xfId="29386"/>
    <cellStyle name="Accent6 9" xfId="9558"/>
    <cellStyle name="Bad 10" xfId="9559"/>
    <cellStyle name="Bad 11" xfId="9560"/>
    <cellStyle name="Bad 12" xfId="9561"/>
    <cellStyle name="Bad 13" xfId="9562"/>
    <cellStyle name="Bad 14" xfId="9563"/>
    <cellStyle name="Bad 15" xfId="9564"/>
    <cellStyle name="Bad 16" xfId="9565"/>
    <cellStyle name="Bad 17" xfId="9566"/>
    <cellStyle name="Bad 17 2" xfId="58146"/>
    <cellStyle name="Bad 2" xfId="2771"/>
    <cellStyle name="Bad 2 2" xfId="2772"/>
    <cellStyle name="Bad 2 2 2" xfId="29387"/>
    <cellStyle name="Bad 2 3" xfId="29388"/>
    <cellStyle name="Bad 2 4" xfId="29389"/>
    <cellStyle name="Bad 2 5" xfId="29390"/>
    <cellStyle name="Bad 3" xfId="2773"/>
    <cellStyle name="Bad 3 2" xfId="9035"/>
    <cellStyle name="Bad 4" xfId="9036"/>
    <cellStyle name="Bad 4 2" xfId="29391"/>
    <cellStyle name="Bad 5" xfId="9567"/>
    <cellStyle name="Bad 5 2" xfId="29392"/>
    <cellStyle name="Bad 6" xfId="9568"/>
    <cellStyle name="Bad 6 2" xfId="29393"/>
    <cellStyle name="Bad 7" xfId="9569"/>
    <cellStyle name="Bad 7 2" xfId="29394"/>
    <cellStyle name="Bad 8" xfId="9570"/>
    <cellStyle name="Bad 9" xfId="9571"/>
    <cellStyle name="c" xfId="9572"/>
    <cellStyle name="C00A" xfId="8684"/>
    <cellStyle name="C00B" xfId="8685"/>
    <cellStyle name="C00L" xfId="8686"/>
    <cellStyle name="C01A" xfId="8687"/>
    <cellStyle name="C01B" xfId="8688"/>
    <cellStyle name="C01H" xfId="8689"/>
    <cellStyle name="C01L" xfId="8690"/>
    <cellStyle name="C02A" xfId="8691"/>
    <cellStyle name="C02B" xfId="8692"/>
    <cellStyle name="C02H" xfId="8693"/>
    <cellStyle name="C02L" xfId="8694"/>
    <cellStyle name="C03A" xfId="8695"/>
    <cellStyle name="C03B" xfId="8696"/>
    <cellStyle name="C03H" xfId="8697"/>
    <cellStyle name="C03L" xfId="8698"/>
    <cellStyle name="C04A" xfId="8699"/>
    <cellStyle name="C04B" xfId="8700"/>
    <cellStyle name="C04H" xfId="8701"/>
    <cellStyle name="C04L" xfId="8702"/>
    <cellStyle name="C05A" xfId="8703"/>
    <cellStyle name="C05B" xfId="8704"/>
    <cellStyle name="C05H" xfId="8705"/>
    <cellStyle name="C05L" xfId="8706"/>
    <cellStyle name="C06A" xfId="8707"/>
    <cellStyle name="C06B" xfId="8708"/>
    <cellStyle name="C06H" xfId="8709"/>
    <cellStyle name="C06L" xfId="8710"/>
    <cellStyle name="C07A" xfId="8711"/>
    <cellStyle name="C07B" xfId="8712"/>
    <cellStyle name="C07H" xfId="8713"/>
    <cellStyle name="C07L" xfId="8714"/>
    <cellStyle name="Calculation 10" xfId="2774"/>
    <cellStyle name="Calculation 10 10" xfId="2775"/>
    <cellStyle name="Calculation 10 11" xfId="58147"/>
    <cellStyle name="Calculation 10 12" xfId="58148"/>
    <cellStyle name="Calculation 10 2" xfId="2776"/>
    <cellStyle name="Calculation 10 2 2" xfId="2777"/>
    <cellStyle name="Calculation 10 2 2 2" xfId="58149"/>
    <cellStyle name="Calculation 10 2 3" xfId="2778"/>
    <cellStyle name="Calculation 10 2 3 2" xfId="58150"/>
    <cellStyle name="Calculation 10 2 4" xfId="2779"/>
    <cellStyle name="Calculation 10 2 4 2" xfId="58151"/>
    <cellStyle name="Calculation 10 2 5" xfId="2780"/>
    <cellStyle name="Calculation 10 2 5 2" xfId="58152"/>
    <cellStyle name="Calculation 10 2 6" xfId="2781"/>
    <cellStyle name="Calculation 10 2 6 2" xfId="58153"/>
    <cellStyle name="Calculation 10 2 7" xfId="2782"/>
    <cellStyle name="Calculation 10 2 7 2" xfId="58154"/>
    <cellStyle name="Calculation 10 2 8" xfId="2783"/>
    <cellStyle name="Calculation 10 2 8 2" xfId="58155"/>
    <cellStyle name="Calculation 10 2 9" xfId="2784"/>
    <cellStyle name="Calculation 10 3" xfId="2785"/>
    <cellStyle name="Calculation 10 3 2" xfId="58156"/>
    <cellStyle name="Calculation 10 4" xfId="2786"/>
    <cellStyle name="Calculation 10 4 2" xfId="58157"/>
    <cellStyle name="Calculation 10 5" xfId="2787"/>
    <cellStyle name="Calculation 10 5 2" xfId="58158"/>
    <cellStyle name="Calculation 10 6" xfId="2788"/>
    <cellStyle name="Calculation 10 6 2" xfId="58159"/>
    <cellStyle name="Calculation 10 7" xfId="2789"/>
    <cellStyle name="Calculation 10 7 2" xfId="58160"/>
    <cellStyle name="Calculation 10 8" xfId="2790"/>
    <cellStyle name="Calculation 10 8 2" xfId="58161"/>
    <cellStyle name="Calculation 10 9" xfId="2791"/>
    <cellStyle name="Calculation 10 9 2" xfId="58162"/>
    <cellStyle name="Calculation 11" xfId="2792"/>
    <cellStyle name="Calculation 11 10" xfId="2793"/>
    <cellStyle name="Calculation 11 11" xfId="58163"/>
    <cellStyle name="Calculation 11 12" xfId="58164"/>
    <cellStyle name="Calculation 11 2" xfId="2794"/>
    <cellStyle name="Calculation 11 2 2" xfId="2795"/>
    <cellStyle name="Calculation 11 2 2 2" xfId="58165"/>
    <cellStyle name="Calculation 11 2 3" xfId="2796"/>
    <cellStyle name="Calculation 11 2 3 2" xfId="58166"/>
    <cellStyle name="Calculation 11 2 4" xfId="2797"/>
    <cellStyle name="Calculation 11 2 4 2" xfId="58167"/>
    <cellStyle name="Calculation 11 2 5" xfId="2798"/>
    <cellStyle name="Calculation 11 2 5 2" xfId="58168"/>
    <cellStyle name="Calculation 11 2 6" xfId="2799"/>
    <cellStyle name="Calculation 11 2 6 2" xfId="58169"/>
    <cellStyle name="Calculation 11 2 7" xfId="2800"/>
    <cellStyle name="Calculation 11 2 7 2" xfId="58170"/>
    <cellStyle name="Calculation 11 2 8" xfId="2801"/>
    <cellStyle name="Calculation 11 2 8 2" xfId="58171"/>
    <cellStyle name="Calculation 11 2 9" xfId="2802"/>
    <cellStyle name="Calculation 11 3" xfId="2803"/>
    <cellStyle name="Calculation 11 3 2" xfId="58172"/>
    <cellStyle name="Calculation 11 4" xfId="2804"/>
    <cellStyle name="Calculation 11 4 2" xfId="58173"/>
    <cellStyle name="Calculation 11 5" xfId="2805"/>
    <cellStyle name="Calculation 11 5 2" xfId="58174"/>
    <cellStyle name="Calculation 11 6" xfId="2806"/>
    <cellStyle name="Calculation 11 6 2" xfId="58175"/>
    <cellStyle name="Calculation 11 7" xfId="2807"/>
    <cellStyle name="Calculation 11 7 2" xfId="58176"/>
    <cellStyle name="Calculation 11 8" xfId="2808"/>
    <cellStyle name="Calculation 11 8 2" xfId="58177"/>
    <cellStyle name="Calculation 11 9" xfId="2809"/>
    <cellStyle name="Calculation 11 9 2" xfId="58178"/>
    <cellStyle name="Calculation 12" xfId="2810"/>
    <cellStyle name="Calculation 12 10" xfId="2811"/>
    <cellStyle name="Calculation 12 11" xfId="58179"/>
    <cellStyle name="Calculation 12 12" xfId="58180"/>
    <cellStyle name="Calculation 12 2" xfId="2812"/>
    <cellStyle name="Calculation 12 2 2" xfId="2813"/>
    <cellStyle name="Calculation 12 2 2 2" xfId="58181"/>
    <cellStyle name="Calculation 12 2 3" xfId="2814"/>
    <cellStyle name="Calculation 12 2 3 2" xfId="58182"/>
    <cellStyle name="Calculation 12 2 4" xfId="2815"/>
    <cellStyle name="Calculation 12 2 4 2" xfId="58183"/>
    <cellStyle name="Calculation 12 2 5" xfId="2816"/>
    <cellStyle name="Calculation 12 2 5 2" xfId="58184"/>
    <cellStyle name="Calculation 12 2 6" xfId="2817"/>
    <cellStyle name="Calculation 12 2 6 2" xfId="58185"/>
    <cellStyle name="Calculation 12 2 7" xfId="2818"/>
    <cellStyle name="Calculation 12 2 7 2" xfId="58186"/>
    <cellStyle name="Calculation 12 2 8" xfId="2819"/>
    <cellStyle name="Calculation 12 2 8 2" xfId="58187"/>
    <cellStyle name="Calculation 12 2 9" xfId="2820"/>
    <cellStyle name="Calculation 12 3" xfId="2821"/>
    <cellStyle name="Calculation 12 3 2" xfId="58188"/>
    <cellStyle name="Calculation 12 4" xfId="2822"/>
    <cellStyle name="Calculation 12 4 2" xfId="58189"/>
    <cellStyle name="Calculation 12 5" xfId="2823"/>
    <cellStyle name="Calculation 12 5 2" xfId="58190"/>
    <cellStyle name="Calculation 12 6" xfId="2824"/>
    <cellStyle name="Calculation 12 6 2" xfId="58191"/>
    <cellStyle name="Calculation 12 7" xfId="2825"/>
    <cellStyle name="Calculation 12 7 2" xfId="58192"/>
    <cellStyle name="Calculation 12 8" xfId="2826"/>
    <cellStyle name="Calculation 12 8 2" xfId="58193"/>
    <cellStyle name="Calculation 12 9" xfId="2827"/>
    <cellStyle name="Calculation 12 9 2" xfId="58194"/>
    <cellStyle name="Calculation 13" xfId="2828"/>
    <cellStyle name="Calculation 13 10" xfId="2829"/>
    <cellStyle name="Calculation 13 11" xfId="58195"/>
    <cellStyle name="Calculation 13 12" xfId="58196"/>
    <cellStyle name="Calculation 13 2" xfId="2830"/>
    <cellStyle name="Calculation 13 2 2" xfId="2831"/>
    <cellStyle name="Calculation 13 2 2 2" xfId="58197"/>
    <cellStyle name="Calculation 13 2 3" xfId="2832"/>
    <cellStyle name="Calculation 13 2 3 2" xfId="58198"/>
    <cellStyle name="Calculation 13 2 4" xfId="2833"/>
    <cellStyle name="Calculation 13 2 4 2" xfId="58199"/>
    <cellStyle name="Calculation 13 2 5" xfId="2834"/>
    <cellStyle name="Calculation 13 2 5 2" xfId="58200"/>
    <cellStyle name="Calculation 13 2 6" xfId="2835"/>
    <cellStyle name="Calculation 13 2 6 2" xfId="58201"/>
    <cellStyle name="Calculation 13 2 7" xfId="2836"/>
    <cellStyle name="Calculation 13 2 7 2" xfId="58202"/>
    <cellStyle name="Calculation 13 2 8" xfId="2837"/>
    <cellStyle name="Calculation 13 2 8 2" xfId="58203"/>
    <cellStyle name="Calculation 13 2 9" xfId="2838"/>
    <cellStyle name="Calculation 13 3" xfId="2839"/>
    <cellStyle name="Calculation 13 3 2" xfId="58204"/>
    <cellStyle name="Calculation 13 4" xfId="2840"/>
    <cellStyle name="Calculation 13 4 2" xfId="58205"/>
    <cellStyle name="Calculation 13 5" xfId="2841"/>
    <cellStyle name="Calculation 13 5 2" xfId="58206"/>
    <cellStyle name="Calculation 13 6" xfId="2842"/>
    <cellStyle name="Calculation 13 6 2" xfId="58207"/>
    <cellStyle name="Calculation 13 7" xfId="2843"/>
    <cellStyle name="Calculation 13 7 2" xfId="58208"/>
    <cellStyle name="Calculation 13 8" xfId="2844"/>
    <cellStyle name="Calculation 13 8 2" xfId="58209"/>
    <cellStyle name="Calculation 13 9" xfId="2845"/>
    <cellStyle name="Calculation 13 9 2" xfId="58210"/>
    <cellStyle name="Calculation 14" xfId="2846"/>
    <cellStyle name="Calculation 14 10" xfId="2847"/>
    <cellStyle name="Calculation 14 11" xfId="58211"/>
    <cellStyle name="Calculation 14 12" xfId="58212"/>
    <cellStyle name="Calculation 14 2" xfId="2848"/>
    <cellStyle name="Calculation 14 2 2" xfId="2849"/>
    <cellStyle name="Calculation 14 2 2 2" xfId="58213"/>
    <cellStyle name="Calculation 14 2 3" xfId="2850"/>
    <cellStyle name="Calculation 14 2 3 2" xfId="58214"/>
    <cellStyle name="Calculation 14 2 4" xfId="2851"/>
    <cellStyle name="Calculation 14 2 4 2" xfId="58215"/>
    <cellStyle name="Calculation 14 2 5" xfId="2852"/>
    <cellStyle name="Calculation 14 2 5 2" xfId="58216"/>
    <cellStyle name="Calculation 14 2 6" xfId="2853"/>
    <cellStyle name="Calculation 14 2 6 2" xfId="58217"/>
    <cellStyle name="Calculation 14 2 7" xfId="2854"/>
    <cellStyle name="Calculation 14 2 7 2" xfId="58218"/>
    <cellStyle name="Calculation 14 2 8" xfId="2855"/>
    <cellStyle name="Calculation 14 2 8 2" xfId="58219"/>
    <cellStyle name="Calculation 14 2 9" xfId="2856"/>
    <cellStyle name="Calculation 14 3" xfId="2857"/>
    <cellStyle name="Calculation 14 3 2" xfId="58220"/>
    <cellStyle name="Calculation 14 4" xfId="2858"/>
    <cellStyle name="Calculation 14 4 2" xfId="58221"/>
    <cellStyle name="Calculation 14 5" xfId="2859"/>
    <cellStyle name="Calculation 14 5 2" xfId="58222"/>
    <cellStyle name="Calculation 14 6" xfId="2860"/>
    <cellStyle name="Calculation 14 6 2" xfId="58223"/>
    <cellStyle name="Calculation 14 7" xfId="2861"/>
    <cellStyle name="Calculation 14 7 2" xfId="58224"/>
    <cellStyle name="Calculation 14 8" xfId="2862"/>
    <cellStyle name="Calculation 14 8 2" xfId="58225"/>
    <cellStyle name="Calculation 14 9" xfId="2863"/>
    <cellStyle name="Calculation 14 9 2" xfId="58226"/>
    <cellStyle name="Calculation 15" xfId="2864"/>
    <cellStyle name="Calculation 15 10" xfId="2865"/>
    <cellStyle name="Calculation 15 11" xfId="58227"/>
    <cellStyle name="Calculation 15 12" xfId="58228"/>
    <cellStyle name="Calculation 15 2" xfId="2866"/>
    <cellStyle name="Calculation 15 2 2" xfId="2867"/>
    <cellStyle name="Calculation 15 2 2 2" xfId="58229"/>
    <cellStyle name="Calculation 15 2 3" xfId="2868"/>
    <cellStyle name="Calculation 15 2 3 2" xfId="58230"/>
    <cellStyle name="Calculation 15 2 4" xfId="2869"/>
    <cellStyle name="Calculation 15 2 4 2" xfId="58231"/>
    <cellStyle name="Calculation 15 2 5" xfId="2870"/>
    <cellStyle name="Calculation 15 2 5 2" xfId="58232"/>
    <cellStyle name="Calculation 15 2 6" xfId="2871"/>
    <cellStyle name="Calculation 15 2 6 2" xfId="58233"/>
    <cellStyle name="Calculation 15 2 7" xfId="2872"/>
    <cellStyle name="Calculation 15 2 7 2" xfId="58234"/>
    <cellStyle name="Calculation 15 2 8" xfId="2873"/>
    <cellStyle name="Calculation 15 2 8 2" xfId="58235"/>
    <cellStyle name="Calculation 15 2 9" xfId="2874"/>
    <cellStyle name="Calculation 15 3" xfId="2875"/>
    <cellStyle name="Calculation 15 3 2" xfId="58236"/>
    <cellStyle name="Calculation 15 4" xfId="2876"/>
    <cellStyle name="Calculation 15 4 2" xfId="58237"/>
    <cellStyle name="Calculation 15 5" xfId="2877"/>
    <cellStyle name="Calculation 15 5 2" xfId="58238"/>
    <cellStyle name="Calculation 15 6" xfId="2878"/>
    <cellStyle name="Calculation 15 6 2" xfId="58239"/>
    <cellStyle name="Calculation 15 7" xfId="2879"/>
    <cellStyle name="Calculation 15 7 2" xfId="58240"/>
    <cellStyle name="Calculation 15 8" xfId="2880"/>
    <cellStyle name="Calculation 15 8 2" xfId="58241"/>
    <cellStyle name="Calculation 15 9" xfId="2881"/>
    <cellStyle name="Calculation 15 9 2" xfId="58242"/>
    <cellStyle name="Calculation 16" xfId="2882"/>
    <cellStyle name="Calculation 16 10" xfId="2883"/>
    <cellStyle name="Calculation 16 11" xfId="58243"/>
    <cellStyle name="Calculation 16 12" xfId="58244"/>
    <cellStyle name="Calculation 16 2" xfId="2884"/>
    <cellStyle name="Calculation 16 2 2" xfId="2885"/>
    <cellStyle name="Calculation 16 2 2 2" xfId="58245"/>
    <cellStyle name="Calculation 16 2 3" xfId="2886"/>
    <cellStyle name="Calculation 16 2 3 2" xfId="58246"/>
    <cellStyle name="Calculation 16 2 4" xfId="2887"/>
    <cellStyle name="Calculation 16 2 4 2" xfId="58247"/>
    <cellStyle name="Calculation 16 2 5" xfId="2888"/>
    <cellStyle name="Calculation 16 2 5 2" xfId="58248"/>
    <cellStyle name="Calculation 16 2 6" xfId="2889"/>
    <cellStyle name="Calculation 16 2 6 2" xfId="58249"/>
    <cellStyle name="Calculation 16 2 7" xfId="2890"/>
    <cellStyle name="Calculation 16 2 7 2" xfId="58250"/>
    <cellStyle name="Calculation 16 2 8" xfId="2891"/>
    <cellStyle name="Calculation 16 2 8 2" xfId="58251"/>
    <cellStyle name="Calculation 16 2 9" xfId="2892"/>
    <cellStyle name="Calculation 16 3" xfId="2893"/>
    <cellStyle name="Calculation 16 3 2" xfId="58252"/>
    <cellStyle name="Calculation 16 4" xfId="2894"/>
    <cellStyle name="Calculation 16 4 2" xfId="58253"/>
    <cellStyle name="Calculation 16 5" xfId="2895"/>
    <cellStyle name="Calculation 16 5 2" xfId="58254"/>
    <cellStyle name="Calculation 16 6" xfId="2896"/>
    <cellStyle name="Calculation 16 6 2" xfId="58255"/>
    <cellStyle name="Calculation 16 7" xfId="2897"/>
    <cellStyle name="Calculation 16 7 2" xfId="58256"/>
    <cellStyle name="Calculation 16 8" xfId="2898"/>
    <cellStyle name="Calculation 16 8 2" xfId="58257"/>
    <cellStyle name="Calculation 16 9" xfId="2899"/>
    <cellStyle name="Calculation 16 9 2" xfId="58258"/>
    <cellStyle name="Calculation 17" xfId="2900"/>
    <cellStyle name="Calculation 17 10" xfId="2901"/>
    <cellStyle name="Calculation 17 11" xfId="58259"/>
    <cellStyle name="Calculation 17 2" xfId="2902"/>
    <cellStyle name="Calculation 17 2 2" xfId="2903"/>
    <cellStyle name="Calculation 17 2 2 2" xfId="58260"/>
    <cellStyle name="Calculation 17 2 3" xfId="2904"/>
    <cellStyle name="Calculation 17 2 3 2" xfId="58261"/>
    <cellStyle name="Calculation 17 2 4" xfId="2905"/>
    <cellStyle name="Calculation 17 2 4 2" xfId="58262"/>
    <cellStyle name="Calculation 17 2 5" xfId="2906"/>
    <cellStyle name="Calculation 17 2 5 2" xfId="58263"/>
    <cellStyle name="Calculation 17 2 6" xfId="2907"/>
    <cellStyle name="Calculation 17 2 6 2" xfId="58264"/>
    <cellStyle name="Calculation 17 2 7" xfId="2908"/>
    <cellStyle name="Calculation 17 2 7 2" xfId="58265"/>
    <cellStyle name="Calculation 17 2 8" xfId="2909"/>
    <cellStyle name="Calculation 17 2 8 2" xfId="58266"/>
    <cellStyle name="Calculation 17 2 9" xfId="2910"/>
    <cellStyle name="Calculation 17 3" xfId="2911"/>
    <cellStyle name="Calculation 17 3 2" xfId="58267"/>
    <cellStyle name="Calculation 17 4" xfId="2912"/>
    <cellStyle name="Calculation 17 4 2" xfId="58268"/>
    <cellStyle name="Calculation 17 5" xfId="2913"/>
    <cellStyle name="Calculation 17 5 2" xfId="58269"/>
    <cellStyle name="Calculation 17 6" xfId="2914"/>
    <cellStyle name="Calculation 17 6 2" xfId="58270"/>
    <cellStyle name="Calculation 17 7" xfId="2915"/>
    <cellStyle name="Calculation 17 7 2" xfId="58271"/>
    <cellStyle name="Calculation 17 8" xfId="2916"/>
    <cellStyle name="Calculation 17 8 2" xfId="58272"/>
    <cellStyle name="Calculation 17 9" xfId="2917"/>
    <cellStyle name="Calculation 17 9 2" xfId="58273"/>
    <cellStyle name="Calculation 18" xfId="2918"/>
    <cellStyle name="Calculation 18 10" xfId="2919"/>
    <cellStyle name="Calculation 18 2" xfId="2920"/>
    <cellStyle name="Calculation 18 2 2" xfId="2921"/>
    <cellStyle name="Calculation 18 2 2 2" xfId="58274"/>
    <cellStyle name="Calculation 18 2 3" xfId="2922"/>
    <cellStyle name="Calculation 18 2 3 2" xfId="58275"/>
    <cellStyle name="Calculation 18 2 4" xfId="2923"/>
    <cellStyle name="Calculation 18 2 4 2" xfId="58276"/>
    <cellStyle name="Calculation 18 2 5" xfId="2924"/>
    <cellStyle name="Calculation 18 2 5 2" xfId="58277"/>
    <cellStyle name="Calculation 18 2 6" xfId="2925"/>
    <cellStyle name="Calculation 18 2 6 2" xfId="58278"/>
    <cellStyle name="Calculation 18 2 7" xfId="2926"/>
    <cellStyle name="Calculation 18 2 7 2" xfId="58279"/>
    <cellStyle name="Calculation 18 2 8" xfId="2927"/>
    <cellStyle name="Calculation 18 2 8 2" xfId="58280"/>
    <cellStyle name="Calculation 18 2 9" xfId="2928"/>
    <cellStyle name="Calculation 18 3" xfId="2929"/>
    <cellStyle name="Calculation 18 3 2" xfId="58281"/>
    <cellStyle name="Calculation 18 4" xfId="2930"/>
    <cellStyle name="Calculation 18 4 2" xfId="58282"/>
    <cellStyle name="Calculation 18 5" xfId="2931"/>
    <cellStyle name="Calculation 18 5 2" xfId="58283"/>
    <cellStyle name="Calculation 18 6" xfId="2932"/>
    <cellStyle name="Calculation 18 6 2" xfId="58284"/>
    <cellStyle name="Calculation 18 7" xfId="2933"/>
    <cellStyle name="Calculation 18 7 2" xfId="58285"/>
    <cellStyle name="Calculation 18 8" xfId="2934"/>
    <cellStyle name="Calculation 18 8 2" xfId="58286"/>
    <cellStyle name="Calculation 18 9" xfId="2935"/>
    <cellStyle name="Calculation 18 9 2" xfId="58287"/>
    <cellStyle name="Calculation 19" xfId="2936"/>
    <cellStyle name="Calculation 19 10" xfId="2937"/>
    <cellStyle name="Calculation 19 2" xfId="2938"/>
    <cellStyle name="Calculation 19 2 2" xfId="2939"/>
    <cellStyle name="Calculation 19 2 2 2" xfId="58288"/>
    <cellStyle name="Calculation 19 2 3" xfId="2940"/>
    <cellStyle name="Calculation 19 2 3 2" xfId="58289"/>
    <cellStyle name="Calculation 19 2 4" xfId="2941"/>
    <cellStyle name="Calculation 19 2 4 2" xfId="58290"/>
    <cellStyle name="Calculation 19 2 5" xfId="2942"/>
    <cellStyle name="Calculation 19 2 5 2" xfId="58291"/>
    <cellStyle name="Calculation 19 2 6" xfId="2943"/>
    <cellStyle name="Calculation 19 2 6 2" xfId="58292"/>
    <cellStyle name="Calculation 19 2 7" xfId="2944"/>
    <cellStyle name="Calculation 19 2 7 2" xfId="58293"/>
    <cellStyle name="Calculation 19 2 8" xfId="2945"/>
    <cellStyle name="Calculation 19 2 8 2" xfId="58294"/>
    <cellStyle name="Calculation 19 2 9" xfId="2946"/>
    <cellStyle name="Calculation 19 3" xfId="2947"/>
    <cellStyle name="Calculation 19 3 2" xfId="58295"/>
    <cellStyle name="Calculation 19 4" xfId="2948"/>
    <cellStyle name="Calculation 19 4 2" xfId="58296"/>
    <cellStyle name="Calculation 19 5" xfId="2949"/>
    <cellStyle name="Calculation 19 5 2" xfId="58297"/>
    <cellStyle name="Calculation 19 6" xfId="2950"/>
    <cellStyle name="Calculation 19 6 2" xfId="58298"/>
    <cellStyle name="Calculation 19 7" xfId="2951"/>
    <cellStyle name="Calculation 19 7 2" xfId="58299"/>
    <cellStyle name="Calculation 19 8" xfId="2952"/>
    <cellStyle name="Calculation 19 8 2" xfId="58300"/>
    <cellStyle name="Calculation 19 9" xfId="2953"/>
    <cellStyle name="Calculation 19 9 2" xfId="58301"/>
    <cellStyle name="Calculation 2" xfId="2954"/>
    <cellStyle name="Calculation 2 10" xfId="58302"/>
    <cellStyle name="Calculation 2 2" xfId="2955"/>
    <cellStyle name="Calculation 2 2 10" xfId="2956"/>
    <cellStyle name="Calculation 2 2 11" xfId="58303"/>
    <cellStyle name="Calculation 2 2 2" xfId="2957"/>
    <cellStyle name="Calculation 2 2 2 2" xfId="58304"/>
    <cellStyle name="Calculation 2 2 3" xfId="2958"/>
    <cellStyle name="Calculation 2 2 3 2" xfId="58305"/>
    <cellStyle name="Calculation 2 2 4" xfId="2959"/>
    <cellStyle name="Calculation 2 2 4 2" xfId="58306"/>
    <cellStyle name="Calculation 2 2 5" xfId="2960"/>
    <cellStyle name="Calculation 2 2 5 2" xfId="58307"/>
    <cellStyle name="Calculation 2 2 6" xfId="2961"/>
    <cellStyle name="Calculation 2 2 6 2" xfId="58308"/>
    <cellStyle name="Calculation 2 2 7" xfId="2962"/>
    <cellStyle name="Calculation 2 2 7 2" xfId="58309"/>
    <cellStyle name="Calculation 2 2 8" xfId="2963"/>
    <cellStyle name="Calculation 2 2 8 2" xfId="58310"/>
    <cellStyle name="Calculation 2 2 9" xfId="2964"/>
    <cellStyle name="Calculation 2 3" xfId="2965"/>
    <cellStyle name="Calculation 2 3 2" xfId="58311"/>
    <cellStyle name="Calculation 2 4" xfId="2966"/>
    <cellStyle name="Calculation 2 4 2" xfId="58312"/>
    <cellStyle name="Calculation 2 5" xfId="2967"/>
    <cellStyle name="Calculation 2 5 2" xfId="58313"/>
    <cellStyle name="Calculation 2 6" xfId="2968"/>
    <cellStyle name="Calculation 2 6 2" xfId="58314"/>
    <cellStyle name="Calculation 2 7" xfId="2969"/>
    <cellStyle name="Calculation 2 7 2" xfId="58315"/>
    <cellStyle name="Calculation 2 8" xfId="2970"/>
    <cellStyle name="Calculation 2 8 2" xfId="58316"/>
    <cellStyle name="Calculation 2 9" xfId="2971"/>
    <cellStyle name="Calculation 20" xfId="2972"/>
    <cellStyle name="Calculation 20 10" xfId="2973"/>
    <cellStyle name="Calculation 20 2" xfId="2974"/>
    <cellStyle name="Calculation 20 2 2" xfId="2975"/>
    <cellStyle name="Calculation 20 2 2 2" xfId="58317"/>
    <cellStyle name="Calculation 20 2 3" xfId="2976"/>
    <cellStyle name="Calculation 20 2 3 2" xfId="58318"/>
    <cellStyle name="Calculation 20 2 4" xfId="2977"/>
    <cellStyle name="Calculation 20 2 4 2" xfId="58319"/>
    <cellStyle name="Calculation 20 2 5" xfId="2978"/>
    <cellStyle name="Calculation 20 2 5 2" xfId="58320"/>
    <cellStyle name="Calculation 20 2 6" xfId="2979"/>
    <cellStyle name="Calculation 20 2 6 2" xfId="58321"/>
    <cellStyle name="Calculation 20 2 7" xfId="2980"/>
    <cellStyle name="Calculation 20 2 7 2" xfId="58322"/>
    <cellStyle name="Calculation 20 2 8" xfId="2981"/>
    <cellStyle name="Calculation 20 2 8 2" xfId="58323"/>
    <cellStyle name="Calculation 20 2 9" xfId="2982"/>
    <cellStyle name="Calculation 20 3" xfId="2983"/>
    <cellStyle name="Calculation 20 3 2" xfId="58324"/>
    <cellStyle name="Calculation 20 4" xfId="2984"/>
    <cellStyle name="Calculation 20 4 2" xfId="58325"/>
    <cellStyle name="Calculation 20 5" xfId="2985"/>
    <cellStyle name="Calculation 20 5 2" xfId="58326"/>
    <cellStyle name="Calculation 20 6" xfId="2986"/>
    <cellStyle name="Calculation 20 6 2" xfId="58327"/>
    <cellStyle name="Calculation 20 7" xfId="2987"/>
    <cellStyle name="Calculation 20 7 2" xfId="58328"/>
    <cellStyle name="Calculation 20 8" xfId="2988"/>
    <cellStyle name="Calculation 20 8 2" xfId="58329"/>
    <cellStyle name="Calculation 20 9" xfId="2989"/>
    <cellStyle name="Calculation 20 9 2" xfId="58330"/>
    <cellStyle name="Calculation 21" xfId="2990"/>
    <cellStyle name="Calculation 21 10" xfId="2991"/>
    <cellStyle name="Calculation 21 2" xfId="2992"/>
    <cellStyle name="Calculation 21 2 2" xfId="2993"/>
    <cellStyle name="Calculation 21 2 2 2" xfId="58331"/>
    <cellStyle name="Calculation 21 2 3" xfId="2994"/>
    <cellStyle name="Calculation 21 2 3 2" xfId="58332"/>
    <cellStyle name="Calculation 21 2 4" xfId="2995"/>
    <cellStyle name="Calculation 21 2 4 2" xfId="58333"/>
    <cellStyle name="Calculation 21 2 5" xfId="2996"/>
    <cellStyle name="Calculation 21 2 5 2" xfId="58334"/>
    <cellStyle name="Calculation 21 2 6" xfId="2997"/>
    <cellStyle name="Calculation 21 2 6 2" xfId="58335"/>
    <cellStyle name="Calculation 21 2 7" xfId="2998"/>
    <cellStyle name="Calculation 21 2 7 2" xfId="58336"/>
    <cellStyle name="Calculation 21 2 8" xfId="2999"/>
    <cellStyle name="Calculation 21 2 8 2" xfId="58337"/>
    <cellStyle name="Calculation 21 2 9" xfId="3000"/>
    <cellStyle name="Calculation 21 3" xfId="3001"/>
    <cellStyle name="Calculation 21 3 2" xfId="58338"/>
    <cellStyle name="Calculation 21 4" xfId="3002"/>
    <cellStyle name="Calculation 21 4 2" xfId="58339"/>
    <cellStyle name="Calculation 21 5" xfId="3003"/>
    <cellStyle name="Calculation 21 5 2" xfId="58340"/>
    <cellStyle name="Calculation 21 6" xfId="3004"/>
    <cellStyle name="Calculation 21 6 2" xfId="58341"/>
    <cellStyle name="Calculation 21 7" xfId="3005"/>
    <cellStyle name="Calculation 21 7 2" xfId="58342"/>
    <cellStyle name="Calculation 21 8" xfId="3006"/>
    <cellStyle name="Calculation 21 8 2" xfId="58343"/>
    <cellStyle name="Calculation 21 9" xfId="3007"/>
    <cellStyle name="Calculation 21 9 2" xfId="58344"/>
    <cellStyle name="Calculation 22" xfId="3008"/>
    <cellStyle name="Calculation 22 2" xfId="3009"/>
    <cellStyle name="Calculation 22 2 2" xfId="58345"/>
    <cellStyle name="Calculation 22 3" xfId="3010"/>
    <cellStyle name="Calculation 22 3 2" xfId="58346"/>
    <cellStyle name="Calculation 22 4" xfId="3011"/>
    <cellStyle name="Calculation 22 4 2" xfId="58347"/>
    <cellStyle name="Calculation 22 5" xfId="3012"/>
    <cellStyle name="Calculation 22 5 2" xfId="58348"/>
    <cellStyle name="Calculation 22 6" xfId="3013"/>
    <cellStyle name="Calculation 22 6 2" xfId="58349"/>
    <cellStyle name="Calculation 22 7" xfId="3014"/>
    <cellStyle name="Calculation 22 7 2" xfId="58350"/>
    <cellStyle name="Calculation 22 8" xfId="3015"/>
    <cellStyle name="Calculation 22 8 2" xfId="58351"/>
    <cellStyle name="Calculation 22 9" xfId="3016"/>
    <cellStyle name="Calculation 23" xfId="9037"/>
    <cellStyle name="Calculation 3" xfId="3017"/>
    <cellStyle name="Calculation 3 10" xfId="3018"/>
    <cellStyle name="Calculation 3 11" xfId="9038"/>
    <cellStyle name="Calculation 3 2" xfId="3019"/>
    <cellStyle name="Calculation 3 2 10" xfId="3020"/>
    <cellStyle name="Calculation 3 2 2" xfId="3021"/>
    <cellStyle name="Calculation 3 2 2 2" xfId="58352"/>
    <cellStyle name="Calculation 3 2 3" xfId="3022"/>
    <cellStyle name="Calculation 3 2 3 2" xfId="58353"/>
    <cellStyle name="Calculation 3 2 4" xfId="3023"/>
    <cellStyle name="Calculation 3 2 4 2" xfId="58354"/>
    <cellStyle name="Calculation 3 2 5" xfId="3024"/>
    <cellStyle name="Calculation 3 2 5 2" xfId="58355"/>
    <cellStyle name="Calculation 3 2 6" xfId="3025"/>
    <cellStyle name="Calculation 3 2 6 2" xfId="58356"/>
    <cellStyle name="Calculation 3 2 7" xfId="3026"/>
    <cellStyle name="Calculation 3 2 7 2" xfId="58357"/>
    <cellStyle name="Calculation 3 2 8" xfId="3027"/>
    <cellStyle name="Calculation 3 2 8 2" xfId="58358"/>
    <cellStyle name="Calculation 3 2 9" xfId="3028"/>
    <cellStyle name="Calculation 3 3" xfId="3029"/>
    <cellStyle name="Calculation 3 3 2" xfId="58359"/>
    <cellStyle name="Calculation 3 4" xfId="3030"/>
    <cellStyle name="Calculation 3 4 2" xfId="58360"/>
    <cellStyle name="Calculation 3 5" xfId="3031"/>
    <cellStyle name="Calculation 3 5 2" xfId="58361"/>
    <cellStyle name="Calculation 3 6" xfId="3032"/>
    <cellStyle name="Calculation 3 6 2" xfId="58362"/>
    <cellStyle name="Calculation 3 7" xfId="3033"/>
    <cellStyle name="Calculation 3 7 2" xfId="58363"/>
    <cellStyle name="Calculation 3 8" xfId="3034"/>
    <cellStyle name="Calculation 3 8 2" xfId="58364"/>
    <cellStyle name="Calculation 3 9" xfId="3035"/>
    <cellStyle name="Calculation 3 9 2" xfId="58365"/>
    <cellStyle name="Calculation 4" xfId="3036"/>
    <cellStyle name="Calculation 4 10" xfId="3037"/>
    <cellStyle name="Calculation 4 11" xfId="58366"/>
    <cellStyle name="Calculation 4 12" xfId="58367"/>
    <cellStyle name="Calculation 4 2" xfId="3038"/>
    <cellStyle name="Calculation 4 2 2" xfId="3039"/>
    <cellStyle name="Calculation 4 2 2 2" xfId="58368"/>
    <cellStyle name="Calculation 4 2 3" xfId="3040"/>
    <cellStyle name="Calculation 4 2 3 2" xfId="58369"/>
    <cellStyle name="Calculation 4 2 4" xfId="3041"/>
    <cellStyle name="Calculation 4 2 4 2" xfId="58370"/>
    <cellStyle name="Calculation 4 2 5" xfId="3042"/>
    <cellStyle name="Calculation 4 2 5 2" xfId="58371"/>
    <cellStyle name="Calculation 4 2 6" xfId="3043"/>
    <cellStyle name="Calculation 4 2 6 2" xfId="58372"/>
    <cellStyle name="Calculation 4 2 7" xfId="3044"/>
    <cellStyle name="Calculation 4 2 7 2" xfId="58373"/>
    <cellStyle name="Calculation 4 2 8" xfId="3045"/>
    <cellStyle name="Calculation 4 2 8 2" xfId="58374"/>
    <cellStyle name="Calculation 4 2 9" xfId="3046"/>
    <cellStyle name="Calculation 4 3" xfId="3047"/>
    <cellStyle name="Calculation 4 3 2" xfId="58375"/>
    <cellStyle name="Calculation 4 4" xfId="3048"/>
    <cellStyle name="Calculation 4 4 2" xfId="58376"/>
    <cellStyle name="Calculation 4 5" xfId="3049"/>
    <cellStyle name="Calculation 4 5 2" xfId="58377"/>
    <cellStyle name="Calculation 4 6" xfId="3050"/>
    <cellStyle name="Calculation 4 6 2" xfId="58378"/>
    <cellStyle name="Calculation 4 7" xfId="3051"/>
    <cellStyle name="Calculation 4 7 2" xfId="58379"/>
    <cellStyle name="Calculation 4 8" xfId="3052"/>
    <cellStyle name="Calculation 4 8 2" xfId="58380"/>
    <cellStyle name="Calculation 4 9" xfId="3053"/>
    <cellStyle name="Calculation 4 9 2" xfId="58381"/>
    <cellStyle name="Calculation 5" xfId="3054"/>
    <cellStyle name="Calculation 5 10" xfId="3055"/>
    <cellStyle name="Calculation 5 11" xfId="58382"/>
    <cellStyle name="Calculation 5 12" xfId="58383"/>
    <cellStyle name="Calculation 5 2" xfId="3056"/>
    <cellStyle name="Calculation 5 2 2" xfId="3057"/>
    <cellStyle name="Calculation 5 2 2 2" xfId="58384"/>
    <cellStyle name="Calculation 5 2 3" xfId="3058"/>
    <cellStyle name="Calculation 5 2 3 2" xfId="58385"/>
    <cellStyle name="Calculation 5 2 4" xfId="3059"/>
    <cellStyle name="Calculation 5 2 4 2" xfId="58386"/>
    <cellStyle name="Calculation 5 2 5" xfId="3060"/>
    <cellStyle name="Calculation 5 2 5 2" xfId="58387"/>
    <cellStyle name="Calculation 5 2 6" xfId="3061"/>
    <cellStyle name="Calculation 5 2 6 2" xfId="58388"/>
    <cellStyle name="Calculation 5 2 7" xfId="3062"/>
    <cellStyle name="Calculation 5 2 7 2" xfId="58389"/>
    <cellStyle name="Calculation 5 2 8" xfId="3063"/>
    <cellStyle name="Calculation 5 2 8 2" xfId="58390"/>
    <cellStyle name="Calculation 5 2 9" xfId="3064"/>
    <cellStyle name="Calculation 5 3" xfId="3065"/>
    <cellStyle name="Calculation 5 3 2" xfId="58391"/>
    <cellStyle name="Calculation 5 4" xfId="3066"/>
    <cellStyle name="Calculation 5 4 2" xfId="58392"/>
    <cellStyle name="Calculation 5 5" xfId="3067"/>
    <cellStyle name="Calculation 5 5 2" xfId="58393"/>
    <cellStyle name="Calculation 5 6" xfId="3068"/>
    <cellStyle name="Calculation 5 6 2" xfId="58394"/>
    <cellStyle name="Calculation 5 7" xfId="3069"/>
    <cellStyle name="Calculation 5 7 2" xfId="58395"/>
    <cellStyle name="Calculation 5 8" xfId="3070"/>
    <cellStyle name="Calculation 5 8 2" xfId="58396"/>
    <cellStyle name="Calculation 5 9" xfId="3071"/>
    <cellStyle name="Calculation 5 9 2" xfId="58397"/>
    <cellStyle name="Calculation 6" xfId="3072"/>
    <cellStyle name="Calculation 6 10" xfId="3073"/>
    <cellStyle name="Calculation 6 11" xfId="58398"/>
    <cellStyle name="Calculation 6 12" xfId="58399"/>
    <cellStyle name="Calculation 6 2" xfId="3074"/>
    <cellStyle name="Calculation 6 2 2" xfId="3075"/>
    <cellStyle name="Calculation 6 2 2 2" xfId="58400"/>
    <cellStyle name="Calculation 6 2 3" xfId="3076"/>
    <cellStyle name="Calculation 6 2 3 2" xfId="58401"/>
    <cellStyle name="Calculation 6 2 4" xfId="3077"/>
    <cellStyle name="Calculation 6 2 4 2" xfId="58402"/>
    <cellStyle name="Calculation 6 2 5" xfId="3078"/>
    <cellStyle name="Calculation 6 2 5 2" xfId="58403"/>
    <cellStyle name="Calculation 6 2 6" xfId="3079"/>
    <cellStyle name="Calculation 6 2 6 2" xfId="58404"/>
    <cellStyle name="Calculation 6 2 7" xfId="3080"/>
    <cellStyle name="Calculation 6 2 7 2" xfId="58405"/>
    <cellStyle name="Calculation 6 2 8" xfId="3081"/>
    <cellStyle name="Calculation 6 2 8 2" xfId="58406"/>
    <cellStyle name="Calculation 6 2 9" xfId="3082"/>
    <cellStyle name="Calculation 6 3" xfId="3083"/>
    <cellStyle name="Calculation 6 3 2" xfId="58407"/>
    <cellStyle name="Calculation 6 4" xfId="3084"/>
    <cellStyle name="Calculation 6 4 2" xfId="58408"/>
    <cellStyle name="Calculation 6 5" xfId="3085"/>
    <cellStyle name="Calculation 6 5 2" xfId="58409"/>
    <cellStyle name="Calculation 6 6" xfId="3086"/>
    <cellStyle name="Calculation 6 6 2" xfId="58410"/>
    <cellStyle name="Calculation 6 7" xfId="3087"/>
    <cellStyle name="Calculation 6 7 2" xfId="58411"/>
    <cellStyle name="Calculation 6 8" xfId="3088"/>
    <cellStyle name="Calculation 6 8 2" xfId="58412"/>
    <cellStyle name="Calculation 6 9" xfId="3089"/>
    <cellStyle name="Calculation 6 9 2" xfId="58413"/>
    <cellStyle name="Calculation 7" xfId="3090"/>
    <cellStyle name="Calculation 7 10" xfId="3091"/>
    <cellStyle name="Calculation 7 11" xfId="58414"/>
    <cellStyle name="Calculation 7 12" xfId="58415"/>
    <cellStyle name="Calculation 7 2" xfId="3092"/>
    <cellStyle name="Calculation 7 2 2" xfId="3093"/>
    <cellStyle name="Calculation 7 2 2 2" xfId="58416"/>
    <cellStyle name="Calculation 7 2 3" xfId="3094"/>
    <cellStyle name="Calculation 7 2 3 2" xfId="58417"/>
    <cellStyle name="Calculation 7 2 4" xfId="3095"/>
    <cellStyle name="Calculation 7 2 4 2" xfId="58418"/>
    <cellStyle name="Calculation 7 2 5" xfId="3096"/>
    <cellStyle name="Calculation 7 2 5 2" xfId="58419"/>
    <cellStyle name="Calculation 7 2 6" xfId="3097"/>
    <cellStyle name="Calculation 7 2 6 2" xfId="58420"/>
    <cellStyle name="Calculation 7 2 7" xfId="3098"/>
    <cellStyle name="Calculation 7 2 7 2" xfId="58421"/>
    <cellStyle name="Calculation 7 2 8" xfId="3099"/>
    <cellStyle name="Calculation 7 2 8 2" xfId="58422"/>
    <cellStyle name="Calculation 7 2 9" xfId="3100"/>
    <cellStyle name="Calculation 7 3" xfId="3101"/>
    <cellStyle name="Calculation 7 3 2" xfId="58423"/>
    <cellStyle name="Calculation 7 4" xfId="3102"/>
    <cellStyle name="Calculation 7 4 2" xfId="58424"/>
    <cellStyle name="Calculation 7 5" xfId="3103"/>
    <cellStyle name="Calculation 7 5 2" xfId="58425"/>
    <cellStyle name="Calculation 7 6" xfId="3104"/>
    <cellStyle name="Calculation 7 6 2" xfId="58426"/>
    <cellStyle name="Calculation 7 7" xfId="3105"/>
    <cellStyle name="Calculation 7 7 2" xfId="58427"/>
    <cellStyle name="Calculation 7 8" xfId="3106"/>
    <cellStyle name="Calculation 7 8 2" xfId="58428"/>
    <cellStyle name="Calculation 7 9" xfId="3107"/>
    <cellStyle name="Calculation 7 9 2" xfId="58429"/>
    <cellStyle name="Calculation 8" xfId="3108"/>
    <cellStyle name="Calculation 8 10" xfId="3109"/>
    <cellStyle name="Calculation 8 11" xfId="58430"/>
    <cellStyle name="Calculation 8 12" xfId="58431"/>
    <cellStyle name="Calculation 8 2" xfId="3110"/>
    <cellStyle name="Calculation 8 2 2" xfId="3111"/>
    <cellStyle name="Calculation 8 2 2 2" xfId="58432"/>
    <cellStyle name="Calculation 8 2 3" xfId="3112"/>
    <cellStyle name="Calculation 8 2 3 2" xfId="58433"/>
    <cellStyle name="Calculation 8 2 4" xfId="3113"/>
    <cellStyle name="Calculation 8 2 4 2" xfId="58434"/>
    <cellStyle name="Calculation 8 2 5" xfId="3114"/>
    <cellStyle name="Calculation 8 2 5 2" xfId="58435"/>
    <cellStyle name="Calculation 8 2 6" xfId="3115"/>
    <cellStyle name="Calculation 8 2 6 2" xfId="58436"/>
    <cellStyle name="Calculation 8 2 7" xfId="3116"/>
    <cellStyle name="Calculation 8 2 7 2" xfId="58437"/>
    <cellStyle name="Calculation 8 2 8" xfId="3117"/>
    <cellStyle name="Calculation 8 2 8 2" xfId="58438"/>
    <cellStyle name="Calculation 8 2 9" xfId="3118"/>
    <cellStyle name="Calculation 8 3" xfId="3119"/>
    <cellStyle name="Calculation 8 3 2" xfId="58439"/>
    <cellStyle name="Calculation 8 4" xfId="3120"/>
    <cellStyle name="Calculation 8 4 2" xfId="58440"/>
    <cellStyle name="Calculation 8 5" xfId="3121"/>
    <cellStyle name="Calculation 8 5 2" xfId="58441"/>
    <cellStyle name="Calculation 8 6" xfId="3122"/>
    <cellStyle name="Calculation 8 6 2" xfId="58442"/>
    <cellStyle name="Calculation 8 7" xfId="3123"/>
    <cellStyle name="Calculation 8 7 2" xfId="58443"/>
    <cellStyle name="Calculation 8 8" xfId="3124"/>
    <cellStyle name="Calculation 8 8 2" xfId="58444"/>
    <cellStyle name="Calculation 8 9" xfId="3125"/>
    <cellStyle name="Calculation 8 9 2" xfId="58445"/>
    <cellStyle name="Calculation 9" xfId="3126"/>
    <cellStyle name="Calculation 9 10" xfId="3127"/>
    <cellStyle name="Calculation 9 11" xfId="58446"/>
    <cellStyle name="Calculation 9 12" xfId="58447"/>
    <cellStyle name="Calculation 9 2" xfId="3128"/>
    <cellStyle name="Calculation 9 2 2" xfId="3129"/>
    <cellStyle name="Calculation 9 2 2 2" xfId="58448"/>
    <cellStyle name="Calculation 9 2 3" xfId="3130"/>
    <cellStyle name="Calculation 9 2 3 2" xfId="58449"/>
    <cellStyle name="Calculation 9 2 4" xfId="3131"/>
    <cellStyle name="Calculation 9 2 4 2" xfId="58450"/>
    <cellStyle name="Calculation 9 2 5" xfId="3132"/>
    <cellStyle name="Calculation 9 2 5 2" xfId="58451"/>
    <cellStyle name="Calculation 9 2 6" xfId="3133"/>
    <cellStyle name="Calculation 9 2 6 2" xfId="58452"/>
    <cellStyle name="Calculation 9 2 7" xfId="3134"/>
    <cellStyle name="Calculation 9 2 7 2" xfId="58453"/>
    <cellStyle name="Calculation 9 2 8" xfId="3135"/>
    <cellStyle name="Calculation 9 2 8 2" xfId="58454"/>
    <cellStyle name="Calculation 9 2 9" xfId="3136"/>
    <cellStyle name="Calculation 9 3" xfId="3137"/>
    <cellStyle name="Calculation 9 3 2" xfId="58455"/>
    <cellStyle name="Calculation 9 4" xfId="3138"/>
    <cellStyle name="Calculation 9 4 2" xfId="58456"/>
    <cellStyle name="Calculation 9 5" xfId="3139"/>
    <cellStyle name="Calculation 9 5 2" xfId="58457"/>
    <cellStyle name="Calculation 9 6" xfId="3140"/>
    <cellStyle name="Calculation 9 6 2" xfId="58458"/>
    <cellStyle name="Calculation 9 7" xfId="3141"/>
    <cellStyle name="Calculation 9 7 2" xfId="58459"/>
    <cellStyle name="Calculation 9 8" xfId="3142"/>
    <cellStyle name="Calculation 9 8 2" xfId="58460"/>
    <cellStyle name="Calculation 9 9" xfId="3143"/>
    <cellStyle name="Calculation 9 9 2" xfId="58461"/>
    <cellStyle name="Check Cell 10" xfId="9573"/>
    <cellStyle name="Check Cell 11" xfId="9574"/>
    <cellStyle name="Check Cell 12" xfId="9575"/>
    <cellStyle name="Check Cell 13" xfId="9576"/>
    <cellStyle name="Check Cell 14" xfId="9577"/>
    <cellStyle name="Check Cell 15" xfId="9578"/>
    <cellStyle name="Check Cell 16" xfId="9579"/>
    <cellStyle name="Check Cell 17" xfId="9580"/>
    <cellStyle name="Check Cell 2" xfId="3144"/>
    <cellStyle name="Check Cell 2 2" xfId="3145"/>
    <cellStyle name="Check Cell 2 2 2" xfId="58462"/>
    <cellStyle name="Check Cell 2 3" xfId="29395"/>
    <cellStyle name="Check Cell 2 4" xfId="29396"/>
    <cellStyle name="Check Cell 2 5" xfId="29397"/>
    <cellStyle name="Check Cell 3" xfId="3146"/>
    <cellStyle name="Check Cell 3 2" xfId="9039"/>
    <cellStyle name="Check Cell 4" xfId="9040"/>
    <cellStyle name="Check Cell 4 2" xfId="29398"/>
    <cellStyle name="Check Cell 5" xfId="9581"/>
    <cellStyle name="Check Cell 5 2" xfId="29399"/>
    <cellStyle name="Check Cell 6" xfId="9582"/>
    <cellStyle name="Check Cell 6 2" xfId="29400"/>
    <cellStyle name="Check Cell 7" xfId="9583"/>
    <cellStyle name="Check Cell 7 2" xfId="29401"/>
    <cellStyle name="Check Cell 8" xfId="9584"/>
    <cellStyle name="Check Cell 9" xfId="9585"/>
    <cellStyle name="CodeEingabe" xfId="3147"/>
    <cellStyle name="ColumnAttributeAbovePrompt" xfId="3148"/>
    <cellStyle name="ColumnAttributeAbovePrompt 2" xfId="3149"/>
    <cellStyle name="ColumnAttributeAbovePrompt 2 2" xfId="9586"/>
    <cellStyle name="ColumnAttributeAbovePrompt 2 3" xfId="9587"/>
    <cellStyle name="ColumnAttributeAbovePrompt 3" xfId="3150"/>
    <cellStyle name="ColumnAttributeAbovePrompt 4" xfId="9041"/>
    <cellStyle name="ColumnAttributePrompt" xfId="3151"/>
    <cellStyle name="ColumnAttributePrompt 2" xfId="3152"/>
    <cellStyle name="ColumnAttributePrompt 2 2" xfId="9588"/>
    <cellStyle name="ColumnAttributePrompt 2 3" xfId="9589"/>
    <cellStyle name="ColumnAttributePrompt 3" xfId="3153"/>
    <cellStyle name="ColumnAttributePrompt 4" xfId="9042"/>
    <cellStyle name="ColumnAttributeValue" xfId="3154"/>
    <cellStyle name="ColumnAttributeValue 2" xfId="3155"/>
    <cellStyle name="ColumnAttributeValue 2 2" xfId="9590"/>
    <cellStyle name="ColumnAttributeValue 2 3" xfId="9591"/>
    <cellStyle name="ColumnAttributeValue 3" xfId="3156"/>
    <cellStyle name="ColumnAttributeValue 4" xfId="9043"/>
    <cellStyle name="ColumnHeadingPrompt" xfId="3157"/>
    <cellStyle name="ColumnHeadingPrompt 2" xfId="3158"/>
    <cellStyle name="ColumnHeadingPrompt 2 2" xfId="9592"/>
    <cellStyle name="ColumnHeadingPrompt 2 3" xfId="9593"/>
    <cellStyle name="ColumnHeadingPrompt 3" xfId="3159"/>
    <cellStyle name="ColumnHeadingPrompt 4" xfId="9044"/>
    <cellStyle name="ColumnHeadingValue" xfId="3160"/>
    <cellStyle name="ColumnHeadingValue 2" xfId="3161"/>
    <cellStyle name="ColumnHeadingValue 2 2" xfId="29402"/>
    <cellStyle name="ColumnHeadingValue 3" xfId="3162"/>
    <cellStyle name="ColumnHeadingValue 4" xfId="9045"/>
    <cellStyle name="Comma" xfId="8782" builtinId="3"/>
    <cellStyle name="Comma [0] 2" xfId="3163"/>
    <cellStyle name="Comma [0] 2 2" xfId="3164"/>
    <cellStyle name="Comma [0] 2 3" xfId="29403"/>
    <cellStyle name="Comma [0] 3" xfId="3165"/>
    <cellStyle name="Comma [0] 3 2" xfId="3166"/>
    <cellStyle name="Comma [0] 3 2 2" xfId="9594"/>
    <cellStyle name="Comma [0] 3 2 2 2" xfId="9595"/>
    <cellStyle name="Comma [0] 3 2 3" xfId="9596"/>
    <cellStyle name="Comma [0] 3 2 4" xfId="58463"/>
    <cellStyle name="Comma [0] 3 3" xfId="9597"/>
    <cellStyle name="Comma [0] 3 4" xfId="9598"/>
    <cellStyle name="Comma [0] 3 4 2" xfId="9599"/>
    <cellStyle name="Comma [0] 3 5" xfId="9600"/>
    <cellStyle name="Comma [0] 4" xfId="3167"/>
    <cellStyle name="Comma [0] 4 2" xfId="3168"/>
    <cellStyle name="Comma [0] 5" xfId="3169"/>
    <cellStyle name="Comma [0] 5 2" xfId="3170"/>
    <cellStyle name="Comma [0] 5 2 2" xfId="9601"/>
    <cellStyle name="Comma [0] 5 2 3" xfId="58464"/>
    <cellStyle name="Comma [0] 5 3" xfId="9602"/>
    <cellStyle name="Comma [0] 5 3 2" xfId="29404"/>
    <cellStyle name="Comma [0] 5 4" xfId="29405"/>
    <cellStyle name="Comma [0] 6" xfId="9603"/>
    <cellStyle name="Comma [0] 6 2" xfId="9604"/>
    <cellStyle name="Comma [0] 6 2 2" xfId="9605"/>
    <cellStyle name="Comma [0] 6 3" xfId="9606"/>
    <cellStyle name="Comma 10" xfId="3171"/>
    <cellStyle name="Comma 10 10" xfId="9046"/>
    <cellStyle name="Comma 10 10 2" xfId="29406"/>
    <cellStyle name="Comma 10 10 2 2" xfId="29407"/>
    <cellStyle name="Comma 10 10 2 3" xfId="29408"/>
    <cellStyle name="Comma 10 10 3" xfId="29409"/>
    <cellStyle name="Comma 10 10 3 2" xfId="29410"/>
    <cellStyle name="Comma 10 10 4" xfId="29411"/>
    <cellStyle name="Comma 10 10 5" xfId="29412"/>
    <cellStyle name="Comma 10 11" xfId="29413"/>
    <cellStyle name="Comma 10 11 2" xfId="29414"/>
    <cellStyle name="Comma 10 11 3" xfId="29415"/>
    <cellStyle name="Comma 10 12" xfId="29416"/>
    <cellStyle name="Comma 10 12 2" xfId="29417"/>
    <cellStyle name="Comma 10 12 3" xfId="29418"/>
    <cellStyle name="Comma 10 13" xfId="29419"/>
    <cellStyle name="Comma 10 13 2" xfId="29420"/>
    <cellStyle name="Comma 10 14" xfId="29421"/>
    <cellStyle name="Comma 10 15" xfId="29422"/>
    <cellStyle name="Comma 10 16" xfId="29423"/>
    <cellStyle name="Comma 10 2" xfId="3172"/>
    <cellStyle name="Comma 10 2 10" xfId="29424"/>
    <cellStyle name="Comma 10 2 10 2" xfId="29425"/>
    <cellStyle name="Comma 10 2 10 3" xfId="29426"/>
    <cellStyle name="Comma 10 2 11" xfId="29427"/>
    <cellStyle name="Comma 10 2 11 2" xfId="29428"/>
    <cellStyle name="Comma 10 2 11 3" xfId="29429"/>
    <cellStyle name="Comma 10 2 12" xfId="29430"/>
    <cellStyle name="Comma 10 2 12 2" xfId="29431"/>
    <cellStyle name="Comma 10 2 13" xfId="29432"/>
    <cellStyle name="Comma 10 2 14" xfId="29433"/>
    <cellStyle name="Comma 10 2 15" xfId="29434"/>
    <cellStyle name="Comma 10 2 2" xfId="3173"/>
    <cellStyle name="Comma 10 2 2 10" xfId="29435"/>
    <cellStyle name="Comma 10 2 2 10 2" xfId="29436"/>
    <cellStyle name="Comma 10 2 2 10 3" xfId="29437"/>
    <cellStyle name="Comma 10 2 2 11" xfId="29438"/>
    <cellStyle name="Comma 10 2 2 11 2" xfId="29439"/>
    <cellStyle name="Comma 10 2 2 12" xfId="29440"/>
    <cellStyle name="Comma 10 2 2 13" xfId="29441"/>
    <cellStyle name="Comma 10 2 2 14" xfId="29442"/>
    <cellStyle name="Comma 10 2 2 2" xfId="3174"/>
    <cellStyle name="Comma 10 2 2 2 10" xfId="29443"/>
    <cellStyle name="Comma 10 2 2 2 10 2" xfId="29444"/>
    <cellStyle name="Comma 10 2 2 2 11" xfId="29445"/>
    <cellStyle name="Comma 10 2 2 2 12" xfId="29446"/>
    <cellStyle name="Comma 10 2 2 2 2" xfId="3175"/>
    <cellStyle name="Comma 10 2 2 2 2 10" xfId="29447"/>
    <cellStyle name="Comma 10 2 2 2 2 2" xfId="3176"/>
    <cellStyle name="Comma 10 2 2 2 2 2 2" xfId="3177"/>
    <cellStyle name="Comma 10 2 2 2 2 2 2 2" xfId="29448"/>
    <cellStyle name="Comma 10 2 2 2 2 2 2 2 2" xfId="29449"/>
    <cellStyle name="Comma 10 2 2 2 2 2 2 2 3" xfId="29450"/>
    <cellStyle name="Comma 10 2 2 2 2 2 2 3" xfId="29451"/>
    <cellStyle name="Comma 10 2 2 2 2 2 2 3 2" xfId="29452"/>
    <cellStyle name="Comma 10 2 2 2 2 2 2 3 3" xfId="29453"/>
    <cellStyle name="Comma 10 2 2 2 2 2 2 4" xfId="29454"/>
    <cellStyle name="Comma 10 2 2 2 2 2 2 4 2" xfId="29455"/>
    <cellStyle name="Comma 10 2 2 2 2 2 2 5" xfId="29456"/>
    <cellStyle name="Comma 10 2 2 2 2 2 2 6" xfId="29457"/>
    <cellStyle name="Comma 10 2 2 2 2 2 3" xfId="29458"/>
    <cellStyle name="Comma 10 2 2 2 2 2 3 2" xfId="29459"/>
    <cellStyle name="Comma 10 2 2 2 2 2 3 2 2" xfId="29460"/>
    <cellStyle name="Comma 10 2 2 2 2 2 3 2 3" xfId="29461"/>
    <cellStyle name="Comma 10 2 2 2 2 2 3 3" xfId="29462"/>
    <cellStyle name="Comma 10 2 2 2 2 2 3 3 2" xfId="29463"/>
    <cellStyle name="Comma 10 2 2 2 2 2 3 3 3" xfId="29464"/>
    <cellStyle name="Comma 10 2 2 2 2 2 3 4" xfId="29465"/>
    <cellStyle name="Comma 10 2 2 2 2 2 3 4 2" xfId="29466"/>
    <cellStyle name="Comma 10 2 2 2 2 2 3 5" xfId="29467"/>
    <cellStyle name="Comma 10 2 2 2 2 2 3 6" xfId="29468"/>
    <cellStyle name="Comma 10 2 2 2 2 2 4" xfId="29469"/>
    <cellStyle name="Comma 10 2 2 2 2 2 4 2" xfId="29470"/>
    <cellStyle name="Comma 10 2 2 2 2 2 4 2 2" xfId="29471"/>
    <cellStyle name="Comma 10 2 2 2 2 2 4 2 3" xfId="29472"/>
    <cellStyle name="Comma 10 2 2 2 2 2 4 3" xfId="29473"/>
    <cellStyle name="Comma 10 2 2 2 2 2 4 3 2" xfId="29474"/>
    <cellStyle name="Comma 10 2 2 2 2 2 4 4" xfId="29475"/>
    <cellStyle name="Comma 10 2 2 2 2 2 4 5" xfId="29476"/>
    <cellStyle name="Comma 10 2 2 2 2 2 5" xfId="29477"/>
    <cellStyle name="Comma 10 2 2 2 2 2 5 2" xfId="29478"/>
    <cellStyle name="Comma 10 2 2 2 2 2 5 3" xfId="29479"/>
    <cellStyle name="Comma 10 2 2 2 2 2 6" xfId="29480"/>
    <cellStyle name="Comma 10 2 2 2 2 2 6 2" xfId="29481"/>
    <cellStyle name="Comma 10 2 2 2 2 2 6 3" xfId="29482"/>
    <cellStyle name="Comma 10 2 2 2 2 2 7" xfId="29483"/>
    <cellStyle name="Comma 10 2 2 2 2 2 7 2" xfId="29484"/>
    <cellStyle name="Comma 10 2 2 2 2 2 8" xfId="29485"/>
    <cellStyle name="Comma 10 2 2 2 2 2 9" xfId="29486"/>
    <cellStyle name="Comma 10 2 2 2 2 3" xfId="3178"/>
    <cellStyle name="Comma 10 2 2 2 2 3 2" xfId="29487"/>
    <cellStyle name="Comma 10 2 2 2 2 3 2 2" xfId="29488"/>
    <cellStyle name="Comma 10 2 2 2 2 3 2 3" xfId="29489"/>
    <cellStyle name="Comma 10 2 2 2 2 3 3" xfId="29490"/>
    <cellStyle name="Comma 10 2 2 2 2 3 3 2" xfId="29491"/>
    <cellStyle name="Comma 10 2 2 2 2 3 3 3" xfId="29492"/>
    <cellStyle name="Comma 10 2 2 2 2 3 4" xfId="29493"/>
    <cellStyle name="Comma 10 2 2 2 2 3 4 2" xfId="29494"/>
    <cellStyle name="Comma 10 2 2 2 2 3 5" xfId="29495"/>
    <cellStyle name="Comma 10 2 2 2 2 3 6" xfId="29496"/>
    <cellStyle name="Comma 10 2 2 2 2 4" xfId="29497"/>
    <cellStyle name="Comma 10 2 2 2 2 4 2" xfId="29498"/>
    <cellStyle name="Comma 10 2 2 2 2 4 2 2" xfId="29499"/>
    <cellStyle name="Comma 10 2 2 2 2 4 2 3" xfId="29500"/>
    <cellStyle name="Comma 10 2 2 2 2 4 3" xfId="29501"/>
    <cellStyle name="Comma 10 2 2 2 2 4 3 2" xfId="29502"/>
    <cellStyle name="Comma 10 2 2 2 2 4 3 3" xfId="29503"/>
    <cellStyle name="Comma 10 2 2 2 2 4 4" xfId="29504"/>
    <cellStyle name="Comma 10 2 2 2 2 4 4 2" xfId="29505"/>
    <cellStyle name="Comma 10 2 2 2 2 4 5" xfId="29506"/>
    <cellStyle name="Comma 10 2 2 2 2 4 6" xfId="29507"/>
    <cellStyle name="Comma 10 2 2 2 2 5" xfId="29508"/>
    <cellStyle name="Comma 10 2 2 2 2 5 2" xfId="29509"/>
    <cellStyle name="Comma 10 2 2 2 2 5 2 2" xfId="29510"/>
    <cellStyle name="Comma 10 2 2 2 2 5 2 3" xfId="29511"/>
    <cellStyle name="Comma 10 2 2 2 2 5 3" xfId="29512"/>
    <cellStyle name="Comma 10 2 2 2 2 5 3 2" xfId="29513"/>
    <cellStyle name="Comma 10 2 2 2 2 5 4" xfId="29514"/>
    <cellStyle name="Comma 10 2 2 2 2 5 5" xfId="29515"/>
    <cellStyle name="Comma 10 2 2 2 2 6" xfId="29516"/>
    <cellStyle name="Comma 10 2 2 2 2 6 2" xfId="29517"/>
    <cellStyle name="Comma 10 2 2 2 2 6 3" xfId="29518"/>
    <cellStyle name="Comma 10 2 2 2 2 7" xfId="29519"/>
    <cellStyle name="Comma 10 2 2 2 2 7 2" xfId="29520"/>
    <cellStyle name="Comma 10 2 2 2 2 7 3" xfId="29521"/>
    <cellStyle name="Comma 10 2 2 2 2 8" xfId="29522"/>
    <cellStyle name="Comma 10 2 2 2 2 8 2" xfId="29523"/>
    <cellStyle name="Comma 10 2 2 2 2 9" xfId="29524"/>
    <cellStyle name="Comma 10 2 2 2 3" xfId="3179"/>
    <cellStyle name="Comma 10 2 2 2 3 2" xfId="3180"/>
    <cellStyle name="Comma 10 2 2 2 3 2 2" xfId="29525"/>
    <cellStyle name="Comma 10 2 2 2 3 2 2 2" xfId="29526"/>
    <cellStyle name="Comma 10 2 2 2 3 2 2 3" xfId="29527"/>
    <cellStyle name="Comma 10 2 2 2 3 2 3" xfId="29528"/>
    <cellStyle name="Comma 10 2 2 2 3 2 3 2" xfId="29529"/>
    <cellStyle name="Comma 10 2 2 2 3 2 3 3" xfId="29530"/>
    <cellStyle name="Comma 10 2 2 2 3 2 4" xfId="29531"/>
    <cellStyle name="Comma 10 2 2 2 3 2 4 2" xfId="29532"/>
    <cellStyle name="Comma 10 2 2 2 3 2 5" xfId="29533"/>
    <cellStyle name="Comma 10 2 2 2 3 2 6" xfId="29534"/>
    <cellStyle name="Comma 10 2 2 2 3 3" xfId="29535"/>
    <cellStyle name="Comma 10 2 2 2 3 3 2" xfId="29536"/>
    <cellStyle name="Comma 10 2 2 2 3 3 2 2" xfId="29537"/>
    <cellStyle name="Comma 10 2 2 2 3 3 2 3" xfId="29538"/>
    <cellStyle name="Comma 10 2 2 2 3 3 3" xfId="29539"/>
    <cellStyle name="Comma 10 2 2 2 3 3 3 2" xfId="29540"/>
    <cellStyle name="Comma 10 2 2 2 3 3 3 3" xfId="29541"/>
    <cellStyle name="Comma 10 2 2 2 3 3 4" xfId="29542"/>
    <cellStyle name="Comma 10 2 2 2 3 3 4 2" xfId="29543"/>
    <cellStyle name="Comma 10 2 2 2 3 3 5" xfId="29544"/>
    <cellStyle name="Comma 10 2 2 2 3 3 6" xfId="29545"/>
    <cellStyle name="Comma 10 2 2 2 3 4" xfId="29546"/>
    <cellStyle name="Comma 10 2 2 2 3 4 2" xfId="29547"/>
    <cellStyle name="Comma 10 2 2 2 3 4 2 2" xfId="29548"/>
    <cellStyle name="Comma 10 2 2 2 3 4 2 3" xfId="29549"/>
    <cellStyle name="Comma 10 2 2 2 3 4 3" xfId="29550"/>
    <cellStyle name="Comma 10 2 2 2 3 4 3 2" xfId="29551"/>
    <cellStyle name="Comma 10 2 2 2 3 4 4" xfId="29552"/>
    <cellStyle name="Comma 10 2 2 2 3 4 5" xfId="29553"/>
    <cellStyle name="Comma 10 2 2 2 3 5" xfId="29554"/>
    <cellStyle name="Comma 10 2 2 2 3 5 2" xfId="29555"/>
    <cellStyle name="Comma 10 2 2 2 3 5 3" xfId="29556"/>
    <cellStyle name="Comma 10 2 2 2 3 6" xfId="29557"/>
    <cellStyle name="Comma 10 2 2 2 3 6 2" xfId="29558"/>
    <cellStyle name="Comma 10 2 2 2 3 6 3" xfId="29559"/>
    <cellStyle name="Comma 10 2 2 2 3 7" xfId="29560"/>
    <cellStyle name="Comma 10 2 2 2 3 7 2" xfId="29561"/>
    <cellStyle name="Comma 10 2 2 2 3 8" xfId="29562"/>
    <cellStyle name="Comma 10 2 2 2 3 9" xfId="29563"/>
    <cellStyle name="Comma 10 2 2 2 4" xfId="3181"/>
    <cellStyle name="Comma 10 2 2 2 4 2" xfId="29564"/>
    <cellStyle name="Comma 10 2 2 2 4 2 2" xfId="29565"/>
    <cellStyle name="Comma 10 2 2 2 4 2 2 2" xfId="29566"/>
    <cellStyle name="Comma 10 2 2 2 4 2 2 3" xfId="29567"/>
    <cellStyle name="Comma 10 2 2 2 4 2 3" xfId="29568"/>
    <cellStyle name="Comma 10 2 2 2 4 2 3 2" xfId="29569"/>
    <cellStyle name="Comma 10 2 2 2 4 2 3 3" xfId="29570"/>
    <cellStyle name="Comma 10 2 2 2 4 2 4" xfId="29571"/>
    <cellStyle name="Comma 10 2 2 2 4 2 4 2" xfId="29572"/>
    <cellStyle name="Comma 10 2 2 2 4 2 5" xfId="29573"/>
    <cellStyle name="Comma 10 2 2 2 4 2 6" xfId="29574"/>
    <cellStyle name="Comma 10 2 2 2 4 3" xfId="29575"/>
    <cellStyle name="Comma 10 2 2 2 4 3 2" xfId="29576"/>
    <cellStyle name="Comma 10 2 2 2 4 3 2 2" xfId="29577"/>
    <cellStyle name="Comma 10 2 2 2 4 3 2 3" xfId="29578"/>
    <cellStyle name="Comma 10 2 2 2 4 3 3" xfId="29579"/>
    <cellStyle name="Comma 10 2 2 2 4 3 3 2" xfId="29580"/>
    <cellStyle name="Comma 10 2 2 2 4 3 3 3" xfId="29581"/>
    <cellStyle name="Comma 10 2 2 2 4 3 4" xfId="29582"/>
    <cellStyle name="Comma 10 2 2 2 4 3 4 2" xfId="29583"/>
    <cellStyle name="Comma 10 2 2 2 4 3 5" xfId="29584"/>
    <cellStyle name="Comma 10 2 2 2 4 3 6" xfId="29585"/>
    <cellStyle name="Comma 10 2 2 2 4 4" xfId="29586"/>
    <cellStyle name="Comma 10 2 2 2 4 4 2" xfId="29587"/>
    <cellStyle name="Comma 10 2 2 2 4 4 2 2" xfId="29588"/>
    <cellStyle name="Comma 10 2 2 2 4 4 2 3" xfId="29589"/>
    <cellStyle name="Comma 10 2 2 2 4 4 3" xfId="29590"/>
    <cellStyle name="Comma 10 2 2 2 4 4 3 2" xfId="29591"/>
    <cellStyle name="Comma 10 2 2 2 4 4 4" xfId="29592"/>
    <cellStyle name="Comma 10 2 2 2 4 4 5" xfId="29593"/>
    <cellStyle name="Comma 10 2 2 2 4 5" xfId="29594"/>
    <cellStyle name="Comma 10 2 2 2 4 5 2" xfId="29595"/>
    <cellStyle name="Comma 10 2 2 2 4 5 3" xfId="29596"/>
    <cellStyle name="Comma 10 2 2 2 4 6" xfId="29597"/>
    <cellStyle name="Comma 10 2 2 2 4 6 2" xfId="29598"/>
    <cellStyle name="Comma 10 2 2 2 4 6 3" xfId="29599"/>
    <cellStyle name="Comma 10 2 2 2 4 7" xfId="29600"/>
    <cellStyle name="Comma 10 2 2 2 4 7 2" xfId="29601"/>
    <cellStyle name="Comma 10 2 2 2 4 8" xfId="29602"/>
    <cellStyle name="Comma 10 2 2 2 4 9" xfId="29603"/>
    <cellStyle name="Comma 10 2 2 2 5" xfId="29604"/>
    <cellStyle name="Comma 10 2 2 2 5 2" xfId="29605"/>
    <cellStyle name="Comma 10 2 2 2 5 2 2" xfId="29606"/>
    <cellStyle name="Comma 10 2 2 2 5 2 3" xfId="29607"/>
    <cellStyle name="Comma 10 2 2 2 5 3" xfId="29608"/>
    <cellStyle name="Comma 10 2 2 2 5 3 2" xfId="29609"/>
    <cellStyle name="Comma 10 2 2 2 5 3 3" xfId="29610"/>
    <cellStyle name="Comma 10 2 2 2 5 4" xfId="29611"/>
    <cellStyle name="Comma 10 2 2 2 5 4 2" xfId="29612"/>
    <cellStyle name="Comma 10 2 2 2 5 5" xfId="29613"/>
    <cellStyle name="Comma 10 2 2 2 5 6" xfId="29614"/>
    <cellStyle name="Comma 10 2 2 2 6" xfId="29615"/>
    <cellStyle name="Comma 10 2 2 2 6 2" xfId="29616"/>
    <cellStyle name="Comma 10 2 2 2 6 2 2" xfId="29617"/>
    <cellStyle name="Comma 10 2 2 2 6 2 3" xfId="29618"/>
    <cellStyle name="Comma 10 2 2 2 6 3" xfId="29619"/>
    <cellStyle name="Comma 10 2 2 2 6 3 2" xfId="29620"/>
    <cellStyle name="Comma 10 2 2 2 6 3 3" xfId="29621"/>
    <cellStyle name="Comma 10 2 2 2 6 4" xfId="29622"/>
    <cellStyle name="Comma 10 2 2 2 6 4 2" xfId="29623"/>
    <cellStyle name="Comma 10 2 2 2 6 5" xfId="29624"/>
    <cellStyle name="Comma 10 2 2 2 6 6" xfId="29625"/>
    <cellStyle name="Comma 10 2 2 2 7" xfId="29626"/>
    <cellStyle name="Comma 10 2 2 2 7 2" xfId="29627"/>
    <cellStyle name="Comma 10 2 2 2 7 2 2" xfId="29628"/>
    <cellStyle name="Comma 10 2 2 2 7 2 3" xfId="29629"/>
    <cellStyle name="Comma 10 2 2 2 7 3" xfId="29630"/>
    <cellStyle name="Comma 10 2 2 2 7 3 2" xfId="29631"/>
    <cellStyle name="Comma 10 2 2 2 7 4" xfId="29632"/>
    <cellStyle name="Comma 10 2 2 2 7 5" xfId="29633"/>
    <cellStyle name="Comma 10 2 2 2 8" xfId="29634"/>
    <cellStyle name="Comma 10 2 2 2 8 2" xfId="29635"/>
    <cellStyle name="Comma 10 2 2 2 8 3" xfId="29636"/>
    <cellStyle name="Comma 10 2 2 2 9" xfId="29637"/>
    <cellStyle name="Comma 10 2 2 2 9 2" xfId="29638"/>
    <cellStyle name="Comma 10 2 2 2 9 3" xfId="29639"/>
    <cellStyle name="Comma 10 2 2 3" xfId="3182"/>
    <cellStyle name="Comma 10 2 2 3 10" xfId="29640"/>
    <cellStyle name="Comma 10 2 2 3 2" xfId="3183"/>
    <cellStyle name="Comma 10 2 2 3 2 2" xfId="3184"/>
    <cellStyle name="Comma 10 2 2 3 2 2 2" xfId="29641"/>
    <cellStyle name="Comma 10 2 2 3 2 2 2 2" xfId="29642"/>
    <cellStyle name="Comma 10 2 2 3 2 2 2 3" xfId="29643"/>
    <cellStyle name="Comma 10 2 2 3 2 2 3" xfId="29644"/>
    <cellStyle name="Comma 10 2 2 3 2 2 3 2" xfId="29645"/>
    <cellStyle name="Comma 10 2 2 3 2 2 3 3" xfId="29646"/>
    <cellStyle name="Comma 10 2 2 3 2 2 4" xfId="29647"/>
    <cellStyle name="Comma 10 2 2 3 2 2 4 2" xfId="29648"/>
    <cellStyle name="Comma 10 2 2 3 2 2 5" xfId="29649"/>
    <cellStyle name="Comma 10 2 2 3 2 2 6" xfId="29650"/>
    <cellStyle name="Comma 10 2 2 3 2 3" xfId="29651"/>
    <cellStyle name="Comma 10 2 2 3 2 3 2" xfId="29652"/>
    <cellStyle name="Comma 10 2 2 3 2 3 2 2" xfId="29653"/>
    <cellStyle name="Comma 10 2 2 3 2 3 2 3" xfId="29654"/>
    <cellStyle name="Comma 10 2 2 3 2 3 3" xfId="29655"/>
    <cellStyle name="Comma 10 2 2 3 2 3 3 2" xfId="29656"/>
    <cellStyle name="Comma 10 2 2 3 2 3 3 3" xfId="29657"/>
    <cellStyle name="Comma 10 2 2 3 2 3 4" xfId="29658"/>
    <cellStyle name="Comma 10 2 2 3 2 3 4 2" xfId="29659"/>
    <cellStyle name="Comma 10 2 2 3 2 3 5" xfId="29660"/>
    <cellStyle name="Comma 10 2 2 3 2 3 6" xfId="29661"/>
    <cellStyle name="Comma 10 2 2 3 2 4" xfId="29662"/>
    <cellStyle name="Comma 10 2 2 3 2 4 2" xfId="29663"/>
    <cellStyle name="Comma 10 2 2 3 2 4 2 2" xfId="29664"/>
    <cellStyle name="Comma 10 2 2 3 2 4 2 3" xfId="29665"/>
    <cellStyle name="Comma 10 2 2 3 2 4 3" xfId="29666"/>
    <cellStyle name="Comma 10 2 2 3 2 4 3 2" xfId="29667"/>
    <cellStyle name="Comma 10 2 2 3 2 4 4" xfId="29668"/>
    <cellStyle name="Comma 10 2 2 3 2 4 5" xfId="29669"/>
    <cellStyle name="Comma 10 2 2 3 2 5" xfId="29670"/>
    <cellStyle name="Comma 10 2 2 3 2 5 2" xfId="29671"/>
    <cellStyle name="Comma 10 2 2 3 2 5 3" xfId="29672"/>
    <cellStyle name="Comma 10 2 2 3 2 6" xfId="29673"/>
    <cellStyle name="Comma 10 2 2 3 2 6 2" xfId="29674"/>
    <cellStyle name="Comma 10 2 2 3 2 6 3" xfId="29675"/>
    <cellStyle name="Comma 10 2 2 3 2 7" xfId="29676"/>
    <cellStyle name="Comma 10 2 2 3 2 7 2" xfId="29677"/>
    <cellStyle name="Comma 10 2 2 3 2 8" xfId="29678"/>
    <cellStyle name="Comma 10 2 2 3 2 9" xfId="29679"/>
    <cellStyle name="Comma 10 2 2 3 3" xfId="3185"/>
    <cellStyle name="Comma 10 2 2 3 3 2" xfId="29680"/>
    <cellStyle name="Comma 10 2 2 3 3 2 2" xfId="29681"/>
    <cellStyle name="Comma 10 2 2 3 3 2 3" xfId="29682"/>
    <cellStyle name="Comma 10 2 2 3 3 3" xfId="29683"/>
    <cellStyle name="Comma 10 2 2 3 3 3 2" xfId="29684"/>
    <cellStyle name="Comma 10 2 2 3 3 3 3" xfId="29685"/>
    <cellStyle name="Comma 10 2 2 3 3 4" xfId="29686"/>
    <cellStyle name="Comma 10 2 2 3 3 4 2" xfId="29687"/>
    <cellStyle name="Comma 10 2 2 3 3 5" xfId="29688"/>
    <cellStyle name="Comma 10 2 2 3 3 6" xfId="29689"/>
    <cellStyle name="Comma 10 2 2 3 4" xfId="29690"/>
    <cellStyle name="Comma 10 2 2 3 4 2" xfId="29691"/>
    <cellStyle name="Comma 10 2 2 3 4 2 2" xfId="29692"/>
    <cellStyle name="Comma 10 2 2 3 4 2 3" xfId="29693"/>
    <cellStyle name="Comma 10 2 2 3 4 3" xfId="29694"/>
    <cellStyle name="Comma 10 2 2 3 4 3 2" xfId="29695"/>
    <cellStyle name="Comma 10 2 2 3 4 3 3" xfId="29696"/>
    <cellStyle name="Comma 10 2 2 3 4 4" xfId="29697"/>
    <cellStyle name="Comma 10 2 2 3 4 4 2" xfId="29698"/>
    <cellStyle name="Comma 10 2 2 3 4 5" xfId="29699"/>
    <cellStyle name="Comma 10 2 2 3 4 6" xfId="29700"/>
    <cellStyle name="Comma 10 2 2 3 5" xfId="29701"/>
    <cellStyle name="Comma 10 2 2 3 5 2" xfId="29702"/>
    <cellStyle name="Comma 10 2 2 3 5 2 2" xfId="29703"/>
    <cellStyle name="Comma 10 2 2 3 5 2 3" xfId="29704"/>
    <cellStyle name="Comma 10 2 2 3 5 3" xfId="29705"/>
    <cellStyle name="Comma 10 2 2 3 5 3 2" xfId="29706"/>
    <cellStyle name="Comma 10 2 2 3 5 4" xfId="29707"/>
    <cellStyle name="Comma 10 2 2 3 5 5" xfId="29708"/>
    <cellStyle name="Comma 10 2 2 3 6" xfId="29709"/>
    <cellStyle name="Comma 10 2 2 3 6 2" xfId="29710"/>
    <cellStyle name="Comma 10 2 2 3 6 3" xfId="29711"/>
    <cellStyle name="Comma 10 2 2 3 7" xfId="29712"/>
    <cellStyle name="Comma 10 2 2 3 7 2" xfId="29713"/>
    <cellStyle name="Comma 10 2 2 3 7 3" xfId="29714"/>
    <cellStyle name="Comma 10 2 2 3 8" xfId="29715"/>
    <cellStyle name="Comma 10 2 2 3 8 2" xfId="29716"/>
    <cellStyle name="Comma 10 2 2 3 9" xfId="29717"/>
    <cellStyle name="Comma 10 2 2 4" xfId="3186"/>
    <cellStyle name="Comma 10 2 2 4 2" xfId="3187"/>
    <cellStyle name="Comma 10 2 2 4 2 2" xfId="29718"/>
    <cellStyle name="Comma 10 2 2 4 2 2 2" xfId="29719"/>
    <cellStyle name="Comma 10 2 2 4 2 2 3" xfId="29720"/>
    <cellStyle name="Comma 10 2 2 4 2 3" xfId="29721"/>
    <cellStyle name="Comma 10 2 2 4 2 3 2" xfId="29722"/>
    <cellStyle name="Comma 10 2 2 4 2 3 3" xfId="29723"/>
    <cellStyle name="Comma 10 2 2 4 2 4" xfId="29724"/>
    <cellStyle name="Comma 10 2 2 4 2 4 2" xfId="29725"/>
    <cellStyle name="Comma 10 2 2 4 2 5" xfId="29726"/>
    <cellStyle name="Comma 10 2 2 4 2 6" xfId="29727"/>
    <cellStyle name="Comma 10 2 2 4 3" xfId="29728"/>
    <cellStyle name="Comma 10 2 2 4 3 2" xfId="29729"/>
    <cellStyle name="Comma 10 2 2 4 3 2 2" xfId="29730"/>
    <cellStyle name="Comma 10 2 2 4 3 2 3" xfId="29731"/>
    <cellStyle name="Comma 10 2 2 4 3 3" xfId="29732"/>
    <cellStyle name="Comma 10 2 2 4 3 3 2" xfId="29733"/>
    <cellStyle name="Comma 10 2 2 4 3 3 3" xfId="29734"/>
    <cellStyle name="Comma 10 2 2 4 3 4" xfId="29735"/>
    <cellStyle name="Comma 10 2 2 4 3 4 2" xfId="29736"/>
    <cellStyle name="Comma 10 2 2 4 3 5" xfId="29737"/>
    <cellStyle name="Comma 10 2 2 4 3 6" xfId="29738"/>
    <cellStyle name="Comma 10 2 2 4 4" xfId="29739"/>
    <cellStyle name="Comma 10 2 2 4 4 2" xfId="29740"/>
    <cellStyle name="Comma 10 2 2 4 4 2 2" xfId="29741"/>
    <cellStyle name="Comma 10 2 2 4 4 2 3" xfId="29742"/>
    <cellStyle name="Comma 10 2 2 4 4 3" xfId="29743"/>
    <cellStyle name="Comma 10 2 2 4 4 3 2" xfId="29744"/>
    <cellStyle name="Comma 10 2 2 4 4 4" xfId="29745"/>
    <cellStyle name="Comma 10 2 2 4 4 5" xfId="29746"/>
    <cellStyle name="Comma 10 2 2 4 5" xfId="29747"/>
    <cellStyle name="Comma 10 2 2 4 5 2" xfId="29748"/>
    <cellStyle name="Comma 10 2 2 4 5 3" xfId="29749"/>
    <cellStyle name="Comma 10 2 2 4 6" xfId="29750"/>
    <cellStyle name="Comma 10 2 2 4 6 2" xfId="29751"/>
    <cellStyle name="Comma 10 2 2 4 6 3" xfId="29752"/>
    <cellStyle name="Comma 10 2 2 4 7" xfId="29753"/>
    <cellStyle name="Comma 10 2 2 4 7 2" xfId="29754"/>
    <cellStyle name="Comma 10 2 2 4 8" xfId="29755"/>
    <cellStyle name="Comma 10 2 2 4 9" xfId="29756"/>
    <cellStyle name="Comma 10 2 2 5" xfId="3188"/>
    <cellStyle name="Comma 10 2 2 5 2" xfId="29757"/>
    <cellStyle name="Comma 10 2 2 5 2 2" xfId="29758"/>
    <cellStyle name="Comma 10 2 2 5 2 2 2" xfId="29759"/>
    <cellStyle name="Comma 10 2 2 5 2 2 3" xfId="29760"/>
    <cellStyle name="Comma 10 2 2 5 2 3" xfId="29761"/>
    <cellStyle name="Comma 10 2 2 5 2 3 2" xfId="29762"/>
    <cellStyle name="Comma 10 2 2 5 2 3 3" xfId="29763"/>
    <cellStyle name="Comma 10 2 2 5 2 4" xfId="29764"/>
    <cellStyle name="Comma 10 2 2 5 2 4 2" xfId="29765"/>
    <cellStyle name="Comma 10 2 2 5 2 5" xfId="29766"/>
    <cellStyle name="Comma 10 2 2 5 2 6" xfId="29767"/>
    <cellStyle name="Comma 10 2 2 5 3" xfId="29768"/>
    <cellStyle name="Comma 10 2 2 5 3 2" xfId="29769"/>
    <cellStyle name="Comma 10 2 2 5 3 2 2" xfId="29770"/>
    <cellStyle name="Comma 10 2 2 5 3 2 3" xfId="29771"/>
    <cellStyle name="Comma 10 2 2 5 3 3" xfId="29772"/>
    <cellStyle name="Comma 10 2 2 5 3 3 2" xfId="29773"/>
    <cellStyle name="Comma 10 2 2 5 3 3 3" xfId="29774"/>
    <cellStyle name="Comma 10 2 2 5 3 4" xfId="29775"/>
    <cellStyle name="Comma 10 2 2 5 3 4 2" xfId="29776"/>
    <cellStyle name="Comma 10 2 2 5 3 5" xfId="29777"/>
    <cellStyle name="Comma 10 2 2 5 3 6" xfId="29778"/>
    <cellStyle name="Comma 10 2 2 5 4" xfId="29779"/>
    <cellStyle name="Comma 10 2 2 5 4 2" xfId="29780"/>
    <cellStyle name="Comma 10 2 2 5 4 2 2" xfId="29781"/>
    <cellStyle name="Comma 10 2 2 5 4 2 3" xfId="29782"/>
    <cellStyle name="Comma 10 2 2 5 4 3" xfId="29783"/>
    <cellStyle name="Comma 10 2 2 5 4 3 2" xfId="29784"/>
    <cellStyle name="Comma 10 2 2 5 4 4" xfId="29785"/>
    <cellStyle name="Comma 10 2 2 5 4 5" xfId="29786"/>
    <cellStyle name="Comma 10 2 2 5 5" xfId="29787"/>
    <cellStyle name="Comma 10 2 2 5 5 2" xfId="29788"/>
    <cellStyle name="Comma 10 2 2 5 5 3" xfId="29789"/>
    <cellStyle name="Comma 10 2 2 5 6" xfId="29790"/>
    <cellStyle name="Comma 10 2 2 5 6 2" xfId="29791"/>
    <cellStyle name="Comma 10 2 2 5 6 3" xfId="29792"/>
    <cellStyle name="Comma 10 2 2 5 7" xfId="29793"/>
    <cellStyle name="Comma 10 2 2 5 7 2" xfId="29794"/>
    <cellStyle name="Comma 10 2 2 5 8" xfId="29795"/>
    <cellStyle name="Comma 10 2 2 5 9" xfId="29796"/>
    <cellStyle name="Comma 10 2 2 6" xfId="29797"/>
    <cellStyle name="Comma 10 2 2 6 2" xfId="29798"/>
    <cellStyle name="Comma 10 2 2 6 2 2" xfId="29799"/>
    <cellStyle name="Comma 10 2 2 6 2 3" xfId="29800"/>
    <cellStyle name="Comma 10 2 2 6 3" xfId="29801"/>
    <cellStyle name="Comma 10 2 2 6 3 2" xfId="29802"/>
    <cellStyle name="Comma 10 2 2 6 3 3" xfId="29803"/>
    <cellStyle name="Comma 10 2 2 6 4" xfId="29804"/>
    <cellStyle name="Comma 10 2 2 6 4 2" xfId="29805"/>
    <cellStyle name="Comma 10 2 2 6 5" xfId="29806"/>
    <cellStyle name="Comma 10 2 2 6 6" xfId="29807"/>
    <cellStyle name="Comma 10 2 2 7" xfId="29808"/>
    <cellStyle name="Comma 10 2 2 7 2" xfId="29809"/>
    <cellStyle name="Comma 10 2 2 7 2 2" xfId="29810"/>
    <cellStyle name="Comma 10 2 2 7 2 3" xfId="29811"/>
    <cellStyle name="Comma 10 2 2 7 3" xfId="29812"/>
    <cellStyle name="Comma 10 2 2 7 3 2" xfId="29813"/>
    <cellStyle name="Comma 10 2 2 7 3 3" xfId="29814"/>
    <cellStyle name="Comma 10 2 2 7 4" xfId="29815"/>
    <cellStyle name="Comma 10 2 2 7 4 2" xfId="29816"/>
    <cellStyle name="Comma 10 2 2 7 5" xfId="29817"/>
    <cellStyle name="Comma 10 2 2 7 6" xfId="29818"/>
    <cellStyle name="Comma 10 2 2 8" xfId="29819"/>
    <cellStyle name="Comma 10 2 2 8 2" xfId="29820"/>
    <cellStyle name="Comma 10 2 2 8 2 2" xfId="29821"/>
    <cellStyle name="Comma 10 2 2 8 2 3" xfId="29822"/>
    <cellStyle name="Comma 10 2 2 8 3" xfId="29823"/>
    <cellStyle name="Comma 10 2 2 8 3 2" xfId="29824"/>
    <cellStyle name="Comma 10 2 2 8 4" xfId="29825"/>
    <cellStyle name="Comma 10 2 2 8 5" xfId="29826"/>
    <cellStyle name="Comma 10 2 2 9" xfId="29827"/>
    <cellStyle name="Comma 10 2 2 9 2" xfId="29828"/>
    <cellStyle name="Comma 10 2 2 9 3" xfId="29829"/>
    <cellStyle name="Comma 10 2 3" xfId="3189"/>
    <cellStyle name="Comma 10 2 3 10" xfId="29830"/>
    <cellStyle name="Comma 10 2 3 10 2" xfId="29831"/>
    <cellStyle name="Comma 10 2 3 11" xfId="29832"/>
    <cellStyle name="Comma 10 2 3 12" xfId="29833"/>
    <cellStyle name="Comma 10 2 3 2" xfId="3190"/>
    <cellStyle name="Comma 10 2 3 2 10" xfId="29834"/>
    <cellStyle name="Comma 10 2 3 2 2" xfId="3191"/>
    <cellStyle name="Comma 10 2 3 2 2 2" xfId="3192"/>
    <cellStyle name="Comma 10 2 3 2 2 2 2" xfId="29835"/>
    <cellStyle name="Comma 10 2 3 2 2 2 2 2" xfId="29836"/>
    <cellStyle name="Comma 10 2 3 2 2 2 2 3" xfId="29837"/>
    <cellStyle name="Comma 10 2 3 2 2 2 3" xfId="29838"/>
    <cellStyle name="Comma 10 2 3 2 2 2 3 2" xfId="29839"/>
    <cellStyle name="Comma 10 2 3 2 2 2 3 3" xfId="29840"/>
    <cellStyle name="Comma 10 2 3 2 2 2 4" xfId="29841"/>
    <cellStyle name="Comma 10 2 3 2 2 2 4 2" xfId="29842"/>
    <cellStyle name="Comma 10 2 3 2 2 2 5" xfId="29843"/>
    <cellStyle name="Comma 10 2 3 2 2 2 6" xfId="29844"/>
    <cellStyle name="Comma 10 2 3 2 2 3" xfId="29845"/>
    <cellStyle name="Comma 10 2 3 2 2 3 2" xfId="29846"/>
    <cellStyle name="Comma 10 2 3 2 2 3 2 2" xfId="29847"/>
    <cellStyle name="Comma 10 2 3 2 2 3 2 3" xfId="29848"/>
    <cellStyle name="Comma 10 2 3 2 2 3 3" xfId="29849"/>
    <cellStyle name="Comma 10 2 3 2 2 3 3 2" xfId="29850"/>
    <cellStyle name="Comma 10 2 3 2 2 3 3 3" xfId="29851"/>
    <cellStyle name="Comma 10 2 3 2 2 3 4" xfId="29852"/>
    <cellStyle name="Comma 10 2 3 2 2 3 4 2" xfId="29853"/>
    <cellStyle name="Comma 10 2 3 2 2 3 5" xfId="29854"/>
    <cellStyle name="Comma 10 2 3 2 2 3 6" xfId="29855"/>
    <cellStyle name="Comma 10 2 3 2 2 4" xfId="29856"/>
    <cellStyle name="Comma 10 2 3 2 2 4 2" xfId="29857"/>
    <cellStyle name="Comma 10 2 3 2 2 4 2 2" xfId="29858"/>
    <cellStyle name="Comma 10 2 3 2 2 4 2 3" xfId="29859"/>
    <cellStyle name="Comma 10 2 3 2 2 4 3" xfId="29860"/>
    <cellStyle name="Comma 10 2 3 2 2 4 3 2" xfId="29861"/>
    <cellStyle name="Comma 10 2 3 2 2 4 4" xfId="29862"/>
    <cellStyle name="Comma 10 2 3 2 2 4 5" xfId="29863"/>
    <cellStyle name="Comma 10 2 3 2 2 5" xfId="29864"/>
    <cellStyle name="Comma 10 2 3 2 2 5 2" xfId="29865"/>
    <cellStyle name="Comma 10 2 3 2 2 5 3" xfId="29866"/>
    <cellStyle name="Comma 10 2 3 2 2 6" xfId="29867"/>
    <cellStyle name="Comma 10 2 3 2 2 6 2" xfId="29868"/>
    <cellStyle name="Comma 10 2 3 2 2 6 3" xfId="29869"/>
    <cellStyle name="Comma 10 2 3 2 2 7" xfId="29870"/>
    <cellStyle name="Comma 10 2 3 2 2 7 2" xfId="29871"/>
    <cellStyle name="Comma 10 2 3 2 2 8" xfId="29872"/>
    <cellStyle name="Comma 10 2 3 2 2 9" xfId="29873"/>
    <cellStyle name="Comma 10 2 3 2 3" xfId="3193"/>
    <cellStyle name="Comma 10 2 3 2 3 2" xfId="29874"/>
    <cellStyle name="Comma 10 2 3 2 3 2 2" xfId="29875"/>
    <cellStyle name="Comma 10 2 3 2 3 2 3" xfId="29876"/>
    <cellStyle name="Comma 10 2 3 2 3 3" xfId="29877"/>
    <cellStyle name="Comma 10 2 3 2 3 3 2" xfId="29878"/>
    <cellStyle name="Comma 10 2 3 2 3 3 3" xfId="29879"/>
    <cellStyle name="Comma 10 2 3 2 3 4" xfId="29880"/>
    <cellStyle name="Comma 10 2 3 2 3 4 2" xfId="29881"/>
    <cellStyle name="Comma 10 2 3 2 3 5" xfId="29882"/>
    <cellStyle name="Comma 10 2 3 2 3 6" xfId="29883"/>
    <cellStyle name="Comma 10 2 3 2 4" xfId="29884"/>
    <cellStyle name="Comma 10 2 3 2 4 2" xfId="29885"/>
    <cellStyle name="Comma 10 2 3 2 4 2 2" xfId="29886"/>
    <cellStyle name="Comma 10 2 3 2 4 2 3" xfId="29887"/>
    <cellStyle name="Comma 10 2 3 2 4 3" xfId="29888"/>
    <cellStyle name="Comma 10 2 3 2 4 3 2" xfId="29889"/>
    <cellStyle name="Comma 10 2 3 2 4 3 3" xfId="29890"/>
    <cellStyle name="Comma 10 2 3 2 4 4" xfId="29891"/>
    <cellStyle name="Comma 10 2 3 2 4 4 2" xfId="29892"/>
    <cellStyle name="Comma 10 2 3 2 4 5" xfId="29893"/>
    <cellStyle name="Comma 10 2 3 2 4 6" xfId="29894"/>
    <cellStyle name="Comma 10 2 3 2 5" xfId="29895"/>
    <cellStyle name="Comma 10 2 3 2 5 2" xfId="29896"/>
    <cellStyle name="Comma 10 2 3 2 5 2 2" xfId="29897"/>
    <cellStyle name="Comma 10 2 3 2 5 2 3" xfId="29898"/>
    <cellStyle name="Comma 10 2 3 2 5 3" xfId="29899"/>
    <cellStyle name="Comma 10 2 3 2 5 3 2" xfId="29900"/>
    <cellStyle name="Comma 10 2 3 2 5 4" xfId="29901"/>
    <cellStyle name="Comma 10 2 3 2 5 5" xfId="29902"/>
    <cellStyle name="Comma 10 2 3 2 6" xfId="29903"/>
    <cellStyle name="Comma 10 2 3 2 6 2" xfId="29904"/>
    <cellStyle name="Comma 10 2 3 2 6 3" xfId="29905"/>
    <cellStyle name="Comma 10 2 3 2 7" xfId="29906"/>
    <cellStyle name="Comma 10 2 3 2 7 2" xfId="29907"/>
    <cellStyle name="Comma 10 2 3 2 7 3" xfId="29908"/>
    <cellStyle name="Comma 10 2 3 2 8" xfId="29909"/>
    <cellStyle name="Comma 10 2 3 2 8 2" xfId="29910"/>
    <cellStyle name="Comma 10 2 3 2 9" xfId="29911"/>
    <cellStyle name="Comma 10 2 3 3" xfId="3194"/>
    <cellStyle name="Comma 10 2 3 3 2" xfId="3195"/>
    <cellStyle name="Comma 10 2 3 3 2 2" xfId="29912"/>
    <cellStyle name="Comma 10 2 3 3 2 2 2" xfId="29913"/>
    <cellStyle name="Comma 10 2 3 3 2 2 3" xfId="29914"/>
    <cellStyle name="Comma 10 2 3 3 2 3" xfId="29915"/>
    <cellStyle name="Comma 10 2 3 3 2 3 2" xfId="29916"/>
    <cellStyle name="Comma 10 2 3 3 2 3 3" xfId="29917"/>
    <cellStyle name="Comma 10 2 3 3 2 4" xfId="29918"/>
    <cellStyle name="Comma 10 2 3 3 2 4 2" xfId="29919"/>
    <cellStyle name="Comma 10 2 3 3 2 5" xfId="29920"/>
    <cellStyle name="Comma 10 2 3 3 2 6" xfId="29921"/>
    <cellStyle name="Comma 10 2 3 3 3" xfId="29922"/>
    <cellStyle name="Comma 10 2 3 3 3 2" xfId="29923"/>
    <cellStyle name="Comma 10 2 3 3 3 2 2" xfId="29924"/>
    <cellStyle name="Comma 10 2 3 3 3 2 3" xfId="29925"/>
    <cellStyle name="Comma 10 2 3 3 3 3" xfId="29926"/>
    <cellStyle name="Comma 10 2 3 3 3 3 2" xfId="29927"/>
    <cellStyle name="Comma 10 2 3 3 3 3 3" xfId="29928"/>
    <cellStyle name="Comma 10 2 3 3 3 4" xfId="29929"/>
    <cellStyle name="Comma 10 2 3 3 3 4 2" xfId="29930"/>
    <cellStyle name="Comma 10 2 3 3 3 5" xfId="29931"/>
    <cellStyle name="Comma 10 2 3 3 3 6" xfId="29932"/>
    <cellStyle name="Comma 10 2 3 3 4" xfId="29933"/>
    <cellStyle name="Comma 10 2 3 3 4 2" xfId="29934"/>
    <cellStyle name="Comma 10 2 3 3 4 2 2" xfId="29935"/>
    <cellStyle name="Comma 10 2 3 3 4 2 3" xfId="29936"/>
    <cellStyle name="Comma 10 2 3 3 4 3" xfId="29937"/>
    <cellStyle name="Comma 10 2 3 3 4 3 2" xfId="29938"/>
    <cellStyle name="Comma 10 2 3 3 4 4" xfId="29939"/>
    <cellStyle name="Comma 10 2 3 3 4 5" xfId="29940"/>
    <cellStyle name="Comma 10 2 3 3 5" xfId="29941"/>
    <cellStyle name="Comma 10 2 3 3 5 2" xfId="29942"/>
    <cellStyle name="Comma 10 2 3 3 5 3" xfId="29943"/>
    <cellStyle name="Comma 10 2 3 3 6" xfId="29944"/>
    <cellStyle name="Comma 10 2 3 3 6 2" xfId="29945"/>
    <cellStyle name="Comma 10 2 3 3 6 3" xfId="29946"/>
    <cellStyle name="Comma 10 2 3 3 7" xfId="29947"/>
    <cellStyle name="Comma 10 2 3 3 7 2" xfId="29948"/>
    <cellStyle name="Comma 10 2 3 3 8" xfId="29949"/>
    <cellStyle name="Comma 10 2 3 3 9" xfId="29950"/>
    <cellStyle name="Comma 10 2 3 4" xfId="3196"/>
    <cellStyle name="Comma 10 2 3 4 2" xfId="29951"/>
    <cellStyle name="Comma 10 2 3 4 2 2" xfId="29952"/>
    <cellStyle name="Comma 10 2 3 4 2 2 2" xfId="29953"/>
    <cellStyle name="Comma 10 2 3 4 2 2 3" xfId="29954"/>
    <cellStyle name="Comma 10 2 3 4 2 3" xfId="29955"/>
    <cellStyle name="Comma 10 2 3 4 2 3 2" xfId="29956"/>
    <cellStyle name="Comma 10 2 3 4 2 3 3" xfId="29957"/>
    <cellStyle name="Comma 10 2 3 4 2 4" xfId="29958"/>
    <cellStyle name="Comma 10 2 3 4 2 4 2" xfId="29959"/>
    <cellStyle name="Comma 10 2 3 4 2 5" xfId="29960"/>
    <cellStyle name="Comma 10 2 3 4 2 6" xfId="29961"/>
    <cellStyle name="Comma 10 2 3 4 3" xfId="29962"/>
    <cellStyle name="Comma 10 2 3 4 3 2" xfId="29963"/>
    <cellStyle name="Comma 10 2 3 4 3 2 2" xfId="29964"/>
    <cellStyle name="Comma 10 2 3 4 3 2 3" xfId="29965"/>
    <cellStyle name="Comma 10 2 3 4 3 3" xfId="29966"/>
    <cellStyle name="Comma 10 2 3 4 3 3 2" xfId="29967"/>
    <cellStyle name="Comma 10 2 3 4 3 3 3" xfId="29968"/>
    <cellStyle name="Comma 10 2 3 4 3 4" xfId="29969"/>
    <cellStyle name="Comma 10 2 3 4 3 4 2" xfId="29970"/>
    <cellStyle name="Comma 10 2 3 4 3 5" xfId="29971"/>
    <cellStyle name="Comma 10 2 3 4 3 6" xfId="29972"/>
    <cellStyle name="Comma 10 2 3 4 4" xfId="29973"/>
    <cellStyle name="Comma 10 2 3 4 4 2" xfId="29974"/>
    <cellStyle name="Comma 10 2 3 4 4 2 2" xfId="29975"/>
    <cellStyle name="Comma 10 2 3 4 4 2 3" xfId="29976"/>
    <cellStyle name="Comma 10 2 3 4 4 3" xfId="29977"/>
    <cellStyle name="Comma 10 2 3 4 4 3 2" xfId="29978"/>
    <cellStyle name="Comma 10 2 3 4 4 4" xfId="29979"/>
    <cellStyle name="Comma 10 2 3 4 4 5" xfId="29980"/>
    <cellStyle name="Comma 10 2 3 4 5" xfId="29981"/>
    <cellStyle name="Comma 10 2 3 4 5 2" xfId="29982"/>
    <cellStyle name="Comma 10 2 3 4 5 3" xfId="29983"/>
    <cellStyle name="Comma 10 2 3 4 6" xfId="29984"/>
    <cellStyle name="Comma 10 2 3 4 6 2" xfId="29985"/>
    <cellStyle name="Comma 10 2 3 4 6 3" xfId="29986"/>
    <cellStyle name="Comma 10 2 3 4 7" xfId="29987"/>
    <cellStyle name="Comma 10 2 3 4 7 2" xfId="29988"/>
    <cellStyle name="Comma 10 2 3 4 8" xfId="29989"/>
    <cellStyle name="Comma 10 2 3 4 9" xfId="29990"/>
    <cellStyle name="Comma 10 2 3 5" xfId="29991"/>
    <cellStyle name="Comma 10 2 3 5 2" xfId="29992"/>
    <cellStyle name="Comma 10 2 3 5 2 2" xfId="29993"/>
    <cellStyle name="Comma 10 2 3 5 2 3" xfId="29994"/>
    <cellStyle name="Comma 10 2 3 5 3" xfId="29995"/>
    <cellStyle name="Comma 10 2 3 5 3 2" xfId="29996"/>
    <cellStyle name="Comma 10 2 3 5 3 3" xfId="29997"/>
    <cellStyle name="Comma 10 2 3 5 4" xfId="29998"/>
    <cellStyle name="Comma 10 2 3 5 4 2" xfId="29999"/>
    <cellStyle name="Comma 10 2 3 5 5" xfId="30000"/>
    <cellStyle name="Comma 10 2 3 5 6" xfId="30001"/>
    <cellStyle name="Comma 10 2 3 6" xfId="30002"/>
    <cellStyle name="Comma 10 2 3 6 2" xfId="30003"/>
    <cellStyle name="Comma 10 2 3 6 2 2" xfId="30004"/>
    <cellStyle name="Comma 10 2 3 6 2 3" xfId="30005"/>
    <cellStyle name="Comma 10 2 3 6 3" xfId="30006"/>
    <cellStyle name="Comma 10 2 3 6 3 2" xfId="30007"/>
    <cellStyle name="Comma 10 2 3 6 3 3" xfId="30008"/>
    <cellStyle name="Comma 10 2 3 6 4" xfId="30009"/>
    <cellStyle name="Comma 10 2 3 6 4 2" xfId="30010"/>
    <cellStyle name="Comma 10 2 3 6 5" xfId="30011"/>
    <cellStyle name="Comma 10 2 3 6 6" xfId="30012"/>
    <cellStyle name="Comma 10 2 3 7" xfId="30013"/>
    <cellStyle name="Comma 10 2 3 7 2" xfId="30014"/>
    <cellStyle name="Comma 10 2 3 7 2 2" xfId="30015"/>
    <cellStyle name="Comma 10 2 3 7 2 3" xfId="30016"/>
    <cellStyle name="Comma 10 2 3 7 3" xfId="30017"/>
    <cellStyle name="Comma 10 2 3 7 3 2" xfId="30018"/>
    <cellStyle name="Comma 10 2 3 7 4" xfId="30019"/>
    <cellStyle name="Comma 10 2 3 7 5" xfId="30020"/>
    <cellStyle name="Comma 10 2 3 8" xfId="30021"/>
    <cellStyle name="Comma 10 2 3 8 2" xfId="30022"/>
    <cellStyle name="Comma 10 2 3 8 3" xfId="30023"/>
    <cellStyle name="Comma 10 2 3 9" xfId="30024"/>
    <cellStyle name="Comma 10 2 3 9 2" xfId="30025"/>
    <cellStyle name="Comma 10 2 3 9 3" xfId="30026"/>
    <cellStyle name="Comma 10 2 4" xfId="3197"/>
    <cellStyle name="Comma 10 2 4 10" xfId="30027"/>
    <cellStyle name="Comma 10 2 4 2" xfId="3198"/>
    <cellStyle name="Comma 10 2 4 2 2" xfId="3199"/>
    <cellStyle name="Comma 10 2 4 2 2 2" xfId="30028"/>
    <cellStyle name="Comma 10 2 4 2 2 2 2" xfId="30029"/>
    <cellStyle name="Comma 10 2 4 2 2 2 3" xfId="30030"/>
    <cellStyle name="Comma 10 2 4 2 2 3" xfId="30031"/>
    <cellStyle name="Comma 10 2 4 2 2 3 2" xfId="30032"/>
    <cellStyle name="Comma 10 2 4 2 2 3 3" xfId="30033"/>
    <cellStyle name="Comma 10 2 4 2 2 4" xfId="30034"/>
    <cellStyle name="Comma 10 2 4 2 2 4 2" xfId="30035"/>
    <cellStyle name="Comma 10 2 4 2 2 5" xfId="30036"/>
    <cellStyle name="Comma 10 2 4 2 2 6" xfId="30037"/>
    <cellStyle name="Comma 10 2 4 2 3" xfId="30038"/>
    <cellStyle name="Comma 10 2 4 2 3 2" xfId="30039"/>
    <cellStyle name="Comma 10 2 4 2 3 2 2" xfId="30040"/>
    <cellStyle name="Comma 10 2 4 2 3 2 3" xfId="30041"/>
    <cellStyle name="Comma 10 2 4 2 3 3" xfId="30042"/>
    <cellStyle name="Comma 10 2 4 2 3 3 2" xfId="30043"/>
    <cellStyle name="Comma 10 2 4 2 3 3 3" xfId="30044"/>
    <cellStyle name="Comma 10 2 4 2 3 4" xfId="30045"/>
    <cellStyle name="Comma 10 2 4 2 3 4 2" xfId="30046"/>
    <cellStyle name="Comma 10 2 4 2 3 5" xfId="30047"/>
    <cellStyle name="Comma 10 2 4 2 3 6" xfId="30048"/>
    <cellStyle name="Comma 10 2 4 2 4" xfId="30049"/>
    <cellStyle name="Comma 10 2 4 2 4 2" xfId="30050"/>
    <cellStyle name="Comma 10 2 4 2 4 2 2" xfId="30051"/>
    <cellStyle name="Comma 10 2 4 2 4 2 3" xfId="30052"/>
    <cellStyle name="Comma 10 2 4 2 4 3" xfId="30053"/>
    <cellStyle name="Comma 10 2 4 2 4 3 2" xfId="30054"/>
    <cellStyle name="Comma 10 2 4 2 4 4" xfId="30055"/>
    <cellStyle name="Comma 10 2 4 2 4 5" xfId="30056"/>
    <cellStyle name="Comma 10 2 4 2 5" xfId="30057"/>
    <cellStyle name="Comma 10 2 4 2 5 2" xfId="30058"/>
    <cellStyle name="Comma 10 2 4 2 5 3" xfId="30059"/>
    <cellStyle name="Comma 10 2 4 2 6" xfId="30060"/>
    <cellStyle name="Comma 10 2 4 2 6 2" xfId="30061"/>
    <cellStyle name="Comma 10 2 4 2 6 3" xfId="30062"/>
    <cellStyle name="Comma 10 2 4 2 7" xfId="30063"/>
    <cellStyle name="Comma 10 2 4 2 7 2" xfId="30064"/>
    <cellStyle name="Comma 10 2 4 2 8" xfId="30065"/>
    <cellStyle name="Comma 10 2 4 2 9" xfId="30066"/>
    <cellStyle name="Comma 10 2 4 3" xfId="3200"/>
    <cellStyle name="Comma 10 2 4 3 2" xfId="30067"/>
    <cellStyle name="Comma 10 2 4 3 2 2" xfId="30068"/>
    <cellStyle name="Comma 10 2 4 3 2 3" xfId="30069"/>
    <cellStyle name="Comma 10 2 4 3 3" xfId="30070"/>
    <cellStyle name="Comma 10 2 4 3 3 2" xfId="30071"/>
    <cellStyle name="Comma 10 2 4 3 3 3" xfId="30072"/>
    <cellStyle name="Comma 10 2 4 3 4" xfId="30073"/>
    <cellStyle name="Comma 10 2 4 3 4 2" xfId="30074"/>
    <cellStyle name="Comma 10 2 4 3 5" xfId="30075"/>
    <cellStyle name="Comma 10 2 4 3 6" xfId="30076"/>
    <cellStyle name="Comma 10 2 4 4" xfId="30077"/>
    <cellStyle name="Comma 10 2 4 4 2" xfId="30078"/>
    <cellStyle name="Comma 10 2 4 4 2 2" xfId="30079"/>
    <cellStyle name="Comma 10 2 4 4 2 3" xfId="30080"/>
    <cellStyle name="Comma 10 2 4 4 3" xfId="30081"/>
    <cellStyle name="Comma 10 2 4 4 3 2" xfId="30082"/>
    <cellStyle name="Comma 10 2 4 4 3 3" xfId="30083"/>
    <cellStyle name="Comma 10 2 4 4 4" xfId="30084"/>
    <cellStyle name="Comma 10 2 4 4 4 2" xfId="30085"/>
    <cellStyle name="Comma 10 2 4 4 5" xfId="30086"/>
    <cellStyle name="Comma 10 2 4 4 6" xfId="30087"/>
    <cellStyle name="Comma 10 2 4 5" xfId="30088"/>
    <cellStyle name="Comma 10 2 4 5 2" xfId="30089"/>
    <cellStyle name="Comma 10 2 4 5 2 2" xfId="30090"/>
    <cellStyle name="Comma 10 2 4 5 2 3" xfId="30091"/>
    <cellStyle name="Comma 10 2 4 5 3" xfId="30092"/>
    <cellStyle name="Comma 10 2 4 5 3 2" xfId="30093"/>
    <cellStyle name="Comma 10 2 4 5 4" xfId="30094"/>
    <cellStyle name="Comma 10 2 4 5 5" xfId="30095"/>
    <cellStyle name="Comma 10 2 4 6" xfId="30096"/>
    <cellStyle name="Comma 10 2 4 6 2" xfId="30097"/>
    <cellStyle name="Comma 10 2 4 6 3" xfId="30098"/>
    <cellStyle name="Comma 10 2 4 7" xfId="30099"/>
    <cellStyle name="Comma 10 2 4 7 2" xfId="30100"/>
    <cellStyle name="Comma 10 2 4 7 3" xfId="30101"/>
    <cellStyle name="Comma 10 2 4 8" xfId="30102"/>
    <cellStyle name="Comma 10 2 4 8 2" xfId="30103"/>
    <cellStyle name="Comma 10 2 4 9" xfId="30104"/>
    <cellStyle name="Comma 10 2 5" xfId="3201"/>
    <cellStyle name="Comma 10 2 5 2" xfId="3202"/>
    <cellStyle name="Comma 10 2 5 2 2" xfId="30105"/>
    <cellStyle name="Comma 10 2 5 2 2 2" xfId="30106"/>
    <cellStyle name="Comma 10 2 5 2 2 3" xfId="30107"/>
    <cellStyle name="Comma 10 2 5 2 3" xfId="30108"/>
    <cellStyle name="Comma 10 2 5 2 3 2" xfId="30109"/>
    <cellStyle name="Comma 10 2 5 2 3 3" xfId="30110"/>
    <cellStyle name="Comma 10 2 5 2 4" xfId="30111"/>
    <cellStyle name="Comma 10 2 5 2 4 2" xfId="30112"/>
    <cellStyle name="Comma 10 2 5 2 5" xfId="30113"/>
    <cellStyle name="Comma 10 2 5 2 6" xfId="30114"/>
    <cellStyle name="Comma 10 2 5 3" xfId="30115"/>
    <cellStyle name="Comma 10 2 5 3 2" xfId="30116"/>
    <cellStyle name="Comma 10 2 5 3 2 2" xfId="30117"/>
    <cellStyle name="Comma 10 2 5 3 2 3" xfId="30118"/>
    <cellStyle name="Comma 10 2 5 3 3" xfId="30119"/>
    <cellStyle name="Comma 10 2 5 3 3 2" xfId="30120"/>
    <cellStyle name="Comma 10 2 5 3 3 3" xfId="30121"/>
    <cellStyle name="Comma 10 2 5 3 4" xfId="30122"/>
    <cellStyle name="Comma 10 2 5 3 4 2" xfId="30123"/>
    <cellStyle name="Comma 10 2 5 3 5" xfId="30124"/>
    <cellStyle name="Comma 10 2 5 3 6" xfId="30125"/>
    <cellStyle name="Comma 10 2 5 4" xfId="30126"/>
    <cellStyle name="Comma 10 2 5 4 2" xfId="30127"/>
    <cellStyle name="Comma 10 2 5 4 2 2" xfId="30128"/>
    <cellStyle name="Comma 10 2 5 4 2 3" xfId="30129"/>
    <cellStyle name="Comma 10 2 5 4 3" xfId="30130"/>
    <cellStyle name="Comma 10 2 5 4 3 2" xfId="30131"/>
    <cellStyle name="Comma 10 2 5 4 4" xfId="30132"/>
    <cellStyle name="Comma 10 2 5 4 5" xfId="30133"/>
    <cellStyle name="Comma 10 2 5 5" xfId="30134"/>
    <cellStyle name="Comma 10 2 5 5 2" xfId="30135"/>
    <cellStyle name="Comma 10 2 5 5 3" xfId="30136"/>
    <cellStyle name="Comma 10 2 5 6" xfId="30137"/>
    <cellStyle name="Comma 10 2 5 6 2" xfId="30138"/>
    <cellStyle name="Comma 10 2 5 6 3" xfId="30139"/>
    <cellStyle name="Comma 10 2 5 7" xfId="30140"/>
    <cellStyle name="Comma 10 2 5 7 2" xfId="30141"/>
    <cellStyle name="Comma 10 2 5 8" xfId="30142"/>
    <cellStyle name="Comma 10 2 5 9" xfId="30143"/>
    <cellStyle name="Comma 10 2 6" xfId="3203"/>
    <cellStyle name="Comma 10 2 6 2" xfId="30144"/>
    <cellStyle name="Comma 10 2 6 2 2" xfId="30145"/>
    <cellStyle name="Comma 10 2 6 2 2 2" xfId="30146"/>
    <cellStyle name="Comma 10 2 6 2 2 3" xfId="30147"/>
    <cellStyle name="Comma 10 2 6 2 3" xfId="30148"/>
    <cellStyle name="Comma 10 2 6 2 3 2" xfId="30149"/>
    <cellStyle name="Comma 10 2 6 2 3 3" xfId="30150"/>
    <cellStyle name="Comma 10 2 6 2 4" xfId="30151"/>
    <cellStyle name="Comma 10 2 6 2 4 2" xfId="30152"/>
    <cellStyle name="Comma 10 2 6 2 5" xfId="30153"/>
    <cellStyle name="Comma 10 2 6 2 6" xfId="30154"/>
    <cellStyle name="Comma 10 2 6 3" xfId="30155"/>
    <cellStyle name="Comma 10 2 6 3 2" xfId="30156"/>
    <cellStyle name="Comma 10 2 6 3 2 2" xfId="30157"/>
    <cellStyle name="Comma 10 2 6 3 2 3" xfId="30158"/>
    <cellStyle name="Comma 10 2 6 3 3" xfId="30159"/>
    <cellStyle name="Comma 10 2 6 3 3 2" xfId="30160"/>
    <cellStyle name="Comma 10 2 6 3 3 3" xfId="30161"/>
    <cellStyle name="Comma 10 2 6 3 4" xfId="30162"/>
    <cellStyle name="Comma 10 2 6 3 4 2" xfId="30163"/>
    <cellStyle name="Comma 10 2 6 3 5" xfId="30164"/>
    <cellStyle name="Comma 10 2 6 3 6" xfId="30165"/>
    <cellStyle name="Comma 10 2 6 4" xfId="30166"/>
    <cellStyle name="Comma 10 2 6 4 2" xfId="30167"/>
    <cellStyle name="Comma 10 2 6 4 2 2" xfId="30168"/>
    <cellStyle name="Comma 10 2 6 4 2 3" xfId="30169"/>
    <cellStyle name="Comma 10 2 6 4 3" xfId="30170"/>
    <cellStyle name="Comma 10 2 6 4 3 2" xfId="30171"/>
    <cellStyle name="Comma 10 2 6 4 4" xfId="30172"/>
    <cellStyle name="Comma 10 2 6 4 5" xfId="30173"/>
    <cellStyle name="Comma 10 2 6 5" xfId="30174"/>
    <cellStyle name="Comma 10 2 6 5 2" xfId="30175"/>
    <cellStyle name="Comma 10 2 6 5 3" xfId="30176"/>
    <cellStyle name="Comma 10 2 6 6" xfId="30177"/>
    <cellStyle name="Comma 10 2 6 6 2" xfId="30178"/>
    <cellStyle name="Comma 10 2 6 6 3" xfId="30179"/>
    <cellStyle name="Comma 10 2 6 7" xfId="30180"/>
    <cellStyle name="Comma 10 2 6 7 2" xfId="30181"/>
    <cellStyle name="Comma 10 2 6 8" xfId="30182"/>
    <cellStyle name="Comma 10 2 6 9" xfId="30183"/>
    <cellStyle name="Comma 10 2 7" xfId="30184"/>
    <cellStyle name="Comma 10 2 7 2" xfId="30185"/>
    <cellStyle name="Comma 10 2 7 2 2" xfId="30186"/>
    <cellStyle name="Comma 10 2 7 2 3" xfId="30187"/>
    <cellStyle name="Comma 10 2 7 3" xfId="30188"/>
    <cellStyle name="Comma 10 2 7 3 2" xfId="30189"/>
    <cellStyle name="Comma 10 2 7 3 3" xfId="30190"/>
    <cellStyle name="Comma 10 2 7 4" xfId="30191"/>
    <cellStyle name="Comma 10 2 7 4 2" xfId="30192"/>
    <cellStyle name="Comma 10 2 7 5" xfId="30193"/>
    <cellStyle name="Comma 10 2 7 6" xfId="30194"/>
    <cellStyle name="Comma 10 2 8" xfId="30195"/>
    <cellStyle name="Comma 10 2 8 2" xfId="30196"/>
    <cellStyle name="Comma 10 2 8 2 2" xfId="30197"/>
    <cellStyle name="Comma 10 2 8 2 3" xfId="30198"/>
    <cellStyle name="Comma 10 2 8 3" xfId="30199"/>
    <cellStyle name="Comma 10 2 8 3 2" xfId="30200"/>
    <cellStyle name="Comma 10 2 8 3 3" xfId="30201"/>
    <cellStyle name="Comma 10 2 8 4" xfId="30202"/>
    <cellStyle name="Comma 10 2 8 4 2" xfId="30203"/>
    <cellStyle name="Comma 10 2 8 5" xfId="30204"/>
    <cellStyle name="Comma 10 2 8 6" xfId="30205"/>
    <cellStyle name="Comma 10 2 9" xfId="30206"/>
    <cellStyle name="Comma 10 2 9 2" xfId="30207"/>
    <cellStyle name="Comma 10 2 9 2 2" xfId="30208"/>
    <cellStyle name="Comma 10 2 9 2 3" xfId="30209"/>
    <cellStyle name="Comma 10 2 9 3" xfId="30210"/>
    <cellStyle name="Comma 10 2 9 3 2" xfId="30211"/>
    <cellStyle name="Comma 10 2 9 4" xfId="30212"/>
    <cellStyle name="Comma 10 2 9 5" xfId="30213"/>
    <cellStyle name="Comma 10 3" xfId="3204"/>
    <cellStyle name="Comma 10 3 10" xfId="30214"/>
    <cellStyle name="Comma 10 3 10 2" xfId="30215"/>
    <cellStyle name="Comma 10 3 10 3" xfId="30216"/>
    <cellStyle name="Comma 10 3 11" xfId="30217"/>
    <cellStyle name="Comma 10 3 11 2" xfId="30218"/>
    <cellStyle name="Comma 10 3 12" xfId="30219"/>
    <cellStyle name="Comma 10 3 13" xfId="30220"/>
    <cellStyle name="Comma 10 3 14" xfId="30221"/>
    <cellStyle name="Comma 10 3 2" xfId="3205"/>
    <cellStyle name="Comma 10 3 2 10" xfId="30222"/>
    <cellStyle name="Comma 10 3 2 10 2" xfId="30223"/>
    <cellStyle name="Comma 10 3 2 11" xfId="30224"/>
    <cellStyle name="Comma 10 3 2 12" xfId="30225"/>
    <cellStyle name="Comma 10 3 2 2" xfId="3206"/>
    <cellStyle name="Comma 10 3 2 2 10" xfId="30226"/>
    <cellStyle name="Comma 10 3 2 2 2" xfId="3207"/>
    <cellStyle name="Comma 10 3 2 2 2 2" xfId="3208"/>
    <cellStyle name="Comma 10 3 2 2 2 2 2" xfId="30227"/>
    <cellStyle name="Comma 10 3 2 2 2 2 2 2" xfId="30228"/>
    <cellStyle name="Comma 10 3 2 2 2 2 2 3" xfId="30229"/>
    <cellStyle name="Comma 10 3 2 2 2 2 3" xfId="30230"/>
    <cellStyle name="Comma 10 3 2 2 2 2 3 2" xfId="30231"/>
    <cellStyle name="Comma 10 3 2 2 2 2 3 3" xfId="30232"/>
    <cellStyle name="Comma 10 3 2 2 2 2 4" xfId="30233"/>
    <cellStyle name="Comma 10 3 2 2 2 2 4 2" xfId="30234"/>
    <cellStyle name="Comma 10 3 2 2 2 2 5" xfId="30235"/>
    <cellStyle name="Comma 10 3 2 2 2 2 6" xfId="30236"/>
    <cellStyle name="Comma 10 3 2 2 2 3" xfId="30237"/>
    <cellStyle name="Comma 10 3 2 2 2 3 2" xfId="30238"/>
    <cellStyle name="Comma 10 3 2 2 2 3 2 2" xfId="30239"/>
    <cellStyle name="Comma 10 3 2 2 2 3 2 3" xfId="30240"/>
    <cellStyle name="Comma 10 3 2 2 2 3 3" xfId="30241"/>
    <cellStyle name="Comma 10 3 2 2 2 3 3 2" xfId="30242"/>
    <cellStyle name="Comma 10 3 2 2 2 3 3 3" xfId="30243"/>
    <cellStyle name="Comma 10 3 2 2 2 3 4" xfId="30244"/>
    <cellStyle name="Comma 10 3 2 2 2 3 4 2" xfId="30245"/>
    <cellStyle name="Comma 10 3 2 2 2 3 5" xfId="30246"/>
    <cellStyle name="Comma 10 3 2 2 2 3 6" xfId="30247"/>
    <cellStyle name="Comma 10 3 2 2 2 4" xfId="30248"/>
    <cellStyle name="Comma 10 3 2 2 2 4 2" xfId="30249"/>
    <cellStyle name="Comma 10 3 2 2 2 4 2 2" xfId="30250"/>
    <cellStyle name="Comma 10 3 2 2 2 4 2 3" xfId="30251"/>
    <cellStyle name="Comma 10 3 2 2 2 4 3" xfId="30252"/>
    <cellStyle name="Comma 10 3 2 2 2 4 3 2" xfId="30253"/>
    <cellStyle name="Comma 10 3 2 2 2 4 4" xfId="30254"/>
    <cellStyle name="Comma 10 3 2 2 2 4 5" xfId="30255"/>
    <cellStyle name="Comma 10 3 2 2 2 5" xfId="30256"/>
    <cellStyle name="Comma 10 3 2 2 2 5 2" xfId="30257"/>
    <cellStyle name="Comma 10 3 2 2 2 5 3" xfId="30258"/>
    <cellStyle name="Comma 10 3 2 2 2 6" xfId="30259"/>
    <cellStyle name="Comma 10 3 2 2 2 6 2" xfId="30260"/>
    <cellStyle name="Comma 10 3 2 2 2 6 3" xfId="30261"/>
    <cellStyle name="Comma 10 3 2 2 2 7" xfId="30262"/>
    <cellStyle name="Comma 10 3 2 2 2 7 2" xfId="30263"/>
    <cellStyle name="Comma 10 3 2 2 2 8" xfId="30264"/>
    <cellStyle name="Comma 10 3 2 2 2 9" xfId="30265"/>
    <cellStyle name="Comma 10 3 2 2 3" xfId="3209"/>
    <cellStyle name="Comma 10 3 2 2 3 2" xfId="30266"/>
    <cellStyle name="Comma 10 3 2 2 3 2 2" xfId="30267"/>
    <cellStyle name="Comma 10 3 2 2 3 2 3" xfId="30268"/>
    <cellStyle name="Comma 10 3 2 2 3 3" xfId="30269"/>
    <cellStyle name="Comma 10 3 2 2 3 3 2" xfId="30270"/>
    <cellStyle name="Comma 10 3 2 2 3 3 3" xfId="30271"/>
    <cellStyle name="Comma 10 3 2 2 3 4" xfId="30272"/>
    <cellStyle name="Comma 10 3 2 2 3 4 2" xfId="30273"/>
    <cellStyle name="Comma 10 3 2 2 3 5" xfId="30274"/>
    <cellStyle name="Comma 10 3 2 2 3 6" xfId="30275"/>
    <cellStyle name="Comma 10 3 2 2 4" xfId="30276"/>
    <cellStyle name="Comma 10 3 2 2 4 2" xfId="30277"/>
    <cellStyle name="Comma 10 3 2 2 4 2 2" xfId="30278"/>
    <cellStyle name="Comma 10 3 2 2 4 2 3" xfId="30279"/>
    <cellStyle name="Comma 10 3 2 2 4 3" xfId="30280"/>
    <cellStyle name="Comma 10 3 2 2 4 3 2" xfId="30281"/>
    <cellStyle name="Comma 10 3 2 2 4 3 3" xfId="30282"/>
    <cellStyle name="Comma 10 3 2 2 4 4" xfId="30283"/>
    <cellStyle name="Comma 10 3 2 2 4 4 2" xfId="30284"/>
    <cellStyle name="Comma 10 3 2 2 4 5" xfId="30285"/>
    <cellStyle name="Comma 10 3 2 2 4 6" xfId="30286"/>
    <cellStyle name="Comma 10 3 2 2 5" xfId="30287"/>
    <cellStyle name="Comma 10 3 2 2 5 2" xfId="30288"/>
    <cellStyle name="Comma 10 3 2 2 5 2 2" xfId="30289"/>
    <cellStyle name="Comma 10 3 2 2 5 2 3" xfId="30290"/>
    <cellStyle name="Comma 10 3 2 2 5 3" xfId="30291"/>
    <cellStyle name="Comma 10 3 2 2 5 3 2" xfId="30292"/>
    <cellStyle name="Comma 10 3 2 2 5 4" xfId="30293"/>
    <cellStyle name="Comma 10 3 2 2 5 5" xfId="30294"/>
    <cellStyle name="Comma 10 3 2 2 6" xfId="30295"/>
    <cellStyle name="Comma 10 3 2 2 6 2" xfId="30296"/>
    <cellStyle name="Comma 10 3 2 2 6 3" xfId="30297"/>
    <cellStyle name="Comma 10 3 2 2 7" xfId="30298"/>
    <cellStyle name="Comma 10 3 2 2 7 2" xfId="30299"/>
    <cellStyle name="Comma 10 3 2 2 7 3" xfId="30300"/>
    <cellStyle name="Comma 10 3 2 2 8" xfId="30301"/>
    <cellStyle name="Comma 10 3 2 2 8 2" xfId="30302"/>
    <cellStyle name="Comma 10 3 2 2 9" xfId="30303"/>
    <cellStyle name="Comma 10 3 2 3" xfId="3210"/>
    <cellStyle name="Comma 10 3 2 3 2" xfId="3211"/>
    <cellStyle name="Comma 10 3 2 3 2 2" xfId="30304"/>
    <cellStyle name="Comma 10 3 2 3 2 2 2" xfId="30305"/>
    <cellStyle name="Comma 10 3 2 3 2 2 3" xfId="30306"/>
    <cellStyle name="Comma 10 3 2 3 2 3" xfId="30307"/>
    <cellStyle name="Comma 10 3 2 3 2 3 2" xfId="30308"/>
    <cellStyle name="Comma 10 3 2 3 2 3 3" xfId="30309"/>
    <cellStyle name="Comma 10 3 2 3 2 4" xfId="30310"/>
    <cellStyle name="Comma 10 3 2 3 2 4 2" xfId="30311"/>
    <cellStyle name="Comma 10 3 2 3 2 5" xfId="30312"/>
    <cellStyle name="Comma 10 3 2 3 2 6" xfId="30313"/>
    <cellStyle name="Comma 10 3 2 3 3" xfId="30314"/>
    <cellStyle name="Comma 10 3 2 3 3 2" xfId="30315"/>
    <cellStyle name="Comma 10 3 2 3 3 2 2" xfId="30316"/>
    <cellStyle name="Comma 10 3 2 3 3 2 3" xfId="30317"/>
    <cellStyle name="Comma 10 3 2 3 3 3" xfId="30318"/>
    <cellStyle name="Comma 10 3 2 3 3 3 2" xfId="30319"/>
    <cellStyle name="Comma 10 3 2 3 3 3 3" xfId="30320"/>
    <cellStyle name="Comma 10 3 2 3 3 4" xfId="30321"/>
    <cellStyle name="Comma 10 3 2 3 3 4 2" xfId="30322"/>
    <cellStyle name="Comma 10 3 2 3 3 5" xfId="30323"/>
    <cellStyle name="Comma 10 3 2 3 3 6" xfId="30324"/>
    <cellStyle name="Comma 10 3 2 3 4" xfId="30325"/>
    <cellStyle name="Comma 10 3 2 3 4 2" xfId="30326"/>
    <cellStyle name="Comma 10 3 2 3 4 2 2" xfId="30327"/>
    <cellStyle name="Comma 10 3 2 3 4 2 3" xfId="30328"/>
    <cellStyle name="Comma 10 3 2 3 4 3" xfId="30329"/>
    <cellStyle name="Comma 10 3 2 3 4 3 2" xfId="30330"/>
    <cellStyle name="Comma 10 3 2 3 4 4" xfId="30331"/>
    <cellStyle name="Comma 10 3 2 3 4 5" xfId="30332"/>
    <cellStyle name="Comma 10 3 2 3 5" xfId="30333"/>
    <cellStyle name="Comma 10 3 2 3 5 2" xfId="30334"/>
    <cellStyle name="Comma 10 3 2 3 5 3" xfId="30335"/>
    <cellStyle name="Comma 10 3 2 3 6" xfId="30336"/>
    <cellStyle name="Comma 10 3 2 3 6 2" xfId="30337"/>
    <cellStyle name="Comma 10 3 2 3 6 3" xfId="30338"/>
    <cellStyle name="Comma 10 3 2 3 7" xfId="30339"/>
    <cellStyle name="Comma 10 3 2 3 7 2" xfId="30340"/>
    <cellStyle name="Comma 10 3 2 3 8" xfId="30341"/>
    <cellStyle name="Comma 10 3 2 3 9" xfId="30342"/>
    <cellStyle name="Comma 10 3 2 4" xfId="3212"/>
    <cellStyle name="Comma 10 3 2 4 2" xfId="30343"/>
    <cellStyle name="Comma 10 3 2 4 2 2" xfId="30344"/>
    <cellStyle name="Comma 10 3 2 4 2 2 2" xfId="30345"/>
    <cellStyle name="Comma 10 3 2 4 2 2 3" xfId="30346"/>
    <cellStyle name="Comma 10 3 2 4 2 3" xfId="30347"/>
    <cellStyle name="Comma 10 3 2 4 2 3 2" xfId="30348"/>
    <cellStyle name="Comma 10 3 2 4 2 3 3" xfId="30349"/>
    <cellStyle name="Comma 10 3 2 4 2 4" xfId="30350"/>
    <cellStyle name="Comma 10 3 2 4 2 4 2" xfId="30351"/>
    <cellStyle name="Comma 10 3 2 4 2 5" xfId="30352"/>
    <cellStyle name="Comma 10 3 2 4 2 6" xfId="30353"/>
    <cellStyle name="Comma 10 3 2 4 3" xfId="30354"/>
    <cellStyle name="Comma 10 3 2 4 3 2" xfId="30355"/>
    <cellStyle name="Comma 10 3 2 4 3 2 2" xfId="30356"/>
    <cellStyle name="Comma 10 3 2 4 3 2 3" xfId="30357"/>
    <cellStyle name="Comma 10 3 2 4 3 3" xfId="30358"/>
    <cellStyle name="Comma 10 3 2 4 3 3 2" xfId="30359"/>
    <cellStyle name="Comma 10 3 2 4 3 3 3" xfId="30360"/>
    <cellStyle name="Comma 10 3 2 4 3 4" xfId="30361"/>
    <cellStyle name="Comma 10 3 2 4 3 4 2" xfId="30362"/>
    <cellStyle name="Comma 10 3 2 4 3 5" xfId="30363"/>
    <cellStyle name="Comma 10 3 2 4 3 6" xfId="30364"/>
    <cellStyle name="Comma 10 3 2 4 4" xfId="30365"/>
    <cellStyle name="Comma 10 3 2 4 4 2" xfId="30366"/>
    <cellStyle name="Comma 10 3 2 4 4 2 2" xfId="30367"/>
    <cellStyle name="Comma 10 3 2 4 4 2 3" xfId="30368"/>
    <cellStyle name="Comma 10 3 2 4 4 3" xfId="30369"/>
    <cellStyle name="Comma 10 3 2 4 4 3 2" xfId="30370"/>
    <cellStyle name="Comma 10 3 2 4 4 4" xfId="30371"/>
    <cellStyle name="Comma 10 3 2 4 4 5" xfId="30372"/>
    <cellStyle name="Comma 10 3 2 4 5" xfId="30373"/>
    <cellStyle name="Comma 10 3 2 4 5 2" xfId="30374"/>
    <cellStyle name="Comma 10 3 2 4 5 3" xfId="30375"/>
    <cellStyle name="Comma 10 3 2 4 6" xfId="30376"/>
    <cellStyle name="Comma 10 3 2 4 6 2" xfId="30377"/>
    <cellStyle name="Comma 10 3 2 4 6 3" xfId="30378"/>
    <cellStyle name="Comma 10 3 2 4 7" xfId="30379"/>
    <cellStyle name="Comma 10 3 2 4 7 2" xfId="30380"/>
    <cellStyle name="Comma 10 3 2 4 8" xfId="30381"/>
    <cellStyle name="Comma 10 3 2 4 9" xfId="30382"/>
    <cellStyle name="Comma 10 3 2 5" xfId="30383"/>
    <cellStyle name="Comma 10 3 2 5 2" xfId="30384"/>
    <cellStyle name="Comma 10 3 2 5 2 2" xfId="30385"/>
    <cellStyle name="Comma 10 3 2 5 2 3" xfId="30386"/>
    <cellStyle name="Comma 10 3 2 5 3" xfId="30387"/>
    <cellStyle name="Comma 10 3 2 5 3 2" xfId="30388"/>
    <cellStyle name="Comma 10 3 2 5 3 3" xfId="30389"/>
    <cellStyle name="Comma 10 3 2 5 4" xfId="30390"/>
    <cellStyle name="Comma 10 3 2 5 4 2" xfId="30391"/>
    <cellStyle name="Comma 10 3 2 5 5" xfId="30392"/>
    <cellStyle name="Comma 10 3 2 5 6" xfId="30393"/>
    <cellStyle name="Comma 10 3 2 6" xfId="30394"/>
    <cellStyle name="Comma 10 3 2 6 2" xfId="30395"/>
    <cellStyle name="Comma 10 3 2 6 2 2" xfId="30396"/>
    <cellStyle name="Comma 10 3 2 6 2 3" xfId="30397"/>
    <cellStyle name="Comma 10 3 2 6 3" xfId="30398"/>
    <cellStyle name="Comma 10 3 2 6 3 2" xfId="30399"/>
    <cellStyle name="Comma 10 3 2 6 3 3" xfId="30400"/>
    <cellStyle name="Comma 10 3 2 6 4" xfId="30401"/>
    <cellStyle name="Comma 10 3 2 6 4 2" xfId="30402"/>
    <cellStyle name="Comma 10 3 2 6 5" xfId="30403"/>
    <cellStyle name="Comma 10 3 2 6 6" xfId="30404"/>
    <cellStyle name="Comma 10 3 2 7" xfId="30405"/>
    <cellStyle name="Comma 10 3 2 7 2" xfId="30406"/>
    <cellStyle name="Comma 10 3 2 7 2 2" xfId="30407"/>
    <cellStyle name="Comma 10 3 2 7 2 3" xfId="30408"/>
    <cellStyle name="Comma 10 3 2 7 3" xfId="30409"/>
    <cellStyle name="Comma 10 3 2 7 3 2" xfId="30410"/>
    <cellStyle name="Comma 10 3 2 7 4" xfId="30411"/>
    <cellStyle name="Comma 10 3 2 7 5" xfId="30412"/>
    <cellStyle name="Comma 10 3 2 8" xfId="30413"/>
    <cellStyle name="Comma 10 3 2 8 2" xfId="30414"/>
    <cellStyle name="Comma 10 3 2 8 3" xfId="30415"/>
    <cellStyle name="Comma 10 3 2 9" xfId="30416"/>
    <cellStyle name="Comma 10 3 2 9 2" xfId="30417"/>
    <cellStyle name="Comma 10 3 2 9 3" xfId="30418"/>
    <cellStyle name="Comma 10 3 3" xfId="3213"/>
    <cellStyle name="Comma 10 3 3 10" xfId="30419"/>
    <cellStyle name="Comma 10 3 3 2" xfId="3214"/>
    <cellStyle name="Comma 10 3 3 2 2" xfId="3215"/>
    <cellStyle name="Comma 10 3 3 2 2 2" xfId="30420"/>
    <cellStyle name="Comma 10 3 3 2 2 2 2" xfId="30421"/>
    <cellStyle name="Comma 10 3 3 2 2 2 3" xfId="30422"/>
    <cellStyle name="Comma 10 3 3 2 2 3" xfId="30423"/>
    <cellStyle name="Comma 10 3 3 2 2 3 2" xfId="30424"/>
    <cellStyle name="Comma 10 3 3 2 2 3 3" xfId="30425"/>
    <cellStyle name="Comma 10 3 3 2 2 4" xfId="30426"/>
    <cellStyle name="Comma 10 3 3 2 2 4 2" xfId="30427"/>
    <cellStyle name="Comma 10 3 3 2 2 5" xfId="30428"/>
    <cellStyle name="Comma 10 3 3 2 2 6" xfId="30429"/>
    <cellStyle name="Comma 10 3 3 2 3" xfId="30430"/>
    <cellStyle name="Comma 10 3 3 2 3 2" xfId="30431"/>
    <cellStyle name="Comma 10 3 3 2 3 2 2" xfId="30432"/>
    <cellStyle name="Comma 10 3 3 2 3 2 3" xfId="30433"/>
    <cellStyle name="Comma 10 3 3 2 3 3" xfId="30434"/>
    <cellStyle name="Comma 10 3 3 2 3 3 2" xfId="30435"/>
    <cellStyle name="Comma 10 3 3 2 3 3 3" xfId="30436"/>
    <cellStyle name="Comma 10 3 3 2 3 4" xfId="30437"/>
    <cellStyle name="Comma 10 3 3 2 3 4 2" xfId="30438"/>
    <cellStyle name="Comma 10 3 3 2 3 5" xfId="30439"/>
    <cellStyle name="Comma 10 3 3 2 3 6" xfId="30440"/>
    <cellStyle name="Comma 10 3 3 2 4" xfId="30441"/>
    <cellStyle name="Comma 10 3 3 2 4 2" xfId="30442"/>
    <cellStyle name="Comma 10 3 3 2 4 2 2" xfId="30443"/>
    <cellStyle name="Comma 10 3 3 2 4 2 3" xfId="30444"/>
    <cellStyle name="Comma 10 3 3 2 4 3" xfId="30445"/>
    <cellStyle name="Comma 10 3 3 2 4 3 2" xfId="30446"/>
    <cellStyle name="Comma 10 3 3 2 4 4" xfId="30447"/>
    <cellStyle name="Comma 10 3 3 2 4 5" xfId="30448"/>
    <cellStyle name="Comma 10 3 3 2 5" xfId="30449"/>
    <cellStyle name="Comma 10 3 3 2 5 2" xfId="30450"/>
    <cellStyle name="Comma 10 3 3 2 5 3" xfId="30451"/>
    <cellStyle name="Comma 10 3 3 2 6" xfId="30452"/>
    <cellStyle name="Comma 10 3 3 2 6 2" xfId="30453"/>
    <cellStyle name="Comma 10 3 3 2 6 3" xfId="30454"/>
    <cellStyle name="Comma 10 3 3 2 7" xfId="30455"/>
    <cellStyle name="Comma 10 3 3 2 7 2" xfId="30456"/>
    <cellStyle name="Comma 10 3 3 2 8" xfId="30457"/>
    <cellStyle name="Comma 10 3 3 2 9" xfId="30458"/>
    <cellStyle name="Comma 10 3 3 3" xfId="3216"/>
    <cellStyle name="Comma 10 3 3 3 2" xfId="30459"/>
    <cellStyle name="Comma 10 3 3 3 2 2" xfId="30460"/>
    <cellStyle name="Comma 10 3 3 3 2 3" xfId="30461"/>
    <cellStyle name="Comma 10 3 3 3 3" xfId="30462"/>
    <cellStyle name="Comma 10 3 3 3 3 2" xfId="30463"/>
    <cellStyle name="Comma 10 3 3 3 3 3" xfId="30464"/>
    <cellStyle name="Comma 10 3 3 3 4" xfId="30465"/>
    <cellStyle name="Comma 10 3 3 3 4 2" xfId="30466"/>
    <cellStyle name="Comma 10 3 3 3 5" xfId="30467"/>
    <cellStyle name="Comma 10 3 3 3 6" xfId="30468"/>
    <cellStyle name="Comma 10 3 3 4" xfId="30469"/>
    <cellStyle name="Comma 10 3 3 4 2" xfId="30470"/>
    <cellStyle name="Comma 10 3 3 4 2 2" xfId="30471"/>
    <cellStyle name="Comma 10 3 3 4 2 3" xfId="30472"/>
    <cellStyle name="Comma 10 3 3 4 3" xfId="30473"/>
    <cellStyle name="Comma 10 3 3 4 3 2" xfId="30474"/>
    <cellStyle name="Comma 10 3 3 4 3 3" xfId="30475"/>
    <cellStyle name="Comma 10 3 3 4 4" xfId="30476"/>
    <cellStyle name="Comma 10 3 3 4 4 2" xfId="30477"/>
    <cellStyle name="Comma 10 3 3 4 5" xfId="30478"/>
    <cellStyle name="Comma 10 3 3 4 6" xfId="30479"/>
    <cellStyle name="Comma 10 3 3 5" xfId="30480"/>
    <cellStyle name="Comma 10 3 3 5 2" xfId="30481"/>
    <cellStyle name="Comma 10 3 3 5 2 2" xfId="30482"/>
    <cellStyle name="Comma 10 3 3 5 2 3" xfId="30483"/>
    <cellStyle name="Comma 10 3 3 5 3" xfId="30484"/>
    <cellStyle name="Comma 10 3 3 5 3 2" xfId="30485"/>
    <cellStyle name="Comma 10 3 3 5 4" xfId="30486"/>
    <cellStyle name="Comma 10 3 3 5 5" xfId="30487"/>
    <cellStyle name="Comma 10 3 3 6" xfId="30488"/>
    <cellStyle name="Comma 10 3 3 6 2" xfId="30489"/>
    <cellStyle name="Comma 10 3 3 6 3" xfId="30490"/>
    <cellStyle name="Comma 10 3 3 7" xfId="30491"/>
    <cellStyle name="Comma 10 3 3 7 2" xfId="30492"/>
    <cellStyle name="Comma 10 3 3 7 3" xfId="30493"/>
    <cellStyle name="Comma 10 3 3 8" xfId="30494"/>
    <cellStyle name="Comma 10 3 3 8 2" xfId="30495"/>
    <cellStyle name="Comma 10 3 3 9" xfId="30496"/>
    <cellStyle name="Comma 10 3 4" xfId="3217"/>
    <cellStyle name="Comma 10 3 4 2" xfId="3218"/>
    <cellStyle name="Comma 10 3 4 2 2" xfId="30497"/>
    <cellStyle name="Comma 10 3 4 2 2 2" xfId="30498"/>
    <cellStyle name="Comma 10 3 4 2 2 3" xfId="30499"/>
    <cellStyle name="Comma 10 3 4 2 3" xfId="30500"/>
    <cellStyle name="Comma 10 3 4 2 3 2" xfId="30501"/>
    <cellStyle name="Comma 10 3 4 2 3 3" xfId="30502"/>
    <cellStyle name="Comma 10 3 4 2 4" xfId="30503"/>
    <cellStyle name="Comma 10 3 4 2 4 2" xfId="30504"/>
    <cellStyle name="Comma 10 3 4 2 5" xfId="30505"/>
    <cellStyle name="Comma 10 3 4 2 6" xfId="30506"/>
    <cellStyle name="Comma 10 3 4 3" xfId="30507"/>
    <cellStyle name="Comma 10 3 4 3 2" xfId="30508"/>
    <cellStyle name="Comma 10 3 4 3 2 2" xfId="30509"/>
    <cellStyle name="Comma 10 3 4 3 2 3" xfId="30510"/>
    <cellStyle name="Comma 10 3 4 3 3" xfId="30511"/>
    <cellStyle name="Comma 10 3 4 3 3 2" xfId="30512"/>
    <cellStyle name="Comma 10 3 4 3 3 3" xfId="30513"/>
    <cellStyle name="Comma 10 3 4 3 4" xfId="30514"/>
    <cellStyle name="Comma 10 3 4 3 4 2" xfId="30515"/>
    <cellStyle name="Comma 10 3 4 3 5" xfId="30516"/>
    <cellStyle name="Comma 10 3 4 3 6" xfId="30517"/>
    <cellStyle name="Comma 10 3 4 4" xfId="30518"/>
    <cellStyle name="Comma 10 3 4 4 2" xfId="30519"/>
    <cellStyle name="Comma 10 3 4 4 2 2" xfId="30520"/>
    <cellStyle name="Comma 10 3 4 4 2 3" xfId="30521"/>
    <cellStyle name="Comma 10 3 4 4 3" xfId="30522"/>
    <cellStyle name="Comma 10 3 4 4 3 2" xfId="30523"/>
    <cellStyle name="Comma 10 3 4 4 4" xfId="30524"/>
    <cellStyle name="Comma 10 3 4 4 5" xfId="30525"/>
    <cellStyle name="Comma 10 3 4 5" xfId="30526"/>
    <cellStyle name="Comma 10 3 4 5 2" xfId="30527"/>
    <cellStyle name="Comma 10 3 4 5 3" xfId="30528"/>
    <cellStyle name="Comma 10 3 4 6" xfId="30529"/>
    <cellStyle name="Comma 10 3 4 6 2" xfId="30530"/>
    <cellStyle name="Comma 10 3 4 6 3" xfId="30531"/>
    <cellStyle name="Comma 10 3 4 7" xfId="30532"/>
    <cellStyle name="Comma 10 3 4 7 2" xfId="30533"/>
    <cellStyle name="Comma 10 3 4 8" xfId="30534"/>
    <cellStyle name="Comma 10 3 4 9" xfId="30535"/>
    <cellStyle name="Comma 10 3 5" xfId="3219"/>
    <cellStyle name="Comma 10 3 5 2" xfId="30536"/>
    <cellStyle name="Comma 10 3 5 2 2" xfId="30537"/>
    <cellStyle name="Comma 10 3 5 2 2 2" xfId="30538"/>
    <cellStyle name="Comma 10 3 5 2 2 3" xfId="30539"/>
    <cellStyle name="Comma 10 3 5 2 3" xfId="30540"/>
    <cellStyle name="Comma 10 3 5 2 3 2" xfId="30541"/>
    <cellStyle name="Comma 10 3 5 2 3 3" xfId="30542"/>
    <cellStyle name="Comma 10 3 5 2 4" xfId="30543"/>
    <cellStyle name="Comma 10 3 5 2 4 2" xfId="30544"/>
    <cellStyle name="Comma 10 3 5 2 5" xfId="30545"/>
    <cellStyle name="Comma 10 3 5 2 6" xfId="30546"/>
    <cellStyle name="Comma 10 3 5 3" xfId="30547"/>
    <cellStyle name="Comma 10 3 5 3 2" xfId="30548"/>
    <cellStyle name="Comma 10 3 5 3 2 2" xfId="30549"/>
    <cellStyle name="Comma 10 3 5 3 2 3" xfId="30550"/>
    <cellStyle name="Comma 10 3 5 3 3" xfId="30551"/>
    <cellStyle name="Comma 10 3 5 3 3 2" xfId="30552"/>
    <cellStyle name="Comma 10 3 5 3 3 3" xfId="30553"/>
    <cellStyle name="Comma 10 3 5 3 4" xfId="30554"/>
    <cellStyle name="Comma 10 3 5 3 4 2" xfId="30555"/>
    <cellStyle name="Comma 10 3 5 3 5" xfId="30556"/>
    <cellStyle name="Comma 10 3 5 3 6" xfId="30557"/>
    <cellStyle name="Comma 10 3 5 4" xfId="30558"/>
    <cellStyle name="Comma 10 3 5 4 2" xfId="30559"/>
    <cellStyle name="Comma 10 3 5 4 2 2" xfId="30560"/>
    <cellStyle name="Comma 10 3 5 4 2 3" xfId="30561"/>
    <cellStyle name="Comma 10 3 5 4 3" xfId="30562"/>
    <cellStyle name="Comma 10 3 5 4 3 2" xfId="30563"/>
    <cellStyle name="Comma 10 3 5 4 4" xfId="30564"/>
    <cellStyle name="Comma 10 3 5 4 5" xfId="30565"/>
    <cellStyle name="Comma 10 3 5 5" xfId="30566"/>
    <cellStyle name="Comma 10 3 5 5 2" xfId="30567"/>
    <cellStyle name="Comma 10 3 5 5 3" xfId="30568"/>
    <cellStyle name="Comma 10 3 5 6" xfId="30569"/>
    <cellStyle name="Comma 10 3 5 6 2" xfId="30570"/>
    <cellStyle name="Comma 10 3 5 6 3" xfId="30571"/>
    <cellStyle name="Comma 10 3 5 7" xfId="30572"/>
    <cellStyle name="Comma 10 3 5 7 2" xfId="30573"/>
    <cellStyle name="Comma 10 3 5 8" xfId="30574"/>
    <cellStyle name="Comma 10 3 5 9" xfId="30575"/>
    <cellStyle name="Comma 10 3 6" xfId="30576"/>
    <cellStyle name="Comma 10 3 6 2" xfId="30577"/>
    <cellStyle name="Comma 10 3 6 2 2" xfId="30578"/>
    <cellStyle name="Comma 10 3 6 2 3" xfId="30579"/>
    <cellStyle name="Comma 10 3 6 3" xfId="30580"/>
    <cellStyle name="Comma 10 3 6 3 2" xfId="30581"/>
    <cellStyle name="Comma 10 3 6 3 3" xfId="30582"/>
    <cellStyle name="Comma 10 3 6 4" xfId="30583"/>
    <cellStyle name="Comma 10 3 6 4 2" xfId="30584"/>
    <cellStyle name="Comma 10 3 6 5" xfId="30585"/>
    <cellStyle name="Comma 10 3 6 6" xfId="30586"/>
    <cellStyle name="Comma 10 3 7" xfId="30587"/>
    <cellStyle name="Comma 10 3 7 2" xfId="30588"/>
    <cellStyle name="Comma 10 3 7 2 2" xfId="30589"/>
    <cellStyle name="Comma 10 3 7 2 3" xfId="30590"/>
    <cellStyle name="Comma 10 3 7 3" xfId="30591"/>
    <cellStyle name="Comma 10 3 7 3 2" xfId="30592"/>
    <cellStyle name="Comma 10 3 7 3 3" xfId="30593"/>
    <cellStyle name="Comma 10 3 7 4" xfId="30594"/>
    <cellStyle name="Comma 10 3 7 4 2" xfId="30595"/>
    <cellStyle name="Comma 10 3 7 5" xfId="30596"/>
    <cellStyle name="Comma 10 3 7 6" xfId="30597"/>
    <cellStyle name="Comma 10 3 8" xfId="30598"/>
    <cellStyle name="Comma 10 3 8 2" xfId="30599"/>
    <cellStyle name="Comma 10 3 8 2 2" xfId="30600"/>
    <cellStyle name="Comma 10 3 8 2 3" xfId="30601"/>
    <cellStyle name="Comma 10 3 8 3" xfId="30602"/>
    <cellStyle name="Comma 10 3 8 3 2" xfId="30603"/>
    <cellStyle name="Comma 10 3 8 4" xfId="30604"/>
    <cellStyle name="Comma 10 3 8 5" xfId="30605"/>
    <cellStyle name="Comma 10 3 9" xfId="30606"/>
    <cellStyle name="Comma 10 3 9 2" xfId="30607"/>
    <cellStyle name="Comma 10 3 9 3" xfId="30608"/>
    <cellStyle name="Comma 10 4" xfId="3220"/>
    <cellStyle name="Comma 10 4 10" xfId="30609"/>
    <cellStyle name="Comma 10 4 10 2" xfId="30610"/>
    <cellStyle name="Comma 10 4 11" xfId="30611"/>
    <cellStyle name="Comma 10 4 12" xfId="30612"/>
    <cellStyle name="Comma 10 4 2" xfId="3221"/>
    <cellStyle name="Comma 10 4 2 10" xfId="30613"/>
    <cellStyle name="Comma 10 4 2 2" xfId="3222"/>
    <cellStyle name="Comma 10 4 2 2 2" xfId="3223"/>
    <cellStyle name="Comma 10 4 2 2 2 2" xfId="30614"/>
    <cellStyle name="Comma 10 4 2 2 2 2 2" xfId="30615"/>
    <cellStyle name="Comma 10 4 2 2 2 2 3" xfId="30616"/>
    <cellStyle name="Comma 10 4 2 2 2 3" xfId="30617"/>
    <cellStyle name="Comma 10 4 2 2 2 3 2" xfId="30618"/>
    <cellStyle name="Comma 10 4 2 2 2 3 3" xfId="30619"/>
    <cellStyle name="Comma 10 4 2 2 2 4" xfId="30620"/>
    <cellStyle name="Comma 10 4 2 2 2 4 2" xfId="30621"/>
    <cellStyle name="Comma 10 4 2 2 2 5" xfId="30622"/>
    <cellStyle name="Comma 10 4 2 2 2 6" xfId="30623"/>
    <cellStyle name="Comma 10 4 2 2 3" xfId="30624"/>
    <cellStyle name="Comma 10 4 2 2 3 2" xfId="30625"/>
    <cellStyle name="Comma 10 4 2 2 3 2 2" xfId="30626"/>
    <cellStyle name="Comma 10 4 2 2 3 2 3" xfId="30627"/>
    <cellStyle name="Comma 10 4 2 2 3 3" xfId="30628"/>
    <cellStyle name="Comma 10 4 2 2 3 3 2" xfId="30629"/>
    <cellStyle name="Comma 10 4 2 2 3 3 3" xfId="30630"/>
    <cellStyle name="Comma 10 4 2 2 3 4" xfId="30631"/>
    <cellStyle name="Comma 10 4 2 2 3 4 2" xfId="30632"/>
    <cellStyle name="Comma 10 4 2 2 3 5" xfId="30633"/>
    <cellStyle name="Comma 10 4 2 2 3 6" xfId="30634"/>
    <cellStyle name="Comma 10 4 2 2 4" xfId="30635"/>
    <cellStyle name="Comma 10 4 2 2 4 2" xfId="30636"/>
    <cellStyle name="Comma 10 4 2 2 4 2 2" xfId="30637"/>
    <cellStyle name="Comma 10 4 2 2 4 2 3" xfId="30638"/>
    <cellStyle name="Comma 10 4 2 2 4 3" xfId="30639"/>
    <cellStyle name="Comma 10 4 2 2 4 3 2" xfId="30640"/>
    <cellStyle name="Comma 10 4 2 2 4 4" xfId="30641"/>
    <cellStyle name="Comma 10 4 2 2 4 5" xfId="30642"/>
    <cellStyle name="Comma 10 4 2 2 5" xfId="30643"/>
    <cellStyle name="Comma 10 4 2 2 5 2" xfId="30644"/>
    <cellStyle name="Comma 10 4 2 2 5 3" xfId="30645"/>
    <cellStyle name="Comma 10 4 2 2 6" xfId="30646"/>
    <cellStyle name="Comma 10 4 2 2 6 2" xfId="30647"/>
    <cellStyle name="Comma 10 4 2 2 6 3" xfId="30648"/>
    <cellStyle name="Comma 10 4 2 2 7" xfId="30649"/>
    <cellStyle name="Comma 10 4 2 2 7 2" xfId="30650"/>
    <cellStyle name="Comma 10 4 2 2 8" xfId="30651"/>
    <cellStyle name="Comma 10 4 2 2 9" xfId="30652"/>
    <cellStyle name="Comma 10 4 2 3" xfId="3224"/>
    <cellStyle name="Comma 10 4 2 3 2" xfId="30653"/>
    <cellStyle name="Comma 10 4 2 3 2 2" xfId="30654"/>
    <cellStyle name="Comma 10 4 2 3 2 3" xfId="30655"/>
    <cellStyle name="Comma 10 4 2 3 3" xfId="30656"/>
    <cellStyle name="Comma 10 4 2 3 3 2" xfId="30657"/>
    <cellStyle name="Comma 10 4 2 3 3 3" xfId="30658"/>
    <cellStyle name="Comma 10 4 2 3 4" xfId="30659"/>
    <cellStyle name="Comma 10 4 2 3 4 2" xfId="30660"/>
    <cellStyle name="Comma 10 4 2 3 5" xfId="30661"/>
    <cellStyle name="Comma 10 4 2 3 6" xfId="30662"/>
    <cellStyle name="Comma 10 4 2 4" xfId="30663"/>
    <cellStyle name="Comma 10 4 2 4 2" xfId="30664"/>
    <cellStyle name="Comma 10 4 2 4 2 2" xfId="30665"/>
    <cellStyle name="Comma 10 4 2 4 2 3" xfId="30666"/>
    <cellStyle name="Comma 10 4 2 4 3" xfId="30667"/>
    <cellStyle name="Comma 10 4 2 4 3 2" xfId="30668"/>
    <cellStyle name="Comma 10 4 2 4 3 3" xfId="30669"/>
    <cellStyle name="Comma 10 4 2 4 4" xfId="30670"/>
    <cellStyle name="Comma 10 4 2 4 4 2" xfId="30671"/>
    <cellStyle name="Comma 10 4 2 4 5" xfId="30672"/>
    <cellStyle name="Comma 10 4 2 4 6" xfId="30673"/>
    <cellStyle name="Comma 10 4 2 5" xfId="30674"/>
    <cellStyle name="Comma 10 4 2 5 2" xfId="30675"/>
    <cellStyle name="Comma 10 4 2 5 2 2" xfId="30676"/>
    <cellStyle name="Comma 10 4 2 5 2 3" xfId="30677"/>
    <cellStyle name="Comma 10 4 2 5 3" xfId="30678"/>
    <cellStyle name="Comma 10 4 2 5 3 2" xfId="30679"/>
    <cellStyle name="Comma 10 4 2 5 4" xfId="30680"/>
    <cellStyle name="Comma 10 4 2 5 5" xfId="30681"/>
    <cellStyle name="Comma 10 4 2 6" xfId="30682"/>
    <cellStyle name="Comma 10 4 2 6 2" xfId="30683"/>
    <cellStyle name="Comma 10 4 2 6 3" xfId="30684"/>
    <cellStyle name="Comma 10 4 2 7" xfId="30685"/>
    <cellStyle name="Comma 10 4 2 7 2" xfId="30686"/>
    <cellStyle name="Comma 10 4 2 7 3" xfId="30687"/>
    <cellStyle name="Comma 10 4 2 8" xfId="30688"/>
    <cellStyle name="Comma 10 4 2 8 2" xfId="30689"/>
    <cellStyle name="Comma 10 4 2 9" xfId="30690"/>
    <cellStyle name="Comma 10 4 3" xfId="3225"/>
    <cellStyle name="Comma 10 4 3 2" xfId="3226"/>
    <cellStyle name="Comma 10 4 3 2 2" xfId="30691"/>
    <cellStyle name="Comma 10 4 3 2 2 2" xfId="30692"/>
    <cellStyle name="Comma 10 4 3 2 2 3" xfId="30693"/>
    <cellStyle name="Comma 10 4 3 2 3" xfId="30694"/>
    <cellStyle name="Comma 10 4 3 2 3 2" xfId="30695"/>
    <cellStyle name="Comma 10 4 3 2 3 3" xfId="30696"/>
    <cellStyle name="Comma 10 4 3 2 4" xfId="30697"/>
    <cellStyle name="Comma 10 4 3 2 4 2" xfId="30698"/>
    <cellStyle name="Comma 10 4 3 2 5" xfId="30699"/>
    <cellStyle name="Comma 10 4 3 2 6" xfId="30700"/>
    <cellStyle name="Comma 10 4 3 3" xfId="30701"/>
    <cellStyle name="Comma 10 4 3 3 2" xfId="30702"/>
    <cellStyle name="Comma 10 4 3 3 2 2" xfId="30703"/>
    <cellStyle name="Comma 10 4 3 3 2 3" xfId="30704"/>
    <cellStyle name="Comma 10 4 3 3 3" xfId="30705"/>
    <cellStyle name="Comma 10 4 3 3 3 2" xfId="30706"/>
    <cellStyle name="Comma 10 4 3 3 3 3" xfId="30707"/>
    <cellStyle name="Comma 10 4 3 3 4" xfId="30708"/>
    <cellStyle name="Comma 10 4 3 3 4 2" xfId="30709"/>
    <cellStyle name="Comma 10 4 3 3 5" xfId="30710"/>
    <cellStyle name="Comma 10 4 3 3 6" xfId="30711"/>
    <cellStyle name="Comma 10 4 3 4" xfId="30712"/>
    <cellStyle name="Comma 10 4 3 4 2" xfId="30713"/>
    <cellStyle name="Comma 10 4 3 4 2 2" xfId="30714"/>
    <cellStyle name="Comma 10 4 3 4 2 3" xfId="30715"/>
    <cellStyle name="Comma 10 4 3 4 3" xfId="30716"/>
    <cellStyle name="Comma 10 4 3 4 3 2" xfId="30717"/>
    <cellStyle name="Comma 10 4 3 4 4" xfId="30718"/>
    <cellStyle name="Comma 10 4 3 4 5" xfId="30719"/>
    <cellStyle name="Comma 10 4 3 5" xfId="30720"/>
    <cellStyle name="Comma 10 4 3 5 2" xfId="30721"/>
    <cellStyle name="Comma 10 4 3 5 3" xfId="30722"/>
    <cellStyle name="Comma 10 4 3 6" xfId="30723"/>
    <cellStyle name="Comma 10 4 3 6 2" xfId="30724"/>
    <cellStyle name="Comma 10 4 3 6 3" xfId="30725"/>
    <cellStyle name="Comma 10 4 3 7" xfId="30726"/>
    <cellStyle name="Comma 10 4 3 7 2" xfId="30727"/>
    <cellStyle name="Comma 10 4 3 8" xfId="30728"/>
    <cellStyle name="Comma 10 4 3 9" xfId="30729"/>
    <cellStyle name="Comma 10 4 4" xfId="3227"/>
    <cellStyle name="Comma 10 4 4 2" xfId="30730"/>
    <cellStyle name="Comma 10 4 4 2 2" xfId="30731"/>
    <cellStyle name="Comma 10 4 4 2 2 2" xfId="30732"/>
    <cellStyle name="Comma 10 4 4 2 2 3" xfId="30733"/>
    <cellStyle name="Comma 10 4 4 2 3" xfId="30734"/>
    <cellStyle name="Comma 10 4 4 2 3 2" xfId="30735"/>
    <cellStyle name="Comma 10 4 4 2 3 3" xfId="30736"/>
    <cellStyle name="Comma 10 4 4 2 4" xfId="30737"/>
    <cellStyle name="Comma 10 4 4 2 4 2" xfId="30738"/>
    <cellStyle name="Comma 10 4 4 2 5" xfId="30739"/>
    <cellStyle name="Comma 10 4 4 2 6" xfId="30740"/>
    <cellStyle name="Comma 10 4 4 3" xfId="30741"/>
    <cellStyle name="Comma 10 4 4 3 2" xfId="30742"/>
    <cellStyle name="Comma 10 4 4 3 2 2" xfId="30743"/>
    <cellStyle name="Comma 10 4 4 3 2 3" xfId="30744"/>
    <cellStyle name="Comma 10 4 4 3 3" xfId="30745"/>
    <cellStyle name="Comma 10 4 4 3 3 2" xfId="30746"/>
    <cellStyle name="Comma 10 4 4 3 3 3" xfId="30747"/>
    <cellStyle name="Comma 10 4 4 3 4" xfId="30748"/>
    <cellStyle name="Comma 10 4 4 3 4 2" xfId="30749"/>
    <cellStyle name="Comma 10 4 4 3 5" xfId="30750"/>
    <cellStyle name="Comma 10 4 4 3 6" xfId="30751"/>
    <cellStyle name="Comma 10 4 4 4" xfId="30752"/>
    <cellStyle name="Comma 10 4 4 4 2" xfId="30753"/>
    <cellStyle name="Comma 10 4 4 4 2 2" xfId="30754"/>
    <cellStyle name="Comma 10 4 4 4 2 3" xfId="30755"/>
    <cellStyle name="Comma 10 4 4 4 3" xfId="30756"/>
    <cellStyle name="Comma 10 4 4 4 3 2" xfId="30757"/>
    <cellStyle name="Comma 10 4 4 4 4" xfId="30758"/>
    <cellStyle name="Comma 10 4 4 4 5" xfId="30759"/>
    <cellStyle name="Comma 10 4 4 5" xfId="30760"/>
    <cellStyle name="Comma 10 4 4 5 2" xfId="30761"/>
    <cellStyle name="Comma 10 4 4 5 3" xfId="30762"/>
    <cellStyle name="Comma 10 4 4 6" xfId="30763"/>
    <cellStyle name="Comma 10 4 4 6 2" xfId="30764"/>
    <cellStyle name="Comma 10 4 4 6 3" xfId="30765"/>
    <cellStyle name="Comma 10 4 4 7" xfId="30766"/>
    <cellStyle name="Comma 10 4 4 7 2" xfId="30767"/>
    <cellStyle name="Comma 10 4 4 8" xfId="30768"/>
    <cellStyle name="Comma 10 4 4 9" xfId="30769"/>
    <cellStyle name="Comma 10 4 5" xfId="30770"/>
    <cellStyle name="Comma 10 4 5 2" xfId="30771"/>
    <cellStyle name="Comma 10 4 5 2 2" xfId="30772"/>
    <cellStyle name="Comma 10 4 5 2 3" xfId="30773"/>
    <cellStyle name="Comma 10 4 5 3" xfId="30774"/>
    <cellStyle name="Comma 10 4 5 3 2" xfId="30775"/>
    <cellStyle name="Comma 10 4 5 3 3" xfId="30776"/>
    <cellStyle name="Comma 10 4 5 4" xfId="30777"/>
    <cellStyle name="Comma 10 4 5 4 2" xfId="30778"/>
    <cellStyle name="Comma 10 4 5 5" xfId="30779"/>
    <cellStyle name="Comma 10 4 5 6" xfId="30780"/>
    <cellStyle name="Comma 10 4 6" xfId="30781"/>
    <cellStyle name="Comma 10 4 6 2" xfId="30782"/>
    <cellStyle name="Comma 10 4 6 2 2" xfId="30783"/>
    <cellStyle name="Comma 10 4 6 2 3" xfId="30784"/>
    <cellStyle name="Comma 10 4 6 3" xfId="30785"/>
    <cellStyle name="Comma 10 4 6 3 2" xfId="30786"/>
    <cellStyle name="Comma 10 4 6 3 3" xfId="30787"/>
    <cellStyle name="Comma 10 4 6 4" xfId="30788"/>
    <cellStyle name="Comma 10 4 6 4 2" xfId="30789"/>
    <cellStyle name="Comma 10 4 6 5" xfId="30790"/>
    <cellStyle name="Comma 10 4 6 6" xfId="30791"/>
    <cellStyle name="Comma 10 4 7" xfId="30792"/>
    <cellStyle name="Comma 10 4 7 2" xfId="30793"/>
    <cellStyle name="Comma 10 4 7 2 2" xfId="30794"/>
    <cellStyle name="Comma 10 4 7 2 3" xfId="30795"/>
    <cellStyle name="Comma 10 4 7 3" xfId="30796"/>
    <cellStyle name="Comma 10 4 7 3 2" xfId="30797"/>
    <cellStyle name="Comma 10 4 7 4" xfId="30798"/>
    <cellStyle name="Comma 10 4 7 5" xfId="30799"/>
    <cellStyle name="Comma 10 4 8" xfId="30800"/>
    <cellStyle name="Comma 10 4 8 2" xfId="30801"/>
    <cellStyle name="Comma 10 4 8 3" xfId="30802"/>
    <cellStyle name="Comma 10 4 9" xfId="30803"/>
    <cellStyle name="Comma 10 4 9 2" xfId="30804"/>
    <cellStyle name="Comma 10 4 9 3" xfId="30805"/>
    <cellStyle name="Comma 10 5" xfId="3228"/>
    <cellStyle name="Comma 10 5 10" xfId="30806"/>
    <cellStyle name="Comma 10 5 2" xfId="3229"/>
    <cellStyle name="Comma 10 5 2 2" xfId="3230"/>
    <cellStyle name="Comma 10 5 2 2 2" xfId="30807"/>
    <cellStyle name="Comma 10 5 2 2 2 2" xfId="30808"/>
    <cellStyle name="Comma 10 5 2 2 2 3" xfId="30809"/>
    <cellStyle name="Comma 10 5 2 2 3" xfId="30810"/>
    <cellStyle name="Comma 10 5 2 2 3 2" xfId="30811"/>
    <cellStyle name="Comma 10 5 2 2 3 3" xfId="30812"/>
    <cellStyle name="Comma 10 5 2 2 4" xfId="30813"/>
    <cellStyle name="Comma 10 5 2 2 4 2" xfId="30814"/>
    <cellStyle name="Comma 10 5 2 2 5" xfId="30815"/>
    <cellStyle name="Comma 10 5 2 2 6" xfId="30816"/>
    <cellStyle name="Comma 10 5 2 3" xfId="30817"/>
    <cellStyle name="Comma 10 5 2 3 2" xfId="30818"/>
    <cellStyle name="Comma 10 5 2 3 2 2" xfId="30819"/>
    <cellStyle name="Comma 10 5 2 3 2 3" xfId="30820"/>
    <cellStyle name="Comma 10 5 2 3 3" xfId="30821"/>
    <cellStyle name="Comma 10 5 2 3 3 2" xfId="30822"/>
    <cellStyle name="Comma 10 5 2 3 3 3" xfId="30823"/>
    <cellStyle name="Comma 10 5 2 3 4" xfId="30824"/>
    <cellStyle name="Comma 10 5 2 3 4 2" xfId="30825"/>
    <cellStyle name="Comma 10 5 2 3 5" xfId="30826"/>
    <cellStyle name="Comma 10 5 2 3 6" xfId="30827"/>
    <cellStyle name="Comma 10 5 2 4" xfId="30828"/>
    <cellStyle name="Comma 10 5 2 4 2" xfId="30829"/>
    <cellStyle name="Comma 10 5 2 4 2 2" xfId="30830"/>
    <cellStyle name="Comma 10 5 2 4 2 3" xfId="30831"/>
    <cellStyle name="Comma 10 5 2 4 3" xfId="30832"/>
    <cellStyle name="Comma 10 5 2 4 3 2" xfId="30833"/>
    <cellStyle name="Comma 10 5 2 4 4" xfId="30834"/>
    <cellStyle name="Comma 10 5 2 4 5" xfId="30835"/>
    <cellStyle name="Comma 10 5 2 5" xfId="30836"/>
    <cellStyle name="Comma 10 5 2 5 2" xfId="30837"/>
    <cellStyle name="Comma 10 5 2 5 3" xfId="30838"/>
    <cellStyle name="Comma 10 5 2 6" xfId="30839"/>
    <cellStyle name="Comma 10 5 2 6 2" xfId="30840"/>
    <cellStyle name="Comma 10 5 2 6 3" xfId="30841"/>
    <cellStyle name="Comma 10 5 2 7" xfId="30842"/>
    <cellStyle name="Comma 10 5 2 7 2" xfId="30843"/>
    <cellStyle name="Comma 10 5 2 8" xfId="30844"/>
    <cellStyle name="Comma 10 5 2 9" xfId="30845"/>
    <cellStyle name="Comma 10 5 3" xfId="3231"/>
    <cellStyle name="Comma 10 5 3 2" xfId="30846"/>
    <cellStyle name="Comma 10 5 3 2 2" xfId="30847"/>
    <cellStyle name="Comma 10 5 3 2 3" xfId="30848"/>
    <cellStyle name="Comma 10 5 3 3" xfId="30849"/>
    <cellStyle name="Comma 10 5 3 3 2" xfId="30850"/>
    <cellStyle name="Comma 10 5 3 3 3" xfId="30851"/>
    <cellStyle name="Comma 10 5 3 4" xfId="30852"/>
    <cellStyle name="Comma 10 5 3 4 2" xfId="30853"/>
    <cellStyle name="Comma 10 5 3 5" xfId="30854"/>
    <cellStyle name="Comma 10 5 3 6" xfId="30855"/>
    <cellStyle name="Comma 10 5 4" xfId="30856"/>
    <cellStyle name="Comma 10 5 4 2" xfId="30857"/>
    <cellStyle name="Comma 10 5 4 2 2" xfId="30858"/>
    <cellStyle name="Comma 10 5 4 2 3" xfId="30859"/>
    <cellStyle name="Comma 10 5 4 3" xfId="30860"/>
    <cellStyle name="Comma 10 5 4 3 2" xfId="30861"/>
    <cellStyle name="Comma 10 5 4 3 3" xfId="30862"/>
    <cellStyle name="Comma 10 5 4 4" xfId="30863"/>
    <cellStyle name="Comma 10 5 4 4 2" xfId="30864"/>
    <cellStyle name="Comma 10 5 4 5" xfId="30865"/>
    <cellStyle name="Comma 10 5 4 6" xfId="30866"/>
    <cellStyle name="Comma 10 5 5" xfId="30867"/>
    <cellStyle name="Comma 10 5 5 2" xfId="30868"/>
    <cellStyle name="Comma 10 5 5 2 2" xfId="30869"/>
    <cellStyle name="Comma 10 5 5 2 3" xfId="30870"/>
    <cellStyle name="Comma 10 5 5 3" xfId="30871"/>
    <cellStyle name="Comma 10 5 5 3 2" xfId="30872"/>
    <cellStyle name="Comma 10 5 5 4" xfId="30873"/>
    <cellStyle name="Comma 10 5 5 5" xfId="30874"/>
    <cellStyle name="Comma 10 5 6" xfId="30875"/>
    <cellStyle name="Comma 10 5 6 2" xfId="30876"/>
    <cellStyle name="Comma 10 5 6 3" xfId="30877"/>
    <cellStyle name="Comma 10 5 7" xfId="30878"/>
    <cellStyle name="Comma 10 5 7 2" xfId="30879"/>
    <cellStyle name="Comma 10 5 7 3" xfId="30880"/>
    <cellStyle name="Comma 10 5 8" xfId="30881"/>
    <cellStyle name="Comma 10 5 8 2" xfId="30882"/>
    <cellStyle name="Comma 10 5 9" xfId="30883"/>
    <cellStyle name="Comma 10 6" xfId="3232"/>
    <cellStyle name="Comma 10 6 2" xfId="3233"/>
    <cellStyle name="Comma 10 6 2 2" xfId="30884"/>
    <cellStyle name="Comma 10 6 2 2 2" xfId="30885"/>
    <cellStyle name="Comma 10 6 2 2 3" xfId="30886"/>
    <cellStyle name="Comma 10 6 2 3" xfId="30887"/>
    <cellStyle name="Comma 10 6 2 3 2" xfId="30888"/>
    <cellStyle name="Comma 10 6 2 3 3" xfId="30889"/>
    <cellStyle name="Comma 10 6 2 4" xfId="30890"/>
    <cellStyle name="Comma 10 6 2 4 2" xfId="30891"/>
    <cellStyle name="Comma 10 6 2 5" xfId="30892"/>
    <cellStyle name="Comma 10 6 2 6" xfId="30893"/>
    <cellStyle name="Comma 10 6 3" xfId="30894"/>
    <cellStyle name="Comma 10 6 3 2" xfId="30895"/>
    <cellStyle name="Comma 10 6 3 2 2" xfId="30896"/>
    <cellStyle name="Comma 10 6 3 2 3" xfId="30897"/>
    <cellStyle name="Comma 10 6 3 3" xfId="30898"/>
    <cellStyle name="Comma 10 6 3 3 2" xfId="30899"/>
    <cellStyle name="Comma 10 6 3 3 3" xfId="30900"/>
    <cellStyle name="Comma 10 6 3 4" xfId="30901"/>
    <cellStyle name="Comma 10 6 3 4 2" xfId="30902"/>
    <cellStyle name="Comma 10 6 3 5" xfId="30903"/>
    <cellStyle name="Comma 10 6 3 6" xfId="30904"/>
    <cellStyle name="Comma 10 6 4" xfId="30905"/>
    <cellStyle name="Comma 10 6 4 2" xfId="30906"/>
    <cellStyle name="Comma 10 6 4 2 2" xfId="30907"/>
    <cellStyle name="Comma 10 6 4 2 3" xfId="30908"/>
    <cellStyle name="Comma 10 6 4 3" xfId="30909"/>
    <cellStyle name="Comma 10 6 4 3 2" xfId="30910"/>
    <cellStyle name="Comma 10 6 4 4" xfId="30911"/>
    <cellStyle name="Comma 10 6 4 5" xfId="30912"/>
    <cellStyle name="Comma 10 6 5" xfId="30913"/>
    <cellStyle name="Comma 10 6 5 2" xfId="30914"/>
    <cellStyle name="Comma 10 6 5 3" xfId="30915"/>
    <cellStyle name="Comma 10 6 6" xfId="30916"/>
    <cellStyle name="Comma 10 6 6 2" xfId="30917"/>
    <cellStyle name="Comma 10 6 6 3" xfId="30918"/>
    <cellStyle name="Comma 10 6 7" xfId="30919"/>
    <cellStyle name="Comma 10 6 7 2" xfId="30920"/>
    <cellStyle name="Comma 10 6 8" xfId="30921"/>
    <cellStyle name="Comma 10 6 9" xfId="30922"/>
    <cellStyle name="Comma 10 7" xfId="3234"/>
    <cellStyle name="Comma 10 7 2" xfId="30923"/>
    <cellStyle name="Comma 10 7 2 2" xfId="30924"/>
    <cellStyle name="Comma 10 7 2 2 2" xfId="30925"/>
    <cellStyle name="Comma 10 7 2 2 3" xfId="30926"/>
    <cellStyle name="Comma 10 7 2 3" xfId="30927"/>
    <cellStyle name="Comma 10 7 2 3 2" xfId="30928"/>
    <cellStyle name="Comma 10 7 2 3 3" xfId="30929"/>
    <cellStyle name="Comma 10 7 2 4" xfId="30930"/>
    <cellStyle name="Comma 10 7 2 4 2" xfId="30931"/>
    <cellStyle name="Comma 10 7 2 5" xfId="30932"/>
    <cellStyle name="Comma 10 7 2 6" xfId="30933"/>
    <cellStyle name="Comma 10 7 3" xfId="30934"/>
    <cellStyle name="Comma 10 7 3 2" xfId="30935"/>
    <cellStyle name="Comma 10 7 3 2 2" xfId="30936"/>
    <cellStyle name="Comma 10 7 3 2 3" xfId="30937"/>
    <cellStyle name="Comma 10 7 3 3" xfId="30938"/>
    <cellStyle name="Comma 10 7 3 3 2" xfId="30939"/>
    <cellStyle name="Comma 10 7 3 3 3" xfId="30940"/>
    <cellStyle name="Comma 10 7 3 4" xfId="30941"/>
    <cellStyle name="Comma 10 7 3 4 2" xfId="30942"/>
    <cellStyle name="Comma 10 7 3 5" xfId="30943"/>
    <cellStyle name="Comma 10 7 3 6" xfId="30944"/>
    <cellStyle name="Comma 10 7 4" xfId="30945"/>
    <cellStyle name="Comma 10 7 4 2" xfId="30946"/>
    <cellStyle name="Comma 10 7 4 2 2" xfId="30947"/>
    <cellStyle name="Comma 10 7 4 2 3" xfId="30948"/>
    <cellStyle name="Comma 10 7 4 3" xfId="30949"/>
    <cellStyle name="Comma 10 7 4 3 2" xfId="30950"/>
    <cellStyle name="Comma 10 7 4 4" xfId="30951"/>
    <cellStyle name="Comma 10 7 4 5" xfId="30952"/>
    <cellStyle name="Comma 10 7 5" xfId="30953"/>
    <cellStyle name="Comma 10 7 5 2" xfId="30954"/>
    <cellStyle name="Comma 10 7 5 3" xfId="30955"/>
    <cellStyle name="Comma 10 7 6" xfId="30956"/>
    <cellStyle name="Comma 10 7 6 2" xfId="30957"/>
    <cellStyle name="Comma 10 7 6 3" xfId="30958"/>
    <cellStyle name="Comma 10 7 7" xfId="30959"/>
    <cellStyle name="Comma 10 7 7 2" xfId="30960"/>
    <cellStyle name="Comma 10 7 8" xfId="30961"/>
    <cellStyle name="Comma 10 7 9" xfId="30962"/>
    <cellStyle name="Comma 10 8" xfId="3235"/>
    <cellStyle name="Comma 10 8 2" xfId="30963"/>
    <cellStyle name="Comma 10 8 2 2" xfId="30964"/>
    <cellStyle name="Comma 10 8 2 3" xfId="30965"/>
    <cellStyle name="Comma 10 8 3" xfId="30966"/>
    <cellStyle name="Comma 10 8 3 2" xfId="30967"/>
    <cellStyle name="Comma 10 8 3 3" xfId="30968"/>
    <cellStyle name="Comma 10 8 4" xfId="30969"/>
    <cellStyle name="Comma 10 8 4 2" xfId="30970"/>
    <cellStyle name="Comma 10 8 5" xfId="30971"/>
    <cellStyle name="Comma 10 8 6" xfId="30972"/>
    <cellStyle name="Comma 10 9" xfId="3236"/>
    <cellStyle name="Comma 10 9 2" xfId="30973"/>
    <cellStyle name="Comma 10 9 2 2" xfId="30974"/>
    <cellStyle name="Comma 10 9 2 3" xfId="30975"/>
    <cellStyle name="Comma 10 9 3" xfId="30976"/>
    <cellStyle name="Comma 10 9 3 2" xfId="30977"/>
    <cellStyle name="Comma 10 9 3 3" xfId="30978"/>
    <cellStyle name="Comma 10 9 4" xfId="30979"/>
    <cellStyle name="Comma 10 9 4 2" xfId="30980"/>
    <cellStyle name="Comma 10 9 5" xfId="30981"/>
    <cellStyle name="Comma 10 9 6" xfId="30982"/>
    <cellStyle name="Comma 100" xfId="8715"/>
    <cellStyle name="Comma 101" xfId="8716"/>
    <cellStyle name="Comma 102" xfId="8717"/>
    <cellStyle name="Comma 103" xfId="8718"/>
    <cellStyle name="Comma 104" xfId="8719"/>
    <cellStyle name="Comma 105" xfId="8720"/>
    <cellStyle name="Comma 106" xfId="8721"/>
    <cellStyle name="Comma 107" xfId="30983"/>
    <cellStyle name="Comma 108" xfId="30984"/>
    <cellStyle name="Comma 109" xfId="57816"/>
    <cellStyle name="Comma 11" xfId="3237"/>
    <cellStyle name="Comma 11 10" xfId="30985"/>
    <cellStyle name="Comma 11 10 2" xfId="30986"/>
    <cellStyle name="Comma 11 10 2 2" xfId="30987"/>
    <cellStyle name="Comma 11 10 2 3" xfId="30988"/>
    <cellStyle name="Comma 11 10 3" xfId="30989"/>
    <cellStyle name="Comma 11 10 3 2" xfId="30990"/>
    <cellStyle name="Comma 11 10 4" xfId="30991"/>
    <cellStyle name="Comma 11 10 5" xfId="30992"/>
    <cellStyle name="Comma 11 11" xfId="30993"/>
    <cellStyle name="Comma 11 11 2" xfId="30994"/>
    <cellStyle name="Comma 11 11 3" xfId="30995"/>
    <cellStyle name="Comma 11 12" xfId="30996"/>
    <cellStyle name="Comma 11 12 2" xfId="30997"/>
    <cellStyle name="Comma 11 12 3" xfId="30998"/>
    <cellStyle name="Comma 11 13" xfId="30999"/>
    <cellStyle name="Comma 11 13 2" xfId="31000"/>
    <cellStyle name="Comma 11 14" xfId="31001"/>
    <cellStyle name="Comma 11 15" xfId="31002"/>
    <cellStyle name="Comma 11 16" xfId="31003"/>
    <cellStyle name="Comma 11 2" xfId="8210"/>
    <cellStyle name="Comma 11 2 10" xfId="31004"/>
    <cellStyle name="Comma 11 2 10 2" xfId="31005"/>
    <cellStyle name="Comma 11 2 10 3" xfId="31006"/>
    <cellStyle name="Comma 11 2 11" xfId="31007"/>
    <cellStyle name="Comma 11 2 11 2" xfId="31008"/>
    <cellStyle name="Comma 11 2 11 3" xfId="31009"/>
    <cellStyle name="Comma 11 2 12" xfId="31010"/>
    <cellStyle name="Comma 11 2 12 2" xfId="31011"/>
    <cellStyle name="Comma 11 2 13" xfId="31012"/>
    <cellStyle name="Comma 11 2 14" xfId="31013"/>
    <cellStyle name="Comma 11 2 15" xfId="31014"/>
    <cellStyle name="Comma 11 2 2" xfId="8211"/>
    <cellStyle name="Comma 11 2 2 10" xfId="31015"/>
    <cellStyle name="Comma 11 2 2 10 2" xfId="31016"/>
    <cellStyle name="Comma 11 2 2 10 3" xfId="31017"/>
    <cellStyle name="Comma 11 2 2 11" xfId="31018"/>
    <cellStyle name="Comma 11 2 2 11 2" xfId="31019"/>
    <cellStyle name="Comma 11 2 2 12" xfId="31020"/>
    <cellStyle name="Comma 11 2 2 13" xfId="31021"/>
    <cellStyle name="Comma 11 2 2 14" xfId="31022"/>
    <cellStyle name="Comma 11 2 2 2" xfId="8212"/>
    <cellStyle name="Comma 11 2 2 2 10" xfId="31023"/>
    <cellStyle name="Comma 11 2 2 2 10 2" xfId="31024"/>
    <cellStyle name="Comma 11 2 2 2 11" xfId="31025"/>
    <cellStyle name="Comma 11 2 2 2 12" xfId="31026"/>
    <cellStyle name="Comma 11 2 2 2 13" xfId="31027"/>
    <cellStyle name="Comma 11 2 2 2 2" xfId="8213"/>
    <cellStyle name="Comma 11 2 2 2 2 10" xfId="31028"/>
    <cellStyle name="Comma 11 2 2 2 2 2" xfId="31029"/>
    <cellStyle name="Comma 11 2 2 2 2 2 2" xfId="31030"/>
    <cellStyle name="Comma 11 2 2 2 2 2 2 2" xfId="31031"/>
    <cellStyle name="Comma 11 2 2 2 2 2 2 2 2" xfId="31032"/>
    <cellStyle name="Comma 11 2 2 2 2 2 2 2 3" xfId="31033"/>
    <cellStyle name="Comma 11 2 2 2 2 2 2 3" xfId="31034"/>
    <cellStyle name="Comma 11 2 2 2 2 2 2 3 2" xfId="31035"/>
    <cellStyle name="Comma 11 2 2 2 2 2 2 3 3" xfId="31036"/>
    <cellStyle name="Comma 11 2 2 2 2 2 2 4" xfId="31037"/>
    <cellStyle name="Comma 11 2 2 2 2 2 2 4 2" xfId="31038"/>
    <cellStyle name="Comma 11 2 2 2 2 2 2 5" xfId="31039"/>
    <cellStyle name="Comma 11 2 2 2 2 2 2 6" xfId="31040"/>
    <cellStyle name="Comma 11 2 2 2 2 2 3" xfId="31041"/>
    <cellStyle name="Comma 11 2 2 2 2 2 3 2" xfId="31042"/>
    <cellStyle name="Comma 11 2 2 2 2 2 3 2 2" xfId="31043"/>
    <cellStyle name="Comma 11 2 2 2 2 2 3 2 3" xfId="31044"/>
    <cellStyle name="Comma 11 2 2 2 2 2 3 3" xfId="31045"/>
    <cellStyle name="Comma 11 2 2 2 2 2 3 3 2" xfId="31046"/>
    <cellStyle name="Comma 11 2 2 2 2 2 3 3 3" xfId="31047"/>
    <cellStyle name="Comma 11 2 2 2 2 2 3 4" xfId="31048"/>
    <cellStyle name="Comma 11 2 2 2 2 2 3 4 2" xfId="31049"/>
    <cellStyle name="Comma 11 2 2 2 2 2 3 5" xfId="31050"/>
    <cellStyle name="Comma 11 2 2 2 2 2 3 6" xfId="31051"/>
    <cellStyle name="Comma 11 2 2 2 2 2 4" xfId="31052"/>
    <cellStyle name="Comma 11 2 2 2 2 2 4 2" xfId="31053"/>
    <cellStyle name="Comma 11 2 2 2 2 2 4 2 2" xfId="31054"/>
    <cellStyle name="Comma 11 2 2 2 2 2 4 2 3" xfId="31055"/>
    <cellStyle name="Comma 11 2 2 2 2 2 4 3" xfId="31056"/>
    <cellStyle name="Comma 11 2 2 2 2 2 4 3 2" xfId="31057"/>
    <cellStyle name="Comma 11 2 2 2 2 2 4 4" xfId="31058"/>
    <cellStyle name="Comma 11 2 2 2 2 2 4 5" xfId="31059"/>
    <cellStyle name="Comma 11 2 2 2 2 2 5" xfId="31060"/>
    <cellStyle name="Comma 11 2 2 2 2 2 5 2" xfId="31061"/>
    <cellStyle name="Comma 11 2 2 2 2 2 5 3" xfId="31062"/>
    <cellStyle name="Comma 11 2 2 2 2 2 6" xfId="31063"/>
    <cellStyle name="Comma 11 2 2 2 2 2 6 2" xfId="31064"/>
    <cellStyle name="Comma 11 2 2 2 2 2 6 3" xfId="31065"/>
    <cellStyle name="Comma 11 2 2 2 2 2 7" xfId="31066"/>
    <cellStyle name="Comma 11 2 2 2 2 2 7 2" xfId="31067"/>
    <cellStyle name="Comma 11 2 2 2 2 2 8" xfId="31068"/>
    <cellStyle name="Comma 11 2 2 2 2 2 9" xfId="31069"/>
    <cellStyle name="Comma 11 2 2 2 2 3" xfId="31070"/>
    <cellStyle name="Comma 11 2 2 2 2 3 2" xfId="31071"/>
    <cellStyle name="Comma 11 2 2 2 2 3 2 2" xfId="31072"/>
    <cellStyle name="Comma 11 2 2 2 2 3 2 3" xfId="31073"/>
    <cellStyle name="Comma 11 2 2 2 2 3 3" xfId="31074"/>
    <cellStyle name="Comma 11 2 2 2 2 3 3 2" xfId="31075"/>
    <cellStyle name="Comma 11 2 2 2 2 3 3 3" xfId="31076"/>
    <cellStyle name="Comma 11 2 2 2 2 3 4" xfId="31077"/>
    <cellStyle name="Comma 11 2 2 2 2 3 4 2" xfId="31078"/>
    <cellStyle name="Comma 11 2 2 2 2 3 5" xfId="31079"/>
    <cellStyle name="Comma 11 2 2 2 2 3 6" xfId="31080"/>
    <cellStyle name="Comma 11 2 2 2 2 4" xfId="31081"/>
    <cellStyle name="Comma 11 2 2 2 2 4 2" xfId="31082"/>
    <cellStyle name="Comma 11 2 2 2 2 4 2 2" xfId="31083"/>
    <cellStyle name="Comma 11 2 2 2 2 4 2 3" xfId="31084"/>
    <cellStyle name="Comma 11 2 2 2 2 4 3" xfId="31085"/>
    <cellStyle name="Comma 11 2 2 2 2 4 3 2" xfId="31086"/>
    <cellStyle name="Comma 11 2 2 2 2 4 3 3" xfId="31087"/>
    <cellStyle name="Comma 11 2 2 2 2 4 4" xfId="31088"/>
    <cellStyle name="Comma 11 2 2 2 2 4 4 2" xfId="31089"/>
    <cellStyle name="Comma 11 2 2 2 2 4 5" xfId="31090"/>
    <cellStyle name="Comma 11 2 2 2 2 4 6" xfId="31091"/>
    <cellStyle name="Comma 11 2 2 2 2 5" xfId="31092"/>
    <cellStyle name="Comma 11 2 2 2 2 5 2" xfId="31093"/>
    <cellStyle name="Comma 11 2 2 2 2 5 2 2" xfId="31094"/>
    <cellStyle name="Comma 11 2 2 2 2 5 2 3" xfId="31095"/>
    <cellStyle name="Comma 11 2 2 2 2 5 3" xfId="31096"/>
    <cellStyle name="Comma 11 2 2 2 2 5 3 2" xfId="31097"/>
    <cellStyle name="Comma 11 2 2 2 2 5 4" xfId="31098"/>
    <cellStyle name="Comma 11 2 2 2 2 5 5" xfId="31099"/>
    <cellStyle name="Comma 11 2 2 2 2 6" xfId="31100"/>
    <cellStyle name="Comma 11 2 2 2 2 6 2" xfId="31101"/>
    <cellStyle name="Comma 11 2 2 2 2 6 3" xfId="31102"/>
    <cellStyle name="Comma 11 2 2 2 2 7" xfId="31103"/>
    <cellStyle name="Comma 11 2 2 2 2 7 2" xfId="31104"/>
    <cellStyle name="Comma 11 2 2 2 2 7 3" xfId="31105"/>
    <cellStyle name="Comma 11 2 2 2 2 8" xfId="31106"/>
    <cellStyle name="Comma 11 2 2 2 2 8 2" xfId="31107"/>
    <cellStyle name="Comma 11 2 2 2 2 9" xfId="31108"/>
    <cellStyle name="Comma 11 2 2 2 3" xfId="31109"/>
    <cellStyle name="Comma 11 2 2 2 3 2" xfId="31110"/>
    <cellStyle name="Comma 11 2 2 2 3 2 2" xfId="31111"/>
    <cellStyle name="Comma 11 2 2 2 3 2 2 2" xfId="31112"/>
    <cellStyle name="Comma 11 2 2 2 3 2 2 3" xfId="31113"/>
    <cellStyle name="Comma 11 2 2 2 3 2 3" xfId="31114"/>
    <cellStyle name="Comma 11 2 2 2 3 2 3 2" xfId="31115"/>
    <cellStyle name="Comma 11 2 2 2 3 2 3 3" xfId="31116"/>
    <cellStyle name="Comma 11 2 2 2 3 2 4" xfId="31117"/>
    <cellStyle name="Comma 11 2 2 2 3 2 4 2" xfId="31118"/>
    <cellStyle name="Comma 11 2 2 2 3 2 5" xfId="31119"/>
    <cellStyle name="Comma 11 2 2 2 3 2 6" xfId="31120"/>
    <cellStyle name="Comma 11 2 2 2 3 3" xfId="31121"/>
    <cellStyle name="Comma 11 2 2 2 3 3 2" xfId="31122"/>
    <cellStyle name="Comma 11 2 2 2 3 3 2 2" xfId="31123"/>
    <cellStyle name="Comma 11 2 2 2 3 3 2 3" xfId="31124"/>
    <cellStyle name="Comma 11 2 2 2 3 3 3" xfId="31125"/>
    <cellStyle name="Comma 11 2 2 2 3 3 3 2" xfId="31126"/>
    <cellStyle name="Comma 11 2 2 2 3 3 3 3" xfId="31127"/>
    <cellStyle name="Comma 11 2 2 2 3 3 4" xfId="31128"/>
    <cellStyle name="Comma 11 2 2 2 3 3 4 2" xfId="31129"/>
    <cellStyle name="Comma 11 2 2 2 3 3 5" xfId="31130"/>
    <cellStyle name="Comma 11 2 2 2 3 3 6" xfId="31131"/>
    <cellStyle name="Comma 11 2 2 2 3 4" xfId="31132"/>
    <cellStyle name="Comma 11 2 2 2 3 4 2" xfId="31133"/>
    <cellStyle name="Comma 11 2 2 2 3 4 2 2" xfId="31134"/>
    <cellStyle name="Comma 11 2 2 2 3 4 2 3" xfId="31135"/>
    <cellStyle name="Comma 11 2 2 2 3 4 3" xfId="31136"/>
    <cellStyle name="Comma 11 2 2 2 3 4 3 2" xfId="31137"/>
    <cellStyle name="Comma 11 2 2 2 3 4 4" xfId="31138"/>
    <cellStyle name="Comma 11 2 2 2 3 4 5" xfId="31139"/>
    <cellStyle name="Comma 11 2 2 2 3 5" xfId="31140"/>
    <cellStyle name="Comma 11 2 2 2 3 5 2" xfId="31141"/>
    <cellStyle name="Comma 11 2 2 2 3 5 3" xfId="31142"/>
    <cellStyle name="Comma 11 2 2 2 3 6" xfId="31143"/>
    <cellStyle name="Comma 11 2 2 2 3 6 2" xfId="31144"/>
    <cellStyle name="Comma 11 2 2 2 3 6 3" xfId="31145"/>
    <cellStyle name="Comma 11 2 2 2 3 7" xfId="31146"/>
    <cellStyle name="Comma 11 2 2 2 3 7 2" xfId="31147"/>
    <cellStyle name="Comma 11 2 2 2 3 8" xfId="31148"/>
    <cellStyle name="Comma 11 2 2 2 3 9" xfId="31149"/>
    <cellStyle name="Comma 11 2 2 2 4" xfId="31150"/>
    <cellStyle name="Comma 11 2 2 2 4 2" xfId="31151"/>
    <cellStyle name="Comma 11 2 2 2 4 2 2" xfId="31152"/>
    <cellStyle name="Comma 11 2 2 2 4 2 2 2" xfId="31153"/>
    <cellStyle name="Comma 11 2 2 2 4 2 2 3" xfId="31154"/>
    <cellStyle name="Comma 11 2 2 2 4 2 3" xfId="31155"/>
    <cellStyle name="Comma 11 2 2 2 4 2 3 2" xfId="31156"/>
    <cellStyle name="Comma 11 2 2 2 4 2 3 3" xfId="31157"/>
    <cellStyle name="Comma 11 2 2 2 4 2 4" xfId="31158"/>
    <cellStyle name="Comma 11 2 2 2 4 2 4 2" xfId="31159"/>
    <cellStyle name="Comma 11 2 2 2 4 2 5" xfId="31160"/>
    <cellStyle name="Comma 11 2 2 2 4 2 6" xfId="31161"/>
    <cellStyle name="Comma 11 2 2 2 4 3" xfId="31162"/>
    <cellStyle name="Comma 11 2 2 2 4 3 2" xfId="31163"/>
    <cellStyle name="Comma 11 2 2 2 4 3 2 2" xfId="31164"/>
    <cellStyle name="Comma 11 2 2 2 4 3 2 3" xfId="31165"/>
    <cellStyle name="Comma 11 2 2 2 4 3 3" xfId="31166"/>
    <cellStyle name="Comma 11 2 2 2 4 3 3 2" xfId="31167"/>
    <cellStyle name="Comma 11 2 2 2 4 3 3 3" xfId="31168"/>
    <cellStyle name="Comma 11 2 2 2 4 3 4" xfId="31169"/>
    <cellStyle name="Comma 11 2 2 2 4 3 4 2" xfId="31170"/>
    <cellStyle name="Comma 11 2 2 2 4 3 5" xfId="31171"/>
    <cellStyle name="Comma 11 2 2 2 4 3 6" xfId="31172"/>
    <cellStyle name="Comma 11 2 2 2 4 4" xfId="31173"/>
    <cellStyle name="Comma 11 2 2 2 4 4 2" xfId="31174"/>
    <cellStyle name="Comma 11 2 2 2 4 4 2 2" xfId="31175"/>
    <cellStyle name="Comma 11 2 2 2 4 4 2 3" xfId="31176"/>
    <cellStyle name="Comma 11 2 2 2 4 4 3" xfId="31177"/>
    <cellStyle name="Comma 11 2 2 2 4 4 3 2" xfId="31178"/>
    <cellStyle name="Comma 11 2 2 2 4 4 4" xfId="31179"/>
    <cellStyle name="Comma 11 2 2 2 4 4 5" xfId="31180"/>
    <cellStyle name="Comma 11 2 2 2 4 5" xfId="31181"/>
    <cellStyle name="Comma 11 2 2 2 4 5 2" xfId="31182"/>
    <cellStyle name="Comma 11 2 2 2 4 5 3" xfId="31183"/>
    <cellStyle name="Comma 11 2 2 2 4 6" xfId="31184"/>
    <cellStyle name="Comma 11 2 2 2 4 6 2" xfId="31185"/>
    <cellStyle name="Comma 11 2 2 2 4 6 3" xfId="31186"/>
    <cellStyle name="Comma 11 2 2 2 4 7" xfId="31187"/>
    <cellStyle name="Comma 11 2 2 2 4 7 2" xfId="31188"/>
    <cellStyle name="Comma 11 2 2 2 4 8" xfId="31189"/>
    <cellStyle name="Comma 11 2 2 2 4 9" xfId="31190"/>
    <cellStyle name="Comma 11 2 2 2 5" xfId="31191"/>
    <cellStyle name="Comma 11 2 2 2 5 2" xfId="31192"/>
    <cellStyle name="Comma 11 2 2 2 5 2 2" xfId="31193"/>
    <cellStyle name="Comma 11 2 2 2 5 2 3" xfId="31194"/>
    <cellStyle name="Comma 11 2 2 2 5 3" xfId="31195"/>
    <cellStyle name="Comma 11 2 2 2 5 3 2" xfId="31196"/>
    <cellStyle name="Comma 11 2 2 2 5 3 3" xfId="31197"/>
    <cellStyle name="Comma 11 2 2 2 5 4" xfId="31198"/>
    <cellStyle name="Comma 11 2 2 2 5 4 2" xfId="31199"/>
    <cellStyle name="Comma 11 2 2 2 5 5" xfId="31200"/>
    <cellStyle name="Comma 11 2 2 2 5 6" xfId="31201"/>
    <cellStyle name="Comma 11 2 2 2 6" xfId="31202"/>
    <cellStyle name="Comma 11 2 2 2 6 2" xfId="31203"/>
    <cellStyle name="Comma 11 2 2 2 6 2 2" xfId="31204"/>
    <cellStyle name="Comma 11 2 2 2 6 2 3" xfId="31205"/>
    <cellStyle name="Comma 11 2 2 2 6 3" xfId="31206"/>
    <cellStyle name="Comma 11 2 2 2 6 3 2" xfId="31207"/>
    <cellStyle name="Comma 11 2 2 2 6 3 3" xfId="31208"/>
    <cellStyle name="Comma 11 2 2 2 6 4" xfId="31209"/>
    <cellStyle name="Comma 11 2 2 2 6 4 2" xfId="31210"/>
    <cellStyle name="Comma 11 2 2 2 6 5" xfId="31211"/>
    <cellStyle name="Comma 11 2 2 2 6 6" xfId="31212"/>
    <cellStyle name="Comma 11 2 2 2 7" xfId="31213"/>
    <cellStyle name="Comma 11 2 2 2 7 2" xfId="31214"/>
    <cellStyle name="Comma 11 2 2 2 7 2 2" xfId="31215"/>
    <cellStyle name="Comma 11 2 2 2 7 2 3" xfId="31216"/>
    <cellStyle name="Comma 11 2 2 2 7 3" xfId="31217"/>
    <cellStyle name="Comma 11 2 2 2 7 3 2" xfId="31218"/>
    <cellStyle name="Comma 11 2 2 2 7 4" xfId="31219"/>
    <cellStyle name="Comma 11 2 2 2 7 5" xfId="31220"/>
    <cellStyle name="Comma 11 2 2 2 8" xfId="31221"/>
    <cellStyle name="Comma 11 2 2 2 8 2" xfId="31222"/>
    <cellStyle name="Comma 11 2 2 2 8 3" xfId="31223"/>
    <cellStyle name="Comma 11 2 2 2 9" xfId="31224"/>
    <cellStyle name="Comma 11 2 2 2 9 2" xfId="31225"/>
    <cellStyle name="Comma 11 2 2 2 9 3" xfId="31226"/>
    <cellStyle name="Comma 11 2 2 3" xfId="8214"/>
    <cellStyle name="Comma 11 2 2 3 10" xfId="31227"/>
    <cellStyle name="Comma 11 2 2 3 11" xfId="31228"/>
    <cellStyle name="Comma 11 2 2 3 2" xfId="31229"/>
    <cellStyle name="Comma 11 2 2 3 2 2" xfId="31230"/>
    <cellStyle name="Comma 11 2 2 3 2 2 2" xfId="31231"/>
    <cellStyle name="Comma 11 2 2 3 2 2 2 2" xfId="31232"/>
    <cellStyle name="Comma 11 2 2 3 2 2 2 3" xfId="31233"/>
    <cellStyle name="Comma 11 2 2 3 2 2 3" xfId="31234"/>
    <cellStyle name="Comma 11 2 2 3 2 2 3 2" xfId="31235"/>
    <cellStyle name="Comma 11 2 2 3 2 2 3 3" xfId="31236"/>
    <cellStyle name="Comma 11 2 2 3 2 2 4" xfId="31237"/>
    <cellStyle name="Comma 11 2 2 3 2 2 4 2" xfId="31238"/>
    <cellStyle name="Comma 11 2 2 3 2 2 5" xfId="31239"/>
    <cellStyle name="Comma 11 2 2 3 2 2 6" xfId="31240"/>
    <cellStyle name="Comma 11 2 2 3 2 3" xfId="31241"/>
    <cellStyle name="Comma 11 2 2 3 2 3 2" xfId="31242"/>
    <cellStyle name="Comma 11 2 2 3 2 3 2 2" xfId="31243"/>
    <cellStyle name="Comma 11 2 2 3 2 3 2 3" xfId="31244"/>
    <cellStyle name="Comma 11 2 2 3 2 3 3" xfId="31245"/>
    <cellStyle name="Comma 11 2 2 3 2 3 3 2" xfId="31246"/>
    <cellStyle name="Comma 11 2 2 3 2 3 3 3" xfId="31247"/>
    <cellStyle name="Comma 11 2 2 3 2 3 4" xfId="31248"/>
    <cellStyle name="Comma 11 2 2 3 2 3 4 2" xfId="31249"/>
    <cellStyle name="Comma 11 2 2 3 2 3 5" xfId="31250"/>
    <cellStyle name="Comma 11 2 2 3 2 3 6" xfId="31251"/>
    <cellStyle name="Comma 11 2 2 3 2 4" xfId="31252"/>
    <cellStyle name="Comma 11 2 2 3 2 4 2" xfId="31253"/>
    <cellStyle name="Comma 11 2 2 3 2 4 2 2" xfId="31254"/>
    <cellStyle name="Comma 11 2 2 3 2 4 2 3" xfId="31255"/>
    <cellStyle name="Comma 11 2 2 3 2 4 3" xfId="31256"/>
    <cellStyle name="Comma 11 2 2 3 2 4 3 2" xfId="31257"/>
    <cellStyle name="Comma 11 2 2 3 2 4 4" xfId="31258"/>
    <cellStyle name="Comma 11 2 2 3 2 4 5" xfId="31259"/>
    <cellStyle name="Comma 11 2 2 3 2 5" xfId="31260"/>
    <cellStyle name="Comma 11 2 2 3 2 5 2" xfId="31261"/>
    <cellStyle name="Comma 11 2 2 3 2 5 3" xfId="31262"/>
    <cellStyle name="Comma 11 2 2 3 2 6" xfId="31263"/>
    <cellStyle name="Comma 11 2 2 3 2 6 2" xfId="31264"/>
    <cellStyle name="Comma 11 2 2 3 2 6 3" xfId="31265"/>
    <cellStyle name="Comma 11 2 2 3 2 7" xfId="31266"/>
    <cellStyle name="Comma 11 2 2 3 2 7 2" xfId="31267"/>
    <cellStyle name="Comma 11 2 2 3 2 8" xfId="31268"/>
    <cellStyle name="Comma 11 2 2 3 2 9" xfId="31269"/>
    <cellStyle name="Comma 11 2 2 3 3" xfId="31270"/>
    <cellStyle name="Comma 11 2 2 3 3 2" xfId="31271"/>
    <cellStyle name="Comma 11 2 2 3 3 2 2" xfId="31272"/>
    <cellStyle name="Comma 11 2 2 3 3 2 3" xfId="31273"/>
    <cellStyle name="Comma 11 2 2 3 3 3" xfId="31274"/>
    <cellStyle name="Comma 11 2 2 3 3 3 2" xfId="31275"/>
    <cellStyle name="Comma 11 2 2 3 3 3 3" xfId="31276"/>
    <cellStyle name="Comma 11 2 2 3 3 4" xfId="31277"/>
    <cellStyle name="Comma 11 2 2 3 3 4 2" xfId="31278"/>
    <cellStyle name="Comma 11 2 2 3 3 5" xfId="31279"/>
    <cellStyle name="Comma 11 2 2 3 3 6" xfId="31280"/>
    <cellStyle name="Comma 11 2 2 3 4" xfId="31281"/>
    <cellStyle name="Comma 11 2 2 3 4 2" xfId="31282"/>
    <cellStyle name="Comma 11 2 2 3 4 2 2" xfId="31283"/>
    <cellStyle name="Comma 11 2 2 3 4 2 3" xfId="31284"/>
    <cellStyle name="Comma 11 2 2 3 4 3" xfId="31285"/>
    <cellStyle name="Comma 11 2 2 3 4 3 2" xfId="31286"/>
    <cellStyle name="Comma 11 2 2 3 4 3 3" xfId="31287"/>
    <cellStyle name="Comma 11 2 2 3 4 4" xfId="31288"/>
    <cellStyle name="Comma 11 2 2 3 4 4 2" xfId="31289"/>
    <cellStyle name="Comma 11 2 2 3 4 5" xfId="31290"/>
    <cellStyle name="Comma 11 2 2 3 4 6" xfId="31291"/>
    <cellStyle name="Comma 11 2 2 3 5" xfId="31292"/>
    <cellStyle name="Comma 11 2 2 3 5 2" xfId="31293"/>
    <cellStyle name="Comma 11 2 2 3 5 2 2" xfId="31294"/>
    <cellStyle name="Comma 11 2 2 3 5 2 3" xfId="31295"/>
    <cellStyle name="Comma 11 2 2 3 5 3" xfId="31296"/>
    <cellStyle name="Comma 11 2 2 3 5 3 2" xfId="31297"/>
    <cellStyle name="Comma 11 2 2 3 5 4" xfId="31298"/>
    <cellStyle name="Comma 11 2 2 3 5 5" xfId="31299"/>
    <cellStyle name="Comma 11 2 2 3 6" xfId="31300"/>
    <cellStyle name="Comma 11 2 2 3 6 2" xfId="31301"/>
    <cellStyle name="Comma 11 2 2 3 6 3" xfId="31302"/>
    <cellStyle name="Comma 11 2 2 3 7" xfId="31303"/>
    <cellStyle name="Comma 11 2 2 3 7 2" xfId="31304"/>
    <cellStyle name="Comma 11 2 2 3 7 3" xfId="31305"/>
    <cellStyle name="Comma 11 2 2 3 8" xfId="31306"/>
    <cellStyle name="Comma 11 2 2 3 8 2" xfId="31307"/>
    <cellStyle name="Comma 11 2 2 3 9" xfId="31308"/>
    <cellStyle name="Comma 11 2 2 4" xfId="31309"/>
    <cellStyle name="Comma 11 2 2 4 2" xfId="31310"/>
    <cellStyle name="Comma 11 2 2 4 2 2" xfId="31311"/>
    <cellStyle name="Comma 11 2 2 4 2 2 2" xfId="31312"/>
    <cellStyle name="Comma 11 2 2 4 2 2 3" xfId="31313"/>
    <cellStyle name="Comma 11 2 2 4 2 3" xfId="31314"/>
    <cellStyle name="Comma 11 2 2 4 2 3 2" xfId="31315"/>
    <cellStyle name="Comma 11 2 2 4 2 3 3" xfId="31316"/>
    <cellStyle name="Comma 11 2 2 4 2 4" xfId="31317"/>
    <cellStyle name="Comma 11 2 2 4 2 4 2" xfId="31318"/>
    <cellStyle name="Comma 11 2 2 4 2 5" xfId="31319"/>
    <cellStyle name="Comma 11 2 2 4 2 6" xfId="31320"/>
    <cellStyle name="Comma 11 2 2 4 3" xfId="31321"/>
    <cellStyle name="Comma 11 2 2 4 3 2" xfId="31322"/>
    <cellStyle name="Comma 11 2 2 4 3 2 2" xfId="31323"/>
    <cellStyle name="Comma 11 2 2 4 3 2 3" xfId="31324"/>
    <cellStyle name="Comma 11 2 2 4 3 3" xfId="31325"/>
    <cellStyle name="Comma 11 2 2 4 3 3 2" xfId="31326"/>
    <cellStyle name="Comma 11 2 2 4 3 3 3" xfId="31327"/>
    <cellStyle name="Comma 11 2 2 4 3 4" xfId="31328"/>
    <cellStyle name="Comma 11 2 2 4 3 4 2" xfId="31329"/>
    <cellStyle name="Comma 11 2 2 4 3 5" xfId="31330"/>
    <cellStyle name="Comma 11 2 2 4 3 6" xfId="31331"/>
    <cellStyle name="Comma 11 2 2 4 4" xfId="31332"/>
    <cellStyle name="Comma 11 2 2 4 4 2" xfId="31333"/>
    <cellStyle name="Comma 11 2 2 4 4 2 2" xfId="31334"/>
    <cellStyle name="Comma 11 2 2 4 4 2 3" xfId="31335"/>
    <cellStyle name="Comma 11 2 2 4 4 3" xfId="31336"/>
    <cellStyle name="Comma 11 2 2 4 4 3 2" xfId="31337"/>
    <cellStyle name="Comma 11 2 2 4 4 4" xfId="31338"/>
    <cellStyle name="Comma 11 2 2 4 4 5" xfId="31339"/>
    <cellStyle name="Comma 11 2 2 4 5" xfId="31340"/>
    <cellStyle name="Comma 11 2 2 4 5 2" xfId="31341"/>
    <cellStyle name="Comma 11 2 2 4 5 3" xfId="31342"/>
    <cellStyle name="Comma 11 2 2 4 6" xfId="31343"/>
    <cellStyle name="Comma 11 2 2 4 6 2" xfId="31344"/>
    <cellStyle name="Comma 11 2 2 4 6 3" xfId="31345"/>
    <cellStyle name="Comma 11 2 2 4 7" xfId="31346"/>
    <cellStyle name="Comma 11 2 2 4 7 2" xfId="31347"/>
    <cellStyle name="Comma 11 2 2 4 8" xfId="31348"/>
    <cellStyle name="Comma 11 2 2 4 9" xfId="31349"/>
    <cellStyle name="Comma 11 2 2 5" xfId="31350"/>
    <cellStyle name="Comma 11 2 2 5 2" xfId="31351"/>
    <cellStyle name="Comma 11 2 2 5 2 2" xfId="31352"/>
    <cellStyle name="Comma 11 2 2 5 2 2 2" xfId="31353"/>
    <cellStyle name="Comma 11 2 2 5 2 2 3" xfId="31354"/>
    <cellStyle name="Comma 11 2 2 5 2 3" xfId="31355"/>
    <cellStyle name="Comma 11 2 2 5 2 3 2" xfId="31356"/>
    <cellStyle name="Comma 11 2 2 5 2 3 3" xfId="31357"/>
    <cellStyle name="Comma 11 2 2 5 2 4" xfId="31358"/>
    <cellStyle name="Comma 11 2 2 5 2 4 2" xfId="31359"/>
    <cellStyle name="Comma 11 2 2 5 2 5" xfId="31360"/>
    <cellStyle name="Comma 11 2 2 5 2 6" xfId="31361"/>
    <cellStyle name="Comma 11 2 2 5 3" xfId="31362"/>
    <cellStyle name="Comma 11 2 2 5 3 2" xfId="31363"/>
    <cellStyle name="Comma 11 2 2 5 3 2 2" xfId="31364"/>
    <cellStyle name="Comma 11 2 2 5 3 2 3" xfId="31365"/>
    <cellStyle name="Comma 11 2 2 5 3 3" xfId="31366"/>
    <cellStyle name="Comma 11 2 2 5 3 3 2" xfId="31367"/>
    <cellStyle name="Comma 11 2 2 5 3 3 3" xfId="31368"/>
    <cellStyle name="Comma 11 2 2 5 3 4" xfId="31369"/>
    <cellStyle name="Comma 11 2 2 5 3 4 2" xfId="31370"/>
    <cellStyle name="Comma 11 2 2 5 3 5" xfId="31371"/>
    <cellStyle name="Comma 11 2 2 5 3 6" xfId="31372"/>
    <cellStyle name="Comma 11 2 2 5 4" xfId="31373"/>
    <cellStyle name="Comma 11 2 2 5 4 2" xfId="31374"/>
    <cellStyle name="Comma 11 2 2 5 4 2 2" xfId="31375"/>
    <cellStyle name="Comma 11 2 2 5 4 2 3" xfId="31376"/>
    <cellStyle name="Comma 11 2 2 5 4 3" xfId="31377"/>
    <cellStyle name="Comma 11 2 2 5 4 3 2" xfId="31378"/>
    <cellStyle name="Comma 11 2 2 5 4 4" xfId="31379"/>
    <cellStyle name="Comma 11 2 2 5 4 5" xfId="31380"/>
    <cellStyle name="Comma 11 2 2 5 5" xfId="31381"/>
    <cellStyle name="Comma 11 2 2 5 5 2" xfId="31382"/>
    <cellStyle name="Comma 11 2 2 5 5 3" xfId="31383"/>
    <cellStyle name="Comma 11 2 2 5 6" xfId="31384"/>
    <cellStyle name="Comma 11 2 2 5 6 2" xfId="31385"/>
    <cellStyle name="Comma 11 2 2 5 6 3" xfId="31386"/>
    <cellStyle name="Comma 11 2 2 5 7" xfId="31387"/>
    <cellStyle name="Comma 11 2 2 5 7 2" xfId="31388"/>
    <cellStyle name="Comma 11 2 2 5 8" xfId="31389"/>
    <cellStyle name="Comma 11 2 2 5 9" xfId="31390"/>
    <cellStyle name="Comma 11 2 2 6" xfId="31391"/>
    <cellStyle name="Comma 11 2 2 6 2" xfId="31392"/>
    <cellStyle name="Comma 11 2 2 6 2 2" xfId="31393"/>
    <cellStyle name="Comma 11 2 2 6 2 3" xfId="31394"/>
    <cellStyle name="Comma 11 2 2 6 3" xfId="31395"/>
    <cellStyle name="Comma 11 2 2 6 3 2" xfId="31396"/>
    <cellStyle name="Comma 11 2 2 6 3 3" xfId="31397"/>
    <cellStyle name="Comma 11 2 2 6 4" xfId="31398"/>
    <cellStyle name="Comma 11 2 2 6 4 2" xfId="31399"/>
    <cellStyle name="Comma 11 2 2 6 5" xfId="31400"/>
    <cellStyle name="Comma 11 2 2 6 6" xfId="31401"/>
    <cellStyle name="Comma 11 2 2 7" xfId="31402"/>
    <cellStyle name="Comma 11 2 2 7 2" xfId="31403"/>
    <cellStyle name="Comma 11 2 2 7 2 2" xfId="31404"/>
    <cellStyle name="Comma 11 2 2 7 2 3" xfId="31405"/>
    <cellStyle name="Comma 11 2 2 7 3" xfId="31406"/>
    <cellStyle name="Comma 11 2 2 7 3 2" xfId="31407"/>
    <cellStyle name="Comma 11 2 2 7 3 3" xfId="31408"/>
    <cellStyle name="Comma 11 2 2 7 4" xfId="31409"/>
    <cellStyle name="Comma 11 2 2 7 4 2" xfId="31410"/>
    <cellStyle name="Comma 11 2 2 7 5" xfId="31411"/>
    <cellStyle name="Comma 11 2 2 7 6" xfId="31412"/>
    <cellStyle name="Comma 11 2 2 8" xfId="31413"/>
    <cellStyle name="Comma 11 2 2 8 2" xfId="31414"/>
    <cellStyle name="Comma 11 2 2 8 2 2" xfId="31415"/>
    <cellStyle name="Comma 11 2 2 8 2 3" xfId="31416"/>
    <cellStyle name="Comma 11 2 2 8 3" xfId="31417"/>
    <cellStyle name="Comma 11 2 2 8 3 2" xfId="31418"/>
    <cellStyle name="Comma 11 2 2 8 4" xfId="31419"/>
    <cellStyle name="Comma 11 2 2 8 5" xfId="31420"/>
    <cellStyle name="Comma 11 2 2 9" xfId="31421"/>
    <cellStyle name="Comma 11 2 2 9 2" xfId="31422"/>
    <cellStyle name="Comma 11 2 2 9 3" xfId="31423"/>
    <cellStyle name="Comma 11 2 3" xfId="8215"/>
    <cellStyle name="Comma 11 2 3 10" xfId="31424"/>
    <cellStyle name="Comma 11 2 3 10 2" xfId="31425"/>
    <cellStyle name="Comma 11 2 3 11" xfId="31426"/>
    <cellStyle name="Comma 11 2 3 12" xfId="31427"/>
    <cellStyle name="Comma 11 2 3 13" xfId="31428"/>
    <cellStyle name="Comma 11 2 3 2" xfId="8216"/>
    <cellStyle name="Comma 11 2 3 2 10" xfId="31429"/>
    <cellStyle name="Comma 11 2 3 2 2" xfId="31430"/>
    <cellStyle name="Comma 11 2 3 2 2 2" xfId="31431"/>
    <cellStyle name="Comma 11 2 3 2 2 2 2" xfId="31432"/>
    <cellStyle name="Comma 11 2 3 2 2 2 2 2" xfId="31433"/>
    <cellStyle name="Comma 11 2 3 2 2 2 2 3" xfId="31434"/>
    <cellStyle name="Comma 11 2 3 2 2 2 3" xfId="31435"/>
    <cellStyle name="Comma 11 2 3 2 2 2 3 2" xfId="31436"/>
    <cellStyle name="Comma 11 2 3 2 2 2 3 3" xfId="31437"/>
    <cellStyle name="Comma 11 2 3 2 2 2 4" xfId="31438"/>
    <cellStyle name="Comma 11 2 3 2 2 2 4 2" xfId="31439"/>
    <cellStyle name="Comma 11 2 3 2 2 2 5" xfId="31440"/>
    <cellStyle name="Comma 11 2 3 2 2 2 6" xfId="31441"/>
    <cellStyle name="Comma 11 2 3 2 2 3" xfId="31442"/>
    <cellStyle name="Comma 11 2 3 2 2 3 2" xfId="31443"/>
    <cellStyle name="Comma 11 2 3 2 2 3 2 2" xfId="31444"/>
    <cellStyle name="Comma 11 2 3 2 2 3 2 3" xfId="31445"/>
    <cellStyle name="Comma 11 2 3 2 2 3 3" xfId="31446"/>
    <cellStyle name="Comma 11 2 3 2 2 3 3 2" xfId="31447"/>
    <cellStyle name="Comma 11 2 3 2 2 3 3 3" xfId="31448"/>
    <cellStyle name="Comma 11 2 3 2 2 3 4" xfId="31449"/>
    <cellStyle name="Comma 11 2 3 2 2 3 4 2" xfId="31450"/>
    <cellStyle name="Comma 11 2 3 2 2 3 5" xfId="31451"/>
    <cellStyle name="Comma 11 2 3 2 2 3 6" xfId="31452"/>
    <cellStyle name="Comma 11 2 3 2 2 4" xfId="31453"/>
    <cellStyle name="Comma 11 2 3 2 2 4 2" xfId="31454"/>
    <cellStyle name="Comma 11 2 3 2 2 4 2 2" xfId="31455"/>
    <cellStyle name="Comma 11 2 3 2 2 4 2 3" xfId="31456"/>
    <cellStyle name="Comma 11 2 3 2 2 4 3" xfId="31457"/>
    <cellStyle name="Comma 11 2 3 2 2 4 3 2" xfId="31458"/>
    <cellStyle name="Comma 11 2 3 2 2 4 4" xfId="31459"/>
    <cellStyle name="Comma 11 2 3 2 2 4 5" xfId="31460"/>
    <cellStyle name="Comma 11 2 3 2 2 5" xfId="31461"/>
    <cellStyle name="Comma 11 2 3 2 2 5 2" xfId="31462"/>
    <cellStyle name="Comma 11 2 3 2 2 5 3" xfId="31463"/>
    <cellStyle name="Comma 11 2 3 2 2 6" xfId="31464"/>
    <cellStyle name="Comma 11 2 3 2 2 6 2" xfId="31465"/>
    <cellStyle name="Comma 11 2 3 2 2 6 3" xfId="31466"/>
    <cellStyle name="Comma 11 2 3 2 2 7" xfId="31467"/>
    <cellStyle name="Comma 11 2 3 2 2 7 2" xfId="31468"/>
    <cellStyle name="Comma 11 2 3 2 2 8" xfId="31469"/>
    <cellStyle name="Comma 11 2 3 2 2 9" xfId="31470"/>
    <cellStyle name="Comma 11 2 3 2 3" xfId="31471"/>
    <cellStyle name="Comma 11 2 3 2 3 2" xfId="31472"/>
    <cellStyle name="Comma 11 2 3 2 3 2 2" xfId="31473"/>
    <cellStyle name="Comma 11 2 3 2 3 2 3" xfId="31474"/>
    <cellStyle name="Comma 11 2 3 2 3 3" xfId="31475"/>
    <cellStyle name="Comma 11 2 3 2 3 3 2" xfId="31476"/>
    <cellStyle name="Comma 11 2 3 2 3 3 3" xfId="31477"/>
    <cellStyle name="Comma 11 2 3 2 3 4" xfId="31478"/>
    <cellStyle name="Comma 11 2 3 2 3 4 2" xfId="31479"/>
    <cellStyle name="Comma 11 2 3 2 3 5" xfId="31480"/>
    <cellStyle name="Comma 11 2 3 2 3 6" xfId="31481"/>
    <cellStyle name="Comma 11 2 3 2 4" xfId="31482"/>
    <cellStyle name="Comma 11 2 3 2 4 2" xfId="31483"/>
    <cellStyle name="Comma 11 2 3 2 4 2 2" xfId="31484"/>
    <cellStyle name="Comma 11 2 3 2 4 2 3" xfId="31485"/>
    <cellStyle name="Comma 11 2 3 2 4 3" xfId="31486"/>
    <cellStyle name="Comma 11 2 3 2 4 3 2" xfId="31487"/>
    <cellStyle name="Comma 11 2 3 2 4 3 3" xfId="31488"/>
    <cellStyle name="Comma 11 2 3 2 4 4" xfId="31489"/>
    <cellStyle name="Comma 11 2 3 2 4 4 2" xfId="31490"/>
    <cellStyle name="Comma 11 2 3 2 4 5" xfId="31491"/>
    <cellStyle name="Comma 11 2 3 2 4 6" xfId="31492"/>
    <cellStyle name="Comma 11 2 3 2 5" xfId="31493"/>
    <cellStyle name="Comma 11 2 3 2 5 2" xfId="31494"/>
    <cellStyle name="Comma 11 2 3 2 5 2 2" xfId="31495"/>
    <cellStyle name="Comma 11 2 3 2 5 2 3" xfId="31496"/>
    <cellStyle name="Comma 11 2 3 2 5 3" xfId="31497"/>
    <cellStyle name="Comma 11 2 3 2 5 3 2" xfId="31498"/>
    <cellStyle name="Comma 11 2 3 2 5 4" xfId="31499"/>
    <cellStyle name="Comma 11 2 3 2 5 5" xfId="31500"/>
    <cellStyle name="Comma 11 2 3 2 6" xfId="31501"/>
    <cellStyle name="Comma 11 2 3 2 6 2" xfId="31502"/>
    <cellStyle name="Comma 11 2 3 2 6 3" xfId="31503"/>
    <cellStyle name="Comma 11 2 3 2 7" xfId="31504"/>
    <cellStyle name="Comma 11 2 3 2 7 2" xfId="31505"/>
    <cellStyle name="Comma 11 2 3 2 7 3" xfId="31506"/>
    <cellStyle name="Comma 11 2 3 2 8" xfId="31507"/>
    <cellStyle name="Comma 11 2 3 2 8 2" xfId="31508"/>
    <cellStyle name="Comma 11 2 3 2 9" xfId="31509"/>
    <cellStyle name="Comma 11 2 3 3" xfId="31510"/>
    <cellStyle name="Comma 11 2 3 3 2" xfId="31511"/>
    <cellStyle name="Comma 11 2 3 3 2 2" xfId="31512"/>
    <cellStyle name="Comma 11 2 3 3 2 2 2" xfId="31513"/>
    <cellStyle name="Comma 11 2 3 3 2 2 3" xfId="31514"/>
    <cellStyle name="Comma 11 2 3 3 2 3" xfId="31515"/>
    <cellStyle name="Comma 11 2 3 3 2 3 2" xfId="31516"/>
    <cellStyle name="Comma 11 2 3 3 2 3 3" xfId="31517"/>
    <cellStyle name="Comma 11 2 3 3 2 4" xfId="31518"/>
    <cellStyle name="Comma 11 2 3 3 2 4 2" xfId="31519"/>
    <cellStyle name="Comma 11 2 3 3 2 5" xfId="31520"/>
    <cellStyle name="Comma 11 2 3 3 2 6" xfId="31521"/>
    <cellStyle name="Comma 11 2 3 3 3" xfId="31522"/>
    <cellStyle name="Comma 11 2 3 3 3 2" xfId="31523"/>
    <cellStyle name="Comma 11 2 3 3 3 2 2" xfId="31524"/>
    <cellStyle name="Comma 11 2 3 3 3 2 3" xfId="31525"/>
    <cellStyle name="Comma 11 2 3 3 3 3" xfId="31526"/>
    <cellStyle name="Comma 11 2 3 3 3 3 2" xfId="31527"/>
    <cellStyle name="Comma 11 2 3 3 3 3 3" xfId="31528"/>
    <cellStyle name="Comma 11 2 3 3 3 4" xfId="31529"/>
    <cellStyle name="Comma 11 2 3 3 3 4 2" xfId="31530"/>
    <cellStyle name="Comma 11 2 3 3 3 5" xfId="31531"/>
    <cellStyle name="Comma 11 2 3 3 3 6" xfId="31532"/>
    <cellStyle name="Comma 11 2 3 3 4" xfId="31533"/>
    <cellStyle name="Comma 11 2 3 3 4 2" xfId="31534"/>
    <cellStyle name="Comma 11 2 3 3 4 2 2" xfId="31535"/>
    <cellStyle name="Comma 11 2 3 3 4 2 3" xfId="31536"/>
    <cellStyle name="Comma 11 2 3 3 4 3" xfId="31537"/>
    <cellStyle name="Comma 11 2 3 3 4 3 2" xfId="31538"/>
    <cellStyle name="Comma 11 2 3 3 4 4" xfId="31539"/>
    <cellStyle name="Comma 11 2 3 3 4 5" xfId="31540"/>
    <cellStyle name="Comma 11 2 3 3 5" xfId="31541"/>
    <cellStyle name="Comma 11 2 3 3 5 2" xfId="31542"/>
    <cellStyle name="Comma 11 2 3 3 5 3" xfId="31543"/>
    <cellStyle name="Comma 11 2 3 3 6" xfId="31544"/>
    <cellStyle name="Comma 11 2 3 3 6 2" xfId="31545"/>
    <cellStyle name="Comma 11 2 3 3 6 3" xfId="31546"/>
    <cellStyle name="Comma 11 2 3 3 7" xfId="31547"/>
    <cellStyle name="Comma 11 2 3 3 7 2" xfId="31548"/>
    <cellStyle name="Comma 11 2 3 3 8" xfId="31549"/>
    <cellStyle name="Comma 11 2 3 3 9" xfId="31550"/>
    <cellStyle name="Comma 11 2 3 4" xfId="31551"/>
    <cellStyle name="Comma 11 2 3 4 2" xfId="31552"/>
    <cellStyle name="Comma 11 2 3 4 2 2" xfId="31553"/>
    <cellStyle name="Comma 11 2 3 4 2 2 2" xfId="31554"/>
    <cellStyle name="Comma 11 2 3 4 2 2 3" xfId="31555"/>
    <cellStyle name="Comma 11 2 3 4 2 3" xfId="31556"/>
    <cellStyle name="Comma 11 2 3 4 2 3 2" xfId="31557"/>
    <cellStyle name="Comma 11 2 3 4 2 3 3" xfId="31558"/>
    <cellStyle name="Comma 11 2 3 4 2 4" xfId="31559"/>
    <cellStyle name="Comma 11 2 3 4 2 4 2" xfId="31560"/>
    <cellStyle name="Comma 11 2 3 4 2 5" xfId="31561"/>
    <cellStyle name="Comma 11 2 3 4 2 6" xfId="31562"/>
    <cellStyle name="Comma 11 2 3 4 3" xfId="31563"/>
    <cellStyle name="Comma 11 2 3 4 3 2" xfId="31564"/>
    <cellStyle name="Comma 11 2 3 4 3 2 2" xfId="31565"/>
    <cellStyle name="Comma 11 2 3 4 3 2 3" xfId="31566"/>
    <cellStyle name="Comma 11 2 3 4 3 3" xfId="31567"/>
    <cellStyle name="Comma 11 2 3 4 3 3 2" xfId="31568"/>
    <cellStyle name="Comma 11 2 3 4 3 3 3" xfId="31569"/>
    <cellStyle name="Comma 11 2 3 4 3 4" xfId="31570"/>
    <cellStyle name="Comma 11 2 3 4 3 4 2" xfId="31571"/>
    <cellStyle name="Comma 11 2 3 4 3 5" xfId="31572"/>
    <cellStyle name="Comma 11 2 3 4 3 6" xfId="31573"/>
    <cellStyle name="Comma 11 2 3 4 4" xfId="31574"/>
    <cellStyle name="Comma 11 2 3 4 4 2" xfId="31575"/>
    <cellStyle name="Comma 11 2 3 4 4 2 2" xfId="31576"/>
    <cellStyle name="Comma 11 2 3 4 4 2 3" xfId="31577"/>
    <cellStyle name="Comma 11 2 3 4 4 3" xfId="31578"/>
    <cellStyle name="Comma 11 2 3 4 4 3 2" xfId="31579"/>
    <cellStyle name="Comma 11 2 3 4 4 4" xfId="31580"/>
    <cellStyle name="Comma 11 2 3 4 4 5" xfId="31581"/>
    <cellStyle name="Comma 11 2 3 4 5" xfId="31582"/>
    <cellStyle name="Comma 11 2 3 4 5 2" xfId="31583"/>
    <cellStyle name="Comma 11 2 3 4 5 3" xfId="31584"/>
    <cellStyle name="Comma 11 2 3 4 6" xfId="31585"/>
    <cellStyle name="Comma 11 2 3 4 6 2" xfId="31586"/>
    <cellStyle name="Comma 11 2 3 4 6 3" xfId="31587"/>
    <cellStyle name="Comma 11 2 3 4 7" xfId="31588"/>
    <cellStyle name="Comma 11 2 3 4 7 2" xfId="31589"/>
    <cellStyle name="Comma 11 2 3 4 8" xfId="31590"/>
    <cellStyle name="Comma 11 2 3 4 9" xfId="31591"/>
    <cellStyle name="Comma 11 2 3 5" xfId="31592"/>
    <cellStyle name="Comma 11 2 3 5 2" xfId="31593"/>
    <cellStyle name="Comma 11 2 3 5 2 2" xfId="31594"/>
    <cellStyle name="Comma 11 2 3 5 2 3" xfId="31595"/>
    <cellStyle name="Comma 11 2 3 5 3" xfId="31596"/>
    <cellStyle name="Comma 11 2 3 5 3 2" xfId="31597"/>
    <cellStyle name="Comma 11 2 3 5 3 3" xfId="31598"/>
    <cellStyle name="Comma 11 2 3 5 4" xfId="31599"/>
    <cellStyle name="Comma 11 2 3 5 4 2" xfId="31600"/>
    <cellStyle name="Comma 11 2 3 5 5" xfId="31601"/>
    <cellStyle name="Comma 11 2 3 5 6" xfId="31602"/>
    <cellStyle name="Comma 11 2 3 6" xfId="31603"/>
    <cellStyle name="Comma 11 2 3 6 2" xfId="31604"/>
    <cellStyle name="Comma 11 2 3 6 2 2" xfId="31605"/>
    <cellStyle name="Comma 11 2 3 6 2 3" xfId="31606"/>
    <cellStyle name="Comma 11 2 3 6 3" xfId="31607"/>
    <cellStyle name="Comma 11 2 3 6 3 2" xfId="31608"/>
    <cellStyle name="Comma 11 2 3 6 3 3" xfId="31609"/>
    <cellStyle name="Comma 11 2 3 6 4" xfId="31610"/>
    <cellStyle name="Comma 11 2 3 6 4 2" xfId="31611"/>
    <cellStyle name="Comma 11 2 3 6 5" xfId="31612"/>
    <cellStyle name="Comma 11 2 3 6 6" xfId="31613"/>
    <cellStyle name="Comma 11 2 3 7" xfId="31614"/>
    <cellStyle name="Comma 11 2 3 7 2" xfId="31615"/>
    <cellStyle name="Comma 11 2 3 7 2 2" xfId="31616"/>
    <cellStyle name="Comma 11 2 3 7 2 3" xfId="31617"/>
    <cellStyle name="Comma 11 2 3 7 3" xfId="31618"/>
    <cellStyle name="Comma 11 2 3 7 3 2" xfId="31619"/>
    <cellStyle name="Comma 11 2 3 7 4" xfId="31620"/>
    <cellStyle name="Comma 11 2 3 7 5" xfId="31621"/>
    <cellStyle name="Comma 11 2 3 8" xfId="31622"/>
    <cellStyle name="Comma 11 2 3 8 2" xfId="31623"/>
    <cellStyle name="Comma 11 2 3 8 3" xfId="31624"/>
    <cellStyle name="Comma 11 2 3 9" xfId="31625"/>
    <cellStyle name="Comma 11 2 3 9 2" xfId="31626"/>
    <cellStyle name="Comma 11 2 3 9 3" xfId="31627"/>
    <cellStyle name="Comma 11 2 4" xfId="8217"/>
    <cellStyle name="Comma 11 2 4 10" xfId="31628"/>
    <cellStyle name="Comma 11 2 4 11" xfId="31629"/>
    <cellStyle name="Comma 11 2 4 2" xfId="31630"/>
    <cellStyle name="Comma 11 2 4 2 2" xfId="31631"/>
    <cellStyle name="Comma 11 2 4 2 2 2" xfId="31632"/>
    <cellStyle name="Comma 11 2 4 2 2 2 2" xfId="31633"/>
    <cellStyle name="Comma 11 2 4 2 2 2 3" xfId="31634"/>
    <cellStyle name="Comma 11 2 4 2 2 3" xfId="31635"/>
    <cellStyle name="Comma 11 2 4 2 2 3 2" xfId="31636"/>
    <cellStyle name="Comma 11 2 4 2 2 3 3" xfId="31637"/>
    <cellStyle name="Comma 11 2 4 2 2 4" xfId="31638"/>
    <cellStyle name="Comma 11 2 4 2 2 4 2" xfId="31639"/>
    <cellStyle name="Comma 11 2 4 2 2 5" xfId="31640"/>
    <cellStyle name="Comma 11 2 4 2 2 6" xfId="31641"/>
    <cellStyle name="Comma 11 2 4 2 3" xfId="31642"/>
    <cellStyle name="Comma 11 2 4 2 3 2" xfId="31643"/>
    <cellStyle name="Comma 11 2 4 2 3 2 2" xfId="31644"/>
    <cellStyle name="Comma 11 2 4 2 3 2 3" xfId="31645"/>
    <cellStyle name="Comma 11 2 4 2 3 3" xfId="31646"/>
    <cellStyle name="Comma 11 2 4 2 3 3 2" xfId="31647"/>
    <cellStyle name="Comma 11 2 4 2 3 3 3" xfId="31648"/>
    <cellStyle name="Comma 11 2 4 2 3 4" xfId="31649"/>
    <cellStyle name="Comma 11 2 4 2 3 4 2" xfId="31650"/>
    <cellStyle name="Comma 11 2 4 2 3 5" xfId="31651"/>
    <cellStyle name="Comma 11 2 4 2 3 6" xfId="31652"/>
    <cellStyle name="Comma 11 2 4 2 4" xfId="31653"/>
    <cellStyle name="Comma 11 2 4 2 4 2" xfId="31654"/>
    <cellStyle name="Comma 11 2 4 2 4 2 2" xfId="31655"/>
    <cellStyle name="Comma 11 2 4 2 4 2 3" xfId="31656"/>
    <cellStyle name="Comma 11 2 4 2 4 3" xfId="31657"/>
    <cellStyle name="Comma 11 2 4 2 4 3 2" xfId="31658"/>
    <cellStyle name="Comma 11 2 4 2 4 4" xfId="31659"/>
    <cellStyle name="Comma 11 2 4 2 4 5" xfId="31660"/>
    <cellStyle name="Comma 11 2 4 2 5" xfId="31661"/>
    <cellStyle name="Comma 11 2 4 2 5 2" xfId="31662"/>
    <cellStyle name="Comma 11 2 4 2 5 3" xfId="31663"/>
    <cellStyle name="Comma 11 2 4 2 6" xfId="31664"/>
    <cellStyle name="Comma 11 2 4 2 6 2" xfId="31665"/>
    <cellStyle name="Comma 11 2 4 2 6 3" xfId="31666"/>
    <cellStyle name="Comma 11 2 4 2 7" xfId="31667"/>
    <cellStyle name="Comma 11 2 4 2 7 2" xfId="31668"/>
    <cellStyle name="Comma 11 2 4 2 8" xfId="31669"/>
    <cellStyle name="Comma 11 2 4 2 9" xfId="31670"/>
    <cellStyle name="Comma 11 2 4 3" xfId="31671"/>
    <cellStyle name="Comma 11 2 4 3 2" xfId="31672"/>
    <cellStyle name="Comma 11 2 4 3 2 2" xfId="31673"/>
    <cellStyle name="Comma 11 2 4 3 2 3" xfId="31674"/>
    <cellStyle name="Comma 11 2 4 3 3" xfId="31675"/>
    <cellStyle name="Comma 11 2 4 3 3 2" xfId="31676"/>
    <cellStyle name="Comma 11 2 4 3 3 3" xfId="31677"/>
    <cellStyle name="Comma 11 2 4 3 4" xfId="31678"/>
    <cellStyle name="Comma 11 2 4 3 4 2" xfId="31679"/>
    <cellStyle name="Comma 11 2 4 3 5" xfId="31680"/>
    <cellStyle name="Comma 11 2 4 3 6" xfId="31681"/>
    <cellStyle name="Comma 11 2 4 4" xfId="31682"/>
    <cellStyle name="Comma 11 2 4 4 2" xfId="31683"/>
    <cellStyle name="Comma 11 2 4 4 2 2" xfId="31684"/>
    <cellStyle name="Comma 11 2 4 4 2 3" xfId="31685"/>
    <cellStyle name="Comma 11 2 4 4 3" xfId="31686"/>
    <cellStyle name="Comma 11 2 4 4 3 2" xfId="31687"/>
    <cellStyle name="Comma 11 2 4 4 3 3" xfId="31688"/>
    <cellStyle name="Comma 11 2 4 4 4" xfId="31689"/>
    <cellStyle name="Comma 11 2 4 4 4 2" xfId="31690"/>
    <cellStyle name="Comma 11 2 4 4 5" xfId="31691"/>
    <cellStyle name="Comma 11 2 4 4 6" xfId="31692"/>
    <cellStyle name="Comma 11 2 4 5" xfId="31693"/>
    <cellStyle name="Comma 11 2 4 5 2" xfId="31694"/>
    <cellStyle name="Comma 11 2 4 5 2 2" xfId="31695"/>
    <cellStyle name="Comma 11 2 4 5 2 3" xfId="31696"/>
    <cellStyle name="Comma 11 2 4 5 3" xfId="31697"/>
    <cellStyle name="Comma 11 2 4 5 3 2" xfId="31698"/>
    <cellStyle name="Comma 11 2 4 5 4" xfId="31699"/>
    <cellStyle name="Comma 11 2 4 5 5" xfId="31700"/>
    <cellStyle name="Comma 11 2 4 6" xfId="31701"/>
    <cellStyle name="Comma 11 2 4 6 2" xfId="31702"/>
    <cellStyle name="Comma 11 2 4 6 3" xfId="31703"/>
    <cellStyle name="Comma 11 2 4 7" xfId="31704"/>
    <cellStyle name="Comma 11 2 4 7 2" xfId="31705"/>
    <cellStyle name="Comma 11 2 4 7 3" xfId="31706"/>
    <cellStyle name="Comma 11 2 4 8" xfId="31707"/>
    <cellStyle name="Comma 11 2 4 8 2" xfId="31708"/>
    <cellStyle name="Comma 11 2 4 9" xfId="31709"/>
    <cellStyle name="Comma 11 2 5" xfId="31710"/>
    <cellStyle name="Comma 11 2 5 2" xfId="31711"/>
    <cellStyle name="Comma 11 2 5 2 2" xfId="31712"/>
    <cellStyle name="Comma 11 2 5 2 2 2" xfId="31713"/>
    <cellStyle name="Comma 11 2 5 2 2 3" xfId="31714"/>
    <cellStyle name="Comma 11 2 5 2 3" xfId="31715"/>
    <cellStyle name="Comma 11 2 5 2 3 2" xfId="31716"/>
    <cellStyle name="Comma 11 2 5 2 3 3" xfId="31717"/>
    <cellStyle name="Comma 11 2 5 2 4" xfId="31718"/>
    <cellStyle name="Comma 11 2 5 2 4 2" xfId="31719"/>
    <cellStyle name="Comma 11 2 5 2 5" xfId="31720"/>
    <cellStyle name="Comma 11 2 5 2 6" xfId="31721"/>
    <cellStyle name="Comma 11 2 5 3" xfId="31722"/>
    <cellStyle name="Comma 11 2 5 3 2" xfId="31723"/>
    <cellStyle name="Comma 11 2 5 3 2 2" xfId="31724"/>
    <cellStyle name="Comma 11 2 5 3 2 3" xfId="31725"/>
    <cellStyle name="Comma 11 2 5 3 3" xfId="31726"/>
    <cellStyle name="Comma 11 2 5 3 3 2" xfId="31727"/>
    <cellStyle name="Comma 11 2 5 3 3 3" xfId="31728"/>
    <cellStyle name="Comma 11 2 5 3 4" xfId="31729"/>
    <cellStyle name="Comma 11 2 5 3 4 2" xfId="31730"/>
    <cellStyle name="Comma 11 2 5 3 5" xfId="31731"/>
    <cellStyle name="Comma 11 2 5 3 6" xfId="31732"/>
    <cellStyle name="Comma 11 2 5 4" xfId="31733"/>
    <cellStyle name="Comma 11 2 5 4 2" xfId="31734"/>
    <cellStyle name="Comma 11 2 5 4 2 2" xfId="31735"/>
    <cellStyle name="Comma 11 2 5 4 2 3" xfId="31736"/>
    <cellStyle name="Comma 11 2 5 4 3" xfId="31737"/>
    <cellStyle name="Comma 11 2 5 4 3 2" xfId="31738"/>
    <cellStyle name="Comma 11 2 5 4 4" xfId="31739"/>
    <cellStyle name="Comma 11 2 5 4 5" xfId="31740"/>
    <cellStyle name="Comma 11 2 5 5" xfId="31741"/>
    <cellStyle name="Comma 11 2 5 5 2" xfId="31742"/>
    <cellStyle name="Comma 11 2 5 5 3" xfId="31743"/>
    <cellStyle name="Comma 11 2 5 6" xfId="31744"/>
    <cellStyle name="Comma 11 2 5 6 2" xfId="31745"/>
    <cellStyle name="Comma 11 2 5 6 3" xfId="31746"/>
    <cellStyle name="Comma 11 2 5 7" xfId="31747"/>
    <cellStyle name="Comma 11 2 5 7 2" xfId="31748"/>
    <cellStyle name="Comma 11 2 5 8" xfId="31749"/>
    <cellStyle name="Comma 11 2 5 9" xfId="31750"/>
    <cellStyle name="Comma 11 2 6" xfId="31751"/>
    <cellStyle name="Comma 11 2 6 2" xfId="31752"/>
    <cellStyle name="Comma 11 2 6 2 2" xfId="31753"/>
    <cellStyle name="Comma 11 2 6 2 2 2" xfId="31754"/>
    <cellStyle name="Comma 11 2 6 2 2 3" xfId="31755"/>
    <cellStyle name="Comma 11 2 6 2 3" xfId="31756"/>
    <cellStyle name="Comma 11 2 6 2 3 2" xfId="31757"/>
    <cellStyle name="Comma 11 2 6 2 3 3" xfId="31758"/>
    <cellStyle name="Comma 11 2 6 2 4" xfId="31759"/>
    <cellStyle name="Comma 11 2 6 2 4 2" xfId="31760"/>
    <cellStyle name="Comma 11 2 6 2 5" xfId="31761"/>
    <cellStyle name="Comma 11 2 6 2 6" xfId="31762"/>
    <cellStyle name="Comma 11 2 6 3" xfId="31763"/>
    <cellStyle name="Comma 11 2 6 3 2" xfId="31764"/>
    <cellStyle name="Comma 11 2 6 3 2 2" xfId="31765"/>
    <cellStyle name="Comma 11 2 6 3 2 3" xfId="31766"/>
    <cellStyle name="Comma 11 2 6 3 3" xfId="31767"/>
    <cellStyle name="Comma 11 2 6 3 3 2" xfId="31768"/>
    <cellStyle name="Comma 11 2 6 3 3 3" xfId="31769"/>
    <cellStyle name="Comma 11 2 6 3 4" xfId="31770"/>
    <cellStyle name="Comma 11 2 6 3 4 2" xfId="31771"/>
    <cellStyle name="Comma 11 2 6 3 5" xfId="31772"/>
    <cellStyle name="Comma 11 2 6 3 6" xfId="31773"/>
    <cellStyle name="Comma 11 2 6 4" xfId="31774"/>
    <cellStyle name="Comma 11 2 6 4 2" xfId="31775"/>
    <cellStyle name="Comma 11 2 6 4 2 2" xfId="31776"/>
    <cellStyle name="Comma 11 2 6 4 2 3" xfId="31777"/>
    <cellStyle name="Comma 11 2 6 4 3" xfId="31778"/>
    <cellStyle name="Comma 11 2 6 4 3 2" xfId="31779"/>
    <cellStyle name="Comma 11 2 6 4 4" xfId="31780"/>
    <cellStyle name="Comma 11 2 6 4 5" xfId="31781"/>
    <cellStyle name="Comma 11 2 6 5" xfId="31782"/>
    <cellStyle name="Comma 11 2 6 5 2" xfId="31783"/>
    <cellStyle name="Comma 11 2 6 5 3" xfId="31784"/>
    <cellStyle name="Comma 11 2 6 6" xfId="31785"/>
    <cellStyle name="Comma 11 2 6 6 2" xfId="31786"/>
    <cellStyle name="Comma 11 2 6 6 3" xfId="31787"/>
    <cellStyle name="Comma 11 2 6 7" xfId="31788"/>
    <cellStyle name="Comma 11 2 6 7 2" xfId="31789"/>
    <cellStyle name="Comma 11 2 6 8" xfId="31790"/>
    <cellStyle name="Comma 11 2 6 9" xfId="31791"/>
    <cellStyle name="Comma 11 2 7" xfId="31792"/>
    <cellStyle name="Comma 11 2 7 2" xfId="31793"/>
    <cellStyle name="Comma 11 2 7 2 2" xfId="31794"/>
    <cellStyle name="Comma 11 2 7 2 3" xfId="31795"/>
    <cellStyle name="Comma 11 2 7 3" xfId="31796"/>
    <cellStyle name="Comma 11 2 7 3 2" xfId="31797"/>
    <cellStyle name="Comma 11 2 7 3 3" xfId="31798"/>
    <cellStyle name="Comma 11 2 7 4" xfId="31799"/>
    <cellStyle name="Comma 11 2 7 4 2" xfId="31800"/>
    <cellStyle name="Comma 11 2 7 5" xfId="31801"/>
    <cellStyle name="Comma 11 2 7 6" xfId="31802"/>
    <cellStyle name="Comma 11 2 8" xfId="31803"/>
    <cellStyle name="Comma 11 2 8 2" xfId="31804"/>
    <cellStyle name="Comma 11 2 8 2 2" xfId="31805"/>
    <cellStyle name="Comma 11 2 8 2 3" xfId="31806"/>
    <cellStyle name="Comma 11 2 8 3" xfId="31807"/>
    <cellStyle name="Comma 11 2 8 3 2" xfId="31808"/>
    <cellStyle name="Comma 11 2 8 3 3" xfId="31809"/>
    <cellStyle name="Comma 11 2 8 4" xfId="31810"/>
    <cellStyle name="Comma 11 2 8 4 2" xfId="31811"/>
    <cellStyle name="Comma 11 2 8 5" xfId="31812"/>
    <cellStyle name="Comma 11 2 8 6" xfId="31813"/>
    <cellStyle name="Comma 11 2 9" xfId="31814"/>
    <cellStyle name="Comma 11 2 9 2" xfId="31815"/>
    <cellStyle name="Comma 11 2 9 2 2" xfId="31816"/>
    <cellStyle name="Comma 11 2 9 2 3" xfId="31817"/>
    <cellStyle name="Comma 11 2 9 3" xfId="31818"/>
    <cellStyle name="Comma 11 2 9 3 2" xfId="31819"/>
    <cellStyle name="Comma 11 2 9 4" xfId="31820"/>
    <cellStyle name="Comma 11 2 9 5" xfId="31821"/>
    <cellStyle name="Comma 11 3" xfId="8218"/>
    <cellStyle name="Comma 11 3 10" xfId="31822"/>
    <cellStyle name="Comma 11 3 10 2" xfId="31823"/>
    <cellStyle name="Comma 11 3 10 3" xfId="31824"/>
    <cellStyle name="Comma 11 3 11" xfId="31825"/>
    <cellStyle name="Comma 11 3 11 2" xfId="31826"/>
    <cellStyle name="Comma 11 3 12" xfId="31827"/>
    <cellStyle name="Comma 11 3 13" xfId="31828"/>
    <cellStyle name="Comma 11 3 14" xfId="31829"/>
    <cellStyle name="Comma 11 3 2" xfId="8219"/>
    <cellStyle name="Comma 11 3 2 10" xfId="31830"/>
    <cellStyle name="Comma 11 3 2 10 2" xfId="31831"/>
    <cellStyle name="Comma 11 3 2 11" xfId="31832"/>
    <cellStyle name="Comma 11 3 2 12" xfId="31833"/>
    <cellStyle name="Comma 11 3 2 13" xfId="31834"/>
    <cellStyle name="Comma 11 3 2 2" xfId="8220"/>
    <cellStyle name="Comma 11 3 2 2 10" xfId="31835"/>
    <cellStyle name="Comma 11 3 2 2 11" xfId="31836"/>
    <cellStyle name="Comma 11 3 2 2 2" xfId="31837"/>
    <cellStyle name="Comma 11 3 2 2 2 2" xfId="31838"/>
    <cellStyle name="Comma 11 3 2 2 2 2 2" xfId="31839"/>
    <cellStyle name="Comma 11 3 2 2 2 2 2 2" xfId="31840"/>
    <cellStyle name="Comma 11 3 2 2 2 2 2 3" xfId="31841"/>
    <cellStyle name="Comma 11 3 2 2 2 2 3" xfId="31842"/>
    <cellStyle name="Comma 11 3 2 2 2 2 3 2" xfId="31843"/>
    <cellStyle name="Comma 11 3 2 2 2 2 3 3" xfId="31844"/>
    <cellStyle name="Comma 11 3 2 2 2 2 4" xfId="31845"/>
    <cellStyle name="Comma 11 3 2 2 2 2 4 2" xfId="31846"/>
    <cellStyle name="Comma 11 3 2 2 2 2 5" xfId="31847"/>
    <cellStyle name="Comma 11 3 2 2 2 2 6" xfId="31848"/>
    <cellStyle name="Comma 11 3 2 2 2 3" xfId="31849"/>
    <cellStyle name="Comma 11 3 2 2 2 3 2" xfId="31850"/>
    <cellStyle name="Comma 11 3 2 2 2 3 2 2" xfId="31851"/>
    <cellStyle name="Comma 11 3 2 2 2 3 2 3" xfId="31852"/>
    <cellStyle name="Comma 11 3 2 2 2 3 3" xfId="31853"/>
    <cellStyle name="Comma 11 3 2 2 2 3 3 2" xfId="31854"/>
    <cellStyle name="Comma 11 3 2 2 2 3 3 3" xfId="31855"/>
    <cellStyle name="Comma 11 3 2 2 2 3 4" xfId="31856"/>
    <cellStyle name="Comma 11 3 2 2 2 3 4 2" xfId="31857"/>
    <cellStyle name="Comma 11 3 2 2 2 3 5" xfId="31858"/>
    <cellStyle name="Comma 11 3 2 2 2 3 6" xfId="31859"/>
    <cellStyle name="Comma 11 3 2 2 2 4" xfId="31860"/>
    <cellStyle name="Comma 11 3 2 2 2 4 2" xfId="31861"/>
    <cellStyle name="Comma 11 3 2 2 2 4 2 2" xfId="31862"/>
    <cellStyle name="Comma 11 3 2 2 2 4 2 3" xfId="31863"/>
    <cellStyle name="Comma 11 3 2 2 2 4 3" xfId="31864"/>
    <cellStyle name="Comma 11 3 2 2 2 4 3 2" xfId="31865"/>
    <cellStyle name="Comma 11 3 2 2 2 4 4" xfId="31866"/>
    <cellStyle name="Comma 11 3 2 2 2 4 5" xfId="31867"/>
    <cellStyle name="Comma 11 3 2 2 2 5" xfId="31868"/>
    <cellStyle name="Comma 11 3 2 2 2 5 2" xfId="31869"/>
    <cellStyle name="Comma 11 3 2 2 2 5 3" xfId="31870"/>
    <cellStyle name="Comma 11 3 2 2 2 6" xfId="31871"/>
    <cellStyle name="Comma 11 3 2 2 2 6 2" xfId="31872"/>
    <cellStyle name="Comma 11 3 2 2 2 6 3" xfId="31873"/>
    <cellStyle name="Comma 11 3 2 2 2 7" xfId="31874"/>
    <cellStyle name="Comma 11 3 2 2 2 7 2" xfId="31875"/>
    <cellStyle name="Comma 11 3 2 2 2 8" xfId="31876"/>
    <cellStyle name="Comma 11 3 2 2 2 9" xfId="31877"/>
    <cellStyle name="Comma 11 3 2 2 3" xfId="31878"/>
    <cellStyle name="Comma 11 3 2 2 3 2" xfId="31879"/>
    <cellStyle name="Comma 11 3 2 2 3 2 2" xfId="31880"/>
    <cellStyle name="Comma 11 3 2 2 3 2 3" xfId="31881"/>
    <cellStyle name="Comma 11 3 2 2 3 3" xfId="31882"/>
    <cellStyle name="Comma 11 3 2 2 3 3 2" xfId="31883"/>
    <cellStyle name="Comma 11 3 2 2 3 3 3" xfId="31884"/>
    <cellStyle name="Comma 11 3 2 2 3 4" xfId="31885"/>
    <cellStyle name="Comma 11 3 2 2 3 4 2" xfId="31886"/>
    <cellStyle name="Comma 11 3 2 2 3 5" xfId="31887"/>
    <cellStyle name="Comma 11 3 2 2 3 6" xfId="31888"/>
    <cellStyle name="Comma 11 3 2 2 4" xfId="31889"/>
    <cellStyle name="Comma 11 3 2 2 4 2" xfId="31890"/>
    <cellStyle name="Comma 11 3 2 2 4 2 2" xfId="31891"/>
    <cellStyle name="Comma 11 3 2 2 4 2 3" xfId="31892"/>
    <cellStyle name="Comma 11 3 2 2 4 3" xfId="31893"/>
    <cellStyle name="Comma 11 3 2 2 4 3 2" xfId="31894"/>
    <cellStyle name="Comma 11 3 2 2 4 3 3" xfId="31895"/>
    <cellStyle name="Comma 11 3 2 2 4 4" xfId="31896"/>
    <cellStyle name="Comma 11 3 2 2 4 4 2" xfId="31897"/>
    <cellStyle name="Comma 11 3 2 2 4 5" xfId="31898"/>
    <cellStyle name="Comma 11 3 2 2 4 6" xfId="31899"/>
    <cellStyle name="Comma 11 3 2 2 5" xfId="31900"/>
    <cellStyle name="Comma 11 3 2 2 5 2" xfId="31901"/>
    <cellStyle name="Comma 11 3 2 2 5 2 2" xfId="31902"/>
    <cellStyle name="Comma 11 3 2 2 5 2 3" xfId="31903"/>
    <cellStyle name="Comma 11 3 2 2 5 3" xfId="31904"/>
    <cellStyle name="Comma 11 3 2 2 5 3 2" xfId="31905"/>
    <cellStyle name="Comma 11 3 2 2 5 4" xfId="31906"/>
    <cellStyle name="Comma 11 3 2 2 5 5" xfId="31907"/>
    <cellStyle name="Comma 11 3 2 2 6" xfId="31908"/>
    <cellStyle name="Comma 11 3 2 2 6 2" xfId="31909"/>
    <cellStyle name="Comma 11 3 2 2 6 3" xfId="31910"/>
    <cellStyle name="Comma 11 3 2 2 7" xfId="31911"/>
    <cellStyle name="Comma 11 3 2 2 7 2" xfId="31912"/>
    <cellStyle name="Comma 11 3 2 2 7 3" xfId="31913"/>
    <cellStyle name="Comma 11 3 2 2 8" xfId="31914"/>
    <cellStyle name="Comma 11 3 2 2 8 2" xfId="31915"/>
    <cellStyle name="Comma 11 3 2 2 9" xfId="31916"/>
    <cellStyle name="Comma 11 3 2 3" xfId="31917"/>
    <cellStyle name="Comma 11 3 2 3 2" xfId="31918"/>
    <cellStyle name="Comma 11 3 2 3 2 2" xfId="31919"/>
    <cellStyle name="Comma 11 3 2 3 2 2 2" xfId="31920"/>
    <cellStyle name="Comma 11 3 2 3 2 2 3" xfId="31921"/>
    <cellStyle name="Comma 11 3 2 3 2 3" xfId="31922"/>
    <cellStyle name="Comma 11 3 2 3 2 3 2" xfId="31923"/>
    <cellStyle name="Comma 11 3 2 3 2 3 3" xfId="31924"/>
    <cellStyle name="Comma 11 3 2 3 2 4" xfId="31925"/>
    <cellStyle name="Comma 11 3 2 3 2 4 2" xfId="31926"/>
    <cellStyle name="Comma 11 3 2 3 2 5" xfId="31927"/>
    <cellStyle name="Comma 11 3 2 3 2 6" xfId="31928"/>
    <cellStyle name="Comma 11 3 2 3 3" xfId="31929"/>
    <cellStyle name="Comma 11 3 2 3 3 2" xfId="31930"/>
    <cellStyle name="Comma 11 3 2 3 3 2 2" xfId="31931"/>
    <cellStyle name="Comma 11 3 2 3 3 2 3" xfId="31932"/>
    <cellStyle name="Comma 11 3 2 3 3 3" xfId="31933"/>
    <cellStyle name="Comma 11 3 2 3 3 3 2" xfId="31934"/>
    <cellStyle name="Comma 11 3 2 3 3 3 3" xfId="31935"/>
    <cellStyle name="Comma 11 3 2 3 3 4" xfId="31936"/>
    <cellStyle name="Comma 11 3 2 3 3 4 2" xfId="31937"/>
    <cellStyle name="Comma 11 3 2 3 3 5" xfId="31938"/>
    <cellStyle name="Comma 11 3 2 3 3 6" xfId="31939"/>
    <cellStyle name="Comma 11 3 2 3 4" xfId="31940"/>
    <cellStyle name="Comma 11 3 2 3 4 2" xfId="31941"/>
    <cellStyle name="Comma 11 3 2 3 4 2 2" xfId="31942"/>
    <cellStyle name="Comma 11 3 2 3 4 2 3" xfId="31943"/>
    <cellStyle name="Comma 11 3 2 3 4 3" xfId="31944"/>
    <cellStyle name="Comma 11 3 2 3 4 3 2" xfId="31945"/>
    <cellStyle name="Comma 11 3 2 3 4 4" xfId="31946"/>
    <cellStyle name="Comma 11 3 2 3 4 5" xfId="31947"/>
    <cellStyle name="Comma 11 3 2 3 5" xfId="31948"/>
    <cellStyle name="Comma 11 3 2 3 5 2" xfId="31949"/>
    <cellStyle name="Comma 11 3 2 3 5 3" xfId="31950"/>
    <cellStyle name="Comma 11 3 2 3 6" xfId="31951"/>
    <cellStyle name="Comma 11 3 2 3 6 2" xfId="31952"/>
    <cellStyle name="Comma 11 3 2 3 6 3" xfId="31953"/>
    <cellStyle name="Comma 11 3 2 3 7" xfId="31954"/>
    <cellStyle name="Comma 11 3 2 3 7 2" xfId="31955"/>
    <cellStyle name="Comma 11 3 2 3 8" xfId="31956"/>
    <cellStyle name="Comma 11 3 2 3 9" xfId="31957"/>
    <cellStyle name="Comma 11 3 2 4" xfId="31958"/>
    <cellStyle name="Comma 11 3 2 4 2" xfId="31959"/>
    <cellStyle name="Comma 11 3 2 4 2 2" xfId="31960"/>
    <cellStyle name="Comma 11 3 2 4 2 2 2" xfId="31961"/>
    <cellStyle name="Comma 11 3 2 4 2 2 3" xfId="31962"/>
    <cellStyle name="Comma 11 3 2 4 2 3" xfId="31963"/>
    <cellStyle name="Comma 11 3 2 4 2 3 2" xfId="31964"/>
    <cellStyle name="Comma 11 3 2 4 2 3 3" xfId="31965"/>
    <cellStyle name="Comma 11 3 2 4 2 4" xfId="31966"/>
    <cellStyle name="Comma 11 3 2 4 2 4 2" xfId="31967"/>
    <cellStyle name="Comma 11 3 2 4 2 5" xfId="31968"/>
    <cellStyle name="Comma 11 3 2 4 2 6" xfId="31969"/>
    <cellStyle name="Comma 11 3 2 4 3" xfId="31970"/>
    <cellStyle name="Comma 11 3 2 4 3 2" xfId="31971"/>
    <cellStyle name="Comma 11 3 2 4 3 2 2" xfId="31972"/>
    <cellStyle name="Comma 11 3 2 4 3 2 3" xfId="31973"/>
    <cellStyle name="Comma 11 3 2 4 3 3" xfId="31974"/>
    <cellStyle name="Comma 11 3 2 4 3 3 2" xfId="31975"/>
    <cellStyle name="Comma 11 3 2 4 3 3 3" xfId="31976"/>
    <cellStyle name="Comma 11 3 2 4 3 4" xfId="31977"/>
    <cellStyle name="Comma 11 3 2 4 3 4 2" xfId="31978"/>
    <cellStyle name="Comma 11 3 2 4 3 5" xfId="31979"/>
    <cellStyle name="Comma 11 3 2 4 3 6" xfId="31980"/>
    <cellStyle name="Comma 11 3 2 4 4" xfId="31981"/>
    <cellStyle name="Comma 11 3 2 4 4 2" xfId="31982"/>
    <cellStyle name="Comma 11 3 2 4 4 2 2" xfId="31983"/>
    <cellStyle name="Comma 11 3 2 4 4 2 3" xfId="31984"/>
    <cellStyle name="Comma 11 3 2 4 4 3" xfId="31985"/>
    <cellStyle name="Comma 11 3 2 4 4 3 2" xfId="31986"/>
    <cellStyle name="Comma 11 3 2 4 4 4" xfId="31987"/>
    <cellStyle name="Comma 11 3 2 4 4 5" xfId="31988"/>
    <cellStyle name="Comma 11 3 2 4 5" xfId="31989"/>
    <cellStyle name="Comma 11 3 2 4 5 2" xfId="31990"/>
    <cellStyle name="Comma 11 3 2 4 5 3" xfId="31991"/>
    <cellStyle name="Comma 11 3 2 4 6" xfId="31992"/>
    <cellStyle name="Comma 11 3 2 4 6 2" xfId="31993"/>
    <cellStyle name="Comma 11 3 2 4 6 3" xfId="31994"/>
    <cellStyle name="Comma 11 3 2 4 7" xfId="31995"/>
    <cellStyle name="Comma 11 3 2 4 7 2" xfId="31996"/>
    <cellStyle name="Comma 11 3 2 4 8" xfId="31997"/>
    <cellStyle name="Comma 11 3 2 4 9" xfId="31998"/>
    <cellStyle name="Comma 11 3 2 5" xfId="31999"/>
    <cellStyle name="Comma 11 3 2 5 2" xfId="32000"/>
    <cellStyle name="Comma 11 3 2 5 2 2" xfId="32001"/>
    <cellStyle name="Comma 11 3 2 5 2 3" xfId="32002"/>
    <cellStyle name="Comma 11 3 2 5 3" xfId="32003"/>
    <cellStyle name="Comma 11 3 2 5 3 2" xfId="32004"/>
    <cellStyle name="Comma 11 3 2 5 3 3" xfId="32005"/>
    <cellStyle name="Comma 11 3 2 5 4" xfId="32006"/>
    <cellStyle name="Comma 11 3 2 5 4 2" xfId="32007"/>
    <cellStyle name="Comma 11 3 2 5 5" xfId="32008"/>
    <cellStyle name="Comma 11 3 2 5 6" xfId="32009"/>
    <cellStyle name="Comma 11 3 2 6" xfId="32010"/>
    <cellStyle name="Comma 11 3 2 6 2" xfId="32011"/>
    <cellStyle name="Comma 11 3 2 6 2 2" xfId="32012"/>
    <cellStyle name="Comma 11 3 2 6 2 3" xfId="32013"/>
    <cellStyle name="Comma 11 3 2 6 3" xfId="32014"/>
    <cellStyle name="Comma 11 3 2 6 3 2" xfId="32015"/>
    <cellStyle name="Comma 11 3 2 6 3 3" xfId="32016"/>
    <cellStyle name="Comma 11 3 2 6 4" xfId="32017"/>
    <cellStyle name="Comma 11 3 2 6 4 2" xfId="32018"/>
    <cellStyle name="Comma 11 3 2 6 5" xfId="32019"/>
    <cellStyle name="Comma 11 3 2 6 6" xfId="32020"/>
    <cellStyle name="Comma 11 3 2 7" xfId="32021"/>
    <cellStyle name="Comma 11 3 2 7 2" xfId="32022"/>
    <cellStyle name="Comma 11 3 2 7 2 2" xfId="32023"/>
    <cellStyle name="Comma 11 3 2 7 2 3" xfId="32024"/>
    <cellStyle name="Comma 11 3 2 7 3" xfId="32025"/>
    <cellStyle name="Comma 11 3 2 7 3 2" xfId="32026"/>
    <cellStyle name="Comma 11 3 2 7 4" xfId="32027"/>
    <cellStyle name="Comma 11 3 2 7 5" xfId="32028"/>
    <cellStyle name="Comma 11 3 2 8" xfId="32029"/>
    <cellStyle name="Comma 11 3 2 8 2" xfId="32030"/>
    <cellStyle name="Comma 11 3 2 8 3" xfId="32031"/>
    <cellStyle name="Comma 11 3 2 9" xfId="32032"/>
    <cellStyle name="Comma 11 3 2 9 2" xfId="32033"/>
    <cellStyle name="Comma 11 3 2 9 3" xfId="32034"/>
    <cellStyle name="Comma 11 3 3" xfId="8221"/>
    <cellStyle name="Comma 11 3 3 10" xfId="32035"/>
    <cellStyle name="Comma 11 3 3 11" xfId="32036"/>
    <cellStyle name="Comma 11 3 3 2" xfId="32037"/>
    <cellStyle name="Comma 11 3 3 2 2" xfId="32038"/>
    <cellStyle name="Comma 11 3 3 2 2 2" xfId="32039"/>
    <cellStyle name="Comma 11 3 3 2 2 2 2" xfId="32040"/>
    <cellStyle name="Comma 11 3 3 2 2 2 3" xfId="32041"/>
    <cellStyle name="Comma 11 3 3 2 2 3" xfId="32042"/>
    <cellStyle name="Comma 11 3 3 2 2 3 2" xfId="32043"/>
    <cellStyle name="Comma 11 3 3 2 2 3 3" xfId="32044"/>
    <cellStyle name="Comma 11 3 3 2 2 4" xfId="32045"/>
    <cellStyle name="Comma 11 3 3 2 2 4 2" xfId="32046"/>
    <cellStyle name="Comma 11 3 3 2 2 5" xfId="32047"/>
    <cellStyle name="Comma 11 3 3 2 2 6" xfId="32048"/>
    <cellStyle name="Comma 11 3 3 2 3" xfId="32049"/>
    <cellStyle name="Comma 11 3 3 2 3 2" xfId="32050"/>
    <cellStyle name="Comma 11 3 3 2 3 2 2" xfId="32051"/>
    <cellStyle name="Comma 11 3 3 2 3 2 3" xfId="32052"/>
    <cellStyle name="Comma 11 3 3 2 3 3" xfId="32053"/>
    <cellStyle name="Comma 11 3 3 2 3 3 2" xfId="32054"/>
    <cellStyle name="Comma 11 3 3 2 3 3 3" xfId="32055"/>
    <cellStyle name="Comma 11 3 3 2 3 4" xfId="32056"/>
    <cellStyle name="Comma 11 3 3 2 3 4 2" xfId="32057"/>
    <cellStyle name="Comma 11 3 3 2 3 5" xfId="32058"/>
    <cellStyle name="Comma 11 3 3 2 3 6" xfId="32059"/>
    <cellStyle name="Comma 11 3 3 2 4" xfId="32060"/>
    <cellStyle name="Comma 11 3 3 2 4 2" xfId="32061"/>
    <cellStyle name="Comma 11 3 3 2 4 2 2" xfId="32062"/>
    <cellStyle name="Comma 11 3 3 2 4 2 3" xfId="32063"/>
    <cellStyle name="Comma 11 3 3 2 4 3" xfId="32064"/>
    <cellStyle name="Comma 11 3 3 2 4 3 2" xfId="32065"/>
    <cellStyle name="Comma 11 3 3 2 4 4" xfId="32066"/>
    <cellStyle name="Comma 11 3 3 2 4 5" xfId="32067"/>
    <cellStyle name="Comma 11 3 3 2 5" xfId="32068"/>
    <cellStyle name="Comma 11 3 3 2 5 2" xfId="32069"/>
    <cellStyle name="Comma 11 3 3 2 5 3" xfId="32070"/>
    <cellStyle name="Comma 11 3 3 2 6" xfId="32071"/>
    <cellStyle name="Comma 11 3 3 2 6 2" xfId="32072"/>
    <cellStyle name="Comma 11 3 3 2 6 3" xfId="32073"/>
    <cellStyle name="Comma 11 3 3 2 7" xfId="32074"/>
    <cellStyle name="Comma 11 3 3 2 7 2" xfId="32075"/>
    <cellStyle name="Comma 11 3 3 2 8" xfId="32076"/>
    <cellStyle name="Comma 11 3 3 2 9" xfId="32077"/>
    <cellStyle name="Comma 11 3 3 3" xfId="32078"/>
    <cellStyle name="Comma 11 3 3 3 2" xfId="32079"/>
    <cellStyle name="Comma 11 3 3 3 2 2" xfId="32080"/>
    <cellStyle name="Comma 11 3 3 3 2 3" xfId="32081"/>
    <cellStyle name="Comma 11 3 3 3 3" xfId="32082"/>
    <cellStyle name="Comma 11 3 3 3 3 2" xfId="32083"/>
    <cellStyle name="Comma 11 3 3 3 3 3" xfId="32084"/>
    <cellStyle name="Comma 11 3 3 3 4" xfId="32085"/>
    <cellStyle name="Comma 11 3 3 3 4 2" xfId="32086"/>
    <cellStyle name="Comma 11 3 3 3 5" xfId="32087"/>
    <cellStyle name="Comma 11 3 3 3 6" xfId="32088"/>
    <cellStyle name="Comma 11 3 3 4" xfId="32089"/>
    <cellStyle name="Comma 11 3 3 4 2" xfId="32090"/>
    <cellStyle name="Comma 11 3 3 4 2 2" xfId="32091"/>
    <cellStyle name="Comma 11 3 3 4 2 3" xfId="32092"/>
    <cellStyle name="Comma 11 3 3 4 3" xfId="32093"/>
    <cellStyle name="Comma 11 3 3 4 3 2" xfId="32094"/>
    <cellStyle name="Comma 11 3 3 4 3 3" xfId="32095"/>
    <cellStyle name="Comma 11 3 3 4 4" xfId="32096"/>
    <cellStyle name="Comma 11 3 3 4 4 2" xfId="32097"/>
    <cellStyle name="Comma 11 3 3 4 5" xfId="32098"/>
    <cellStyle name="Comma 11 3 3 4 6" xfId="32099"/>
    <cellStyle name="Comma 11 3 3 5" xfId="32100"/>
    <cellStyle name="Comma 11 3 3 5 2" xfId="32101"/>
    <cellStyle name="Comma 11 3 3 5 2 2" xfId="32102"/>
    <cellStyle name="Comma 11 3 3 5 2 3" xfId="32103"/>
    <cellStyle name="Comma 11 3 3 5 3" xfId="32104"/>
    <cellStyle name="Comma 11 3 3 5 3 2" xfId="32105"/>
    <cellStyle name="Comma 11 3 3 5 4" xfId="32106"/>
    <cellStyle name="Comma 11 3 3 5 5" xfId="32107"/>
    <cellStyle name="Comma 11 3 3 6" xfId="32108"/>
    <cellStyle name="Comma 11 3 3 6 2" xfId="32109"/>
    <cellStyle name="Comma 11 3 3 6 3" xfId="32110"/>
    <cellStyle name="Comma 11 3 3 7" xfId="32111"/>
    <cellStyle name="Comma 11 3 3 7 2" xfId="32112"/>
    <cellStyle name="Comma 11 3 3 7 3" xfId="32113"/>
    <cellStyle name="Comma 11 3 3 8" xfId="32114"/>
    <cellStyle name="Comma 11 3 3 8 2" xfId="32115"/>
    <cellStyle name="Comma 11 3 3 9" xfId="32116"/>
    <cellStyle name="Comma 11 3 4" xfId="32117"/>
    <cellStyle name="Comma 11 3 4 2" xfId="32118"/>
    <cellStyle name="Comma 11 3 4 2 2" xfId="32119"/>
    <cellStyle name="Comma 11 3 4 2 2 2" xfId="32120"/>
    <cellStyle name="Comma 11 3 4 2 2 3" xfId="32121"/>
    <cellStyle name="Comma 11 3 4 2 3" xfId="32122"/>
    <cellStyle name="Comma 11 3 4 2 3 2" xfId="32123"/>
    <cellStyle name="Comma 11 3 4 2 3 3" xfId="32124"/>
    <cellStyle name="Comma 11 3 4 2 4" xfId="32125"/>
    <cellStyle name="Comma 11 3 4 2 4 2" xfId="32126"/>
    <cellStyle name="Comma 11 3 4 2 5" xfId="32127"/>
    <cellStyle name="Comma 11 3 4 2 6" xfId="32128"/>
    <cellStyle name="Comma 11 3 4 3" xfId="32129"/>
    <cellStyle name="Comma 11 3 4 3 2" xfId="32130"/>
    <cellStyle name="Comma 11 3 4 3 2 2" xfId="32131"/>
    <cellStyle name="Comma 11 3 4 3 2 3" xfId="32132"/>
    <cellStyle name="Comma 11 3 4 3 3" xfId="32133"/>
    <cellStyle name="Comma 11 3 4 3 3 2" xfId="32134"/>
    <cellStyle name="Comma 11 3 4 3 3 3" xfId="32135"/>
    <cellStyle name="Comma 11 3 4 3 4" xfId="32136"/>
    <cellStyle name="Comma 11 3 4 3 4 2" xfId="32137"/>
    <cellStyle name="Comma 11 3 4 3 5" xfId="32138"/>
    <cellStyle name="Comma 11 3 4 3 6" xfId="32139"/>
    <cellStyle name="Comma 11 3 4 4" xfId="32140"/>
    <cellStyle name="Comma 11 3 4 4 2" xfId="32141"/>
    <cellStyle name="Comma 11 3 4 4 2 2" xfId="32142"/>
    <cellStyle name="Comma 11 3 4 4 2 3" xfId="32143"/>
    <cellStyle name="Comma 11 3 4 4 3" xfId="32144"/>
    <cellStyle name="Comma 11 3 4 4 3 2" xfId="32145"/>
    <cellStyle name="Comma 11 3 4 4 4" xfId="32146"/>
    <cellStyle name="Comma 11 3 4 4 5" xfId="32147"/>
    <cellStyle name="Comma 11 3 4 5" xfId="32148"/>
    <cellStyle name="Comma 11 3 4 5 2" xfId="32149"/>
    <cellStyle name="Comma 11 3 4 5 3" xfId="32150"/>
    <cellStyle name="Comma 11 3 4 6" xfId="32151"/>
    <cellStyle name="Comma 11 3 4 6 2" xfId="32152"/>
    <cellStyle name="Comma 11 3 4 6 3" xfId="32153"/>
    <cellStyle name="Comma 11 3 4 7" xfId="32154"/>
    <cellStyle name="Comma 11 3 4 7 2" xfId="32155"/>
    <cellStyle name="Comma 11 3 4 8" xfId="32156"/>
    <cellStyle name="Comma 11 3 4 9" xfId="32157"/>
    <cellStyle name="Comma 11 3 5" xfId="32158"/>
    <cellStyle name="Comma 11 3 5 2" xfId="32159"/>
    <cellStyle name="Comma 11 3 5 2 2" xfId="32160"/>
    <cellStyle name="Comma 11 3 5 2 2 2" xfId="32161"/>
    <cellStyle name="Comma 11 3 5 2 2 3" xfId="32162"/>
    <cellStyle name="Comma 11 3 5 2 3" xfId="32163"/>
    <cellStyle name="Comma 11 3 5 2 3 2" xfId="32164"/>
    <cellStyle name="Comma 11 3 5 2 3 3" xfId="32165"/>
    <cellStyle name="Comma 11 3 5 2 4" xfId="32166"/>
    <cellStyle name="Comma 11 3 5 2 4 2" xfId="32167"/>
    <cellStyle name="Comma 11 3 5 2 5" xfId="32168"/>
    <cellStyle name="Comma 11 3 5 2 6" xfId="32169"/>
    <cellStyle name="Comma 11 3 5 3" xfId="32170"/>
    <cellStyle name="Comma 11 3 5 3 2" xfId="32171"/>
    <cellStyle name="Comma 11 3 5 3 2 2" xfId="32172"/>
    <cellStyle name="Comma 11 3 5 3 2 3" xfId="32173"/>
    <cellStyle name="Comma 11 3 5 3 3" xfId="32174"/>
    <cellStyle name="Comma 11 3 5 3 3 2" xfId="32175"/>
    <cellStyle name="Comma 11 3 5 3 3 3" xfId="32176"/>
    <cellStyle name="Comma 11 3 5 3 4" xfId="32177"/>
    <cellStyle name="Comma 11 3 5 3 4 2" xfId="32178"/>
    <cellStyle name="Comma 11 3 5 3 5" xfId="32179"/>
    <cellStyle name="Comma 11 3 5 3 6" xfId="32180"/>
    <cellStyle name="Comma 11 3 5 4" xfId="32181"/>
    <cellStyle name="Comma 11 3 5 4 2" xfId="32182"/>
    <cellStyle name="Comma 11 3 5 4 2 2" xfId="32183"/>
    <cellStyle name="Comma 11 3 5 4 2 3" xfId="32184"/>
    <cellStyle name="Comma 11 3 5 4 3" xfId="32185"/>
    <cellStyle name="Comma 11 3 5 4 3 2" xfId="32186"/>
    <cellStyle name="Comma 11 3 5 4 4" xfId="32187"/>
    <cellStyle name="Comma 11 3 5 4 5" xfId="32188"/>
    <cellStyle name="Comma 11 3 5 5" xfId="32189"/>
    <cellStyle name="Comma 11 3 5 5 2" xfId="32190"/>
    <cellStyle name="Comma 11 3 5 5 3" xfId="32191"/>
    <cellStyle name="Comma 11 3 5 6" xfId="32192"/>
    <cellStyle name="Comma 11 3 5 6 2" xfId="32193"/>
    <cellStyle name="Comma 11 3 5 6 3" xfId="32194"/>
    <cellStyle name="Comma 11 3 5 7" xfId="32195"/>
    <cellStyle name="Comma 11 3 5 7 2" xfId="32196"/>
    <cellStyle name="Comma 11 3 5 8" xfId="32197"/>
    <cellStyle name="Comma 11 3 5 9" xfId="32198"/>
    <cellStyle name="Comma 11 3 6" xfId="32199"/>
    <cellStyle name="Comma 11 3 6 2" xfId="32200"/>
    <cellStyle name="Comma 11 3 6 2 2" xfId="32201"/>
    <cellStyle name="Comma 11 3 6 2 3" xfId="32202"/>
    <cellStyle name="Comma 11 3 6 3" xfId="32203"/>
    <cellStyle name="Comma 11 3 6 3 2" xfId="32204"/>
    <cellStyle name="Comma 11 3 6 3 3" xfId="32205"/>
    <cellStyle name="Comma 11 3 6 4" xfId="32206"/>
    <cellStyle name="Comma 11 3 6 4 2" xfId="32207"/>
    <cellStyle name="Comma 11 3 6 5" xfId="32208"/>
    <cellStyle name="Comma 11 3 6 6" xfId="32209"/>
    <cellStyle name="Comma 11 3 7" xfId="32210"/>
    <cellStyle name="Comma 11 3 7 2" xfId="32211"/>
    <cellStyle name="Comma 11 3 7 2 2" xfId="32212"/>
    <cellStyle name="Comma 11 3 7 2 3" xfId="32213"/>
    <cellStyle name="Comma 11 3 7 3" xfId="32214"/>
    <cellStyle name="Comma 11 3 7 3 2" xfId="32215"/>
    <cellStyle name="Comma 11 3 7 3 3" xfId="32216"/>
    <cellStyle name="Comma 11 3 7 4" xfId="32217"/>
    <cellStyle name="Comma 11 3 7 4 2" xfId="32218"/>
    <cellStyle name="Comma 11 3 7 5" xfId="32219"/>
    <cellStyle name="Comma 11 3 7 6" xfId="32220"/>
    <cellStyle name="Comma 11 3 8" xfId="32221"/>
    <cellStyle name="Comma 11 3 8 2" xfId="32222"/>
    <cellStyle name="Comma 11 3 8 2 2" xfId="32223"/>
    <cellStyle name="Comma 11 3 8 2 3" xfId="32224"/>
    <cellStyle name="Comma 11 3 8 3" xfId="32225"/>
    <cellStyle name="Comma 11 3 8 3 2" xfId="32226"/>
    <cellStyle name="Comma 11 3 8 4" xfId="32227"/>
    <cellStyle name="Comma 11 3 8 5" xfId="32228"/>
    <cellStyle name="Comma 11 3 9" xfId="32229"/>
    <cellStyle name="Comma 11 3 9 2" xfId="32230"/>
    <cellStyle name="Comma 11 3 9 3" xfId="32231"/>
    <cellStyle name="Comma 11 4" xfId="8222"/>
    <cellStyle name="Comma 11 4 10" xfId="32232"/>
    <cellStyle name="Comma 11 4 10 2" xfId="32233"/>
    <cellStyle name="Comma 11 4 11" xfId="32234"/>
    <cellStyle name="Comma 11 4 12" xfId="32235"/>
    <cellStyle name="Comma 11 4 13" xfId="32236"/>
    <cellStyle name="Comma 11 4 2" xfId="8223"/>
    <cellStyle name="Comma 11 4 2 10" xfId="32237"/>
    <cellStyle name="Comma 11 4 2 11" xfId="32238"/>
    <cellStyle name="Comma 11 4 2 2" xfId="32239"/>
    <cellStyle name="Comma 11 4 2 2 2" xfId="32240"/>
    <cellStyle name="Comma 11 4 2 2 2 2" xfId="32241"/>
    <cellStyle name="Comma 11 4 2 2 2 2 2" xfId="32242"/>
    <cellStyle name="Comma 11 4 2 2 2 2 3" xfId="32243"/>
    <cellStyle name="Comma 11 4 2 2 2 3" xfId="32244"/>
    <cellStyle name="Comma 11 4 2 2 2 3 2" xfId="32245"/>
    <cellStyle name="Comma 11 4 2 2 2 3 3" xfId="32246"/>
    <cellStyle name="Comma 11 4 2 2 2 4" xfId="32247"/>
    <cellStyle name="Comma 11 4 2 2 2 4 2" xfId="32248"/>
    <cellStyle name="Comma 11 4 2 2 2 5" xfId="32249"/>
    <cellStyle name="Comma 11 4 2 2 2 6" xfId="32250"/>
    <cellStyle name="Comma 11 4 2 2 3" xfId="32251"/>
    <cellStyle name="Comma 11 4 2 2 3 2" xfId="32252"/>
    <cellStyle name="Comma 11 4 2 2 3 2 2" xfId="32253"/>
    <cellStyle name="Comma 11 4 2 2 3 2 3" xfId="32254"/>
    <cellStyle name="Comma 11 4 2 2 3 3" xfId="32255"/>
    <cellStyle name="Comma 11 4 2 2 3 3 2" xfId="32256"/>
    <cellStyle name="Comma 11 4 2 2 3 3 3" xfId="32257"/>
    <cellStyle name="Comma 11 4 2 2 3 4" xfId="32258"/>
    <cellStyle name="Comma 11 4 2 2 3 4 2" xfId="32259"/>
    <cellStyle name="Comma 11 4 2 2 3 5" xfId="32260"/>
    <cellStyle name="Comma 11 4 2 2 3 6" xfId="32261"/>
    <cellStyle name="Comma 11 4 2 2 4" xfId="32262"/>
    <cellStyle name="Comma 11 4 2 2 4 2" xfId="32263"/>
    <cellStyle name="Comma 11 4 2 2 4 2 2" xfId="32264"/>
    <cellStyle name="Comma 11 4 2 2 4 2 3" xfId="32265"/>
    <cellStyle name="Comma 11 4 2 2 4 3" xfId="32266"/>
    <cellStyle name="Comma 11 4 2 2 4 3 2" xfId="32267"/>
    <cellStyle name="Comma 11 4 2 2 4 4" xfId="32268"/>
    <cellStyle name="Comma 11 4 2 2 4 5" xfId="32269"/>
    <cellStyle name="Comma 11 4 2 2 5" xfId="32270"/>
    <cellStyle name="Comma 11 4 2 2 5 2" xfId="32271"/>
    <cellStyle name="Comma 11 4 2 2 5 3" xfId="32272"/>
    <cellStyle name="Comma 11 4 2 2 6" xfId="32273"/>
    <cellStyle name="Comma 11 4 2 2 6 2" xfId="32274"/>
    <cellStyle name="Comma 11 4 2 2 6 3" xfId="32275"/>
    <cellStyle name="Comma 11 4 2 2 7" xfId="32276"/>
    <cellStyle name="Comma 11 4 2 2 7 2" xfId="32277"/>
    <cellStyle name="Comma 11 4 2 2 8" xfId="32278"/>
    <cellStyle name="Comma 11 4 2 2 9" xfId="32279"/>
    <cellStyle name="Comma 11 4 2 3" xfId="32280"/>
    <cellStyle name="Comma 11 4 2 3 2" xfId="32281"/>
    <cellStyle name="Comma 11 4 2 3 2 2" xfId="32282"/>
    <cellStyle name="Comma 11 4 2 3 2 3" xfId="32283"/>
    <cellStyle name="Comma 11 4 2 3 3" xfId="32284"/>
    <cellStyle name="Comma 11 4 2 3 3 2" xfId="32285"/>
    <cellStyle name="Comma 11 4 2 3 3 3" xfId="32286"/>
    <cellStyle name="Comma 11 4 2 3 4" xfId="32287"/>
    <cellStyle name="Comma 11 4 2 3 4 2" xfId="32288"/>
    <cellStyle name="Comma 11 4 2 3 5" xfId="32289"/>
    <cellStyle name="Comma 11 4 2 3 6" xfId="32290"/>
    <cellStyle name="Comma 11 4 2 4" xfId="32291"/>
    <cellStyle name="Comma 11 4 2 4 2" xfId="32292"/>
    <cellStyle name="Comma 11 4 2 4 2 2" xfId="32293"/>
    <cellStyle name="Comma 11 4 2 4 2 3" xfId="32294"/>
    <cellStyle name="Comma 11 4 2 4 3" xfId="32295"/>
    <cellStyle name="Comma 11 4 2 4 3 2" xfId="32296"/>
    <cellStyle name="Comma 11 4 2 4 3 3" xfId="32297"/>
    <cellStyle name="Comma 11 4 2 4 4" xfId="32298"/>
    <cellStyle name="Comma 11 4 2 4 4 2" xfId="32299"/>
    <cellStyle name="Comma 11 4 2 4 5" xfId="32300"/>
    <cellStyle name="Comma 11 4 2 4 6" xfId="32301"/>
    <cellStyle name="Comma 11 4 2 5" xfId="32302"/>
    <cellStyle name="Comma 11 4 2 5 2" xfId="32303"/>
    <cellStyle name="Comma 11 4 2 5 2 2" xfId="32304"/>
    <cellStyle name="Comma 11 4 2 5 2 3" xfId="32305"/>
    <cellStyle name="Comma 11 4 2 5 3" xfId="32306"/>
    <cellStyle name="Comma 11 4 2 5 3 2" xfId="32307"/>
    <cellStyle name="Comma 11 4 2 5 4" xfId="32308"/>
    <cellStyle name="Comma 11 4 2 5 5" xfId="32309"/>
    <cellStyle name="Comma 11 4 2 6" xfId="32310"/>
    <cellStyle name="Comma 11 4 2 6 2" xfId="32311"/>
    <cellStyle name="Comma 11 4 2 6 3" xfId="32312"/>
    <cellStyle name="Comma 11 4 2 7" xfId="32313"/>
    <cellStyle name="Comma 11 4 2 7 2" xfId="32314"/>
    <cellStyle name="Comma 11 4 2 7 3" xfId="32315"/>
    <cellStyle name="Comma 11 4 2 8" xfId="32316"/>
    <cellStyle name="Comma 11 4 2 8 2" xfId="32317"/>
    <cellStyle name="Comma 11 4 2 9" xfId="32318"/>
    <cellStyle name="Comma 11 4 3" xfId="32319"/>
    <cellStyle name="Comma 11 4 3 2" xfId="32320"/>
    <cellStyle name="Comma 11 4 3 2 2" xfId="32321"/>
    <cellStyle name="Comma 11 4 3 2 2 2" xfId="32322"/>
    <cellStyle name="Comma 11 4 3 2 2 3" xfId="32323"/>
    <cellStyle name="Comma 11 4 3 2 3" xfId="32324"/>
    <cellStyle name="Comma 11 4 3 2 3 2" xfId="32325"/>
    <cellStyle name="Comma 11 4 3 2 3 3" xfId="32326"/>
    <cellStyle name="Comma 11 4 3 2 4" xfId="32327"/>
    <cellStyle name="Comma 11 4 3 2 4 2" xfId="32328"/>
    <cellStyle name="Comma 11 4 3 2 5" xfId="32329"/>
    <cellStyle name="Comma 11 4 3 2 6" xfId="32330"/>
    <cellStyle name="Comma 11 4 3 3" xfId="32331"/>
    <cellStyle name="Comma 11 4 3 3 2" xfId="32332"/>
    <cellStyle name="Comma 11 4 3 3 2 2" xfId="32333"/>
    <cellStyle name="Comma 11 4 3 3 2 3" xfId="32334"/>
    <cellStyle name="Comma 11 4 3 3 3" xfId="32335"/>
    <cellStyle name="Comma 11 4 3 3 3 2" xfId="32336"/>
    <cellStyle name="Comma 11 4 3 3 3 3" xfId="32337"/>
    <cellStyle name="Comma 11 4 3 3 4" xfId="32338"/>
    <cellStyle name="Comma 11 4 3 3 4 2" xfId="32339"/>
    <cellStyle name="Comma 11 4 3 3 5" xfId="32340"/>
    <cellStyle name="Comma 11 4 3 3 6" xfId="32341"/>
    <cellStyle name="Comma 11 4 3 4" xfId="32342"/>
    <cellStyle name="Comma 11 4 3 4 2" xfId="32343"/>
    <cellStyle name="Comma 11 4 3 4 2 2" xfId="32344"/>
    <cellStyle name="Comma 11 4 3 4 2 3" xfId="32345"/>
    <cellStyle name="Comma 11 4 3 4 3" xfId="32346"/>
    <cellStyle name="Comma 11 4 3 4 3 2" xfId="32347"/>
    <cellStyle name="Comma 11 4 3 4 4" xfId="32348"/>
    <cellStyle name="Comma 11 4 3 4 5" xfId="32349"/>
    <cellStyle name="Comma 11 4 3 5" xfId="32350"/>
    <cellStyle name="Comma 11 4 3 5 2" xfId="32351"/>
    <cellStyle name="Comma 11 4 3 5 3" xfId="32352"/>
    <cellStyle name="Comma 11 4 3 6" xfId="32353"/>
    <cellStyle name="Comma 11 4 3 6 2" xfId="32354"/>
    <cellStyle name="Comma 11 4 3 6 3" xfId="32355"/>
    <cellStyle name="Comma 11 4 3 7" xfId="32356"/>
    <cellStyle name="Comma 11 4 3 7 2" xfId="32357"/>
    <cellStyle name="Comma 11 4 3 8" xfId="32358"/>
    <cellStyle name="Comma 11 4 3 9" xfId="32359"/>
    <cellStyle name="Comma 11 4 4" xfId="32360"/>
    <cellStyle name="Comma 11 4 4 2" xfId="32361"/>
    <cellStyle name="Comma 11 4 4 2 2" xfId="32362"/>
    <cellStyle name="Comma 11 4 4 2 2 2" xfId="32363"/>
    <cellStyle name="Comma 11 4 4 2 2 3" xfId="32364"/>
    <cellStyle name="Comma 11 4 4 2 3" xfId="32365"/>
    <cellStyle name="Comma 11 4 4 2 3 2" xfId="32366"/>
    <cellStyle name="Comma 11 4 4 2 3 3" xfId="32367"/>
    <cellStyle name="Comma 11 4 4 2 4" xfId="32368"/>
    <cellStyle name="Comma 11 4 4 2 4 2" xfId="32369"/>
    <cellStyle name="Comma 11 4 4 2 5" xfId="32370"/>
    <cellStyle name="Comma 11 4 4 2 6" xfId="32371"/>
    <cellStyle name="Comma 11 4 4 3" xfId="32372"/>
    <cellStyle name="Comma 11 4 4 3 2" xfId="32373"/>
    <cellStyle name="Comma 11 4 4 3 2 2" xfId="32374"/>
    <cellStyle name="Comma 11 4 4 3 2 3" xfId="32375"/>
    <cellStyle name="Comma 11 4 4 3 3" xfId="32376"/>
    <cellStyle name="Comma 11 4 4 3 3 2" xfId="32377"/>
    <cellStyle name="Comma 11 4 4 3 3 3" xfId="32378"/>
    <cellStyle name="Comma 11 4 4 3 4" xfId="32379"/>
    <cellStyle name="Comma 11 4 4 3 4 2" xfId="32380"/>
    <cellStyle name="Comma 11 4 4 3 5" xfId="32381"/>
    <cellStyle name="Comma 11 4 4 3 6" xfId="32382"/>
    <cellStyle name="Comma 11 4 4 4" xfId="32383"/>
    <cellStyle name="Comma 11 4 4 4 2" xfId="32384"/>
    <cellStyle name="Comma 11 4 4 4 2 2" xfId="32385"/>
    <cellStyle name="Comma 11 4 4 4 2 3" xfId="32386"/>
    <cellStyle name="Comma 11 4 4 4 3" xfId="32387"/>
    <cellStyle name="Comma 11 4 4 4 3 2" xfId="32388"/>
    <cellStyle name="Comma 11 4 4 4 4" xfId="32389"/>
    <cellStyle name="Comma 11 4 4 4 5" xfId="32390"/>
    <cellStyle name="Comma 11 4 4 5" xfId="32391"/>
    <cellStyle name="Comma 11 4 4 5 2" xfId="32392"/>
    <cellStyle name="Comma 11 4 4 5 3" xfId="32393"/>
    <cellStyle name="Comma 11 4 4 6" xfId="32394"/>
    <cellStyle name="Comma 11 4 4 6 2" xfId="32395"/>
    <cellStyle name="Comma 11 4 4 6 3" xfId="32396"/>
    <cellStyle name="Comma 11 4 4 7" xfId="32397"/>
    <cellStyle name="Comma 11 4 4 7 2" xfId="32398"/>
    <cellStyle name="Comma 11 4 4 8" xfId="32399"/>
    <cellStyle name="Comma 11 4 4 9" xfId="32400"/>
    <cellStyle name="Comma 11 4 5" xfId="32401"/>
    <cellStyle name="Comma 11 4 5 2" xfId="32402"/>
    <cellStyle name="Comma 11 4 5 2 2" xfId="32403"/>
    <cellStyle name="Comma 11 4 5 2 3" xfId="32404"/>
    <cellStyle name="Comma 11 4 5 3" xfId="32405"/>
    <cellStyle name="Comma 11 4 5 3 2" xfId="32406"/>
    <cellStyle name="Comma 11 4 5 3 3" xfId="32407"/>
    <cellStyle name="Comma 11 4 5 4" xfId="32408"/>
    <cellStyle name="Comma 11 4 5 4 2" xfId="32409"/>
    <cellStyle name="Comma 11 4 5 5" xfId="32410"/>
    <cellStyle name="Comma 11 4 5 6" xfId="32411"/>
    <cellStyle name="Comma 11 4 6" xfId="32412"/>
    <cellStyle name="Comma 11 4 6 2" xfId="32413"/>
    <cellStyle name="Comma 11 4 6 2 2" xfId="32414"/>
    <cellStyle name="Comma 11 4 6 2 3" xfId="32415"/>
    <cellStyle name="Comma 11 4 6 3" xfId="32416"/>
    <cellStyle name="Comma 11 4 6 3 2" xfId="32417"/>
    <cellStyle name="Comma 11 4 6 3 3" xfId="32418"/>
    <cellStyle name="Comma 11 4 6 4" xfId="32419"/>
    <cellStyle name="Comma 11 4 6 4 2" xfId="32420"/>
    <cellStyle name="Comma 11 4 6 5" xfId="32421"/>
    <cellStyle name="Comma 11 4 6 6" xfId="32422"/>
    <cellStyle name="Comma 11 4 7" xfId="32423"/>
    <cellStyle name="Comma 11 4 7 2" xfId="32424"/>
    <cellStyle name="Comma 11 4 7 2 2" xfId="32425"/>
    <cellStyle name="Comma 11 4 7 2 3" xfId="32426"/>
    <cellStyle name="Comma 11 4 7 3" xfId="32427"/>
    <cellStyle name="Comma 11 4 7 3 2" xfId="32428"/>
    <cellStyle name="Comma 11 4 7 4" xfId="32429"/>
    <cellStyle name="Comma 11 4 7 5" xfId="32430"/>
    <cellStyle name="Comma 11 4 8" xfId="32431"/>
    <cellStyle name="Comma 11 4 8 2" xfId="32432"/>
    <cellStyle name="Comma 11 4 8 3" xfId="32433"/>
    <cellStyle name="Comma 11 4 9" xfId="32434"/>
    <cellStyle name="Comma 11 4 9 2" xfId="32435"/>
    <cellStyle name="Comma 11 4 9 3" xfId="32436"/>
    <cellStyle name="Comma 11 5" xfId="8224"/>
    <cellStyle name="Comma 11 5 10" xfId="32437"/>
    <cellStyle name="Comma 11 5 11" xfId="32438"/>
    <cellStyle name="Comma 11 5 2" xfId="8225"/>
    <cellStyle name="Comma 11 5 2 10" xfId="32439"/>
    <cellStyle name="Comma 11 5 2 2" xfId="32440"/>
    <cellStyle name="Comma 11 5 2 2 2" xfId="32441"/>
    <cellStyle name="Comma 11 5 2 2 2 2" xfId="32442"/>
    <cellStyle name="Comma 11 5 2 2 2 3" xfId="32443"/>
    <cellStyle name="Comma 11 5 2 2 3" xfId="32444"/>
    <cellStyle name="Comma 11 5 2 2 3 2" xfId="32445"/>
    <cellStyle name="Comma 11 5 2 2 3 3" xfId="32446"/>
    <cellStyle name="Comma 11 5 2 2 4" xfId="32447"/>
    <cellStyle name="Comma 11 5 2 2 4 2" xfId="32448"/>
    <cellStyle name="Comma 11 5 2 2 5" xfId="32449"/>
    <cellStyle name="Comma 11 5 2 2 6" xfId="32450"/>
    <cellStyle name="Comma 11 5 2 3" xfId="32451"/>
    <cellStyle name="Comma 11 5 2 3 2" xfId="32452"/>
    <cellStyle name="Comma 11 5 2 3 2 2" xfId="32453"/>
    <cellStyle name="Comma 11 5 2 3 2 3" xfId="32454"/>
    <cellStyle name="Comma 11 5 2 3 3" xfId="32455"/>
    <cellStyle name="Comma 11 5 2 3 3 2" xfId="32456"/>
    <cellStyle name="Comma 11 5 2 3 3 3" xfId="32457"/>
    <cellStyle name="Comma 11 5 2 3 4" xfId="32458"/>
    <cellStyle name="Comma 11 5 2 3 4 2" xfId="32459"/>
    <cellStyle name="Comma 11 5 2 3 5" xfId="32460"/>
    <cellStyle name="Comma 11 5 2 3 6" xfId="32461"/>
    <cellStyle name="Comma 11 5 2 4" xfId="32462"/>
    <cellStyle name="Comma 11 5 2 4 2" xfId="32463"/>
    <cellStyle name="Comma 11 5 2 4 2 2" xfId="32464"/>
    <cellStyle name="Comma 11 5 2 4 2 3" xfId="32465"/>
    <cellStyle name="Comma 11 5 2 4 3" xfId="32466"/>
    <cellStyle name="Comma 11 5 2 4 3 2" xfId="32467"/>
    <cellStyle name="Comma 11 5 2 4 4" xfId="32468"/>
    <cellStyle name="Comma 11 5 2 4 5" xfId="32469"/>
    <cellStyle name="Comma 11 5 2 5" xfId="32470"/>
    <cellStyle name="Comma 11 5 2 5 2" xfId="32471"/>
    <cellStyle name="Comma 11 5 2 5 3" xfId="32472"/>
    <cellStyle name="Comma 11 5 2 6" xfId="32473"/>
    <cellStyle name="Comma 11 5 2 6 2" xfId="32474"/>
    <cellStyle name="Comma 11 5 2 6 3" xfId="32475"/>
    <cellStyle name="Comma 11 5 2 7" xfId="32476"/>
    <cellStyle name="Comma 11 5 2 7 2" xfId="32477"/>
    <cellStyle name="Comma 11 5 2 8" xfId="32478"/>
    <cellStyle name="Comma 11 5 2 9" xfId="32479"/>
    <cellStyle name="Comma 11 5 3" xfId="32480"/>
    <cellStyle name="Comma 11 5 3 2" xfId="32481"/>
    <cellStyle name="Comma 11 5 3 2 2" xfId="32482"/>
    <cellStyle name="Comma 11 5 3 2 3" xfId="32483"/>
    <cellStyle name="Comma 11 5 3 3" xfId="32484"/>
    <cellStyle name="Comma 11 5 3 3 2" xfId="32485"/>
    <cellStyle name="Comma 11 5 3 3 3" xfId="32486"/>
    <cellStyle name="Comma 11 5 3 4" xfId="32487"/>
    <cellStyle name="Comma 11 5 3 4 2" xfId="32488"/>
    <cellStyle name="Comma 11 5 3 5" xfId="32489"/>
    <cellStyle name="Comma 11 5 3 6" xfId="32490"/>
    <cellStyle name="Comma 11 5 4" xfId="32491"/>
    <cellStyle name="Comma 11 5 4 2" xfId="32492"/>
    <cellStyle name="Comma 11 5 4 2 2" xfId="32493"/>
    <cellStyle name="Comma 11 5 4 2 3" xfId="32494"/>
    <cellStyle name="Comma 11 5 4 3" xfId="32495"/>
    <cellStyle name="Comma 11 5 4 3 2" xfId="32496"/>
    <cellStyle name="Comma 11 5 4 3 3" xfId="32497"/>
    <cellStyle name="Comma 11 5 4 4" xfId="32498"/>
    <cellStyle name="Comma 11 5 4 4 2" xfId="32499"/>
    <cellStyle name="Comma 11 5 4 5" xfId="32500"/>
    <cellStyle name="Comma 11 5 4 6" xfId="32501"/>
    <cellStyle name="Comma 11 5 5" xfId="32502"/>
    <cellStyle name="Comma 11 5 5 2" xfId="32503"/>
    <cellStyle name="Comma 11 5 5 2 2" xfId="32504"/>
    <cellStyle name="Comma 11 5 5 2 3" xfId="32505"/>
    <cellStyle name="Comma 11 5 5 3" xfId="32506"/>
    <cellStyle name="Comma 11 5 5 3 2" xfId="32507"/>
    <cellStyle name="Comma 11 5 5 4" xfId="32508"/>
    <cellStyle name="Comma 11 5 5 5" xfId="32509"/>
    <cellStyle name="Comma 11 5 6" xfId="32510"/>
    <cellStyle name="Comma 11 5 6 2" xfId="32511"/>
    <cellStyle name="Comma 11 5 6 3" xfId="32512"/>
    <cellStyle name="Comma 11 5 7" xfId="32513"/>
    <cellStyle name="Comma 11 5 7 2" xfId="32514"/>
    <cellStyle name="Comma 11 5 7 3" xfId="32515"/>
    <cellStyle name="Comma 11 5 8" xfId="32516"/>
    <cellStyle name="Comma 11 5 8 2" xfId="32517"/>
    <cellStyle name="Comma 11 5 9" xfId="32518"/>
    <cellStyle name="Comma 11 6" xfId="8226"/>
    <cellStyle name="Comma 11 6 10" xfId="32519"/>
    <cellStyle name="Comma 11 6 2" xfId="32520"/>
    <cellStyle name="Comma 11 6 2 2" xfId="32521"/>
    <cellStyle name="Comma 11 6 2 2 2" xfId="32522"/>
    <cellStyle name="Comma 11 6 2 2 3" xfId="32523"/>
    <cellStyle name="Comma 11 6 2 3" xfId="32524"/>
    <cellStyle name="Comma 11 6 2 3 2" xfId="32525"/>
    <cellStyle name="Comma 11 6 2 3 3" xfId="32526"/>
    <cellStyle name="Comma 11 6 2 4" xfId="32527"/>
    <cellStyle name="Comma 11 6 2 4 2" xfId="32528"/>
    <cellStyle name="Comma 11 6 2 5" xfId="32529"/>
    <cellStyle name="Comma 11 6 2 6" xfId="32530"/>
    <cellStyle name="Comma 11 6 3" xfId="32531"/>
    <cellStyle name="Comma 11 6 3 2" xfId="32532"/>
    <cellStyle name="Comma 11 6 3 2 2" xfId="32533"/>
    <cellStyle name="Comma 11 6 3 2 3" xfId="32534"/>
    <cellStyle name="Comma 11 6 3 3" xfId="32535"/>
    <cellStyle name="Comma 11 6 3 3 2" xfId="32536"/>
    <cellStyle name="Comma 11 6 3 3 3" xfId="32537"/>
    <cellStyle name="Comma 11 6 3 4" xfId="32538"/>
    <cellStyle name="Comma 11 6 3 4 2" xfId="32539"/>
    <cellStyle name="Comma 11 6 3 5" xfId="32540"/>
    <cellStyle name="Comma 11 6 3 6" xfId="32541"/>
    <cellStyle name="Comma 11 6 4" xfId="32542"/>
    <cellStyle name="Comma 11 6 4 2" xfId="32543"/>
    <cellStyle name="Comma 11 6 4 2 2" xfId="32544"/>
    <cellStyle name="Comma 11 6 4 2 3" xfId="32545"/>
    <cellStyle name="Comma 11 6 4 3" xfId="32546"/>
    <cellStyle name="Comma 11 6 4 3 2" xfId="32547"/>
    <cellStyle name="Comma 11 6 4 4" xfId="32548"/>
    <cellStyle name="Comma 11 6 4 5" xfId="32549"/>
    <cellStyle name="Comma 11 6 5" xfId="32550"/>
    <cellStyle name="Comma 11 6 5 2" xfId="32551"/>
    <cellStyle name="Comma 11 6 5 3" xfId="32552"/>
    <cellStyle name="Comma 11 6 6" xfId="32553"/>
    <cellStyle name="Comma 11 6 6 2" xfId="32554"/>
    <cellStyle name="Comma 11 6 6 3" xfId="32555"/>
    <cellStyle name="Comma 11 6 7" xfId="32556"/>
    <cellStyle name="Comma 11 6 7 2" xfId="32557"/>
    <cellStyle name="Comma 11 6 8" xfId="32558"/>
    <cellStyle name="Comma 11 6 9" xfId="32559"/>
    <cellStyle name="Comma 11 7" xfId="32560"/>
    <cellStyle name="Comma 11 7 2" xfId="32561"/>
    <cellStyle name="Comma 11 7 2 2" xfId="32562"/>
    <cellStyle name="Comma 11 7 2 2 2" xfId="32563"/>
    <cellStyle name="Comma 11 7 2 2 3" xfId="32564"/>
    <cellStyle name="Comma 11 7 2 3" xfId="32565"/>
    <cellStyle name="Comma 11 7 2 3 2" xfId="32566"/>
    <cellStyle name="Comma 11 7 2 3 3" xfId="32567"/>
    <cellStyle name="Comma 11 7 2 4" xfId="32568"/>
    <cellStyle name="Comma 11 7 2 4 2" xfId="32569"/>
    <cellStyle name="Comma 11 7 2 5" xfId="32570"/>
    <cellStyle name="Comma 11 7 2 6" xfId="32571"/>
    <cellStyle name="Comma 11 7 3" xfId="32572"/>
    <cellStyle name="Comma 11 7 3 2" xfId="32573"/>
    <cellStyle name="Comma 11 7 3 2 2" xfId="32574"/>
    <cellStyle name="Comma 11 7 3 2 3" xfId="32575"/>
    <cellStyle name="Comma 11 7 3 3" xfId="32576"/>
    <cellStyle name="Comma 11 7 3 3 2" xfId="32577"/>
    <cellStyle name="Comma 11 7 3 3 3" xfId="32578"/>
    <cellStyle name="Comma 11 7 3 4" xfId="32579"/>
    <cellStyle name="Comma 11 7 3 4 2" xfId="32580"/>
    <cellStyle name="Comma 11 7 3 5" xfId="32581"/>
    <cellStyle name="Comma 11 7 3 6" xfId="32582"/>
    <cellStyle name="Comma 11 7 4" xfId="32583"/>
    <cellStyle name="Comma 11 7 4 2" xfId="32584"/>
    <cellStyle name="Comma 11 7 4 2 2" xfId="32585"/>
    <cellStyle name="Comma 11 7 4 2 3" xfId="32586"/>
    <cellStyle name="Comma 11 7 4 3" xfId="32587"/>
    <cellStyle name="Comma 11 7 4 3 2" xfId="32588"/>
    <cellStyle name="Comma 11 7 4 4" xfId="32589"/>
    <cellStyle name="Comma 11 7 4 5" xfId="32590"/>
    <cellStyle name="Comma 11 7 5" xfId="32591"/>
    <cellStyle name="Comma 11 7 5 2" xfId="32592"/>
    <cellStyle name="Comma 11 7 5 3" xfId="32593"/>
    <cellStyle name="Comma 11 7 6" xfId="32594"/>
    <cellStyle name="Comma 11 7 6 2" xfId="32595"/>
    <cellStyle name="Comma 11 7 6 3" xfId="32596"/>
    <cellStyle name="Comma 11 7 7" xfId="32597"/>
    <cellStyle name="Comma 11 7 7 2" xfId="32598"/>
    <cellStyle name="Comma 11 7 8" xfId="32599"/>
    <cellStyle name="Comma 11 7 9" xfId="32600"/>
    <cellStyle name="Comma 11 8" xfId="32601"/>
    <cellStyle name="Comma 11 8 2" xfId="32602"/>
    <cellStyle name="Comma 11 8 2 2" xfId="32603"/>
    <cellStyle name="Comma 11 8 2 3" xfId="32604"/>
    <cellStyle name="Comma 11 8 3" xfId="32605"/>
    <cellStyle name="Comma 11 8 3 2" xfId="32606"/>
    <cellStyle name="Comma 11 8 3 3" xfId="32607"/>
    <cellStyle name="Comma 11 8 4" xfId="32608"/>
    <cellStyle name="Comma 11 8 4 2" xfId="32609"/>
    <cellStyle name="Comma 11 8 5" xfId="32610"/>
    <cellStyle name="Comma 11 8 6" xfId="32611"/>
    <cellStyle name="Comma 11 9" xfId="32612"/>
    <cellStyle name="Comma 11 9 2" xfId="32613"/>
    <cellStyle name="Comma 11 9 2 2" xfId="32614"/>
    <cellStyle name="Comma 11 9 2 3" xfId="32615"/>
    <cellStyle name="Comma 11 9 3" xfId="32616"/>
    <cellStyle name="Comma 11 9 3 2" xfId="32617"/>
    <cellStyle name="Comma 11 9 3 3" xfId="32618"/>
    <cellStyle name="Comma 11 9 4" xfId="32619"/>
    <cellStyle name="Comma 11 9 4 2" xfId="32620"/>
    <cellStyle name="Comma 11 9 5" xfId="32621"/>
    <cellStyle name="Comma 11 9 6" xfId="32622"/>
    <cellStyle name="Comma 110" xfId="58465"/>
    <cellStyle name="Comma 111" xfId="58466"/>
    <cellStyle name="Comma 112" xfId="58467"/>
    <cellStyle name="Comma 113" xfId="58468"/>
    <cellStyle name="Comma 114" xfId="58469"/>
    <cellStyle name="Comma 115" xfId="58470"/>
    <cellStyle name="Comma 116" xfId="58471"/>
    <cellStyle name="Comma 117" xfId="61975"/>
    <cellStyle name="Comma 12" xfId="3238"/>
    <cellStyle name="Comma 12 10" xfId="32623"/>
    <cellStyle name="Comma 12 10 2" xfId="32624"/>
    <cellStyle name="Comma 12 10 2 2" xfId="32625"/>
    <cellStyle name="Comma 12 10 2 3" xfId="32626"/>
    <cellStyle name="Comma 12 10 3" xfId="32627"/>
    <cellStyle name="Comma 12 10 3 2" xfId="32628"/>
    <cellStyle name="Comma 12 10 4" xfId="32629"/>
    <cellStyle name="Comma 12 10 5" xfId="32630"/>
    <cellStyle name="Comma 12 11" xfId="32631"/>
    <cellStyle name="Comma 12 11 2" xfId="32632"/>
    <cellStyle name="Comma 12 11 3" xfId="32633"/>
    <cellStyle name="Comma 12 12" xfId="32634"/>
    <cellStyle name="Comma 12 12 2" xfId="32635"/>
    <cellStyle name="Comma 12 12 3" xfId="32636"/>
    <cellStyle name="Comma 12 13" xfId="32637"/>
    <cellStyle name="Comma 12 13 2" xfId="32638"/>
    <cellStyle name="Comma 12 14" xfId="32639"/>
    <cellStyle name="Comma 12 15" xfId="32640"/>
    <cellStyle name="Comma 12 16" xfId="32641"/>
    <cellStyle name="Comma 12 2" xfId="3239"/>
    <cellStyle name="Comma 12 2 10" xfId="32642"/>
    <cellStyle name="Comma 12 2 10 2" xfId="32643"/>
    <cellStyle name="Comma 12 2 10 3" xfId="32644"/>
    <cellStyle name="Comma 12 2 11" xfId="32645"/>
    <cellStyle name="Comma 12 2 11 2" xfId="32646"/>
    <cellStyle name="Comma 12 2 11 3" xfId="32647"/>
    <cellStyle name="Comma 12 2 12" xfId="32648"/>
    <cellStyle name="Comma 12 2 12 2" xfId="32649"/>
    <cellStyle name="Comma 12 2 13" xfId="32650"/>
    <cellStyle name="Comma 12 2 14" xfId="32651"/>
    <cellStyle name="Comma 12 2 15" xfId="32652"/>
    <cellStyle name="Comma 12 2 2" xfId="9047"/>
    <cellStyle name="Comma 12 2 2 10" xfId="32653"/>
    <cellStyle name="Comma 12 2 2 10 2" xfId="32654"/>
    <cellStyle name="Comma 12 2 2 10 3" xfId="32655"/>
    <cellStyle name="Comma 12 2 2 11" xfId="32656"/>
    <cellStyle name="Comma 12 2 2 11 2" xfId="32657"/>
    <cellStyle name="Comma 12 2 2 12" xfId="32658"/>
    <cellStyle name="Comma 12 2 2 13" xfId="32659"/>
    <cellStyle name="Comma 12 2 2 2" xfId="32660"/>
    <cellStyle name="Comma 12 2 2 2 10" xfId="32661"/>
    <cellStyle name="Comma 12 2 2 2 10 2" xfId="32662"/>
    <cellStyle name="Comma 12 2 2 2 11" xfId="32663"/>
    <cellStyle name="Comma 12 2 2 2 12" xfId="32664"/>
    <cellStyle name="Comma 12 2 2 2 2" xfId="32665"/>
    <cellStyle name="Comma 12 2 2 2 2 10" xfId="32666"/>
    <cellStyle name="Comma 12 2 2 2 2 2" xfId="32667"/>
    <cellStyle name="Comma 12 2 2 2 2 2 2" xfId="32668"/>
    <cellStyle name="Comma 12 2 2 2 2 2 2 2" xfId="32669"/>
    <cellStyle name="Comma 12 2 2 2 2 2 2 2 2" xfId="32670"/>
    <cellStyle name="Comma 12 2 2 2 2 2 2 2 3" xfId="32671"/>
    <cellStyle name="Comma 12 2 2 2 2 2 2 3" xfId="32672"/>
    <cellStyle name="Comma 12 2 2 2 2 2 2 3 2" xfId="32673"/>
    <cellStyle name="Comma 12 2 2 2 2 2 2 3 3" xfId="32674"/>
    <cellStyle name="Comma 12 2 2 2 2 2 2 4" xfId="32675"/>
    <cellStyle name="Comma 12 2 2 2 2 2 2 4 2" xfId="32676"/>
    <cellStyle name="Comma 12 2 2 2 2 2 2 5" xfId="32677"/>
    <cellStyle name="Comma 12 2 2 2 2 2 2 6" xfId="32678"/>
    <cellStyle name="Comma 12 2 2 2 2 2 3" xfId="32679"/>
    <cellStyle name="Comma 12 2 2 2 2 2 3 2" xfId="32680"/>
    <cellStyle name="Comma 12 2 2 2 2 2 3 2 2" xfId="32681"/>
    <cellStyle name="Comma 12 2 2 2 2 2 3 2 3" xfId="32682"/>
    <cellStyle name="Comma 12 2 2 2 2 2 3 3" xfId="32683"/>
    <cellStyle name="Comma 12 2 2 2 2 2 3 3 2" xfId="32684"/>
    <cellStyle name="Comma 12 2 2 2 2 2 3 3 3" xfId="32685"/>
    <cellStyle name="Comma 12 2 2 2 2 2 3 4" xfId="32686"/>
    <cellStyle name="Comma 12 2 2 2 2 2 3 4 2" xfId="32687"/>
    <cellStyle name="Comma 12 2 2 2 2 2 3 5" xfId="32688"/>
    <cellStyle name="Comma 12 2 2 2 2 2 3 6" xfId="32689"/>
    <cellStyle name="Comma 12 2 2 2 2 2 4" xfId="32690"/>
    <cellStyle name="Comma 12 2 2 2 2 2 4 2" xfId="32691"/>
    <cellStyle name="Comma 12 2 2 2 2 2 4 2 2" xfId="32692"/>
    <cellStyle name="Comma 12 2 2 2 2 2 4 2 3" xfId="32693"/>
    <cellStyle name="Comma 12 2 2 2 2 2 4 3" xfId="32694"/>
    <cellStyle name="Comma 12 2 2 2 2 2 4 3 2" xfId="32695"/>
    <cellStyle name="Comma 12 2 2 2 2 2 4 4" xfId="32696"/>
    <cellStyle name="Comma 12 2 2 2 2 2 4 5" xfId="32697"/>
    <cellStyle name="Comma 12 2 2 2 2 2 5" xfId="32698"/>
    <cellStyle name="Comma 12 2 2 2 2 2 5 2" xfId="32699"/>
    <cellStyle name="Comma 12 2 2 2 2 2 5 3" xfId="32700"/>
    <cellStyle name="Comma 12 2 2 2 2 2 6" xfId="32701"/>
    <cellStyle name="Comma 12 2 2 2 2 2 6 2" xfId="32702"/>
    <cellStyle name="Comma 12 2 2 2 2 2 6 3" xfId="32703"/>
    <cellStyle name="Comma 12 2 2 2 2 2 7" xfId="32704"/>
    <cellStyle name="Comma 12 2 2 2 2 2 7 2" xfId="32705"/>
    <cellStyle name="Comma 12 2 2 2 2 2 8" xfId="32706"/>
    <cellStyle name="Comma 12 2 2 2 2 2 9" xfId="32707"/>
    <cellStyle name="Comma 12 2 2 2 2 3" xfId="32708"/>
    <cellStyle name="Comma 12 2 2 2 2 3 2" xfId="32709"/>
    <cellStyle name="Comma 12 2 2 2 2 3 2 2" xfId="32710"/>
    <cellStyle name="Comma 12 2 2 2 2 3 2 3" xfId="32711"/>
    <cellStyle name="Comma 12 2 2 2 2 3 3" xfId="32712"/>
    <cellStyle name="Comma 12 2 2 2 2 3 3 2" xfId="32713"/>
    <cellStyle name="Comma 12 2 2 2 2 3 3 3" xfId="32714"/>
    <cellStyle name="Comma 12 2 2 2 2 3 4" xfId="32715"/>
    <cellStyle name="Comma 12 2 2 2 2 3 4 2" xfId="32716"/>
    <cellStyle name="Comma 12 2 2 2 2 3 5" xfId="32717"/>
    <cellStyle name="Comma 12 2 2 2 2 3 6" xfId="32718"/>
    <cellStyle name="Comma 12 2 2 2 2 4" xfId="32719"/>
    <cellStyle name="Comma 12 2 2 2 2 4 2" xfId="32720"/>
    <cellStyle name="Comma 12 2 2 2 2 4 2 2" xfId="32721"/>
    <cellStyle name="Comma 12 2 2 2 2 4 2 3" xfId="32722"/>
    <cellStyle name="Comma 12 2 2 2 2 4 3" xfId="32723"/>
    <cellStyle name="Comma 12 2 2 2 2 4 3 2" xfId="32724"/>
    <cellStyle name="Comma 12 2 2 2 2 4 3 3" xfId="32725"/>
    <cellStyle name="Comma 12 2 2 2 2 4 4" xfId="32726"/>
    <cellStyle name="Comma 12 2 2 2 2 4 4 2" xfId="32727"/>
    <cellStyle name="Comma 12 2 2 2 2 4 5" xfId="32728"/>
    <cellStyle name="Comma 12 2 2 2 2 4 6" xfId="32729"/>
    <cellStyle name="Comma 12 2 2 2 2 5" xfId="32730"/>
    <cellStyle name="Comma 12 2 2 2 2 5 2" xfId="32731"/>
    <cellStyle name="Comma 12 2 2 2 2 5 2 2" xfId="32732"/>
    <cellStyle name="Comma 12 2 2 2 2 5 2 3" xfId="32733"/>
    <cellStyle name="Comma 12 2 2 2 2 5 3" xfId="32734"/>
    <cellStyle name="Comma 12 2 2 2 2 5 3 2" xfId="32735"/>
    <cellStyle name="Comma 12 2 2 2 2 5 4" xfId="32736"/>
    <cellStyle name="Comma 12 2 2 2 2 5 5" xfId="32737"/>
    <cellStyle name="Comma 12 2 2 2 2 6" xfId="32738"/>
    <cellStyle name="Comma 12 2 2 2 2 6 2" xfId="32739"/>
    <cellStyle name="Comma 12 2 2 2 2 6 3" xfId="32740"/>
    <cellStyle name="Comma 12 2 2 2 2 7" xfId="32741"/>
    <cellStyle name="Comma 12 2 2 2 2 7 2" xfId="32742"/>
    <cellStyle name="Comma 12 2 2 2 2 7 3" xfId="32743"/>
    <cellStyle name="Comma 12 2 2 2 2 8" xfId="32744"/>
    <cellStyle name="Comma 12 2 2 2 2 8 2" xfId="32745"/>
    <cellStyle name="Comma 12 2 2 2 2 9" xfId="32746"/>
    <cellStyle name="Comma 12 2 2 2 3" xfId="32747"/>
    <cellStyle name="Comma 12 2 2 2 3 2" xfId="32748"/>
    <cellStyle name="Comma 12 2 2 2 3 2 2" xfId="32749"/>
    <cellStyle name="Comma 12 2 2 2 3 2 2 2" xfId="32750"/>
    <cellStyle name="Comma 12 2 2 2 3 2 2 3" xfId="32751"/>
    <cellStyle name="Comma 12 2 2 2 3 2 3" xfId="32752"/>
    <cellStyle name="Comma 12 2 2 2 3 2 3 2" xfId="32753"/>
    <cellStyle name="Comma 12 2 2 2 3 2 3 3" xfId="32754"/>
    <cellStyle name="Comma 12 2 2 2 3 2 4" xfId="32755"/>
    <cellStyle name="Comma 12 2 2 2 3 2 4 2" xfId="32756"/>
    <cellStyle name="Comma 12 2 2 2 3 2 5" xfId="32757"/>
    <cellStyle name="Comma 12 2 2 2 3 2 6" xfId="32758"/>
    <cellStyle name="Comma 12 2 2 2 3 3" xfId="32759"/>
    <cellStyle name="Comma 12 2 2 2 3 3 2" xfId="32760"/>
    <cellStyle name="Comma 12 2 2 2 3 3 2 2" xfId="32761"/>
    <cellStyle name="Comma 12 2 2 2 3 3 2 3" xfId="32762"/>
    <cellStyle name="Comma 12 2 2 2 3 3 3" xfId="32763"/>
    <cellStyle name="Comma 12 2 2 2 3 3 3 2" xfId="32764"/>
    <cellStyle name="Comma 12 2 2 2 3 3 3 3" xfId="32765"/>
    <cellStyle name="Comma 12 2 2 2 3 3 4" xfId="32766"/>
    <cellStyle name="Comma 12 2 2 2 3 3 4 2" xfId="32767"/>
    <cellStyle name="Comma 12 2 2 2 3 3 5" xfId="32768"/>
    <cellStyle name="Comma 12 2 2 2 3 3 6" xfId="32769"/>
    <cellStyle name="Comma 12 2 2 2 3 4" xfId="32770"/>
    <cellStyle name="Comma 12 2 2 2 3 4 2" xfId="32771"/>
    <cellStyle name="Comma 12 2 2 2 3 4 2 2" xfId="32772"/>
    <cellStyle name="Comma 12 2 2 2 3 4 2 3" xfId="32773"/>
    <cellStyle name="Comma 12 2 2 2 3 4 3" xfId="32774"/>
    <cellStyle name="Comma 12 2 2 2 3 4 3 2" xfId="32775"/>
    <cellStyle name="Comma 12 2 2 2 3 4 4" xfId="32776"/>
    <cellStyle name="Comma 12 2 2 2 3 4 5" xfId="32777"/>
    <cellStyle name="Comma 12 2 2 2 3 5" xfId="32778"/>
    <cellStyle name="Comma 12 2 2 2 3 5 2" xfId="32779"/>
    <cellStyle name="Comma 12 2 2 2 3 5 3" xfId="32780"/>
    <cellStyle name="Comma 12 2 2 2 3 6" xfId="32781"/>
    <cellStyle name="Comma 12 2 2 2 3 6 2" xfId="32782"/>
    <cellStyle name="Comma 12 2 2 2 3 6 3" xfId="32783"/>
    <cellStyle name="Comma 12 2 2 2 3 7" xfId="32784"/>
    <cellStyle name="Comma 12 2 2 2 3 7 2" xfId="32785"/>
    <cellStyle name="Comma 12 2 2 2 3 8" xfId="32786"/>
    <cellStyle name="Comma 12 2 2 2 3 9" xfId="32787"/>
    <cellStyle name="Comma 12 2 2 2 4" xfId="32788"/>
    <cellStyle name="Comma 12 2 2 2 4 2" xfId="32789"/>
    <cellStyle name="Comma 12 2 2 2 4 2 2" xfId="32790"/>
    <cellStyle name="Comma 12 2 2 2 4 2 2 2" xfId="32791"/>
    <cellStyle name="Comma 12 2 2 2 4 2 2 3" xfId="32792"/>
    <cellStyle name="Comma 12 2 2 2 4 2 3" xfId="32793"/>
    <cellStyle name="Comma 12 2 2 2 4 2 3 2" xfId="32794"/>
    <cellStyle name="Comma 12 2 2 2 4 2 3 3" xfId="32795"/>
    <cellStyle name="Comma 12 2 2 2 4 2 4" xfId="32796"/>
    <cellStyle name="Comma 12 2 2 2 4 2 4 2" xfId="32797"/>
    <cellStyle name="Comma 12 2 2 2 4 2 5" xfId="32798"/>
    <cellStyle name="Comma 12 2 2 2 4 2 6" xfId="32799"/>
    <cellStyle name="Comma 12 2 2 2 4 3" xfId="32800"/>
    <cellStyle name="Comma 12 2 2 2 4 3 2" xfId="32801"/>
    <cellStyle name="Comma 12 2 2 2 4 3 2 2" xfId="32802"/>
    <cellStyle name="Comma 12 2 2 2 4 3 2 3" xfId="32803"/>
    <cellStyle name="Comma 12 2 2 2 4 3 3" xfId="32804"/>
    <cellStyle name="Comma 12 2 2 2 4 3 3 2" xfId="32805"/>
    <cellStyle name="Comma 12 2 2 2 4 3 3 3" xfId="32806"/>
    <cellStyle name="Comma 12 2 2 2 4 3 4" xfId="32807"/>
    <cellStyle name="Comma 12 2 2 2 4 3 4 2" xfId="32808"/>
    <cellStyle name="Comma 12 2 2 2 4 3 5" xfId="32809"/>
    <cellStyle name="Comma 12 2 2 2 4 3 6" xfId="32810"/>
    <cellStyle name="Comma 12 2 2 2 4 4" xfId="32811"/>
    <cellStyle name="Comma 12 2 2 2 4 4 2" xfId="32812"/>
    <cellStyle name="Comma 12 2 2 2 4 4 2 2" xfId="32813"/>
    <cellStyle name="Comma 12 2 2 2 4 4 2 3" xfId="32814"/>
    <cellStyle name="Comma 12 2 2 2 4 4 3" xfId="32815"/>
    <cellStyle name="Comma 12 2 2 2 4 4 3 2" xfId="32816"/>
    <cellStyle name="Comma 12 2 2 2 4 4 4" xfId="32817"/>
    <cellStyle name="Comma 12 2 2 2 4 4 5" xfId="32818"/>
    <cellStyle name="Comma 12 2 2 2 4 5" xfId="32819"/>
    <cellStyle name="Comma 12 2 2 2 4 5 2" xfId="32820"/>
    <cellStyle name="Comma 12 2 2 2 4 5 3" xfId="32821"/>
    <cellStyle name="Comma 12 2 2 2 4 6" xfId="32822"/>
    <cellStyle name="Comma 12 2 2 2 4 6 2" xfId="32823"/>
    <cellStyle name="Comma 12 2 2 2 4 6 3" xfId="32824"/>
    <cellStyle name="Comma 12 2 2 2 4 7" xfId="32825"/>
    <cellStyle name="Comma 12 2 2 2 4 7 2" xfId="32826"/>
    <cellStyle name="Comma 12 2 2 2 4 8" xfId="32827"/>
    <cellStyle name="Comma 12 2 2 2 4 9" xfId="32828"/>
    <cellStyle name="Comma 12 2 2 2 5" xfId="32829"/>
    <cellStyle name="Comma 12 2 2 2 5 2" xfId="32830"/>
    <cellStyle name="Comma 12 2 2 2 5 2 2" xfId="32831"/>
    <cellStyle name="Comma 12 2 2 2 5 2 3" xfId="32832"/>
    <cellStyle name="Comma 12 2 2 2 5 3" xfId="32833"/>
    <cellStyle name="Comma 12 2 2 2 5 3 2" xfId="32834"/>
    <cellStyle name="Comma 12 2 2 2 5 3 3" xfId="32835"/>
    <cellStyle name="Comma 12 2 2 2 5 4" xfId="32836"/>
    <cellStyle name="Comma 12 2 2 2 5 4 2" xfId="32837"/>
    <cellStyle name="Comma 12 2 2 2 5 5" xfId="32838"/>
    <cellStyle name="Comma 12 2 2 2 5 6" xfId="32839"/>
    <cellStyle name="Comma 12 2 2 2 6" xfId="32840"/>
    <cellStyle name="Comma 12 2 2 2 6 2" xfId="32841"/>
    <cellStyle name="Comma 12 2 2 2 6 2 2" xfId="32842"/>
    <cellStyle name="Comma 12 2 2 2 6 2 3" xfId="32843"/>
    <cellStyle name="Comma 12 2 2 2 6 3" xfId="32844"/>
    <cellStyle name="Comma 12 2 2 2 6 3 2" xfId="32845"/>
    <cellStyle name="Comma 12 2 2 2 6 3 3" xfId="32846"/>
    <cellStyle name="Comma 12 2 2 2 6 4" xfId="32847"/>
    <cellStyle name="Comma 12 2 2 2 6 4 2" xfId="32848"/>
    <cellStyle name="Comma 12 2 2 2 6 5" xfId="32849"/>
    <cellStyle name="Comma 12 2 2 2 6 6" xfId="32850"/>
    <cellStyle name="Comma 12 2 2 2 7" xfId="32851"/>
    <cellStyle name="Comma 12 2 2 2 7 2" xfId="32852"/>
    <cellStyle name="Comma 12 2 2 2 7 2 2" xfId="32853"/>
    <cellStyle name="Comma 12 2 2 2 7 2 3" xfId="32854"/>
    <cellStyle name="Comma 12 2 2 2 7 3" xfId="32855"/>
    <cellStyle name="Comma 12 2 2 2 7 3 2" xfId="32856"/>
    <cellStyle name="Comma 12 2 2 2 7 4" xfId="32857"/>
    <cellStyle name="Comma 12 2 2 2 7 5" xfId="32858"/>
    <cellStyle name="Comma 12 2 2 2 8" xfId="32859"/>
    <cellStyle name="Comma 12 2 2 2 8 2" xfId="32860"/>
    <cellStyle name="Comma 12 2 2 2 8 3" xfId="32861"/>
    <cellStyle name="Comma 12 2 2 2 9" xfId="32862"/>
    <cellStyle name="Comma 12 2 2 2 9 2" xfId="32863"/>
    <cellStyle name="Comma 12 2 2 2 9 3" xfId="32864"/>
    <cellStyle name="Comma 12 2 2 3" xfId="32865"/>
    <cellStyle name="Comma 12 2 2 3 10" xfId="32866"/>
    <cellStyle name="Comma 12 2 2 3 2" xfId="32867"/>
    <cellStyle name="Comma 12 2 2 3 2 2" xfId="32868"/>
    <cellStyle name="Comma 12 2 2 3 2 2 2" xfId="32869"/>
    <cellStyle name="Comma 12 2 2 3 2 2 2 2" xfId="32870"/>
    <cellStyle name="Comma 12 2 2 3 2 2 2 3" xfId="32871"/>
    <cellStyle name="Comma 12 2 2 3 2 2 3" xfId="32872"/>
    <cellStyle name="Comma 12 2 2 3 2 2 3 2" xfId="32873"/>
    <cellStyle name="Comma 12 2 2 3 2 2 3 3" xfId="32874"/>
    <cellStyle name="Comma 12 2 2 3 2 2 4" xfId="32875"/>
    <cellStyle name="Comma 12 2 2 3 2 2 4 2" xfId="32876"/>
    <cellStyle name="Comma 12 2 2 3 2 2 5" xfId="32877"/>
    <cellStyle name="Comma 12 2 2 3 2 2 6" xfId="32878"/>
    <cellStyle name="Comma 12 2 2 3 2 3" xfId="32879"/>
    <cellStyle name="Comma 12 2 2 3 2 3 2" xfId="32880"/>
    <cellStyle name="Comma 12 2 2 3 2 3 2 2" xfId="32881"/>
    <cellStyle name="Comma 12 2 2 3 2 3 2 3" xfId="32882"/>
    <cellStyle name="Comma 12 2 2 3 2 3 3" xfId="32883"/>
    <cellStyle name="Comma 12 2 2 3 2 3 3 2" xfId="32884"/>
    <cellStyle name="Comma 12 2 2 3 2 3 3 3" xfId="32885"/>
    <cellStyle name="Comma 12 2 2 3 2 3 4" xfId="32886"/>
    <cellStyle name="Comma 12 2 2 3 2 3 4 2" xfId="32887"/>
    <cellStyle name="Comma 12 2 2 3 2 3 5" xfId="32888"/>
    <cellStyle name="Comma 12 2 2 3 2 3 6" xfId="32889"/>
    <cellStyle name="Comma 12 2 2 3 2 4" xfId="32890"/>
    <cellStyle name="Comma 12 2 2 3 2 4 2" xfId="32891"/>
    <cellStyle name="Comma 12 2 2 3 2 4 2 2" xfId="32892"/>
    <cellStyle name="Comma 12 2 2 3 2 4 2 3" xfId="32893"/>
    <cellStyle name="Comma 12 2 2 3 2 4 3" xfId="32894"/>
    <cellStyle name="Comma 12 2 2 3 2 4 3 2" xfId="32895"/>
    <cellStyle name="Comma 12 2 2 3 2 4 4" xfId="32896"/>
    <cellStyle name="Comma 12 2 2 3 2 4 5" xfId="32897"/>
    <cellStyle name="Comma 12 2 2 3 2 5" xfId="32898"/>
    <cellStyle name="Comma 12 2 2 3 2 5 2" xfId="32899"/>
    <cellStyle name="Comma 12 2 2 3 2 5 3" xfId="32900"/>
    <cellStyle name="Comma 12 2 2 3 2 6" xfId="32901"/>
    <cellStyle name="Comma 12 2 2 3 2 6 2" xfId="32902"/>
    <cellStyle name="Comma 12 2 2 3 2 6 3" xfId="32903"/>
    <cellStyle name="Comma 12 2 2 3 2 7" xfId="32904"/>
    <cellStyle name="Comma 12 2 2 3 2 7 2" xfId="32905"/>
    <cellStyle name="Comma 12 2 2 3 2 8" xfId="32906"/>
    <cellStyle name="Comma 12 2 2 3 2 9" xfId="32907"/>
    <cellStyle name="Comma 12 2 2 3 3" xfId="32908"/>
    <cellStyle name="Comma 12 2 2 3 3 2" xfId="32909"/>
    <cellStyle name="Comma 12 2 2 3 3 2 2" xfId="32910"/>
    <cellStyle name="Comma 12 2 2 3 3 2 3" xfId="32911"/>
    <cellStyle name="Comma 12 2 2 3 3 3" xfId="32912"/>
    <cellStyle name="Comma 12 2 2 3 3 3 2" xfId="32913"/>
    <cellStyle name="Comma 12 2 2 3 3 3 3" xfId="32914"/>
    <cellStyle name="Comma 12 2 2 3 3 4" xfId="32915"/>
    <cellStyle name="Comma 12 2 2 3 3 4 2" xfId="32916"/>
    <cellStyle name="Comma 12 2 2 3 3 5" xfId="32917"/>
    <cellStyle name="Comma 12 2 2 3 3 6" xfId="32918"/>
    <cellStyle name="Comma 12 2 2 3 4" xfId="32919"/>
    <cellStyle name="Comma 12 2 2 3 4 2" xfId="32920"/>
    <cellStyle name="Comma 12 2 2 3 4 2 2" xfId="32921"/>
    <cellStyle name="Comma 12 2 2 3 4 2 3" xfId="32922"/>
    <cellStyle name="Comma 12 2 2 3 4 3" xfId="32923"/>
    <cellStyle name="Comma 12 2 2 3 4 3 2" xfId="32924"/>
    <cellStyle name="Comma 12 2 2 3 4 3 3" xfId="32925"/>
    <cellStyle name="Comma 12 2 2 3 4 4" xfId="32926"/>
    <cellStyle name="Comma 12 2 2 3 4 4 2" xfId="32927"/>
    <cellStyle name="Comma 12 2 2 3 4 5" xfId="32928"/>
    <cellStyle name="Comma 12 2 2 3 4 6" xfId="32929"/>
    <cellStyle name="Comma 12 2 2 3 5" xfId="32930"/>
    <cellStyle name="Comma 12 2 2 3 5 2" xfId="32931"/>
    <cellStyle name="Comma 12 2 2 3 5 2 2" xfId="32932"/>
    <cellStyle name="Comma 12 2 2 3 5 2 3" xfId="32933"/>
    <cellStyle name="Comma 12 2 2 3 5 3" xfId="32934"/>
    <cellStyle name="Comma 12 2 2 3 5 3 2" xfId="32935"/>
    <cellStyle name="Comma 12 2 2 3 5 4" xfId="32936"/>
    <cellStyle name="Comma 12 2 2 3 5 5" xfId="32937"/>
    <cellStyle name="Comma 12 2 2 3 6" xfId="32938"/>
    <cellStyle name="Comma 12 2 2 3 6 2" xfId="32939"/>
    <cellStyle name="Comma 12 2 2 3 6 3" xfId="32940"/>
    <cellStyle name="Comma 12 2 2 3 7" xfId="32941"/>
    <cellStyle name="Comma 12 2 2 3 7 2" xfId="32942"/>
    <cellStyle name="Comma 12 2 2 3 7 3" xfId="32943"/>
    <cellStyle name="Comma 12 2 2 3 8" xfId="32944"/>
    <cellStyle name="Comma 12 2 2 3 8 2" xfId="32945"/>
    <cellStyle name="Comma 12 2 2 3 9" xfId="32946"/>
    <cellStyle name="Comma 12 2 2 4" xfId="32947"/>
    <cellStyle name="Comma 12 2 2 4 2" xfId="32948"/>
    <cellStyle name="Comma 12 2 2 4 2 2" xfId="32949"/>
    <cellStyle name="Comma 12 2 2 4 2 2 2" xfId="32950"/>
    <cellStyle name="Comma 12 2 2 4 2 2 3" xfId="32951"/>
    <cellStyle name="Comma 12 2 2 4 2 3" xfId="32952"/>
    <cellStyle name="Comma 12 2 2 4 2 3 2" xfId="32953"/>
    <cellStyle name="Comma 12 2 2 4 2 3 3" xfId="32954"/>
    <cellStyle name="Comma 12 2 2 4 2 4" xfId="32955"/>
    <cellStyle name="Comma 12 2 2 4 2 4 2" xfId="32956"/>
    <cellStyle name="Comma 12 2 2 4 2 5" xfId="32957"/>
    <cellStyle name="Comma 12 2 2 4 2 6" xfId="32958"/>
    <cellStyle name="Comma 12 2 2 4 3" xfId="32959"/>
    <cellStyle name="Comma 12 2 2 4 3 2" xfId="32960"/>
    <cellStyle name="Comma 12 2 2 4 3 2 2" xfId="32961"/>
    <cellStyle name="Comma 12 2 2 4 3 2 3" xfId="32962"/>
    <cellStyle name="Comma 12 2 2 4 3 3" xfId="32963"/>
    <cellStyle name="Comma 12 2 2 4 3 3 2" xfId="32964"/>
    <cellStyle name="Comma 12 2 2 4 3 3 3" xfId="32965"/>
    <cellStyle name="Comma 12 2 2 4 3 4" xfId="32966"/>
    <cellStyle name="Comma 12 2 2 4 3 4 2" xfId="32967"/>
    <cellStyle name="Comma 12 2 2 4 3 5" xfId="32968"/>
    <cellStyle name="Comma 12 2 2 4 3 6" xfId="32969"/>
    <cellStyle name="Comma 12 2 2 4 4" xfId="32970"/>
    <cellStyle name="Comma 12 2 2 4 4 2" xfId="32971"/>
    <cellStyle name="Comma 12 2 2 4 4 2 2" xfId="32972"/>
    <cellStyle name="Comma 12 2 2 4 4 2 3" xfId="32973"/>
    <cellStyle name="Comma 12 2 2 4 4 3" xfId="32974"/>
    <cellStyle name="Comma 12 2 2 4 4 3 2" xfId="32975"/>
    <cellStyle name="Comma 12 2 2 4 4 4" xfId="32976"/>
    <cellStyle name="Comma 12 2 2 4 4 5" xfId="32977"/>
    <cellStyle name="Comma 12 2 2 4 5" xfId="32978"/>
    <cellStyle name="Comma 12 2 2 4 5 2" xfId="32979"/>
    <cellStyle name="Comma 12 2 2 4 5 3" xfId="32980"/>
    <cellStyle name="Comma 12 2 2 4 6" xfId="32981"/>
    <cellStyle name="Comma 12 2 2 4 6 2" xfId="32982"/>
    <cellStyle name="Comma 12 2 2 4 6 3" xfId="32983"/>
    <cellStyle name="Comma 12 2 2 4 7" xfId="32984"/>
    <cellStyle name="Comma 12 2 2 4 7 2" xfId="32985"/>
    <cellStyle name="Comma 12 2 2 4 8" xfId="32986"/>
    <cellStyle name="Comma 12 2 2 4 9" xfId="32987"/>
    <cellStyle name="Comma 12 2 2 5" xfId="32988"/>
    <cellStyle name="Comma 12 2 2 5 2" xfId="32989"/>
    <cellStyle name="Comma 12 2 2 5 2 2" xfId="32990"/>
    <cellStyle name="Comma 12 2 2 5 2 2 2" xfId="32991"/>
    <cellStyle name="Comma 12 2 2 5 2 2 3" xfId="32992"/>
    <cellStyle name="Comma 12 2 2 5 2 3" xfId="32993"/>
    <cellStyle name="Comma 12 2 2 5 2 3 2" xfId="32994"/>
    <cellStyle name="Comma 12 2 2 5 2 3 3" xfId="32995"/>
    <cellStyle name="Comma 12 2 2 5 2 4" xfId="32996"/>
    <cellStyle name="Comma 12 2 2 5 2 4 2" xfId="32997"/>
    <cellStyle name="Comma 12 2 2 5 2 5" xfId="32998"/>
    <cellStyle name="Comma 12 2 2 5 2 6" xfId="32999"/>
    <cellStyle name="Comma 12 2 2 5 3" xfId="33000"/>
    <cellStyle name="Comma 12 2 2 5 3 2" xfId="33001"/>
    <cellStyle name="Comma 12 2 2 5 3 2 2" xfId="33002"/>
    <cellStyle name="Comma 12 2 2 5 3 2 3" xfId="33003"/>
    <cellStyle name="Comma 12 2 2 5 3 3" xfId="33004"/>
    <cellStyle name="Comma 12 2 2 5 3 3 2" xfId="33005"/>
    <cellStyle name="Comma 12 2 2 5 3 3 3" xfId="33006"/>
    <cellStyle name="Comma 12 2 2 5 3 4" xfId="33007"/>
    <cellStyle name="Comma 12 2 2 5 3 4 2" xfId="33008"/>
    <cellStyle name="Comma 12 2 2 5 3 5" xfId="33009"/>
    <cellStyle name="Comma 12 2 2 5 3 6" xfId="33010"/>
    <cellStyle name="Comma 12 2 2 5 4" xfId="33011"/>
    <cellStyle name="Comma 12 2 2 5 4 2" xfId="33012"/>
    <cellStyle name="Comma 12 2 2 5 4 2 2" xfId="33013"/>
    <cellStyle name="Comma 12 2 2 5 4 2 3" xfId="33014"/>
    <cellStyle name="Comma 12 2 2 5 4 3" xfId="33015"/>
    <cellStyle name="Comma 12 2 2 5 4 3 2" xfId="33016"/>
    <cellStyle name="Comma 12 2 2 5 4 4" xfId="33017"/>
    <cellStyle name="Comma 12 2 2 5 4 5" xfId="33018"/>
    <cellStyle name="Comma 12 2 2 5 5" xfId="33019"/>
    <cellStyle name="Comma 12 2 2 5 5 2" xfId="33020"/>
    <cellStyle name="Comma 12 2 2 5 5 3" xfId="33021"/>
    <cellStyle name="Comma 12 2 2 5 6" xfId="33022"/>
    <cellStyle name="Comma 12 2 2 5 6 2" xfId="33023"/>
    <cellStyle name="Comma 12 2 2 5 6 3" xfId="33024"/>
    <cellStyle name="Comma 12 2 2 5 7" xfId="33025"/>
    <cellStyle name="Comma 12 2 2 5 7 2" xfId="33026"/>
    <cellStyle name="Comma 12 2 2 5 8" xfId="33027"/>
    <cellStyle name="Comma 12 2 2 5 9" xfId="33028"/>
    <cellStyle name="Comma 12 2 2 6" xfId="33029"/>
    <cellStyle name="Comma 12 2 2 6 2" xfId="33030"/>
    <cellStyle name="Comma 12 2 2 6 2 2" xfId="33031"/>
    <cellStyle name="Comma 12 2 2 6 2 3" xfId="33032"/>
    <cellStyle name="Comma 12 2 2 6 3" xfId="33033"/>
    <cellStyle name="Comma 12 2 2 6 3 2" xfId="33034"/>
    <cellStyle name="Comma 12 2 2 6 3 3" xfId="33035"/>
    <cellStyle name="Comma 12 2 2 6 4" xfId="33036"/>
    <cellStyle name="Comma 12 2 2 6 4 2" xfId="33037"/>
    <cellStyle name="Comma 12 2 2 6 5" xfId="33038"/>
    <cellStyle name="Comma 12 2 2 6 6" xfId="33039"/>
    <cellStyle name="Comma 12 2 2 7" xfId="33040"/>
    <cellStyle name="Comma 12 2 2 7 2" xfId="33041"/>
    <cellStyle name="Comma 12 2 2 7 2 2" xfId="33042"/>
    <cellStyle name="Comma 12 2 2 7 2 3" xfId="33043"/>
    <cellStyle name="Comma 12 2 2 7 3" xfId="33044"/>
    <cellStyle name="Comma 12 2 2 7 3 2" xfId="33045"/>
    <cellStyle name="Comma 12 2 2 7 3 3" xfId="33046"/>
    <cellStyle name="Comma 12 2 2 7 4" xfId="33047"/>
    <cellStyle name="Comma 12 2 2 7 4 2" xfId="33048"/>
    <cellStyle name="Comma 12 2 2 7 5" xfId="33049"/>
    <cellStyle name="Comma 12 2 2 7 6" xfId="33050"/>
    <cellStyle name="Comma 12 2 2 8" xfId="33051"/>
    <cellStyle name="Comma 12 2 2 8 2" xfId="33052"/>
    <cellStyle name="Comma 12 2 2 8 2 2" xfId="33053"/>
    <cellStyle name="Comma 12 2 2 8 2 3" xfId="33054"/>
    <cellStyle name="Comma 12 2 2 8 3" xfId="33055"/>
    <cellStyle name="Comma 12 2 2 8 3 2" xfId="33056"/>
    <cellStyle name="Comma 12 2 2 8 4" xfId="33057"/>
    <cellStyle name="Comma 12 2 2 8 5" xfId="33058"/>
    <cellStyle name="Comma 12 2 2 9" xfId="33059"/>
    <cellStyle name="Comma 12 2 2 9 2" xfId="33060"/>
    <cellStyle name="Comma 12 2 2 9 3" xfId="33061"/>
    <cellStyle name="Comma 12 2 3" xfId="33062"/>
    <cellStyle name="Comma 12 2 3 10" xfId="33063"/>
    <cellStyle name="Comma 12 2 3 10 2" xfId="33064"/>
    <cellStyle name="Comma 12 2 3 11" xfId="33065"/>
    <cellStyle name="Comma 12 2 3 12" xfId="33066"/>
    <cellStyle name="Comma 12 2 3 2" xfId="33067"/>
    <cellStyle name="Comma 12 2 3 2 10" xfId="33068"/>
    <cellStyle name="Comma 12 2 3 2 2" xfId="33069"/>
    <cellStyle name="Comma 12 2 3 2 2 2" xfId="33070"/>
    <cellStyle name="Comma 12 2 3 2 2 2 2" xfId="33071"/>
    <cellStyle name="Comma 12 2 3 2 2 2 2 2" xfId="33072"/>
    <cellStyle name="Comma 12 2 3 2 2 2 2 3" xfId="33073"/>
    <cellStyle name="Comma 12 2 3 2 2 2 3" xfId="33074"/>
    <cellStyle name="Comma 12 2 3 2 2 2 3 2" xfId="33075"/>
    <cellStyle name="Comma 12 2 3 2 2 2 3 3" xfId="33076"/>
    <cellStyle name="Comma 12 2 3 2 2 2 4" xfId="33077"/>
    <cellStyle name="Comma 12 2 3 2 2 2 4 2" xfId="33078"/>
    <cellStyle name="Comma 12 2 3 2 2 2 5" xfId="33079"/>
    <cellStyle name="Comma 12 2 3 2 2 2 6" xfId="33080"/>
    <cellStyle name="Comma 12 2 3 2 2 3" xfId="33081"/>
    <cellStyle name="Comma 12 2 3 2 2 3 2" xfId="33082"/>
    <cellStyle name="Comma 12 2 3 2 2 3 2 2" xfId="33083"/>
    <cellStyle name="Comma 12 2 3 2 2 3 2 3" xfId="33084"/>
    <cellStyle name="Comma 12 2 3 2 2 3 3" xfId="33085"/>
    <cellStyle name="Comma 12 2 3 2 2 3 3 2" xfId="33086"/>
    <cellStyle name="Comma 12 2 3 2 2 3 3 3" xfId="33087"/>
    <cellStyle name="Comma 12 2 3 2 2 3 4" xfId="33088"/>
    <cellStyle name="Comma 12 2 3 2 2 3 4 2" xfId="33089"/>
    <cellStyle name="Comma 12 2 3 2 2 3 5" xfId="33090"/>
    <cellStyle name="Comma 12 2 3 2 2 3 6" xfId="33091"/>
    <cellStyle name="Comma 12 2 3 2 2 4" xfId="33092"/>
    <cellStyle name="Comma 12 2 3 2 2 4 2" xfId="33093"/>
    <cellStyle name="Comma 12 2 3 2 2 4 2 2" xfId="33094"/>
    <cellStyle name="Comma 12 2 3 2 2 4 2 3" xfId="33095"/>
    <cellStyle name="Comma 12 2 3 2 2 4 3" xfId="33096"/>
    <cellStyle name="Comma 12 2 3 2 2 4 3 2" xfId="33097"/>
    <cellStyle name="Comma 12 2 3 2 2 4 4" xfId="33098"/>
    <cellStyle name="Comma 12 2 3 2 2 4 5" xfId="33099"/>
    <cellStyle name="Comma 12 2 3 2 2 5" xfId="33100"/>
    <cellStyle name="Comma 12 2 3 2 2 5 2" xfId="33101"/>
    <cellStyle name="Comma 12 2 3 2 2 5 3" xfId="33102"/>
    <cellStyle name="Comma 12 2 3 2 2 6" xfId="33103"/>
    <cellStyle name="Comma 12 2 3 2 2 6 2" xfId="33104"/>
    <cellStyle name="Comma 12 2 3 2 2 6 3" xfId="33105"/>
    <cellStyle name="Comma 12 2 3 2 2 7" xfId="33106"/>
    <cellStyle name="Comma 12 2 3 2 2 7 2" xfId="33107"/>
    <cellStyle name="Comma 12 2 3 2 2 8" xfId="33108"/>
    <cellStyle name="Comma 12 2 3 2 2 9" xfId="33109"/>
    <cellStyle name="Comma 12 2 3 2 3" xfId="33110"/>
    <cellStyle name="Comma 12 2 3 2 3 2" xfId="33111"/>
    <cellStyle name="Comma 12 2 3 2 3 2 2" xfId="33112"/>
    <cellStyle name="Comma 12 2 3 2 3 2 3" xfId="33113"/>
    <cellStyle name="Comma 12 2 3 2 3 3" xfId="33114"/>
    <cellStyle name="Comma 12 2 3 2 3 3 2" xfId="33115"/>
    <cellStyle name="Comma 12 2 3 2 3 3 3" xfId="33116"/>
    <cellStyle name="Comma 12 2 3 2 3 4" xfId="33117"/>
    <cellStyle name="Comma 12 2 3 2 3 4 2" xfId="33118"/>
    <cellStyle name="Comma 12 2 3 2 3 5" xfId="33119"/>
    <cellStyle name="Comma 12 2 3 2 3 6" xfId="33120"/>
    <cellStyle name="Comma 12 2 3 2 4" xfId="33121"/>
    <cellStyle name="Comma 12 2 3 2 4 2" xfId="33122"/>
    <cellStyle name="Comma 12 2 3 2 4 2 2" xfId="33123"/>
    <cellStyle name="Comma 12 2 3 2 4 2 3" xfId="33124"/>
    <cellStyle name="Comma 12 2 3 2 4 3" xfId="33125"/>
    <cellStyle name="Comma 12 2 3 2 4 3 2" xfId="33126"/>
    <cellStyle name="Comma 12 2 3 2 4 3 3" xfId="33127"/>
    <cellStyle name="Comma 12 2 3 2 4 4" xfId="33128"/>
    <cellStyle name="Comma 12 2 3 2 4 4 2" xfId="33129"/>
    <cellStyle name="Comma 12 2 3 2 4 5" xfId="33130"/>
    <cellStyle name="Comma 12 2 3 2 4 6" xfId="33131"/>
    <cellStyle name="Comma 12 2 3 2 5" xfId="33132"/>
    <cellStyle name="Comma 12 2 3 2 5 2" xfId="33133"/>
    <cellStyle name="Comma 12 2 3 2 5 2 2" xfId="33134"/>
    <cellStyle name="Comma 12 2 3 2 5 2 3" xfId="33135"/>
    <cellStyle name="Comma 12 2 3 2 5 3" xfId="33136"/>
    <cellStyle name="Comma 12 2 3 2 5 3 2" xfId="33137"/>
    <cellStyle name="Comma 12 2 3 2 5 4" xfId="33138"/>
    <cellStyle name="Comma 12 2 3 2 5 5" xfId="33139"/>
    <cellStyle name="Comma 12 2 3 2 6" xfId="33140"/>
    <cellStyle name="Comma 12 2 3 2 6 2" xfId="33141"/>
    <cellStyle name="Comma 12 2 3 2 6 3" xfId="33142"/>
    <cellStyle name="Comma 12 2 3 2 7" xfId="33143"/>
    <cellStyle name="Comma 12 2 3 2 7 2" xfId="33144"/>
    <cellStyle name="Comma 12 2 3 2 7 3" xfId="33145"/>
    <cellStyle name="Comma 12 2 3 2 8" xfId="33146"/>
    <cellStyle name="Comma 12 2 3 2 8 2" xfId="33147"/>
    <cellStyle name="Comma 12 2 3 2 9" xfId="33148"/>
    <cellStyle name="Comma 12 2 3 3" xfId="33149"/>
    <cellStyle name="Comma 12 2 3 3 2" xfId="33150"/>
    <cellStyle name="Comma 12 2 3 3 2 2" xfId="33151"/>
    <cellStyle name="Comma 12 2 3 3 2 2 2" xfId="33152"/>
    <cellStyle name="Comma 12 2 3 3 2 2 3" xfId="33153"/>
    <cellStyle name="Comma 12 2 3 3 2 3" xfId="33154"/>
    <cellStyle name="Comma 12 2 3 3 2 3 2" xfId="33155"/>
    <cellStyle name="Comma 12 2 3 3 2 3 3" xfId="33156"/>
    <cellStyle name="Comma 12 2 3 3 2 4" xfId="33157"/>
    <cellStyle name="Comma 12 2 3 3 2 4 2" xfId="33158"/>
    <cellStyle name="Comma 12 2 3 3 2 5" xfId="33159"/>
    <cellStyle name="Comma 12 2 3 3 2 6" xfId="33160"/>
    <cellStyle name="Comma 12 2 3 3 3" xfId="33161"/>
    <cellStyle name="Comma 12 2 3 3 3 2" xfId="33162"/>
    <cellStyle name="Comma 12 2 3 3 3 2 2" xfId="33163"/>
    <cellStyle name="Comma 12 2 3 3 3 2 3" xfId="33164"/>
    <cellStyle name="Comma 12 2 3 3 3 3" xfId="33165"/>
    <cellStyle name="Comma 12 2 3 3 3 3 2" xfId="33166"/>
    <cellStyle name="Comma 12 2 3 3 3 3 3" xfId="33167"/>
    <cellStyle name="Comma 12 2 3 3 3 4" xfId="33168"/>
    <cellStyle name="Comma 12 2 3 3 3 4 2" xfId="33169"/>
    <cellStyle name="Comma 12 2 3 3 3 5" xfId="33170"/>
    <cellStyle name="Comma 12 2 3 3 3 6" xfId="33171"/>
    <cellStyle name="Comma 12 2 3 3 4" xfId="33172"/>
    <cellStyle name="Comma 12 2 3 3 4 2" xfId="33173"/>
    <cellStyle name="Comma 12 2 3 3 4 2 2" xfId="33174"/>
    <cellStyle name="Comma 12 2 3 3 4 2 3" xfId="33175"/>
    <cellStyle name="Comma 12 2 3 3 4 3" xfId="33176"/>
    <cellStyle name="Comma 12 2 3 3 4 3 2" xfId="33177"/>
    <cellStyle name="Comma 12 2 3 3 4 4" xfId="33178"/>
    <cellStyle name="Comma 12 2 3 3 4 5" xfId="33179"/>
    <cellStyle name="Comma 12 2 3 3 5" xfId="33180"/>
    <cellStyle name="Comma 12 2 3 3 5 2" xfId="33181"/>
    <cellStyle name="Comma 12 2 3 3 5 3" xfId="33182"/>
    <cellStyle name="Comma 12 2 3 3 6" xfId="33183"/>
    <cellStyle name="Comma 12 2 3 3 6 2" xfId="33184"/>
    <cellStyle name="Comma 12 2 3 3 6 3" xfId="33185"/>
    <cellStyle name="Comma 12 2 3 3 7" xfId="33186"/>
    <cellStyle name="Comma 12 2 3 3 7 2" xfId="33187"/>
    <cellStyle name="Comma 12 2 3 3 8" xfId="33188"/>
    <cellStyle name="Comma 12 2 3 3 9" xfId="33189"/>
    <cellStyle name="Comma 12 2 3 4" xfId="33190"/>
    <cellStyle name="Comma 12 2 3 4 2" xfId="33191"/>
    <cellStyle name="Comma 12 2 3 4 2 2" xfId="33192"/>
    <cellStyle name="Comma 12 2 3 4 2 2 2" xfId="33193"/>
    <cellStyle name="Comma 12 2 3 4 2 2 3" xfId="33194"/>
    <cellStyle name="Comma 12 2 3 4 2 3" xfId="33195"/>
    <cellStyle name="Comma 12 2 3 4 2 3 2" xfId="33196"/>
    <cellStyle name="Comma 12 2 3 4 2 3 3" xfId="33197"/>
    <cellStyle name="Comma 12 2 3 4 2 4" xfId="33198"/>
    <cellStyle name="Comma 12 2 3 4 2 4 2" xfId="33199"/>
    <cellStyle name="Comma 12 2 3 4 2 5" xfId="33200"/>
    <cellStyle name="Comma 12 2 3 4 2 6" xfId="33201"/>
    <cellStyle name="Comma 12 2 3 4 3" xfId="33202"/>
    <cellStyle name="Comma 12 2 3 4 3 2" xfId="33203"/>
    <cellStyle name="Comma 12 2 3 4 3 2 2" xfId="33204"/>
    <cellStyle name="Comma 12 2 3 4 3 2 3" xfId="33205"/>
    <cellStyle name="Comma 12 2 3 4 3 3" xfId="33206"/>
    <cellStyle name="Comma 12 2 3 4 3 3 2" xfId="33207"/>
    <cellStyle name="Comma 12 2 3 4 3 3 3" xfId="33208"/>
    <cellStyle name="Comma 12 2 3 4 3 4" xfId="33209"/>
    <cellStyle name="Comma 12 2 3 4 3 4 2" xfId="33210"/>
    <cellStyle name="Comma 12 2 3 4 3 5" xfId="33211"/>
    <cellStyle name="Comma 12 2 3 4 3 6" xfId="33212"/>
    <cellStyle name="Comma 12 2 3 4 4" xfId="33213"/>
    <cellStyle name="Comma 12 2 3 4 4 2" xfId="33214"/>
    <cellStyle name="Comma 12 2 3 4 4 2 2" xfId="33215"/>
    <cellStyle name="Comma 12 2 3 4 4 2 3" xfId="33216"/>
    <cellStyle name="Comma 12 2 3 4 4 3" xfId="33217"/>
    <cellStyle name="Comma 12 2 3 4 4 3 2" xfId="33218"/>
    <cellStyle name="Comma 12 2 3 4 4 4" xfId="33219"/>
    <cellStyle name="Comma 12 2 3 4 4 5" xfId="33220"/>
    <cellStyle name="Comma 12 2 3 4 5" xfId="33221"/>
    <cellStyle name="Comma 12 2 3 4 5 2" xfId="33222"/>
    <cellStyle name="Comma 12 2 3 4 5 3" xfId="33223"/>
    <cellStyle name="Comma 12 2 3 4 6" xfId="33224"/>
    <cellStyle name="Comma 12 2 3 4 6 2" xfId="33225"/>
    <cellStyle name="Comma 12 2 3 4 6 3" xfId="33226"/>
    <cellStyle name="Comma 12 2 3 4 7" xfId="33227"/>
    <cellStyle name="Comma 12 2 3 4 7 2" xfId="33228"/>
    <cellStyle name="Comma 12 2 3 4 8" xfId="33229"/>
    <cellStyle name="Comma 12 2 3 4 9" xfId="33230"/>
    <cellStyle name="Comma 12 2 3 5" xfId="33231"/>
    <cellStyle name="Comma 12 2 3 5 2" xfId="33232"/>
    <cellStyle name="Comma 12 2 3 5 2 2" xfId="33233"/>
    <cellStyle name="Comma 12 2 3 5 2 3" xfId="33234"/>
    <cellStyle name="Comma 12 2 3 5 3" xfId="33235"/>
    <cellStyle name="Comma 12 2 3 5 3 2" xfId="33236"/>
    <cellStyle name="Comma 12 2 3 5 3 3" xfId="33237"/>
    <cellStyle name="Comma 12 2 3 5 4" xfId="33238"/>
    <cellStyle name="Comma 12 2 3 5 4 2" xfId="33239"/>
    <cellStyle name="Comma 12 2 3 5 5" xfId="33240"/>
    <cellStyle name="Comma 12 2 3 5 6" xfId="33241"/>
    <cellStyle name="Comma 12 2 3 6" xfId="33242"/>
    <cellStyle name="Comma 12 2 3 6 2" xfId="33243"/>
    <cellStyle name="Comma 12 2 3 6 2 2" xfId="33244"/>
    <cellStyle name="Comma 12 2 3 6 2 3" xfId="33245"/>
    <cellStyle name="Comma 12 2 3 6 3" xfId="33246"/>
    <cellStyle name="Comma 12 2 3 6 3 2" xfId="33247"/>
    <cellStyle name="Comma 12 2 3 6 3 3" xfId="33248"/>
    <cellStyle name="Comma 12 2 3 6 4" xfId="33249"/>
    <cellStyle name="Comma 12 2 3 6 4 2" xfId="33250"/>
    <cellStyle name="Comma 12 2 3 6 5" xfId="33251"/>
    <cellStyle name="Comma 12 2 3 6 6" xfId="33252"/>
    <cellStyle name="Comma 12 2 3 7" xfId="33253"/>
    <cellStyle name="Comma 12 2 3 7 2" xfId="33254"/>
    <cellStyle name="Comma 12 2 3 7 2 2" xfId="33255"/>
    <cellStyle name="Comma 12 2 3 7 2 3" xfId="33256"/>
    <cellStyle name="Comma 12 2 3 7 3" xfId="33257"/>
    <cellStyle name="Comma 12 2 3 7 3 2" xfId="33258"/>
    <cellStyle name="Comma 12 2 3 7 4" xfId="33259"/>
    <cellStyle name="Comma 12 2 3 7 5" xfId="33260"/>
    <cellStyle name="Comma 12 2 3 8" xfId="33261"/>
    <cellStyle name="Comma 12 2 3 8 2" xfId="33262"/>
    <cellStyle name="Comma 12 2 3 8 3" xfId="33263"/>
    <cellStyle name="Comma 12 2 3 9" xfId="33264"/>
    <cellStyle name="Comma 12 2 3 9 2" xfId="33265"/>
    <cellStyle name="Comma 12 2 3 9 3" xfId="33266"/>
    <cellStyle name="Comma 12 2 4" xfId="33267"/>
    <cellStyle name="Comma 12 2 4 10" xfId="33268"/>
    <cellStyle name="Comma 12 2 4 2" xfId="33269"/>
    <cellStyle name="Comma 12 2 4 2 2" xfId="33270"/>
    <cellStyle name="Comma 12 2 4 2 2 2" xfId="33271"/>
    <cellStyle name="Comma 12 2 4 2 2 2 2" xfId="33272"/>
    <cellStyle name="Comma 12 2 4 2 2 2 3" xfId="33273"/>
    <cellStyle name="Comma 12 2 4 2 2 3" xfId="33274"/>
    <cellStyle name="Comma 12 2 4 2 2 3 2" xfId="33275"/>
    <cellStyle name="Comma 12 2 4 2 2 3 3" xfId="33276"/>
    <cellStyle name="Comma 12 2 4 2 2 4" xfId="33277"/>
    <cellStyle name="Comma 12 2 4 2 2 4 2" xfId="33278"/>
    <cellStyle name="Comma 12 2 4 2 2 5" xfId="33279"/>
    <cellStyle name="Comma 12 2 4 2 2 6" xfId="33280"/>
    <cellStyle name="Comma 12 2 4 2 3" xfId="33281"/>
    <cellStyle name="Comma 12 2 4 2 3 2" xfId="33282"/>
    <cellStyle name="Comma 12 2 4 2 3 2 2" xfId="33283"/>
    <cellStyle name="Comma 12 2 4 2 3 2 3" xfId="33284"/>
    <cellStyle name="Comma 12 2 4 2 3 3" xfId="33285"/>
    <cellStyle name="Comma 12 2 4 2 3 3 2" xfId="33286"/>
    <cellStyle name="Comma 12 2 4 2 3 3 3" xfId="33287"/>
    <cellStyle name="Comma 12 2 4 2 3 4" xfId="33288"/>
    <cellStyle name="Comma 12 2 4 2 3 4 2" xfId="33289"/>
    <cellStyle name="Comma 12 2 4 2 3 5" xfId="33290"/>
    <cellStyle name="Comma 12 2 4 2 3 6" xfId="33291"/>
    <cellStyle name="Comma 12 2 4 2 4" xfId="33292"/>
    <cellStyle name="Comma 12 2 4 2 4 2" xfId="33293"/>
    <cellStyle name="Comma 12 2 4 2 4 2 2" xfId="33294"/>
    <cellStyle name="Comma 12 2 4 2 4 2 3" xfId="33295"/>
    <cellStyle name="Comma 12 2 4 2 4 3" xfId="33296"/>
    <cellStyle name="Comma 12 2 4 2 4 3 2" xfId="33297"/>
    <cellStyle name="Comma 12 2 4 2 4 4" xfId="33298"/>
    <cellStyle name="Comma 12 2 4 2 4 5" xfId="33299"/>
    <cellStyle name="Comma 12 2 4 2 5" xfId="33300"/>
    <cellStyle name="Comma 12 2 4 2 5 2" xfId="33301"/>
    <cellStyle name="Comma 12 2 4 2 5 3" xfId="33302"/>
    <cellStyle name="Comma 12 2 4 2 6" xfId="33303"/>
    <cellStyle name="Comma 12 2 4 2 6 2" xfId="33304"/>
    <cellStyle name="Comma 12 2 4 2 6 3" xfId="33305"/>
    <cellStyle name="Comma 12 2 4 2 7" xfId="33306"/>
    <cellStyle name="Comma 12 2 4 2 7 2" xfId="33307"/>
    <cellStyle name="Comma 12 2 4 2 8" xfId="33308"/>
    <cellStyle name="Comma 12 2 4 2 9" xfId="33309"/>
    <cellStyle name="Comma 12 2 4 3" xfId="33310"/>
    <cellStyle name="Comma 12 2 4 3 2" xfId="33311"/>
    <cellStyle name="Comma 12 2 4 3 2 2" xfId="33312"/>
    <cellStyle name="Comma 12 2 4 3 2 3" xfId="33313"/>
    <cellStyle name="Comma 12 2 4 3 3" xfId="33314"/>
    <cellStyle name="Comma 12 2 4 3 3 2" xfId="33315"/>
    <cellStyle name="Comma 12 2 4 3 3 3" xfId="33316"/>
    <cellStyle name="Comma 12 2 4 3 4" xfId="33317"/>
    <cellStyle name="Comma 12 2 4 3 4 2" xfId="33318"/>
    <cellStyle name="Comma 12 2 4 3 5" xfId="33319"/>
    <cellStyle name="Comma 12 2 4 3 6" xfId="33320"/>
    <cellStyle name="Comma 12 2 4 4" xfId="33321"/>
    <cellStyle name="Comma 12 2 4 4 2" xfId="33322"/>
    <cellStyle name="Comma 12 2 4 4 2 2" xfId="33323"/>
    <cellStyle name="Comma 12 2 4 4 2 3" xfId="33324"/>
    <cellStyle name="Comma 12 2 4 4 3" xfId="33325"/>
    <cellStyle name="Comma 12 2 4 4 3 2" xfId="33326"/>
    <cellStyle name="Comma 12 2 4 4 3 3" xfId="33327"/>
    <cellStyle name="Comma 12 2 4 4 4" xfId="33328"/>
    <cellStyle name="Comma 12 2 4 4 4 2" xfId="33329"/>
    <cellStyle name="Comma 12 2 4 4 5" xfId="33330"/>
    <cellStyle name="Comma 12 2 4 4 6" xfId="33331"/>
    <cellStyle name="Comma 12 2 4 5" xfId="33332"/>
    <cellStyle name="Comma 12 2 4 5 2" xfId="33333"/>
    <cellStyle name="Comma 12 2 4 5 2 2" xfId="33334"/>
    <cellStyle name="Comma 12 2 4 5 2 3" xfId="33335"/>
    <cellStyle name="Comma 12 2 4 5 3" xfId="33336"/>
    <cellStyle name="Comma 12 2 4 5 3 2" xfId="33337"/>
    <cellStyle name="Comma 12 2 4 5 4" xfId="33338"/>
    <cellStyle name="Comma 12 2 4 5 5" xfId="33339"/>
    <cellStyle name="Comma 12 2 4 6" xfId="33340"/>
    <cellStyle name="Comma 12 2 4 6 2" xfId="33341"/>
    <cellStyle name="Comma 12 2 4 6 3" xfId="33342"/>
    <cellStyle name="Comma 12 2 4 7" xfId="33343"/>
    <cellStyle name="Comma 12 2 4 7 2" xfId="33344"/>
    <cellStyle name="Comma 12 2 4 7 3" xfId="33345"/>
    <cellStyle name="Comma 12 2 4 8" xfId="33346"/>
    <cellStyle name="Comma 12 2 4 8 2" xfId="33347"/>
    <cellStyle name="Comma 12 2 4 9" xfId="33348"/>
    <cellStyle name="Comma 12 2 5" xfId="33349"/>
    <cellStyle name="Comma 12 2 5 2" xfId="33350"/>
    <cellStyle name="Comma 12 2 5 2 2" xfId="33351"/>
    <cellStyle name="Comma 12 2 5 2 2 2" xfId="33352"/>
    <cellStyle name="Comma 12 2 5 2 2 3" xfId="33353"/>
    <cellStyle name="Comma 12 2 5 2 3" xfId="33354"/>
    <cellStyle name="Comma 12 2 5 2 3 2" xfId="33355"/>
    <cellStyle name="Comma 12 2 5 2 3 3" xfId="33356"/>
    <cellStyle name="Comma 12 2 5 2 4" xfId="33357"/>
    <cellStyle name="Comma 12 2 5 2 4 2" xfId="33358"/>
    <cellStyle name="Comma 12 2 5 2 5" xfId="33359"/>
    <cellStyle name="Comma 12 2 5 2 6" xfId="33360"/>
    <cellStyle name="Comma 12 2 5 3" xfId="33361"/>
    <cellStyle name="Comma 12 2 5 3 2" xfId="33362"/>
    <cellStyle name="Comma 12 2 5 3 2 2" xfId="33363"/>
    <cellStyle name="Comma 12 2 5 3 2 3" xfId="33364"/>
    <cellStyle name="Comma 12 2 5 3 3" xfId="33365"/>
    <cellStyle name="Comma 12 2 5 3 3 2" xfId="33366"/>
    <cellStyle name="Comma 12 2 5 3 3 3" xfId="33367"/>
    <cellStyle name="Comma 12 2 5 3 4" xfId="33368"/>
    <cellStyle name="Comma 12 2 5 3 4 2" xfId="33369"/>
    <cellStyle name="Comma 12 2 5 3 5" xfId="33370"/>
    <cellStyle name="Comma 12 2 5 3 6" xfId="33371"/>
    <cellStyle name="Comma 12 2 5 4" xfId="33372"/>
    <cellStyle name="Comma 12 2 5 4 2" xfId="33373"/>
    <cellStyle name="Comma 12 2 5 4 2 2" xfId="33374"/>
    <cellStyle name="Comma 12 2 5 4 2 3" xfId="33375"/>
    <cellStyle name="Comma 12 2 5 4 3" xfId="33376"/>
    <cellStyle name="Comma 12 2 5 4 3 2" xfId="33377"/>
    <cellStyle name="Comma 12 2 5 4 4" xfId="33378"/>
    <cellStyle name="Comma 12 2 5 4 5" xfId="33379"/>
    <cellStyle name="Comma 12 2 5 5" xfId="33380"/>
    <cellStyle name="Comma 12 2 5 5 2" xfId="33381"/>
    <cellStyle name="Comma 12 2 5 5 3" xfId="33382"/>
    <cellStyle name="Comma 12 2 5 6" xfId="33383"/>
    <cellStyle name="Comma 12 2 5 6 2" xfId="33384"/>
    <cellStyle name="Comma 12 2 5 6 3" xfId="33385"/>
    <cellStyle name="Comma 12 2 5 7" xfId="33386"/>
    <cellStyle name="Comma 12 2 5 7 2" xfId="33387"/>
    <cellStyle name="Comma 12 2 5 8" xfId="33388"/>
    <cellStyle name="Comma 12 2 5 9" xfId="33389"/>
    <cellStyle name="Comma 12 2 6" xfId="33390"/>
    <cellStyle name="Comma 12 2 6 2" xfId="33391"/>
    <cellStyle name="Comma 12 2 6 2 2" xfId="33392"/>
    <cellStyle name="Comma 12 2 6 2 2 2" xfId="33393"/>
    <cellStyle name="Comma 12 2 6 2 2 3" xfId="33394"/>
    <cellStyle name="Comma 12 2 6 2 3" xfId="33395"/>
    <cellStyle name="Comma 12 2 6 2 3 2" xfId="33396"/>
    <cellStyle name="Comma 12 2 6 2 3 3" xfId="33397"/>
    <cellStyle name="Comma 12 2 6 2 4" xfId="33398"/>
    <cellStyle name="Comma 12 2 6 2 4 2" xfId="33399"/>
    <cellStyle name="Comma 12 2 6 2 5" xfId="33400"/>
    <cellStyle name="Comma 12 2 6 2 6" xfId="33401"/>
    <cellStyle name="Comma 12 2 6 3" xfId="33402"/>
    <cellStyle name="Comma 12 2 6 3 2" xfId="33403"/>
    <cellStyle name="Comma 12 2 6 3 2 2" xfId="33404"/>
    <cellStyle name="Comma 12 2 6 3 2 3" xfId="33405"/>
    <cellStyle name="Comma 12 2 6 3 3" xfId="33406"/>
    <cellStyle name="Comma 12 2 6 3 3 2" xfId="33407"/>
    <cellStyle name="Comma 12 2 6 3 3 3" xfId="33408"/>
    <cellStyle name="Comma 12 2 6 3 4" xfId="33409"/>
    <cellStyle name="Comma 12 2 6 3 4 2" xfId="33410"/>
    <cellStyle name="Comma 12 2 6 3 5" xfId="33411"/>
    <cellStyle name="Comma 12 2 6 3 6" xfId="33412"/>
    <cellStyle name="Comma 12 2 6 4" xfId="33413"/>
    <cellStyle name="Comma 12 2 6 4 2" xfId="33414"/>
    <cellStyle name="Comma 12 2 6 4 2 2" xfId="33415"/>
    <cellStyle name="Comma 12 2 6 4 2 3" xfId="33416"/>
    <cellStyle name="Comma 12 2 6 4 3" xfId="33417"/>
    <cellStyle name="Comma 12 2 6 4 3 2" xfId="33418"/>
    <cellStyle name="Comma 12 2 6 4 4" xfId="33419"/>
    <cellStyle name="Comma 12 2 6 4 5" xfId="33420"/>
    <cellStyle name="Comma 12 2 6 5" xfId="33421"/>
    <cellStyle name="Comma 12 2 6 5 2" xfId="33422"/>
    <cellStyle name="Comma 12 2 6 5 3" xfId="33423"/>
    <cellStyle name="Comma 12 2 6 6" xfId="33424"/>
    <cellStyle name="Comma 12 2 6 6 2" xfId="33425"/>
    <cellStyle name="Comma 12 2 6 6 3" xfId="33426"/>
    <cellStyle name="Comma 12 2 6 7" xfId="33427"/>
    <cellStyle name="Comma 12 2 6 7 2" xfId="33428"/>
    <cellStyle name="Comma 12 2 6 8" xfId="33429"/>
    <cellStyle name="Comma 12 2 6 9" xfId="33430"/>
    <cellStyle name="Comma 12 2 7" xfId="33431"/>
    <cellStyle name="Comma 12 2 7 2" xfId="33432"/>
    <cellStyle name="Comma 12 2 7 2 2" xfId="33433"/>
    <cellStyle name="Comma 12 2 7 2 3" xfId="33434"/>
    <cellStyle name="Comma 12 2 7 3" xfId="33435"/>
    <cellStyle name="Comma 12 2 7 3 2" xfId="33436"/>
    <cellStyle name="Comma 12 2 7 3 3" xfId="33437"/>
    <cellStyle name="Comma 12 2 7 4" xfId="33438"/>
    <cellStyle name="Comma 12 2 7 4 2" xfId="33439"/>
    <cellStyle name="Comma 12 2 7 5" xfId="33440"/>
    <cellStyle name="Comma 12 2 7 6" xfId="33441"/>
    <cellStyle name="Comma 12 2 8" xfId="33442"/>
    <cellStyle name="Comma 12 2 8 2" xfId="33443"/>
    <cellStyle name="Comma 12 2 8 2 2" xfId="33444"/>
    <cellStyle name="Comma 12 2 8 2 3" xfId="33445"/>
    <cellStyle name="Comma 12 2 8 3" xfId="33446"/>
    <cellStyle name="Comma 12 2 8 3 2" xfId="33447"/>
    <cellStyle name="Comma 12 2 8 3 3" xfId="33448"/>
    <cellStyle name="Comma 12 2 8 4" xfId="33449"/>
    <cellStyle name="Comma 12 2 8 4 2" xfId="33450"/>
    <cellStyle name="Comma 12 2 8 5" xfId="33451"/>
    <cellStyle name="Comma 12 2 8 6" xfId="33452"/>
    <cellStyle name="Comma 12 2 9" xfId="33453"/>
    <cellStyle name="Comma 12 2 9 2" xfId="33454"/>
    <cellStyle name="Comma 12 2 9 2 2" xfId="33455"/>
    <cellStyle name="Comma 12 2 9 2 3" xfId="33456"/>
    <cellStyle name="Comma 12 2 9 3" xfId="33457"/>
    <cellStyle name="Comma 12 2 9 3 2" xfId="33458"/>
    <cellStyle name="Comma 12 2 9 4" xfId="33459"/>
    <cellStyle name="Comma 12 2 9 5" xfId="33460"/>
    <cellStyle name="Comma 12 3" xfId="33461"/>
    <cellStyle name="Comma 12 3 10" xfId="33462"/>
    <cellStyle name="Comma 12 3 10 2" xfId="33463"/>
    <cellStyle name="Comma 12 3 10 3" xfId="33464"/>
    <cellStyle name="Comma 12 3 11" xfId="33465"/>
    <cellStyle name="Comma 12 3 11 2" xfId="33466"/>
    <cellStyle name="Comma 12 3 12" xfId="33467"/>
    <cellStyle name="Comma 12 3 13" xfId="33468"/>
    <cellStyle name="Comma 12 3 2" xfId="33469"/>
    <cellStyle name="Comma 12 3 2 10" xfId="33470"/>
    <cellStyle name="Comma 12 3 2 10 2" xfId="33471"/>
    <cellStyle name="Comma 12 3 2 11" xfId="33472"/>
    <cellStyle name="Comma 12 3 2 12" xfId="33473"/>
    <cellStyle name="Comma 12 3 2 2" xfId="33474"/>
    <cellStyle name="Comma 12 3 2 2 10" xfId="33475"/>
    <cellStyle name="Comma 12 3 2 2 2" xfId="33476"/>
    <cellStyle name="Comma 12 3 2 2 2 2" xfId="33477"/>
    <cellStyle name="Comma 12 3 2 2 2 2 2" xfId="33478"/>
    <cellStyle name="Comma 12 3 2 2 2 2 2 2" xfId="33479"/>
    <cellStyle name="Comma 12 3 2 2 2 2 2 3" xfId="33480"/>
    <cellStyle name="Comma 12 3 2 2 2 2 3" xfId="33481"/>
    <cellStyle name="Comma 12 3 2 2 2 2 3 2" xfId="33482"/>
    <cellStyle name="Comma 12 3 2 2 2 2 3 3" xfId="33483"/>
    <cellStyle name="Comma 12 3 2 2 2 2 4" xfId="33484"/>
    <cellStyle name="Comma 12 3 2 2 2 2 4 2" xfId="33485"/>
    <cellStyle name="Comma 12 3 2 2 2 2 5" xfId="33486"/>
    <cellStyle name="Comma 12 3 2 2 2 2 6" xfId="33487"/>
    <cellStyle name="Comma 12 3 2 2 2 3" xfId="33488"/>
    <cellStyle name="Comma 12 3 2 2 2 3 2" xfId="33489"/>
    <cellStyle name="Comma 12 3 2 2 2 3 2 2" xfId="33490"/>
    <cellStyle name="Comma 12 3 2 2 2 3 2 3" xfId="33491"/>
    <cellStyle name="Comma 12 3 2 2 2 3 3" xfId="33492"/>
    <cellStyle name="Comma 12 3 2 2 2 3 3 2" xfId="33493"/>
    <cellStyle name="Comma 12 3 2 2 2 3 3 3" xfId="33494"/>
    <cellStyle name="Comma 12 3 2 2 2 3 4" xfId="33495"/>
    <cellStyle name="Comma 12 3 2 2 2 3 4 2" xfId="33496"/>
    <cellStyle name="Comma 12 3 2 2 2 3 5" xfId="33497"/>
    <cellStyle name="Comma 12 3 2 2 2 3 6" xfId="33498"/>
    <cellStyle name="Comma 12 3 2 2 2 4" xfId="33499"/>
    <cellStyle name="Comma 12 3 2 2 2 4 2" xfId="33500"/>
    <cellStyle name="Comma 12 3 2 2 2 4 2 2" xfId="33501"/>
    <cellStyle name="Comma 12 3 2 2 2 4 2 3" xfId="33502"/>
    <cellStyle name="Comma 12 3 2 2 2 4 3" xfId="33503"/>
    <cellStyle name="Comma 12 3 2 2 2 4 3 2" xfId="33504"/>
    <cellStyle name="Comma 12 3 2 2 2 4 4" xfId="33505"/>
    <cellStyle name="Comma 12 3 2 2 2 4 5" xfId="33506"/>
    <cellStyle name="Comma 12 3 2 2 2 5" xfId="33507"/>
    <cellStyle name="Comma 12 3 2 2 2 5 2" xfId="33508"/>
    <cellStyle name="Comma 12 3 2 2 2 5 3" xfId="33509"/>
    <cellStyle name="Comma 12 3 2 2 2 6" xfId="33510"/>
    <cellStyle name="Comma 12 3 2 2 2 6 2" xfId="33511"/>
    <cellStyle name="Comma 12 3 2 2 2 6 3" xfId="33512"/>
    <cellStyle name="Comma 12 3 2 2 2 7" xfId="33513"/>
    <cellStyle name="Comma 12 3 2 2 2 7 2" xfId="33514"/>
    <cellStyle name="Comma 12 3 2 2 2 8" xfId="33515"/>
    <cellStyle name="Comma 12 3 2 2 2 9" xfId="33516"/>
    <cellStyle name="Comma 12 3 2 2 3" xfId="33517"/>
    <cellStyle name="Comma 12 3 2 2 3 2" xfId="33518"/>
    <cellStyle name="Comma 12 3 2 2 3 2 2" xfId="33519"/>
    <cellStyle name="Comma 12 3 2 2 3 2 3" xfId="33520"/>
    <cellStyle name="Comma 12 3 2 2 3 3" xfId="33521"/>
    <cellStyle name="Comma 12 3 2 2 3 3 2" xfId="33522"/>
    <cellStyle name="Comma 12 3 2 2 3 3 3" xfId="33523"/>
    <cellStyle name="Comma 12 3 2 2 3 4" xfId="33524"/>
    <cellStyle name="Comma 12 3 2 2 3 4 2" xfId="33525"/>
    <cellStyle name="Comma 12 3 2 2 3 5" xfId="33526"/>
    <cellStyle name="Comma 12 3 2 2 3 6" xfId="33527"/>
    <cellStyle name="Comma 12 3 2 2 4" xfId="33528"/>
    <cellStyle name="Comma 12 3 2 2 4 2" xfId="33529"/>
    <cellStyle name="Comma 12 3 2 2 4 2 2" xfId="33530"/>
    <cellStyle name="Comma 12 3 2 2 4 2 3" xfId="33531"/>
    <cellStyle name="Comma 12 3 2 2 4 3" xfId="33532"/>
    <cellStyle name="Comma 12 3 2 2 4 3 2" xfId="33533"/>
    <cellStyle name="Comma 12 3 2 2 4 3 3" xfId="33534"/>
    <cellStyle name="Comma 12 3 2 2 4 4" xfId="33535"/>
    <cellStyle name="Comma 12 3 2 2 4 4 2" xfId="33536"/>
    <cellStyle name="Comma 12 3 2 2 4 5" xfId="33537"/>
    <cellStyle name="Comma 12 3 2 2 4 6" xfId="33538"/>
    <cellStyle name="Comma 12 3 2 2 5" xfId="33539"/>
    <cellStyle name="Comma 12 3 2 2 5 2" xfId="33540"/>
    <cellStyle name="Comma 12 3 2 2 5 2 2" xfId="33541"/>
    <cellStyle name="Comma 12 3 2 2 5 2 3" xfId="33542"/>
    <cellStyle name="Comma 12 3 2 2 5 3" xfId="33543"/>
    <cellStyle name="Comma 12 3 2 2 5 3 2" xfId="33544"/>
    <cellStyle name="Comma 12 3 2 2 5 4" xfId="33545"/>
    <cellStyle name="Comma 12 3 2 2 5 5" xfId="33546"/>
    <cellStyle name="Comma 12 3 2 2 6" xfId="33547"/>
    <cellStyle name="Comma 12 3 2 2 6 2" xfId="33548"/>
    <cellStyle name="Comma 12 3 2 2 6 3" xfId="33549"/>
    <cellStyle name="Comma 12 3 2 2 7" xfId="33550"/>
    <cellStyle name="Comma 12 3 2 2 7 2" xfId="33551"/>
    <cellStyle name="Comma 12 3 2 2 7 3" xfId="33552"/>
    <cellStyle name="Comma 12 3 2 2 8" xfId="33553"/>
    <cellStyle name="Comma 12 3 2 2 8 2" xfId="33554"/>
    <cellStyle name="Comma 12 3 2 2 9" xfId="33555"/>
    <cellStyle name="Comma 12 3 2 3" xfId="33556"/>
    <cellStyle name="Comma 12 3 2 3 2" xfId="33557"/>
    <cellStyle name="Comma 12 3 2 3 2 2" xfId="33558"/>
    <cellStyle name="Comma 12 3 2 3 2 2 2" xfId="33559"/>
    <cellStyle name="Comma 12 3 2 3 2 2 3" xfId="33560"/>
    <cellStyle name="Comma 12 3 2 3 2 3" xfId="33561"/>
    <cellStyle name="Comma 12 3 2 3 2 3 2" xfId="33562"/>
    <cellStyle name="Comma 12 3 2 3 2 3 3" xfId="33563"/>
    <cellStyle name="Comma 12 3 2 3 2 4" xfId="33564"/>
    <cellStyle name="Comma 12 3 2 3 2 4 2" xfId="33565"/>
    <cellStyle name="Comma 12 3 2 3 2 5" xfId="33566"/>
    <cellStyle name="Comma 12 3 2 3 2 6" xfId="33567"/>
    <cellStyle name="Comma 12 3 2 3 3" xfId="33568"/>
    <cellStyle name="Comma 12 3 2 3 3 2" xfId="33569"/>
    <cellStyle name="Comma 12 3 2 3 3 2 2" xfId="33570"/>
    <cellStyle name="Comma 12 3 2 3 3 2 3" xfId="33571"/>
    <cellStyle name="Comma 12 3 2 3 3 3" xfId="33572"/>
    <cellStyle name="Comma 12 3 2 3 3 3 2" xfId="33573"/>
    <cellStyle name="Comma 12 3 2 3 3 3 3" xfId="33574"/>
    <cellStyle name="Comma 12 3 2 3 3 4" xfId="33575"/>
    <cellStyle name="Comma 12 3 2 3 3 4 2" xfId="33576"/>
    <cellStyle name="Comma 12 3 2 3 3 5" xfId="33577"/>
    <cellStyle name="Comma 12 3 2 3 3 6" xfId="33578"/>
    <cellStyle name="Comma 12 3 2 3 4" xfId="33579"/>
    <cellStyle name="Comma 12 3 2 3 4 2" xfId="33580"/>
    <cellStyle name="Comma 12 3 2 3 4 2 2" xfId="33581"/>
    <cellStyle name="Comma 12 3 2 3 4 2 3" xfId="33582"/>
    <cellStyle name="Comma 12 3 2 3 4 3" xfId="33583"/>
    <cellStyle name="Comma 12 3 2 3 4 3 2" xfId="33584"/>
    <cellStyle name="Comma 12 3 2 3 4 4" xfId="33585"/>
    <cellStyle name="Comma 12 3 2 3 4 5" xfId="33586"/>
    <cellStyle name="Comma 12 3 2 3 5" xfId="33587"/>
    <cellStyle name="Comma 12 3 2 3 5 2" xfId="33588"/>
    <cellStyle name="Comma 12 3 2 3 5 3" xfId="33589"/>
    <cellStyle name="Comma 12 3 2 3 6" xfId="33590"/>
    <cellStyle name="Comma 12 3 2 3 6 2" xfId="33591"/>
    <cellStyle name="Comma 12 3 2 3 6 3" xfId="33592"/>
    <cellStyle name="Comma 12 3 2 3 7" xfId="33593"/>
    <cellStyle name="Comma 12 3 2 3 7 2" xfId="33594"/>
    <cellStyle name="Comma 12 3 2 3 8" xfId="33595"/>
    <cellStyle name="Comma 12 3 2 3 9" xfId="33596"/>
    <cellStyle name="Comma 12 3 2 4" xfId="33597"/>
    <cellStyle name="Comma 12 3 2 4 2" xfId="33598"/>
    <cellStyle name="Comma 12 3 2 4 2 2" xfId="33599"/>
    <cellStyle name="Comma 12 3 2 4 2 2 2" xfId="33600"/>
    <cellStyle name="Comma 12 3 2 4 2 2 3" xfId="33601"/>
    <cellStyle name="Comma 12 3 2 4 2 3" xfId="33602"/>
    <cellStyle name="Comma 12 3 2 4 2 3 2" xfId="33603"/>
    <cellStyle name="Comma 12 3 2 4 2 3 3" xfId="33604"/>
    <cellStyle name="Comma 12 3 2 4 2 4" xfId="33605"/>
    <cellStyle name="Comma 12 3 2 4 2 4 2" xfId="33606"/>
    <cellStyle name="Comma 12 3 2 4 2 5" xfId="33607"/>
    <cellStyle name="Comma 12 3 2 4 2 6" xfId="33608"/>
    <cellStyle name="Comma 12 3 2 4 3" xfId="33609"/>
    <cellStyle name="Comma 12 3 2 4 3 2" xfId="33610"/>
    <cellStyle name="Comma 12 3 2 4 3 2 2" xfId="33611"/>
    <cellStyle name="Comma 12 3 2 4 3 2 3" xfId="33612"/>
    <cellStyle name="Comma 12 3 2 4 3 3" xfId="33613"/>
    <cellStyle name="Comma 12 3 2 4 3 3 2" xfId="33614"/>
    <cellStyle name="Comma 12 3 2 4 3 3 3" xfId="33615"/>
    <cellStyle name="Comma 12 3 2 4 3 4" xfId="33616"/>
    <cellStyle name="Comma 12 3 2 4 3 4 2" xfId="33617"/>
    <cellStyle name="Comma 12 3 2 4 3 5" xfId="33618"/>
    <cellStyle name="Comma 12 3 2 4 3 6" xfId="33619"/>
    <cellStyle name="Comma 12 3 2 4 4" xfId="33620"/>
    <cellStyle name="Comma 12 3 2 4 4 2" xfId="33621"/>
    <cellStyle name="Comma 12 3 2 4 4 2 2" xfId="33622"/>
    <cellStyle name="Comma 12 3 2 4 4 2 3" xfId="33623"/>
    <cellStyle name="Comma 12 3 2 4 4 3" xfId="33624"/>
    <cellStyle name="Comma 12 3 2 4 4 3 2" xfId="33625"/>
    <cellStyle name="Comma 12 3 2 4 4 4" xfId="33626"/>
    <cellStyle name="Comma 12 3 2 4 4 5" xfId="33627"/>
    <cellStyle name="Comma 12 3 2 4 5" xfId="33628"/>
    <cellStyle name="Comma 12 3 2 4 5 2" xfId="33629"/>
    <cellStyle name="Comma 12 3 2 4 5 3" xfId="33630"/>
    <cellStyle name="Comma 12 3 2 4 6" xfId="33631"/>
    <cellStyle name="Comma 12 3 2 4 6 2" xfId="33632"/>
    <cellStyle name="Comma 12 3 2 4 6 3" xfId="33633"/>
    <cellStyle name="Comma 12 3 2 4 7" xfId="33634"/>
    <cellStyle name="Comma 12 3 2 4 7 2" xfId="33635"/>
    <cellStyle name="Comma 12 3 2 4 8" xfId="33636"/>
    <cellStyle name="Comma 12 3 2 4 9" xfId="33637"/>
    <cellStyle name="Comma 12 3 2 5" xfId="33638"/>
    <cellStyle name="Comma 12 3 2 5 2" xfId="33639"/>
    <cellStyle name="Comma 12 3 2 5 2 2" xfId="33640"/>
    <cellStyle name="Comma 12 3 2 5 2 3" xfId="33641"/>
    <cellStyle name="Comma 12 3 2 5 3" xfId="33642"/>
    <cellStyle name="Comma 12 3 2 5 3 2" xfId="33643"/>
    <cellStyle name="Comma 12 3 2 5 3 3" xfId="33644"/>
    <cellStyle name="Comma 12 3 2 5 4" xfId="33645"/>
    <cellStyle name="Comma 12 3 2 5 4 2" xfId="33646"/>
    <cellStyle name="Comma 12 3 2 5 5" xfId="33647"/>
    <cellStyle name="Comma 12 3 2 5 6" xfId="33648"/>
    <cellStyle name="Comma 12 3 2 6" xfId="33649"/>
    <cellStyle name="Comma 12 3 2 6 2" xfId="33650"/>
    <cellStyle name="Comma 12 3 2 6 2 2" xfId="33651"/>
    <cellStyle name="Comma 12 3 2 6 2 3" xfId="33652"/>
    <cellStyle name="Comma 12 3 2 6 3" xfId="33653"/>
    <cellStyle name="Comma 12 3 2 6 3 2" xfId="33654"/>
    <cellStyle name="Comma 12 3 2 6 3 3" xfId="33655"/>
    <cellStyle name="Comma 12 3 2 6 4" xfId="33656"/>
    <cellStyle name="Comma 12 3 2 6 4 2" xfId="33657"/>
    <cellStyle name="Comma 12 3 2 6 5" xfId="33658"/>
    <cellStyle name="Comma 12 3 2 6 6" xfId="33659"/>
    <cellStyle name="Comma 12 3 2 7" xfId="33660"/>
    <cellStyle name="Comma 12 3 2 7 2" xfId="33661"/>
    <cellStyle name="Comma 12 3 2 7 2 2" xfId="33662"/>
    <cellStyle name="Comma 12 3 2 7 2 3" xfId="33663"/>
    <cellStyle name="Comma 12 3 2 7 3" xfId="33664"/>
    <cellStyle name="Comma 12 3 2 7 3 2" xfId="33665"/>
    <cellStyle name="Comma 12 3 2 7 4" xfId="33666"/>
    <cellStyle name="Comma 12 3 2 7 5" xfId="33667"/>
    <cellStyle name="Comma 12 3 2 8" xfId="33668"/>
    <cellStyle name="Comma 12 3 2 8 2" xfId="33669"/>
    <cellStyle name="Comma 12 3 2 8 3" xfId="33670"/>
    <cellStyle name="Comma 12 3 2 9" xfId="33671"/>
    <cellStyle name="Comma 12 3 2 9 2" xfId="33672"/>
    <cellStyle name="Comma 12 3 2 9 3" xfId="33673"/>
    <cellStyle name="Comma 12 3 3" xfId="33674"/>
    <cellStyle name="Comma 12 3 3 10" xfId="33675"/>
    <cellStyle name="Comma 12 3 3 2" xfId="33676"/>
    <cellStyle name="Comma 12 3 3 2 2" xfId="33677"/>
    <cellStyle name="Comma 12 3 3 2 2 2" xfId="33678"/>
    <cellStyle name="Comma 12 3 3 2 2 2 2" xfId="33679"/>
    <cellStyle name="Comma 12 3 3 2 2 2 3" xfId="33680"/>
    <cellStyle name="Comma 12 3 3 2 2 3" xfId="33681"/>
    <cellStyle name="Comma 12 3 3 2 2 3 2" xfId="33682"/>
    <cellStyle name="Comma 12 3 3 2 2 3 3" xfId="33683"/>
    <cellStyle name="Comma 12 3 3 2 2 4" xfId="33684"/>
    <cellStyle name="Comma 12 3 3 2 2 4 2" xfId="33685"/>
    <cellStyle name="Comma 12 3 3 2 2 5" xfId="33686"/>
    <cellStyle name="Comma 12 3 3 2 2 6" xfId="33687"/>
    <cellStyle name="Comma 12 3 3 2 3" xfId="33688"/>
    <cellStyle name="Comma 12 3 3 2 3 2" xfId="33689"/>
    <cellStyle name="Comma 12 3 3 2 3 2 2" xfId="33690"/>
    <cellStyle name="Comma 12 3 3 2 3 2 3" xfId="33691"/>
    <cellStyle name="Comma 12 3 3 2 3 3" xfId="33692"/>
    <cellStyle name="Comma 12 3 3 2 3 3 2" xfId="33693"/>
    <cellStyle name="Comma 12 3 3 2 3 3 3" xfId="33694"/>
    <cellStyle name="Comma 12 3 3 2 3 4" xfId="33695"/>
    <cellStyle name="Comma 12 3 3 2 3 4 2" xfId="33696"/>
    <cellStyle name="Comma 12 3 3 2 3 5" xfId="33697"/>
    <cellStyle name="Comma 12 3 3 2 3 6" xfId="33698"/>
    <cellStyle name="Comma 12 3 3 2 4" xfId="33699"/>
    <cellStyle name="Comma 12 3 3 2 4 2" xfId="33700"/>
    <cellStyle name="Comma 12 3 3 2 4 2 2" xfId="33701"/>
    <cellStyle name="Comma 12 3 3 2 4 2 3" xfId="33702"/>
    <cellStyle name="Comma 12 3 3 2 4 3" xfId="33703"/>
    <cellStyle name="Comma 12 3 3 2 4 3 2" xfId="33704"/>
    <cellStyle name="Comma 12 3 3 2 4 4" xfId="33705"/>
    <cellStyle name="Comma 12 3 3 2 4 5" xfId="33706"/>
    <cellStyle name="Comma 12 3 3 2 5" xfId="33707"/>
    <cellStyle name="Comma 12 3 3 2 5 2" xfId="33708"/>
    <cellStyle name="Comma 12 3 3 2 5 3" xfId="33709"/>
    <cellStyle name="Comma 12 3 3 2 6" xfId="33710"/>
    <cellStyle name="Comma 12 3 3 2 6 2" xfId="33711"/>
    <cellStyle name="Comma 12 3 3 2 6 3" xfId="33712"/>
    <cellStyle name="Comma 12 3 3 2 7" xfId="33713"/>
    <cellStyle name="Comma 12 3 3 2 7 2" xfId="33714"/>
    <cellStyle name="Comma 12 3 3 2 8" xfId="33715"/>
    <cellStyle name="Comma 12 3 3 2 9" xfId="33716"/>
    <cellStyle name="Comma 12 3 3 3" xfId="33717"/>
    <cellStyle name="Comma 12 3 3 3 2" xfId="33718"/>
    <cellStyle name="Comma 12 3 3 3 2 2" xfId="33719"/>
    <cellStyle name="Comma 12 3 3 3 2 3" xfId="33720"/>
    <cellStyle name="Comma 12 3 3 3 3" xfId="33721"/>
    <cellStyle name="Comma 12 3 3 3 3 2" xfId="33722"/>
    <cellStyle name="Comma 12 3 3 3 3 3" xfId="33723"/>
    <cellStyle name="Comma 12 3 3 3 4" xfId="33724"/>
    <cellStyle name="Comma 12 3 3 3 4 2" xfId="33725"/>
    <cellStyle name="Comma 12 3 3 3 5" xfId="33726"/>
    <cellStyle name="Comma 12 3 3 3 6" xfId="33727"/>
    <cellStyle name="Comma 12 3 3 4" xfId="33728"/>
    <cellStyle name="Comma 12 3 3 4 2" xfId="33729"/>
    <cellStyle name="Comma 12 3 3 4 2 2" xfId="33730"/>
    <cellStyle name="Comma 12 3 3 4 2 3" xfId="33731"/>
    <cellStyle name="Comma 12 3 3 4 3" xfId="33732"/>
    <cellStyle name="Comma 12 3 3 4 3 2" xfId="33733"/>
    <cellStyle name="Comma 12 3 3 4 3 3" xfId="33734"/>
    <cellStyle name="Comma 12 3 3 4 4" xfId="33735"/>
    <cellStyle name="Comma 12 3 3 4 4 2" xfId="33736"/>
    <cellStyle name="Comma 12 3 3 4 5" xfId="33737"/>
    <cellStyle name="Comma 12 3 3 4 6" xfId="33738"/>
    <cellStyle name="Comma 12 3 3 5" xfId="33739"/>
    <cellStyle name="Comma 12 3 3 5 2" xfId="33740"/>
    <cellStyle name="Comma 12 3 3 5 2 2" xfId="33741"/>
    <cellStyle name="Comma 12 3 3 5 2 3" xfId="33742"/>
    <cellStyle name="Comma 12 3 3 5 3" xfId="33743"/>
    <cellStyle name="Comma 12 3 3 5 3 2" xfId="33744"/>
    <cellStyle name="Comma 12 3 3 5 4" xfId="33745"/>
    <cellStyle name="Comma 12 3 3 5 5" xfId="33746"/>
    <cellStyle name="Comma 12 3 3 6" xfId="33747"/>
    <cellStyle name="Comma 12 3 3 6 2" xfId="33748"/>
    <cellStyle name="Comma 12 3 3 6 3" xfId="33749"/>
    <cellStyle name="Comma 12 3 3 7" xfId="33750"/>
    <cellStyle name="Comma 12 3 3 7 2" xfId="33751"/>
    <cellStyle name="Comma 12 3 3 7 3" xfId="33752"/>
    <cellStyle name="Comma 12 3 3 8" xfId="33753"/>
    <cellStyle name="Comma 12 3 3 8 2" xfId="33754"/>
    <cellStyle name="Comma 12 3 3 9" xfId="33755"/>
    <cellStyle name="Comma 12 3 4" xfId="33756"/>
    <cellStyle name="Comma 12 3 4 2" xfId="33757"/>
    <cellStyle name="Comma 12 3 4 2 2" xfId="33758"/>
    <cellStyle name="Comma 12 3 4 2 2 2" xfId="33759"/>
    <cellStyle name="Comma 12 3 4 2 2 3" xfId="33760"/>
    <cellStyle name="Comma 12 3 4 2 3" xfId="33761"/>
    <cellStyle name="Comma 12 3 4 2 3 2" xfId="33762"/>
    <cellStyle name="Comma 12 3 4 2 3 3" xfId="33763"/>
    <cellStyle name="Comma 12 3 4 2 4" xfId="33764"/>
    <cellStyle name="Comma 12 3 4 2 4 2" xfId="33765"/>
    <cellStyle name="Comma 12 3 4 2 5" xfId="33766"/>
    <cellStyle name="Comma 12 3 4 2 6" xfId="33767"/>
    <cellStyle name="Comma 12 3 4 3" xfId="33768"/>
    <cellStyle name="Comma 12 3 4 3 2" xfId="33769"/>
    <cellStyle name="Comma 12 3 4 3 2 2" xfId="33770"/>
    <cellStyle name="Comma 12 3 4 3 2 3" xfId="33771"/>
    <cellStyle name="Comma 12 3 4 3 3" xfId="33772"/>
    <cellStyle name="Comma 12 3 4 3 3 2" xfId="33773"/>
    <cellStyle name="Comma 12 3 4 3 3 3" xfId="33774"/>
    <cellStyle name="Comma 12 3 4 3 4" xfId="33775"/>
    <cellStyle name="Comma 12 3 4 3 4 2" xfId="33776"/>
    <cellStyle name="Comma 12 3 4 3 5" xfId="33777"/>
    <cellStyle name="Comma 12 3 4 3 6" xfId="33778"/>
    <cellStyle name="Comma 12 3 4 4" xfId="33779"/>
    <cellStyle name="Comma 12 3 4 4 2" xfId="33780"/>
    <cellStyle name="Comma 12 3 4 4 2 2" xfId="33781"/>
    <cellStyle name="Comma 12 3 4 4 2 3" xfId="33782"/>
    <cellStyle name="Comma 12 3 4 4 3" xfId="33783"/>
    <cellStyle name="Comma 12 3 4 4 3 2" xfId="33784"/>
    <cellStyle name="Comma 12 3 4 4 4" xfId="33785"/>
    <cellStyle name="Comma 12 3 4 4 5" xfId="33786"/>
    <cellStyle name="Comma 12 3 4 5" xfId="33787"/>
    <cellStyle name="Comma 12 3 4 5 2" xfId="33788"/>
    <cellStyle name="Comma 12 3 4 5 3" xfId="33789"/>
    <cellStyle name="Comma 12 3 4 6" xfId="33790"/>
    <cellStyle name="Comma 12 3 4 6 2" xfId="33791"/>
    <cellStyle name="Comma 12 3 4 6 3" xfId="33792"/>
    <cellStyle name="Comma 12 3 4 7" xfId="33793"/>
    <cellStyle name="Comma 12 3 4 7 2" xfId="33794"/>
    <cellStyle name="Comma 12 3 4 8" xfId="33795"/>
    <cellStyle name="Comma 12 3 4 9" xfId="33796"/>
    <cellStyle name="Comma 12 3 5" xfId="33797"/>
    <cellStyle name="Comma 12 3 5 2" xfId="33798"/>
    <cellStyle name="Comma 12 3 5 2 2" xfId="33799"/>
    <cellStyle name="Comma 12 3 5 2 2 2" xfId="33800"/>
    <cellStyle name="Comma 12 3 5 2 2 3" xfId="33801"/>
    <cellStyle name="Comma 12 3 5 2 3" xfId="33802"/>
    <cellStyle name="Comma 12 3 5 2 3 2" xfId="33803"/>
    <cellStyle name="Comma 12 3 5 2 3 3" xfId="33804"/>
    <cellStyle name="Comma 12 3 5 2 4" xfId="33805"/>
    <cellStyle name="Comma 12 3 5 2 4 2" xfId="33806"/>
    <cellStyle name="Comma 12 3 5 2 5" xfId="33807"/>
    <cellStyle name="Comma 12 3 5 2 6" xfId="33808"/>
    <cellStyle name="Comma 12 3 5 3" xfId="33809"/>
    <cellStyle name="Comma 12 3 5 3 2" xfId="33810"/>
    <cellStyle name="Comma 12 3 5 3 2 2" xfId="33811"/>
    <cellStyle name="Comma 12 3 5 3 2 3" xfId="33812"/>
    <cellStyle name="Comma 12 3 5 3 3" xfId="33813"/>
    <cellStyle name="Comma 12 3 5 3 3 2" xfId="33814"/>
    <cellStyle name="Comma 12 3 5 3 3 3" xfId="33815"/>
    <cellStyle name="Comma 12 3 5 3 4" xfId="33816"/>
    <cellStyle name="Comma 12 3 5 3 4 2" xfId="33817"/>
    <cellStyle name="Comma 12 3 5 3 5" xfId="33818"/>
    <cellStyle name="Comma 12 3 5 3 6" xfId="33819"/>
    <cellStyle name="Comma 12 3 5 4" xfId="33820"/>
    <cellStyle name="Comma 12 3 5 4 2" xfId="33821"/>
    <cellStyle name="Comma 12 3 5 4 2 2" xfId="33822"/>
    <cellStyle name="Comma 12 3 5 4 2 3" xfId="33823"/>
    <cellStyle name="Comma 12 3 5 4 3" xfId="33824"/>
    <cellStyle name="Comma 12 3 5 4 3 2" xfId="33825"/>
    <cellStyle name="Comma 12 3 5 4 4" xfId="33826"/>
    <cellStyle name="Comma 12 3 5 4 5" xfId="33827"/>
    <cellStyle name="Comma 12 3 5 5" xfId="33828"/>
    <cellStyle name="Comma 12 3 5 5 2" xfId="33829"/>
    <cellStyle name="Comma 12 3 5 5 3" xfId="33830"/>
    <cellStyle name="Comma 12 3 5 6" xfId="33831"/>
    <cellStyle name="Comma 12 3 5 6 2" xfId="33832"/>
    <cellStyle name="Comma 12 3 5 6 3" xfId="33833"/>
    <cellStyle name="Comma 12 3 5 7" xfId="33834"/>
    <cellStyle name="Comma 12 3 5 7 2" xfId="33835"/>
    <cellStyle name="Comma 12 3 5 8" xfId="33836"/>
    <cellStyle name="Comma 12 3 5 9" xfId="33837"/>
    <cellStyle name="Comma 12 3 6" xfId="33838"/>
    <cellStyle name="Comma 12 3 6 2" xfId="33839"/>
    <cellStyle name="Comma 12 3 6 2 2" xfId="33840"/>
    <cellStyle name="Comma 12 3 6 2 3" xfId="33841"/>
    <cellStyle name="Comma 12 3 6 3" xfId="33842"/>
    <cellStyle name="Comma 12 3 6 3 2" xfId="33843"/>
    <cellStyle name="Comma 12 3 6 3 3" xfId="33844"/>
    <cellStyle name="Comma 12 3 6 4" xfId="33845"/>
    <cellStyle name="Comma 12 3 6 4 2" xfId="33846"/>
    <cellStyle name="Comma 12 3 6 5" xfId="33847"/>
    <cellStyle name="Comma 12 3 6 6" xfId="33848"/>
    <cellStyle name="Comma 12 3 7" xfId="33849"/>
    <cellStyle name="Comma 12 3 7 2" xfId="33850"/>
    <cellStyle name="Comma 12 3 7 2 2" xfId="33851"/>
    <cellStyle name="Comma 12 3 7 2 3" xfId="33852"/>
    <cellStyle name="Comma 12 3 7 3" xfId="33853"/>
    <cellStyle name="Comma 12 3 7 3 2" xfId="33854"/>
    <cellStyle name="Comma 12 3 7 3 3" xfId="33855"/>
    <cellStyle name="Comma 12 3 7 4" xfId="33856"/>
    <cellStyle name="Comma 12 3 7 4 2" xfId="33857"/>
    <cellStyle name="Comma 12 3 7 5" xfId="33858"/>
    <cellStyle name="Comma 12 3 7 6" xfId="33859"/>
    <cellStyle name="Comma 12 3 8" xfId="33860"/>
    <cellStyle name="Comma 12 3 8 2" xfId="33861"/>
    <cellStyle name="Comma 12 3 8 2 2" xfId="33862"/>
    <cellStyle name="Comma 12 3 8 2 3" xfId="33863"/>
    <cellStyle name="Comma 12 3 8 3" xfId="33864"/>
    <cellStyle name="Comma 12 3 8 3 2" xfId="33865"/>
    <cellStyle name="Comma 12 3 8 4" xfId="33866"/>
    <cellStyle name="Comma 12 3 8 5" xfId="33867"/>
    <cellStyle name="Comma 12 3 9" xfId="33868"/>
    <cellStyle name="Comma 12 3 9 2" xfId="33869"/>
    <cellStyle name="Comma 12 3 9 3" xfId="33870"/>
    <cellStyle name="Comma 12 4" xfId="33871"/>
    <cellStyle name="Comma 12 4 10" xfId="33872"/>
    <cellStyle name="Comma 12 4 10 2" xfId="33873"/>
    <cellStyle name="Comma 12 4 11" xfId="33874"/>
    <cellStyle name="Comma 12 4 12" xfId="33875"/>
    <cellStyle name="Comma 12 4 2" xfId="33876"/>
    <cellStyle name="Comma 12 4 2 10" xfId="33877"/>
    <cellStyle name="Comma 12 4 2 2" xfId="33878"/>
    <cellStyle name="Comma 12 4 2 2 2" xfId="33879"/>
    <cellStyle name="Comma 12 4 2 2 2 2" xfId="33880"/>
    <cellStyle name="Comma 12 4 2 2 2 2 2" xfId="33881"/>
    <cellStyle name="Comma 12 4 2 2 2 2 3" xfId="33882"/>
    <cellStyle name="Comma 12 4 2 2 2 3" xfId="33883"/>
    <cellStyle name="Comma 12 4 2 2 2 3 2" xfId="33884"/>
    <cellStyle name="Comma 12 4 2 2 2 3 3" xfId="33885"/>
    <cellStyle name="Comma 12 4 2 2 2 4" xfId="33886"/>
    <cellStyle name="Comma 12 4 2 2 2 4 2" xfId="33887"/>
    <cellStyle name="Comma 12 4 2 2 2 5" xfId="33888"/>
    <cellStyle name="Comma 12 4 2 2 2 6" xfId="33889"/>
    <cellStyle name="Comma 12 4 2 2 3" xfId="33890"/>
    <cellStyle name="Comma 12 4 2 2 3 2" xfId="33891"/>
    <cellStyle name="Comma 12 4 2 2 3 2 2" xfId="33892"/>
    <cellStyle name="Comma 12 4 2 2 3 2 3" xfId="33893"/>
    <cellStyle name="Comma 12 4 2 2 3 3" xfId="33894"/>
    <cellStyle name="Comma 12 4 2 2 3 3 2" xfId="33895"/>
    <cellStyle name="Comma 12 4 2 2 3 3 3" xfId="33896"/>
    <cellStyle name="Comma 12 4 2 2 3 4" xfId="33897"/>
    <cellStyle name="Comma 12 4 2 2 3 4 2" xfId="33898"/>
    <cellStyle name="Comma 12 4 2 2 3 5" xfId="33899"/>
    <cellStyle name="Comma 12 4 2 2 3 6" xfId="33900"/>
    <cellStyle name="Comma 12 4 2 2 4" xfId="33901"/>
    <cellStyle name="Comma 12 4 2 2 4 2" xfId="33902"/>
    <cellStyle name="Comma 12 4 2 2 4 2 2" xfId="33903"/>
    <cellStyle name="Comma 12 4 2 2 4 2 3" xfId="33904"/>
    <cellStyle name="Comma 12 4 2 2 4 3" xfId="33905"/>
    <cellStyle name="Comma 12 4 2 2 4 3 2" xfId="33906"/>
    <cellStyle name="Comma 12 4 2 2 4 4" xfId="33907"/>
    <cellStyle name="Comma 12 4 2 2 4 5" xfId="33908"/>
    <cellStyle name="Comma 12 4 2 2 5" xfId="33909"/>
    <cellStyle name="Comma 12 4 2 2 5 2" xfId="33910"/>
    <cellStyle name="Comma 12 4 2 2 5 3" xfId="33911"/>
    <cellStyle name="Comma 12 4 2 2 6" xfId="33912"/>
    <cellStyle name="Comma 12 4 2 2 6 2" xfId="33913"/>
    <cellStyle name="Comma 12 4 2 2 6 3" xfId="33914"/>
    <cellStyle name="Comma 12 4 2 2 7" xfId="33915"/>
    <cellStyle name="Comma 12 4 2 2 7 2" xfId="33916"/>
    <cellStyle name="Comma 12 4 2 2 8" xfId="33917"/>
    <cellStyle name="Comma 12 4 2 2 9" xfId="33918"/>
    <cellStyle name="Comma 12 4 2 3" xfId="33919"/>
    <cellStyle name="Comma 12 4 2 3 2" xfId="33920"/>
    <cellStyle name="Comma 12 4 2 3 2 2" xfId="33921"/>
    <cellStyle name="Comma 12 4 2 3 2 3" xfId="33922"/>
    <cellStyle name="Comma 12 4 2 3 3" xfId="33923"/>
    <cellStyle name="Comma 12 4 2 3 3 2" xfId="33924"/>
    <cellStyle name="Comma 12 4 2 3 3 3" xfId="33925"/>
    <cellStyle name="Comma 12 4 2 3 4" xfId="33926"/>
    <cellStyle name="Comma 12 4 2 3 4 2" xfId="33927"/>
    <cellStyle name="Comma 12 4 2 3 5" xfId="33928"/>
    <cellStyle name="Comma 12 4 2 3 6" xfId="33929"/>
    <cellStyle name="Comma 12 4 2 4" xfId="33930"/>
    <cellStyle name="Comma 12 4 2 4 2" xfId="33931"/>
    <cellStyle name="Comma 12 4 2 4 2 2" xfId="33932"/>
    <cellStyle name="Comma 12 4 2 4 2 3" xfId="33933"/>
    <cellStyle name="Comma 12 4 2 4 3" xfId="33934"/>
    <cellStyle name="Comma 12 4 2 4 3 2" xfId="33935"/>
    <cellStyle name="Comma 12 4 2 4 3 3" xfId="33936"/>
    <cellStyle name="Comma 12 4 2 4 4" xfId="33937"/>
    <cellStyle name="Comma 12 4 2 4 4 2" xfId="33938"/>
    <cellStyle name="Comma 12 4 2 4 5" xfId="33939"/>
    <cellStyle name="Comma 12 4 2 4 6" xfId="33940"/>
    <cellStyle name="Comma 12 4 2 5" xfId="33941"/>
    <cellStyle name="Comma 12 4 2 5 2" xfId="33942"/>
    <cellStyle name="Comma 12 4 2 5 2 2" xfId="33943"/>
    <cellStyle name="Comma 12 4 2 5 2 3" xfId="33944"/>
    <cellStyle name="Comma 12 4 2 5 3" xfId="33945"/>
    <cellStyle name="Comma 12 4 2 5 3 2" xfId="33946"/>
    <cellStyle name="Comma 12 4 2 5 4" xfId="33947"/>
    <cellStyle name="Comma 12 4 2 5 5" xfId="33948"/>
    <cellStyle name="Comma 12 4 2 6" xfId="33949"/>
    <cellStyle name="Comma 12 4 2 6 2" xfId="33950"/>
    <cellStyle name="Comma 12 4 2 6 3" xfId="33951"/>
    <cellStyle name="Comma 12 4 2 7" xfId="33952"/>
    <cellStyle name="Comma 12 4 2 7 2" xfId="33953"/>
    <cellStyle name="Comma 12 4 2 7 3" xfId="33954"/>
    <cellStyle name="Comma 12 4 2 8" xfId="33955"/>
    <cellStyle name="Comma 12 4 2 8 2" xfId="33956"/>
    <cellStyle name="Comma 12 4 2 9" xfId="33957"/>
    <cellStyle name="Comma 12 4 3" xfId="33958"/>
    <cellStyle name="Comma 12 4 3 2" xfId="33959"/>
    <cellStyle name="Comma 12 4 3 2 2" xfId="33960"/>
    <cellStyle name="Comma 12 4 3 2 2 2" xfId="33961"/>
    <cellStyle name="Comma 12 4 3 2 2 3" xfId="33962"/>
    <cellStyle name="Comma 12 4 3 2 3" xfId="33963"/>
    <cellStyle name="Comma 12 4 3 2 3 2" xfId="33964"/>
    <cellStyle name="Comma 12 4 3 2 3 3" xfId="33965"/>
    <cellStyle name="Comma 12 4 3 2 4" xfId="33966"/>
    <cellStyle name="Comma 12 4 3 2 4 2" xfId="33967"/>
    <cellStyle name="Comma 12 4 3 2 5" xfId="33968"/>
    <cellStyle name="Comma 12 4 3 2 6" xfId="33969"/>
    <cellStyle name="Comma 12 4 3 3" xfId="33970"/>
    <cellStyle name="Comma 12 4 3 3 2" xfId="33971"/>
    <cellStyle name="Comma 12 4 3 3 2 2" xfId="33972"/>
    <cellStyle name="Comma 12 4 3 3 2 3" xfId="33973"/>
    <cellStyle name="Comma 12 4 3 3 3" xfId="33974"/>
    <cellStyle name="Comma 12 4 3 3 3 2" xfId="33975"/>
    <cellStyle name="Comma 12 4 3 3 3 3" xfId="33976"/>
    <cellStyle name="Comma 12 4 3 3 4" xfId="33977"/>
    <cellStyle name="Comma 12 4 3 3 4 2" xfId="33978"/>
    <cellStyle name="Comma 12 4 3 3 5" xfId="33979"/>
    <cellStyle name="Comma 12 4 3 3 6" xfId="33980"/>
    <cellStyle name="Comma 12 4 3 4" xfId="33981"/>
    <cellStyle name="Comma 12 4 3 4 2" xfId="33982"/>
    <cellStyle name="Comma 12 4 3 4 2 2" xfId="33983"/>
    <cellStyle name="Comma 12 4 3 4 2 3" xfId="33984"/>
    <cellStyle name="Comma 12 4 3 4 3" xfId="33985"/>
    <cellStyle name="Comma 12 4 3 4 3 2" xfId="33986"/>
    <cellStyle name="Comma 12 4 3 4 4" xfId="33987"/>
    <cellStyle name="Comma 12 4 3 4 5" xfId="33988"/>
    <cellStyle name="Comma 12 4 3 5" xfId="33989"/>
    <cellStyle name="Comma 12 4 3 5 2" xfId="33990"/>
    <cellStyle name="Comma 12 4 3 5 3" xfId="33991"/>
    <cellStyle name="Comma 12 4 3 6" xfId="33992"/>
    <cellStyle name="Comma 12 4 3 6 2" xfId="33993"/>
    <cellStyle name="Comma 12 4 3 6 3" xfId="33994"/>
    <cellStyle name="Comma 12 4 3 7" xfId="33995"/>
    <cellStyle name="Comma 12 4 3 7 2" xfId="33996"/>
    <cellStyle name="Comma 12 4 3 8" xfId="33997"/>
    <cellStyle name="Comma 12 4 3 9" xfId="33998"/>
    <cellStyle name="Comma 12 4 4" xfId="33999"/>
    <cellStyle name="Comma 12 4 4 2" xfId="34000"/>
    <cellStyle name="Comma 12 4 4 2 2" xfId="34001"/>
    <cellStyle name="Comma 12 4 4 2 2 2" xfId="34002"/>
    <cellStyle name="Comma 12 4 4 2 2 3" xfId="34003"/>
    <cellStyle name="Comma 12 4 4 2 3" xfId="34004"/>
    <cellStyle name="Comma 12 4 4 2 3 2" xfId="34005"/>
    <cellStyle name="Comma 12 4 4 2 3 3" xfId="34006"/>
    <cellStyle name="Comma 12 4 4 2 4" xfId="34007"/>
    <cellStyle name="Comma 12 4 4 2 4 2" xfId="34008"/>
    <cellStyle name="Comma 12 4 4 2 5" xfId="34009"/>
    <cellStyle name="Comma 12 4 4 2 6" xfId="34010"/>
    <cellStyle name="Comma 12 4 4 3" xfId="34011"/>
    <cellStyle name="Comma 12 4 4 3 2" xfId="34012"/>
    <cellStyle name="Comma 12 4 4 3 2 2" xfId="34013"/>
    <cellStyle name="Comma 12 4 4 3 2 3" xfId="34014"/>
    <cellStyle name="Comma 12 4 4 3 3" xfId="34015"/>
    <cellStyle name="Comma 12 4 4 3 3 2" xfId="34016"/>
    <cellStyle name="Comma 12 4 4 3 3 3" xfId="34017"/>
    <cellStyle name="Comma 12 4 4 3 4" xfId="34018"/>
    <cellStyle name="Comma 12 4 4 3 4 2" xfId="34019"/>
    <cellStyle name="Comma 12 4 4 3 5" xfId="34020"/>
    <cellStyle name="Comma 12 4 4 3 6" xfId="34021"/>
    <cellStyle name="Comma 12 4 4 4" xfId="34022"/>
    <cellStyle name="Comma 12 4 4 4 2" xfId="34023"/>
    <cellStyle name="Comma 12 4 4 4 2 2" xfId="34024"/>
    <cellStyle name="Comma 12 4 4 4 2 3" xfId="34025"/>
    <cellStyle name="Comma 12 4 4 4 3" xfId="34026"/>
    <cellStyle name="Comma 12 4 4 4 3 2" xfId="34027"/>
    <cellStyle name="Comma 12 4 4 4 4" xfId="34028"/>
    <cellStyle name="Comma 12 4 4 4 5" xfId="34029"/>
    <cellStyle name="Comma 12 4 4 5" xfId="34030"/>
    <cellStyle name="Comma 12 4 4 5 2" xfId="34031"/>
    <cellStyle name="Comma 12 4 4 5 3" xfId="34032"/>
    <cellStyle name="Comma 12 4 4 6" xfId="34033"/>
    <cellStyle name="Comma 12 4 4 6 2" xfId="34034"/>
    <cellStyle name="Comma 12 4 4 6 3" xfId="34035"/>
    <cellStyle name="Comma 12 4 4 7" xfId="34036"/>
    <cellStyle name="Comma 12 4 4 7 2" xfId="34037"/>
    <cellStyle name="Comma 12 4 4 8" xfId="34038"/>
    <cellStyle name="Comma 12 4 4 9" xfId="34039"/>
    <cellStyle name="Comma 12 4 5" xfId="34040"/>
    <cellStyle name="Comma 12 4 5 2" xfId="34041"/>
    <cellStyle name="Comma 12 4 5 2 2" xfId="34042"/>
    <cellStyle name="Comma 12 4 5 2 3" xfId="34043"/>
    <cellStyle name="Comma 12 4 5 3" xfId="34044"/>
    <cellStyle name="Comma 12 4 5 3 2" xfId="34045"/>
    <cellStyle name="Comma 12 4 5 3 3" xfId="34046"/>
    <cellStyle name="Comma 12 4 5 4" xfId="34047"/>
    <cellStyle name="Comma 12 4 5 4 2" xfId="34048"/>
    <cellStyle name="Comma 12 4 5 5" xfId="34049"/>
    <cellStyle name="Comma 12 4 5 6" xfId="34050"/>
    <cellStyle name="Comma 12 4 6" xfId="34051"/>
    <cellStyle name="Comma 12 4 6 2" xfId="34052"/>
    <cellStyle name="Comma 12 4 6 2 2" xfId="34053"/>
    <cellStyle name="Comma 12 4 6 2 3" xfId="34054"/>
    <cellStyle name="Comma 12 4 6 3" xfId="34055"/>
    <cellStyle name="Comma 12 4 6 3 2" xfId="34056"/>
    <cellStyle name="Comma 12 4 6 3 3" xfId="34057"/>
    <cellStyle name="Comma 12 4 6 4" xfId="34058"/>
    <cellStyle name="Comma 12 4 6 4 2" xfId="34059"/>
    <cellStyle name="Comma 12 4 6 5" xfId="34060"/>
    <cellStyle name="Comma 12 4 6 6" xfId="34061"/>
    <cellStyle name="Comma 12 4 7" xfId="34062"/>
    <cellStyle name="Comma 12 4 7 2" xfId="34063"/>
    <cellStyle name="Comma 12 4 7 2 2" xfId="34064"/>
    <cellStyle name="Comma 12 4 7 2 3" xfId="34065"/>
    <cellStyle name="Comma 12 4 7 3" xfId="34066"/>
    <cellStyle name="Comma 12 4 7 3 2" xfId="34067"/>
    <cellStyle name="Comma 12 4 7 4" xfId="34068"/>
    <cellStyle name="Comma 12 4 7 5" xfId="34069"/>
    <cellStyle name="Comma 12 4 8" xfId="34070"/>
    <cellStyle name="Comma 12 4 8 2" xfId="34071"/>
    <cellStyle name="Comma 12 4 8 3" xfId="34072"/>
    <cellStyle name="Comma 12 4 9" xfId="34073"/>
    <cellStyle name="Comma 12 4 9 2" xfId="34074"/>
    <cellStyle name="Comma 12 4 9 3" xfId="34075"/>
    <cellStyle name="Comma 12 5" xfId="34076"/>
    <cellStyle name="Comma 12 5 10" xfId="34077"/>
    <cellStyle name="Comma 12 5 2" xfId="34078"/>
    <cellStyle name="Comma 12 5 2 2" xfId="34079"/>
    <cellStyle name="Comma 12 5 2 2 2" xfId="34080"/>
    <cellStyle name="Comma 12 5 2 2 2 2" xfId="34081"/>
    <cellStyle name="Comma 12 5 2 2 2 3" xfId="34082"/>
    <cellStyle name="Comma 12 5 2 2 3" xfId="34083"/>
    <cellStyle name="Comma 12 5 2 2 3 2" xfId="34084"/>
    <cellStyle name="Comma 12 5 2 2 3 3" xfId="34085"/>
    <cellStyle name="Comma 12 5 2 2 4" xfId="34086"/>
    <cellStyle name="Comma 12 5 2 2 4 2" xfId="34087"/>
    <cellStyle name="Comma 12 5 2 2 5" xfId="34088"/>
    <cellStyle name="Comma 12 5 2 2 6" xfId="34089"/>
    <cellStyle name="Comma 12 5 2 3" xfId="34090"/>
    <cellStyle name="Comma 12 5 2 3 2" xfId="34091"/>
    <cellStyle name="Comma 12 5 2 3 2 2" xfId="34092"/>
    <cellStyle name="Comma 12 5 2 3 2 3" xfId="34093"/>
    <cellStyle name="Comma 12 5 2 3 3" xfId="34094"/>
    <cellStyle name="Comma 12 5 2 3 3 2" xfId="34095"/>
    <cellStyle name="Comma 12 5 2 3 3 3" xfId="34096"/>
    <cellStyle name="Comma 12 5 2 3 4" xfId="34097"/>
    <cellStyle name="Comma 12 5 2 3 4 2" xfId="34098"/>
    <cellStyle name="Comma 12 5 2 3 5" xfId="34099"/>
    <cellStyle name="Comma 12 5 2 3 6" xfId="34100"/>
    <cellStyle name="Comma 12 5 2 4" xfId="34101"/>
    <cellStyle name="Comma 12 5 2 4 2" xfId="34102"/>
    <cellStyle name="Comma 12 5 2 4 2 2" xfId="34103"/>
    <cellStyle name="Comma 12 5 2 4 2 3" xfId="34104"/>
    <cellStyle name="Comma 12 5 2 4 3" xfId="34105"/>
    <cellStyle name="Comma 12 5 2 4 3 2" xfId="34106"/>
    <cellStyle name="Comma 12 5 2 4 4" xfId="34107"/>
    <cellStyle name="Comma 12 5 2 4 5" xfId="34108"/>
    <cellStyle name="Comma 12 5 2 5" xfId="34109"/>
    <cellStyle name="Comma 12 5 2 5 2" xfId="34110"/>
    <cellStyle name="Comma 12 5 2 5 3" xfId="34111"/>
    <cellStyle name="Comma 12 5 2 6" xfId="34112"/>
    <cellStyle name="Comma 12 5 2 6 2" xfId="34113"/>
    <cellStyle name="Comma 12 5 2 6 3" xfId="34114"/>
    <cellStyle name="Comma 12 5 2 7" xfId="34115"/>
    <cellStyle name="Comma 12 5 2 7 2" xfId="34116"/>
    <cellStyle name="Comma 12 5 2 8" xfId="34117"/>
    <cellStyle name="Comma 12 5 2 9" xfId="34118"/>
    <cellStyle name="Comma 12 5 3" xfId="34119"/>
    <cellStyle name="Comma 12 5 3 2" xfId="34120"/>
    <cellStyle name="Comma 12 5 3 2 2" xfId="34121"/>
    <cellStyle name="Comma 12 5 3 2 3" xfId="34122"/>
    <cellStyle name="Comma 12 5 3 3" xfId="34123"/>
    <cellStyle name="Comma 12 5 3 3 2" xfId="34124"/>
    <cellStyle name="Comma 12 5 3 3 3" xfId="34125"/>
    <cellStyle name="Comma 12 5 3 4" xfId="34126"/>
    <cellStyle name="Comma 12 5 3 4 2" xfId="34127"/>
    <cellStyle name="Comma 12 5 3 5" xfId="34128"/>
    <cellStyle name="Comma 12 5 3 6" xfId="34129"/>
    <cellStyle name="Comma 12 5 4" xfId="34130"/>
    <cellStyle name="Comma 12 5 4 2" xfId="34131"/>
    <cellStyle name="Comma 12 5 4 2 2" xfId="34132"/>
    <cellStyle name="Comma 12 5 4 2 3" xfId="34133"/>
    <cellStyle name="Comma 12 5 4 3" xfId="34134"/>
    <cellStyle name="Comma 12 5 4 3 2" xfId="34135"/>
    <cellStyle name="Comma 12 5 4 3 3" xfId="34136"/>
    <cellStyle name="Comma 12 5 4 4" xfId="34137"/>
    <cellStyle name="Comma 12 5 4 4 2" xfId="34138"/>
    <cellStyle name="Comma 12 5 4 5" xfId="34139"/>
    <cellStyle name="Comma 12 5 4 6" xfId="34140"/>
    <cellStyle name="Comma 12 5 5" xfId="34141"/>
    <cellStyle name="Comma 12 5 5 2" xfId="34142"/>
    <cellStyle name="Comma 12 5 5 2 2" xfId="34143"/>
    <cellStyle name="Comma 12 5 5 2 3" xfId="34144"/>
    <cellStyle name="Comma 12 5 5 3" xfId="34145"/>
    <cellStyle name="Comma 12 5 5 3 2" xfId="34146"/>
    <cellStyle name="Comma 12 5 5 4" xfId="34147"/>
    <cellStyle name="Comma 12 5 5 5" xfId="34148"/>
    <cellStyle name="Comma 12 5 6" xfId="34149"/>
    <cellStyle name="Comma 12 5 6 2" xfId="34150"/>
    <cellStyle name="Comma 12 5 6 3" xfId="34151"/>
    <cellStyle name="Comma 12 5 7" xfId="34152"/>
    <cellStyle name="Comma 12 5 7 2" xfId="34153"/>
    <cellStyle name="Comma 12 5 7 3" xfId="34154"/>
    <cellStyle name="Comma 12 5 8" xfId="34155"/>
    <cellStyle name="Comma 12 5 8 2" xfId="34156"/>
    <cellStyle name="Comma 12 5 9" xfId="34157"/>
    <cellStyle name="Comma 12 6" xfId="34158"/>
    <cellStyle name="Comma 12 6 2" xfId="34159"/>
    <cellStyle name="Comma 12 6 2 2" xfId="34160"/>
    <cellStyle name="Comma 12 6 2 2 2" xfId="34161"/>
    <cellStyle name="Comma 12 6 2 2 3" xfId="34162"/>
    <cellStyle name="Comma 12 6 2 3" xfId="34163"/>
    <cellStyle name="Comma 12 6 2 3 2" xfId="34164"/>
    <cellStyle name="Comma 12 6 2 3 3" xfId="34165"/>
    <cellStyle name="Comma 12 6 2 4" xfId="34166"/>
    <cellStyle name="Comma 12 6 2 4 2" xfId="34167"/>
    <cellStyle name="Comma 12 6 2 5" xfId="34168"/>
    <cellStyle name="Comma 12 6 2 6" xfId="34169"/>
    <cellStyle name="Comma 12 6 3" xfId="34170"/>
    <cellStyle name="Comma 12 6 3 2" xfId="34171"/>
    <cellStyle name="Comma 12 6 3 2 2" xfId="34172"/>
    <cellStyle name="Comma 12 6 3 2 3" xfId="34173"/>
    <cellStyle name="Comma 12 6 3 3" xfId="34174"/>
    <cellStyle name="Comma 12 6 3 3 2" xfId="34175"/>
    <cellStyle name="Comma 12 6 3 3 3" xfId="34176"/>
    <cellStyle name="Comma 12 6 3 4" xfId="34177"/>
    <cellStyle name="Comma 12 6 3 4 2" xfId="34178"/>
    <cellStyle name="Comma 12 6 3 5" xfId="34179"/>
    <cellStyle name="Comma 12 6 3 6" xfId="34180"/>
    <cellStyle name="Comma 12 6 4" xfId="34181"/>
    <cellStyle name="Comma 12 6 4 2" xfId="34182"/>
    <cellStyle name="Comma 12 6 4 2 2" xfId="34183"/>
    <cellStyle name="Comma 12 6 4 2 3" xfId="34184"/>
    <cellStyle name="Comma 12 6 4 3" xfId="34185"/>
    <cellStyle name="Comma 12 6 4 3 2" xfId="34186"/>
    <cellStyle name="Comma 12 6 4 4" xfId="34187"/>
    <cellStyle name="Comma 12 6 4 5" xfId="34188"/>
    <cellStyle name="Comma 12 6 5" xfId="34189"/>
    <cellStyle name="Comma 12 6 5 2" xfId="34190"/>
    <cellStyle name="Comma 12 6 5 3" xfId="34191"/>
    <cellStyle name="Comma 12 6 6" xfId="34192"/>
    <cellStyle name="Comma 12 6 6 2" xfId="34193"/>
    <cellStyle name="Comma 12 6 6 3" xfId="34194"/>
    <cellStyle name="Comma 12 6 7" xfId="34195"/>
    <cellStyle name="Comma 12 6 7 2" xfId="34196"/>
    <cellStyle name="Comma 12 6 8" xfId="34197"/>
    <cellStyle name="Comma 12 6 9" xfId="34198"/>
    <cellStyle name="Comma 12 7" xfId="34199"/>
    <cellStyle name="Comma 12 7 2" xfId="34200"/>
    <cellStyle name="Comma 12 7 2 2" xfId="34201"/>
    <cellStyle name="Comma 12 7 2 2 2" xfId="34202"/>
    <cellStyle name="Comma 12 7 2 2 3" xfId="34203"/>
    <cellStyle name="Comma 12 7 2 3" xfId="34204"/>
    <cellStyle name="Comma 12 7 2 3 2" xfId="34205"/>
    <cellStyle name="Comma 12 7 2 3 3" xfId="34206"/>
    <cellStyle name="Comma 12 7 2 4" xfId="34207"/>
    <cellStyle name="Comma 12 7 2 4 2" xfId="34208"/>
    <cellStyle name="Comma 12 7 2 5" xfId="34209"/>
    <cellStyle name="Comma 12 7 2 6" xfId="34210"/>
    <cellStyle name="Comma 12 7 3" xfId="34211"/>
    <cellStyle name="Comma 12 7 3 2" xfId="34212"/>
    <cellStyle name="Comma 12 7 3 2 2" xfId="34213"/>
    <cellStyle name="Comma 12 7 3 2 3" xfId="34214"/>
    <cellStyle name="Comma 12 7 3 3" xfId="34215"/>
    <cellStyle name="Comma 12 7 3 3 2" xfId="34216"/>
    <cellStyle name="Comma 12 7 3 3 3" xfId="34217"/>
    <cellStyle name="Comma 12 7 3 4" xfId="34218"/>
    <cellStyle name="Comma 12 7 3 4 2" xfId="34219"/>
    <cellStyle name="Comma 12 7 3 5" xfId="34220"/>
    <cellStyle name="Comma 12 7 3 6" xfId="34221"/>
    <cellStyle name="Comma 12 7 4" xfId="34222"/>
    <cellStyle name="Comma 12 7 4 2" xfId="34223"/>
    <cellStyle name="Comma 12 7 4 2 2" xfId="34224"/>
    <cellStyle name="Comma 12 7 4 2 3" xfId="34225"/>
    <cellStyle name="Comma 12 7 4 3" xfId="34226"/>
    <cellStyle name="Comma 12 7 4 3 2" xfId="34227"/>
    <cellStyle name="Comma 12 7 4 4" xfId="34228"/>
    <cellStyle name="Comma 12 7 4 5" xfId="34229"/>
    <cellStyle name="Comma 12 7 5" xfId="34230"/>
    <cellStyle name="Comma 12 7 5 2" xfId="34231"/>
    <cellStyle name="Comma 12 7 5 3" xfId="34232"/>
    <cellStyle name="Comma 12 7 6" xfId="34233"/>
    <cellStyle name="Comma 12 7 6 2" xfId="34234"/>
    <cellStyle name="Comma 12 7 6 3" xfId="34235"/>
    <cellStyle name="Comma 12 7 7" xfId="34236"/>
    <cellStyle name="Comma 12 7 7 2" xfId="34237"/>
    <cellStyle name="Comma 12 7 8" xfId="34238"/>
    <cellStyle name="Comma 12 7 9" xfId="34239"/>
    <cellStyle name="Comma 12 8" xfId="34240"/>
    <cellStyle name="Comma 12 8 2" xfId="34241"/>
    <cellStyle name="Comma 12 8 2 2" xfId="34242"/>
    <cellStyle name="Comma 12 8 2 3" xfId="34243"/>
    <cellStyle name="Comma 12 8 3" xfId="34244"/>
    <cellStyle name="Comma 12 8 3 2" xfId="34245"/>
    <cellStyle name="Comma 12 8 3 3" xfId="34246"/>
    <cellStyle name="Comma 12 8 4" xfId="34247"/>
    <cellStyle name="Comma 12 8 4 2" xfId="34248"/>
    <cellStyle name="Comma 12 8 5" xfId="34249"/>
    <cellStyle name="Comma 12 8 6" xfId="34250"/>
    <cellStyle name="Comma 12 9" xfId="34251"/>
    <cellStyle name="Comma 12 9 2" xfId="34252"/>
    <cellStyle name="Comma 12 9 2 2" xfId="34253"/>
    <cellStyle name="Comma 12 9 2 3" xfId="34254"/>
    <cellStyle name="Comma 12 9 3" xfId="34255"/>
    <cellStyle name="Comma 12 9 3 2" xfId="34256"/>
    <cellStyle name="Comma 12 9 3 3" xfId="34257"/>
    <cellStyle name="Comma 12 9 4" xfId="34258"/>
    <cellStyle name="Comma 12 9 4 2" xfId="34259"/>
    <cellStyle name="Comma 12 9 5" xfId="34260"/>
    <cellStyle name="Comma 12 9 6" xfId="34261"/>
    <cellStyle name="Comma 13" xfId="3240"/>
    <cellStyle name="Comma 13 10" xfId="34262"/>
    <cellStyle name="Comma 13 10 2" xfId="34263"/>
    <cellStyle name="Comma 13 10 2 2" xfId="34264"/>
    <cellStyle name="Comma 13 10 2 3" xfId="34265"/>
    <cellStyle name="Comma 13 10 3" xfId="34266"/>
    <cellStyle name="Comma 13 10 3 2" xfId="34267"/>
    <cellStyle name="Comma 13 10 4" xfId="34268"/>
    <cellStyle name="Comma 13 10 5" xfId="34269"/>
    <cellStyle name="Comma 13 11" xfId="34270"/>
    <cellStyle name="Comma 13 11 2" xfId="34271"/>
    <cellStyle name="Comma 13 11 3" xfId="34272"/>
    <cellStyle name="Comma 13 12" xfId="34273"/>
    <cellStyle name="Comma 13 12 2" xfId="34274"/>
    <cellStyle name="Comma 13 12 3" xfId="34275"/>
    <cellStyle name="Comma 13 13" xfId="34276"/>
    <cellStyle name="Comma 13 13 2" xfId="34277"/>
    <cellStyle name="Comma 13 14" xfId="34278"/>
    <cellStyle name="Comma 13 15" xfId="34279"/>
    <cellStyle name="Comma 13 16" xfId="34280"/>
    <cellStyle name="Comma 13 2" xfId="9048"/>
    <cellStyle name="Comma 13 2 10" xfId="34281"/>
    <cellStyle name="Comma 13 2 10 2" xfId="34282"/>
    <cellStyle name="Comma 13 2 10 3" xfId="34283"/>
    <cellStyle name="Comma 13 2 11" xfId="34284"/>
    <cellStyle name="Comma 13 2 11 2" xfId="34285"/>
    <cellStyle name="Comma 13 2 11 3" xfId="34286"/>
    <cellStyle name="Comma 13 2 12" xfId="34287"/>
    <cellStyle name="Comma 13 2 12 2" xfId="34288"/>
    <cellStyle name="Comma 13 2 13" xfId="34289"/>
    <cellStyle name="Comma 13 2 14" xfId="34290"/>
    <cellStyle name="Comma 13 2 15" xfId="34291"/>
    <cellStyle name="Comma 13 2 2" xfId="34292"/>
    <cellStyle name="Comma 13 2 2 10" xfId="34293"/>
    <cellStyle name="Comma 13 2 2 10 2" xfId="34294"/>
    <cellStyle name="Comma 13 2 2 10 3" xfId="34295"/>
    <cellStyle name="Comma 13 2 2 11" xfId="34296"/>
    <cellStyle name="Comma 13 2 2 11 2" xfId="34297"/>
    <cellStyle name="Comma 13 2 2 12" xfId="34298"/>
    <cellStyle name="Comma 13 2 2 13" xfId="34299"/>
    <cellStyle name="Comma 13 2 2 2" xfId="34300"/>
    <cellStyle name="Comma 13 2 2 2 10" xfId="34301"/>
    <cellStyle name="Comma 13 2 2 2 10 2" xfId="34302"/>
    <cellStyle name="Comma 13 2 2 2 11" xfId="34303"/>
    <cellStyle name="Comma 13 2 2 2 12" xfId="34304"/>
    <cellStyle name="Comma 13 2 2 2 2" xfId="34305"/>
    <cellStyle name="Comma 13 2 2 2 2 10" xfId="34306"/>
    <cellStyle name="Comma 13 2 2 2 2 2" xfId="34307"/>
    <cellStyle name="Comma 13 2 2 2 2 2 2" xfId="34308"/>
    <cellStyle name="Comma 13 2 2 2 2 2 2 2" xfId="34309"/>
    <cellStyle name="Comma 13 2 2 2 2 2 2 2 2" xfId="34310"/>
    <cellStyle name="Comma 13 2 2 2 2 2 2 2 3" xfId="34311"/>
    <cellStyle name="Comma 13 2 2 2 2 2 2 3" xfId="34312"/>
    <cellStyle name="Comma 13 2 2 2 2 2 2 3 2" xfId="34313"/>
    <cellStyle name="Comma 13 2 2 2 2 2 2 3 3" xfId="34314"/>
    <cellStyle name="Comma 13 2 2 2 2 2 2 4" xfId="34315"/>
    <cellStyle name="Comma 13 2 2 2 2 2 2 4 2" xfId="34316"/>
    <cellStyle name="Comma 13 2 2 2 2 2 2 5" xfId="34317"/>
    <cellStyle name="Comma 13 2 2 2 2 2 2 6" xfId="34318"/>
    <cellStyle name="Comma 13 2 2 2 2 2 3" xfId="34319"/>
    <cellStyle name="Comma 13 2 2 2 2 2 3 2" xfId="34320"/>
    <cellStyle name="Comma 13 2 2 2 2 2 3 2 2" xfId="34321"/>
    <cellStyle name="Comma 13 2 2 2 2 2 3 2 3" xfId="34322"/>
    <cellStyle name="Comma 13 2 2 2 2 2 3 3" xfId="34323"/>
    <cellStyle name="Comma 13 2 2 2 2 2 3 3 2" xfId="34324"/>
    <cellStyle name="Comma 13 2 2 2 2 2 3 3 3" xfId="34325"/>
    <cellStyle name="Comma 13 2 2 2 2 2 3 4" xfId="34326"/>
    <cellStyle name="Comma 13 2 2 2 2 2 3 4 2" xfId="34327"/>
    <cellStyle name="Comma 13 2 2 2 2 2 3 5" xfId="34328"/>
    <cellStyle name="Comma 13 2 2 2 2 2 3 6" xfId="34329"/>
    <cellStyle name="Comma 13 2 2 2 2 2 4" xfId="34330"/>
    <cellStyle name="Comma 13 2 2 2 2 2 4 2" xfId="34331"/>
    <cellStyle name="Comma 13 2 2 2 2 2 4 2 2" xfId="34332"/>
    <cellStyle name="Comma 13 2 2 2 2 2 4 2 3" xfId="34333"/>
    <cellStyle name="Comma 13 2 2 2 2 2 4 3" xfId="34334"/>
    <cellStyle name="Comma 13 2 2 2 2 2 4 3 2" xfId="34335"/>
    <cellStyle name="Comma 13 2 2 2 2 2 4 4" xfId="34336"/>
    <cellStyle name="Comma 13 2 2 2 2 2 4 5" xfId="34337"/>
    <cellStyle name="Comma 13 2 2 2 2 2 5" xfId="34338"/>
    <cellStyle name="Comma 13 2 2 2 2 2 5 2" xfId="34339"/>
    <cellStyle name="Comma 13 2 2 2 2 2 5 3" xfId="34340"/>
    <cellStyle name="Comma 13 2 2 2 2 2 6" xfId="34341"/>
    <cellStyle name="Comma 13 2 2 2 2 2 6 2" xfId="34342"/>
    <cellStyle name="Comma 13 2 2 2 2 2 6 3" xfId="34343"/>
    <cellStyle name="Comma 13 2 2 2 2 2 7" xfId="34344"/>
    <cellStyle name="Comma 13 2 2 2 2 2 7 2" xfId="34345"/>
    <cellStyle name="Comma 13 2 2 2 2 2 8" xfId="34346"/>
    <cellStyle name="Comma 13 2 2 2 2 2 9" xfId="34347"/>
    <cellStyle name="Comma 13 2 2 2 2 3" xfId="34348"/>
    <cellStyle name="Comma 13 2 2 2 2 3 2" xfId="34349"/>
    <cellStyle name="Comma 13 2 2 2 2 3 2 2" xfId="34350"/>
    <cellStyle name="Comma 13 2 2 2 2 3 2 3" xfId="34351"/>
    <cellStyle name="Comma 13 2 2 2 2 3 3" xfId="34352"/>
    <cellStyle name="Comma 13 2 2 2 2 3 3 2" xfId="34353"/>
    <cellStyle name="Comma 13 2 2 2 2 3 3 3" xfId="34354"/>
    <cellStyle name="Comma 13 2 2 2 2 3 4" xfId="34355"/>
    <cellStyle name="Comma 13 2 2 2 2 3 4 2" xfId="34356"/>
    <cellStyle name="Comma 13 2 2 2 2 3 5" xfId="34357"/>
    <cellStyle name="Comma 13 2 2 2 2 3 6" xfId="34358"/>
    <cellStyle name="Comma 13 2 2 2 2 4" xfId="34359"/>
    <cellStyle name="Comma 13 2 2 2 2 4 2" xfId="34360"/>
    <cellStyle name="Comma 13 2 2 2 2 4 2 2" xfId="34361"/>
    <cellStyle name="Comma 13 2 2 2 2 4 2 3" xfId="34362"/>
    <cellStyle name="Comma 13 2 2 2 2 4 3" xfId="34363"/>
    <cellStyle name="Comma 13 2 2 2 2 4 3 2" xfId="34364"/>
    <cellStyle name="Comma 13 2 2 2 2 4 3 3" xfId="34365"/>
    <cellStyle name="Comma 13 2 2 2 2 4 4" xfId="34366"/>
    <cellStyle name="Comma 13 2 2 2 2 4 4 2" xfId="34367"/>
    <cellStyle name="Comma 13 2 2 2 2 4 5" xfId="34368"/>
    <cellStyle name="Comma 13 2 2 2 2 4 6" xfId="34369"/>
    <cellStyle name="Comma 13 2 2 2 2 5" xfId="34370"/>
    <cellStyle name="Comma 13 2 2 2 2 5 2" xfId="34371"/>
    <cellStyle name="Comma 13 2 2 2 2 5 2 2" xfId="34372"/>
    <cellStyle name="Comma 13 2 2 2 2 5 2 3" xfId="34373"/>
    <cellStyle name="Comma 13 2 2 2 2 5 3" xfId="34374"/>
    <cellStyle name="Comma 13 2 2 2 2 5 3 2" xfId="34375"/>
    <cellStyle name="Comma 13 2 2 2 2 5 4" xfId="34376"/>
    <cellStyle name="Comma 13 2 2 2 2 5 5" xfId="34377"/>
    <cellStyle name="Comma 13 2 2 2 2 6" xfId="34378"/>
    <cellStyle name="Comma 13 2 2 2 2 6 2" xfId="34379"/>
    <cellStyle name="Comma 13 2 2 2 2 6 3" xfId="34380"/>
    <cellStyle name="Comma 13 2 2 2 2 7" xfId="34381"/>
    <cellStyle name="Comma 13 2 2 2 2 7 2" xfId="34382"/>
    <cellStyle name="Comma 13 2 2 2 2 7 3" xfId="34383"/>
    <cellStyle name="Comma 13 2 2 2 2 8" xfId="34384"/>
    <cellStyle name="Comma 13 2 2 2 2 8 2" xfId="34385"/>
    <cellStyle name="Comma 13 2 2 2 2 9" xfId="34386"/>
    <cellStyle name="Comma 13 2 2 2 3" xfId="34387"/>
    <cellStyle name="Comma 13 2 2 2 3 2" xfId="34388"/>
    <cellStyle name="Comma 13 2 2 2 3 2 2" xfId="34389"/>
    <cellStyle name="Comma 13 2 2 2 3 2 2 2" xfId="34390"/>
    <cellStyle name="Comma 13 2 2 2 3 2 2 3" xfId="34391"/>
    <cellStyle name="Comma 13 2 2 2 3 2 3" xfId="34392"/>
    <cellStyle name="Comma 13 2 2 2 3 2 3 2" xfId="34393"/>
    <cellStyle name="Comma 13 2 2 2 3 2 3 3" xfId="34394"/>
    <cellStyle name="Comma 13 2 2 2 3 2 4" xfId="34395"/>
    <cellStyle name="Comma 13 2 2 2 3 2 4 2" xfId="34396"/>
    <cellStyle name="Comma 13 2 2 2 3 2 5" xfId="34397"/>
    <cellStyle name="Comma 13 2 2 2 3 2 6" xfId="34398"/>
    <cellStyle name="Comma 13 2 2 2 3 3" xfId="34399"/>
    <cellStyle name="Comma 13 2 2 2 3 3 2" xfId="34400"/>
    <cellStyle name="Comma 13 2 2 2 3 3 2 2" xfId="34401"/>
    <cellStyle name="Comma 13 2 2 2 3 3 2 3" xfId="34402"/>
    <cellStyle name="Comma 13 2 2 2 3 3 3" xfId="34403"/>
    <cellStyle name="Comma 13 2 2 2 3 3 3 2" xfId="34404"/>
    <cellStyle name="Comma 13 2 2 2 3 3 3 3" xfId="34405"/>
    <cellStyle name="Comma 13 2 2 2 3 3 4" xfId="34406"/>
    <cellStyle name="Comma 13 2 2 2 3 3 4 2" xfId="34407"/>
    <cellStyle name="Comma 13 2 2 2 3 3 5" xfId="34408"/>
    <cellStyle name="Comma 13 2 2 2 3 3 6" xfId="34409"/>
    <cellStyle name="Comma 13 2 2 2 3 4" xfId="34410"/>
    <cellStyle name="Comma 13 2 2 2 3 4 2" xfId="34411"/>
    <cellStyle name="Comma 13 2 2 2 3 4 2 2" xfId="34412"/>
    <cellStyle name="Comma 13 2 2 2 3 4 2 3" xfId="34413"/>
    <cellStyle name="Comma 13 2 2 2 3 4 3" xfId="34414"/>
    <cellStyle name="Comma 13 2 2 2 3 4 3 2" xfId="34415"/>
    <cellStyle name="Comma 13 2 2 2 3 4 4" xfId="34416"/>
    <cellStyle name="Comma 13 2 2 2 3 4 5" xfId="34417"/>
    <cellStyle name="Comma 13 2 2 2 3 5" xfId="34418"/>
    <cellStyle name="Comma 13 2 2 2 3 5 2" xfId="34419"/>
    <cellStyle name="Comma 13 2 2 2 3 5 3" xfId="34420"/>
    <cellStyle name="Comma 13 2 2 2 3 6" xfId="34421"/>
    <cellStyle name="Comma 13 2 2 2 3 6 2" xfId="34422"/>
    <cellStyle name="Comma 13 2 2 2 3 6 3" xfId="34423"/>
    <cellStyle name="Comma 13 2 2 2 3 7" xfId="34424"/>
    <cellStyle name="Comma 13 2 2 2 3 7 2" xfId="34425"/>
    <cellStyle name="Comma 13 2 2 2 3 8" xfId="34426"/>
    <cellStyle name="Comma 13 2 2 2 3 9" xfId="34427"/>
    <cellStyle name="Comma 13 2 2 2 4" xfId="34428"/>
    <cellStyle name="Comma 13 2 2 2 4 2" xfId="34429"/>
    <cellStyle name="Comma 13 2 2 2 4 2 2" xfId="34430"/>
    <cellStyle name="Comma 13 2 2 2 4 2 2 2" xfId="34431"/>
    <cellStyle name="Comma 13 2 2 2 4 2 2 3" xfId="34432"/>
    <cellStyle name="Comma 13 2 2 2 4 2 3" xfId="34433"/>
    <cellStyle name="Comma 13 2 2 2 4 2 3 2" xfId="34434"/>
    <cellStyle name="Comma 13 2 2 2 4 2 3 3" xfId="34435"/>
    <cellStyle name="Comma 13 2 2 2 4 2 4" xfId="34436"/>
    <cellStyle name="Comma 13 2 2 2 4 2 4 2" xfId="34437"/>
    <cellStyle name="Comma 13 2 2 2 4 2 5" xfId="34438"/>
    <cellStyle name="Comma 13 2 2 2 4 2 6" xfId="34439"/>
    <cellStyle name="Comma 13 2 2 2 4 3" xfId="34440"/>
    <cellStyle name="Comma 13 2 2 2 4 3 2" xfId="34441"/>
    <cellStyle name="Comma 13 2 2 2 4 3 2 2" xfId="34442"/>
    <cellStyle name="Comma 13 2 2 2 4 3 2 3" xfId="34443"/>
    <cellStyle name="Comma 13 2 2 2 4 3 3" xfId="34444"/>
    <cellStyle name="Comma 13 2 2 2 4 3 3 2" xfId="34445"/>
    <cellStyle name="Comma 13 2 2 2 4 3 3 3" xfId="34446"/>
    <cellStyle name="Comma 13 2 2 2 4 3 4" xfId="34447"/>
    <cellStyle name="Comma 13 2 2 2 4 3 4 2" xfId="34448"/>
    <cellStyle name="Comma 13 2 2 2 4 3 5" xfId="34449"/>
    <cellStyle name="Comma 13 2 2 2 4 3 6" xfId="34450"/>
    <cellStyle name="Comma 13 2 2 2 4 4" xfId="34451"/>
    <cellStyle name="Comma 13 2 2 2 4 4 2" xfId="34452"/>
    <cellStyle name="Comma 13 2 2 2 4 4 2 2" xfId="34453"/>
    <cellStyle name="Comma 13 2 2 2 4 4 2 3" xfId="34454"/>
    <cellStyle name="Comma 13 2 2 2 4 4 3" xfId="34455"/>
    <cellStyle name="Comma 13 2 2 2 4 4 3 2" xfId="34456"/>
    <cellStyle name="Comma 13 2 2 2 4 4 4" xfId="34457"/>
    <cellStyle name="Comma 13 2 2 2 4 4 5" xfId="34458"/>
    <cellStyle name="Comma 13 2 2 2 4 5" xfId="34459"/>
    <cellStyle name="Comma 13 2 2 2 4 5 2" xfId="34460"/>
    <cellStyle name="Comma 13 2 2 2 4 5 3" xfId="34461"/>
    <cellStyle name="Comma 13 2 2 2 4 6" xfId="34462"/>
    <cellStyle name="Comma 13 2 2 2 4 6 2" xfId="34463"/>
    <cellStyle name="Comma 13 2 2 2 4 6 3" xfId="34464"/>
    <cellStyle name="Comma 13 2 2 2 4 7" xfId="34465"/>
    <cellStyle name="Comma 13 2 2 2 4 7 2" xfId="34466"/>
    <cellStyle name="Comma 13 2 2 2 4 8" xfId="34467"/>
    <cellStyle name="Comma 13 2 2 2 4 9" xfId="34468"/>
    <cellStyle name="Comma 13 2 2 2 5" xfId="34469"/>
    <cellStyle name="Comma 13 2 2 2 5 2" xfId="34470"/>
    <cellStyle name="Comma 13 2 2 2 5 2 2" xfId="34471"/>
    <cellStyle name="Comma 13 2 2 2 5 2 3" xfId="34472"/>
    <cellStyle name="Comma 13 2 2 2 5 3" xfId="34473"/>
    <cellStyle name="Comma 13 2 2 2 5 3 2" xfId="34474"/>
    <cellStyle name="Comma 13 2 2 2 5 3 3" xfId="34475"/>
    <cellStyle name="Comma 13 2 2 2 5 4" xfId="34476"/>
    <cellStyle name="Comma 13 2 2 2 5 4 2" xfId="34477"/>
    <cellStyle name="Comma 13 2 2 2 5 5" xfId="34478"/>
    <cellStyle name="Comma 13 2 2 2 5 6" xfId="34479"/>
    <cellStyle name="Comma 13 2 2 2 6" xfId="34480"/>
    <cellStyle name="Comma 13 2 2 2 6 2" xfId="34481"/>
    <cellStyle name="Comma 13 2 2 2 6 2 2" xfId="34482"/>
    <cellStyle name="Comma 13 2 2 2 6 2 3" xfId="34483"/>
    <cellStyle name="Comma 13 2 2 2 6 3" xfId="34484"/>
    <cellStyle name="Comma 13 2 2 2 6 3 2" xfId="34485"/>
    <cellStyle name="Comma 13 2 2 2 6 3 3" xfId="34486"/>
    <cellStyle name="Comma 13 2 2 2 6 4" xfId="34487"/>
    <cellStyle name="Comma 13 2 2 2 6 4 2" xfId="34488"/>
    <cellStyle name="Comma 13 2 2 2 6 5" xfId="34489"/>
    <cellStyle name="Comma 13 2 2 2 6 6" xfId="34490"/>
    <cellStyle name="Comma 13 2 2 2 7" xfId="34491"/>
    <cellStyle name="Comma 13 2 2 2 7 2" xfId="34492"/>
    <cellStyle name="Comma 13 2 2 2 7 2 2" xfId="34493"/>
    <cellStyle name="Comma 13 2 2 2 7 2 3" xfId="34494"/>
    <cellStyle name="Comma 13 2 2 2 7 3" xfId="34495"/>
    <cellStyle name="Comma 13 2 2 2 7 3 2" xfId="34496"/>
    <cellStyle name="Comma 13 2 2 2 7 4" xfId="34497"/>
    <cellStyle name="Comma 13 2 2 2 7 5" xfId="34498"/>
    <cellStyle name="Comma 13 2 2 2 8" xfId="34499"/>
    <cellStyle name="Comma 13 2 2 2 8 2" xfId="34500"/>
    <cellStyle name="Comma 13 2 2 2 8 3" xfId="34501"/>
    <cellStyle name="Comma 13 2 2 2 9" xfId="34502"/>
    <cellStyle name="Comma 13 2 2 2 9 2" xfId="34503"/>
    <cellStyle name="Comma 13 2 2 2 9 3" xfId="34504"/>
    <cellStyle name="Comma 13 2 2 3" xfId="34505"/>
    <cellStyle name="Comma 13 2 2 3 10" xfId="34506"/>
    <cellStyle name="Comma 13 2 2 3 2" xfId="34507"/>
    <cellStyle name="Comma 13 2 2 3 2 2" xfId="34508"/>
    <cellStyle name="Comma 13 2 2 3 2 2 2" xfId="34509"/>
    <cellStyle name="Comma 13 2 2 3 2 2 2 2" xfId="34510"/>
    <cellStyle name="Comma 13 2 2 3 2 2 2 3" xfId="34511"/>
    <cellStyle name="Comma 13 2 2 3 2 2 3" xfId="34512"/>
    <cellStyle name="Comma 13 2 2 3 2 2 3 2" xfId="34513"/>
    <cellStyle name="Comma 13 2 2 3 2 2 3 3" xfId="34514"/>
    <cellStyle name="Comma 13 2 2 3 2 2 4" xfId="34515"/>
    <cellStyle name="Comma 13 2 2 3 2 2 4 2" xfId="34516"/>
    <cellStyle name="Comma 13 2 2 3 2 2 5" xfId="34517"/>
    <cellStyle name="Comma 13 2 2 3 2 2 6" xfId="34518"/>
    <cellStyle name="Comma 13 2 2 3 2 3" xfId="34519"/>
    <cellStyle name="Comma 13 2 2 3 2 3 2" xfId="34520"/>
    <cellStyle name="Comma 13 2 2 3 2 3 2 2" xfId="34521"/>
    <cellStyle name="Comma 13 2 2 3 2 3 2 3" xfId="34522"/>
    <cellStyle name="Comma 13 2 2 3 2 3 3" xfId="34523"/>
    <cellStyle name="Comma 13 2 2 3 2 3 3 2" xfId="34524"/>
    <cellStyle name="Comma 13 2 2 3 2 3 3 3" xfId="34525"/>
    <cellStyle name="Comma 13 2 2 3 2 3 4" xfId="34526"/>
    <cellStyle name="Comma 13 2 2 3 2 3 4 2" xfId="34527"/>
    <cellStyle name="Comma 13 2 2 3 2 3 5" xfId="34528"/>
    <cellStyle name="Comma 13 2 2 3 2 3 6" xfId="34529"/>
    <cellStyle name="Comma 13 2 2 3 2 4" xfId="34530"/>
    <cellStyle name="Comma 13 2 2 3 2 4 2" xfId="34531"/>
    <cellStyle name="Comma 13 2 2 3 2 4 2 2" xfId="34532"/>
    <cellStyle name="Comma 13 2 2 3 2 4 2 3" xfId="34533"/>
    <cellStyle name="Comma 13 2 2 3 2 4 3" xfId="34534"/>
    <cellStyle name="Comma 13 2 2 3 2 4 3 2" xfId="34535"/>
    <cellStyle name="Comma 13 2 2 3 2 4 4" xfId="34536"/>
    <cellStyle name="Comma 13 2 2 3 2 4 5" xfId="34537"/>
    <cellStyle name="Comma 13 2 2 3 2 5" xfId="34538"/>
    <cellStyle name="Comma 13 2 2 3 2 5 2" xfId="34539"/>
    <cellStyle name="Comma 13 2 2 3 2 5 3" xfId="34540"/>
    <cellStyle name="Comma 13 2 2 3 2 6" xfId="34541"/>
    <cellStyle name="Comma 13 2 2 3 2 6 2" xfId="34542"/>
    <cellStyle name="Comma 13 2 2 3 2 6 3" xfId="34543"/>
    <cellStyle name="Comma 13 2 2 3 2 7" xfId="34544"/>
    <cellStyle name="Comma 13 2 2 3 2 7 2" xfId="34545"/>
    <cellStyle name="Comma 13 2 2 3 2 8" xfId="34546"/>
    <cellStyle name="Comma 13 2 2 3 2 9" xfId="34547"/>
    <cellStyle name="Comma 13 2 2 3 3" xfId="34548"/>
    <cellStyle name="Comma 13 2 2 3 3 2" xfId="34549"/>
    <cellStyle name="Comma 13 2 2 3 3 2 2" xfId="34550"/>
    <cellStyle name="Comma 13 2 2 3 3 2 3" xfId="34551"/>
    <cellStyle name="Comma 13 2 2 3 3 3" xfId="34552"/>
    <cellStyle name="Comma 13 2 2 3 3 3 2" xfId="34553"/>
    <cellStyle name="Comma 13 2 2 3 3 3 3" xfId="34554"/>
    <cellStyle name="Comma 13 2 2 3 3 4" xfId="34555"/>
    <cellStyle name="Comma 13 2 2 3 3 4 2" xfId="34556"/>
    <cellStyle name="Comma 13 2 2 3 3 5" xfId="34557"/>
    <cellStyle name="Comma 13 2 2 3 3 6" xfId="34558"/>
    <cellStyle name="Comma 13 2 2 3 4" xfId="34559"/>
    <cellStyle name="Comma 13 2 2 3 4 2" xfId="34560"/>
    <cellStyle name="Comma 13 2 2 3 4 2 2" xfId="34561"/>
    <cellStyle name="Comma 13 2 2 3 4 2 3" xfId="34562"/>
    <cellStyle name="Comma 13 2 2 3 4 3" xfId="34563"/>
    <cellStyle name="Comma 13 2 2 3 4 3 2" xfId="34564"/>
    <cellStyle name="Comma 13 2 2 3 4 3 3" xfId="34565"/>
    <cellStyle name="Comma 13 2 2 3 4 4" xfId="34566"/>
    <cellStyle name="Comma 13 2 2 3 4 4 2" xfId="34567"/>
    <cellStyle name="Comma 13 2 2 3 4 5" xfId="34568"/>
    <cellStyle name="Comma 13 2 2 3 4 6" xfId="34569"/>
    <cellStyle name="Comma 13 2 2 3 5" xfId="34570"/>
    <cellStyle name="Comma 13 2 2 3 5 2" xfId="34571"/>
    <cellStyle name="Comma 13 2 2 3 5 2 2" xfId="34572"/>
    <cellStyle name="Comma 13 2 2 3 5 2 3" xfId="34573"/>
    <cellStyle name="Comma 13 2 2 3 5 3" xfId="34574"/>
    <cellStyle name="Comma 13 2 2 3 5 3 2" xfId="34575"/>
    <cellStyle name="Comma 13 2 2 3 5 4" xfId="34576"/>
    <cellStyle name="Comma 13 2 2 3 5 5" xfId="34577"/>
    <cellStyle name="Comma 13 2 2 3 6" xfId="34578"/>
    <cellStyle name="Comma 13 2 2 3 6 2" xfId="34579"/>
    <cellStyle name="Comma 13 2 2 3 6 3" xfId="34580"/>
    <cellStyle name="Comma 13 2 2 3 7" xfId="34581"/>
    <cellStyle name="Comma 13 2 2 3 7 2" xfId="34582"/>
    <cellStyle name="Comma 13 2 2 3 7 3" xfId="34583"/>
    <cellStyle name="Comma 13 2 2 3 8" xfId="34584"/>
    <cellStyle name="Comma 13 2 2 3 8 2" xfId="34585"/>
    <cellStyle name="Comma 13 2 2 3 9" xfId="34586"/>
    <cellStyle name="Comma 13 2 2 4" xfId="34587"/>
    <cellStyle name="Comma 13 2 2 4 2" xfId="34588"/>
    <cellStyle name="Comma 13 2 2 4 2 2" xfId="34589"/>
    <cellStyle name="Comma 13 2 2 4 2 2 2" xfId="34590"/>
    <cellStyle name="Comma 13 2 2 4 2 2 3" xfId="34591"/>
    <cellStyle name="Comma 13 2 2 4 2 3" xfId="34592"/>
    <cellStyle name="Comma 13 2 2 4 2 3 2" xfId="34593"/>
    <cellStyle name="Comma 13 2 2 4 2 3 3" xfId="34594"/>
    <cellStyle name="Comma 13 2 2 4 2 4" xfId="34595"/>
    <cellStyle name="Comma 13 2 2 4 2 4 2" xfId="34596"/>
    <cellStyle name="Comma 13 2 2 4 2 5" xfId="34597"/>
    <cellStyle name="Comma 13 2 2 4 2 6" xfId="34598"/>
    <cellStyle name="Comma 13 2 2 4 3" xfId="34599"/>
    <cellStyle name="Comma 13 2 2 4 3 2" xfId="34600"/>
    <cellStyle name="Comma 13 2 2 4 3 2 2" xfId="34601"/>
    <cellStyle name="Comma 13 2 2 4 3 2 3" xfId="34602"/>
    <cellStyle name="Comma 13 2 2 4 3 3" xfId="34603"/>
    <cellStyle name="Comma 13 2 2 4 3 3 2" xfId="34604"/>
    <cellStyle name="Comma 13 2 2 4 3 3 3" xfId="34605"/>
    <cellStyle name="Comma 13 2 2 4 3 4" xfId="34606"/>
    <cellStyle name="Comma 13 2 2 4 3 4 2" xfId="34607"/>
    <cellStyle name="Comma 13 2 2 4 3 5" xfId="34608"/>
    <cellStyle name="Comma 13 2 2 4 3 6" xfId="34609"/>
    <cellStyle name="Comma 13 2 2 4 4" xfId="34610"/>
    <cellStyle name="Comma 13 2 2 4 4 2" xfId="34611"/>
    <cellStyle name="Comma 13 2 2 4 4 2 2" xfId="34612"/>
    <cellStyle name="Comma 13 2 2 4 4 2 3" xfId="34613"/>
    <cellStyle name="Comma 13 2 2 4 4 3" xfId="34614"/>
    <cellStyle name="Comma 13 2 2 4 4 3 2" xfId="34615"/>
    <cellStyle name="Comma 13 2 2 4 4 4" xfId="34616"/>
    <cellStyle name="Comma 13 2 2 4 4 5" xfId="34617"/>
    <cellStyle name="Comma 13 2 2 4 5" xfId="34618"/>
    <cellStyle name="Comma 13 2 2 4 5 2" xfId="34619"/>
    <cellStyle name="Comma 13 2 2 4 5 3" xfId="34620"/>
    <cellStyle name="Comma 13 2 2 4 6" xfId="34621"/>
    <cellStyle name="Comma 13 2 2 4 6 2" xfId="34622"/>
    <cellStyle name="Comma 13 2 2 4 6 3" xfId="34623"/>
    <cellStyle name="Comma 13 2 2 4 7" xfId="34624"/>
    <cellStyle name="Comma 13 2 2 4 7 2" xfId="34625"/>
    <cellStyle name="Comma 13 2 2 4 8" xfId="34626"/>
    <cellStyle name="Comma 13 2 2 4 9" xfId="34627"/>
    <cellStyle name="Comma 13 2 2 5" xfId="34628"/>
    <cellStyle name="Comma 13 2 2 5 2" xfId="34629"/>
    <cellStyle name="Comma 13 2 2 5 2 2" xfId="34630"/>
    <cellStyle name="Comma 13 2 2 5 2 2 2" xfId="34631"/>
    <cellStyle name="Comma 13 2 2 5 2 2 3" xfId="34632"/>
    <cellStyle name="Comma 13 2 2 5 2 3" xfId="34633"/>
    <cellStyle name="Comma 13 2 2 5 2 3 2" xfId="34634"/>
    <cellStyle name="Comma 13 2 2 5 2 3 3" xfId="34635"/>
    <cellStyle name="Comma 13 2 2 5 2 4" xfId="34636"/>
    <cellStyle name="Comma 13 2 2 5 2 4 2" xfId="34637"/>
    <cellStyle name="Comma 13 2 2 5 2 5" xfId="34638"/>
    <cellStyle name="Comma 13 2 2 5 2 6" xfId="34639"/>
    <cellStyle name="Comma 13 2 2 5 3" xfId="34640"/>
    <cellStyle name="Comma 13 2 2 5 3 2" xfId="34641"/>
    <cellStyle name="Comma 13 2 2 5 3 2 2" xfId="34642"/>
    <cellStyle name="Comma 13 2 2 5 3 2 3" xfId="34643"/>
    <cellStyle name="Comma 13 2 2 5 3 3" xfId="34644"/>
    <cellStyle name="Comma 13 2 2 5 3 3 2" xfId="34645"/>
    <cellStyle name="Comma 13 2 2 5 3 3 3" xfId="34646"/>
    <cellStyle name="Comma 13 2 2 5 3 4" xfId="34647"/>
    <cellStyle name="Comma 13 2 2 5 3 4 2" xfId="34648"/>
    <cellStyle name="Comma 13 2 2 5 3 5" xfId="34649"/>
    <cellStyle name="Comma 13 2 2 5 3 6" xfId="34650"/>
    <cellStyle name="Comma 13 2 2 5 4" xfId="34651"/>
    <cellStyle name="Comma 13 2 2 5 4 2" xfId="34652"/>
    <cellStyle name="Comma 13 2 2 5 4 2 2" xfId="34653"/>
    <cellStyle name="Comma 13 2 2 5 4 2 3" xfId="34654"/>
    <cellStyle name="Comma 13 2 2 5 4 3" xfId="34655"/>
    <cellStyle name="Comma 13 2 2 5 4 3 2" xfId="34656"/>
    <cellStyle name="Comma 13 2 2 5 4 4" xfId="34657"/>
    <cellStyle name="Comma 13 2 2 5 4 5" xfId="34658"/>
    <cellStyle name="Comma 13 2 2 5 5" xfId="34659"/>
    <cellStyle name="Comma 13 2 2 5 5 2" xfId="34660"/>
    <cellStyle name="Comma 13 2 2 5 5 3" xfId="34661"/>
    <cellStyle name="Comma 13 2 2 5 6" xfId="34662"/>
    <cellStyle name="Comma 13 2 2 5 6 2" xfId="34663"/>
    <cellStyle name="Comma 13 2 2 5 6 3" xfId="34664"/>
    <cellStyle name="Comma 13 2 2 5 7" xfId="34665"/>
    <cellStyle name="Comma 13 2 2 5 7 2" xfId="34666"/>
    <cellStyle name="Comma 13 2 2 5 8" xfId="34667"/>
    <cellStyle name="Comma 13 2 2 5 9" xfId="34668"/>
    <cellStyle name="Comma 13 2 2 6" xfId="34669"/>
    <cellStyle name="Comma 13 2 2 6 2" xfId="34670"/>
    <cellStyle name="Comma 13 2 2 6 2 2" xfId="34671"/>
    <cellStyle name="Comma 13 2 2 6 2 3" xfId="34672"/>
    <cellStyle name="Comma 13 2 2 6 3" xfId="34673"/>
    <cellStyle name="Comma 13 2 2 6 3 2" xfId="34674"/>
    <cellStyle name="Comma 13 2 2 6 3 3" xfId="34675"/>
    <cellStyle name="Comma 13 2 2 6 4" xfId="34676"/>
    <cellStyle name="Comma 13 2 2 6 4 2" xfId="34677"/>
    <cellStyle name="Comma 13 2 2 6 5" xfId="34678"/>
    <cellStyle name="Comma 13 2 2 6 6" xfId="34679"/>
    <cellStyle name="Comma 13 2 2 7" xfId="34680"/>
    <cellStyle name="Comma 13 2 2 7 2" xfId="34681"/>
    <cellStyle name="Comma 13 2 2 7 2 2" xfId="34682"/>
    <cellStyle name="Comma 13 2 2 7 2 3" xfId="34683"/>
    <cellStyle name="Comma 13 2 2 7 3" xfId="34684"/>
    <cellStyle name="Comma 13 2 2 7 3 2" xfId="34685"/>
    <cellStyle name="Comma 13 2 2 7 3 3" xfId="34686"/>
    <cellStyle name="Comma 13 2 2 7 4" xfId="34687"/>
    <cellStyle name="Comma 13 2 2 7 4 2" xfId="34688"/>
    <cellStyle name="Comma 13 2 2 7 5" xfId="34689"/>
    <cellStyle name="Comma 13 2 2 7 6" xfId="34690"/>
    <cellStyle name="Comma 13 2 2 8" xfId="34691"/>
    <cellStyle name="Comma 13 2 2 8 2" xfId="34692"/>
    <cellStyle name="Comma 13 2 2 8 2 2" xfId="34693"/>
    <cellStyle name="Comma 13 2 2 8 2 3" xfId="34694"/>
    <cellStyle name="Comma 13 2 2 8 3" xfId="34695"/>
    <cellStyle name="Comma 13 2 2 8 3 2" xfId="34696"/>
    <cellStyle name="Comma 13 2 2 8 4" xfId="34697"/>
    <cellStyle name="Comma 13 2 2 8 5" xfId="34698"/>
    <cellStyle name="Comma 13 2 2 9" xfId="34699"/>
    <cellStyle name="Comma 13 2 2 9 2" xfId="34700"/>
    <cellStyle name="Comma 13 2 2 9 3" xfId="34701"/>
    <cellStyle name="Comma 13 2 3" xfId="34702"/>
    <cellStyle name="Comma 13 2 3 10" xfId="34703"/>
    <cellStyle name="Comma 13 2 3 10 2" xfId="34704"/>
    <cellStyle name="Comma 13 2 3 11" xfId="34705"/>
    <cellStyle name="Comma 13 2 3 12" xfId="34706"/>
    <cellStyle name="Comma 13 2 3 2" xfId="34707"/>
    <cellStyle name="Comma 13 2 3 2 10" xfId="34708"/>
    <cellStyle name="Comma 13 2 3 2 2" xfId="34709"/>
    <cellStyle name="Comma 13 2 3 2 2 2" xfId="34710"/>
    <cellStyle name="Comma 13 2 3 2 2 2 2" xfId="34711"/>
    <cellStyle name="Comma 13 2 3 2 2 2 2 2" xfId="34712"/>
    <cellStyle name="Comma 13 2 3 2 2 2 2 3" xfId="34713"/>
    <cellStyle name="Comma 13 2 3 2 2 2 3" xfId="34714"/>
    <cellStyle name="Comma 13 2 3 2 2 2 3 2" xfId="34715"/>
    <cellStyle name="Comma 13 2 3 2 2 2 3 3" xfId="34716"/>
    <cellStyle name="Comma 13 2 3 2 2 2 4" xfId="34717"/>
    <cellStyle name="Comma 13 2 3 2 2 2 4 2" xfId="34718"/>
    <cellStyle name="Comma 13 2 3 2 2 2 5" xfId="34719"/>
    <cellStyle name="Comma 13 2 3 2 2 2 6" xfId="34720"/>
    <cellStyle name="Comma 13 2 3 2 2 3" xfId="34721"/>
    <cellStyle name="Comma 13 2 3 2 2 3 2" xfId="34722"/>
    <cellStyle name="Comma 13 2 3 2 2 3 2 2" xfId="34723"/>
    <cellStyle name="Comma 13 2 3 2 2 3 2 3" xfId="34724"/>
    <cellStyle name="Comma 13 2 3 2 2 3 3" xfId="34725"/>
    <cellStyle name="Comma 13 2 3 2 2 3 3 2" xfId="34726"/>
    <cellStyle name="Comma 13 2 3 2 2 3 3 3" xfId="34727"/>
    <cellStyle name="Comma 13 2 3 2 2 3 4" xfId="34728"/>
    <cellStyle name="Comma 13 2 3 2 2 3 4 2" xfId="34729"/>
    <cellStyle name="Comma 13 2 3 2 2 3 5" xfId="34730"/>
    <cellStyle name="Comma 13 2 3 2 2 3 6" xfId="34731"/>
    <cellStyle name="Comma 13 2 3 2 2 4" xfId="34732"/>
    <cellStyle name="Comma 13 2 3 2 2 4 2" xfId="34733"/>
    <cellStyle name="Comma 13 2 3 2 2 4 2 2" xfId="34734"/>
    <cellStyle name="Comma 13 2 3 2 2 4 2 3" xfId="34735"/>
    <cellStyle name="Comma 13 2 3 2 2 4 3" xfId="34736"/>
    <cellStyle name="Comma 13 2 3 2 2 4 3 2" xfId="34737"/>
    <cellStyle name="Comma 13 2 3 2 2 4 4" xfId="34738"/>
    <cellStyle name="Comma 13 2 3 2 2 4 5" xfId="34739"/>
    <cellStyle name="Comma 13 2 3 2 2 5" xfId="34740"/>
    <cellStyle name="Comma 13 2 3 2 2 5 2" xfId="34741"/>
    <cellStyle name="Comma 13 2 3 2 2 5 3" xfId="34742"/>
    <cellStyle name="Comma 13 2 3 2 2 6" xfId="34743"/>
    <cellStyle name="Comma 13 2 3 2 2 6 2" xfId="34744"/>
    <cellStyle name="Comma 13 2 3 2 2 6 3" xfId="34745"/>
    <cellStyle name="Comma 13 2 3 2 2 7" xfId="34746"/>
    <cellStyle name="Comma 13 2 3 2 2 7 2" xfId="34747"/>
    <cellStyle name="Comma 13 2 3 2 2 8" xfId="34748"/>
    <cellStyle name="Comma 13 2 3 2 2 9" xfId="34749"/>
    <cellStyle name="Comma 13 2 3 2 3" xfId="34750"/>
    <cellStyle name="Comma 13 2 3 2 3 2" xfId="34751"/>
    <cellStyle name="Comma 13 2 3 2 3 2 2" xfId="34752"/>
    <cellStyle name="Comma 13 2 3 2 3 2 3" xfId="34753"/>
    <cellStyle name="Comma 13 2 3 2 3 3" xfId="34754"/>
    <cellStyle name="Comma 13 2 3 2 3 3 2" xfId="34755"/>
    <cellStyle name="Comma 13 2 3 2 3 3 3" xfId="34756"/>
    <cellStyle name="Comma 13 2 3 2 3 4" xfId="34757"/>
    <cellStyle name="Comma 13 2 3 2 3 4 2" xfId="34758"/>
    <cellStyle name="Comma 13 2 3 2 3 5" xfId="34759"/>
    <cellStyle name="Comma 13 2 3 2 3 6" xfId="34760"/>
    <cellStyle name="Comma 13 2 3 2 4" xfId="34761"/>
    <cellStyle name="Comma 13 2 3 2 4 2" xfId="34762"/>
    <cellStyle name="Comma 13 2 3 2 4 2 2" xfId="34763"/>
    <cellStyle name="Comma 13 2 3 2 4 2 3" xfId="34764"/>
    <cellStyle name="Comma 13 2 3 2 4 3" xfId="34765"/>
    <cellStyle name="Comma 13 2 3 2 4 3 2" xfId="34766"/>
    <cellStyle name="Comma 13 2 3 2 4 3 3" xfId="34767"/>
    <cellStyle name="Comma 13 2 3 2 4 4" xfId="34768"/>
    <cellStyle name="Comma 13 2 3 2 4 4 2" xfId="34769"/>
    <cellStyle name="Comma 13 2 3 2 4 5" xfId="34770"/>
    <cellStyle name="Comma 13 2 3 2 4 6" xfId="34771"/>
    <cellStyle name="Comma 13 2 3 2 5" xfId="34772"/>
    <cellStyle name="Comma 13 2 3 2 5 2" xfId="34773"/>
    <cellStyle name="Comma 13 2 3 2 5 2 2" xfId="34774"/>
    <cellStyle name="Comma 13 2 3 2 5 2 3" xfId="34775"/>
    <cellStyle name="Comma 13 2 3 2 5 3" xfId="34776"/>
    <cellStyle name="Comma 13 2 3 2 5 3 2" xfId="34777"/>
    <cellStyle name="Comma 13 2 3 2 5 4" xfId="34778"/>
    <cellStyle name="Comma 13 2 3 2 5 5" xfId="34779"/>
    <cellStyle name="Comma 13 2 3 2 6" xfId="34780"/>
    <cellStyle name="Comma 13 2 3 2 6 2" xfId="34781"/>
    <cellStyle name="Comma 13 2 3 2 6 3" xfId="34782"/>
    <cellStyle name="Comma 13 2 3 2 7" xfId="34783"/>
    <cellStyle name="Comma 13 2 3 2 7 2" xfId="34784"/>
    <cellStyle name="Comma 13 2 3 2 7 3" xfId="34785"/>
    <cellStyle name="Comma 13 2 3 2 8" xfId="34786"/>
    <cellStyle name="Comma 13 2 3 2 8 2" xfId="34787"/>
    <cellStyle name="Comma 13 2 3 2 9" xfId="34788"/>
    <cellStyle name="Comma 13 2 3 3" xfId="34789"/>
    <cellStyle name="Comma 13 2 3 3 2" xfId="34790"/>
    <cellStyle name="Comma 13 2 3 3 2 2" xfId="34791"/>
    <cellStyle name="Comma 13 2 3 3 2 2 2" xfId="34792"/>
    <cellStyle name="Comma 13 2 3 3 2 2 3" xfId="34793"/>
    <cellStyle name="Comma 13 2 3 3 2 3" xfId="34794"/>
    <cellStyle name="Comma 13 2 3 3 2 3 2" xfId="34795"/>
    <cellStyle name="Comma 13 2 3 3 2 3 3" xfId="34796"/>
    <cellStyle name="Comma 13 2 3 3 2 4" xfId="34797"/>
    <cellStyle name="Comma 13 2 3 3 2 4 2" xfId="34798"/>
    <cellStyle name="Comma 13 2 3 3 2 5" xfId="34799"/>
    <cellStyle name="Comma 13 2 3 3 2 6" xfId="34800"/>
    <cellStyle name="Comma 13 2 3 3 3" xfId="34801"/>
    <cellStyle name="Comma 13 2 3 3 3 2" xfId="34802"/>
    <cellStyle name="Comma 13 2 3 3 3 2 2" xfId="34803"/>
    <cellStyle name="Comma 13 2 3 3 3 2 3" xfId="34804"/>
    <cellStyle name="Comma 13 2 3 3 3 3" xfId="34805"/>
    <cellStyle name="Comma 13 2 3 3 3 3 2" xfId="34806"/>
    <cellStyle name="Comma 13 2 3 3 3 3 3" xfId="34807"/>
    <cellStyle name="Comma 13 2 3 3 3 4" xfId="34808"/>
    <cellStyle name="Comma 13 2 3 3 3 4 2" xfId="34809"/>
    <cellStyle name="Comma 13 2 3 3 3 5" xfId="34810"/>
    <cellStyle name="Comma 13 2 3 3 3 6" xfId="34811"/>
    <cellStyle name="Comma 13 2 3 3 4" xfId="34812"/>
    <cellStyle name="Comma 13 2 3 3 4 2" xfId="34813"/>
    <cellStyle name="Comma 13 2 3 3 4 2 2" xfId="34814"/>
    <cellStyle name="Comma 13 2 3 3 4 2 3" xfId="34815"/>
    <cellStyle name="Comma 13 2 3 3 4 3" xfId="34816"/>
    <cellStyle name="Comma 13 2 3 3 4 3 2" xfId="34817"/>
    <cellStyle name="Comma 13 2 3 3 4 4" xfId="34818"/>
    <cellStyle name="Comma 13 2 3 3 4 5" xfId="34819"/>
    <cellStyle name="Comma 13 2 3 3 5" xfId="34820"/>
    <cellStyle name="Comma 13 2 3 3 5 2" xfId="34821"/>
    <cellStyle name="Comma 13 2 3 3 5 3" xfId="34822"/>
    <cellStyle name="Comma 13 2 3 3 6" xfId="34823"/>
    <cellStyle name="Comma 13 2 3 3 6 2" xfId="34824"/>
    <cellStyle name="Comma 13 2 3 3 6 3" xfId="34825"/>
    <cellStyle name="Comma 13 2 3 3 7" xfId="34826"/>
    <cellStyle name="Comma 13 2 3 3 7 2" xfId="34827"/>
    <cellStyle name="Comma 13 2 3 3 8" xfId="34828"/>
    <cellStyle name="Comma 13 2 3 3 9" xfId="34829"/>
    <cellStyle name="Comma 13 2 3 4" xfId="34830"/>
    <cellStyle name="Comma 13 2 3 4 2" xfId="34831"/>
    <cellStyle name="Comma 13 2 3 4 2 2" xfId="34832"/>
    <cellStyle name="Comma 13 2 3 4 2 2 2" xfId="34833"/>
    <cellStyle name="Comma 13 2 3 4 2 2 3" xfId="34834"/>
    <cellStyle name="Comma 13 2 3 4 2 3" xfId="34835"/>
    <cellStyle name="Comma 13 2 3 4 2 3 2" xfId="34836"/>
    <cellStyle name="Comma 13 2 3 4 2 3 3" xfId="34837"/>
    <cellStyle name="Comma 13 2 3 4 2 4" xfId="34838"/>
    <cellStyle name="Comma 13 2 3 4 2 4 2" xfId="34839"/>
    <cellStyle name="Comma 13 2 3 4 2 5" xfId="34840"/>
    <cellStyle name="Comma 13 2 3 4 2 6" xfId="34841"/>
    <cellStyle name="Comma 13 2 3 4 3" xfId="34842"/>
    <cellStyle name="Comma 13 2 3 4 3 2" xfId="34843"/>
    <cellStyle name="Comma 13 2 3 4 3 2 2" xfId="34844"/>
    <cellStyle name="Comma 13 2 3 4 3 2 3" xfId="34845"/>
    <cellStyle name="Comma 13 2 3 4 3 3" xfId="34846"/>
    <cellStyle name="Comma 13 2 3 4 3 3 2" xfId="34847"/>
    <cellStyle name="Comma 13 2 3 4 3 3 3" xfId="34848"/>
    <cellStyle name="Comma 13 2 3 4 3 4" xfId="34849"/>
    <cellStyle name="Comma 13 2 3 4 3 4 2" xfId="34850"/>
    <cellStyle name="Comma 13 2 3 4 3 5" xfId="34851"/>
    <cellStyle name="Comma 13 2 3 4 3 6" xfId="34852"/>
    <cellStyle name="Comma 13 2 3 4 4" xfId="34853"/>
    <cellStyle name="Comma 13 2 3 4 4 2" xfId="34854"/>
    <cellStyle name="Comma 13 2 3 4 4 2 2" xfId="34855"/>
    <cellStyle name="Comma 13 2 3 4 4 2 3" xfId="34856"/>
    <cellStyle name="Comma 13 2 3 4 4 3" xfId="34857"/>
    <cellStyle name="Comma 13 2 3 4 4 3 2" xfId="34858"/>
    <cellStyle name="Comma 13 2 3 4 4 4" xfId="34859"/>
    <cellStyle name="Comma 13 2 3 4 4 5" xfId="34860"/>
    <cellStyle name="Comma 13 2 3 4 5" xfId="34861"/>
    <cellStyle name="Comma 13 2 3 4 5 2" xfId="34862"/>
    <cellStyle name="Comma 13 2 3 4 5 3" xfId="34863"/>
    <cellStyle name="Comma 13 2 3 4 6" xfId="34864"/>
    <cellStyle name="Comma 13 2 3 4 6 2" xfId="34865"/>
    <cellStyle name="Comma 13 2 3 4 6 3" xfId="34866"/>
    <cellStyle name="Comma 13 2 3 4 7" xfId="34867"/>
    <cellStyle name="Comma 13 2 3 4 7 2" xfId="34868"/>
    <cellStyle name="Comma 13 2 3 4 8" xfId="34869"/>
    <cellStyle name="Comma 13 2 3 4 9" xfId="34870"/>
    <cellStyle name="Comma 13 2 3 5" xfId="34871"/>
    <cellStyle name="Comma 13 2 3 5 2" xfId="34872"/>
    <cellStyle name="Comma 13 2 3 5 2 2" xfId="34873"/>
    <cellStyle name="Comma 13 2 3 5 2 3" xfId="34874"/>
    <cellStyle name="Comma 13 2 3 5 3" xfId="34875"/>
    <cellStyle name="Comma 13 2 3 5 3 2" xfId="34876"/>
    <cellStyle name="Comma 13 2 3 5 3 3" xfId="34877"/>
    <cellStyle name="Comma 13 2 3 5 4" xfId="34878"/>
    <cellStyle name="Comma 13 2 3 5 4 2" xfId="34879"/>
    <cellStyle name="Comma 13 2 3 5 5" xfId="34880"/>
    <cellStyle name="Comma 13 2 3 5 6" xfId="34881"/>
    <cellStyle name="Comma 13 2 3 6" xfId="34882"/>
    <cellStyle name="Comma 13 2 3 6 2" xfId="34883"/>
    <cellStyle name="Comma 13 2 3 6 2 2" xfId="34884"/>
    <cellStyle name="Comma 13 2 3 6 2 3" xfId="34885"/>
    <cellStyle name="Comma 13 2 3 6 3" xfId="34886"/>
    <cellStyle name="Comma 13 2 3 6 3 2" xfId="34887"/>
    <cellStyle name="Comma 13 2 3 6 3 3" xfId="34888"/>
    <cellStyle name="Comma 13 2 3 6 4" xfId="34889"/>
    <cellStyle name="Comma 13 2 3 6 4 2" xfId="34890"/>
    <cellStyle name="Comma 13 2 3 6 5" xfId="34891"/>
    <cellStyle name="Comma 13 2 3 6 6" xfId="34892"/>
    <cellStyle name="Comma 13 2 3 7" xfId="34893"/>
    <cellStyle name="Comma 13 2 3 7 2" xfId="34894"/>
    <cellStyle name="Comma 13 2 3 7 2 2" xfId="34895"/>
    <cellStyle name="Comma 13 2 3 7 2 3" xfId="34896"/>
    <cellStyle name="Comma 13 2 3 7 3" xfId="34897"/>
    <cellStyle name="Comma 13 2 3 7 3 2" xfId="34898"/>
    <cellStyle name="Comma 13 2 3 7 4" xfId="34899"/>
    <cellStyle name="Comma 13 2 3 7 5" xfId="34900"/>
    <cellStyle name="Comma 13 2 3 8" xfId="34901"/>
    <cellStyle name="Comma 13 2 3 8 2" xfId="34902"/>
    <cellStyle name="Comma 13 2 3 8 3" xfId="34903"/>
    <cellStyle name="Comma 13 2 3 9" xfId="34904"/>
    <cellStyle name="Comma 13 2 3 9 2" xfId="34905"/>
    <cellStyle name="Comma 13 2 3 9 3" xfId="34906"/>
    <cellStyle name="Comma 13 2 4" xfId="34907"/>
    <cellStyle name="Comma 13 2 4 10" xfId="34908"/>
    <cellStyle name="Comma 13 2 4 2" xfId="34909"/>
    <cellStyle name="Comma 13 2 4 2 2" xfId="34910"/>
    <cellStyle name="Comma 13 2 4 2 2 2" xfId="34911"/>
    <cellStyle name="Comma 13 2 4 2 2 2 2" xfId="34912"/>
    <cellStyle name="Comma 13 2 4 2 2 2 3" xfId="34913"/>
    <cellStyle name="Comma 13 2 4 2 2 3" xfId="34914"/>
    <cellStyle name="Comma 13 2 4 2 2 3 2" xfId="34915"/>
    <cellStyle name="Comma 13 2 4 2 2 3 3" xfId="34916"/>
    <cellStyle name="Comma 13 2 4 2 2 4" xfId="34917"/>
    <cellStyle name="Comma 13 2 4 2 2 4 2" xfId="34918"/>
    <cellStyle name="Comma 13 2 4 2 2 5" xfId="34919"/>
    <cellStyle name="Comma 13 2 4 2 2 6" xfId="34920"/>
    <cellStyle name="Comma 13 2 4 2 3" xfId="34921"/>
    <cellStyle name="Comma 13 2 4 2 3 2" xfId="34922"/>
    <cellStyle name="Comma 13 2 4 2 3 2 2" xfId="34923"/>
    <cellStyle name="Comma 13 2 4 2 3 2 3" xfId="34924"/>
    <cellStyle name="Comma 13 2 4 2 3 3" xfId="34925"/>
    <cellStyle name="Comma 13 2 4 2 3 3 2" xfId="34926"/>
    <cellStyle name="Comma 13 2 4 2 3 3 3" xfId="34927"/>
    <cellStyle name="Comma 13 2 4 2 3 4" xfId="34928"/>
    <cellStyle name="Comma 13 2 4 2 3 4 2" xfId="34929"/>
    <cellStyle name="Comma 13 2 4 2 3 5" xfId="34930"/>
    <cellStyle name="Comma 13 2 4 2 3 6" xfId="34931"/>
    <cellStyle name="Comma 13 2 4 2 4" xfId="34932"/>
    <cellStyle name="Comma 13 2 4 2 4 2" xfId="34933"/>
    <cellStyle name="Comma 13 2 4 2 4 2 2" xfId="34934"/>
    <cellStyle name="Comma 13 2 4 2 4 2 3" xfId="34935"/>
    <cellStyle name="Comma 13 2 4 2 4 3" xfId="34936"/>
    <cellStyle name="Comma 13 2 4 2 4 3 2" xfId="34937"/>
    <cellStyle name="Comma 13 2 4 2 4 4" xfId="34938"/>
    <cellStyle name="Comma 13 2 4 2 4 5" xfId="34939"/>
    <cellStyle name="Comma 13 2 4 2 5" xfId="34940"/>
    <cellStyle name="Comma 13 2 4 2 5 2" xfId="34941"/>
    <cellStyle name="Comma 13 2 4 2 5 3" xfId="34942"/>
    <cellStyle name="Comma 13 2 4 2 6" xfId="34943"/>
    <cellStyle name="Comma 13 2 4 2 6 2" xfId="34944"/>
    <cellStyle name="Comma 13 2 4 2 6 3" xfId="34945"/>
    <cellStyle name="Comma 13 2 4 2 7" xfId="34946"/>
    <cellStyle name="Comma 13 2 4 2 7 2" xfId="34947"/>
    <cellStyle name="Comma 13 2 4 2 8" xfId="34948"/>
    <cellStyle name="Comma 13 2 4 2 9" xfId="34949"/>
    <cellStyle name="Comma 13 2 4 3" xfId="34950"/>
    <cellStyle name="Comma 13 2 4 3 2" xfId="34951"/>
    <cellStyle name="Comma 13 2 4 3 2 2" xfId="34952"/>
    <cellStyle name="Comma 13 2 4 3 2 3" xfId="34953"/>
    <cellStyle name="Comma 13 2 4 3 3" xfId="34954"/>
    <cellStyle name="Comma 13 2 4 3 3 2" xfId="34955"/>
    <cellStyle name="Comma 13 2 4 3 3 3" xfId="34956"/>
    <cellStyle name="Comma 13 2 4 3 4" xfId="34957"/>
    <cellStyle name="Comma 13 2 4 3 4 2" xfId="34958"/>
    <cellStyle name="Comma 13 2 4 3 5" xfId="34959"/>
    <cellStyle name="Comma 13 2 4 3 6" xfId="34960"/>
    <cellStyle name="Comma 13 2 4 4" xfId="34961"/>
    <cellStyle name="Comma 13 2 4 4 2" xfId="34962"/>
    <cellStyle name="Comma 13 2 4 4 2 2" xfId="34963"/>
    <cellStyle name="Comma 13 2 4 4 2 3" xfId="34964"/>
    <cellStyle name="Comma 13 2 4 4 3" xfId="34965"/>
    <cellStyle name="Comma 13 2 4 4 3 2" xfId="34966"/>
    <cellStyle name="Comma 13 2 4 4 3 3" xfId="34967"/>
    <cellStyle name="Comma 13 2 4 4 4" xfId="34968"/>
    <cellStyle name="Comma 13 2 4 4 4 2" xfId="34969"/>
    <cellStyle name="Comma 13 2 4 4 5" xfId="34970"/>
    <cellStyle name="Comma 13 2 4 4 6" xfId="34971"/>
    <cellStyle name="Comma 13 2 4 5" xfId="34972"/>
    <cellStyle name="Comma 13 2 4 5 2" xfId="34973"/>
    <cellStyle name="Comma 13 2 4 5 2 2" xfId="34974"/>
    <cellStyle name="Comma 13 2 4 5 2 3" xfId="34975"/>
    <cellStyle name="Comma 13 2 4 5 3" xfId="34976"/>
    <cellStyle name="Comma 13 2 4 5 3 2" xfId="34977"/>
    <cellStyle name="Comma 13 2 4 5 4" xfId="34978"/>
    <cellStyle name="Comma 13 2 4 5 5" xfId="34979"/>
    <cellStyle name="Comma 13 2 4 6" xfId="34980"/>
    <cellStyle name="Comma 13 2 4 6 2" xfId="34981"/>
    <cellStyle name="Comma 13 2 4 6 3" xfId="34982"/>
    <cellStyle name="Comma 13 2 4 7" xfId="34983"/>
    <cellStyle name="Comma 13 2 4 7 2" xfId="34984"/>
    <cellStyle name="Comma 13 2 4 7 3" xfId="34985"/>
    <cellStyle name="Comma 13 2 4 8" xfId="34986"/>
    <cellStyle name="Comma 13 2 4 8 2" xfId="34987"/>
    <cellStyle name="Comma 13 2 4 9" xfId="34988"/>
    <cellStyle name="Comma 13 2 5" xfId="34989"/>
    <cellStyle name="Comma 13 2 5 2" xfId="34990"/>
    <cellStyle name="Comma 13 2 5 2 2" xfId="34991"/>
    <cellStyle name="Comma 13 2 5 2 2 2" xfId="34992"/>
    <cellStyle name="Comma 13 2 5 2 2 3" xfId="34993"/>
    <cellStyle name="Comma 13 2 5 2 3" xfId="34994"/>
    <cellStyle name="Comma 13 2 5 2 3 2" xfId="34995"/>
    <cellStyle name="Comma 13 2 5 2 3 3" xfId="34996"/>
    <cellStyle name="Comma 13 2 5 2 4" xfId="34997"/>
    <cellStyle name="Comma 13 2 5 2 4 2" xfId="34998"/>
    <cellStyle name="Comma 13 2 5 2 5" xfId="34999"/>
    <cellStyle name="Comma 13 2 5 2 6" xfId="35000"/>
    <cellStyle name="Comma 13 2 5 3" xfId="35001"/>
    <cellStyle name="Comma 13 2 5 3 2" xfId="35002"/>
    <cellStyle name="Comma 13 2 5 3 2 2" xfId="35003"/>
    <cellStyle name="Comma 13 2 5 3 2 3" xfId="35004"/>
    <cellStyle name="Comma 13 2 5 3 3" xfId="35005"/>
    <cellStyle name="Comma 13 2 5 3 3 2" xfId="35006"/>
    <cellStyle name="Comma 13 2 5 3 3 3" xfId="35007"/>
    <cellStyle name="Comma 13 2 5 3 4" xfId="35008"/>
    <cellStyle name="Comma 13 2 5 3 4 2" xfId="35009"/>
    <cellStyle name="Comma 13 2 5 3 5" xfId="35010"/>
    <cellStyle name="Comma 13 2 5 3 6" xfId="35011"/>
    <cellStyle name="Comma 13 2 5 4" xfId="35012"/>
    <cellStyle name="Comma 13 2 5 4 2" xfId="35013"/>
    <cellStyle name="Comma 13 2 5 4 2 2" xfId="35014"/>
    <cellStyle name="Comma 13 2 5 4 2 3" xfId="35015"/>
    <cellStyle name="Comma 13 2 5 4 3" xfId="35016"/>
    <cellStyle name="Comma 13 2 5 4 3 2" xfId="35017"/>
    <cellStyle name="Comma 13 2 5 4 4" xfId="35018"/>
    <cellStyle name="Comma 13 2 5 4 5" xfId="35019"/>
    <cellStyle name="Comma 13 2 5 5" xfId="35020"/>
    <cellStyle name="Comma 13 2 5 5 2" xfId="35021"/>
    <cellStyle name="Comma 13 2 5 5 3" xfId="35022"/>
    <cellStyle name="Comma 13 2 5 6" xfId="35023"/>
    <cellStyle name="Comma 13 2 5 6 2" xfId="35024"/>
    <cellStyle name="Comma 13 2 5 6 3" xfId="35025"/>
    <cellStyle name="Comma 13 2 5 7" xfId="35026"/>
    <cellStyle name="Comma 13 2 5 7 2" xfId="35027"/>
    <cellStyle name="Comma 13 2 5 8" xfId="35028"/>
    <cellStyle name="Comma 13 2 5 9" xfId="35029"/>
    <cellStyle name="Comma 13 2 6" xfId="35030"/>
    <cellStyle name="Comma 13 2 6 2" xfId="35031"/>
    <cellStyle name="Comma 13 2 6 2 2" xfId="35032"/>
    <cellStyle name="Comma 13 2 6 2 2 2" xfId="35033"/>
    <cellStyle name="Comma 13 2 6 2 2 3" xfId="35034"/>
    <cellStyle name="Comma 13 2 6 2 3" xfId="35035"/>
    <cellStyle name="Comma 13 2 6 2 3 2" xfId="35036"/>
    <cellStyle name="Comma 13 2 6 2 3 3" xfId="35037"/>
    <cellStyle name="Comma 13 2 6 2 4" xfId="35038"/>
    <cellStyle name="Comma 13 2 6 2 4 2" xfId="35039"/>
    <cellStyle name="Comma 13 2 6 2 5" xfId="35040"/>
    <cellStyle name="Comma 13 2 6 2 6" xfId="35041"/>
    <cellStyle name="Comma 13 2 6 3" xfId="35042"/>
    <cellStyle name="Comma 13 2 6 3 2" xfId="35043"/>
    <cellStyle name="Comma 13 2 6 3 2 2" xfId="35044"/>
    <cellStyle name="Comma 13 2 6 3 2 3" xfId="35045"/>
    <cellStyle name="Comma 13 2 6 3 3" xfId="35046"/>
    <cellStyle name="Comma 13 2 6 3 3 2" xfId="35047"/>
    <cellStyle name="Comma 13 2 6 3 3 3" xfId="35048"/>
    <cellStyle name="Comma 13 2 6 3 4" xfId="35049"/>
    <cellStyle name="Comma 13 2 6 3 4 2" xfId="35050"/>
    <cellStyle name="Comma 13 2 6 3 5" xfId="35051"/>
    <cellStyle name="Comma 13 2 6 3 6" xfId="35052"/>
    <cellStyle name="Comma 13 2 6 4" xfId="35053"/>
    <cellStyle name="Comma 13 2 6 4 2" xfId="35054"/>
    <cellStyle name="Comma 13 2 6 4 2 2" xfId="35055"/>
    <cellStyle name="Comma 13 2 6 4 2 3" xfId="35056"/>
    <cellStyle name="Comma 13 2 6 4 3" xfId="35057"/>
    <cellStyle name="Comma 13 2 6 4 3 2" xfId="35058"/>
    <cellStyle name="Comma 13 2 6 4 4" xfId="35059"/>
    <cellStyle name="Comma 13 2 6 4 5" xfId="35060"/>
    <cellStyle name="Comma 13 2 6 5" xfId="35061"/>
    <cellStyle name="Comma 13 2 6 5 2" xfId="35062"/>
    <cellStyle name="Comma 13 2 6 5 3" xfId="35063"/>
    <cellStyle name="Comma 13 2 6 6" xfId="35064"/>
    <cellStyle name="Comma 13 2 6 6 2" xfId="35065"/>
    <cellStyle name="Comma 13 2 6 6 3" xfId="35066"/>
    <cellStyle name="Comma 13 2 6 7" xfId="35067"/>
    <cellStyle name="Comma 13 2 6 7 2" xfId="35068"/>
    <cellStyle name="Comma 13 2 6 8" xfId="35069"/>
    <cellStyle name="Comma 13 2 6 9" xfId="35070"/>
    <cellStyle name="Comma 13 2 7" xfId="35071"/>
    <cellStyle name="Comma 13 2 7 2" xfId="35072"/>
    <cellStyle name="Comma 13 2 7 2 2" xfId="35073"/>
    <cellStyle name="Comma 13 2 7 2 3" xfId="35074"/>
    <cellStyle name="Comma 13 2 7 3" xfId="35075"/>
    <cellStyle name="Comma 13 2 7 3 2" xfId="35076"/>
    <cellStyle name="Comma 13 2 7 3 3" xfId="35077"/>
    <cellStyle name="Comma 13 2 7 4" xfId="35078"/>
    <cellStyle name="Comma 13 2 7 4 2" xfId="35079"/>
    <cellStyle name="Comma 13 2 7 5" xfId="35080"/>
    <cellStyle name="Comma 13 2 7 6" xfId="35081"/>
    <cellStyle name="Comma 13 2 8" xfId="35082"/>
    <cellStyle name="Comma 13 2 8 2" xfId="35083"/>
    <cellStyle name="Comma 13 2 8 2 2" xfId="35084"/>
    <cellStyle name="Comma 13 2 8 2 3" xfId="35085"/>
    <cellStyle name="Comma 13 2 8 3" xfId="35086"/>
    <cellStyle name="Comma 13 2 8 3 2" xfId="35087"/>
    <cellStyle name="Comma 13 2 8 3 3" xfId="35088"/>
    <cellStyle name="Comma 13 2 8 4" xfId="35089"/>
    <cellStyle name="Comma 13 2 8 4 2" xfId="35090"/>
    <cellStyle name="Comma 13 2 8 5" xfId="35091"/>
    <cellStyle name="Comma 13 2 8 6" xfId="35092"/>
    <cellStyle name="Comma 13 2 9" xfId="35093"/>
    <cellStyle name="Comma 13 2 9 2" xfId="35094"/>
    <cellStyle name="Comma 13 2 9 2 2" xfId="35095"/>
    <cellStyle name="Comma 13 2 9 2 3" xfId="35096"/>
    <cellStyle name="Comma 13 2 9 3" xfId="35097"/>
    <cellStyle name="Comma 13 2 9 3 2" xfId="35098"/>
    <cellStyle name="Comma 13 2 9 4" xfId="35099"/>
    <cellStyle name="Comma 13 2 9 5" xfId="35100"/>
    <cellStyle name="Comma 13 3" xfId="9049"/>
    <cellStyle name="Comma 13 3 10" xfId="35101"/>
    <cellStyle name="Comma 13 3 10 2" xfId="35102"/>
    <cellStyle name="Comma 13 3 10 3" xfId="35103"/>
    <cellStyle name="Comma 13 3 11" xfId="35104"/>
    <cellStyle name="Comma 13 3 11 2" xfId="35105"/>
    <cellStyle name="Comma 13 3 12" xfId="35106"/>
    <cellStyle name="Comma 13 3 13" xfId="35107"/>
    <cellStyle name="Comma 13 3 2" xfId="35108"/>
    <cellStyle name="Comma 13 3 2 10" xfId="35109"/>
    <cellStyle name="Comma 13 3 2 10 2" xfId="35110"/>
    <cellStyle name="Comma 13 3 2 11" xfId="35111"/>
    <cellStyle name="Comma 13 3 2 12" xfId="35112"/>
    <cellStyle name="Comma 13 3 2 2" xfId="35113"/>
    <cellStyle name="Comma 13 3 2 2 10" xfId="35114"/>
    <cellStyle name="Comma 13 3 2 2 2" xfId="35115"/>
    <cellStyle name="Comma 13 3 2 2 2 2" xfId="35116"/>
    <cellStyle name="Comma 13 3 2 2 2 2 2" xfId="35117"/>
    <cellStyle name="Comma 13 3 2 2 2 2 2 2" xfId="35118"/>
    <cellStyle name="Comma 13 3 2 2 2 2 2 3" xfId="35119"/>
    <cellStyle name="Comma 13 3 2 2 2 2 3" xfId="35120"/>
    <cellStyle name="Comma 13 3 2 2 2 2 3 2" xfId="35121"/>
    <cellStyle name="Comma 13 3 2 2 2 2 3 3" xfId="35122"/>
    <cellStyle name="Comma 13 3 2 2 2 2 4" xfId="35123"/>
    <cellStyle name="Comma 13 3 2 2 2 2 4 2" xfId="35124"/>
    <cellStyle name="Comma 13 3 2 2 2 2 5" xfId="35125"/>
    <cellStyle name="Comma 13 3 2 2 2 2 6" xfId="35126"/>
    <cellStyle name="Comma 13 3 2 2 2 3" xfId="35127"/>
    <cellStyle name="Comma 13 3 2 2 2 3 2" xfId="35128"/>
    <cellStyle name="Comma 13 3 2 2 2 3 2 2" xfId="35129"/>
    <cellStyle name="Comma 13 3 2 2 2 3 2 3" xfId="35130"/>
    <cellStyle name="Comma 13 3 2 2 2 3 3" xfId="35131"/>
    <cellStyle name="Comma 13 3 2 2 2 3 3 2" xfId="35132"/>
    <cellStyle name="Comma 13 3 2 2 2 3 3 3" xfId="35133"/>
    <cellStyle name="Comma 13 3 2 2 2 3 4" xfId="35134"/>
    <cellStyle name="Comma 13 3 2 2 2 3 4 2" xfId="35135"/>
    <cellStyle name="Comma 13 3 2 2 2 3 5" xfId="35136"/>
    <cellStyle name="Comma 13 3 2 2 2 3 6" xfId="35137"/>
    <cellStyle name="Comma 13 3 2 2 2 4" xfId="35138"/>
    <cellStyle name="Comma 13 3 2 2 2 4 2" xfId="35139"/>
    <cellStyle name="Comma 13 3 2 2 2 4 2 2" xfId="35140"/>
    <cellStyle name="Comma 13 3 2 2 2 4 2 3" xfId="35141"/>
    <cellStyle name="Comma 13 3 2 2 2 4 3" xfId="35142"/>
    <cellStyle name="Comma 13 3 2 2 2 4 3 2" xfId="35143"/>
    <cellStyle name="Comma 13 3 2 2 2 4 4" xfId="35144"/>
    <cellStyle name="Comma 13 3 2 2 2 4 5" xfId="35145"/>
    <cellStyle name="Comma 13 3 2 2 2 5" xfId="35146"/>
    <cellStyle name="Comma 13 3 2 2 2 5 2" xfId="35147"/>
    <cellStyle name="Comma 13 3 2 2 2 5 3" xfId="35148"/>
    <cellStyle name="Comma 13 3 2 2 2 6" xfId="35149"/>
    <cellStyle name="Comma 13 3 2 2 2 6 2" xfId="35150"/>
    <cellStyle name="Comma 13 3 2 2 2 6 3" xfId="35151"/>
    <cellStyle name="Comma 13 3 2 2 2 7" xfId="35152"/>
    <cellStyle name="Comma 13 3 2 2 2 7 2" xfId="35153"/>
    <cellStyle name="Comma 13 3 2 2 2 8" xfId="35154"/>
    <cellStyle name="Comma 13 3 2 2 2 9" xfId="35155"/>
    <cellStyle name="Comma 13 3 2 2 3" xfId="35156"/>
    <cellStyle name="Comma 13 3 2 2 3 2" xfId="35157"/>
    <cellStyle name="Comma 13 3 2 2 3 2 2" xfId="35158"/>
    <cellStyle name="Comma 13 3 2 2 3 2 3" xfId="35159"/>
    <cellStyle name="Comma 13 3 2 2 3 3" xfId="35160"/>
    <cellStyle name="Comma 13 3 2 2 3 3 2" xfId="35161"/>
    <cellStyle name="Comma 13 3 2 2 3 3 3" xfId="35162"/>
    <cellStyle name="Comma 13 3 2 2 3 4" xfId="35163"/>
    <cellStyle name="Comma 13 3 2 2 3 4 2" xfId="35164"/>
    <cellStyle name="Comma 13 3 2 2 3 5" xfId="35165"/>
    <cellStyle name="Comma 13 3 2 2 3 6" xfId="35166"/>
    <cellStyle name="Comma 13 3 2 2 4" xfId="35167"/>
    <cellStyle name="Comma 13 3 2 2 4 2" xfId="35168"/>
    <cellStyle name="Comma 13 3 2 2 4 2 2" xfId="35169"/>
    <cellStyle name="Comma 13 3 2 2 4 2 3" xfId="35170"/>
    <cellStyle name="Comma 13 3 2 2 4 3" xfId="35171"/>
    <cellStyle name="Comma 13 3 2 2 4 3 2" xfId="35172"/>
    <cellStyle name="Comma 13 3 2 2 4 3 3" xfId="35173"/>
    <cellStyle name="Comma 13 3 2 2 4 4" xfId="35174"/>
    <cellStyle name="Comma 13 3 2 2 4 4 2" xfId="35175"/>
    <cellStyle name="Comma 13 3 2 2 4 5" xfId="35176"/>
    <cellStyle name="Comma 13 3 2 2 4 6" xfId="35177"/>
    <cellStyle name="Comma 13 3 2 2 5" xfId="35178"/>
    <cellStyle name="Comma 13 3 2 2 5 2" xfId="35179"/>
    <cellStyle name="Comma 13 3 2 2 5 2 2" xfId="35180"/>
    <cellStyle name="Comma 13 3 2 2 5 2 3" xfId="35181"/>
    <cellStyle name="Comma 13 3 2 2 5 3" xfId="35182"/>
    <cellStyle name="Comma 13 3 2 2 5 3 2" xfId="35183"/>
    <cellStyle name="Comma 13 3 2 2 5 4" xfId="35184"/>
    <cellStyle name="Comma 13 3 2 2 5 5" xfId="35185"/>
    <cellStyle name="Comma 13 3 2 2 6" xfId="35186"/>
    <cellStyle name="Comma 13 3 2 2 6 2" xfId="35187"/>
    <cellStyle name="Comma 13 3 2 2 6 3" xfId="35188"/>
    <cellStyle name="Comma 13 3 2 2 7" xfId="35189"/>
    <cellStyle name="Comma 13 3 2 2 7 2" xfId="35190"/>
    <cellStyle name="Comma 13 3 2 2 7 3" xfId="35191"/>
    <cellStyle name="Comma 13 3 2 2 8" xfId="35192"/>
    <cellStyle name="Comma 13 3 2 2 8 2" xfId="35193"/>
    <cellStyle name="Comma 13 3 2 2 9" xfId="35194"/>
    <cellStyle name="Comma 13 3 2 3" xfId="35195"/>
    <cellStyle name="Comma 13 3 2 3 2" xfId="35196"/>
    <cellStyle name="Comma 13 3 2 3 2 2" xfId="35197"/>
    <cellStyle name="Comma 13 3 2 3 2 2 2" xfId="35198"/>
    <cellStyle name="Comma 13 3 2 3 2 2 3" xfId="35199"/>
    <cellStyle name="Comma 13 3 2 3 2 3" xfId="35200"/>
    <cellStyle name="Comma 13 3 2 3 2 3 2" xfId="35201"/>
    <cellStyle name="Comma 13 3 2 3 2 3 3" xfId="35202"/>
    <cellStyle name="Comma 13 3 2 3 2 4" xfId="35203"/>
    <cellStyle name="Comma 13 3 2 3 2 4 2" xfId="35204"/>
    <cellStyle name="Comma 13 3 2 3 2 5" xfId="35205"/>
    <cellStyle name="Comma 13 3 2 3 2 6" xfId="35206"/>
    <cellStyle name="Comma 13 3 2 3 3" xfId="35207"/>
    <cellStyle name="Comma 13 3 2 3 3 2" xfId="35208"/>
    <cellStyle name="Comma 13 3 2 3 3 2 2" xfId="35209"/>
    <cellStyle name="Comma 13 3 2 3 3 2 3" xfId="35210"/>
    <cellStyle name="Comma 13 3 2 3 3 3" xfId="35211"/>
    <cellStyle name="Comma 13 3 2 3 3 3 2" xfId="35212"/>
    <cellStyle name="Comma 13 3 2 3 3 3 3" xfId="35213"/>
    <cellStyle name="Comma 13 3 2 3 3 4" xfId="35214"/>
    <cellStyle name="Comma 13 3 2 3 3 4 2" xfId="35215"/>
    <cellStyle name="Comma 13 3 2 3 3 5" xfId="35216"/>
    <cellStyle name="Comma 13 3 2 3 3 6" xfId="35217"/>
    <cellStyle name="Comma 13 3 2 3 4" xfId="35218"/>
    <cellStyle name="Comma 13 3 2 3 4 2" xfId="35219"/>
    <cellStyle name="Comma 13 3 2 3 4 2 2" xfId="35220"/>
    <cellStyle name="Comma 13 3 2 3 4 2 3" xfId="35221"/>
    <cellStyle name="Comma 13 3 2 3 4 3" xfId="35222"/>
    <cellStyle name="Comma 13 3 2 3 4 3 2" xfId="35223"/>
    <cellStyle name="Comma 13 3 2 3 4 4" xfId="35224"/>
    <cellStyle name="Comma 13 3 2 3 4 5" xfId="35225"/>
    <cellStyle name="Comma 13 3 2 3 5" xfId="35226"/>
    <cellStyle name="Comma 13 3 2 3 5 2" xfId="35227"/>
    <cellStyle name="Comma 13 3 2 3 5 3" xfId="35228"/>
    <cellStyle name="Comma 13 3 2 3 6" xfId="35229"/>
    <cellStyle name="Comma 13 3 2 3 6 2" xfId="35230"/>
    <cellStyle name="Comma 13 3 2 3 6 3" xfId="35231"/>
    <cellStyle name="Comma 13 3 2 3 7" xfId="35232"/>
    <cellStyle name="Comma 13 3 2 3 7 2" xfId="35233"/>
    <cellStyle name="Comma 13 3 2 3 8" xfId="35234"/>
    <cellStyle name="Comma 13 3 2 3 9" xfId="35235"/>
    <cellStyle name="Comma 13 3 2 4" xfId="35236"/>
    <cellStyle name="Comma 13 3 2 4 2" xfId="35237"/>
    <cellStyle name="Comma 13 3 2 4 2 2" xfId="35238"/>
    <cellStyle name="Comma 13 3 2 4 2 2 2" xfId="35239"/>
    <cellStyle name="Comma 13 3 2 4 2 2 3" xfId="35240"/>
    <cellStyle name="Comma 13 3 2 4 2 3" xfId="35241"/>
    <cellStyle name="Comma 13 3 2 4 2 3 2" xfId="35242"/>
    <cellStyle name="Comma 13 3 2 4 2 3 3" xfId="35243"/>
    <cellStyle name="Comma 13 3 2 4 2 4" xfId="35244"/>
    <cellStyle name="Comma 13 3 2 4 2 4 2" xfId="35245"/>
    <cellStyle name="Comma 13 3 2 4 2 5" xfId="35246"/>
    <cellStyle name="Comma 13 3 2 4 2 6" xfId="35247"/>
    <cellStyle name="Comma 13 3 2 4 3" xfId="35248"/>
    <cellStyle name="Comma 13 3 2 4 3 2" xfId="35249"/>
    <cellStyle name="Comma 13 3 2 4 3 2 2" xfId="35250"/>
    <cellStyle name="Comma 13 3 2 4 3 2 3" xfId="35251"/>
    <cellStyle name="Comma 13 3 2 4 3 3" xfId="35252"/>
    <cellStyle name="Comma 13 3 2 4 3 3 2" xfId="35253"/>
    <cellStyle name="Comma 13 3 2 4 3 3 3" xfId="35254"/>
    <cellStyle name="Comma 13 3 2 4 3 4" xfId="35255"/>
    <cellStyle name="Comma 13 3 2 4 3 4 2" xfId="35256"/>
    <cellStyle name="Comma 13 3 2 4 3 5" xfId="35257"/>
    <cellStyle name="Comma 13 3 2 4 3 6" xfId="35258"/>
    <cellStyle name="Comma 13 3 2 4 4" xfId="35259"/>
    <cellStyle name="Comma 13 3 2 4 4 2" xfId="35260"/>
    <cellStyle name="Comma 13 3 2 4 4 2 2" xfId="35261"/>
    <cellStyle name="Comma 13 3 2 4 4 2 3" xfId="35262"/>
    <cellStyle name="Comma 13 3 2 4 4 3" xfId="35263"/>
    <cellStyle name="Comma 13 3 2 4 4 3 2" xfId="35264"/>
    <cellStyle name="Comma 13 3 2 4 4 4" xfId="35265"/>
    <cellStyle name="Comma 13 3 2 4 4 5" xfId="35266"/>
    <cellStyle name="Comma 13 3 2 4 5" xfId="35267"/>
    <cellStyle name="Comma 13 3 2 4 5 2" xfId="35268"/>
    <cellStyle name="Comma 13 3 2 4 5 3" xfId="35269"/>
    <cellStyle name="Comma 13 3 2 4 6" xfId="35270"/>
    <cellStyle name="Comma 13 3 2 4 6 2" xfId="35271"/>
    <cellStyle name="Comma 13 3 2 4 6 3" xfId="35272"/>
    <cellStyle name="Comma 13 3 2 4 7" xfId="35273"/>
    <cellStyle name="Comma 13 3 2 4 7 2" xfId="35274"/>
    <cellStyle name="Comma 13 3 2 4 8" xfId="35275"/>
    <cellStyle name="Comma 13 3 2 4 9" xfId="35276"/>
    <cellStyle name="Comma 13 3 2 5" xfId="35277"/>
    <cellStyle name="Comma 13 3 2 5 2" xfId="35278"/>
    <cellStyle name="Comma 13 3 2 5 2 2" xfId="35279"/>
    <cellStyle name="Comma 13 3 2 5 2 3" xfId="35280"/>
    <cellStyle name="Comma 13 3 2 5 3" xfId="35281"/>
    <cellStyle name="Comma 13 3 2 5 3 2" xfId="35282"/>
    <cellStyle name="Comma 13 3 2 5 3 3" xfId="35283"/>
    <cellStyle name="Comma 13 3 2 5 4" xfId="35284"/>
    <cellStyle name="Comma 13 3 2 5 4 2" xfId="35285"/>
    <cellStyle name="Comma 13 3 2 5 5" xfId="35286"/>
    <cellStyle name="Comma 13 3 2 5 6" xfId="35287"/>
    <cellStyle name="Comma 13 3 2 6" xfId="35288"/>
    <cellStyle name="Comma 13 3 2 6 2" xfId="35289"/>
    <cellStyle name="Comma 13 3 2 6 2 2" xfId="35290"/>
    <cellStyle name="Comma 13 3 2 6 2 3" xfId="35291"/>
    <cellStyle name="Comma 13 3 2 6 3" xfId="35292"/>
    <cellStyle name="Comma 13 3 2 6 3 2" xfId="35293"/>
    <cellStyle name="Comma 13 3 2 6 3 3" xfId="35294"/>
    <cellStyle name="Comma 13 3 2 6 4" xfId="35295"/>
    <cellStyle name="Comma 13 3 2 6 4 2" xfId="35296"/>
    <cellStyle name="Comma 13 3 2 6 5" xfId="35297"/>
    <cellStyle name="Comma 13 3 2 6 6" xfId="35298"/>
    <cellStyle name="Comma 13 3 2 7" xfId="35299"/>
    <cellStyle name="Comma 13 3 2 7 2" xfId="35300"/>
    <cellStyle name="Comma 13 3 2 7 2 2" xfId="35301"/>
    <cellStyle name="Comma 13 3 2 7 2 3" xfId="35302"/>
    <cellStyle name="Comma 13 3 2 7 3" xfId="35303"/>
    <cellStyle name="Comma 13 3 2 7 3 2" xfId="35304"/>
    <cellStyle name="Comma 13 3 2 7 4" xfId="35305"/>
    <cellStyle name="Comma 13 3 2 7 5" xfId="35306"/>
    <cellStyle name="Comma 13 3 2 8" xfId="35307"/>
    <cellStyle name="Comma 13 3 2 8 2" xfId="35308"/>
    <cellStyle name="Comma 13 3 2 8 3" xfId="35309"/>
    <cellStyle name="Comma 13 3 2 9" xfId="35310"/>
    <cellStyle name="Comma 13 3 2 9 2" xfId="35311"/>
    <cellStyle name="Comma 13 3 2 9 3" xfId="35312"/>
    <cellStyle name="Comma 13 3 3" xfId="35313"/>
    <cellStyle name="Comma 13 3 3 10" xfId="35314"/>
    <cellStyle name="Comma 13 3 3 2" xfId="35315"/>
    <cellStyle name="Comma 13 3 3 2 2" xfId="35316"/>
    <cellStyle name="Comma 13 3 3 2 2 2" xfId="35317"/>
    <cellStyle name="Comma 13 3 3 2 2 2 2" xfId="35318"/>
    <cellStyle name="Comma 13 3 3 2 2 2 3" xfId="35319"/>
    <cellStyle name="Comma 13 3 3 2 2 3" xfId="35320"/>
    <cellStyle name="Comma 13 3 3 2 2 3 2" xfId="35321"/>
    <cellStyle name="Comma 13 3 3 2 2 3 3" xfId="35322"/>
    <cellStyle name="Comma 13 3 3 2 2 4" xfId="35323"/>
    <cellStyle name="Comma 13 3 3 2 2 4 2" xfId="35324"/>
    <cellStyle name="Comma 13 3 3 2 2 5" xfId="35325"/>
    <cellStyle name="Comma 13 3 3 2 2 6" xfId="35326"/>
    <cellStyle name="Comma 13 3 3 2 3" xfId="35327"/>
    <cellStyle name="Comma 13 3 3 2 3 2" xfId="35328"/>
    <cellStyle name="Comma 13 3 3 2 3 2 2" xfId="35329"/>
    <cellStyle name="Comma 13 3 3 2 3 2 3" xfId="35330"/>
    <cellStyle name="Comma 13 3 3 2 3 3" xfId="35331"/>
    <cellStyle name="Comma 13 3 3 2 3 3 2" xfId="35332"/>
    <cellStyle name="Comma 13 3 3 2 3 3 3" xfId="35333"/>
    <cellStyle name="Comma 13 3 3 2 3 4" xfId="35334"/>
    <cellStyle name="Comma 13 3 3 2 3 4 2" xfId="35335"/>
    <cellStyle name="Comma 13 3 3 2 3 5" xfId="35336"/>
    <cellStyle name="Comma 13 3 3 2 3 6" xfId="35337"/>
    <cellStyle name="Comma 13 3 3 2 4" xfId="35338"/>
    <cellStyle name="Comma 13 3 3 2 4 2" xfId="35339"/>
    <cellStyle name="Comma 13 3 3 2 4 2 2" xfId="35340"/>
    <cellStyle name="Comma 13 3 3 2 4 2 3" xfId="35341"/>
    <cellStyle name="Comma 13 3 3 2 4 3" xfId="35342"/>
    <cellStyle name="Comma 13 3 3 2 4 3 2" xfId="35343"/>
    <cellStyle name="Comma 13 3 3 2 4 4" xfId="35344"/>
    <cellStyle name="Comma 13 3 3 2 4 5" xfId="35345"/>
    <cellStyle name="Comma 13 3 3 2 5" xfId="35346"/>
    <cellStyle name="Comma 13 3 3 2 5 2" xfId="35347"/>
    <cellStyle name="Comma 13 3 3 2 5 3" xfId="35348"/>
    <cellStyle name="Comma 13 3 3 2 6" xfId="35349"/>
    <cellStyle name="Comma 13 3 3 2 6 2" xfId="35350"/>
    <cellStyle name="Comma 13 3 3 2 6 3" xfId="35351"/>
    <cellStyle name="Comma 13 3 3 2 7" xfId="35352"/>
    <cellStyle name="Comma 13 3 3 2 7 2" xfId="35353"/>
    <cellStyle name="Comma 13 3 3 2 8" xfId="35354"/>
    <cellStyle name="Comma 13 3 3 2 9" xfId="35355"/>
    <cellStyle name="Comma 13 3 3 3" xfId="35356"/>
    <cellStyle name="Comma 13 3 3 3 2" xfId="35357"/>
    <cellStyle name="Comma 13 3 3 3 2 2" xfId="35358"/>
    <cellStyle name="Comma 13 3 3 3 2 3" xfId="35359"/>
    <cellStyle name="Comma 13 3 3 3 3" xfId="35360"/>
    <cellStyle name="Comma 13 3 3 3 3 2" xfId="35361"/>
    <cellStyle name="Comma 13 3 3 3 3 3" xfId="35362"/>
    <cellStyle name="Comma 13 3 3 3 4" xfId="35363"/>
    <cellStyle name="Comma 13 3 3 3 4 2" xfId="35364"/>
    <cellStyle name="Comma 13 3 3 3 5" xfId="35365"/>
    <cellStyle name="Comma 13 3 3 3 6" xfId="35366"/>
    <cellStyle name="Comma 13 3 3 4" xfId="35367"/>
    <cellStyle name="Comma 13 3 3 4 2" xfId="35368"/>
    <cellStyle name="Comma 13 3 3 4 2 2" xfId="35369"/>
    <cellStyle name="Comma 13 3 3 4 2 3" xfId="35370"/>
    <cellStyle name="Comma 13 3 3 4 3" xfId="35371"/>
    <cellStyle name="Comma 13 3 3 4 3 2" xfId="35372"/>
    <cellStyle name="Comma 13 3 3 4 3 3" xfId="35373"/>
    <cellStyle name="Comma 13 3 3 4 4" xfId="35374"/>
    <cellStyle name="Comma 13 3 3 4 4 2" xfId="35375"/>
    <cellStyle name="Comma 13 3 3 4 5" xfId="35376"/>
    <cellStyle name="Comma 13 3 3 4 6" xfId="35377"/>
    <cellStyle name="Comma 13 3 3 5" xfId="35378"/>
    <cellStyle name="Comma 13 3 3 5 2" xfId="35379"/>
    <cellStyle name="Comma 13 3 3 5 2 2" xfId="35380"/>
    <cellStyle name="Comma 13 3 3 5 2 3" xfId="35381"/>
    <cellStyle name="Comma 13 3 3 5 3" xfId="35382"/>
    <cellStyle name="Comma 13 3 3 5 3 2" xfId="35383"/>
    <cellStyle name="Comma 13 3 3 5 4" xfId="35384"/>
    <cellStyle name="Comma 13 3 3 5 5" xfId="35385"/>
    <cellStyle name="Comma 13 3 3 6" xfId="35386"/>
    <cellStyle name="Comma 13 3 3 6 2" xfId="35387"/>
    <cellStyle name="Comma 13 3 3 6 3" xfId="35388"/>
    <cellStyle name="Comma 13 3 3 7" xfId="35389"/>
    <cellStyle name="Comma 13 3 3 7 2" xfId="35390"/>
    <cellStyle name="Comma 13 3 3 7 3" xfId="35391"/>
    <cellStyle name="Comma 13 3 3 8" xfId="35392"/>
    <cellStyle name="Comma 13 3 3 8 2" xfId="35393"/>
    <cellStyle name="Comma 13 3 3 9" xfId="35394"/>
    <cellStyle name="Comma 13 3 4" xfId="35395"/>
    <cellStyle name="Comma 13 3 4 2" xfId="35396"/>
    <cellStyle name="Comma 13 3 4 2 2" xfId="35397"/>
    <cellStyle name="Comma 13 3 4 2 2 2" xfId="35398"/>
    <cellStyle name="Comma 13 3 4 2 2 3" xfId="35399"/>
    <cellStyle name="Comma 13 3 4 2 3" xfId="35400"/>
    <cellStyle name="Comma 13 3 4 2 3 2" xfId="35401"/>
    <cellStyle name="Comma 13 3 4 2 3 3" xfId="35402"/>
    <cellStyle name="Comma 13 3 4 2 4" xfId="35403"/>
    <cellStyle name="Comma 13 3 4 2 4 2" xfId="35404"/>
    <cellStyle name="Comma 13 3 4 2 5" xfId="35405"/>
    <cellStyle name="Comma 13 3 4 2 6" xfId="35406"/>
    <cellStyle name="Comma 13 3 4 3" xfId="35407"/>
    <cellStyle name="Comma 13 3 4 3 2" xfId="35408"/>
    <cellStyle name="Comma 13 3 4 3 2 2" xfId="35409"/>
    <cellStyle name="Comma 13 3 4 3 2 3" xfId="35410"/>
    <cellStyle name="Comma 13 3 4 3 3" xfId="35411"/>
    <cellStyle name="Comma 13 3 4 3 3 2" xfId="35412"/>
    <cellStyle name="Comma 13 3 4 3 3 3" xfId="35413"/>
    <cellStyle name="Comma 13 3 4 3 4" xfId="35414"/>
    <cellStyle name="Comma 13 3 4 3 4 2" xfId="35415"/>
    <cellStyle name="Comma 13 3 4 3 5" xfId="35416"/>
    <cellStyle name="Comma 13 3 4 3 6" xfId="35417"/>
    <cellStyle name="Comma 13 3 4 4" xfId="35418"/>
    <cellStyle name="Comma 13 3 4 4 2" xfId="35419"/>
    <cellStyle name="Comma 13 3 4 4 2 2" xfId="35420"/>
    <cellStyle name="Comma 13 3 4 4 2 3" xfId="35421"/>
    <cellStyle name="Comma 13 3 4 4 3" xfId="35422"/>
    <cellStyle name="Comma 13 3 4 4 3 2" xfId="35423"/>
    <cellStyle name="Comma 13 3 4 4 4" xfId="35424"/>
    <cellStyle name="Comma 13 3 4 4 5" xfId="35425"/>
    <cellStyle name="Comma 13 3 4 5" xfId="35426"/>
    <cellStyle name="Comma 13 3 4 5 2" xfId="35427"/>
    <cellStyle name="Comma 13 3 4 5 3" xfId="35428"/>
    <cellStyle name="Comma 13 3 4 6" xfId="35429"/>
    <cellStyle name="Comma 13 3 4 6 2" xfId="35430"/>
    <cellStyle name="Comma 13 3 4 6 3" xfId="35431"/>
    <cellStyle name="Comma 13 3 4 7" xfId="35432"/>
    <cellStyle name="Comma 13 3 4 7 2" xfId="35433"/>
    <cellStyle name="Comma 13 3 4 8" xfId="35434"/>
    <cellStyle name="Comma 13 3 4 9" xfId="35435"/>
    <cellStyle name="Comma 13 3 5" xfId="35436"/>
    <cellStyle name="Comma 13 3 5 2" xfId="35437"/>
    <cellStyle name="Comma 13 3 5 2 2" xfId="35438"/>
    <cellStyle name="Comma 13 3 5 2 2 2" xfId="35439"/>
    <cellStyle name="Comma 13 3 5 2 2 3" xfId="35440"/>
    <cellStyle name="Comma 13 3 5 2 3" xfId="35441"/>
    <cellStyle name="Comma 13 3 5 2 3 2" xfId="35442"/>
    <cellStyle name="Comma 13 3 5 2 3 3" xfId="35443"/>
    <cellStyle name="Comma 13 3 5 2 4" xfId="35444"/>
    <cellStyle name="Comma 13 3 5 2 4 2" xfId="35445"/>
    <cellStyle name="Comma 13 3 5 2 5" xfId="35446"/>
    <cellStyle name="Comma 13 3 5 2 6" xfId="35447"/>
    <cellStyle name="Comma 13 3 5 3" xfId="35448"/>
    <cellStyle name="Comma 13 3 5 3 2" xfId="35449"/>
    <cellStyle name="Comma 13 3 5 3 2 2" xfId="35450"/>
    <cellStyle name="Comma 13 3 5 3 2 3" xfId="35451"/>
    <cellStyle name="Comma 13 3 5 3 3" xfId="35452"/>
    <cellStyle name="Comma 13 3 5 3 3 2" xfId="35453"/>
    <cellStyle name="Comma 13 3 5 3 3 3" xfId="35454"/>
    <cellStyle name="Comma 13 3 5 3 4" xfId="35455"/>
    <cellStyle name="Comma 13 3 5 3 4 2" xfId="35456"/>
    <cellStyle name="Comma 13 3 5 3 5" xfId="35457"/>
    <cellStyle name="Comma 13 3 5 3 6" xfId="35458"/>
    <cellStyle name="Comma 13 3 5 4" xfId="35459"/>
    <cellStyle name="Comma 13 3 5 4 2" xfId="35460"/>
    <cellStyle name="Comma 13 3 5 4 2 2" xfId="35461"/>
    <cellStyle name="Comma 13 3 5 4 2 3" xfId="35462"/>
    <cellStyle name="Comma 13 3 5 4 3" xfId="35463"/>
    <cellStyle name="Comma 13 3 5 4 3 2" xfId="35464"/>
    <cellStyle name="Comma 13 3 5 4 4" xfId="35465"/>
    <cellStyle name="Comma 13 3 5 4 5" xfId="35466"/>
    <cellStyle name="Comma 13 3 5 5" xfId="35467"/>
    <cellStyle name="Comma 13 3 5 5 2" xfId="35468"/>
    <cellStyle name="Comma 13 3 5 5 3" xfId="35469"/>
    <cellStyle name="Comma 13 3 5 6" xfId="35470"/>
    <cellStyle name="Comma 13 3 5 6 2" xfId="35471"/>
    <cellStyle name="Comma 13 3 5 6 3" xfId="35472"/>
    <cellStyle name="Comma 13 3 5 7" xfId="35473"/>
    <cellStyle name="Comma 13 3 5 7 2" xfId="35474"/>
    <cellStyle name="Comma 13 3 5 8" xfId="35475"/>
    <cellStyle name="Comma 13 3 5 9" xfId="35476"/>
    <cellStyle name="Comma 13 3 6" xfId="35477"/>
    <cellStyle name="Comma 13 3 6 2" xfId="35478"/>
    <cellStyle name="Comma 13 3 6 2 2" xfId="35479"/>
    <cellStyle name="Comma 13 3 6 2 3" xfId="35480"/>
    <cellStyle name="Comma 13 3 6 3" xfId="35481"/>
    <cellStyle name="Comma 13 3 6 3 2" xfId="35482"/>
    <cellStyle name="Comma 13 3 6 3 3" xfId="35483"/>
    <cellStyle name="Comma 13 3 6 4" xfId="35484"/>
    <cellStyle name="Comma 13 3 6 4 2" xfId="35485"/>
    <cellStyle name="Comma 13 3 6 5" xfId="35486"/>
    <cellStyle name="Comma 13 3 6 6" xfId="35487"/>
    <cellStyle name="Comma 13 3 7" xfId="35488"/>
    <cellStyle name="Comma 13 3 7 2" xfId="35489"/>
    <cellStyle name="Comma 13 3 7 2 2" xfId="35490"/>
    <cellStyle name="Comma 13 3 7 2 3" xfId="35491"/>
    <cellStyle name="Comma 13 3 7 3" xfId="35492"/>
    <cellStyle name="Comma 13 3 7 3 2" xfId="35493"/>
    <cellStyle name="Comma 13 3 7 3 3" xfId="35494"/>
    <cellStyle name="Comma 13 3 7 4" xfId="35495"/>
    <cellStyle name="Comma 13 3 7 4 2" xfId="35496"/>
    <cellStyle name="Comma 13 3 7 5" xfId="35497"/>
    <cellStyle name="Comma 13 3 7 6" xfId="35498"/>
    <cellStyle name="Comma 13 3 8" xfId="35499"/>
    <cellStyle name="Comma 13 3 8 2" xfId="35500"/>
    <cellStyle name="Comma 13 3 8 2 2" xfId="35501"/>
    <cellStyle name="Comma 13 3 8 2 3" xfId="35502"/>
    <cellStyle name="Comma 13 3 8 3" xfId="35503"/>
    <cellStyle name="Comma 13 3 8 3 2" xfId="35504"/>
    <cellStyle name="Comma 13 3 8 4" xfId="35505"/>
    <cellStyle name="Comma 13 3 8 5" xfId="35506"/>
    <cellStyle name="Comma 13 3 9" xfId="35507"/>
    <cellStyle name="Comma 13 3 9 2" xfId="35508"/>
    <cellStyle name="Comma 13 3 9 3" xfId="35509"/>
    <cellStyle name="Comma 13 4" xfId="35510"/>
    <cellStyle name="Comma 13 4 10" xfId="35511"/>
    <cellStyle name="Comma 13 4 10 2" xfId="35512"/>
    <cellStyle name="Comma 13 4 11" xfId="35513"/>
    <cellStyle name="Comma 13 4 12" xfId="35514"/>
    <cellStyle name="Comma 13 4 2" xfId="35515"/>
    <cellStyle name="Comma 13 4 2 10" xfId="35516"/>
    <cellStyle name="Comma 13 4 2 2" xfId="35517"/>
    <cellStyle name="Comma 13 4 2 2 2" xfId="35518"/>
    <cellStyle name="Comma 13 4 2 2 2 2" xfId="35519"/>
    <cellStyle name="Comma 13 4 2 2 2 2 2" xfId="35520"/>
    <cellStyle name="Comma 13 4 2 2 2 2 3" xfId="35521"/>
    <cellStyle name="Comma 13 4 2 2 2 3" xfId="35522"/>
    <cellStyle name="Comma 13 4 2 2 2 3 2" xfId="35523"/>
    <cellStyle name="Comma 13 4 2 2 2 3 3" xfId="35524"/>
    <cellStyle name="Comma 13 4 2 2 2 4" xfId="35525"/>
    <cellStyle name="Comma 13 4 2 2 2 4 2" xfId="35526"/>
    <cellStyle name="Comma 13 4 2 2 2 5" xfId="35527"/>
    <cellStyle name="Comma 13 4 2 2 2 6" xfId="35528"/>
    <cellStyle name="Comma 13 4 2 2 3" xfId="35529"/>
    <cellStyle name="Comma 13 4 2 2 3 2" xfId="35530"/>
    <cellStyle name="Comma 13 4 2 2 3 2 2" xfId="35531"/>
    <cellStyle name="Comma 13 4 2 2 3 2 3" xfId="35532"/>
    <cellStyle name="Comma 13 4 2 2 3 3" xfId="35533"/>
    <cellStyle name="Comma 13 4 2 2 3 3 2" xfId="35534"/>
    <cellStyle name="Comma 13 4 2 2 3 3 3" xfId="35535"/>
    <cellStyle name="Comma 13 4 2 2 3 4" xfId="35536"/>
    <cellStyle name="Comma 13 4 2 2 3 4 2" xfId="35537"/>
    <cellStyle name="Comma 13 4 2 2 3 5" xfId="35538"/>
    <cellStyle name="Comma 13 4 2 2 3 6" xfId="35539"/>
    <cellStyle name="Comma 13 4 2 2 4" xfId="35540"/>
    <cellStyle name="Comma 13 4 2 2 4 2" xfId="35541"/>
    <cellStyle name="Comma 13 4 2 2 4 2 2" xfId="35542"/>
    <cellStyle name="Comma 13 4 2 2 4 2 3" xfId="35543"/>
    <cellStyle name="Comma 13 4 2 2 4 3" xfId="35544"/>
    <cellStyle name="Comma 13 4 2 2 4 3 2" xfId="35545"/>
    <cellStyle name="Comma 13 4 2 2 4 4" xfId="35546"/>
    <cellStyle name="Comma 13 4 2 2 4 5" xfId="35547"/>
    <cellStyle name="Comma 13 4 2 2 5" xfId="35548"/>
    <cellStyle name="Comma 13 4 2 2 5 2" xfId="35549"/>
    <cellStyle name="Comma 13 4 2 2 5 3" xfId="35550"/>
    <cellStyle name="Comma 13 4 2 2 6" xfId="35551"/>
    <cellStyle name="Comma 13 4 2 2 6 2" xfId="35552"/>
    <cellStyle name="Comma 13 4 2 2 6 3" xfId="35553"/>
    <cellStyle name="Comma 13 4 2 2 7" xfId="35554"/>
    <cellStyle name="Comma 13 4 2 2 7 2" xfId="35555"/>
    <cellStyle name="Comma 13 4 2 2 8" xfId="35556"/>
    <cellStyle name="Comma 13 4 2 2 9" xfId="35557"/>
    <cellStyle name="Comma 13 4 2 3" xfId="35558"/>
    <cellStyle name="Comma 13 4 2 3 2" xfId="35559"/>
    <cellStyle name="Comma 13 4 2 3 2 2" xfId="35560"/>
    <cellStyle name="Comma 13 4 2 3 2 3" xfId="35561"/>
    <cellStyle name="Comma 13 4 2 3 3" xfId="35562"/>
    <cellStyle name="Comma 13 4 2 3 3 2" xfId="35563"/>
    <cellStyle name="Comma 13 4 2 3 3 3" xfId="35564"/>
    <cellStyle name="Comma 13 4 2 3 4" xfId="35565"/>
    <cellStyle name="Comma 13 4 2 3 4 2" xfId="35566"/>
    <cellStyle name="Comma 13 4 2 3 5" xfId="35567"/>
    <cellStyle name="Comma 13 4 2 3 6" xfId="35568"/>
    <cellStyle name="Comma 13 4 2 4" xfId="35569"/>
    <cellStyle name="Comma 13 4 2 4 2" xfId="35570"/>
    <cellStyle name="Comma 13 4 2 4 2 2" xfId="35571"/>
    <cellStyle name="Comma 13 4 2 4 2 3" xfId="35572"/>
    <cellStyle name="Comma 13 4 2 4 3" xfId="35573"/>
    <cellStyle name="Comma 13 4 2 4 3 2" xfId="35574"/>
    <cellStyle name="Comma 13 4 2 4 3 3" xfId="35575"/>
    <cellStyle name="Comma 13 4 2 4 4" xfId="35576"/>
    <cellStyle name="Comma 13 4 2 4 4 2" xfId="35577"/>
    <cellStyle name="Comma 13 4 2 4 5" xfId="35578"/>
    <cellStyle name="Comma 13 4 2 4 6" xfId="35579"/>
    <cellStyle name="Comma 13 4 2 5" xfId="35580"/>
    <cellStyle name="Comma 13 4 2 5 2" xfId="35581"/>
    <cellStyle name="Comma 13 4 2 5 2 2" xfId="35582"/>
    <cellStyle name="Comma 13 4 2 5 2 3" xfId="35583"/>
    <cellStyle name="Comma 13 4 2 5 3" xfId="35584"/>
    <cellStyle name="Comma 13 4 2 5 3 2" xfId="35585"/>
    <cellStyle name="Comma 13 4 2 5 4" xfId="35586"/>
    <cellStyle name="Comma 13 4 2 5 5" xfId="35587"/>
    <cellStyle name="Comma 13 4 2 6" xfId="35588"/>
    <cellStyle name="Comma 13 4 2 6 2" xfId="35589"/>
    <cellStyle name="Comma 13 4 2 6 3" xfId="35590"/>
    <cellStyle name="Comma 13 4 2 7" xfId="35591"/>
    <cellStyle name="Comma 13 4 2 7 2" xfId="35592"/>
    <cellStyle name="Comma 13 4 2 7 3" xfId="35593"/>
    <cellStyle name="Comma 13 4 2 8" xfId="35594"/>
    <cellStyle name="Comma 13 4 2 8 2" xfId="35595"/>
    <cellStyle name="Comma 13 4 2 9" xfId="35596"/>
    <cellStyle name="Comma 13 4 3" xfId="35597"/>
    <cellStyle name="Comma 13 4 3 2" xfId="35598"/>
    <cellStyle name="Comma 13 4 3 2 2" xfId="35599"/>
    <cellStyle name="Comma 13 4 3 2 2 2" xfId="35600"/>
    <cellStyle name="Comma 13 4 3 2 2 3" xfId="35601"/>
    <cellStyle name="Comma 13 4 3 2 3" xfId="35602"/>
    <cellStyle name="Comma 13 4 3 2 3 2" xfId="35603"/>
    <cellStyle name="Comma 13 4 3 2 3 3" xfId="35604"/>
    <cellStyle name="Comma 13 4 3 2 4" xfId="35605"/>
    <cellStyle name="Comma 13 4 3 2 4 2" xfId="35606"/>
    <cellStyle name="Comma 13 4 3 2 5" xfId="35607"/>
    <cellStyle name="Comma 13 4 3 2 6" xfId="35608"/>
    <cellStyle name="Comma 13 4 3 3" xfId="35609"/>
    <cellStyle name="Comma 13 4 3 3 2" xfId="35610"/>
    <cellStyle name="Comma 13 4 3 3 2 2" xfId="35611"/>
    <cellStyle name="Comma 13 4 3 3 2 3" xfId="35612"/>
    <cellStyle name="Comma 13 4 3 3 3" xfId="35613"/>
    <cellStyle name="Comma 13 4 3 3 3 2" xfId="35614"/>
    <cellStyle name="Comma 13 4 3 3 3 3" xfId="35615"/>
    <cellStyle name="Comma 13 4 3 3 4" xfId="35616"/>
    <cellStyle name="Comma 13 4 3 3 4 2" xfId="35617"/>
    <cellStyle name="Comma 13 4 3 3 5" xfId="35618"/>
    <cellStyle name="Comma 13 4 3 3 6" xfId="35619"/>
    <cellStyle name="Comma 13 4 3 4" xfId="35620"/>
    <cellStyle name="Comma 13 4 3 4 2" xfId="35621"/>
    <cellStyle name="Comma 13 4 3 4 2 2" xfId="35622"/>
    <cellStyle name="Comma 13 4 3 4 2 3" xfId="35623"/>
    <cellStyle name="Comma 13 4 3 4 3" xfId="35624"/>
    <cellStyle name="Comma 13 4 3 4 3 2" xfId="35625"/>
    <cellStyle name="Comma 13 4 3 4 4" xfId="35626"/>
    <cellStyle name="Comma 13 4 3 4 5" xfId="35627"/>
    <cellStyle name="Comma 13 4 3 5" xfId="35628"/>
    <cellStyle name="Comma 13 4 3 5 2" xfId="35629"/>
    <cellStyle name="Comma 13 4 3 5 3" xfId="35630"/>
    <cellStyle name="Comma 13 4 3 6" xfId="35631"/>
    <cellStyle name="Comma 13 4 3 6 2" xfId="35632"/>
    <cellStyle name="Comma 13 4 3 6 3" xfId="35633"/>
    <cellStyle name="Comma 13 4 3 7" xfId="35634"/>
    <cellStyle name="Comma 13 4 3 7 2" xfId="35635"/>
    <cellStyle name="Comma 13 4 3 8" xfId="35636"/>
    <cellStyle name="Comma 13 4 3 9" xfId="35637"/>
    <cellStyle name="Comma 13 4 4" xfId="35638"/>
    <cellStyle name="Comma 13 4 4 2" xfId="35639"/>
    <cellStyle name="Comma 13 4 4 2 2" xfId="35640"/>
    <cellStyle name="Comma 13 4 4 2 2 2" xfId="35641"/>
    <cellStyle name="Comma 13 4 4 2 2 3" xfId="35642"/>
    <cellStyle name="Comma 13 4 4 2 3" xfId="35643"/>
    <cellStyle name="Comma 13 4 4 2 3 2" xfId="35644"/>
    <cellStyle name="Comma 13 4 4 2 3 3" xfId="35645"/>
    <cellStyle name="Comma 13 4 4 2 4" xfId="35646"/>
    <cellStyle name="Comma 13 4 4 2 4 2" xfId="35647"/>
    <cellStyle name="Comma 13 4 4 2 5" xfId="35648"/>
    <cellStyle name="Comma 13 4 4 2 6" xfId="35649"/>
    <cellStyle name="Comma 13 4 4 3" xfId="35650"/>
    <cellStyle name="Comma 13 4 4 3 2" xfId="35651"/>
    <cellStyle name="Comma 13 4 4 3 2 2" xfId="35652"/>
    <cellStyle name="Comma 13 4 4 3 2 3" xfId="35653"/>
    <cellStyle name="Comma 13 4 4 3 3" xfId="35654"/>
    <cellStyle name="Comma 13 4 4 3 3 2" xfId="35655"/>
    <cellStyle name="Comma 13 4 4 3 3 3" xfId="35656"/>
    <cellStyle name="Comma 13 4 4 3 4" xfId="35657"/>
    <cellStyle name="Comma 13 4 4 3 4 2" xfId="35658"/>
    <cellStyle name="Comma 13 4 4 3 5" xfId="35659"/>
    <cellStyle name="Comma 13 4 4 3 6" xfId="35660"/>
    <cellStyle name="Comma 13 4 4 4" xfId="35661"/>
    <cellStyle name="Comma 13 4 4 4 2" xfId="35662"/>
    <cellStyle name="Comma 13 4 4 4 2 2" xfId="35663"/>
    <cellStyle name="Comma 13 4 4 4 2 3" xfId="35664"/>
    <cellStyle name="Comma 13 4 4 4 3" xfId="35665"/>
    <cellStyle name="Comma 13 4 4 4 3 2" xfId="35666"/>
    <cellStyle name="Comma 13 4 4 4 4" xfId="35667"/>
    <cellStyle name="Comma 13 4 4 4 5" xfId="35668"/>
    <cellStyle name="Comma 13 4 4 5" xfId="35669"/>
    <cellStyle name="Comma 13 4 4 5 2" xfId="35670"/>
    <cellStyle name="Comma 13 4 4 5 3" xfId="35671"/>
    <cellStyle name="Comma 13 4 4 6" xfId="35672"/>
    <cellStyle name="Comma 13 4 4 6 2" xfId="35673"/>
    <cellStyle name="Comma 13 4 4 6 3" xfId="35674"/>
    <cellStyle name="Comma 13 4 4 7" xfId="35675"/>
    <cellStyle name="Comma 13 4 4 7 2" xfId="35676"/>
    <cellStyle name="Comma 13 4 4 8" xfId="35677"/>
    <cellStyle name="Comma 13 4 4 9" xfId="35678"/>
    <cellStyle name="Comma 13 4 5" xfId="35679"/>
    <cellStyle name="Comma 13 4 5 2" xfId="35680"/>
    <cellStyle name="Comma 13 4 5 2 2" xfId="35681"/>
    <cellStyle name="Comma 13 4 5 2 3" xfId="35682"/>
    <cellStyle name="Comma 13 4 5 3" xfId="35683"/>
    <cellStyle name="Comma 13 4 5 3 2" xfId="35684"/>
    <cellStyle name="Comma 13 4 5 3 3" xfId="35685"/>
    <cellStyle name="Comma 13 4 5 4" xfId="35686"/>
    <cellStyle name="Comma 13 4 5 4 2" xfId="35687"/>
    <cellStyle name="Comma 13 4 5 5" xfId="35688"/>
    <cellStyle name="Comma 13 4 5 6" xfId="35689"/>
    <cellStyle name="Comma 13 4 6" xfId="35690"/>
    <cellStyle name="Comma 13 4 6 2" xfId="35691"/>
    <cellStyle name="Comma 13 4 6 2 2" xfId="35692"/>
    <cellStyle name="Comma 13 4 6 2 3" xfId="35693"/>
    <cellStyle name="Comma 13 4 6 3" xfId="35694"/>
    <cellStyle name="Comma 13 4 6 3 2" xfId="35695"/>
    <cellStyle name="Comma 13 4 6 3 3" xfId="35696"/>
    <cellStyle name="Comma 13 4 6 4" xfId="35697"/>
    <cellStyle name="Comma 13 4 6 4 2" xfId="35698"/>
    <cellStyle name="Comma 13 4 6 5" xfId="35699"/>
    <cellStyle name="Comma 13 4 6 6" xfId="35700"/>
    <cellStyle name="Comma 13 4 7" xfId="35701"/>
    <cellStyle name="Comma 13 4 7 2" xfId="35702"/>
    <cellStyle name="Comma 13 4 7 2 2" xfId="35703"/>
    <cellStyle name="Comma 13 4 7 2 3" xfId="35704"/>
    <cellStyle name="Comma 13 4 7 3" xfId="35705"/>
    <cellStyle name="Comma 13 4 7 3 2" xfId="35706"/>
    <cellStyle name="Comma 13 4 7 4" xfId="35707"/>
    <cellStyle name="Comma 13 4 7 5" xfId="35708"/>
    <cellStyle name="Comma 13 4 8" xfId="35709"/>
    <cellStyle name="Comma 13 4 8 2" xfId="35710"/>
    <cellStyle name="Comma 13 4 8 3" xfId="35711"/>
    <cellStyle name="Comma 13 4 9" xfId="35712"/>
    <cellStyle name="Comma 13 4 9 2" xfId="35713"/>
    <cellStyle name="Comma 13 4 9 3" xfId="35714"/>
    <cellStyle name="Comma 13 5" xfId="35715"/>
    <cellStyle name="Comma 13 5 10" xfId="35716"/>
    <cellStyle name="Comma 13 5 2" xfId="35717"/>
    <cellStyle name="Comma 13 5 2 2" xfId="35718"/>
    <cellStyle name="Comma 13 5 2 2 2" xfId="35719"/>
    <cellStyle name="Comma 13 5 2 2 2 2" xfId="35720"/>
    <cellStyle name="Comma 13 5 2 2 2 3" xfId="35721"/>
    <cellStyle name="Comma 13 5 2 2 3" xfId="35722"/>
    <cellStyle name="Comma 13 5 2 2 3 2" xfId="35723"/>
    <cellStyle name="Comma 13 5 2 2 3 3" xfId="35724"/>
    <cellStyle name="Comma 13 5 2 2 4" xfId="35725"/>
    <cellStyle name="Comma 13 5 2 2 4 2" xfId="35726"/>
    <cellStyle name="Comma 13 5 2 2 5" xfId="35727"/>
    <cellStyle name="Comma 13 5 2 2 6" xfId="35728"/>
    <cellStyle name="Comma 13 5 2 3" xfId="35729"/>
    <cellStyle name="Comma 13 5 2 3 2" xfId="35730"/>
    <cellStyle name="Comma 13 5 2 3 2 2" xfId="35731"/>
    <cellStyle name="Comma 13 5 2 3 2 3" xfId="35732"/>
    <cellStyle name="Comma 13 5 2 3 3" xfId="35733"/>
    <cellStyle name="Comma 13 5 2 3 3 2" xfId="35734"/>
    <cellStyle name="Comma 13 5 2 3 3 3" xfId="35735"/>
    <cellStyle name="Comma 13 5 2 3 4" xfId="35736"/>
    <cellStyle name="Comma 13 5 2 3 4 2" xfId="35737"/>
    <cellStyle name="Comma 13 5 2 3 5" xfId="35738"/>
    <cellStyle name="Comma 13 5 2 3 6" xfId="35739"/>
    <cellStyle name="Comma 13 5 2 4" xfId="35740"/>
    <cellStyle name="Comma 13 5 2 4 2" xfId="35741"/>
    <cellStyle name="Comma 13 5 2 4 2 2" xfId="35742"/>
    <cellStyle name="Comma 13 5 2 4 2 3" xfId="35743"/>
    <cellStyle name="Comma 13 5 2 4 3" xfId="35744"/>
    <cellStyle name="Comma 13 5 2 4 3 2" xfId="35745"/>
    <cellStyle name="Comma 13 5 2 4 4" xfId="35746"/>
    <cellStyle name="Comma 13 5 2 4 5" xfId="35747"/>
    <cellStyle name="Comma 13 5 2 5" xfId="35748"/>
    <cellStyle name="Comma 13 5 2 5 2" xfId="35749"/>
    <cellStyle name="Comma 13 5 2 5 3" xfId="35750"/>
    <cellStyle name="Comma 13 5 2 6" xfId="35751"/>
    <cellStyle name="Comma 13 5 2 6 2" xfId="35752"/>
    <cellStyle name="Comma 13 5 2 6 3" xfId="35753"/>
    <cellStyle name="Comma 13 5 2 7" xfId="35754"/>
    <cellStyle name="Comma 13 5 2 7 2" xfId="35755"/>
    <cellStyle name="Comma 13 5 2 8" xfId="35756"/>
    <cellStyle name="Comma 13 5 2 9" xfId="35757"/>
    <cellStyle name="Comma 13 5 3" xfId="35758"/>
    <cellStyle name="Comma 13 5 3 2" xfId="35759"/>
    <cellStyle name="Comma 13 5 3 2 2" xfId="35760"/>
    <cellStyle name="Comma 13 5 3 2 3" xfId="35761"/>
    <cellStyle name="Comma 13 5 3 3" xfId="35762"/>
    <cellStyle name="Comma 13 5 3 3 2" xfId="35763"/>
    <cellStyle name="Comma 13 5 3 3 3" xfId="35764"/>
    <cellStyle name="Comma 13 5 3 4" xfId="35765"/>
    <cellStyle name="Comma 13 5 3 4 2" xfId="35766"/>
    <cellStyle name="Comma 13 5 3 5" xfId="35767"/>
    <cellStyle name="Comma 13 5 3 6" xfId="35768"/>
    <cellStyle name="Comma 13 5 4" xfId="35769"/>
    <cellStyle name="Comma 13 5 4 2" xfId="35770"/>
    <cellStyle name="Comma 13 5 4 2 2" xfId="35771"/>
    <cellStyle name="Comma 13 5 4 2 3" xfId="35772"/>
    <cellStyle name="Comma 13 5 4 3" xfId="35773"/>
    <cellStyle name="Comma 13 5 4 3 2" xfId="35774"/>
    <cellStyle name="Comma 13 5 4 3 3" xfId="35775"/>
    <cellStyle name="Comma 13 5 4 4" xfId="35776"/>
    <cellStyle name="Comma 13 5 4 4 2" xfId="35777"/>
    <cellStyle name="Comma 13 5 4 5" xfId="35778"/>
    <cellStyle name="Comma 13 5 4 6" xfId="35779"/>
    <cellStyle name="Comma 13 5 5" xfId="35780"/>
    <cellStyle name="Comma 13 5 5 2" xfId="35781"/>
    <cellStyle name="Comma 13 5 5 2 2" xfId="35782"/>
    <cellStyle name="Comma 13 5 5 2 3" xfId="35783"/>
    <cellStyle name="Comma 13 5 5 3" xfId="35784"/>
    <cellStyle name="Comma 13 5 5 3 2" xfId="35785"/>
    <cellStyle name="Comma 13 5 5 4" xfId="35786"/>
    <cellStyle name="Comma 13 5 5 5" xfId="35787"/>
    <cellStyle name="Comma 13 5 6" xfId="35788"/>
    <cellStyle name="Comma 13 5 6 2" xfId="35789"/>
    <cellStyle name="Comma 13 5 6 3" xfId="35790"/>
    <cellStyle name="Comma 13 5 7" xfId="35791"/>
    <cellStyle name="Comma 13 5 7 2" xfId="35792"/>
    <cellStyle name="Comma 13 5 7 3" xfId="35793"/>
    <cellStyle name="Comma 13 5 8" xfId="35794"/>
    <cellStyle name="Comma 13 5 8 2" xfId="35795"/>
    <cellStyle name="Comma 13 5 9" xfId="35796"/>
    <cellStyle name="Comma 13 6" xfId="35797"/>
    <cellStyle name="Comma 13 6 2" xfId="35798"/>
    <cellStyle name="Comma 13 6 2 2" xfId="35799"/>
    <cellStyle name="Comma 13 6 2 2 2" xfId="35800"/>
    <cellStyle name="Comma 13 6 2 2 3" xfId="35801"/>
    <cellStyle name="Comma 13 6 2 3" xfId="35802"/>
    <cellStyle name="Comma 13 6 2 3 2" xfId="35803"/>
    <cellStyle name="Comma 13 6 2 3 3" xfId="35804"/>
    <cellStyle name="Comma 13 6 2 4" xfId="35805"/>
    <cellStyle name="Comma 13 6 2 4 2" xfId="35806"/>
    <cellStyle name="Comma 13 6 2 5" xfId="35807"/>
    <cellStyle name="Comma 13 6 2 6" xfId="35808"/>
    <cellStyle name="Comma 13 6 3" xfId="35809"/>
    <cellStyle name="Comma 13 6 3 2" xfId="35810"/>
    <cellStyle name="Comma 13 6 3 2 2" xfId="35811"/>
    <cellStyle name="Comma 13 6 3 2 3" xfId="35812"/>
    <cellStyle name="Comma 13 6 3 3" xfId="35813"/>
    <cellStyle name="Comma 13 6 3 3 2" xfId="35814"/>
    <cellStyle name="Comma 13 6 3 3 3" xfId="35815"/>
    <cellStyle name="Comma 13 6 3 4" xfId="35816"/>
    <cellStyle name="Comma 13 6 3 4 2" xfId="35817"/>
    <cellStyle name="Comma 13 6 3 5" xfId="35818"/>
    <cellStyle name="Comma 13 6 3 6" xfId="35819"/>
    <cellStyle name="Comma 13 6 4" xfId="35820"/>
    <cellStyle name="Comma 13 6 4 2" xfId="35821"/>
    <cellStyle name="Comma 13 6 4 2 2" xfId="35822"/>
    <cellStyle name="Comma 13 6 4 2 3" xfId="35823"/>
    <cellStyle name="Comma 13 6 4 3" xfId="35824"/>
    <cellStyle name="Comma 13 6 4 3 2" xfId="35825"/>
    <cellStyle name="Comma 13 6 4 4" xfId="35826"/>
    <cellStyle name="Comma 13 6 4 5" xfId="35827"/>
    <cellStyle name="Comma 13 6 5" xfId="35828"/>
    <cellStyle name="Comma 13 6 5 2" xfId="35829"/>
    <cellStyle name="Comma 13 6 5 3" xfId="35830"/>
    <cellStyle name="Comma 13 6 6" xfId="35831"/>
    <cellStyle name="Comma 13 6 6 2" xfId="35832"/>
    <cellStyle name="Comma 13 6 6 3" xfId="35833"/>
    <cellStyle name="Comma 13 6 7" xfId="35834"/>
    <cellStyle name="Comma 13 6 7 2" xfId="35835"/>
    <cellStyle name="Comma 13 6 8" xfId="35836"/>
    <cellStyle name="Comma 13 6 9" xfId="35837"/>
    <cellStyle name="Comma 13 7" xfId="35838"/>
    <cellStyle name="Comma 13 7 2" xfId="35839"/>
    <cellStyle name="Comma 13 7 2 2" xfId="35840"/>
    <cellStyle name="Comma 13 7 2 2 2" xfId="35841"/>
    <cellStyle name="Comma 13 7 2 2 3" xfId="35842"/>
    <cellStyle name="Comma 13 7 2 3" xfId="35843"/>
    <cellStyle name="Comma 13 7 2 3 2" xfId="35844"/>
    <cellStyle name="Comma 13 7 2 3 3" xfId="35845"/>
    <cellStyle name="Comma 13 7 2 4" xfId="35846"/>
    <cellStyle name="Comma 13 7 2 4 2" xfId="35847"/>
    <cellStyle name="Comma 13 7 2 5" xfId="35848"/>
    <cellStyle name="Comma 13 7 2 6" xfId="35849"/>
    <cellStyle name="Comma 13 7 3" xfId="35850"/>
    <cellStyle name="Comma 13 7 3 2" xfId="35851"/>
    <cellStyle name="Comma 13 7 3 2 2" xfId="35852"/>
    <cellStyle name="Comma 13 7 3 2 3" xfId="35853"/>
    <cellStyle name="Comma 13 7 3 3" xfId="35854"/>
    <cellStyle name="Comma 13 7 3 3 2" xfId="35855"/>
    <cellStyle name="Comma 13 7 3 3 3" xfId="35856"/>
    <cellStyle name="Comma 13 7 3 4" xfId="35857"/>
    <cellStyle name="Comma 13 7 3 4 2" xfId="35858"/>
    <cellStyle name="Comma 13 7 3 5" xfId="35859"/>
    <cellStyle name="Comma 13 7 3 6" xfId="35860"/>
    <cellStyle name="Comma 13 7 4" xfId="35861"/>
    <cellStyle name="Comma 13 7 4 2" xfId="35862"/>
    <cellStyle name="Comma 13 7 4 2 2" xfId="35863"/>
    <cellStyle name="Comma 13 7 4 2 3" xfId="35864"/>
    <cellStyle name="Comma 13 7 4 3" xfId="35865"/>
    <cellStyle name="Comma 13 7 4 3 2" xfId="35866"/>
    <cellStyle name="Comma 13 7 4 4" xfId="35867"/>
    <cellStyle name="Comma 13 7 4 5" xfId="35868"/>
    <cellStyle name="Comma 13 7 5" xfId="35869"/>
    <cellStyle name="Comma 13 7 5 2" xfId="35870"/>
    <cellStyle name="Comma 13 7 5 3" xfId="35871"/>
    <cellStyle name="Comma 13 7 6" xfId="35872"/>
    <cellStyle name="Comma 13 7 6 2" xfId="35873"/>
    <cellStyle name="Comma 13 7 6 3" xfId="35874"/>
    <cellStyle name="Comma 13 7 7" xfId="35875"/>
    <cellStyle name="Comma 13 7 7 2" xfId="35876"/>
    <cellStyle name="Comma 13 7 8" xfId="35877"/>
    <cellStyle name="Comma 13 7 9" xfId="35878"/>
    <cellStyle name="Comma 13 8" xfId="35879"/>
    <cellStyle name="Comma 13 8 2" xfId="35880"/>
    <cellStyle name="Comma 13 8 2 2" xfId="35881"/>
    <cellStyle name="Comma 13 8 2 3" xfId="35882"/>
    <cellStyle name="Comma 13 8 3" xfId="35883"/>
    <cellStyle name="Comma 13 8 3 2" xfId="35884"/>
    <cellStyle name="Comma 13 8 3 3" xfId="35885"/>
    <cellStyle name="Comma 13 8 4" xfId="35886"/>
    <cellStyle name="Comma 13 8 4 2" xfId="35887"/>
    <cellStyle name="Comma 13 8 5" xfId="35888"/>
    <cellStyle name="Comma 13 8 6" xfId="35889"/>
    <cellStyle name="Comma 13 9" xfId="35890"/>
    <cellStyle name="Comma 13 9 2" xfId="35891"/>
    <cellStyle name="Comma 13 9 2 2" xfId="35892"/>
    <cellStyle name="Comma 13 9 2 3" xfId="35893"/>
    <cellStyle name="Comma 13 9 3" xfId="35894"/>
    <cellStyle name="Comma 13 9 3 2" xfId="35895"/>
    <cellStyle name="Comma 13 9 3 3" xfId="35896"/>
    <cellStyle name="Comma 13 9 4" xfId="35897"/>
    <cellStyle name="Comma 13 9 4 2" xfId="35898"/>
    <cellStyle name="Comma 13 9 5" xfId="35899"/>
    <cellStyle name="Comma 13 9 6" xfId="35900"/>
    <cellStyle name="Comma 14" xfId="3241"/>
    <cellStyle name="Comma 14 10" xfId="35901"/>
    <cellStyle name="Comma 14 10 2" xfId="35902"/>
    <cellStyle name="Comma 14 10 2 2" xfId="35903"/>
    <cellStyle name="Comma 14 10 2 3" xfId="35904"/>
    <cellStyle name="Comma 14 10 3" xfId="35905"/>
    <cellStyle name="Comma 14 10 3 2" xfId="35906"/>
    <cellStyle name="Comma 14 10 4" xfId="35907"/>
    <cellStyle name="Comma 14 10 5" xfId="35908"/>
    <cellStyle name="Comma 14 11" xfId="35909"/>
    <cellStyle name="Comma 14 11 2" xfId="35910"/>
    <cellStyle name="Comma 14 11 3" xfId="35911"/>
    <cellStyle name="Comma 14 12" xfId="35912"/>
    <cellStyle name="Comma 14 12 2" xfId="35913"/>
    <cellStyle name="Comma 14 12 3" xfId="35914"/>
    <cellStyle name="Comma 14 13" xfId="35915"/>
    <cellStyle name="Comma 14 13 2" xfId="35916"/>
    <cellStyle name="Comma 14 14" xfId="35917"/>
    <cellStyle name="Comma 14 15" xfId="35918"/>
    <cellStyle name="Comma 14 16" xfId="35919"/>
    <cellStyle name="Comma 14 2" xfId="8227"/>
    <cellStyle name="Comma 14 2 10" xfId="35920"/>
    <cellStyle name="Comma 14 2 10 2" xfId="35921"/>
    <cellStyle name="Comma 14 2 10 3" xfId="35922"/>
    <cellStyle name="Comma 14 2 11" xfId="35923"/>
    <cellStyle name="Comma 14 2 11 2" xfId="35924"/>
    <cellStyle name="Comma 14 2 11 3" xfId="35925"/>
    <cellStyle name="Comma 14 2 12" xfId="35926"/>
    <cellStyle name="Comma 14 2 12 2" xfId="35927"/>
    <cellStyle name="Comma 14 2 13" xfId="35928"/>
    <cellStyle name="Comma 14 2 14" xfId="35929"/>
    <cellStyle name="Comma 14 2 15" xfId="35930"/>
    <cellStyle name="Comma 14 2 2" xfId="35931"/>
    <cellStyle name="Comma 14 2 2 10" xfId="35932"/>
    <cellStyle name="Comma 14 2 2 10 2" xfId="35933"/>
    <cellStyle name="Comma 14 2 2 10 3" xfId="35934"/>
    <cellStyle name="Comma 14 2 2 11" xfId="35935"/>
    <cellStyle name="Comma 14 2 2 11 2" xfId="35936"/>
    <cellStyle name="Comma 14 2 2 12" xfId="35937"/>
    <cellStyle name="Comma 14 2 2 13" xfId="35938"/>
    <cellStyle name="Comma 14 2 2 2" xfId="35939"/>
    <cellStyle name="Comma 14 2 2 2 10" xfId="35940"/>
    <cellStyle name="Comma 14 2 2 2 10 2" xfId="35941"/>
    <cellStyle name="Comma 14 2 2 2 11" xfId="35942"/>
    <cellStyle name="Comma 14 2 2 2 12" xfId="35943"/>
    <cellStyle name="Comma 14 2 2 2 2" xfId="35944"/>
    <cellStyle name="Comma 14 2 2 2 2 10" xfId="35945"/>
    <cellStyle name="Comma 14 2 2 2 2 2" xfId="35946"/>
    <cellStyle name="Comma 14 2 2 2 2 2 2" xfId="35947"/>
    <cellStyle name="Comma 14 2 2 2 2 2 2 2" xfId="35948"/>
    <cellStyle name="Comma 14 2 2 2 2 2 2 2 2" xfId="35949"/>
    <cellStyle name="Comma 14 2 2 2 2 2 2 2 3" xfId="35950"/>
    <cellStyle name="Comma 14 2 2 2 2 2 2 3" xfId="35951"/>
    <cellStyle name="Comma 14 2 2 2 2 2 2 3 2" xfId="35952"/>
    <cellStyle name="Comma 14 2 2 2 2 2 2 3 3" xfId="35953"/>
    <cellStyle name="Comma 14 2 2 2 2 2 2 4" xfId="35954"/>
    <cellStyle name="Comma 14 2 2 2 2 2 2 4 2" xfId="35955"/>
    <cellStyle name="Comma 14 2 2 2 2 2 2 5" xfId="35956"/>
    <cellStyle name="Comma 14 2 2 2 2 2 2 6" xfId="35957"/>
    <cellStyle name="Comma 14 2 2 2 2 2 3" xfId="35958"/>
    <cellStyle name="Comma 14 2 2 2 2 2 3 2" xfId="35959"/>
    <cellStyle name="Comma 14 2 2 2 2 2 3 2 2" xfId="35960"/>
    <cellStyle name="Comma 14 2 2 2 2 2 3 2 3" xfId="35961"/>
    <cellStyle name="Comma 14 2 2 2 2 2 3 3" xfId="35962"/>
    <cellStyle name="Comma 14 2 2 2 2 2 3 3 2" xfId="35963"/>
    <cellStyle name="Comma 14 2 2 2 2 2 3 3 3" xfId="35964"/>
    <cellStyle name="Comma 14 2 2 2 2 2 3 4" xfId="35965"/>
    <cellStyle name="Comma 14 2 2 2 2 2 3 4 2" xfId="35966"/>
    <cellStyle name="Comma 14 2 2 2 2 2 3 5" xfId="35967"/>
    <cellStyle name="Comma 14 2 2 2 2 2 3 6" xfId="35968"/>
    <cellStyle name="Comma 14 2 2 2 2 2 4" xfId="35969"/>
    <cellStyle name="Comma 14 2 2 2 2 2 4 2" xfId="35970"/>
    <cellStyle name="Comma 14 2 2 2 2 2 4 2 2" xfId="35971"/>
    <cellStyle name="Comma 14 2 2 2 2 2 4 2 3" xfId="35972"/>
    <cellStyle name="Comma 14 2 2 2 2 2 4 3" xfId="35973"/>
    <cellStyle name="Comma 14 2 2 2 2 2 4 3 2" xfId="35974"/>
    <cellStyle name="Comma 14 2 2 2 2 2 4 4" xfId="35975"/>
    <cellStyle name="Comma 14 2 2 2 2 2 4 5" xfId="35976"/>
    <cellStyle name="Comma 14 2 2 2 2 2 5" xfId="35977"/>
    <cellStyle name="Comma 14 2 2 2 2 2 5 2" xfId="35978"/>
    <cellStyle name="Comma 14 2 2 2 2 2 5 3" xfId="35979"/>
    <cellStyle name="Comma 14 2 2 2 2 2 6" xfId="35980"/>
    <cellStyle name="Comma 14 2 2 2 2 2 6 2" xfId="35981"/>
    <cellStyle name="Comma 14 2 2 2 2 2 6 3" xfId="35982"/>
    <cellStyle name="Comma 14 2 2 2 2 2 7" xfId="35983"/>
    <cellStyle name="Comma 14 2 2 2 2 2 7 2" xfId="35984"/>
    <cellStyle name="Comma 14 2 2 2 2 2 8" xfId="35985"/>
    <cellStyle name="Comma 14 2 2 2 2 2 9" xfId="35986"/>
    <cellStyle name="Comma 14 2 2 2 2 3" xfId="35987"/>
    <cellStyle name="Comma 14 2 2 2 2 3 2" xfId="35988"/>
    <cellStyle name="Comma 14 2 2 2 2 3 2 2" xfId="35989"/>
    <cellStyle name="Comma 14 2 2 2 2 3 2 3" xfId="35990"/>
    <cellStyle name="Comma 14 2 2 2 2 3 3" xfId="35991"/>
    <cellStyle name="Comma 14 2 2 2 2 3 3 2" xfId="35992"/>
    <cellStyle name="Comma 14 2 2 2 2 3 3 3" xfId="35993"/>
    <cellStyle name="Comma 14 2 2 2 2 3 4" xfId="35994"/>
    <cellStyle name="Comma 14 2 2 2 2 3 4 2" xfId="35995"/>
    <cellStyle name="Comma 14 2 2 2 2 3 5" xfId="35996"/>
    <cellStyle name="Comma 14 2 2 2 2 3 6" xfId="35997"/>
    <cellStyle name="Comma 14 2 2 2 2 4" xfId="35998"/>
    <cellStyle name="Comma 14 2 2 2 2 4 2" xfId="35999"/>
    <cellStyle name="Comma 14 2 2 2 2 4 2 2" xfId="36000"/>
    <cellStyle name="Comma 14 2 2 2 2 4 2 3" xfId="36001"/>
    <cellStyle name="Comma 14 2 2 2 2 4 3" xfId="36002"/>
    <cellStyle name="Comma 14 2 2 2 2 4 3 2" xfId="36003"/>
    <cellStyle name="Comma 14 2 2 2 2 4 3 3" xfId="36004"/>
    <cellStyle name="Comma 14 2 2 2 2 4 4" xfId="36005"/>
    <cellStyle name="Comma 14 2 2 2 2 4 4 2" xfId="36006"/>
    <cellStyle name="Comma 14 2 2 2 2 4 5" xfId="36007"/>
    <cellStyle name="Comma 14 2 2 2 2 4 6" xfId="36008"/>
    <cellStyle name="Comma 14 2 2 2 2 5" xfId="36009"/>
    <cellStyle name="Comma 14 2 2 2 2 5 2" xfId="36010"/>
    <cellStyle name="Comma 14 2 2 2 2 5 2 2" xfId="36011"/>
    <cellStyle name="Comma 14 2 2 2 2 5 2 3" xfId="36012"/>
    <cellStyle name="Comma 14 2 2 2 2 5 3" xfId="36013"/>
    <cellStyle name="Comma 14 2 2 2 2 5 3 2" xfId="36014"/>
    <cellStyle name="Comma 14 2 2 2 2 5 4" xfId="36015"/>
    <cellStyle name="Comma 14 2 2 2 2 5 5" xfId="36016"/>
    <cellStyle name="Comma 14 2 2 2 2 6" xfId="36017"/>
    <cellStyle name="Comma 14 2 2 2 2 6 2" xfId="36018"/>
    <cellStyle name="Comma 14 2 2 2 2 6 3" xfId="36019"/>
    <cellStyle name="Comma 14 2 2 2 2 7" xfId="36020"/>
    <cellStyle name="Comma 14 2 2 2 2 7 2" xfId="36021"/>
    <cellStyle name="Comma 14 2 2 2 2 7 3" xfId="36022"/>
    <cellStyle name="Comma 14 2 2 2 2 8" xfId="36023"/>
    <cellStyle name="Comma 14 2 2 2 2 8 2" xfId="36024"/>
    <cellStyle name="Comma 14 2 2 2 2 9" xfId="36025"/>
    <cellStyle name="Comma 14 2 2 2 3" xfId="36026"/>
    <cellStyle name="Comma 14 2 2 2 3 2" xfId="36027"/>
    <cellStyle name="Comma 14 2 2 2 3 2 2" xfId="36028"/>
    <cellStyle name="Comma 14 2 2 2 3 2 2 2" xfId="36029"/>
    <cellStyle name="Comma 14 2 2 2 3 2 2 3" xfId="36030"/>
    <cellStyle name="Comma 14 2 2 2 3 2 3" xfId="36031"/>
    <cellStyle name="Comma 14 2 2 2 3 2 3 2" xfId="36032"/>
    <cellStyle name="Comma 14 2 2 2 3 2 3 3" xfId="36033"/>
    <cellStyle name="Comma 14 2 2 2 3 2 4" xfId="36034"/>
    <cellStyle name="Comma 14 2 2 2 3 2 4 2" xfId="36035"/>
    <cellStyle name="Comma 14 2 2 2 3 2 5" xfId="36036"/>
    <cellStyle name="Comma 14 2 2 2 3 2 6" xfId="36037"/>
    <cellStyle name="Comma 14 2 2 2 3 3" xfId="36038"/>
    <cellStyle name="Comma 14 2 2 2 3 3 2" xfId="36039"/>
    <cellStyle name="Comma 14 2 2 2 3 3 2 2" xfId="36040"/>
    <cellStyle name="Comma 14 2 2 2 3 3 2 3" xfId="36041"/>
    <cellStyle name="Comma 14 2 2 2 3 3 3" xfId="36042"/>
    <cellStyle name="Comma 14 2 2 2 3 3 3 2" xfId="36043"/>
    <cellStyle name="Comma 14 2 2 2 3 3 3 3" xfId="36044"/>
    <cellStyle name="Comma 14 2 2 2 3 3 4" xfId="36045"/>
    <cellStyle name="Comma 14 2 2 2 3 3 4 2" xfId="36046"/>
    <cellStyle name="Comma 14 2 2 2 3 3 5" xfId="36047"/>
    <cellStyle name="Comma 14 2 2 2 3 3 6" xfId="36048"/>
    <cellStyle name="Comma 14 2 2 2 3 4" xfId="36049"/>
    <cellStyle name="Comma 14 2 2 2 3 4 2" xfId="36050"/>
    <cellStyle name="Comma 14 2 2 2 3 4 2 2" xfId="36051"/>
    <cellStyle name="Comma 14 2 2 2 3 4 2 3" xfId="36052"/>
    <cellStyle name="Comma 14 2 2 2 3 4 3" xfId="36053"/>
    <cellStyle name="Comma 14 2 2 2 3 4 3 2" xfId="36054"/>
    <cellStyle name="Comma 14 2 2 2 3 4 4" xfId="36055"/>
    <cellStyle name="Comma 14 2 2 2 3 4 5" xfId="36056"/>
    <cellStyle name="Comma 14 2 2 2 3 5" xfId="36057"/>
    <cellStyle name="Comma 14 2 2 2 3 5 2" xfId="36058"/>
    <cellStyle name="Comma 14 2 2 2 3 5 3" xfId="36059"/>
    <cellStyle name="Comma 14 2 2 2 3 6" xfId="36060"/>
    <cellStyle name="Comma 14 2 2 2 3 6 2" xfId="36061"/>
    <cellStyle name="Comma 14 2 2 2 3 6 3" xfId="36062"/>
    <cellStyle name="Comma 14 2 2 2 3 7" xfId="36063"/>
    <cellStyle name="Comma 14 2 2 2 3 7 2" xfId="36064"/>
    <cellStyle name="Comma 14 2 2 2 3 8" xfId="36065"/>
    <cellStyle name="Comma 14 2 2 2 3 9" xfId="36066"/>
    <cellStyle name="Comma 14 2 2 2 4" xfId="36067"/>
    <cellStyle name="Comma 14 2 2 2 4 2" xfId="36068"/>
    <cellStyle name="Comma 14 2 2 2 4 2 2" xfId="36069"/>
    <cellStyle name="Comma 14 2 2 2 4 2 2 2" xfId="36070"/>
    <cellStyle name="Comma 14 2 2 2 4 2 2 3" xfId="36071"/>
    <cellStyle name="Comma 14 2 2 2 4 2 3" xfId="36072"/>
    <cellStyle name="Comma 14 2 2 2 4 2 3 2" xfId="36073"/>
    <cellStyle name="Comma 14 2 2 2 4 2 3 3" xfId="36074"/>
    <cellStyle name="Comma 14 2 2 2 4 2 4" xfId="36075"/>
    <cellStyle name="Comma 14 2 2 2 4 2 4 2" xfId="36076"/>
    <cellStyle name="Comma 14 2 2 2 4 2 5" xfId="36077"/>
    <cellStyle name="Comma 14 2 2 2 4 2 6" xfId="36078"/>
    <cellStyle name="Comma 14 2 2 2 4 3" xfId="36079"/>
    <cellStyle name="Comma 14 2 2 2 4 3 2" xfId="36080"/>
    <cellStyle name="Comma 14 2 2 2 4 3 2 2" xfId="36081"/>
    <cellStyle name="Comma 14 2 2 2 4 3 2 3" xfId="36082"/>
    <cellStyle name="Comma 14 2 2 2 4 3 3" xfId="36083"/>
    <cellStyle name="Comma 14 2 2 2 4 3 3 2" xfId="36084"/>
    <cellStyle name="Comma 14 2 2 2 4 3 3 3" xfId="36085"/>
    <cellStyle name="Comma 14 2 2 2 4 3 4" xfId="36086"/>
    <cellStyle name="Comma 14 2 2 2 4 3 4 2" xfId="36087"/>
    <cellStyle name="Comma 14 2 2 2 4 3 5" xfId="36088"/>
    <cellStyle name="Comma 14 2 2 2 4 3 6" xfId="36089"/>
    <cellStyle name="Comma 14 2 2 2 4 4" xfId="36090"/>
    <cellStyle name="Comma 14 2 2 2 4 4 2" xfId="36091"/>
    <cellStyle name="Comma 14 2 2 2 4 4 2 2" xfId="36092"/>
    <cellStyle name="Comma 14 2 2 2 4 4 2 3" xfId="36093"/>
    <cellStyle name="Comma 14 2 2 2 4 4 3" xfId="36094"/>
    <cellStyle name="Comma 14 2 2 2 4 4 3 2" xfId="36095"/>
    <cellStyle name="Comma 14 2 2 2 4 4 4" xfId="36096"/>
    <cellStyle name="Comma 14 2 2 2 4 4 5" xfId="36097"/>
    <cellStyle name="Comma 14 2 2 2 4 5" xfId="36098"/>
    <cellStyle name="Comma 14 2 2 2 4 5 2" xfId="36099"/>
    <cellStyle name="Comma 14 2 2 2 4 5 3" xfId="36100"/>
    <cellStyle name="Comma 14 2 2 2 4 6" xfId="36101"/>
    <cellStyle name="Comma 14 2 2 2 4 6 2" xfId="36102"/>
    <cellStyle name="Comma 14 2 2 2 4 6 3" xfId="36103"/>
    <cellStyle name="Comma 14 2 2 2 4 7" xfId="36104"/>
    <cellStyle name="Comma 14 2 2 2 4 7 2" xfId="36105"/>
    <cellStyle name="Comma 14 2 2 2 4 8" xfId="36106"/>
    <cellStyle name="Comma 14 2 2 2 4 9" xfId="36107"/>
    <cellStyle name="Comma 14 2 2 2 5" xfId="36108"/>
    <cellStyle name="Comma 14 2 2 2 5 2" xfId="36109"/>
    <cellStyle name="Comma 14 2 2 2 5 2 2" xfId="36110"/>
    <cellStyle name="Comma 14 2 2 2 5 2 3" xfId="36111"/>
    <cellStyle name="Comma 14 2 2 2 5 3" xfId="36112"/>
    <cellStyle name="Comma 14 2 2 2 5 3 2" xfId="36113"/>
    <cellStyle name="Comma 14 2 2 2 5 3 3" xfId="36114"/>
    <cellStyle name="Comma 14 2 2 2 5 4" xfId="36115"/>
    <cellStyle name="Comma 14 2 2 2 5 4 2" xfId="36116"/>
    <cellStyle name="Comma 14 2 2 2 5 5" xfId="36117"/>
    <cellStyle name="Comma 14 2 2 2 5 6" xfId="36118"/>
    <cellStyle name="Comma 14 2 2 2 6" xfId="36119"/>
    <cellStyle name="Comma 14 2 2 2 6 2" xfId="36120"/>
    <cellStyle name="Comma 14 2 2 2 6 2 2" xfId="36121"/>
    <cellStyle name="Comma 14 2 2 2 6 2 3" xfId="36122"/>
    <cellStyle name="Comma 14 2 2 2 6 3" xfId="36123"/>
    <cellStyle name="Comma 14 2 2 2 6 3 2" xfId="36124"/>
    <cellStyle name="Comma 14 2 2 2 6 3 3" xfId="36125"/>
    <cellStyle name="Comma 14 2 2 2 6 4" xfId="36126"/>
    <cellStyle name="Comma 14 2 2 2 6 4 2" xfId="36127"/>
    <cellStyle name="Comma 14 2 2 2 6 5" xfId="36128"/>
    <cellStyle name="Comma 14 2 2 2 6 6" xfId="36129"/>
    <cellStyle name="Comma 14 2 2 2 7" xfId="36130"/>
    <cellStyle name="Comma 14 2 2 2 7 2" xfId="36131"/>
    <cellStyle name="Comma 14 2 2 2 7 2 2" xfId="36132"/>
    <cellStyle name="Comma 14 2 2 2 7 2 3" xfId="36133"/>
    <cellStyle name="Comma 14 2 2 2 7 3" xfId="36134"/>
    <cellStyle name="Comma 14 2 2 2 7 3 2" xfId="36135"/>
    <cellStyle name="Comma 14 2 2 2 7 4" xfId="36136"/>
    <cellStyle name="Comma 14 2 2 2 7 5" xfId="36137"/>
    <cellStyle name="Comma 14 2 2 2 8" xfId="36138"/>
    <cellStyle name="Comma 14 2 2 2 8 2" xfId="36139"/>
    <cellStyle name="Comma 14 2 2 2 8 3" xfId="36140"/>
    <cellStyle name="Comma 14 2 2 2 9" xfId="36141"/>
    <cellStyle name="Comma 14 2 2 2 9 2" xfId="36142"/>
    <cellStyle name="Comma 14 2 2 2 9 3" xfId="36143"/>
    <cellStyle name="Comma 14 2 2 3" xfId="36144"/>
    <cellStyle name="Comma 14 2 2 3 10" xfId="36145"/>
    <cellStyle name="Comma 14 2 2 3 2" xfId="36146"/>
    <cellStyle name="Comma 14 2 2 3 2 2" xfId="36147"/>
    <cellStyle name="Comma 14 2 2 3 2 2 2" xfId="36148"/>
    <cellStyle name="Comma 14 2 2 3 2 2 2 2" xfId="36149"/>
    <cellStyle name="Comma 14 2 2 3 2 2 2 3" xfId="36150"/>
    <cellStyle name="Comma 14 2 2 3 2 2 3" xfId="36151"/>
    <cellStyle name="Comma 14 2 2 3 2 2 3 2" xfId="36152"/>
    <cellStyle name="Comma 14 2 2 3 2 2 3 3" xfId="36153"/>
    <cellStyle name="Comma 14 2 2 3 2 2 4" xfId="36154"/>
    <cellStyle name="Comma 14 2 2 3 2 2 4 2" xfId="36155"/>
    <cellStyle name="Comma 14 2 2 3 2 2 5" xfId="36156"/>
    <cellStyle name="Comma 14 2 2 3 2 2 6" xfId="36157"/>
    <cellStyle name="Comma 14 2 2 3 2 3" xfId="36158"/>
    <cellStyle name="Comma 14 2 2 3 2 3 2" xfId="36159"/>
    <cellStyle name="Comma 14 2 2 3 2 3 2 2" xfId="36160"/>
    <cellStyle name="Comma 14 2 2 3 2 3 2 3" xfId="36161"/>
    <cellStyle name="Comma 14 2 2 3 2 3 3" xfId="36162"/>
    <cellStyle name="Comma 14 2 2 3 2 3 3 2" xfId="36163"/>
    <cellStyle name="Comma 14 2 2 3 2 3 3 3" xfId="36164"/>
    <cellStyle name="Comma 14 2 2 3 2 3 4" xfId="36165"/>
    <cellStyle name="Comma 14 2 2 3 2 3 4 2" xfId="36166"/>
    <cellStyle name="Comma 14 2 2 3 2 3 5" xfId="36167"/>
    <cellStyle name="Comma 14 2 2 3 2 3 6" xfId="36168"/>
    <cellStyle name="Comma 14 2 2 3 2 4" xfId="36169"/>
    <cellStyle name="Comma 14 2 2 3 2 4 2" xfId="36170"/>
    <cellStyle name="Comma 14 2 2 3 2 4 2 2" xfId="36171"/>
    <cellStyle name="Comma 14 2 2 3 2 4 2 3" xfId="36172"/>
    <cellStyle name="Comma 14 2 2 3 2 4 3" xfId="36173"/>
    <cellStyle name="Comma 14 2 2 3 2 4 3 2" xfId="36174"/>
    <cellStyle name="Comma 14 2 2 3 2 4 4" xfId="36175"/>
    <cellStyle name="Comma 14 2 2 3 2 4 5" xfId="36176"/>
    <cellStyle name="Comma 14 2 2 3 2 5" xfId="36177"/>
    <cellStyle name="Comma 14 2 2 3 2 5 2" xfId="36178"/>
    <cellStyle name="Comma 14 2 2 3 2 5 3" xfId="36179"/>
    <cellStyle name="Comma 14 2 2 3 2 6" xfId="36180"/>
    <cellStyle name="Comma 14 2 2 3 2 6 2" xfId="36181"/>
    <cellStyle name="Comma 14 2 2 3 2 6 3" xfId="36182"/>
    <cellStyle name="Comma 14 2 2 3 2 7" xfId="36183"/>
    <cellStyle name="Comma 14 2 2 3 2 7 2" xfId="36184"/>
    <cellStyle name="Comma 14 2 2 3 2 8" xfId="36185"/>
    <cellStyle name="Comma 14 2 2 3 2 9" xfId="36186"/>
    <cellStyle name="Comma 14 2 2 3 3" xfId="36187"/>
    <cellStyle name="Comma 14 2 2 3 3 2" xfId="36188"/>
    <cellStyle name="Comma 14 2 2 3 3 2 2" xfId="36189"/>
    <cellStyle name="Comma 14 2 2 3 3 2 3" xfId="36190"/>
    <cellStyle name="Comma 14 2 2 3 3 3" xfId="36191"/>
    <cellStyle name="Comma 14 2 2 3 3 3 2" xfId="36192"/>
    <cellStyle name="Comma 14 2 2 3 3 3 3" xfId="36193"/>
    <cellStyle name="Comma 14 2 2 3 3 4" xfId="36194"/>
    <cellStyle name="Comma 14 2 2 3 3 4 2" xfId="36195"/>
    <cellStyle name="Comma 14 2 2 3 3 5" xfId="36196"/>
    <cellStyle name="Comma 14 2 2 3 3 6" xfId="36197"/>
    <cellStyle name="Comma 14 2 2 3 4" xfId="36198"/>
    <cellStyle name="Comma 14 2 2 3 4 2" xfId="36199"/>
    <cellStyle name="Comma 14 2 2 3 4 2 2" xfId="36200"/>
    <cellStyle name="Comma 14 2 2 3 4 2 3" xfId="36201"/>
    <cellStyle name="Comma 14 2 2 3 4 3" xfId="36202"/>
    <cellStyle name="Comma 14 2 2 3 4 3 2" xfId="36203"/>
    <cellStyle name="Comma 14 2 2 3 4 3 3" xfId="36204"/>
    <cellStyle name="Comma 14 2 2 3 4 4" xfId="36205"/>
    <cellStyle name="Comma 14 2 2 3 4 4 2" xfId="36206"/>
    <cellStyle name="Comma 14 2 2 3 4 5" xfId="36207"/>
    <cellStyle name="Comma 14 2 2 3 4 6" xfId="36208"/>
    <cellStyle name="Comma 14 2 2 3 5" xfId="36209"/>
    <cellStyle name="Comma 14 2 2 3 5 2" xfId="36210"/>
    <cellStyle name="Comma 14 2 2 3 5 2 2" xfId="36211"/>
    <cellStyle name="Comma 14 2 2 3 5 2 3" xfId="36212"/>
    <cellStyle name="Comma 14 2 2 3 5 3" xfId="36213"/>
    <cellStyle name="Comma 14 2 2 3 5 3 2" xfId="36214"/>
    <cellStyle name="Comma 14 2 2 3 5 4" xfId="36215"/>
    <cellStyle name="Comma 14 2 2 3 5 5" xfId="36216"/>
    <cellStyle name="Comma 14 2 2 3 6" xfId="36217"/>
    <cellStyle name="Comma 14 2 2 3 6 2" xfId="36218"/>
    <cellStyle name="Comma 14 2 2 3 6 3" xfId="36219"/>
    <cellStyle name="Comma 14 2 2 3 7" xfId="36220"/>
    <cellStyle name="Comma 14 2 2 3 7 2" xfId="36221"/>
    <cellStyle name="Comma 14 2 2 3 7 3" xfId="36222"/>
    <cellStyle name="Comma 14 2 2 3 8" xfId="36223"/>
    <cellStyle name="Comma 14 2 2 3 8 2" xfId="36224"/>
    <cellStyle name="Comma 14 2 2 3 9" xfId="36225"/>
    <cellStyle name="Comma 14 2 2 4" xfId="36226"/>
    <cellStyle name="Comma 14 2 2 4 2" xfId="36227"/>
    <cellStyle name="Comma 14 2 2 4 2 2" xfId="36228"/>
    <cellStyle name="Comma 14 2 2 4 2 2 2" xfId="36229"/>
    <cellStyle name="Comma 14 2 2 4 2 2 3" xfId="36230"/>
    <cellStyle name="Comma 14 2 2 4 2 3" xfId="36231"/>
    <cellStyle name="Comma 14 2 2 4 2 3 2" xfId="36232"/>
    <cellStyle name="Comma 14 2 2 4 2 3 3" xfId="36233"/>
    <cellStyle name="Comma 14 2 2 4 2 4" xfId="36234"/>
    <cellStyle name="Comma 14 2 2 4 2 4 2" xfId="36235"/>
    <cellStyle name="Comma 14 2 2 4 2 5" xfId="36236"/>
    <cellStyle name="Comma 14 2 2 4 2 6" xfId="36237"/>
    <cellStyle name="Comma 14 2 2 4 3" xfId="36238"/>
    <cellStyle name="Comma 14 2 2 4 3 2" xfId="36239"/>
    <cellStyle name="Comma 14 2 2 4 3 2 2" xfId="36240"/>
    <cellStyle name="Comma 14 2 2 4 3 2 3" xfId="36241"/>
    <cellStyle name="Comma 14 2 2 4 3 3" xfId="36242"/>
    <cellStyle name="Comma 14 2 2 4 3 3 2" xfId="36243"/>
    <cellStyle name="Comma 14 2 2 4 3 3 3" xfId="36244"/>
    <cellStyle name="Comma 14 2 2 4 3 4" xfId="36245"/>
    <cellStyle name="Comma 14 2 2 4 3 4 2" xfId="36246"/>
    <cellStyle name="Comma 14 2 2 4 3 5" xfId="36247"/>
    <cellStyle name="Comma 14 2 2 4 3 6" xfId="36248"/>
    <cellStyle name="Comma 14 2 2 4 4" xfId="36249"/>
    <cellStyle name="Comma 14 2 2 4 4 2" xfId="36250"/>
    <cellStyle name="Comma 14 2 2 4 4 2 2" xfId="36251"/>
    <cellStyle name="Comma 14 2 2 4 4 2 3" xfId="36252"/>
    <cellStyle name="Comma 14 2 2 4 4 3" xfId="36253"/>
    <cellStyle name="Comma 14 2 2 4 4 3 2" xfId="36254"/>
    <cellStyle name="Comma 14 2 2 4 4 4" xfId="36255"/>
    <cellStyle name="Comma 14 2 2 4 4 5" xfId="36256"/>
    <cellStyle name="Comma 14 2 2 4 5" xfId="36257"/>
    <cellStyle name="Comma 14 2 2 4 5 2" xfId="36258"/>
    <cellStyle name="Comma 14 2 2 4 5 3" xfId="36259"/>
    <cellStyle name="Comma 14 2 2 4 6" xfId="36260"/>
    <cellStyle name="Comma 14 2 2 4 6 2" xfId="36261"/>
    <cellStyle name="Comma 14 2 2 4 6 3" xfId="36262"/>
    <cellStyle name="Comma 14 2 2 4 7" xfId="36263"/>
    <cellStyle name="Comma 14 2 2 4 7 2" xfId="36264"/>
    <cellStyle name="Comma 14 2 2 4 8" xfId="36265"/>
    <cellStyle name="Comma 14 2 2 4 9" xfId="36266"/>
    <cellStyle name="Comma 14 2 2 5" xfId="36267"/>
    <cellStyle name="Comma 14 2 2 5 2" xfId="36268"/>
    <cellStyle name="Comma 14 2 2 5 2 2" xfId="36269"/>
    <cellStyle name="Comma 14 2 2 5 2 2 2" xfId="36270"/>
    <cellStyle name="Comma 14 2 2 5 2 2 3" xfId="36271"/>
    <cellStyle name="Comma 14 2 2 5 2 3" xfId="36272"/>
    <cellStyle name="Comma 14 2 2 5 2 3 2" xfId="36273"/>
    <cellStyle name="Comma 14 2 2 5 2 3 3" xfId="36274"/>
    <cellStyle name="Comma 14 2 2 5 2 4" xfId="36275"/>
    <cellStyle name="Comma 14 2 2 5 2 4 2" xfId="36276"/>
    <cellStyle name="Comma 14 2 2 5 2 5" xfId="36277"/>
    <cellStyle name="Comma 14 2 2 5 2 6" xfId="36278"/>
    <cellStyle name="Comma 14 2 2 5 3" xfId="36279"/>
    <cellStyle name="Comma 14 2 2 5 3 2" xfId="36280"/>
    <cellStyle name="Comma 14 2 2 5 3 2 2" xfId="36281"/>
    <cellStyle name="Comma 14 2 2 5 3 2 3" xfId="36282"/>
    <cellStyle name="Comma 14 2 2 5 3 3" xfId="36283"/>
    <cellStyle name="Comma 14 2 2 5 3 3 2" xfId="36284"/>
    <cellStyle name="Comma 14 2 2 5 3 3 3" xfId="36285"/>
    <cellStyle name="Comma 14 2 2 5 3 4" xfId="36286"/>
    <cellStyle name="Comma 14 2 2 5 3 4 2" xfId="36287"/>
    <cellStyle name="Comma 14 2 2 5 3 5" xfId="36288"/>
    <cellStyle name="Comma 14 2 2 5 3 6" xfId="36289"/>
    <cellStyle name="Comma 14 2 2 5 4" xfId="36290"/>
    <cellStyle name="Comma 14 2 2 5 4 2" xfId="36291"/>
    <cellStyle name="Comma 14 2 2 5 4 2 2" xfId="36292"/>
    <cellStyle name="Comma 14 2 2 5 4 2 3" xfId="36293"/>
    <cellStyle name="Comma 14 2 2 5 4 3" xfId="36294"/>
    <cellStyle name="Comma 14 2 2 5 4 3 2" xfId="36295"/>
    <cellStyle name="Comma 14 2 2 5 4 4" xfId="36296"/>
    <cellStyle name="Comma 14 2 2 5 4 5" xfId="36297"/>
    <cellStyle name="Comma 14 2 2 5 5" xfId="36298"/>
    <cellStyle name="Comma 14 2 2 5 5 2" xfId="36299"/>
    <cellStyle name="Comma 14 2 2 5 5 3" xfId="36300"/>
    <cellStyle name="Comma 14 2 2 5 6" xfId="36301"/>
    <cellStyle name="Comma 14 2 2 5 6 2" xfId="36302"/>
    <cellStyle name="Comma 14 2 2 5 6 3" xfId="36303"/>
    <cellStyle name="Comma 14 2 2 5 7" xfId="36304"/>
    <cellStyle name="Comma 14 2 2 5 7 2" xfId="36305"/>
    <cellStyle name="Comma 14 2 2 5 8" xfId="36306"/>
    <cellStyle name="Comma 14 2 2 5 9" xfId="36307"/>
    <cellStyle name="Comma 14 2 2 6" xfId="36308"/>
    <cellStyle name="Comma 14 2 2 6 2" xfId="36309"/>
    <cellStyle name="Comma 14 2 2 6 2 2" xfId="36310"/>
    <cellStyle name="Comma 14 2 2 6 2 3" xfId="36311"/>
    <cellStyle name="Comma 14 2 2 6 3" xfId="36312"/>
    <cellStyle name="Comma 14 2 2 6 3 2" xfId="36313"/>
    <cellStyle name="Comma 14 2 2 6 3 3" xfId="36314"/>
    <cellStyle name="Comma 14 2 2 6 4" xfId="36315"/>
    <cellStyle name="Comma 14 2 2 6 4 2" xfId="36316"/>
    <cellStyle name="Comma 14 2 2 6 5" xfId="36317"/>
    <cellStyle name="Comma 14 2 2 6 6" xfId="36318"/>
    <cellStyle name="Comma 14 2 2 7" xfId="36319"/>
    <cellStyle name="Comma 14 2 2 7 2" xfId="36320"/>
    <cellStyle name="Comma 14 2 2 7 2 2" xfId="36321"/>
    <cellStyle name="Comma 14 2 2 7 2 3" xfId="36322"/>
    <cellStyle name="Comma 14 2 2 7 3" xfId="36323"/>
    <cellStyle name="Comma 14 2 2 7 3 2" xfId="36324"/>
    <cellStyle name="Comma 14 2 2 7 3 3" xfId="36325"/>
    <cellStyle name="Comma 14 2 2 7 4" xfId="36326"/>
    <cellStyle name="Comma 14 2 2 7 4 2" xfId="36327"/>
    <cellStyle name="Comma 14 2 2 7 5" xfId="36328"/>
    <cellStyle name="Comma 14 2 2 7 6" xfId="36329"/>
    <cellStyle name="Comma 14 2 2 8" xfId="36330"/>
    <cellStyle name="Comma 14 2 2 8 2" xfId="36331"/>
    <cellStyle name="Comma 14 2 2 8 2 2" xfId="36332"/>
    <cellStyle name="Comma 14 2 2 8 2 3" xfId="36333"/>
    <cellStyle name="Comma 14 2 2 8 3" xfId="36334"/>
    <cellStyle name="Comma 14 2 2 8 3 2" xfId="36335"/>
    <cellStyle name="Comma 14 2 2 8 4" xfId="36336"/>
    <cellStyle name="Comma 14 2 2 8 5" xfId="36337"/>
    <cellStyle name="Comma 14 2 2 9" xfId="36338"/>
    <cellStyle name="Comma 14 2 2 9 2" xfId="36339"/>
    <cellStyle name="Comma 14 2 2 9 3" xfId="36340"/>
    <cellStyle name="Comma 14 2 3" xfId="36341"/>
    <cellStyle name="Comma 14 2 3 10" xfId="36342"/>
    <cellStyle name="Comma 14 2 3 10 2" xfId="36343"/>
    <cellStyle name="Comma 14 2 3 11" xfId="36344"/>
    <cellStyle name="Comma 14 2 3 12" xfId="36345"/>
    <cellStyle name="Comma 14 2 3 2" xfId="36346"/>
    <cellStyle name="Comma 14 2 3 2 10" xfId="36347"/>
    <cellStyle name="Comma 14 2 3 2 2" xfId="36348"/>
    <cellStyle name="Comma 14 2 3 2 2 2" xfId="36349"/>
    <cellStyle name="Comma 14 2 3 2 2 2 2" xfId="36350"/>
    <cellStyle name="Comma 14 2 3 2 2 2 2 2" xfId="36351"/>
    <cellStyle name="Comma 14 2 3 2 2 2 2 3" xfId="36352"/>
    <cellStyle name="Comma 14 2 3 2 2 2 3" xfId="36353"/>
    <cellStyle name="Comma 14 2 3 2 2 2 3 2" xfId="36354"/>
    <cellStyle name="Comma 14 2 3 2 2 2 3 3" xfId="36355"/>
    <cellStyle name="Comma 14 2 3 2 2 2 4" xfId="36356"/>
    <cellStyle name="Comma 14 2 3 2 2 2 4 2" xfId="36357"/>
    <cellStyle name="Comma 14 2 3 2 2 2 5" xfId="36358"/>
    <cellStyle name="Comma 14 2 3 2 2 2 6" xfId="36359"/>
    <cellStyle name="Comma 14 2 3 2 2 3" xfId="36360"/>
    <cellStyle name="Comma 14 2 3 2 2 3 2" xfId="36361"/>
    <cellStyle name="Comma 14 2 3 2 2 3 2 2" xfId="36362"/>
    <cellStyle name="Comma 14 2 3 2 2 3 2 3" xfId="36363"/>
    <cellStyle name="Comma 14 2 3 2 2 3 3" xfId="36364"/>
    <cellStyle name="Comma 14 2 3 2 2 3 3 2" xfId="36365"/>
    <cellStyle name="Comma 14 2 3 2 2 3 3 3" xfId="36366"/>
    <cellStyle name="Comma 14 2 3 2 2 3 4" xfId="36367"/>
    <cellStyle name="Comma 14 2 3 2 2 3 4 2" xfId="36368"/>
    <cellStyle name="Comma 14 2 3 2 2 3 5" xfId="36369"/>
    <cellStyle name="Comma 14 2 3 2 2 3 6" xfId="36370"/>
    <cellStyle name="Comma 14 2 3 2 2 4" xfId="36371"/>
    <cellStyle name="Comma 14 2 3 2 2 4 2" xfId="36372"/>
    <cellStyle name="Comma 14 2 3 2 2 4 2 2" xfId="36373"/>
    <cellStyle name="Comma 14 2 3 2 2 4 2 3" xfId="36374"/>
    <cellStyle name="Comma 14 2 3 2 2 4 3" xfId="36375"/>
    <cellStyle name="Comma 14 2 3 2 2 4 3 2" xfId="36376"/>
    <cellStyle name="Comma 14 2 3 2 2 4 4" xfId="36377"/>
    <cellStyle name="Comma 14 2 3 2 2 4 5" xfId="36378"/>
    <cellStyle name="Comma 14 2 3 2 2 5" xfId="36379"/>
    <cellStyle name="Comma 14 2 3 2 2 5 2" xfId="36380"/>
    <cellStyle name="Comma 14 2 3 2 2 5 3" xfId="36381"/>
    <cellStyle name="Comma 14 2 3 2 2 6" xfId="36382"/>
    <cellStyle name="Comma 14 2 3 2 2 6 2" xfId="36383"/>
    <cellStyle name="Comma 14 2 3 2 2 6 3" xfId="36384"/>
    <cellStyle name="Comma 14 2 3 2 2 7" xfId="36385"/>
    <cellStyle name="Comma 14 2 3 2 2 7 2" xfId="36386"/>
    <cellStyle name="Comma 14 2 3 2 2 8" xfId="36387"/>
    <cellStyle name="Comma 14 2 3 2 2 9" xfId="36388"/>
    <cellStyle name="Comma 14 2 3 2 3" xfId="36389"/>
    <cellStyle name="Comma 14 2 3 2 3 2" xfId="36390"/>
    <cellStyle name="Comma 14 2 3 2 3 2 2" xfId="36391"/>
    <cellStyle name="Comma 14 2 3 2 3 2 3" xfId="36392"/>
    <cellStyle name="Comma 14 2 3 2 3 3" xfId="36393"/>
    <cellStyle name="Comma 14 2 3 2 3 3 2" xfId="36394"/>
    <cellStyle name="Comma 14 2 3 2 3 3 3" xfId="36395"/>
    <cellStyle name="Comma 14 2 3 2 3 4" xfId="36396"/>
    <cellStyle name="Comma 14 2 3 2 3 4 2" xfId="36397"/>
    <cellStyle name="Comma 14 2 3 2 3 5" xfId="36398"/>
    <cellStyle name="Comma 14 2 3 2 3 6" xfId="36399"/>
    <cellStyle name="Comma 14 2 3 2 4" xfId="36400"/>
    <cellStyle name="Comma 14 2 3 2 4 2" xfId="36401"/>
    <cellStyle name="Comma 14 2 3 2 4 2 2" xfId="36402"/>
    <cellStyle name="Comma 14 2 3 2 4 2 3" xfId="36403"/>
    <cellStyle name="Comma 14 2 3 2 4 3" xfId="36404"/>
    <cellStyle name="Comma 14 2 3 2 4 3 2" xfId="36405"/>
    <cellStyle name="Comma 14 2 3 2 4 3 3" xfId="36406"/>
    <cellStyle name="Comma 14 2 3 2 4 4" xfId="36407"/>
    <cellStyle name="Comma 14 2 3 2 4 4 2" xfId="36408"/>
    <cellStyle name="Comma 14 2 3 2 4 5" xfId="36409"/>
    <cellStyle name="Comma 14 2 3 2 4 6" xfId="36410"/>
    <cellStyle name="Comma 14 2 3 2 5" xfId="36411"/>
    <cellStyle name="Comma 14 2 3 2 5 2" xfId="36412"/>
    <cellStyle name="Comma 14 2 3 2 5 2 2" xfId="36413"/>
    <cellStyle name="Comma 14 2 3 2 5 2 3" xfId="36414"/>
    <cellStyle name="Comma 14 2 3 2 5 3" xfId="36415"/>
    <cellStyle name="Comma 14 2 3 2 5 3 2" xfId="36416"/>
    <cellStyle name="Comma 14 2 3 2 5 4" xfId="36417"/>
    <cellStyle name="Comma 14 2 3 2 5 5" xfId="36418"/>
    <cellStyle name="Comma 14 2 3 2 6" xfId="36419"/>
    <cellStyle name="Comma 14 2 3 2 6 2" xfId="36420"/>
    <cellStyle name="Comma 14 2 3 2 6 3" xfId="36421"/>
    <cellStyle name="Comma 14 2 3 2 7" xfId="36422"/>
    <cellStyle name="Comma 14 2 3 2 7 2" xfId="36423"/>
    <cellStyle name="Comma 14 2 3 2 7 3" xfId="36424"/>
    <cellStyle name="Comma 14 2 3 2 8" xfId="36425"/>
    <cellStyle name="Comma 14 2 3 2 8 2" xfId="36426"/>
    <cellStyle name="Comma 14 2 3 2 9" xfId="36427"/>
    <cellStyle name="Comma 14 2 3 3" xfId="36428"/>
    <cellStyle name="Comma 14 2 3 3 2" xfId="36429"/>
    <cellStyle name="Comma 14 2 3 3 2 2" xfId="36430"/>
    <cellStyle name="Comma 14 2 3 3 2 2 2" xfId="36431"/>
    <cellStyle name="Comma 14 2 3 3 2 2 3" xfId="36432"/>
    <cellStyle name="Comma 14 2 3 3 2 3" xfId="36433"/>
    <cellStyle name="Comma 14 2 3 3 2 3 2" xfId="36434"/>
    <cellStyle name="Comma 14 2 3 3 2 3 3" xfId="36435"/>
    <cellStyle name="Comma 14 2 3 3 2 4" xfId="36436"/>
    <cellStyle name="Comma 14 2 3 3 2 4 2" xfId="36437"/>
    <cellStyle name="Comma 14 2 3 3 2 5" xfId="36438"/>
    <cellStyle name="Comma 14 2 3 3 2 6" xfId="36439"/>
    <cellStyle name="Comma 14 2 3 3 3" xfId="36440"/>
    <cellStyle name="Comma 14 2 3 3 3 2" xfId="36441"/>
    <cellStyle name="Comma 14 2 3 3 3 2 2" xfId="36442"/>
    <cellStyle name="Comma 14 2 3 3 3 2 3" xfId="36443"/>
    <cellStyle name="Comma 14 2 3 3 3 3" xfId="36444"/>
    <cellStyle name="Comma 14 2 3 3 3 3 2" xfId="36445"/>
    <cellStyle name="Comma 14 2 3 3 3 3 3" xfId="36446"/>
    <cellStyle name="Comma 14 2 3 3 3 4" xfId="36447"/>
    <cellStyle name="Comma 14 2 3 3 3 4 2" xfId="36448"/>
    <cellStyle name="Comma 14 2 3 3 3 5" xfId="36449"/>
    <cellStyle name="Comma 14 2 3 3 3 6" xfId="36450"/>
    <cellStyle name="Comma 14 2 3 3 4" xfId="36451"/>
    <cellStyle name="Comma 14 2 3 3 4 2" xfId="36452"/>
    <cellStyle name="Comma 14 2 3 3 4 2 2" xfId="36453"/>
    <cellStyle name="Comma 14 2 3 3 4 2 3" xfId="36454"/>
    <cellStyle name="Comma 14 2 3 3 4 3" xfId="36455"/>
    <cellStyle name="Comma 14 2 3 3 4 3 2" xfId="36456"/>
    <cellStyle name="Comma 14 2 3 3 4 4" xfId="36457"/>
    <cellStyle name="Comma 14 2 3 3 4 5" xfId="36458"/>
    <cellStyle name="Comma 14 2 3 3 5" xfId="36459"/>
    <cellStyle name="Comma 14 2 3 3 5 2" xfId="36460"/>
    <cellStyle name="Comma 14 2 3 3 5 3" xfId="36461"/>
    <cellStyle name="Comma 14 2 3 3 6" xfId="36462"/>
    <cellStyle name="Comma 14 2 3 3 6 2" xfId="36463"/>
    <cellStyle name="Comma 14 2 3 3 6 3" xfId="36464"/>
    <cellStyle name="Comma 14 2 3 3 7" xfId="36465"/>
    <cellStyle name="Comma 14 2 3 3 7 2" xfId="36466"/>
    <cellStyle name="Comma 14 2 3 3 8" xfId="36467"/>
    <cellStyle name="Comma 14 2 3 3 9" xfId="36468"/>
    <cellStyle name="Comma 14 2 3 4" xfId="36469"/>
    <cellStyle name="Comma 14 2 3 4 2" xfId="36470"/>
    <cellStyle name="Comma 14 2 3 4 2 2" xfId="36471"/>
    <cellStyle name="Comma 14 2 3 4 2 2 2" xfId="36472"/>
    <cellStyle name="Comma 14 2 3 4 2 2 3" xfId="36473"/>
    <cellStyle name="Comma 14 2 3 4 2 3" xfId="36474"/>
    <cellStyle name="Comma 14 2 3 4 2 3 2" xfId="36475"/>
    <cellStyle name="Comma 14 2 3 4 2 3 3" xfId="36476"/>
    <cellStyle name="Comma 14 2 3 4 2 4" xfId="36477"/>
    <cellStyle name="Comma 14 2 3 4 2 4 2" xfId="36478"/>
    <cellStyle name="Comma 14 2 3 4 2 5" xfId="36479"/>
    <cellStyle name="Comma 14 2 3 4 2 6" xfId="36480"/>
    <cellStyle name="Comma 14 2 3 4 3" xfId="36481"/>
    <cellStyle name="Comma 14 2 3 4 3 2" xfId="36482"/>
    <cellStyle name="Comma 14 2 3 4 3 2 2" xfId="36483"/>
    <cellStyle name="Comma 14 2 3 4 3 2 3" xfId="36484"/>
    <cellStyle name="Comma 14 2 3 4 3 3" xfId="36485"/>
    <cellStyle name="Comma 14 2 3 4 3 3 2" xfId="36486"/>
    <cellStyle name="Comma 14 2 3 4 3 3 3" xfId="36487"/>
    <cellStyle name="Comma 14 2 3 4 3 4" xfId="36488"/>
    <cellStyle name="Comma 14 2 3 4 3 4 2" xfId="36489"/>
    <cellStyle name="Comma 14 2 3 4 3 5" xfId="36490"/>
    <cellStyle name="Comma 14 2 3 4 3 6" xfId="36491"/>
    <cellStyle name="Comma 14 2 3 4 4" xfId="36492"/>
    <cellStyle name="Comma 14 2 3 4 4 2" xfId="36493"/>
    <cellStyle name="Comma 14 2 3 4 4 2 2" xfId="36494"/>
    <cellStyle name="Comma 14 2 3 4 4 2 3" xfId="36495"/>
    <cellStyle name="Comma 14 2 3 4 4 3" xfId="36496"/>
    <cellStyle name="Comma 14 2 3 4 4 3 2" xfId="36497"/>
    <cellStyle name="Comma 14 2 3 4 4 4" xfId="36498"/>
    <cellStyle name="Comma 14 2 3 4 4 5" xfId="36499"/>
    <cellStyle name="Comma 14 2 3 4 5" xfId="36500"/>
    <cellStyle name="Comma 14 2 3 4 5 2" xfId="36501"/>
    <cellStyle name="Comma 14 2 3 4 5 3" xfId="36502"/>
    <cellStyle name="Comma 14 2 3 4 6" xfId="36503"/>
    <cellStyle name="Comma 14 2 3 4 6 2" xfId="36504"/>
    <cellStyle name="Comma 14 2 3 4 6 3" xfId="36505"/>
    <cellStyle name="Comma 14 2 3 4 7" xfId="36506"/>
    <cellStyle name="Comma 14 2 3 4 7 2" xfId="36507"/>
    <cellStyle name="Comma 14 2 3 4 8" xfId="36508"/>
    <cellStyle name="Comma 14 2 3 4 9" xfId="36509"/>
    <cellStyle name="Comma 14 2 3 5" xfId="36510"/>
    <cellStyle name="Comma 14 2 3 5 2" xfId="36511"/>
    <cellStyle name="Comma 14 2 3 5 2 2" xfId="36512"/>
    <cellStyle name="Comma 14 2 3 5 2 3" xfId="36513"/>
    <cellStyle name="Comma 14 2 3 5 3" xfId="36514"/>
    <cellStyle name="Comma 14 2 3 5 3 2" xfId="36515"/>
    <cellStyle name="Comma 14 2 3 5 3 3" xfId="36516"/>
    <cellStyle name="Comma 14 2 3 5 4" xfId="36517"/>
    <cellStyle name="Comma 14 2 3 5 4 2" xfId="36518"/>
    <cellStyle name="Comma 14 2 3 5 5" xfId="36519"/>
    <cellStyle name="Comma 14 2 3 5 6" xfId="36520"/>
    <cellStyle name="Comma 14 2 3 6" xfId="36521"/>
    <cellStyle name="Comma 14 2 3 6 2" xfId="36522"/>
    <cellStyle name="Comma 14 2 3 6 2 2" xfId="36523"/>
    <cellStyle name="Comma 14 2 3 6 2 3" xfId="36524"/>
    <cellStyle name="Comma 14 2 3 6 3" xfId="36525"/>
    <cellStyle name="Comma 14 2 3 6 3 2" xfId="36526"/>
    <cellStyle name="Comma 14 2 3 6 3 3" xfId="36527"/>
    <cellStyle name="Comma 14 2 3 6 4" xfId="36528"/>
    <cellStyle name="Comma 14 2 3 6 4 2" xfId="36529"/>
    <cellStyle name="Comma 14 2 3 6 5" xfId="36530"/>
    <cellStyle name="Comma 14 2 3 6 6" xfId="36531"/>
    <cellStyle name="Comma 14 2 3 7" xfId="36532"/>
    <cellStyle name="Comma 14 2 3 7 2" xfId="36533"/>
    <cellStyle name="Comma 14 2 3 7 2 2" xfId="36534"/>
    <cellStyle name="Comma 14 2 3 7 2 3" xfId="36535"/>
    <cellStyle name="Comma 14 2 3 7 3" xfId="36536"/>
    <cellStyle name="Comma 14 2 3 7 3 2" xfId="36537"/>
    <cellStyle name="Comma 14 2 3 7 4" xfId="36538"/>
    <cellStyle name="Comma 14 2 3 7 5" xfId="36539"/>
    <cellStyle name="Comma 14 2 3 8" xfId="36540"/>
    <cellStyle name="Comma 14 2 3 8 2" xfId="36541"/>
    <cellStyle name="Comma 14 2 3 8 3" xfId="36542"/>
    <cellStyle name="Comma 14 2 3 9" xfId="36543"/>
    <cellStyle name="Comma 14 2 3 9 2" xfId="36544"/>
    <cellStyle name="Comma 14 2 3 9 3" xfId="36545"/>
    <cellStyle name="Comma 14 2 4" xfId="36546"/>
    <cellStyle name="Comma 14 2 4 10" xfId="36547"/>
    <cellStyle name="Comma 14 2 4 2" xfId="36548"/>
    <cellStyle name="Comma 14 2 4 2 2" xfId="36549"/>
    <cellStyle name="Comma 14 2 4 2 2 2" xfId="36550"/>
    <cellStyle name="Comma 14 2 4 2 2 2 2" xfId="36551"/>
    <cellStyle name="Comma 14 2 4 2 2 2 3" xfId="36552"/>
    <cellStyle name="Comma 14 2 4 2 2 3" xfId="36553"/>
    <cellStyle name="Comma 14 2 4 2 2 3 2" xfId="36554"/>
    <cellStyle name="Comma 14 2 4 2 2 3 3" xfId="36555"/>
    <cellStyle name="Comma 14 2 4 2 2 4" xfId="36556"/>
    <cellStyle name="Comma 14 2 4 2 2 4 2" xfId="36557"/>
    <cellStyle name="Comma 14 2 4 2 2 5" xfId="36558"/>
    <cellStyle name="Comma 14 2 4 2 2 6" xfId="36559"/>
    <cellStyle name="Comma 14 2 4 2 3" xfId="36560"/>
    <cellStyle name="Comma 14 2 4 2 3 2" xfId="36561"/>
    <cellStyle name="Comma 14 2 4 2 3 2 2" xfId="36562"/>
    <cellStyle name="Comma 14 2 4 2 3 2 3" xfId="36563"/>
    <cellStyle name="Comma 14 2 4 2 3 3" xfId="36564"/>
    <cellStyle name="Comma 14 2 4 2 3 3 2" xfId="36565"/>
    <cellStyle name="Comma 14 2 4 2 3 3 3" xfId="36566"/>
    <cellStyle name="Comma 14 2 4 2 3 4" xfId="36567"/>
    <cellStyle name="Comma 14 2 4 2 3 4 2" xfId="36568"/>
    <cellStyle name="Comma 14 2 4 2 3 5" xfId="36569"/>
    <cellStyle name="Comma 14 2 4 2 3 6" xfId="36570"/>
    <cellStyle name="Comma 14 2 4 2 4" xfId="36571"/>
    <cellStyle name="Comma 14 2 4 2 4 2" xfId="36572"/>
    <cellStyle name="Comma 14 2 4 2 4 2 2" xfId="36573"/>
    <cellStyle name="Comma 14 2 4 2 4 2 3" xfId="36574"/>
    <cellStyle name="Comma 14 2 4 2 4 3" xfId="36575"/>
    <cellStyle name="Comma 14 2 4 2 4 3 2" xfId="36576"/>
    <cellStyle name="Comma 14 2 4 2 4 4" xfId="36577"/>
    <cellStyle name="Comma 14 2 4 2 4 5" xfId="36578"/>
    <cellStyle name="Comma 14 2 4 2 5" xfId="36579"/>
    <cellStyle name="Comma 14 2 4 2 5 2" xfId="36580"/>
    <cellStyle name="Comma 14 2 4 2 5 3" xfId="36581"/>
    <cellStyle name="Comma 14 2 4 2 6" xfId="36582"/>
    <cellStyle name="Comma 14 2 4 2 6 2" xfId="36583"/>
    <cellStyle name="Comma 14 2 4 2 6 3" xfId="36584"/>
    <cellStyle name="Comma 14 2 4 2 7" xfId="36585"/>
    <cellStyle name="Comma 14 2 4 2 7 2" xfId="36586"/>
    <cellStyle name="Comma 14 2 4 2 8" xfId="36587"/>
    <cellStyle name="Comma 14 2 4 2 9" xfId="36588"/>
    <cellStyle name="Comma 14 2 4 3" xfId="36589"/>
    <cellStyle name="Comma 14 2 4 3 2" xfId="36590"/>
    <cellStyle name="Comma 14 2 4 3 2 2" xfId="36591"/>
    <cellStyle name="Comma 14 2 4 3 2 3" xfId="36592"/>
    <cellStyle name="Comma 14 2 4 3 3" xfId="36593"/>
    <cellStyle name="Comma 14 2 4 3 3 2" xfId="36594"/>
    <cellStyle name="Comma 14 2 4 3 3 3" xfId="36595"/>
    <cellStyle name="Comma 14 2 4 3 4" xfId="36596"/>
    <cellStyle name="Comma 14 2 4 3 4 2" xfId="36597"/>
    <cellStyle name="Comma 14 2 4 3 5" xfId="36598"/>
    <cellStyle name="Comma 14 2 4 3 6" xfId="36599"/>
    <cellStyle name="Comma 14 2 4 4" xfId="36600"/>
    <cellStyle name="Comma 14 2 4 4 2" xfId="36601"/>
    <cellStyle name="Comma 14 2 4 4 2 2" xfId="36602"/>
    <cellStyle name="Comma 14 2 4 4 2 3" xfId="36603"/>
    <cellStyle name="Comma 14 2 4 4 3" xfId="36604"/>
    <cellStyle name="Comma 14 2 4 4 3 2" xfId="36605"/>
    <cellStyle name="Comma 14 2 4 4 3 3" xfId="36606"/>
    <cellStyle name="Comma 14 2 4 4 4" xfId="36607"/>
    <cellStyle name="Comma 14 2 4 4 4 2" xfId="36608"/>
    <cellStyle name="Comma 14 2 4 4 5" xfId="36609"/>
    <cellStyle name="Comma 14 2 4 4 6" xfId="36610"/>
    <cellStyle name="Comma 14 2 4 5" xfId="36611"/>
    <cellStyle name="Comma 14 2 4 5 2" xfId="36612"/>
    <cellStyle name="Comma 14 2 4 5 2 2" xfId="36613"/>
    <cellStyle name="Comma 14 2 4 5 2 3" xfId="36614"/>
    <cellStyle name="Comma 14 2 4 5 3" xfId="36615"/>
    <cellStyle name="Comma 14 2 4 5 3 2" xfId="36616"/>
    <cellStyle name="Comma 14 2 4 5 4" xfId="36617"/>
    <cellStyle name="Comma 14 2 4 5 5" xfId="36618"/>
    <cellStyle name="Comma 14 2 4 6" xfId="36619"/>
    <cellStyle name="Comma 14 2 4 6 2" xfId="36620"/>
    <cellStyle name="Comma 14 2 4 6 3" xfId="36621"/>
    <cellStyle name="Comma 14 2 4 7" xfId="36622"/>
    <cellStyle name="Comma 14 2 4 7 2" xfId="36623"/>
    <cellStyle name="Comma 14 2 4 7 3" xfId="36624"/>
    <cellStyle name="Comma 14 2 4 8" xfId="36625"/>
    <cellStyle name="Comma 14 2 4 8 2" xfId="36626"/>
    <cellStyle name="Comma 14 2 4 9" xfId="36627"/>
    <cellStyle name="Comma 14 2 5" xfId="36628"/>
    <cellStyle name="Comma 14 2 5 2" xfId="36629"/>
    <cellStyle name="Comma 14 2 5 2 2" xfId="36630"/>
    <cellStyle name="Comma 14 2 5 2 2 2" xfId="36631"/>
    <cellStyle name="Comma 14 2 5 2 2 3" xfId="36632"/>
    <cellStyle name="Comma 14 2 5 2 3" xfId="36633"/>
    <cellStyle name="Comma 14 2 5 2 3 2" xfId="36634"/>
    <cellStyle name="Comma 14 2 5 2 3 3" xfId="36635"/>
    <cellStyle name="Comma 14 2 5 2 4" xfId="36636"/>
    <cellStyle name="Comma 14 2 5 2 4 2" xfId="36637"/>
    <cellStyle name="Comma 14 2 5 2 5" xfId="36638"/>
    <cellStyle name="Comma 14 2 5 2 6" xfId="36639"/>
    <cellStyle name="Comma 14 2 5 3" xfId="36640"/>
    <cellStyle name="Comma 14 2 5 3 2" xfId="36641"/>
    <cellStyle name="Comma 14 2 5 3 2 2" xfId="36642"/>
    <cellStyle name="Comma 14 2 5 3 2 3" xfId="36643"/>
    <cellStyle name="Comma 14 2 5 3 3" xfId="36644"/>
    <cellStyle name="Comma 14 2 5 3 3 2" xfId="36645"/>
    <cellStyle name="Comma 14 2 5 3 3 3" xfId="36646"/>
    <cellStyle name="Comma 14 2 5 3 4" xfId="36647"/>
    <cellStyle name="Comma 14 2 5 3 4 2" xfId="36648"/>
    <cellStyle name="Comma 14 2 5 3 5" xfId="36649"/>
    <cellStyle name="Comma 14 2 5 3 6" xfId="36650"/>
    <cellStyle name="Comma 14 2 5 4" xfId="36651"/>
    <cellStyle name="Comma 14 2 5 4 2" xfId="36652"/>
    <cellStyle name="Comma 14 2 5 4 2 2" xfId="36653"/>
    <cellStyle name="Comma 14 2 5 4 2 3" xfId="36654"/>
    <cellStyle name="Comma 14 2 5 4 3" xfId="36655"/>
    <cellStyle name="Comma 14 2 5 4 3 2" xfId="36656"/>
    <cellStyle name="Comma 14 2 5 4 4" xfId="36657"/>
    <cellStyle name="Comma 14 2 5 4 5" xfId="36658"/>
    <cellStyle name="Comma 14 2 5 5" xfId="36659"/>
    <cellStyle name="Comma 14 2 5 5 2" xfId="36660"/>
    <cellStyle name="Comma 14 2 5 5 3" xfId="36661"/>
    <cellStyle name="Comma 14 2 5 6" xfId="36662"/>
    <cellStyle name="Comma 14 2 5 6 2" xfId="36663"/>
    <cellStyle name="Comma 14 2 5 6 3" xfId="36664"/>
    <cellStyle name="Comma 14 2 5 7" xfId="36665"/>
    <cellStyle name="Comma 14 2 5 7 2" xfId="36666"/>
    <cellStyle name="Comma 14 2 5 8" xfId="36667"/>
    <cellStyle name="Comma 14 2 5 9" xfId="36668"/>
    <cellStyle name="Comma 14 2 6" xfId="36669"/>
    <cellStyle name="Comma 14 2 6 2" xfId="36670"/>
    <cellStyle name="Comma 14 2 6 2 2" xfId="36671"/>
    <cellStyle name="Comma 14 2 6 2 2 2" xfId="36672"/>
    <cellStyle name="Comma 14 2 6 2 2 3" xfId="36673"/>
    <cellStyle name="Comma 14 2 6 2 3" xfId="36674"/>
    <cellStyle name="Comma 14 2 6 2 3 2" xfId="36675"/>
    <cellStyle name="Comma 14 2 6 2 3 3" xfId="36676"/>
    <cellStyle name="Comma 14 2 6 2 4" xfId="36677"/>
    <cellStyle name="Comma 14 2 6 2 4 2" xfId="36678"/>
    <cellStyle name="Comma 14 2 6 2 5" xfId="36679"/>
    <cellStyle name="Comma 14 2 6 2 6" xfId="36680"/>
    <cellStyle name="Comma 14 2 6 3" xfId="36681"/>
    <cellStyle name="Comma 14 2 6 3 2" xfId="36682"/>
    <cellStyle name="Comma 14 2 6 3 2 2" xfId="36683"/>
    <cellStyle name="Comma 14 2 6 3 2 3" xfId="36684"/>
    <cellStyle name="Comma 14 2 6 3 3" xfId="36685"/>
    <cellStyle name="Comma 14 2 6 3 3 2" xfId="36686"/>
    <cellStyle name="Comma 14 2 6 3 3 3" xfId="36687"/>
    <cellStyle name="Comma 14 2 6 3 4" xfId="36688"/>
    <cellStyle name="Comma 14 2 6 3 4 2" xfId="36689"/>
    <cellStyle name="Comma 14 2 6 3 5" xfId="36690"/>
    <cellStyle name="Comma 14 2 6 3 6" xfId="36691"/>
    <cellStyle name="Comma 14 2 6 4" xfId="36692"/>
    <cellStyle name="Comma 14 2 6 4 2" xfId="36693"/>
    <cellStyle name="Comma 14 2 6 4 2 2" xfId="36694"/>
    <cellStyle name="Comma 14 2 6 4 2 3" xfId="36695"/>
    <cellStyle name="Comma 14 2 6 4 3" xfId="36696"/>
    <cellStyle name="Comma 14 2 6 4 3 2" xfId="36697"/>
    <cellStyle name="Comma 14 2 6 4 4" xfId="36698"/>
    <cellStyle name="Comma 14 2 6 4 5" xfId="36699"/>
    <cellStyle name="Comma 14 2 6 5" xfId="36700"/>
    <cellStyle name="Comma 14 2 6 5 2" xfId="36701"/>
    <cellStyle name="Comma 14 2 6 5 3" xfId="36702"/>
    <cellStyle name="Comma 14 2 6 6" xfId="36703"/>
    <cellStyle name="Comma 14 2 6 6 2" xfId="36704"/>
    <cellStyle name="Comma 14 2 6 6 3" xfId="36705"/>
    <cellStyle name="Comma 14 2 6 7" xfId="36706"/>
    <cellStyle name="Comma 14 2 6 7 2" xfId="36707"/>
    <cellStyle name="Comma 14 2 6 8" xfId="36708"/>
    <cellStyle name="Comma 14 2 6 9" xfId="36709"/>
    <cellStyle name="Comma 14 2 7" xfId="36710"/>
    <cellStyle name="Comma 14 2 7 2" xfId="36711"/>
    <cellStyle name="Comma 14 2 7 2 2" xfId="36712"/>
    <cellStyle name="Comma 14 2 7 2 3" xfId="36713"/>
    <cellStyle name="Comma 14 2 7 3" xfId="36714"/>
    <cellStyle name="Comma 14 2 7 3 2" xfId="36715"/>
    <cellStyle name="Comma 14 2 7 3 3" xfId="36716"/>
    <cellStyle name="Comma 14 2 7 4" xfId="36717"/>
    <cellStyle name="Comma 14 2 7 4 2" xfId="36718"/>
    <cellStyle name="Comma 14 2 7 5" xfId="36719"/>
    <cellStyle name="Comma 14 2 7 6" xfId="36720"/>
    <cellStyle name="Comma 14 2 8" xfId="36721"/>
    <cellStyle name="Comma 14 2 8 2" xfId="36722"/>
    <cellStyle name="Comma 14 2 8 2 2" xfId="36723"/>
    <cellStyle name="Comma 14 2 8 2 3" xfId="36724"/>
    <cellStyle name="Comma 14 2 8 3" xfId="36725"/>
    <cellStyle name="Comma 14 2 8 3 2" xfId="36726"/>
    <cellStyle name="Comma 14 2 8 3 3" xfId="36727"/>
    <cellStyle name="Comma 14 2 8 4" xfId="36728"/>
    <cellStyle name="Comma 14 2 8 4 2" xfId="36729"/>
    <cellStyle name="Comma 14 2 8 5" xfId="36730"/>
    <cellStyle name="Comma 14 2 8 6" xfId="36731"/>
    <cellStyle name="Comma 14 2 9" xfId="36732"/>
    <cellStyle name="Comma 14 2 9 2" xfId="36733"/>
    <cellStyle name="Comma 14 2 9 2 2" xfId="36734"/>
    <cellStyle name="Comma 14 2 9 2 3" xfId="36735"/>
    <cellStyle name="Comma 14 2 9 3" xfId="36736"/>
    <cellStyle name="Comma 14 2 9 3 2" xfId="36737"/>
    <cellStyle name="Comma 14 2 9 4" xfId="36738"/>
    <cellStyle name="Comma 14 2 9 5" xfId="36739"/>
    <cellStyle name="Comma 14 3" xfId="36740"/>
    <cellStyle name="Comma 14 3 10" xfId="36741"/>
    <cellStyle name="Comma 14 3 10 2" xfId="36742"/>
    <cellStyle name="Comma 14 3 10 3" xfId="36743"/>
    <cellStyle name="Comma 14 3 11" xfId="36744"/>
    <cellStyle name="Comma 14 3 11 2" xfId="36745"/>
    <cellStyle name="Comma 14 3 12" xfId="36746"/>
    <cellStyle name="Comma 14 3 13" xfId="36747"/>
    <cellStyle name="Comma 14 3 2" xfId="36748"/>
    <cellStyle name="Comma 14 3 2 10" xfId="36749"/>
    <cellStyle name="Comma 14 3 2 10 2" xfId="36750"/>
    <cellStyle name="Comma 14 3 2 11" xfId="36751"/>
    <cellStyle name="Comma 14 3 2 12" xfId="36752"/>
    <cellStyle name="Comma 14 3 2 2" xfId="36753"/>
    <cellStyle name="Comma 14 3 2 2 10" xfId="36754"/>
    <cellStyle name="Comma 14 3 2 2 2" xfId="36755"/>
    <cellStyle name="Comma 14 3 2 2 2 2" xfId="36756"/>
    <cellStyle name="Comma 14 3 2 2 2 2 2" xfId="36757"/>
    <cellStyle name="Comma 14 3 2 2 2 2 2 2" xfId="36758"/>
    <cellStyle name="Comma 14 3 2 2 2 2 2 3" xfId="36759"/>
    <cellStyle name="Comma 14 3 2 2 2 2 3" xfId="36760"/>
    <cellStyle name="Comma 14 3 2 2 2 2 3 2" xfId="36761"/>
    <cellStyle name="Comma 14 3 2 2 2 2 3 3" xfId="36762"/>
    <cellStyle name="Comma 14 3 2 2 2 2 4" xfId="36763"/>
    <cellStyle name="Comma 14 3 2 2 2 2 4 2" xfId="36764"/>
    <cellStyle name="Comma 14 3 2 2 2 2 5" xfId="36765"/>
    <cellStyle name="Comma 14 3 2 2 2 2 6" xfId="36766"/>
    <cellStyle name="Comma 14 3 2 2 2 3" xfId="36767"/>
    <cellStyle name="Comma 14 3 2 2 2 3 2" xfId="36768"/>
    <cellStyle name="Comma 14 3 2 2 2 3 2 2" xfId="36769"/>
    <cellStyle name="Comma 14 3 2 2 2 3 2 3" xfId="36770"/>
    <cellStyle name="Comma 14 3 2 2 2 3 3" xfId="36771"/>
    <cellStyle name="Comma 14 3 2 2 2 3 3 2" xfId="36772"/>
    <cellStyle name="Comma 14 3 2 2 2 3 3 3" xfId="36773"/>
    <cellStyle name="Comma 14 3 2 2 2 3 4" xfId="36774"/>
    <cellStyle name="Comma 14 3 2 2 2 3 4 2" xfId="36775"/>
    <cellStyle name="Comma 14 3 2 2 2 3 5" xfId="36776"/>
    <cellStyle name="Comma 14 3 2 2 2 3 6" xfId="36777"/>
    <cellStyle name="Comma 14 3 2 2 2 4" xfId="36778"/>
    <cellStyle name="Comma 14 3 2 2 2 4 2" xfId="36779"/>
    <cellStyle name="Comma 14 3 2 2 2 4 2 2" xfId="36780"/>
    <cellStyle name="Comma 14 3 2 2 2 4 2 3" xfId="36781"/>
    <cellStyle name="Comma 14 3 2 2 2 4 3" xfId="36782"/>
    <cellStyle name="Comma 14 3 2 2 2 4 3 2" xfId="36783"/>
    <cellStyle name="Comma 14 3 2 2 2 4 4" xfId="36784"/>
    <cellStyle name="Comma 14 3 2 2 2 4 5" xfId="36785"/>
    <cellStyle name="Comma 14 3 2 2 2 5" xfId="36786"/>
    <cellStyle name="Comma 14 3 2 2 2 5 2" xfId="36787"/>
    <cellStyle name="Comma 14 3 2 2 2 5 3" xfId="36788"/>
    <cellStyle name="Comma 14 3 2 2 2 6" xfId="36789"/>
    <cellStyle name="Comma 14 3 2 2 2 6 2" xfId="36790"/>
    <cellStyle name="Comma 14 3 2 2 2 6 3" xfId="36791"/>
    <cellStyle name="Comma 14 3 2 2 2 7" xfId="36792"/>
    <cellStyle name="Comma 14 3 2 2 2 7 2" xfId="36793"/>
    <cellStyle name="Comma 14 3 2 2 2 8" xfId="36794"/>
    <cellStyle name="Comma 14 3 2 2 2 9" xfId="36795"/>
    <cellStyle name="Comma 14 3 2 2 3" xfId="36796"/>
    <cellStyle name="Comma 14 3 2 2 3 2" xfId="36797"/>
    <cellStyle name="Comma 14 3 2 2 3 2 2" xfId="36798"/>
    <cellStyle name="Comma 14 3 2 2 3 2 3" xfId="36799"/>
    <cellStyle name="Comma 14 3 2 2 3 3" xfId="36800"/>
    <cellStyle name="Comma 14 3 2 2 3 3 2" xfId="36801"/>
    <cellStyle name="Comma 14 3 2 2 3 3 3" xfId="36802"/>
    <cellStyle name="Comma 14 3 2 2 3 4" xfId="36803"/>
    <cellStyle name="Comma 14 3 2 2 3 4 2" xfId="36804"/>
    <cellStyle name="Comma 14 3 2 2 3 5" xfId="36805"/>
    <cellStyle name="Comma 14 3 2 2 3 6" xfId="36806"/>
    <cellStyle name="Comma 14 3 2 2 4" xfId="36807"/>
    <cellStyle name="Comma 14 3 2 2 4 2" xfId="36808"/>
    <cellStyle name="Comma 14 3 2 2 4 2 2" xfId="36809"/>
    <cellStyle name="Comma 14 3 2 2 4 2 3" xfId="36810"/>
    <cellStyle name="Comma 14 3 2 2 4 3" xfId="36811"/>
    <cellStyle name="Comma 14 3 2 2 4 3 2" xfId="36812"/>
    <cellStyle name="Comma 14 3 2 2 4 3 3" xfId="36813"/>
    <cellStyle name="Comma 14 3 2 2 4 4" xfId="36814"/>
    <cellStyle name="Comma 14 3 2 2 4 4 2" xfId="36815"/>
    <cellStyle name="Comma 14 3 2 2 4 5" xfId="36816"/>
    <cellStyle name="Comma 14 3 2 2 4 6" xfId="36817"/>
    <cellStyle name="Comma 14 3 2 2 5" xfId="36818"/>
    <cellStyle name="Comma 14 3 2 2 5 2" xfId="36819"/>
    <cellStyle name="Comma 14 3 2 2 5 2 2" xfId="36820"/>
    <cellStyle name="Comma 14 3 2 2 5 2 3" xfId="36821"/>
    <cellStyle name="Comma 14 3 2 2 5 3" xfId="36822"/>
    <cellStyle name="Comma 14 3 2 2 5 3 2" xfId="36823"/>
    <cellStyle name="Comma 14 3 2 2 5 4" xfId="36824"/>
    <cellStyle name="Comma 14 3 2 2 5 5" xfId="36825"/>
    <cellStyle name="Comma 14 3 2 2 6" xfId="36826"/>
    <cellStyle name="Comma 14 3 2 2 6 2" xfId="36827"/>
    <cellStyle name="Comma 14 3 2 2 6 3" xfId="36828"/>
    <cellStyle name="Comma 14 3 2 2 7" xfId="36829"/>
    <cellStyle name="Comma 14 3 2 2 7 2" xfId="36830"/>
    <cellStyle name="Comma 14 3 2 2 7 3" xfId="36831"/>
    <cellStyle name="Comma 14 3 2 2 8" xfId="36832"/>
    <cellStyle name="Comma 14 3 2 2 8 2" xfId="36833"/>
    <cellStyle name="Comma 14 3 2 2 9" xfId="36834"/>
    <cellStyle name="Comma 14 3 2 3" xfId="36835"/>
    <cellStyle name="Comma 14 3 2 3 2" xfId="36836"/>
    <cellStyle name="Comma 14 3 2 3 2 2" xfId="36837"/>
    <cellStyle name="Comma 14 3 2 3 2 2 2" xfId="36838"/>
    <cellStyle name="Comma 14 3 2 3 2 2 3" xfId="36839"/>
    <cellStyle name="Comma 14 3 2 3 2 3" xfId="36840"/>
    <cellStyle name="Comma 14 3 2 3 2 3 2" xfId="36841"/>
    <cellStyle name="Comma 14 3 2 3 2 3 3" xfId="36842"/>
    <cellStyle name="Comma 14 3 2 3 2 4" xfId="36843"/>
    <cellStyle name="Comma 14 3 2 3 2 4 2" xfId="36844"/>
    <cellStyle name="Comma 14 3 2 3 2 5" xfId="36845"/>
    <cellStyle name="Comma 14 3 2 3 2 6" xfId="36846"/>
    <cellStyle name="Comma 14 3 2 3 3" xfId="36847"/>
    <cellStyle name="Comma 14 3 2 3 3 2" xfId="36848"/>
    <cellStyle name="Comma 14 3 2 3 3 2 2" xfId="36849"/>
    <cellStyle name="Comma 14 3 2 3 3 2 3" xfId="36850"/>
    <cellStyle name="Comma 14 3 2 3 3 3" xfId="36851"/>
    <cellStyle name="Comma 14 3 2 3 3 3 2" xfId="36852"/>
    <cellStyle name="Comma 14 3 2 3 3 3 3" xfId="36853"/>
    <cellStyle name="Comma 14 3 2 3 3 4" xfId="36854"/>
    <cellStyle name="Comma 14 3 2 3 3 4 2" xfId="36855"/>
    <cellStyle name="Comma 14 3 2 3 3 5" xfId="36856"/>
    <cellStyle name="Comma 14 3 2 3 3 6" xfId="36857"/>
    <cellStyle name="Comma 14 3 2 3 4" xfId="36858"/>
    <cellStyle name="Comma 14 3 2 3 4 2" xfId="36859"/>
    <cellStyle name="Comma 14 3 2 3 4 2 2" xfId="36860"/>
    <cellStyle name="Comma 14 3 2 3 4 2 3" xfId="36861"/>
    <cellStyle name="Comma 14 3 2 3 4 3" xfId="36862"/>
    <cellStyle name="Comma 14 3 2 3 4 3 2" xfId="36863"/>
    <cellStyle name="Comma 14 3 2 3 4 4" xfId="36864"/>
    <cellStyle name="Comma 14 3 2 3 4 5" xfId="36865"/>
    <cellStyle name="Comma 14 3 2 3 5" xfId="36866"/>
    <cellStyle name="Comma 14 3 2 3 5 2" xfId="36867"/>
    <cellStyle name="Comma 14 3 2 3 5 3" xfId="36868"/>
    <cellStyle name="Comma 14 3 2 3 6" xfId="36869"/>
    <cellStyle name="Comma 14 3 2 3 6 2" xfId="36870"/>
    <cellStyle name="Comma 14 3 2 3 6 3" xfId="36871"/>
    <cellStyle name="Comma 14 3 2 3 7" xfId="36872"/>
    <cellStyle name="Comma 14 3 2 3 7 2" xfId="36873"/>
    <cellStyle name="Comma 14 3 2 3 8" xfId="36874"/>
    <cellStyle name="Comma 14 3 2 3 9" xfId="36875"/>
    <cellStyle name="Comma 14 3 2 4" xfId="36876"/>
    <cellStyle name="Comma 14 3 2 4 2" xfId="36877"/>
    <cellStyle name="Comma 14 3 2 4 2 2" xfId="36878"/>
    <cellStyle name="Comma 14 3 2 4 2 2 2" xfId="36879"/>
    <cellStyle name="Comma 14 3 2 4 2 2 3" xfId="36880"/>
    <cellStyle name="Comma 14 3 2 4 2 3" xfId="36881"/>
    <cellStyle name="Comma 14 3 2 4 2 3 2" xfId="36882"/>
    <cellStyle name="Comma 14 3 2 4 2 3 3" xfId="36883"/>
    <cellStyle name="Comma 14 3 2 4 2 4" xfId="36884"/>
    <cellStyle name="Comma 14 3 2 4 2 4 2" xfId="36885"/>
    <cellStyle name="Comma 14 3 2 4 2 5" xfId="36886"/>
    <cellStyle name="Comma 14 3 2 4 2 6" xfId="36887"/>
    <cellStyle name="Comma 14 3 2 4 3" xfId="36888"/>
    <cellStyle name="Comma 14 3 2 4 3 2" xfId="36889"/>
    <cellStyle name="Comma 14 3 2 4 3 2 2" xfId="36890"/>
    <cellStyle name="Comma 14 3 2 4 3 2 3" xfId="36891"/>
    <cellStyle name="Comma 14 3 2 4 3 3" xfId="36892"/>
    <cellStyle name="Comma 14 3 2 4 3 3 2" xfId="36893"/>
    <cellStyle name="Comma 14 3 2 4 3 3 3" xfId="36894"/>
    <cellStyle name="Comma 14 3 2 4 3 4" xfId="36895"/>
    <cellStyle name="Comma 14 3 2 4 3 4 2" xfId="36896"/>
    <cellStyle name="Comma 14 3 2 4 3 5" xfId="36897"/>
    <cellStyle name="Comma 14 3 2 4 3 6" xfId="36898"/>
    <cellStyle name="Comma 14 3 2 4 4" xfId="36899"/>
    <cellStyle name="Comma 14 3 2 4 4 2" xfId="36900"/>
    <cellStyle name="Comma 14 3 2 4 4 2 2" xfId="36901"/>
    <cellStyle name="Comma 14 3 2 4 4 2 3" xfId="36902"/>
    <cellStyle name="Comma 14 3 2 4 4 3" xfId="36903"/>
    <cellStyle name="Comma 14 3 2 4 4 3 2" xfId="36904"/>
    <cellStyle name="Comma 14 3 2 4 4 4" xfId="36905"/>
    <cellStyle name="Comma 14 3 2 4 4 5" xfId="36906"/>
    <cellStyle name="Comma 14 3 2 4 5" xfId="36907"/>
    <cellStyle name="Comma 14 3 2 4 5 2" xfId="36908"/>
    <cellStyle name="Comma 14 3 2 4 5 3" xfId="36909"/>
    <cellStyle name="Comma 14 3 2 4 6" xfId="36910"/>
    <cellStyle name="Comma 14 3 2 4 6 2" xfId="36911"/>
    <cellStyle name="Comma 14 3 2 4 6 3" xfId="36912"/>
    <cellStyle name="Comma 14 3 2 4 7" xfId="36913"/>
    <cellStyle name="Comma 14 3 2 4 7 2" xfId="36914"/>
    <cellStyle name="Comma 14 3 2 4 8" xfId="36915"/>
    <cellStyle name="Comma 14 3 2 4 9" xfId="36916"/>
    <cellStyle name="Comma 14 3 2 5" xfId="36917"/>
    <cellStyle name="Comma 14 3 2 5 2" xfId="36918"/>
    <cellStyle name="Comma 14 3 2 5 2 2" xfId="36919"/>
    <cellStyle name="Comma 14 3 2 5 2 3" xfId="36920"/>
    <cellStyle name="Comma 14 3 2 5 3" xfId="36921"/>
    <cellStyle name="Comma 14 3 2 5 3 2" xfId="36922"/>
    <cellStyle name="Comma 14 3 2 5 3 3" xfId="36923"/>
    <cellStyle name="Comma 14 3 2 5 4" xfId="36924"/>
    <cellStyle name="Comma 14 3 2 5 4 2" xfId="36925"/>
    <cellStyle name="Comma 14 3 2 5 5" xfId="36926"/>
    <cellStyle name="Comma 14 3 2 5 6" xfId="36927"/>
    <cellStyle name="Comma 14 3 2 6" xfId="36928"/>
    <cellStyle name="Comma 14 3 2 6 2" xfId="36929"/>
    <cellStyle name="Comma 14 3 2 6 2 2" xfId="36930"/>
    <cellStyle name="Comma 14 3 2 6 2 3" xfId="36931"/>
    <cellStyle name="Comma 14 3 2 6 3" xfId="36932"/>
    <cellStyle name="Comma 14 3 2 6 3 2" xfId="36933"/>
    <cellStyle name="Comma 14 3 2 6 3 3" xfId="36934"/>
    <cellStyle name="Comma 14 3 2 6 4" xfId="36935"/>
    <cellStyle name="Comma 14 3 2 6 4 2" xfId="36936"/>
    <cellStyle name="Comma 14 3 2 6 5" xfId="36937"/>
    <cellStyle name="Comma 14 3 2 6 6" xfId="36938"/>
    <cellStyle name="Comma 14 3 2 7" xfId="36939"/>
    <cellStyle name="Comma 14 3 2 7 2" xfId="36940"/>
    <cellStyle name="Comma 14 3 2 7 2 2" xfId="36941"/>
    <cellStyle name="Comma 14 3 2 7 2 3" xfId="36942"/>
    <cellStyle name="Comma 14 3 2 7 3" xfId="36943"/>
    <cellStyle name="Comma 14 3 2 7 3 2" xfId="36944"/>
    <cellStyle name="Comma 14 3 2 7 4" xfId="36945"/>
    <cellStyle name="Comma 14 3 2 7 5" xfId="36946"/>
    <cellStyle name="Comma 14 3 2 8" xfId="36947"/>
    <cellStyle name="Comma 14 3 2 8 2" xfId="36948"/>
    <cellStyle name="Comma 14 3 2 8 3" xfId="36949"/>
    <cellStyle name="Comma 14 3 2 9" xfId="36950"/>
    <cellStyle name="Comma 14 3 2 9 2" xfId="36951"/>
    <cellStyle name="Comma 14 3 2 9 3" xfId="36952"/>
    <cellStyle name="Comma 14 3 3" xfId="36953"/>
    <cellStyle name="Comma 14 3 3 10" xfId="36954"/>
    <cellStyle name="Comma 14 3 3 2" xfId="36955"/>
    <cellStyle name="Comma 14 3 3 2 2" xfId="36956"/>
    <cellStyle name="Comma 14 3 3 2 2 2" xfId="36957"/>
    <cellStyle name="Comma 14 3 3 2 2 2 2" xfId="36958"/>
    <cellStyle name="Comma 14 3 3 2 2 2 3" xfId="36959"/>
    <cellStyle name="Comma 14 3 3 2 2 3" xfId="36960"/>
    <cellStyle name="Comma 14 3 3 2 2 3 2" xfId="36961"/>
    <cellStyle name="Comma 14 3 3 2 2 3 3" xfId="36962"/>
    <cellStyle name="Comma 14 3 3 2 2 4" xfId="36963"/>
    <cellStyle name="Comma 14 3 3 2 2 4 2" xfId="36964"/>
    <cellStyle name="Comma 14 3 3 2 2 5" xfId="36965"/>
    <cellStyle name="Comma 14 3 3 2 2 6" xfId="36966"/>
    <cellStyle name="Comma 14 3 3 2 3" xfId="36967"/>
    <cellStyle name="Comma 14 3 3 2 3 2" xfId="36968"/>
    <cellStyle name="Comma 14 3 3 2 3 2 2" xfId="36969"/>
    <cellStyle name="Comma 14 3 3 2 3 2 3" xfId="36970"/>
    <cellStyle name="Comma 14 3 3 2 3 3" xfId="36971"/>
    <cellStyle name="Comma 14 3 3 2 3 3 2" xfId="36972"/>
    <cellStyle name="Comma 14 3 3 2 3 3 3" xfId="36973"/>
    <cellStyle name="Comma 14 3 3 2 3 4" xfId="36974"/>
    <cellStyle name="Comma 14 3 3 2 3 4 2" xfId="36975"/>
    <cellStyle name="Comma 14 3 3 2 3 5" xfId="36976"/>
    <cellStyle name="Comma 14 3 3 2 3 6" xfId="36977"/>
    <cellStyle name="Comma 14 3 3 2 4" xfId="36978"/>
    <cellStyle name="Comma 14 3 3 2 4 2" xfId="36979"/>
    <cellStyle name="Comma 14 3 3 2 4 2 2" xfId="36980"/>
    <cellStyle name="Comma 14 3 3 2 4 2 3" xfId="36981"/>
    <cellStyle name="Comma 14 3 3 2 4 3" xfId="36982"/>
    <cellStyle name="Comma 14 3 3 2 4 3 2" xfId="36983"/>
    <cellStyle name="Comma 14 3 3 2 4 4" xfId="36984"/>
    <cellStyle name="Comma 14 3 3 2 4 5" xfId="36985"/>
    <cellStyle name="Comma 14 3 3 2 5" xfId="36986"/>
    <cellStyle name="Comma 14 3 3 2 5 2" xfId="36987"/>
    <cellStyle name="Comma 14 3 3 2 5 3" xfId="36988"/>
    <cellStyle name="Comma 14 3 3 2 6" xfId="36989"/>
    <cellStyle name="Comma 14 3 3 2 6 2" xfId="36990"/>
    <cellStyle name="Comma 14 3 3 2 6 3" xfId="36991"/>
    <cellStyle name="Comma 14 3 3 2 7" xfId="36992"/>
    <cellStyle name="Comma 14 3 3 2 7 2" xfId="36993"/>
    <cellStyle name="Comma 14 3 3 2 8" xfId="36994"/>
    <cellStyle name="Comma 14 3 3 2 9" xfId="36995"/>
    <cellStyle name="Comma 14 3 3 3" xfId="36996"/>
    <cellStyle name="Comma 14 3 3 3 2" xfId="36997"/>
    <cellStyle name="Comma 14 3 3 3 2 2" xfId="36998"/>
    <cellStyle name="Comma 14 3 3 3 2 3" xfId="36999"/>
    <cellStyle name="Comma 14 3 3 3 3" xfId="37000"/>
    <cellStyle name="Comma 14 3 3 3 3 2" xfId="37001"/>
    <cellStyle name="Comma 14 3 3 3 3 3" xfId="37002"/>
    <cellStyle name="Comma 14 3 3 3 4" xfId="37003"/>
    <cellStyle name="Comma 14 3 3 3 4 2" xfId="37004"/>
    <cellStyle name="Comma 14 3 3 3 5" xfId="37005"/>
    <cellStyle name="Comma 14 3 3 3 6" xfId="37006"/>
    <cellStyle name="Comma 14 3 3 4" xfId="37007"/>
    <cellStyle name="Comma 14 3 3 4 2" xfId="37008"/>
    <cellStyle name="Comma 14 3 3 4 2 2" xfId="37009"/>
    <cellStyle name="Comma 14 3 3 4 2 3" xfId="37010"/>
    <cellStyle name="Comma 14 3 3 4 3" xfId="37011"/>
    <cellStyle name="Comma 14 3 3 4 3 2" xfId="37012"/>
    <cellStyle name="Comma 14 3 3 4 3 3" xfId="37013"/>
    <cellStyle name="Comma 14 3 3 4 4" xfId="37014"/>
    <cellStyle name="Comma 14 3 3 4 4 2" xfId="37015"/>
    <cellStyle name="Comma 14 3 3 4 5" xfId="37016"/>
    <cellStyle name="Comma 14 3 3 4 6" xfId="37017"/>
    <cellStyle name="Comma 14 3 3 5" xfId="37018"/>
    <cellStyle name="Comma 14 3 3 5 2" xfId="37019"/>
    <cellStyle name="Comma 14 3 3 5 2 2" xfId="37020"/>
    <cellStyle name="Comma 14 3 3 5 2 3" xfId="37021"/>
    <cellStyle name="Comma 14 3 3 5 3" xfId="37022"/>
    <cellStyle name="Comma 14 3 3 5 3 2" xfId="37023"/>
    <cellStyle name="Comma 14 3 3 5 4" xfId="37024"/>
    <cellStyle name="Comma 14 3 3 5 5" xfId="37025"/>
    <cellStyle name="Comma 14 3 3 6" xfId="37026"/>
    <cellStyle name="Comma 14 3 3 6 2" xfId="37027"/>
    <cellStyle name="Comma 14 3 3 6 3" xfId="37028"/>
    <cellStyle name="Comma 14 3 3 7" xfId="37029"/>
    <cellStyle name="Comma 14 3 3 7 2" xfId="37030"/>
    <cellStyle name="Comma 14 3 3 7 3" xfId="37031"/>
    <cellStyle name="Comma 14 3 3 8" xfId="37032"/>
    <cellStyle name="Comma 14 3 3 8 2" xfId="37033"/>
    <cellStyle name="Comma 14 3 3 9" xfId="37034"/>
    <cellStyle name="Comma 14 3 4" xfId="37035"/>
    <cellStyle name="Comma 14 3 4 2" xfId="37036"/>
    <cellStyle name="Comma 14 3 4 2 2" xfId="37037"/>
    <cellStyle name="Comma 14 3 4 2 2 2" xfId="37038"/>
    <cellStyle name="Comma 14 3 4 2 2 3" xfId="37039"/>
    <cellStyle name="Comma 14 3 4 2 3" xfId="37040"/>
    <cellStyle name="Comma 14 3 4 2 3 2" xfId="37041"/>
    <cellStyle name="Comma 14 3 4 2 3 3" xfId="37042"/>
    <cellStyle name="Comma 14 3 4 2 4" xfId="37043"/>
    <cellStyle name="Comma 14 3 4 2 4 2" xfId="37044"/>
    <cellStyle name="Comma 14 3 4 2 5" xfId="37045"/>
    <cellStyle name="Comma 14 3 4 2 6" xfId="37046"/>
    <cellStyle name="Comma 14 3 4 3" xfId="37047"/>
    <cellStyle name="Comma 14 3 4 3 2" xfId="37048"/>
    <cellStyle name="Comma 14 3 4 3 2 2" xfId="37049"/>
    <cellStyle name="Comma 14 3 4 3 2 3" xfId="37050"/>
    <cellStyle name="Comma 14 3 4 3 3" xfId="37051"/>
    <cellStyle name="Comma 14 3 4 3 3 2" xfId="37052"/>
    <cellStyle name="Comma 14 3 4 3 3 3" xfId="37053"/>
    <cellStyle name="Comma 14 3 4 3 4" xfId="37054"/>
    <cellStyle name="Comma 14 3 4 3 4 2" xfId="37055"/>
    <cellStyle name="Comma 14 3 4 3 5" xfId="37056"/>
    <cellStyle name="Comma 14 3 4 3 6" xfId="37057"/>
    <cellStyle name="Comma 14 3 4 4" xfId="37058"/>
    <cellStyle name="Comma 14 3 4 4 2" xfId="37059"/>
    <cellStyle name="Comma 14 3 4 4 2 2" xfId="37060"/>
    <cellStyle name="Comma 14 3 4 4 2 3" xfId="37061"/>
    <cellStyle name="Comma 14 3 4 4 3" xfId="37062"/>
    <cellStyle name="Comma 14 3 4 4 3 2" xfId="37063"/>
    <cellStyle name="Comma 14 3 4 4 4" xfId="37064"/>
    <cellStyle name="Comma 14 3 4 4 5" xfId="37065"/>
    <cellStyle name="Comma 14 3 4 5" xfId="37066"/>
    <cellStyle name="Comma 14 3 4 5 2" xfId="37067"/>
    <cellStyle name="Comma 14 3 4 5 3" xfId="37068"/>
    <cellStyle name="Comma 14 3 4 6" xfId="37069"/>
    <cellStyle name="Comma 14 3 4 6 2" xfId="37070"/>
    <cellStyle name="Comma 14 3 4 6 3" xfId="37071"/>
    <cellStyle name="Comma 14 3 4 7" xfId="37072"/>
    <cellStyle name="Comma 14 3 4 7 2" xfId="37073"/>
    <cellStyle name="Comma 14 3 4 8" xfId="37074"/>
    <cellStyle name="Comma 14 3 4 9" xfId="37075"/>
    <cellStyle name="Comma 14 3 5" xfId="37076"/>
    <cellStyle name="Comma 14 3 5 2" xfId="37077"/>
    <cellStyle name="Comma 14 3 5 2 2" xfId="37078"/>
    <cellStyle name="Comma 14 3 5 2 2 2" xfId="37079"/>
    <cellStyle name="Comma 14 3 5 2 2 3" xfId="37080"/>
    <cellStyle name="Comma 14 3 5 2 3" xfId="37081"/>
    <cellStyle name="Comma 14 3 5 2 3 2" xfId="37082"/>
    <cellStyle name="Comma 14 3 5 2 3 3" xfId="37083"/>
    <cellStyle name="Comma 14 3 5 2 4" xfId="37084"/>
    <cellStyle name="Comma 14 3 5 2 4 2" xfId="37085"/>
    <cellStyle name="Comma 14 3 5 2 5" xfId="37086"/>
    <cellStyle name="Comma 14 3 5 2 6" xfId="37087"/>
    <cellStyle name="Comma 14 3 5 3" xfId="37088"/>
    <cellStyle name="Comma 14 3 5 3 2" xfId="37089"/>
    <cellStyle name="Comma 14 3 5 3 2 2" xfId="37090"/>
    <cellStyle name="Comma 14 3 5 3 2 3" xfId="37091"/>
    <cellStyle name="Comma 14 3 5 3 3" xfId="37092"/>
    <cellStyle name="Comma 14 3 5 3 3 2" xfId="37093"/>
    <cellStyle name="Comma 14 3 5 3 3 3" xfId="37094"/>
    <cellStyle name="Comma 14 3 5 3 4" xfId="37095"/>
    <cellStyle name="Comma 14 3 5 3 4 2" xfId="37096"/>
    <cellStyle name="Comma 14 3 5 3 5" xfId="37097"/>
    <cellStyle name="Comma 14 3 5 3 6" xfId="37098"/>
    <cellStyle name="Comma 14 3 5 4" xfId="37099"/>
    <cellStyle name="Comma 14 3 5 4 2" xfId="37100"/>
    <cellStyle name="Comma 14 3 5 4 2 2" xfId="37101"/>
    <cellStyle name="Comma 14 3 5 4 2 3" xfId="37102"/>
    <cellStyle name="Comma 14 3 5 4 3" xfId="37103"/>
    <cellStyle name="Comma 14 3 5 4 3 2" xfId="37104"/>
    <cellStyle name="Comma 14 3 5 4 4" xfId="37105"/>
    <cellStyle name="Comma 14 3 5 4 5" xfId="37106"/>
    <cellStyle name="Comma 14 3 5 5" xfId="37107"/>
    <cellStyle name="Comma 14 3 5 5 2" xfId="37108"/>
    <cellStyle name="Comma 14 3 5 5 3" xfId="37109"/>
    <cellStyle name="Comma 14 3 5 6" xfId="37110"/>
    <cellStyle name="Comma 14 3 5 6 2" xfId="37111"/>
    <cellStyle name="Comma 14 3 5 6 3" xfId="37112"/>
    <cellStyle name="Comma 14 3 5 7" xfId="37113"/>
    <cellStyle name="Comma 14 3 5 7 2" xfId="37114"/>
    <cellStyle name="Comma 14 3 5 8" xfId="37115"/>
    <cellStyle name="Comma 14 3 5 9" xfId="37116"/>
    <cellStyle name="Comma 14 3 6" xfId="37117"/>
    <cellStyle name="Comma 14 3 6 2" xfId="37118"/>
    <cellStyle name="Comma 14 3 6 2 2" xfId="37119"/>
    <cellStyle name="Comma 14 3 6 2 3" xfId="37120"/>
    <cellStyle name="Comma 14 3 6 3" xfId="37121"/>
    <cellStyle name="Comma 14 3 6 3 2" xfId="37122"/>
    <cellStyle name="Comma 14 3 6 3 3" xfId="37123"/>
    <cellStyle name="Comma 14 3 6 4" xfId="37124"/>
    <cellStyle name="Comma 14 3 6 4 2" xfId="37125"/>
    <cellStyle name="Comma 14 3 6 5" xfId="37126"/>
    <cellStyle name="Comma 14 3 6 6" xfId="37127"/>
    <cellStyle name="Comma 14 3 7" xfId="37128"/>
    <cellStyle name="Comma 14 3 7 2" xfId="37129"/>
    <cellStyle name="Comma 14 3 7 2 2" xfId="37130"/>
    <cellStyle name="Comma 14 3 7 2 3" xfId="37131"/>
    <cellStyle name="Comma 14 3 7 3" xfId="37132"/>
    <cellStyle name="Comma 14 3 7 3 2" xfId="37133"/>
    <cellStyle name="Comma 14 3 7 3 3" xfId="37134"/>
    <cellStyle name="Comma 14 3 7 4" xfId="37135"/>
    <cellStyle name="Comma 14 3 7 4 2" xfId="37136"/>
    <cellStyle name="Comma 14 3 7 5" xfId="37137"/>
    <cellStyle name="Comma 14 3 7 6" xfId="37138"/>
    <cellStyle name="Comma 14 3 8" xfId="37139"/>
    <cellStyle name="Comma 14 3 8 2" xfId="37140"/>
    <cellStyle name="Comma 14 3 8 2 2" xfId="37141"/>
    <cellStyle name="Comma 14 3 8 2 3" xfId="37142"/>
    <cellStyle name="Comma 14 3 8 3" xfId="37143"/>
    <cellStyle name="Comma 14 3 8 3 2" xfId="37144"/>
    <cellStyle name="Comma 14 3 8 4" xfId="37145"/>
    <cellStyle name="Comma 14 3 8 5" xfId="37146"/>
    <cellStyle name="Comma 14 3 9" xfId="37147"/>
    <cellStyle name="Comma 14 3 9 2" xfId="37148"/>
    <cellStyle name="Comma 14 3 9 3" xfId="37149"/>
    <cellStyle name="Comma 14 4" xfId="37150"/>
    <cellStyle name="Comma 14 4 10" xfId="37151"/>
    <cellStyle name="Comma 14 4 10 2" xfId="37152"/>
    <cellStyle name="Comma 14 4 11" xfId="37153"/>
    <cellStyle name="Comma 14 4 12" xfId="37154"/>
    <cellStyle name="Comma 14 4 2" xfId="37155"/>
    <cellStyle name="Comma 14 4 2 10" xfId="37156"/>
    <cellStyle name="Comma 14 4 2 2" xfId="37157"/>
    <cellStyle name="Comma 14 4 2 2 2" xfId="37158"/>
    <cellStyle name="Comma 14 4 2 2 2 2" xfId="37159"/>
    <cellStyle name="Comma 14 4 2 2 2 2 2" xfId="37160"/>
    <cellStyle name="Comma 14 4 2 2 2 2 3" xfId="37161"/>
    <cellStyle name="Comma 14 4 2 2 2 3" xfId="37162"/>
    <cellStyle name="Comma 14 4 2 2 2 3 2" xfId="37163"/>
    <cellStyle name="Comma 14 4 2 2 2 3 3" xfId="37164"/>
    <cellStyle name="Comma 14 4 2 2 2 4" xfId="37165"/>
    <cellStyle name="Comma 14 4 2 2 2 4 2" xfId="37166"/>
    <cellStyle name="Comma 14 4 2 2 2 5" xfId="37167"/>
    <cellStyle name="Comma 14 4 2 2 2 6" xfId="37168"/>
    <cellStyle name="Comma 14 4 2 2 3" xfId="37169"/>
    <cellStyle name="Comma 14 4 2 2 3 2" xfId="37170"/>
    <cellStyle name="Comma 14 4 2 2 3 2 2" xfId="37171"/>
    <cellStyle name="Comma 14 4 2 2 3 2 3" xfId="37172"/>
    <cellStyle name="Comma 14 4 2 2 3 3" xfId="37173"/>
    <cellStyle name="Comma 14 4 2 2 3 3 2" xfId="37174"/>
    <cellStyle name="Comma 14 4 2 2 3 3 3" xfId="37175"/>
    <cellStyle name="Comma 14 4 2 2 3 4" xfId="37176"/>
    <cellStyle name="Comma 14 4 2 2 3 4 2" xfId="37177"/>
    <cellStyle name="Comma 14 4 2 2 3 5" xfId="37178"/>
    <cellStyle name="Comma 14 4 2 2 3 6" xfId="37179"/>
    <cellStyle name="Comma 14 4 2 2 4" xfId="37180"/>
    <cellStyle name="Comma 14 4 2 2 4 2" xfId="37181"/>
    <cellStyle name="Comma 14 4 2 2 4 2 2" xfId="37182"/>
    <cellStyle name="Comma 14 4 2 2 4 2 3" xfId="37183"/>
    <cellStyle name="Comma 14 4 2 2 4 3" xfId="37184"/>
    <cellStyle name="Comma 14 4 2 2 4 3 2" xfId="37185"/>
    <cellStyle name="Comma 14 4 2 2 4 4" xfId="37186"/>
    <cellStyle name="Comma 14 4 2 2 4 5" xfId="37187"/>
    <cellStyle name="Comma 14 4 2 2 5" xfId="37188"/>
    <cellStyle name="Comma 14 4 2 2 5 2" xfId="37189"/>
    <cellStyle name="Comma 14 4 2 2 5 3" xfId="37190"/>
    <cellStyle name="Comma 14 4 2 2 6" xfId="37191"/>
    <cellStyle name="Comma 14 4 2 2 6 2" xfId="37192"/>
    <cellStyle name="Comma 14 4 2 2 6 3" xfId="37193"/>
    <cellStyle name="Comma 14 4 2 2 7" xfId="37194"/>
    <cellStyle name="Comma 14 4 2 2 7 2" xfId="37195"/>
    <cellStyle name="Comma 14 4 2 2 8" xfId="37196"/>
    <cellStyle name="Comma 14 4 2 2 9" xfId="37197"/>
    <cellStyle name="Comma 14 4 2 3" xfId="37198"/>
    <cellStyle name="Comma 14 4 2 3 2" xfId="37199"/>
    <cellStyle name="Comma 14 4 2 3 2 2" xfId="37200"/>
    <cellStyle name="Comma 14 4 2 3 2 3" xfId="37201"/>
    <cellStyle name="Comma 14 4 2 3 3" xfId="37202"/>
    <cellStyle name="Comma 14 4 2 3 3 2" xfId="37203"/>
    <cellStyle name="Comma 14 4 2 3 3 3" xfId="37204"/>
    <cellStyle name="Comma 14 4 2 3 4" xfId="37205"/>
    <cellStyle name="Comma 14 4 2 3 4 2" xfId="37206"/>
    <cellStyle name="Comma 14 4 2 3 5" xfId="37207"/>
    <cellStyle name="Comma 14 4 2 3 6" xfId="37208"/>
    <cellStyle name="Comma 14 4 2 4" xfId="37209"/>
    <cellStyle name="Comma 14 4 2 4 2" xfId="37210"/>
    <cellStyle name="Comma 14 4 2 4 2 2" xfId="37211"/>
    <cellStyle name="Comma 14 4 2 4 2 3" xfId="37212"/>
    <cellStyle name="Comma 14 4 2 4 3" xfId="37213"/>
    <cellStyle name="Comma 14 4 2 4 3 2" xfId="37214"/>
    <cellStyle name="Comma 14 4 2 4 3 3" xfId="37215"/>
    <cellStyle name="Comma 14 4 2 4 4" xfId="37216"/>
    <cellStyle name="Comma 14 4 2 4 4 2" xfId="37217"/>
    <cellStyle name="Comma 14 4 2 4 5" xfId="37218"/>
    <cellStyle name="Comma 14 4 2 4 6" xfId="37219"/>
    <cellStyle name="Comma 14 4 2 5" xfId="37220"/>
    <cellStyle name="Comma 14 4 2 5 2" xfId="37221"/>
    <cellStyle name="Comma 14 4 2 5 2 2" xfId="37222"/>
    <cellStyle name="Comma 14 4 2 5 2 3" xfId="37223"/>
    <cellStyle name="Comma 14 4 2 5 3" xfId="37224"/>
    <cellStyle name="Comma 14 4 2 5 3 2" xfId="37225"/>
    <cellStyle name="Comma 14 4 2 5 4" xfId="37226"/>
    <cellStyle name="Comma 14 4 2 5 5" xfId="37227"/>
    <cellStyle name="Comma 14 4 2 6" xfId="37228"/>
    <cellStyle name="Comma 14 4 2 6 2" xfId="37229"/>
    <cellStyle name="Comma 14 4 2 6 3" xfId="37230"/>
    <cellStyle name="Comma 14 4 2 7" xfId="37231"/>
    <cellStyle name="Comma 14 4 2 7 2" xfId="37232"/>
    <cellStyle name="Comma 14 4 2 7 3" xfId="37233"/>
    <cellStyle name="Comma 14 4 2 8" xfId="37234"/>
    <cellStyle name="Comma 14 4 2 8 2" xfId="37235"/>
    <cellStyle name="Comma 14 4 2 9" xfId="37236"/>
    <cellStyle name="Comma 14 4 3" xfId="37237"/>
    <cellStyle name="Comma 14 4 3 2" xfId="37238"/>
    <cellStyle name="Comma 14 4 3 2 2" xfId="37239"/>
    <cellStyle name="Comma 14 4 3 2 2 2" xfId="37240"/>
    <cellStyle name="Comma 14 4 3 2 2 3" xfId="37241"/>
    <cellStyle name="Comma 14 4 3 2 3" xfId="37242"/>
    <cellStyle name="Comma 14 4 3 2 3 2" xfId="37243"/>
    <cellStyle name="Comma 14 4 3 2 3 3" xfId="37244"/>
    <cellStyle name="Comma 14 4 3 2 4" xfId="37245"/>
    <cellStyle name="Comma 14 4 3 2 4 2" xfId="37246"/>
    <cellStyle name="Comma 14 4 3 2 5" xfId="37247"/>
    <cellStyle name="Comma 14 4 3 2 6" xfId="37248"/>
    <cellStyle name="Comma 14 4 3 3" xfId="37249"/>
    <cellStyle name="Comma 14 4 3 3 2" xfId="37250"/>
    <cellStyle name="Comma 14 4 3 3 2 2" xfId="37251"/>
    <cellStyle name="Comma 14 4 3 3 2 3" xfId="37252"/>
    <cellStyle name="Comma 14 4 3 3 3" xfId="37253"/>
    <cellStyle name="Comma 14 4 3 3 3 2" xfId="37254"/>
    <cellStyle name="Comma 14 4 3 3 3 3" xfId="37255"/>
    <cellStyle name="Comma 14 4 3 3 4" xfId="37256"/>
    <cellStyle name="Comma 14 4 3 3 4 2" xfId="37257"/>
    <cellStyle name="Comma 14 4 3 3 5" xfId="37258"/>
    <cellStyle name="Comma 14 4 3 3 6" xfId="37259"/>
    <cellStyle name="Comma 14 4 3 4" xfId="37260"/>
    <cellStyle name="Comma 14 4 3 4 2" xfId="37261"/>
    <cellStyle name="Comma 14 4 3 4 2 2" xfId="37262"/>
    <cellStyle name="Comma 14 4 3 4 2 3" xfId="37263"/>
    <cellStyle name="Comma 14 4 3 4 3" xfId="37264"/>
    <cellStyle name="Comma 14 4 3 4 3 2" xfId="37265"/>
    <cellStyle name="Comma 14 4 3 4 4" xfId="37266"/>
    <cellStyle name="Comma 14 4 3 4 5" xfId="37267"/>
    <cellStyle name="Comma 14 4 3 5" xfId="37268"/>
    <cellStyle name="Comma 14 4 3 5 2" xfId="37269"/>
    <cellStyle name="Comma 14 4 3 5 3" xfId="37270"/>
    <cellStyle name="Comma 14 4 3 6" xfId="37271"/>
    <cellStyle name="Comma 14 4 3 6 2" xfId="37272"/>
    <cellStyle name="Comma 14 4 3 6 3" xfId="37273"/>
    <cellStyle name="Comma 14 4 3 7" xfId="37274"/>
    <cellStyle name="Comma 14 4 3 7 2" xfId="37275"/>
    <cellStyle name="Comma 14 4 3 8" xfId="37276"/>
    <cellStyle name="Comma 14 4 3 9" xfId="37277"/>
    <cellStyle name="Comma 14 4 4" xfId="37278"/>
    <cellStyle name="Comma 14 4 4 2" xfId="37279"/>
    <cellStyle name="Comma 14 4 4 2 2" xfId="37280"/>
    <cellStyle name="Comma 14 4 4 2 2 2" xfId="37281"/>
    <cellStyle name="Comma 14 4 4 2 2 3" xfId="37282"/>
    <cellStyle name="Comma 14 4 4 2 3" xfId="37283"/>
    <cellStyle name="Comma 14 4 4 2 3 2" xfId="37284"/>
    <cellStyle name="Comma 14 4 4 2 3 3" xfId="37285"/>
    <cellStyle name="Comma 14 4 4 2 4" xfId="37286"/>
    <cellStyle name="Comma 14 4 4 2 4 2" xfId="37287"/>
    <cellStyle name="Comma 14 4 4 2 5" xfId="37288"/>
    <cellStyle name="Comma 14 4 4 2 6" xfId="37289"/>
    <cellStyle name="Comma 14 4 4 3" xfId="37290"/>
    <cellStyle name="Comma 14 4 4 3 2" xfId="37291"/>
    <cellStyle name="Comma 14 4 4 3 2 2" xfId="37292"/>
    <cellStyle name="Comma 14 4 4 3 2 3" xfId="37293"/>
    <cellStyle name="Comma 14 4 4 3 3" xfId="37294"/>
    <cellStyle name="Comma 14 4 4 3 3 2" xfId="37295"/>
    <cellStyle name="Comma 14 4 4 3 3 3" xfId="37296"/>
    <cellStyle name="Comma 14 4 4 3 4" xfId="37297"/>
    <cellStyle name="Comma 14 4 4 3 4 2" xfId="37298"/>
    <cellStyle name="Comma 14 4 4 3 5" xfId="37299"/>
    <cellStyle name="Comma 14 4 4 3 6" xfId="37300"/>
    <cellStyle name="Comma 14 4 4 4" xfId="37301"/>
    <cellStyle name="Comma 14 4 4 4 2" xfId="37302"/>
    <cellStyle name="Comma 14 4 4 4 2 2" xfId="37303"/>
    <cellStyle name="Comma 14 4 4 4 2 3" xfId="37304"/>
    <cellStyle name="Comma 14 4 4 4 3" xfId="37305"/>
    <cellStyle name="Comma 14 4 4 4 3 2" xfId="37306"/>
    <cellStyle name="Comma 14 4 4 4 4" xfId="37307"/>
    <cellStyle name="Comma 14 4 4 4 5" xfId="37308"/>
    <cellStyle name="Comma 14 4 4 5" xfId="37309"/>
    <cellStyle name="Comma 14 4 4 5 2" xfId="37310"/>
    <cellStyle name="Comma 14 4 4 5 3" xfId="37311"/>
    <cellStyle name="Comma 14 4 4 6" xfId="37312"/>
    <cellStyle name="Comma 14 4 4 6 2" xfId="37313"/>
    <cellStyle name="Comma 14 4 4 6 3" xfId="37314"/>
    <cellStyle name="Comma 14 4 4 7" xfId="37315"/>
    <cellStyle name="Comma 14 4 4 7 2" xfId="37316"/>
    <cellStyle name="Comma 14 4 4 8" xfId="37317"/>
    <cellStyle name="Comma 14 4 4 9" xfId="37318"/>
    <cellStyle name="Comma 14 4 5" xfId="37319"/>
    <cellStyle name="Comma 14 4 5 2" xfId="37320"/>
    <cellStyle name="Comma 14 4 5 2 2" xfId="37321"/>
    <cellStyle name="Comma 14 4 5 2 3" xfId="37322"/>
    <cellStyle name="Comma 14 4 5 3" xfId="37323"/>
    <cellStyle name="Comma 14 4 5 3 2" xfId="37324"/>
    <cellStyle name="Comma 14 4 5 3 3" xfId="37325"/>
    <cellStyle name="Comma 14 4 5 4" xfId="37326"/>
    <cellStyle name="Comma 14 4 5 4 2" xfId="37327"/>
    <cellStyle name="Comma 14 4 5 5" xfId="37328"/>
    <cellStyle name="Comma 14 4 5 6" xfId="37329"/>
    <cellStyle name="Comma 14 4 6" xfId="37330"/>
    <cellStyle name="Comma 14 4 6 2" xfId="37331"/>
    <cellStyle name="Comma 14 4 6 2 2" xfId="37332"/>
    <cellStyle name="Comma 14 4 6 2 3" xfId="37333"/>
    <cellStyle name="Comma 14 4 6 3" xfId="37334"/>
    <cellStyle name="Comma 14 4 6 3 2" xfId="37335"/>
    <cellStyle name="Comma 14 4 6 3 3" xfId="37336"/>
    <cellStyle name="Comma 14 4 6 4" xfId="37337"/>
    <cellStyle name="Comma 14 4 6 4 2" xfId="37338"/>
    <cellStyle name="Comma 14 4 6 5" xfId="37339"/>
    <cellStyle name="Comma 14 4 6 6" xfId="37340"/>
    <cellStyle name="Comma 14 4 7" xfId="37341"/>
    <cellStyle name="Comma 14 4 7 2" xfId="37342"/>
    <cellStyle name="Comma 14 4 7 2 2" xfId="37343"/>
    <cellStyle name="Comma 14 4 7 2 3" xfId="37344"/>
    <cellStyle name="Comma 14 4 7 3" xfId="37345"/>
    <cellStyle name="Comma 14 4 7 3 2" xfId="37346"/>
    <cellStyle name="Comma 14 4 7 4" xfId="37347"/>
    <cellStyle name="Comma 14 4 7 5" xfId="37348"/>
    <cellStyle name="Comma 14 4 8" xfId="37349"/>
    <cellStyle name="Comma 14 4 8 2" xfId="37350"/>
    <cellStyle name="Comma 14 4 8 3" xfId="37351"/>
    <cellStyle name="Comma 14 4 9" xfId="37352"/>
    <cellStyle name="Comma 14 4 9 2" xfId="37353"/>
    <cellStyle name="Comma 14 4 9 3" xfId="37354"/>
    <cellStyle name="Comma 14 5" xfId="37355"/>
    <cellStyle name="Comma 14 5 10" xfId="37356"/>
    <cellStyle name="Comma 14 5 2" xfId="37357"/>
    <cellStyle name="Comma 14 5 2 2" xfId="37358"/>
    <cellStyle name="Comma 14 5 2 2 2" xfId="37359"/>
    <cellStyle name="Comma 14 5 2 2 2 2" xfId="37360"/>
    <cellStyle name="Comma 14 5 2 2 2 3" xfId="37361"/>
    <cellStyle name="Comma 14 5 2 2 3" xfId="37362"/>
    <cellStyle name="Comma 14 5 2 2 3 2" xfId="37363"/>
    <cellStyle name="Comma 14 5 2 2 3 3" xfId="37364"/>
    <cellStyle name="Comma 14 5 2 2 4" xfId="37365"/>
    <cellStyle name="Comma 14 5 2 2 4 2" xfId="37366"/>
    <cellStyle name="Comma 14 5 2 2 5" xfId="37367"/>
    <cellStyle name="Comma 14 5 2 2 6" xfId="37368"/>
    <cellStyle name="Comma 14 5 2 3" xfId="37369"/>
    <cellStyle name="Comma 14 5 2 3 2" xfId="37370"/>
    <cellStyle name="Comma 14 5 2 3 2 2" xfId="37371"/>
    <cellStyle name="Comma 14 5 2 3 2 3" xfId="37372"/>
    <cellStyle name="Comma 14 5 2 3 3" xfId="37373"/>
    <cellStyle name="Comma 14 5 2 3 3 2" xfId="37374"/>
    <cellStyle name="Comma 14 5 2 3 3 3" xfId="37375"/>
    <cellStyle name="Comma 14 5 2 3 4" xfId="37376"/>
    <cellStyle name="Comma 14 5 2 3 4 2" xfId="37377"/>
    <cellStyle name="Comma 14 5 2 3 5" xfId="37378"/>
    <cellStyle name="Comma 14 5 2 3 6" xfId="37379"/>
    <cellStyle name="Comma 14 5 2 4" xfId="37380"/>
    <cellStyle name="Comma 14 5 2 4 2" xfId="37381"/>
    <cellStyle name="Comma 14 5 2 4 2 2" xfId="37382"/>
    <cellStyle name="Comma 14 5 2 4 2 3" xfId="37383"/>
    <cellStyle name="Comma 14 5 2 4 3" xfId="37384"/>
    <cellStyle name="Comma 14 5 2 4 3 2" xfId="37385"/>
    <cellStyle name="Comma 14 5 2 4 4" xfId="37386"/>
    <cellStyle name="Comma 14 5 2 4 5" xfId="37387"/>
    <cellStyle name="Comma 14 5 2 5" xfId="37388"/>
    <cellStyle name="Comma 14 5 2 5 2" xfId="37389"/>
    <cellStyle name="Comma 14 5 2 5 3" xfId="37390"/>
    <cellStyle name="Comma 14 5 2 6" xfId="37391"/>
    <cellStyle name="Comma 14 5 2 6 2" xfId="37392"/>
    <cellStyle name="Comma 14 5 2 6 3" xfId="37393"/>
    <cellStyle name="Comma 14 5 2 7" xfId="37394"/>
    <cellStyle name="Comma 14 5 2 7 2" xfId="37395"/>
    <cellStyle name="Comma 14 5 2 8" xfId="37396"/>
    <cellStyle name="Comma 14 5 2 9" xfId="37397"/>
    <cellStyle name="Comma 14 5 3" xfId="37398"/>
    <cellStyle name="Comma 14 5 3 2" xfId="37399"/>
    <cellStyle name="Comma 14 5 3 2 2" xfId="37400"/>
    <cellStyle name="Comma 14 5 3 2 3" xfId="37401"/>
    <cellStyle name="Comma 14 5 3 3" xfId="37402"/>
    <cellStyle name="Comma 14 5 3 3 2" xfId="37403"/>
    <cellStyle name="Comma 14 5 3 3 3" xfId="37404"/>
    <cellStyle name="Comma 14 5 3 4" xfId="37405"/>
    <cellStyle name="Comma 14 5 3 4 2" xfId="37406"/>
    <cellStyle name="Comma 14 5 3 5" xfId="37407"/>
    <cellStyle name="Comma 14 5 3 6" xfId="37408"/>
    <cellStyle name="Comma 14 5 4" xfId="37409"/>
    <cellStyle name="Comma 14 5 4 2" xfId="37410"/>
    <cellStyle name="Comma 14 5 4 2 2" xfId="37411"/>
    <cellStyle name="Comma 14 5 4 2 3" xfId="37412"/>
    <cellStyle name="Comma 14 5 4 3" xfId="37413"/>
    <cellStyle name="Comma 14 5 4 3 2" xfId="37414"/>
    <cellStyle name="Comma 14 5 4 3 3" xfId="37415"/>
    <cellStyle name="Comma 14 5 4 4" xfId="37416"/>
    <cellStyle name="Comma 14 5 4 4 2" xfId="37417"/>
    <cellStyle name="Comma 14 5 4 5" xfId="37418"/>
    <cellStyle name="Comma 14 5 4 6" xfId="37419"/>
    <cellStyle name="Comma 14 5 5" xfId="37420"/>
    <cellStyle name="Comma 14 5 5 2" xfId="37421"/>
    <cellStyle name="Comma 14 5 5 2 2" xfId="37422"/>
    <cellStyle name="Comma 14 5 5 2 3" xfId="37423"/>
    <cellStyle name="Comma 14 5 5 3" xfId="37424"/>
    <cellStyle name="Comma 14 5 5 3 2" xfId="37425"/>
    <cellStyle name="Comma 14 5 5 4" xfId="37426"/>
    <cellStyle name="Comma 14 5 5 5" xfId="37427"/>
    <cellStyle name="Comma 14 5 6" xfId="37428"/>
    <cellStyle name="Comma 14 5 6 2" xfId="37429"/>
    <cellStyle name="Comma 14 5 6 3" xfId="37430"/>
    <cellStyle name="Comma 14 5 7" xfId="37431"/>
    <cellStyle name="Comma 14 5 7 2" xfId="37432"/>
    <cellStyle name="Comma 14 5 7 3" xfId="37433"/>
    <cellStyle name="Comma 14 5 8" xfId="37434"/>
    <cellStyle name="Comma 14 5 8 2" xfId="37435"/>
    <cellStyle name="Comma 14 5 9" xfId="37436"/>
    <cellStyle name="Comma 14 6" xfId="37437"/>
    <cellStyle name="Comma 14 6 2" xfId="37438"/>
    <cellStyle name="Comma 14 6 2 2" xfId="37439"/>
    <cellStyle name="Comma 14 6 2 2 2" xfId="37440"/>
    <cellStyle name="Comma 14 6 2 2 3" xfId="37441"/>
    <cellStyle name="Comma 14 6 2 3" xfId="37442"/>
    <cellStyle name="Comma 14 6 2 3 2" xfId="37443"/>
    <cellStyle name="Comma 14 6 2 3 3" xfId="37444"/>
    <cellStyle name="Comma 14 6 2 4" xfId="37445"/>
    <cellStyle name="Comma 14 6 2 4 2" xfId="37446"/>
    <cellStyle name="Comma 14 6 2 5" xfId="37447"/>
    <cellStyle name="Comma 14 6 2 6" xfId="37448"/>
    <cellStyle name="Comma 14 6 3" xfId="37449"/>
    <cellStyle name="Comma 14 6 3 2" xfId="37450"/>
    <cellStyle name="Comma 14 6 3 2 2" xfId="37451"/>
    <cellStyle name="Comma 14 6 3 2 3" xfId="37452"/>
    <cellStyle name="Comma 14 6 3 3" xfId="37453"/>
    <cellStyle name="Comma 14 6 3 3 2" xfId="37454"/>
    <cellStyle name="Comma 14 6 3 3 3" xfId="37455"/>
    <cellStyle name="Comma 14 6 3 4" xfId="37456"/>
    <cellStyle name="Comma 14 6 3 4 2" xfId="37457"/>
    <cellStyle name="Comma 14 6 3 5" xfId="37458"/>
    <cellStyle name="Comma 14 6 3 6" xfId="37459"/>
    <cellStyle name="Comma 14 6 4" xfId="37460"/>
    <cellStyle name="Comma 14 6 4 2" xfId="37461"/>
    <cellStyle name="Comma 14 6 4 2 2" xfId="37462"/>
    <cellStyle name="Comma 14 6 4 2 3" xfId="37463"/>
    <cellStyle name="Comma 14 6 4 3" xfId="37464"/>
    <cellStyle name="Comma 14 6 4 3 2" xfId="37465"/>
    <cellStyle name="Comma 14 6 4 4" xfId="37466"/>
    <cellStyle name="Comma 14 6 4 5" xfId="37467"/>
    <cellStyle name="Comma 14 6 5" xfId="37468"/>
    <cellStyle name="Comma 14 6 5 2" xfId="37469"/>
    <cellStyle name="Comma 14 6 5 3" xfId="37470"/>
    <cellStyle name="Comma 14 6 6" xfId="37471"/>
    <cellStyle name="Comma 14 6 6 2" xfId="37472"/>
    <cellStyle name="Comma 14 6 6 3" xfId="37473"/>
    <cellStyle name="Comma 14 6 7" xfId="37474"/>
    <cellStyle name="Comma 14 6 7 2" xfId="37475"/>
    <cellStyle name="Comma 14 6 8" xfId="37476"/>
    <cellStyle name="Comma 14 6 9" xfId="37477"/>
    <cellStyle name="Comma 14 7" xfId="37478"/>
    <cellStyle name="Comma 14 7 2" xfId="37479"/>
    <cellStyle name="Comma 14 7 2 2" xfId="37480"/>
    <cellStyle name="Comma 14 7 2 2 2" xfId="37481"/>
    <cellStyle name="Comma 14 7 2 2 3" xfId="37482"/>
    <cellStyle name="Comma 14 7 2 3" xfId="37483"/>
    <cellStyle name="Comma 14 7 2 3 2" xfId="37484"/>
    <cellStyle name="Comma 14 7 2 3 3" xfId="37485"/>
    <cellStyle name="Comma 14 7 2 4" xfId="37486"/>
    <cellStyle name="Comma 14 7 2 4 2" xfId="37487"/>
    <cellStyle name="Comma 14 7 2 5" xfId="37488"/>
    <cellStyle name="Comma 14 7 2 6" xfId="37489"/>
    <cellStyle name="Comma 14 7 3" xfId="37490"/>
    <cellStyle name="Comma 14 7 3 2" xfId="37491"/>
    <cellStyle name="Comma 14 7 3 2 2" xfId="37492"/>
    <cellStyle name="Comma 14 7 3 2 3" xfId="37493"/>
    <cellStyle name="Comma 14 7 3 3" xfId="37494"/>
    <cellStyle name="Comma 14 7 3 3 2" xfId="37495"/>
    <cellStyle name="Comma 14 7 3 3 3" xfId="37496"/>
    <cellStyle name="Comma 14 7 3 4" xfId="37497"/>
    <cellStyle name="Comma 14 7 3 4 2" xfId="37498"/>
    <cellStyle name="Comma 14 7 3 5" xfId="37499"/>
    <cellStyle name="Comma 14 7 3 6" xfId="37500"/>
    <cellStyle name="Comma 14 7 4" xfId="37501"/>
    <cellStyle name="Comma 14 7 4 2" xfId="37502"/>
    <cellStyle name="Comma 14 7 4 2 2" xfId="37503"/>
    <cellStyle name="Comma 14 7 4 2 3" xfId="37504"/>
    <cellStyle name="Comma 14 7 4 3" xfId="37505"/>
    <cellStyle name="Comma 14 7 4 3 2" xfId="37506"/>
    <cellStyle name="Comma 14 7 4 4" xfId="37507"/>
    <cellStyle name="Comma 14 7 4 5" xfId="37508"/>
    <cellStyle name="Comma 14 7 5" xfId="37509"/>
    <cellStyle name="Comma 14 7 5 2" xfId="37510"/>
    <cellStyle name="Comma 14 7 5 3" xfId="37511"/>
    <cellStyle name="Comma 14 7 6" xfId="37512"/>
    <cellStyle name="Comma 14 7 6 2" xfId="37513"/>
    <cellStyle name="Comma 14 7 6 3" xfId="37514"/>
    <cellStyle name="Comma 14 7 7" xfId="37515"/>
    <cellStyle name="Comma 14 7 7 2" xfId="37516"/>
    <cellStyle name="Comma 14 7 8" xfId="37517"/>
    <cellStyle name="Comma 14 7 9" xfId="37518"/>
    <cellStyle name="Comma 14 8" xfId="37519"/>
    <cellStyle name="Comma 14 8 2" xfId="37520"/>
    <cellStyle name="Comma 14 8 2 2" xfId="37521"/>
    <cellStyle name="Comma 14 8 2 3" xfId="37522"/>
    <cellStyle name="Comma 14 8 3" xfId="37523"/>
    <cellStyle name="Comma 14 8 3 2" xfId="37524"/>
    <cellStyle name="Comma 14 8 3 3" xfId="37525"/>
    <cellStyle name="Comma 14 8 4" xfId="37526"/>
    <cellStyle name="Comma 14 8 4 2" xfId="37527"/>
    <cellStyle name="Comma 14 8 5" xfId="37528"/>
    <cellStyle name="Comma 14 8 6" xfId="37529"/>
    <cellStyle name="Comma 14 9" xfId="37530"/>
    <cellStyle name="Comma 14 9 2" xfId="37531"/>
    <cellStyle name="Comma 14 9 2 2" xfId="37532"/>
    <cellStyle name="Comma 14 9 2 3" xfId="37533"/>
    <cellStyle name="Comma 14 9 3" xfId="37534"/>
    <cellStyle name="Comma 14 9 3 2" xfId="37535"/>
    <cellStyle name="Comma 14 9 3 3" xfId="37536"/>
    <cellStyle name="Comma 14 9 4" xfId="37537"/>
    <cellStyle name="Comma 14 9 4 2" xfId="37538"/>
    <cellStyle name="Comma 14 9 5" xfId="37539"/>
    <cellStyle name="Comma 14 9 6" xfId="37540"/>
    <cellStyle name="Comma 15" xfId="3242"/>
    <cellStyle name="Comma 15 10" xfId="37541"/>
    <cellStyle name="Comma 15 10 2" xfId="37542"/>
    <cellStyle name="Comma 15 10 2 2" xfId="37543"/>
    <cellStyle name="Comma 15 10 2 3" xfId="37544"/>
    <cellStyle name="Comma 15 10 3" xfId="37545"/>
    <cellStyle name="Comma 15 10 3 2" xfId="37546"/>
    <cellStyle name="Comma 15 10 4" xfId="37547"/>
    <cellStyle name="Comma 15 10 5" xfId="37548"/>
    <cellStyle name="Comma 15 11" xfId="37549"/>
    <cellStyle name="Comma 15 11 2" xfId="37550"/>
    <cellStyle name="Comma 15 11 3" xfId="37551"/>
    <cellStyle name="Comma 15 12" xfId="37552"/>
    <cellStyle name="Comma 15 12 2" xfId="37553"/>
    <cellStyle name="Comma 15 12 3" xfId="37554"/>
    <cellStyle name="Comma 15 13" xfId="37555"/>
    <cellStyle name="Comma 15 13 2" xfId="37556"/>
    <cellStyle name="Comma 15 14" xfId="37557"/>
    <cellStyle name="Comma 15 15" xfId="37558"/>
    <cellStyle name="Comma 15 16" xfId="37559"/>
    <cellStyle name="Comma 15 2" xfId="8228"/>
    <cellStyle name="Comma 15 2 10" xfId="37560"/>
    <cellStyle name="Comma 15 2 10 2" xfId="37561"/>
    <cellStyle name="Comma 15 2 10 3" xfId="37562"/>
    <cellStyle name="Comma 15 2 11" xfId="37563"/>
    <cellStyle name="Comma 15 2 11 2" xfId="37564"/>
    <cellStyle name="Comma 15 2 11 3" xfId="37565"/>
    <cellStyle name="Comma 15 2 12" xfId="37566"/>
    <cellStyle name="Comma 15 2 12 2" xfId="37567"/>
    <cellStyle name="Comma 15 2 13" xfId="37568"/>
    <cellStyle name="Comma 15 2 14" xfId="37569"/>
    <cellStyle name="Comma 15 2 15" xfId="37570"/>
    <cellStyle name="Comma 15 2 2" xfId="37571"/>
    <cellStyle name="Comma 15 2 2 10" xfId="37572"/>
    <cellStyle name="Comma 15 2 2 10 2" xfId="37573"/>
    <cellStyle name="Comma 15 2 2 10 3" xfId="37574"/>
    <cellStyle name="Comma 15 2 2 11" xfId="37575"/>
    <cellStyle name="Comma 15 2 2 11 2" xfId="37576"/>
    <cellStyle name="Comma 15 2 2 12" xfId="37577"/>
    <cellStyle name="Comma 15 2 2 13" xfId="37578"/>
    <cellStyle name="Comma 15 2 2 2" xfId="37579"/>
    <cellStyle name="Comma 15 2 2 2 10" xfId="37580"/>
    <cellStyle name="Comma 15 2 2 2 10 2" xfId="37581"/>
    <cellStyle name="Comma 15 2 2 2 11" xfId="37582"/>
    <cellStyle name="Comma 15 2 2 2 12" xfId="37583"/>
    <cellStyle name="Comma 15 2 2 2 2" xfId="37584"/>
    <cellStyle name="Comma 15 2 2 2 2 10" xfId="37585"/>
    <cellStyle name="Comma 15 2 2 2 2 2" xfId="37586"/>
    <cellStyle name="Comma 15 2 2 2 2 2 2" xfId="37587"/>
    <cellStyle name="Comma 15 2 2 2 2 2 2 2" xfId="37588"/>
    <cellStyle name="Comma 15 2 2 2 2 2 2 2 2" xfId="37589"/>
    <cellStyle name="Comma 15 2 2 2 2 2 2 2 3" xfId="37590"/>
    <cellStyle name="Comma 15 2 2 2 2 2 2 3" xfId="37591"/>
    <cellStyle name="Comma 15 2 2 2 2 2 2 3 2" xfId="37592"/>
    <cellStyle name="Comma 15 2 2 2 2 2 2 3 3" xfId="37593"/>
    <cellStyle name="Comma 15 2 2 2 2 2 2 4" xfId="37594"/>
    <cellStyle name="Comma 15 2 2 2 2 2 2 4 2" xfId="37595"/>
    <cellStyle name="Comma 15 2 2 2 2 2 2 5" xfId="37596"/>
    <cellStyle name="Comma 15 2 2 2 2 2 2 6" xfId="37597"/>
    <cellStyle name="Comma 15 2 2 2 2 2 3" xfId="37598"/>
    <cellStyle name="Comma 15 2 2 2 2 2 3 2" xfId="37599"/>
    <cellStyle name="Comma 15 2 2 2 2 2 3 2 2" xfId="37600"/>
    <cellStyle name="Comma 15 2 2 2 2 2 3 2 3" xfId="37601"/>
    <cellStyle name="Comma 15 2 2 2 2 2 3 3" xfId="37602"/>
    <cellStyle name="Comma 15 2 2 2 2 2 3 3 2" xfId="37603"/>
    <cellStyle name="Comma 15 2 2 2 2 2 3 3 3" xfId="37604"/>
    <cellStyle name="Comma 15 2 2 2 2 2 3 4" xfId="37605"/>
    <cellStyle name="Comma 15 2 2 2 2 2 3 4 2" xfId="37606"/>
    <cellStyle name="Comma 15 2 2 2 2 2 3 5" xfId="37607"/>
    <cellStyle name="Comma 15 2 2 2 2 2 3 6" xfId="37608"/>
    <cellStyle name="Comma 15 2 2 2 2 2 4" xfId="37609"/>
    <cellStyle name="Comma 15 2 2 2 2 2 4 2" xfId="37610"/>
    <cellStyle name="Comma 15 2 2 2 2 2 4 2 2" xfId="37611"/>
    <cellStyle name="Comma 15 2 2 2 2 2 4 2 3" xfId="37612"/>
    <cellStyle name="Comma 15 2 2 2 2 2 4 3" xfId="37613"/>
    <cellStyle name="Comma 15 2 2 2 2 2 4 3 2" xfId="37614"/>
    <cellStyle name="Comma 15 2 2 2 2 2 4 4" xfId="37615"/>
    <cellStyle name="Comma 15 2 2 2 2 2 4 5" xfId="37616"/>
    <cellStyle name="Comma 15 2 2 2 2 2 5" xfId="37617"/>
    <cellStyle name="Comma 15 2 2 2 2 2 5 2" xfId="37618"/>
    <cellStyle name="Comma 15 2 2 2 2 2 5 3" xfId="37619"/>
    <cellStyle name="Comma 15 2 2 2 2 2 6" xfId="37620"/>
    <cellStyle name="Comma 15 2 2 2 2 2 6 2" xfId="37621"/>
    <cellStyle name="Comma 15 2 2 2 2 2 6 3" xfId="37622"/>
    <cellStyle name="Comma 15 2 2 2 2 2 7" xfId="37623"/>
    <cellStyle name="Comma 15 2 2 2 2 2 7 2" xfId="37624"/>
    <cellStyle name="Comma 15 2 2 2 2 2 8" xfId="37625"/>
    <cellStyle name="Comma 15 2 2 2 2 2 9" xfId="37626"/>
    <cellStyle name="Comma 15 2 2 2 2 3" xfId="37627"/>
    <cellStyle name="Comma 15 2 2 2 2 3 2" xfId="37628"/>
    <cellStyle name="Comma 15 2 2 2 2 3 2 2" xfId="37629"/>
    <cellStyle name="Comma 15 2 2 2 2 3 2 3" xfId="37630"/>
    <cellStyle name="Comma 15 2 2 2 2 3 3" xfId="37631"/>
    <cellStyle name="Comma 15 2 2 2 2 3 3 2" xfId="37632"/>
    <cellStyle name="Comma 15 2 2 2 2 3 3 3" xfId="37633"/>
    <cellStyle name="Comma 15 2 2 2 2 3 4" xfId="37634"/>
    <cellStyle name="Comma 15 2 2 2 2 3 4 2" xfId="37635"/>
    <cellStyle name="Comma 15 2 2 2 2 3 5" xfId="37636"/>
    <cellStyle name="Comma 15 2 2 2 2 3 6" xfId="37637"/>
    <cellStyle name="Comma 15 2 2 2 2 4" xfId="37638"/>
    <cellStyle name="Comma 15 2 2 2 2 4 2" xfId="37639"/>
    <cellStyle name="Comma 15 2 2 2 2 4 2 2" xfId="37640"/>
    <cellStyle name="Comma 15 2 2 2 2 4 2 3" xfId="37641"/>
    <cellStyle name="Comma 15 2 2 2 2 4 3" xfId="37642"/>
    <cellStyle name="Comma 15 2 2 2 2 4 3 2" xfId="37643"/>
    <cellStyle name="Comma 15 2 2 2 2 4 3 3" xfId="37644"/>
    <cellStyle name="Comma 15 2 2 2 2 4 4" xfId="37645"/>
    <cellStyle name="Comma 15 2 2 2 2 4 4 2" xfId="37646"/>
    <cellStyle name="Comma 15 2 2 2 2 4 5" xfId="37647"/>
    <cellStyle name="Comma 15 2 2 2 2 4 6" xfId="37648"/>
    <cellStyle name="Comma 15 2 2 2 2 5" xfId="37649"/>
    <cellStyle name="Comma 15 2 2 2 2 5 2" xfId="37650"/>
    <cellStyle name="Comma 15 2 2 2 2 5 2 2" xfId="37651"/>
    <cellStyle name="Comma 15 2 2 2 2 5 2 3" xfId="37652"/>
    <cellStyle name="Comma 15 2 2 2 2 5 3" xfId="37653"/>
    <cellStyle name="Comma 15 2 2 2 2 5 3 2" xfId="37654"/>
    <cellStyle name="Comma 15 2 2 2 2 5 4" xfId="37655"/>
    <cellStyle name="Comma 15 2 2 2 2 5 5" xfId="37656"/>
    <cellStyle name="Comma 15 2 2 2 2 6" xfId="37657"/>
    <cellStyle name="Comma 15 2 2 2 2 6 2" xfId="37658"/>
    <cellStyle name="Comma 15 2 2 2 2 6 3" xfId="37659"/>
    <cellStyle name="Comma 15 2 2 2 2 7" xfId="37660"/>
    <cellStyle name="Comma 15 2 2 2 2 7 2" xfId="37661"/>
    <cellStyle name="Comma 15 2 2 2 2 7 3" xfId="37662"/>
    <cellStyle name="Comma 15 2 2 2 2 8" xfId="37663"/>
    <cellStyle name="Comma 15 2 2 2 2 8 2" xfId="37664"/>
    <cellStyle name="Comma 15 2 2 2 2 9" xfId="37665"/>
    <cellStyle name="Comma 15 2 2 2 3" xfId="37666"/>
    <cellStyle name="Comma 15 2 2 2 3 2" xfId="37667"/>
    <cellStyle name="Comma 15 2 2 2 3 2 2" xfId="37668"/>
    <cellStyle name="Comma 15 2 2 2 3 2 2 2" xfId="37669"/>
    <cellStyle name="Comma 15 2 2 2 3 2 2 3" xfId="37670"/>
    <cellStyle name="Comma 15 2 2 2 3 2 3" xfId="37671"/>
    <cellStyle name="Comma 15 2 2 2 3 2 3 2" xfId="37672"/>
    <cellStyle name="Comma 15 2 2 2 3 2 3 3" xfId="37673"/>
    <cellStyle name="Comma 15 2 2 2 3 2 4" xfId="37674"/>
    <cellStyle name="Comma 15 2 2 2 3 2 4 2" xfId="37675"/>
    <cellStyle name="Comma 15 2 2 2 3 2 5" xfId="37676"/>
    <cellStyle name="Comma 15 2 2 2 3 2 6" xfId="37677"/>
    <cellStyle name="Comma 15 2 2 2 3 3" xfId="37678"/>
    <cellStyle name="Comma 15 2 2 2 3 3 2" xfId="37679"/>
    <cellStyle name="Comma 15 2 2 2 3 3 2 2" xfId="37680"/>
    <cellStyle name="Comma 15 2 2 2 3 3 2 3" xfId="37681"/>
    <cellStyle name="Comma 15 2 2 2 3 3 3" xfId="37682"/>
    <cellStyle name="Comma 15 2 2 2 3 3 3 2" xfId="37683"/>
    <cellStyle name="Comma 15 2 2 2 3 3 3 3" xfId="37684"/>
    <cellStyle name="Comma 15 2 2 2 3 3 4" xfId="37685"/>
    <cellStyle name="Comma 15 2 2 2 3 3 4 2" xfId="37686"/>
    <cellStyle name="Comma 15 2 2 2 3 3 5" xfId="37687"/>
    <cellStyle name="Comma 15 2 2 2 3 3 6" xfId="37688"/>
    <cellStyle name="Comma 15 2 2 2 3 4" xfId="37689"/>
    <cellStyle name="Comma 15 2 2 2 3 4 2" xfId="37690"/>
    <cellStyle name="Comma 15 2 2 2 3 4 2 2" xfId="37691"/>
    <cellStyle name="Comma 15 2 2 2 3 4 2 3" xfId="37692"/>
    <cellStyle name="Comma 15 2 2 2 3 4 3" xfId="37693"/>
    <cellStyle name="Comma 15 2 2 2 3 4 3 2" xfId="37694"/>
    <cellStyle name="Comma 15 2 2 2 3 4 4" xfId="37695"/>
    <cellStyle name="Comma 15 2 2 2 3 4 5" xfId="37696"/>
    <cellStyle name="Comma 15 2 2 2 3 5" xfId="37697"/>
    <cellStyle name="Comma 15 2 2 2 3 5 2" xfId="37698"/>
    <cellStyle name="Comma 15 2 2 2 3 5 3" xfId="37699"/>
    <cellStyle name="Comma 15 2 2 2 3 6" xfId="37700"/>
    <cellStyle name="Comma 15 2 2 2 3 6 2" xfId="37701"/>
    <cellStyle name="Comma 15 2 2 2 3 6 3" xfId="37702"/>
    <cellStyle name="Comma 15 2 2 2 3 7" xfId="37703"/>
    <cellStyle name="Comma 15 2 2 2 3 7 2" xfId="37704"/>
    <cellStyle name="Comma 15 2 2 2 3 8" xfId="37705"/>
    <cellStyle name="Comma 15 2 2 2 3 9" xfId="37706"/>
    <cellStyle name="Comma 15 2 2 2 4" xfId="37707"/>
    <cellStyle name="Comma 15 2 2 2 4 2" xfId="37708"/>
    <cellStyle name="Comma 15 2 2 2 4 2 2" xfId="37709"/>
    <cellStyle name="Comma 15 2 2 2 4 2 2 2" xfId="37710"/>
    <cellStyle name="Comma 15 2 2 2 4 2 2 3" xfId="37711"/>
    <cellStyle name="Comma 15 2 2 2 4 2 3" xfId="37712"/>
    <cellStyle name="Comma 15 2 2 2 4 2 3 2" xfId="37713"/>
    <cellStyle name="Comma 15 2 2 2 4 2 3 3" xfId="37714"/>
    <cellStyle name="Comma 15 2 2 2 4 2 4" xfId="37715"/>
    <cellStyle name="Comma 15 2 2 2 4 2 4 2" xfId="37716"/>
    <cellStyle name="Comma 15 2 2 2 4 2 5" xfId="37717"/>
    <cellStyle name="Comma 15 2 2 2 4 2 6" xfId="37718"/>
    <cellStyle name="Comma 15 2 2 2 4 3" xfId="37719"/>
    <cellStyle name="Comma 15 2 2 2 4 3 2" xfId="37720"/>
    <cellStyle name="Comma 15 2 2 2 4 3 2 2" xfId="37721"/>
    <cellStyle name="Comma 15 2 2 2 4 3 2 3" xfId="37722"/>
    <cellStyle name="Comma 15 2 2 2 4 3 3" xfId="37723"/>
    <cellStyle name="Comma 15 2 2 2 4 3 3 2" xfId="37724"/>
    <cellStyle name="Comma 15 2 2 2 4 3 3 3" xfId="37725"/>
    <cellStyle name="Comma 15 2 2 2 4 3 4" xfId="37726"/>
    <cellStyle name="Comma 15 2 2 2 4 3 4 2" xfId="37727"/>
    <cellStyle name="Comma 15 2 2 2 4 3 5" xfId="37728"/>
    <cellStyle name="Comma 15 2 2 2 4 3 6" xfId="37729"/>
    <cellStyle name="Comma 15 2 2 2 4 4" xfId="37730"/>
    <cellStyle name="Comma 15 2 2 2 4 4 2" xfId="37731"/>
    <cellStyle name="Comma 15 2 2 2 4 4 2 2" xfId="37732"/>
    <cellStyle name="Comma 15 2 2 2 4 4 2 3" xfId="37733"/>
    <cellStyle name="Comma 15 2 2 2 4 4 3" xfId="37734"/>
    <cellStyle name="Comma 15 2 2 2 4 4 3 2" xfId="37735"/>
    <cellStyle name="Comma 15 2 2 2 4 4 4" xfId="37736"/>
    <cellStyle name="Comma 15 2 2 2 4 4 5" xfId="37737"/>
    <cellStyle name="Comma 15 2 2 2 4 5" xfId="37738"/>
    <cellStyle name="Comma 15 2 2 2 4 5 2" xfId="37739"/>
    <cellStyle name="Comma 15 2 2 2 4 5 3" xfId="37740"/>
    <cellStyle name="Comma 15 2 2 2 4 6" xfId="37741"/>
    <cellStyle name="Comma 15 2 2 2 4 6 2" xfId="37742"/>
    <cellStyle name="Comma 15 2 2 2 4 6 3" xfId="37743"/>
    <cellStyle name="Comma 15 2 2 2 4 7" xfId="37744"/>
    <cellStyle name="Comma 15 2 2 2 4 7 2" xfId="37745"/>
    <cellStyle name="Comma 15 2 2 2 4 8" xfId="37746"/>
    <cellStyle name="Comma 15 2 2 2 4 9" xfId="37747"/>
    <cellStyle name="Comma 15 2 2 2 5" xfId="37748"/>
    <cellStyle name="Comma 15 2 2 2 5 2" xfId="37749"/>
    <cellStyle name="Comma 15 2 2 2 5 2 2" xfId="37750"/>
    <cellStyle name="Comma 15 2 2 2 5 2 3" xfId="37751"/>
    <cellStyle name="Comma 15 2 2 2 5 3" xfId="37752"/>
    <cellStyle name="Comma 15 2 2 2 5 3 2" xfId="37753"/>
    <cellStyle name="Comma 15 2 2 2 5 3 3" xfId="37754"/>
    <cellStyle name="Comma 15 2 2 2 5 4" xfId="37755"/>
    <cellStyle name="Comma 15 2 2 2 5 4 2" xfId="37756"/>
    <cellStyle name="Comma 15 2 2 2 5 5" xfId="37757"/>
    <cellStyle name="Comma 15 2 2 2 5 6" xfId="37758"/>
    <cellStyle name="Comma 15 2 2 2 6" xfId="37759"/>
    <cellStyle name="Comma 15 2 2 2 6 2" xfId="37760"/>
    <cellStyle name="Comma 15 2 2 2 6 2 2" xfId="37761"/>
    <cellStyle name="Comma 15 2 2 2 6 2 3" xfId="37762"/>
    <cellStyle name="Comma 15 2 2 2 6 3" xfId="37763"/>
    <cellStyle name="Comma 15 2 2 2 6 3 2" xfId="37764"/>
    <cellStyle name="Comma 15 2 2 2 6 3 3" xfId="37765"/>
    <cellStyle name="Comma 15 2 2 2 6 4" xfId="37766"/>
    <cellStyle name="Comma 15 2 2 2 6 4 2" xfId="37767"/>
    <cellStyle name="Comma 15 2 2 2 6 5" xfId="37768"/>
    <cellStyle name="Comma 15 2 2 2 6 6" xfId="37769"/>
    <cellStyle name="Comma 15 2 2 2 7" xfId="37770"/>
    <cellStyle name="Comma 15 2 2 2 7 2" xfId="37771"/>
    <cellStyle name="Comma 15 2 2 2 7 2 2" xfId="37772"/>
    <cellStyle name="Comma 15 2 2 2 7 2 3" xfId="37773"/>
    <cellStyle name="Comma 15 2 2 2 7 3" xfId="37774"/>
    <cellStyle name="Comma 15 2 2 2 7 3 2" xfId="37775"/>
    <cellStyle name="Comma 15 2 2 2 7 4" xfId="37776"/>
    <cellStyle name="Comma 15 2 2 2 7 5" xfId="37777"/>
    <cellStyle name="Comma 15 2 2 2 8" xfId="37778"/>
    <cellStyle name="Comma 15 2 2 2 8 2" xfId="37779"/>
    <cellStyle name="Comma 15 2 2 2 8 3" xfId="37780"/>
    <cellStyle name="Comma 15 2 2 2 9" xfId="37781"/>
    <cellStyle name="Comma 15 2 2 2 9 2" xfId="37782"/>
    <cellStyle name="Comma 15 2 2 2 9 3" xfId="37783"/>
    <cellStyle name="Comma 15 2 2 3" xfId="37784"/>
    <cellStyle name="Comma 15 2 2 3 10" xfId="37785"/>
    <cellStyle name="Comma 15 2 2 3 2" xfId="37786"/>
    <cellStyle name="Comma 15 2 2 3 2 2" xfId="37787"/>
    <cellStyle name="Comma 15 2 2 3 2 2 2" xfId="37788"/>
    <cellStyle name="Comma 15 2 2 3 2 2 2 2" xfId="37789"/>
    <cellStyle name="Comma 15 2 2 3 2 2 2 3" xfId="37790"/>
    <cellStyle name="Comma 15 2 2 3 2 2 3" xfId="37791"/>
    <cellStyle name="Comma 15 2 2 3 2 2 3 2" xfId="37792"/>
    <cellStyle name="Comma 15 2 2 3 2 2 3 3" xfId="37793"/>
    <cellStyle name="Comma 15 2 2 3 2 2 4" xfId="37794"/>
    <cellStyle name="Comma 15 2 2 3 2 2 4 2" xfId="37795"/>
    <cellStyle name="Comma 15 2 2 3 2 2 5" xfId="37796"/>
    <cellStyle name="Comma 15 2 2 3 2 2 6" xfId="37797"/>
    <cellStyle name="Comma 15 2 2 3 2 3" xfId="37798"/>
    <cellStyle name="Comma 15 2 2 3 2 3 2" xfId="37799"/>
    <cellStyle name="Comma 15 2 2 3 2 3 2 2" xfId="37800"/>
    <cellStyle name="Comma 15 2 2 3 2 3 2 3" xfId="37801"/>
    <cellStyle name="Comma 15 2 2 3 2 3 3" xfId="37802"/>
    <cellStyle name="Comma 15 2 2 3 2 3 3 2" xfId="37803"/>
    <cellStyle name="Comma 15 2 2 3 2 3 3 3" xfId="37804"/>
    <cellStyle name="Comma 15 2 2 3 2 3 4" xfId="37805"/>
    <cellStyle name="Comma 15 2 2 3 2 3 4 2" xfId="37806"/>
    <cellStyle name="Comma 15 2 2 3 2 3 5" xfId="37807"/>
    <cellStyle name="Comma 15 2 2 3 2 3 6" xfId="37808"/>
    <cellStyle name="Comma 15 2 2 3 2 4" xfId="37809"/>
    <cellStyle name="Comma 15 2 2 3 2 4 2" xfId="37810"/>
    <cellStyle name="Comma 15 2 2 3 2 4 2 2" xfId="37811"/>
    <cellStyle name="Comma 15 2 2 3 2 4 2 3" xfId="37812"/>
    <cellStyle name="Comma 15 2 2 3 2 4 3" xfId="37813"/>
    <cellStyle name="Comma 15 2 2 3 2 4 3 2" xfId="37814"/>
    <cellStyle name="Comma 15 2 2 3 2 4 4" xfId="37815"/>
    <cellStyle name="Comma 15 2 2 3 2 4 5" xfId="37816"/>
    <cellStyle name="Comma 15 2 2 3 2 5" xfId="37817"/>
    <cellStyle name="Comma 15 2 2 3 2 5 2" xfId="37818"/>
    <cellStyle name="Comma 15 2 2 3 2 5 3" xfId="37819"/>
    <cellStyle name="Comma 15 2 2 3 2 6" xfId="37820"/>
    <cellStyle name="Comma 15 2 2 3 2 6 2" xfId="37821"/>
    <cellStyle name="Comma 15 2 2 3 2 6 3" xfId="37822"/>
    <cellStyle name="Comma 15 2 2 3 2 7" xfId="37823"/>
    <cellStyle name="Comma 15 2 2 3 2 7 2" xfId="37824"/>
    <cellStyle name="Comma 15 2 2 3 2 8" xfId="37825"/>
    <cellStyle name="Comma 15 2 2 3 2 9" xfId="37826"/>
    <cellStyle name="Comma 15 2 2 3 3" xfId="37827"/>
    <cellStyle name="Comma 15 2 2 3 3 2" xfId="37828"/>
    <cellStyle name="Comma 15 2 2 3 3 2 2" xfId="37829"/>
    <cellStyle name="Comma 15 2 2 3 3 2 3" xfId="37830"/>
    <cellStyle name="Comma 15 2 2 3 3 3" xfId="37831"/>
    <cellStyle name="Comma 15 2 2 3 3 3 2" xfId="37832"/>
    <cellStyle name="Comma 15 2 2 3 3 3 3" xfId="37833"/>
    <cellStyle name="Comma 15 2 2 3 3 4" xfId="37834"/>
    <cellStyle name="Comma 15 2 2 3 3 4 2" xfId="37835"/>
    <cellStyle name="Comma 15 2 2 3 3 5" xfId="37836"/>
    <cellStyle name="Comma 15 2 2 3 3 6" xfId="37837"/>
    <cellStyle name="Comma 15 2 2 3 4" xfId="37838"/>
    <cellStyle name="Comma 15 2 2 3 4 2" xfId="37839"/>
    <cellStyle name="Comma 15 2 2 3 4 2 2" xfId="37840"/>
    <cellStyle name="Comma 15 2 2 3 4 2 3" xfId="37841"/>
    <cellStyle name="Comma 15 2 2 3 4 3" xfId="37842"/>
    <cellStyle name="Comma 15 2 2 3 4 3 2" xfId="37843"/>
    <cellStyle name="Comma 15 2 2 3 4 3 3" xfId="37844"/>
    <cellStyle name="Comma 15 2 2 3 4 4" xfId="37845"/>
    <cellStyle name="Comma 15 2 2 3 4 4 2" xfId="37846"/>
    <cellStyle name="Comma 15 2 2 3 4 5" xfId="37847"/>
    <cellStyle name="Comma 15 2 2 3 4 6" xfId="37848"/>
    <cellStyle name="Comma 15 2 2 3 5" xfId="37849"/>
    <cellStyle name="Comma 15 2 2 3 5 2" xfId="37850"/>
    <cellStyle name="Comma 15 2 2 3 5 2 2" xfId="37851"/>
    <cellStyle name="Comma 15 2 2 3 5 2 3" xfId="37852"/>
    <cellStyle name="Comma 15 2 2 3 5 3" xfId="37853"/>
    <cellStyle name="Comma 15 2 2 3 5 3 2" xfId="37854"/>
    <cellStyle name="Comma 15 2 2 3 5 4" xfId="37855"/>
    <cellStyle name="Comma 15 2 2 3 5 5" xfId="37856"/>
    <cellStyle name="Comma 15 2 2 3 6" xfId="37857"/>
    <cellStyle name="Comma 15 2 2 3 6 2" xfId="37858"/>
    <cellStyle name="Comma 15 2 2 3 6 3" xfId="37859"/>
    <cellStyle name="Comma 15 2 2 3 7" xfId="37860"/>
    <cellStyle name="Comma 15 2 2 3 7 2" xfId="37861"/>
    <cellStyle name="Comma 15 2 2 3 7 3" xfId="37862"/>
    <cellStyle name="Comma 15 2 2 3 8" xfId="37863"/>
    <cellStyle name="Comma 15 2 2 3 8 2" xfId="37864"/>
    <cellStyle name="Comma 15 2 2 3 9" xfId="37865"/>
    <cellStyle name="Comma 15 2 2 4" xfId="37866"/>
    <cellStyle name="Comma 15 2 2 4 2" xfId="37867"/>
    <cellStyle name="Comma 15 2 2 4 2 2" xfId="37868"/>
    <cellStyle name="Comma 15 2 2 4 2 2 2" xfId="37869"/>
    <cellStyle name="Comma 15 2 2 4 2 2 3" xfId="37870"/>
    <cellStyle name="Comma 15 2 2 4 2 3" xfId="37871"/>
    <cellStyle name="Comma 15 2 2 4 2 3 2" xfId="37872"/>
    <cellStyle name="Comma 15 2 2 4 2 3 3" xfId="37873"/>
    <cellStyle name="Comma 15 2 2 4 2 4" xfId="37874"/>
    <cellStyle name="Comma 15 2 2 4 2 4 2" xfId="37875"/>
    <cellStyle name="Comma 15 2 2 4 2 5" xfId="37876"/>
    <cellStyle name="Comma 15 2 2 4 2 6" xfId="37877"/>
    <cellStyle name="Comma 15 2 2 4 3" xfId="37878"/>
    <cellStyle name="Comma 15 2 2 4 3 2" xfId="37879"/>
    <cellStyle name="Comma 15 2 2 4 3 2 2" xfId="37880"/>
    <cellStyle name="Comma 15 2 2 4 3 2 3" xfId="37881"/>
    <cellStyle name="Comma 15 2 2 4 3 3" xfId="37882"/>
    <cellStyle name="Comma 15 2 2 4 3 3 2" xfId="37883"/>
    <cellStyle name="Comma 15 2 2 4 3 3 3" xfId="37884"/>
    <cellStyle name="Comma 15 2 2 4 3 4" xfId="37885"/>
    <cellStyle name="Comma 15 2 2 4 3 4 2" xfId="37886"/>
    <cellStyle name="Comma 15 2 2 4 3 5" xfId="37887"/>
    <cellStyle name="Comma 15 2 2 4 3 6" xfId="37888"/>
    <cellStyle name="Comma 15 2 2 4 4" xfId="37889"/>
    <cellStyle name="Comma 15 2 2 4 4 2" xfId="37890"/>
    <cellStyle name="Comma 15 2 2 4 4 2 2" xfId="37891"/>
    <cellStyle name="Comma 15 2 2 4 4 2 3" xfId="37892"/>
    <cellStyle name="Comma 15 2 2 4 4 3" xfId="37893"/>
    <cellStyle name="Comma 15 2 2 4 4 3 2" xfId="37894"/>
    <cellStyle name="Comma 15 2 2 4 4 4" xfId="37895"/>
    <cellStyle name="Comma 15 2 2 4 4 5" xfId="37896"/>
    <cellStyle name="Comma 15 2 2 4 5" xfId="37897"/>
    <cellStyle name="Comma 15 2 2 4 5 2" xfId="37898"/>
    <cellStyle name="Comma 15 2 2 4 5 3" xfId="37899"/>
    <cellStyle name="Comma 15 2 2 4 6" xfId="37900"/>
    <cellStyle name="Comma 15 2 2 4 6 2" xfId="37901"/>
    <cellStyle name="Comma 15 2 2 4 6 3" xfId="37902"/>
    <cellStyle name="Comma 15 2 2 4 7" xfId="37903"/>
    <cellStyle name="Comma 15 2 2 4 7 2" xfId="37904"/>
    <cellStyle name="Comma 15 2 2 4 8" xfId="37905"/>
    <cellStyle name="Comma 15 2 2 4 9" xfId="37906"/>
    <cellStyle name="Comma 15 2 2 5" xfId="37907"/>
    <cellStyle name="Comma 15 2 2 5 2" xfId="37908"/>
    <cellStyle name="Comma 15 2 2 5 2 2" xfId="37909"/>
    <cellStyle name="Comma 15 2 2 5 2 2 2" xfId="37910"/>
    <cellStyle name="Comma 15 2 2 5 2 2 3" xfId="37911"/>
    <cellStyle name="Comma 15 2 2 5 2 3" xfId="37912"/>
    <cellStyle name="Comma 15 2 2 5 2 3 2" xfId="37913"/>
    <cellStyle name="Comma 15 2 2 5 2 3 3" xfId="37914"/>
    <cellStyle name="Comma 15 2 2 5 2 4" xfId="37915"/>
    <cellStyle name="Comma 15 2 2 5 2 4 2" xfId="37916"/>
    <cellStyle name="Comma 15 2 2 5 2 5" xfId="37917"/>
    <cellStyle name="Comma 15 2 2 5 2 6" xfId="37918"/>
    <cellStyle name="Comma 15 2 2 5 3" xfId="37919"/>
    <cellStyle name="Comma 15 2 2 5 3 2" xfId="37920"/>
    <cellStyle name="Comma 15 2 2 5 3 2 2" xfId="37921"/>
    <cellStyle name="Comma 15 2 2 5 3 2 3" xfId="37922"/>
    <cellStyle name="Comma 15 2 2 5 3 3" xfId="37923"/>
    <cellStyle name="Comma 15 2 2 5 3 3 2" xfId="37924"/>
    <cellStyle name="Comma 15 2 2 5 3 3 3" xfId="37925"/>
    <cellStyle name="Comma 15 2 2 5 3 4" xfId="37926"/>
    <cellStyle name="Comma 15 2 2 5 3 4 2" xfId="37927"/>
    <cellStyle name="Comma 15 2 2 5 3 5" xfId="37928"/>
    <cellStyle name="Comma 15 2 2 5 3 6" xfId="37929"/>
    <cellStyle name="Comma 15 2 2 5 4" xfId="37930"/>
    <cellStyle name="Comma 15 2 2 5 4 2" xfId="37931"/>
    <cellStyle name="Comma 15 2 2 5 4 2 2" xfId="37932"/>
    <cellStyle name="Comma 15 2 2 5 4 2 3" xfId="37933"/>
    <cellStyle name="Comma 15 2 2 5 4 3" xfId="37934"/>
    <cellStyle name="Comma 15 2 2 5 4 3 2" xfId="37935"/>
    <cellStyle name="Comma 15 2 2 5 4 4" xfId="37936"/>
    <cellStyle name="Comma 15 2 2 5 4 5" xfId="37937"/>
    <cellStyle name="Comma 15 2 2 5 5" xfId="37938"/>
    <cellStyle name="Comma 15 2 2 5 5 2" xfId="37939"/>
    <cellStyle name="Comma 15 2 2 5 5 3" xfId="37940"/>
    <cellStyle name="Comma 15 2 2 5 6" xfId="37941"/>
    <cellStyle name="Comma 15 2 2 5 6 2" xfId="37942"/>
    <cellStyle name="Comma 15 2 2 5 6 3" xfId="37943"/>
    <cellStyle name="Comma 15 2 2 5 7" xfId="37944"/>
    <cellStyle name="Comma 15 2 2 5 7 2" xfId="37945"/>
    <cellStyle name="Comma 15 2 2 5 8" xfId="37946"/>
    <cellStyle name="Comma 15 2 2 5 9" xfId="37947"/>
    <cellStyle name="Comma 15 2 2 6" xfId="37948"/>
    <cellStyle name="Comma 15 2 2 6 2" xfId="37949"/>
    <cellStyle name="Comma 15 2 2 6 2 2" xfId="37950"/>
    <cellStyle name="Comma 15 2 2 6 2 3" xfId="37951"/>
    <cellStyle name="Comma 15 2 2 6 3" xfId="37952"/>
    <cellStyle name="Comma 15 2 2 6 3 2" xfId="37953"/>
    <cellStyle name="Comma 15 2 2 6 3 3" xfId="37954"/>
    <cellStyle name="Comma 15 2 2 6 4" xfId="37955"/>
    <cellStyle name="Comma 15 2 2 6 4 2" xfId="37956"/>
    <cellStyle name="Comma 15 2 2 6 5" xfId="37957"/>
    <cellStyle name="Comma 15 2 2 6 6" xfId="37958"/>
    <cellStyle name="Comma 15 2 2 7" xfId="37959"/>
    <cellStyle name="Comma 15 2 2 7 2" xfId="37960"/>
    <cellStyle name="Comma 15 2 2 7 2 2" xfId="37961"/>
    <cellStyle name="Comma 15 2 2 7 2 3" xfId="37962"/>
    <cellStyle name="Comma 15 2 2 7 3" xfId="37963"/>
    <cellStyle name="Comma 15 2 2 7 3 2" xfId="37964"/>
    <cellStyle name="Comma 15 2 2 7 3 3" xfId="37965"/>
    <cellStyle name="Comma 15 2 2 7 4" xfId="37966"/>
    <cellStyle name="Comma 15 2 2 7 4 2" xfId="37967"/>
    <cellStyle name="Comma 15 2 2 7 5" xfId="37968"/>
    <cellStyle name="Comma 15 2 2 7 6" xfId="37969"/>
    <cellStyle name="Comma 15 2 2 8" xfId="37970"/>
    <cellStyle name="Comma 15 2 2 8 2" xfId="37971"/>
    <cellStyle name="Comma 15 2 2 8 2 2" xfId="37972"/>
    <cellStyle name="Comma 15 2 2 8 2 3" xfId="37973"/>
    <cellStyle name="Comma 15 2 2 8 3" xfId="37974"/>
    <cellStyle name="Comma 15 2 2 8 3 2" xfId="37975"/>
    <cellStyle name="Comma 15 2 2 8 4" xfId="37976"/>
    <cellStyle name="Comma 15 2 2 8 5" xfId="37977"/>
    <cellStyle name="Comma 15 2 2 9" xfId="37978"/>
    <cellStyle name="Comma 15 2 2 9 2" xfId="37979"/>
    <cellStyle name="Comma 15 2 2 9 3" xfId="37980"/>
    <cellStyle name="Comma 15 2 3" xfId="37981"/>
    <cellStyle name="Comma 15 2 3 10" xfId="37982"/>
    <cellStyle name="Comma 15 2 3 10 2" xfId="37983"/>
    <cellStyle name="Comma 15 2 3 11" xfId="37984"/>
    <cellStyle name="Comma 15 2 3 12" xfId="37985"/>
    <cellStyle name="Comma 15 2 3 2" xfId="37986"/>
    <cellStyle name="Comma 15 2 3 2 10" xfId="37987"/>
    <cellStyle name="Comma 15 2 3 2 2" xfId="37988"/>
    <cellStyle name="Comma 15 2 3 2 2 2" xfId="37989"/>
    <cellStyle name="Comma 15 2 3 2 2 2 2" xfId="37990"/>
    <cellStyle name="Comma 15 2 3 2 2 2 2 2" xfId="37991"/>
    <cellStyle name="Comma 15 2 3 2 2 2 2 3" xfId="37992"/>
    <cellStyle name="Comma 15 2 3 2 2 2 3" xfId="37993"/>
    <cellStyle name="Comma 15 2 3 2 2 2 3 2" xfId="37994"/>
    <cellStyle name="Comma 15 2 3 2 2 2 3 3" xfId="37995"/>
    <cellStyle name="Comma 15 2 3 2 2 2 4" xfId="37996"/>
    <cellStyle name="Comma 15 2 3 2 2 2 4 2" xfId="37997"/>
    <cellStyle name="Comma 15 2 3 2 2 2 5" xfId="37998"/>
    <cellStyle name="Comma 15 2 3 2 2 2 6" xfId="37999"/>
    <cellStyle name="Comma 15 2 3 2 2 3" xfId="38000"/>
    <cellStyle name="Comma 15 2 3 2 2 3 2" xfId="38001"/>
    <cellStyle name="Comma 15 2 3 2 2 3 2 2" xfId="38002"/>
    <cellStyle name="Comma 15 2 3 2 2 3 2 3" xfId="38003"/>
    <cellStyle name="Comma 15 2 3 2 2 3 3" xfId="38004"/>
    <cellStyle name="Comma 15 2 3 2 2 3 3 2" xfId="38005"/>
    <cellStyle name="Comma 15 2 3 2 2 3 3 3" xfId="38006"/>
    <cellStyle name="Comma 15 2 3 2 2 3 4" xfId="38007"/>
    <cellStyle name="Comma 15 2 3 2 2 3 4 2" xfId="38008"/>
    <cellStyle name="Comma 15 2 3 2 2 3 5" xfId="38009"/>
    <cellStyle name="Comma 15 2 3 2 2 3 6" xfId="38010"/>
    <cellStyle name="Comma 15 2 3 2 2 4" xfId="38011"/>
    <cellStyle name="Comma 15 2 3 2 2 4 2" xfId="38012"/>
    <cellStyle name="Comma 15 2 3 2 2 4 2 2" xfId="38013"/>
    <cellStyle name="Comma 15 2 3 2 2 4 2 3" xfId="38014"/>
    <cellStyle name="Comma 15 2 3 2 2 4 3" xfId="38015"/>
    <cellStyle name="Comma 15 2 3 2 2 4 3 2" xfId="38016"/>
    <cellStyle name="Comma 15 2 3 2 2 4 4" xfId="38017"/>
    <cellStyle name="Comma 15 2 3 2 2 4 5" xfId="38018"/>
    <cellStyle name="Comma 15 2 3 2 2 5" xfId="38019"/>
    <cellStyle name="Comma 15 2 3 2 2 5 2" xfId="38020"/>
    <cellStyle name="Comma 15 2 3 2 2 5 3" xfId="38021"/>
    <cellStyle name="Comma 15 2 3 2 2 6" xfId="38022"/>
    <cellStyle name="Comma 15 2 3 2 2 6 2" xfId="38023"/>
    <cellStyle name="Comma 15 2 3 2 2 6 3" xfId="38024"/>
    <cellStyle name="Comma 15 2 3 2 2 7" xfId="38025"/>
    <cellStyle name="Comma 15 2 3 2 2 7 2" xfId="38026"/>
    <cellStyle name="Comma 15 2 3 2 2 8" xfId="38027"/>
    <cellStyle name="Comma 15 2 3 2 2 9" xfId="38028"/>
    <cellStyle name="Comma 15 2 3 2 3" xfId="38029"/>
    <cellStyle name="Comma 15 2 3 2 3 2" xfId="38030"/>
    <cellStyle name="Comma 15 2 3 2 3 2 2" xfId="38031"/>
    <cellStyle name="Comma 15 2 3 2 3 2 3" xfId="38032"/>
    <cellStyle name="Comma 15 2 3 2 3 3" xfId="38033"/>
    <cellStyle name="Comma 15 2 3 2 3 3 2" xfId="38034"/>
    <cellStyle name="Comma 15 2 3 2 3 3 3" xfId="38035"/>
    <cellStyle name="Comma 15 2 3 2 3 4" xfId="38036"/>
    <cellStyle name="Comma 15 2 3 2 3 4 2" xfId="38037"/>
    <cellStyle name="Comma 15 2 3 2 3 5" xfId="38038"/>
    <cellStyle name="Comma 15 2 3 2 3 6" xfId="38039"/>
    <cellStyle name="Comma 15 2 3 2 4" xfId="38040"/>
    <cellStyle name="Comma 15 2 3 2 4 2" xfId="38041"/>
    <cellStyle name="Comma 15 2 3 2 4 2 2" xfId="38042"/>
    <cellStyle name="Comma 15 2 3 2 4 2 3" xfId="38043"/>
    <cellStyle name="Comma 15 2 3 2 4 3" xfId="38044"/>
    <cellStyle name="Comma 15 2 3 2 4 3 2" xfId="38045"/>
    <cellStyle name="Comma 15 2 3 2 4 3 3" xfId="38046"/>
    <cellStyle name="Comma 15 2 3 2 4 4" xfId="38047"/>
    <cellStyle name="Comma 15 2 3 2 4 4 2" xfId="38048"/>
    <cellStyle name="Comma 15 2 3 2 4 5" xfId="38049"/>
    <cellStyle name="Comma 15 2 3 2 4 6" xfId="38050"/>
    <cellStyle name="Comma 15 2 3 2 5" xfId="38051"/>
    <cellStyle name="Comma 15 2 3 2 5 2" xfId="38052"/>
    <cellStyle name="Comma 15 2 3 2 5 2 2" xfId="38053"/>
    <cellStyle name="Comma 15 2 3 2 5 2 3" xfId="38054"/>
    <cellStyle name="Comma 15 2 3 2 5 3" xfId="38055"/>
    <cellStyle name="Comma 15 2 3 2 5 3 2" xfId="38056"/>
    <cellStyle name="Comma 15 2 3 2 5 4" xfId="38057"/>
    <cellStyle name="Comma 15 2 3 2 5 5" xfId="38058"/>
    <cellStyle name="Comma 15 2 3 2 6" xfId="38059"/>
    <cellStyle name="Comma 15 2 3 2 6 2" xfId="38060"/>
    <cellStyle name="Comma 15 2 3 2 6 3" xfId="38061"/>
    <cellStyle name="Comma 15 2 3 2 7" xfId="38062"/>
    <cellStyle name="Comma 15 2 3 2 7 2" xfId="38063"/>
    <cellStyle name="Comma 15 2 3 2 7 3" xfId="38064"/>
    <cellStyle name="Comma 15 2 3 2 8" xfId="38065"/>
    <cellStyle name="Comma 15 2 3 2 8 2" xfId="38066"/>
    <cellStyle name="Comma 15 2 3 2 9" xfId="38067"/>
    <cellStyle name="Comma 15 2 3 3" xfId="38068"/>
    <cellStyle name="Comma 15 2 3 3 2" xfId="38069"/>
    <cellStyle name="Comma 15 2 3 3 2 2" xfId="38070"/>
    <cellStyle name="Comma 15 2 3 3 2 2 2" xfId="38071"/>
    <cellStyle name="Comma 15 2 3 3 2 2 3" xfId="38072"/>
    <cellStyle name="Comma 15 2 3 3 2 3" xfId="38073"/>
    <cellStyle name="Comma 15 2 3 3 2 3 2" xfId="38074"/>
    <cellStyle name="Comma 15 2 3 3 2 3 3" xfId="38075"/>
    <cellStyle name="Comma 15 2 3 3 2 4" xfId="38076"/>
    <cellStyle name="Comma 15 2 3 3 2 4 2" xfId="38077"/>
    <cellStyle name="Comma 15 2 3 3 2 5" xfId="38078"/>
    <cellStyle name="Comma 15 2 3 3 2 6" xfId="38079"/>
    <cellStyle name="Comma 15 2 3 3 3" xfId="38080"/>
    <cellStyle name="Comma 15 2 3 3 3 2" xfId="38081"/>
    <cellStyle name="Comma 15 2 3 3 3 2 2" xfId="38082"/>
    <cellStyle name="Comma 15 2 3 3 3 2 3" xfId="38083"/>
    <cellStyle name="Comma 15 2 3 3 3 3" xfId="38084"/>
    <cellStyle name="Comma 15 2 3 3 3 3 2" xfId="38085"/>
    <cellStyle name="Comma 15 2 3 3 3 3 3" xfId="38086"/>
    <cellStyle name="Comma 15 2 3 3 3 4" xfId="38087"/>
    <cellStyle name="Comma 15 2 3 3 3 4 2" xfId="38088"/>
    <cellStyle name="Comma 15 2 3 3 3 5" xfId="38089"/>
    <cellStyle name="Comma 15 2 3 3 3 6" xfId="38090"/>
    <cellStyle name="Comma 15 2 3 3 4" xfId="38091"/>
    <cellStyle name="Comma 15 2 3 3 4 2" xfId="38092"/>
    <cellStyle name="Comma 15 2 3 3 4 2 2" xfId="38093"/>
    <cellStyle name="Comma 15 2 3 3 4 2 3" xfId="38094"/>
    <cellStyle name="Comma 15 2 3 3 4 3" xfId="38095"/>
    <cellStyle name="Comma 15 2 3 3 4 3 2" xfId="38096"/>
    <cellStyle name="Comma 15 2 3 3 4 4" xfId="38097"/>
    <cellStyle name="Comma 15 2 3 3 4 5" xfId="38098"/>
    <cellStyle name="Comma 15 2 3 3 5" xfId="38099"/>
    <cellStyle name="Comma 15 2 3 3 5 2" xfId="38100"/>
    <cellStyle name="Comma 15 2 3 3 5 3" xfId="38101"/>
    <cellStyle name="Comma 15 2 3 3 6" xfId="38102"/>
    <cellStyle name="Comma 15 2 3 3 6 2" xfId="38103"/>
    <cellStyle name="Comma 15 2 3 3 6 3" xfId="38104"/>
    <cellStyle name="Comma 15 2 3 3 7" xfId="38105"/>
    <cellStyle name="Comma 15 2 3 3 7 2" xfId="38106"/>
    <cellStyle name="Comma 15 2 3 3 8" xfId="38107"/>
    <cellStyle name="Comma 15 2 3 3 9" xfId="38108"/>
    <cellStyle name="Comma 15 2 3 4" xfId="38109"/>
    <cellStyle name="Comma 15 2 3 4 2" xfId="38110"/>
    <cellStyle name="Comma 15 2 3 4 2 2" xfId="38111"/>
    <cellStyle name="Comma 15 2 3 4 2 2 2" xfId="38112"/>
    <cellStyle name="Comma 15 2 3 4 2 2 3" xfId="38113"/>
    <cellStyle name="Comma 15 2 3 4 2 3" xfId="38114"/>
    <cellStyle name="Comma 15 2 3 4 2 3 2" xfId="38115"/>
    <cellStyle name="Comma 15 2 3 4 2 3 3" xfId="38116"/>
    <cellStyle name="Comma 15 2 3 4 2 4" xfId="38117"/>
    <cellStyle name="Comma 15 2 3 4 2 4 2" xfId="38118"/>
    <cellStyle name="Comma 15 2 3 4 2 5" xfId="38119"/>
    <cellStyle name="Comma 15 2 3 4 2 6" xfId="38120"/>
    <cellStyle name="Comma 15 2 3 4 3" xfId="38121"/>
    <cellStyle name="Comma 15 2 3 4 3 2" xfId="38122"/>
    <cellStyle name="Comma 15 2 3 4 3 2 2" xfId="38123"/>
    <cellStyle name="Comma 15 2 3 4 3 2 3" xfId="38124"/>
    <cellStyle name="Comma 15 2 3 4 3 3" xfId="38125"/>
    <cellStyle name="Comma 15 2 3 4 3 3 2" xfId="38126"/>
    <cellStyle name="Comma 15 2 3 4 3 3 3" xfId="38127"/>
    <cellStyle name="Comma 15 2 3 4 3 4" xfId="38128"/>
    <cellStyle name="Comma 15 2 3 4 3 4 2" xfId="38129"/>
    <cellStyle name="Comma 15 2 3 4 3 5" xfId="38130"/>
    <cellStyle name="Comma 15 2 3 4 3 6" xfId="38131"/>
    <cellStyle name="Comma 15 2 3 4 4" xfId="38132"/>
    <cellStyle name="Comma 15 2 3 4 4 2" xfId="38133"/>
    <cellStyle name="Comma 15 2 3 4 4 2 2" xfId="38134"/>
    <cellStyle name="Comma 15 2 3 4 4 2 3" xfId="38135"/>
    <cellStyle name="Comma 15 2 3 4 4 3" xfId="38136"/>
    <cellStyle name="Comma 15 2 3 4 4 3 2" xfId="38137"/>
    <cellStyle name="Comma 15 2 3 4 4 4" xfId="38138"/>
    <cellStyle name="Comma 15 2 3 4 4 5" xfId="38139"/>
    <cellStyle name="Comma 15 2 3 4 5" xfId="38140"/>
    <cellStyle name="Comma 15 2 3 4 5 2" xfId="38141"/>
    <cellStyle name="Comma 15 2 3 4 5 3" xfId="38142"/>
    <cellStyle name="Comma 15 2 3 4 6" xfId="38143"/>
    <cellStyle name="Comma 15 2 3 4 6 2" xfId="38144"/>
    <cellStyle name="Comma 15 2 3 4 6 3" xfId="38145"/>
    <cellStyle name="Comma 15 2 3 4 7" xfId="38146"/>
    <cellStyle name="Comma 15 2 3 4 7 2" xfId="38147"/>
    <cellStyle name="Comma 15 2 3 4 8" xfId="38148"/>
    <cellStyle name="Comma 15 2 3 4 9" xfId="38149"/>
    <cellStyle name="Comma 15 2 3 5" xfId="38150"/>
    <cellStyle name="Comma 15 2 3 5 2" xfId="38151"/>
    <cellStyle name="Comma 15 2 3 5 2 2" xfId="38152"/>
    <cellStyle name="Comma 15 2 3 5 2 3" xfId="38153"/>
    <cellStyle name="Comma 15 2 3 5 3" xfId="38154"/>
    <cellStyle name="Comma 15 2 3 5 3 2" xfId="38155"/>
    <cellStyle name="Comma 15 2 3 5 3 3" xfId="38156"/>
    <cellStyle name="Comma 15 2 3 5 4" xfId="38157"/>
    <cellStyle name="Comma 15 2 3 5 4 2" xfId="38158"/>
    <cellStyle name="Comma 15 2 3 5 5" xfId="38159"/>
    <cellStyle name="Comma 15 2 3 5 6" xfId="38160"/>
    <cellStyle name="Comma 15 2 3 6" xfId="38161"/>
    <cellStyle name="Comma 15 2 3 6 2" xfId="38162"/>
    <cellStyle name="Comma 15 2 3 6 2 2" xfId="38163"/>
    <cellStyle name="Comma 15 2 3 6 2 3" xfId="38164"/>
    <cellStyle name="Comma 15 2 3 6 3" xfId="38165"/>
    <cellStyle name="Comma 15 2 3 6 3 2" xfId="38166"/>
    <cellStyle name="Comma 15 2 3 6 3 3" xfId="38167"/>
    <cellStyle name="Comma 15 2 3 6 4" xfId="38168"/>
    <cellStyle name="Comma 15 2 3 6 4 2" xfId="38169"/>
    <cellStyle name="Comma 15 2 3 6 5" xfId="38170"/>
    <cellStyle name="Comma 15 2 3 6 6" xfId="38171"/>
    <cellStyle name="Comma 15 2 3 7" xfId="38172"/>
    <cellStyle name="Comma 15 2 3 7 2" xfId="38173"/>
    <cellStyle name="Comma 15 2 3 7 2 2" xfId="38174"/>
    <cellStyle name="Comma 15 2 3 7 2 3" xfId="38175"/>
    <cellStyle name="Comma 15 2 3 7 3" xfId="38176"/>
    <cellStyle name="Comma 15 2 3 7 3 2" xfId="38177"/>
    <cellStyle name="Comma 15 2 3 7 4" xfId="38178"/>
    <cellStyle name="Comma 15 2 3 7 5" xfId="38179"/>
    <cellStyle name="Comma 15 2 3 8" xfId="38180"/>
    <cellStyle name="Comma 15 2 3 8 2" xfId="38181"/>
    <cellStyle name="Comma 15 2 3 8 3" xfId="38182"/>
    <cellStyle name="Comma 15 2 3 9" xfId="38183"/>
    <cellStyle name="Comma 15 2 3 9 2" xfId="38184"/>
    <cellStyle name="Comma 15 2 3 9 3" xfId="38185"/>
    <cellStyle name="Comma 15 2 4" xfId="38186"/>
    <cellStyle name="Comma 15 2 4 10" xfId="38187"/>
    <cellStyle name="Comma 15 2 4 2" xfId="38188"/>
    <cellStyle name="Comma 15 2 4 2 2" xfId="38189"/>
    <cellStyle name="Comma 15 2 4 2 2 2" xfId="38190"/>
    <cellStyle name="Comma 15 2 4 2 2 2 2" xfId="38191"/>
    <cellStyle name="Comma 15 2 4 2 2 2 3" xfId="38192"/>
    <cellStyle name="Comma 15 2 4 2 2 3" xfId="38193"/>
    <cellStyle name="Comma 15 2 4 2 2 3 2" xfId="38194"/>
    <cellStyle name="Comma 15 2 4 2 2 3 3" xfId="38195"/>
    <cellStyle name="Comma 15 2 4 2 2 4" xfId="38196"/>
    <cellStyle name="Comma 15 2 4 2 2 4 2" xfId="38197"/>
    <cellStyle name="Comma 15 2 4 2 2 5" xfId="38198"/>
    <cellStyle name="Comma 15 2 4 2 2 6" xfId="38199"/>
    <cellStyle name="Comma 15 2 4 2 3" xfId="38200"/>
    <cellStyle name="Comma 15 2 4 2 3 2" xfId="38201"/>
    <cellStyle name="Comma 15 2 4 2 3 2 2" xfId="38202"/>
    <cellStyle name="Comma 15 2 4 2 3 2 3" xfId="38203"/>
    <cellStyle name="Comma 15 2 4 2 3 3" xfId="38204"/>
    <cellStyle name="Comma 15 2 4 2 3 3 2" xfId="38205"/>
    <cellStyle name="Comma 15 2 4 2 3 3 3" xfId="38206"/>
    <cellStyle name="Comma 15 2 4 2 3 4" xfId="38207"/>
    <cellStyle name="Comma 15 2 4 2 3 4 2" xfId="38208"/>
    <cellStyle name="Comma 15 2 4 2 3 5" xfId="38209"/>
    <cellStyle name="Comma 15 2 4 2 3 6" xfId="38210"/>
    <cellStyle name="Comma 15 2 4 2 4" xfId="38211"/>
    <cellStyle name="Comma 15 2 4 2 4 2" xfId="38212"/>
    <cellStyle name="Comma 15 2 4 2 4 2 2" xfId="38213"/>
    <cellStyle name="Comma 15 2 4 2 4 2 3" xfId="38214"/>
    <cellStyle name="Comma 15 2 4 2 4 3" xfId="38215"/>
    <cellStyle name="Comma 15 2 4 2 4 3 2" xfId="38216"/>
    <cellStyle name="Comma 15 2 4 2 4 4" xfId="38217"/>
    <cellStyle name="Comma 15 2 4 2 4 5" xfId="38218"/>
    <cellStyle name="Comma 15 2 4 2 5" xfId="38219"/>
    <cellStyle name="Comma 15 2 4 2 5 2" xfId="38220"/>
    <cellStyle name="Comma 15 2 4 2 5 3" xfId="38221"/>
    <cellStyle name="Comma 15 2 4 2 6" xfId="38222"/>
    <cellStyle name="Comma 15 2 4 2 6 2" xfId="38223"/>
    <cellStyle name="Comma 15 2 4 2 6 3" xfId="38224"/>
    <cellStyle name="Comma 15 2 4 2 7" xfId="38225"/>
    <cellStyle name="Comma 15 2 4 2 7 2" xfId="38226"/>
    <cellStyle name="Comma 15 2 4 2 8" xfId="38227"/>
    <cellStyle name="Comma 15 2 4 2 9" xfId="38228"/>
    <cellStyle name="Comma 15 2 4 3" xfId="38229"/>
    <cellStyle name="Comma 15 2 4 3 2" xfId="38230"/>
    <cellStyle name="Comma 15 2 4 3 2 2" xfId="38231"/>
    <cellStyle name="Comma 15 2 4 3 2 3" xfId="38232"/>
    <cellStyle name="Comma 15 2 4 3 3" xfId="38233"/>
    <cellStyle name="Comma 15 2 4 3 3 2" xfId="38234"/>
    <cellStyle name="Comma 15 2 4 3 3 3" xfId="38235"/>
    <cellStyle name="Comma 15 2 4 3 4" xfId="38236"/>
    <cellStyle name="Comma 15 2 4 3 4 2" xfId="38237"/>
    <cellStyle name="Comma 15 2 4 3 5" xfId="38238"/>
    <cellStyle name="Comma 15 2 4 3 6" xfId="38239"/>
    <cellStyle name="Comma 15 2 4 4" xfId="38240"/>
    <cellStyle name="Comma 15 2 4 4 2" xfId="38241"/>
    <cellStyle name="Comma 15 2 4 4 2 2" xfId="38242"/>
    <cellStyle name="Comma 15 2 4 4 2 3" xfId="38243"/>
    <cellStyle name="Comma 15 2 4 4 3" xfId="38244"/>
    <cellStyle name="Comma 15 2 4 4 3 2" xfId="38245"/>
    <cellStyle name="Comma 15 2 4 4 3 3" xfId="38246"/>
    <cellStyle name="Comma 15 2 4 4 4" xfId="38247"/>
    <cellStyle name="Comma 15 2 4 4 4 2" xfId="38248"/>
    <cellStyle name="Comma 15 2 4 4 5" xfId="38249"/>
    <cellStyle name="Comma 15 2 4 4 6" xfId="38250"/>
    <cellStyle name="Comma 15 2 4 5" xfId="38251"/>
    <cellStyle name="Comma 15 2 4 5 2" xfId="38252"/>
    <cellStyle name="Comma 15 2 4 5 2 2" xfId="38253"/>
    <cellStyle name="Comma 15 2 4 5 2 3" xfId="38254"/>
    <cellStyle name="Comma 15 2 4 5 3" xfId="38255"/>
    <cellStyle name="Comma 15 2 4 5 3 2" xfId="38256"/>
    <cellStyle name="Comma 15 2 4 5 4" xfId="38257"/>
    <cellStyle name="Comma 15 2 4 5 5" xfId="38258"/>
    <cellStyle name="Comma 15 2 4 6" xfId="38259"/>
    <cellStyle name="Comma 15 2 4 6 2" xfId="38260"/>
    <cellStyle name="Comma 15 2 4 6 3" xfId="38261"/>
    <cellStyle name="Comma 15 2 4 7" xfId="38262"/>
    <cellStyle name="Comma 15 2 4 7 2" xfId="38263"/>
    <cellStyle name="Comma 15 2 4 7 3" xfId="38264"/>
    <cellStyle name="Comma 15 2 4 8" xfId="38265"/>
    <cellStyle name="Comma 15 2 4 8 2" xfId="38266"/>
    <cellStyle name="Comma 15 2 4 9" xfId="38267"/>
    <cellStyle name="Comma 15 2 5" xfId="38268"/>
    <cellStyle name="Comma 15 2 5 2" xfId="38269"/>
    <cellStyle name="Comma 15 2 5 2 2" xfId="38270"/>
    <cellStyle name="Comma 15 2 5 2 2 2" xfId="38271"/>
    <cellStyle name="Comma 15 2 5 2 2 3" xfId="38272"/>
    <cellStyle name="Comma 15 2 5 2 3" xfId="38273"/>
    <cellStyle name="Comma 15 2 5 2 3 2" xfId="38274"/>
    <cellStyle name="Comma 15 2 5 2 3 3" xfId="38275"/>
    <cellStyle name="Comma 15 2 5 2 4" xfId="38276"/>
    <cellStyle name="Comma 15 2 5 2 4 2" xfId="38277"/>
    <cellStyle name="Comma 15 2 5 2 5" xfId="38278"/>
    <cellStyle name="Comma 15 2 5 2 6" xfId="38279"/>
    <cellStyle name="Comma 15 2 5 3" xfId="38280"/>
    <cellStyle name="Comma 15 2 5 3 2" xfId="38281"/>
    <cellStyle name="Comma 15 2 5 3 2 2" xfId="38282"/>
    <cellStyle name="Comma 15 2 5 3 2 3" xfId="38283"/>
    <cellStyle name="Comma 15 2 5 3 3" xfId="38284"/>
    <cellStyle name="Comma 15 2 5 3 3 2" xfId="38285"/>
    <cellStyle name="Comma 15 2 5 3 3 3" xfId="38286"/>
    <cellStyle name="Comma 15 2 5 3 4" xfId="38287"/>
    <cellStyle name="Comma 15 2 5 3 4 2" xfId="38288"/>
    <cellStyle name="Comma 15 2 5 3 5" xfId="38289"/>
    <cellStyle name="Comma 15 2 5 3 6" xfId="38290"/>
    <cellStyle name="Comma 15 2 5 4" xfId="38291"/>
    <cellStyle name="Comma 15 2 5 4 2" xfId="38292"/>
    <cellStyle name="Comma 15 2 5 4 2 2" xfId="38293"/>
    <cellStyle name="Comma 15 2 5 4 2 3" xfId="38294"/>
    <cellStyle name="Comma 15 2 5 4 3" xfId="38295"/>
    <cellStyle name="Comma 15 2 5 4 3 2" xfId="38296"/>
    <cellStyle name="Comma 15 2 5 4 4" xfId="38297"/>
    <cellStyle name="Comma 15 2 5 4 5" xfId="38298"/>
    <cellStyle name="Comma 15 2 5 5" xfId="38299"/>
    <cellStyle name="Comma 15 2 5 5 2" xfId="38300"/>
    <cellStyle name="Comma 15 2 5 5 3" xfId="38301"/>
    <cellStyle name="Comma 15 2 5 6" xfId="38302"/>
    <cellStyle name="Comma 15 2 5 6 2" xfId="38303"/>
    <cellStyle name="Comma 15 2 5 6 3" xfId="38304"/>
    <cellStyle name="Comma 15 2 5 7" xfId="38305"/>
    <cellStyle name="Comma 15 2 5 7 2" xfId="38306"/>
    <cellStyle name="Comma 15 2 5 8" xfId="38307"/>
    <cellStyle name="Comma 15 2 5 9" xfId="38308"/>
    <cellStyle name="Comma 15 2 6" xfId="38309"/>
    <cellStyle name="Comma 15 2 6 2" xfId="38310"/>
    <cellStyle name="Comma 15 2 6 2 2" xfId="38311"/>
    <cellStyle name="Comma 15 2 6 2 2 2" xfId="38312"/>
    <cellStyle name="Comma 15 2 6 2 2 3" xfId="38313"/>
    <cellStyle name="Comma 15 2 6 2 3" xfId="38314"/>
    <cellStyle name="Comma 15 2 6 2 3 2" xfId="38315"/>
    <cellStyle name="Comma 15 2 6 2 3 3" xfId="38316"/>
    <cellStyle name="Comma 15 2 6 2 4" xfId="38317"/>
    <cellStyle name="Comma 15 2 6 2 4 2" xfId="38318"/>
    <cellStyle name="Comma 15 2 6 2 5" xfId="38319"/>
    <cellStyle name="Comma 15 2 6 2 6" xfId="38320"/>
    <cellStyle name="Comma 15 2 6 3" xfId="38321"/>
    <cellStyle name="Comma 15 2 6 3 2" xfId="38322"/>
    <cellStyle name="Comma 15 2 6 3 2 2" xfId="38323"/>
    <cellStyle name="Comma 15 2 6 3 2 3" xfId="38324"/>
    <cellStyle name="Comma 15 2 6 3 3" xfId="38325"/>
    <cellStyle name="Comma 15 2 6 3 3 2" xfId="38326"/>
    <cellStyle name="Comma 15 2 6 3 3 3" xfId="38327"/>
    <cellStyle name="Comma 15 2 6 3 4" xfId="38328"/>
    <cellStyle name="Comma 15 2 6 3 4 2" xfId="38329"/>
    <cellStyle name="Comma 15 2 6 3 5" xfId="38330"/>
    <cellStyle name="Comma 15 2 6 3 6" xfId="38331"/>
    <cellStyle name="Comma 15 2 6 4" xfId="38332"/>
    <cellStyle name="Comma 15 2 6 4 2" xfId="38333"/>
    <cellStyle name="Comma 15 2 6 4 2 2" xfId="38334"/>
    <cellStyle name="Comma 15 2 6 4 2 3" xfId="38335"/>
    <cellStyle name="Comma 15 2 6 4 3" xfId="38336"/>
    <cellStyle name="Comma 15 2 6 4 3 2" xfId="38337"/>
    <cellStyle name="Comma 15 2 6 4 4" xfId="38338"/>
    <cellStyle name="Comma 15 2 6 4 5" xfId="38339"/>
    <cellStyle name="Comma 15 2 6 5" xfId="38340"/>
    <cellStyle name="Comma 15 2 6 5 2" xfId="38341"/>
    <cellStyle name="Comma 15 2 6 5 3" xfId="38342"/>
    <cellStyle name="Comma 15 2 6 6" xfId="38343"/>
    <cellStyle name="Comma 15 2 6 6 2" xfId="38344"/>
    <cellStyle name="Comma 15 2 6 6 3" xfId="38345"/>
    <cellStyle name="Comma 15 2 6 7" xfId="38346"/>
    <cellStyle name="Comma 15 2 6 7 2" xfId="38347"/>
    <cellStyle name="Comma 15 2 6 8" xfId="38348"/>
    <cellStyle name="Comma 15 2 6 9" xfId="38349"/>
    <cellStyle name="Comma 15 2 7" xfId="38350"/>
    <cellStyle name="Comma 15 2 7 2" xfId="38351"/>
    <cellStyle name="Comma 15 2 7 2 2" xfId="38352"/>
    <cellStyle name="Comma 15 2 7 2 3" xfId="38353"/>
    <cellStyle name="Comma 15 2 7 3" xfId="38354"/>
    <cellStyle name="Comma 15 2 7 3 2" xfId="38355"/>
    <cellStyle name="Comma 15 2 7 3 3" xfId="38356"/>
    <cellStyle name="Comma 15 2 7 4" xfId="38357"/>
    <cellStyle name="Comma 15 2 7 4 2" xfId="38358"/>
    <cellStyle name="Comma 15 2 7 5" xfId="38359"/>
    <cellStyle name="Comma 15 2 7 6" xfId="38360"/>
    <cellStyle name="Comma 15 2 8" xfId="38361"/>
    <cellStyle name="Comma 15 2 8 2" xfId="38362"/>
    <cellStyle name="Comma 15 2 8 2 2" xfId="38363"/>
    <cellStyle name="Comma 15 2 8 2 3" xfId="38364"/>
    <cellStyle name="Comma 15 2 8 3" xfId="38365"/>
    <cellStyle name="Comma 15 2 8 3 2" xfId="38366"/>
    <cellStyle name="Comma 15 2 8 3 3" xfId="38367"/>
    <cellStyle name="Comma 15 2 8 4" xfId="38368"/>
    <cellStyle name="Comma 15 2 8 4 2" xfId="38369"/>
    <cellStyle name="Comma 15 2 8 5" xfId="38370"/>
    <cellStyle name="Comma 15 2 8 6" xfId="38371"/>
    <cellStyle name="Comma 15 2 9" xfId="38372"/>
    <cellStyle name="Comma 15 2 9 2" xfId="38373"/>
    <cellStyle name="Comma 15 2 9 2 2" xfId="38374"/>
    <cellStyle name="Comma 15 2 9 2 3" xfId="38375"/>
    <cellStyle name="Comma 15 2 9 3" xfId="38376"/>
    <cellStyle name="Comma 15 2 9 3 2" xfId="38377"/>
    <cellStyle name="Comma 15 2 9 4" xfId="38378"/>
    <cellStyle name="Comma 15 2 9 5" xfId="38379"/>
    <cellStyle name="Comma 15 3" xfId="38380"/>
    <cellStyle name="Comma 15 3 10" xfId="38381"/>
    <cellStyle name="Comma 15 3 10 2" xfId="38382"/>
    <cellStyle name="Comma 15 3 10 3" xfId="38383"/>
    <cellStyle name="Comma 15 3 11" xfId="38384"/>
    <cellStyle name="Comma 15 3 11 2" xfId="38385"/>
    <cellStyle name="Comma 15 3 12" xfId="38386"/>
    <cellStyle name="Comma 15 3 13" xfId="38387"/>
    <cellStyle name="Comma 15 3 2" xfId="38388"/>
    <cellStyle name="Comma 15 3 2 10" xfId="38389"/>
    <cellStyle name="Comma 15 3 2 10 2" xfId="38390"/>
    <cellStyle name="Comma 15 3 2 11" xfId="38391"/>
    <cellStyle name="Comma 15 3 2 12" xfId="38392"/>
    <cellStyle name="Comma 15 3 2 2" xfId="38393"/>
    <cellStyle name="Comma 15 3 2 2 10" xfId="38394"/>
    <cellStyle name="Comma 15 3 2 2 2" xfId="38395"/>
    <cellStyle name="Comma 15 3 2 2 2 2" xfId="38396"/>
    <cellStyle name="Comma 15 3 2 2 2 2 2" xfId="38397"/>
    <cellStyle name="Comma 15 3 2 2 2 2 2 2" xfId="38398"/>
    <cellStyle name="Comma 15 3 2 2 2 2 2 3" xfId="38399"/>
    <cellStyle name="Comma 15 3 2 2 2 2 3" xfId="38400"/>
    <cellStyle name="Comma 15 3 2 2 2 2 3 2" xfId="38401"/>
    <cellStyle name="Comma 15 3 2 2 2 2 3 3" xfId="38402"/>
    <cellStyle name="Comma 15 3 2 2 2 2 4" xfId="38403"/>
    <cellStyle name="Comma 15 3 2 2 2 2 4 2" xfId="38404"/>
    <cellStyle name="Comma 15 3 2 2 2 2 5" xfId="38405"/>
    <cellStyle name="Comma 15 3 2 2 2 2 6" xfId="38406"/>
    <cellStyle name="Comma 15 3 2 2 2 3" xfId="38407"/>
    <cellStyle name="Comma 15 3 2 2 2 3 2" xfId="38408"/>
    <cellStyle name="Comma 15 3 2 2 2 3 2 2" xfId="38409"/>
    <cellStyle name="Comma 15 3 2 2 2 3 2 3" xfId="38410"/>
    <cellStyle name="Comma 15 3 2 2 2 3 3" xfId="38411"/>
    <cellStyle name="Comma 15 3 2 2 2 3 3 2" xfId="38412"/>
    <cellStyle name="Comma 15 3 2 2 2 3 3 3" xfId="38413"/>
    <cellStyle name="Comma 15 3 2 2 2 3 4" xfId="38414"/>
    <cellStyle name="Comma 15 3 2 2 2 3 4 2" xfId="38415"/>
    <cellStyle name="Comma 15 3 2 2 2 3 5" xfId="38416"/>
    <cellStyle name="Comma 15 3 2 2 2 3 6" xfId="38417"/>
    <cellStyle name="Comma 15 3 2 2 2 4" xfId="38418"/>
    <cellStyle name="Comma 15 3 2 2 2 4 2" xfId="38419"/>
    <cellStyle name="Comma 15 3 2 2 2 4 2 2" xfId="38420"/>
    <cellStyle name="Comma 15 3 2 2 2 4 2 3" xfId="38421"/>
    <cellStyle name="Comma 15 3 2 2 2 4 3" xfId="38422"/>
    <cellStyle name="Comma 15 3 2 2 2 4 3 2" xfId="38423"/>
    <cellStyle name="Comma 15 3 2 2 2 4 4" xfId="38424"/>
    <cellStyle name="Comma 15 3 2 2 2 4 5" xfId="38425"/>
    <cellStyle name="Comma 15 3 2 2 2 5" xfId="38426"/>
    <cellStyle name="Comma 15 3 2 2 2 5 2" xfId="38427"/>
    <cellStyle name="Comma 15 3 2 2 2 5 3" xfId="38428"/>
    <cellStyle name="Comma 15 3 2 2 2 6" xfId="38429"/>
    <cellStyle name="Comma 15 3 2 2 2 6 2" xfId="38430"/>
    <cellStyle name="Comma 15 3 2 2 2 6 3" xfId="38431"/>
    <cellStyle name="Comma 15 3 2 2 2 7" xfId="38432"/>
    <cellStyle name="Comma 15 3 2 2 2 7 2" xfId="38433"/>
    <cellStyle name="Comma 15 3 2 2 2 8" xfId="38434"/>
    <cellStyle name="Comma 15 3 2 2 2 9" xfId="38435"/>
    <cellStyle name="Comma 15 3 2 2 3" xfId="38436"/>
    <cellStyle name="Comma 15 3 2 2 3 2" xfId="38437"/>
    <cellStyle name="Comma 15 3 2 2 3 2 2" xfId="38438"/>
    <cellStyle name="Comma 15 3 2 2 3 2 3" xfId="38439"/>
    <cellStyle name="Comma 15 3 2 2 3 3" xfId="38440"/>
    <cellStyle name="Comma 15 3 2 2 3 3 2" xfId="38441"/>
    <cellStyle name="Comma 15 3 2 2 3 3 3" xfId="38442"/>
    <cellStyle name="Comma 15 3 2 2 3 4" xfId="38443"/>
    <cellStyle name="Comma 15 3 2 2 3 4 2" xfId="38444"/>
    <cellStyle name="Comma 15 3 2 2 3 5" xfId="38445"/>
    <cellStyle name="Comma 15 3 2 2 3 6" xfId="38446"/>
    <cellStyle name="Comma 15 3 2 2 4" xfId="38447"/>
    <cellStyle name="Comma 15 3 2 2 4 2" xfId="38448"/>
    <cellStyle name="Comma 15 3 2 2 4 2 2" xfId="38449"/>
    <cellStyle name="Comma 15 3 2 2 4 2 3" xfId="38450"/>
    <cellStyle name="Comma 15 3 2 2 4 3" xfId="38451"/>
    <cellStyle name="Comma 15 3 2 2 4 3 2" xfId="38452"/>
    <cellStyle name="Comma 15 3 2 2 4 3 3" xfId="38453"/>
    <cellStyle name="Comma 15 3 2 2 4 4" xfId="38454"/>
    <cellStyle name="Comma 15 3 2 2 4 4 2" xfId="38455"/>
    <cellStyle name="Comma 15 3 2 2 4 5" xfId="38456"/>
    <cellStyle name="Comma 15 3 2 2 4 6" xfId="38457"/>
    <cellStyle name="Comma 15 3 2 2 5" xfId="38458"/>
    <cellStyle name="Comma 15 3 2 2 5 2" xfId="38459"/>
    <cellStyle name="Comma 15 3 2 2 5 2 2" xfId="38460"/>
    <cellStyle name="Comma 15 3 2 2 5 2 3" xfId="38461"/>
    <cellStyle name="Comma 15 3 2 2 5 3" xfId="38462"/>
    <cellStyle name="Comma 15 3 2 2 5 3 2" xfId="38463"/>
    <cellStyle name="Comma 15 3 2 2 5 4" xfId="38464"/>
    <cellStyle name="Comma 15 3 2 2 5 5" xfId="38465"/>
    <cellStyle name="Comma 15 3 2 2 6" xfId="38466"/>
    <cellStyle name="Comma 15 3 2 2 6 2" xfId="38467"/>
    <cellStyle name="Comma 15 3 2 2 6 3" xfId="38468"/>
    <cellStyle name="Comma 15 3 2 2 7" xfId="38469"/>
    <cellStyle name="Comma 15 3 2 2 7 2" xfId="38470"/>
    <cellStyle name="Comma 15 3 2 2 7 3" xfId="38471"/>
    <cellStyle name="Comma 15 3 2 2 8" xfId="38472"/>
    <cellStyle name="Comma 15 3 2 2 8 2" xfId="38473"/>
    <cellStyle name="Comma 15 3 2 2 9" xfId="38474"/>
    <cellStyle name="Comma 15 3 2 3" xfId="38475"/>
    <cellStyle name="Comma 15 3 2 3 2" xfId="38476"/>
    <cellStyle name="Comma 15 3 2 3 2 2" xfId="38477"/>
    <cellStyle name="Comma 15 3 2 3 2 2 2" xfId="38478"/>
    <cellStyle name="Comma 15 3 2 3 2 2 3" xfId="38479"/>
    <cellStyle name="Comma 15 3 2 3 2 3" xfId="38480"/>
    <cellStyle name="Comma 15 3 2 3 2 3 2" xfId="38481"/>
    <cellStyle name="Comma 15 3 2 3 2 3 3" xfId="38482"/>
    <cellStyle name="Comma 15 3 2 3 2 4" xfId="38483"/>
    <cellStyle name="Comma 15 3 2 3 2 4 2" xfId="38484"/>
    <cellStyle name="Comma 15 3 2 3 2 5" xfId="38485"/>
    <cellStyle name="Comma 15 3 2 3 2 6" xfId="38486"/>
    <cellStyle name="Comma 15 3 2 3 3" xfId="38487"/>
    <cellStyle name="Comma 15 3 2 3 3 2" xfId="38488"/>
    <cellStyle name="Comma 15 3 2 3 3 2 2" xfId="38489"/>
    <cellStyle name="Comma 15 3 2 3 3 2 3" xfId="38490"/>
    <cellStyle name="Comma 15 3 2 3 3 3" xfId="38491"/>
    <cellStyle name="Comma 15 3 2 3 3 3 2" xfId="38492"/>
    <cellStyle name="Comma 15 3 2 3 3 3 3" xfId="38493"/>
    <cellStyle name="Comma 15 3 2 3 3 4" xfId="38494"/>
    <cellStyle name="Comma 15 3 2 3 3 4 2" xfId="38495"/>
    <cellStyle name="Comma 15 3 2 3 3 5" xfId="38496"/>
    <cellStyle name="Comma 15 3 2 3 3 6" xfId="38497"/>
    <cellStyle name="Comma 15 3 2 3 4" xfId="38498"/>
    <cellStyle name="Comma 15 3 2 3 4 2" xfId="38499"/>
    <cellStyle name="Comma 15 3 2 3 4 2 2" xfId="38500"/>
    <cellStyle name="Comma 15 3 2 3 4 2 3" xfId="38501"/>
    <cellStyle name="Comma 15 3 2 3 4 3" xfId="38502"/>
    <cellStyle name="Comma 15 3 2 3 4 3 2" xfId="38503"/>
    <cellStyle name="Comma 15 3 2 3 4 4" xfId="38504"/>
    <cellStyle name="Comma 15 3 2 3 4 5" xfId="38505"/>
    <cellStyle name="Comma 15 3 2 3 5" xfId="38506"/>
    <cellStyle name="Comma 15 3 2 3 5 2" xfId="38507"/>
    <cellStyle name="Comma 15 3 2 3 5 3" xfId="38508"/>
    <cellStyle name="Comma 15 3 2 3 6" xfId="38509"/>
    <cellStyle name="Comma 15 3 2 3 6 2" xfId="38510"/>
    <cellStyle name="Comma 15 3 2 3 6 3" xfId="38511"/>
    <cellStyle name="Comma 15 3 2 3 7" xfId="38512"/>
    <cellStyle name="Comma 15 3 2 3 7 2" xfId="38513"/>
    <cellStyle name="Comma 15 3 2 3 8" xfId="38514"/>
    <cellStyle name="Comma 15 3 2 3 9" xfId="38515"/>
    <cellStyle name="Comma 15 3 2 4" xfId="38516"/>
    <cellStyle name="Comma 15 3 2 4 2" xfId="38517"/>
    <cellStyle name="Comma 15 3 2 4 2 2" xfId="38518"/>
    <cellStyle name="Comma 15 3 2 4 2 2 2" xfId="38519"/>
    <cellStyle name="Comma 15 3 2 4 2 2 3" xfId="38520"/>
    <cellStyle name="Comma 15 3 2 4 2 3" xfId="38521"/>
    <cellStyle name="Comma 15 3 2 4 2 3 2" xfId="38522"/>
    <cellStyle name="Comma 15 3 2 4 2 3 3" xfId="38523"/>
    <cellStyle name="Comma 15 3 2 4 2 4" xfId="38524"/>
    <cellStyle name="Comma 15 3 2 4 2 4 2" xfId="38525"/>
    <cellStyle name="Comma 15 3 2 4 2 5" xfId="38526"/>
    <cellStyle name="Comma 15 3 2 4 2 6" xfId="38527"/>
    <cellStyle name="Comma 15 3 2 4 3" xfId="38528"/>
    <cellStyle name="Comma 15 3 2 4 3 2" xfId="38529"/>
    <cellStyle name="Comma 15 3 2 4 3 2 2" xfId="38530"/>
    <cellStyle name="Comma 15 3 2 4 3 2 3" xfId="38531"/>
    <cellStyle name="Comma 15 3 2 4 3 3" xfId="38532"/>
    <cellStyle name="Comma 15 3 2 4 3 3 2" xfId="38533"/>
    <cellStyle name="Comma 15 3 2 4 3 3 3" xfId="38534"/>
    <cellStyle name="Comma 15 3 2 4 3 4" xfId="38535"/>
    <cellStyle name="Comma 15 3 2 4 3 4 2" xfId="38536"/>
    <cellStyle name="Comma 15 3 2 4 3 5" xfId="38537"/>
    <cellStyle name="Comma 15 3 2 4 3 6" xfId="38538"/>
    <cellStyle name="Comma 15 3 2 4 4" xfId="38539"/>
    <cellStyle name="Comma 15 3 2 4 4 2" xfId="38540"/>
    <cellStyle name="Comma 15 3 2 4 4 2 2" xfId="38541"/>
    <cellStyle name="Comma 15 3 2 4 4 2 3" xfId="38542"/>
    <cellStyle name="Comma 15 3 2 4 4 3" xfId="38543"/>
    <cellStyle name="Comma 15 3 2 4 4 3 2" xfId="38544"/>
    <cellStyle name="Comma 15 3 2 4 4 4" xfId="38545"/>
    <cellStyle name="Comma 15 3 2 4 4 5" xfId="38546"/>
    <cellStyle name="Comma 15 3 2 4 5" xfId="38547"/>
    <cellStyle name="Comma 15 3 2 4 5 2" xfId="38548"/>
    <cellStyle name="Comma 15 3 2 4 5 3" xfId="38549"/>
    <cellStyle name="Comma 15 3 2 4 6" xfId="38550"/>
    <cellStyle name="Comma 15 3 2 4 6 2" xfId="38551"/>
    <cellStyle name="Comma 15 3 2 4 6 3" xfId="38552"/>
    <cellStyle name="Comma 15 3 2 4 7" xfId="38553"/>
    <cellStyle name="Comma 15 3 2 4 7 2" xfId="38554"/>
    <cellStyle name="Comma 15 3 2 4 8" xfId="38555"/>
    <cellStyle name="Comma 15 3 2 4 9" xfId="38556"/>
    <cellStyle name="Comma 15 3 2 5" xfId="38557"/>
    <cellStyle name="Comma 15 3 2 5 2" xfId="38558"/>
    <cellStyle name="Comma 15 3 2 5 2 2" xfId="38559"/>
    <cellStyle name="Comma 15 3 2 5 2 3" xfId="38560"/>
    <cellStyle name="Comma 15 3 2 5 3" xfId="38561"/>
    <cellStyle name="Comma 15 3 2 5 3 2" xfId="38562"/>
    <cellStyle name="Comma 15 3 2 5 3 3" xfId="38563"/>
    <cellStyle name="Comma 15 3 2 5 4" xfId="38564"/>
    <cellStyle name="Comma 15 3 2 5 4 2" xfId="38565"/>
    <cellStyle name="Comma 15 3 2 5 5" xfId="38566"/>
    <cellStyle name="Comma 15 3 2 5 6" xfId="38567"/>
    <cellStyle name="Comma 15 3 2 6" xfId="38568"/>
    <cellStyle name="Comma 15 3 2 6 2" xfId="38569"/>
    <cellStyle name="Comma 15 3 2 6 2 2" xfId="38570"/>
    <cellStyle name="Comma 15 3 2 6 2 3" xfId="38571"/>
    <cellStyle name="Comma 15 3 2 6 3" xfId="38572"/>
    <cellStyle name="Comma 15 3 2 6 3 2" xfId="38573"/>
    <cellStyle name="Comma 15 3 2 6 3 3" xfId="38574"/>
    <cellStyle name="Comma 15 3 2 6 4" xfId="38575"/>
    <cellStyle name="Comma 15 3 2 6 4 2" xfId="38576"/>
    <cellStyle name="Comma 15 3 2 6 5" xfId="38577"/>
    <cellStyle name="Comma 15 3 2 6 6" xfId="38578"/>
    <cellStyle name="Comma 15 3 2 7" xfId="38579"/>
    <cellStyle name="Comma 15 3 2 7 2" xfId="38580"/>
    <cellStyle name="Comma 15 3 2 7 2 2" xfId="38581"/>
    <cellStyle name="Comma 15 3 2 7 2 3" xfId="38582"/>
    <cellStyle name="Comma 15 3 2 7 3" xfId="38583"/>
    <cellStyle name="Comma 15 3 2 7 3 2" xfId="38584"/>
    <cellStyle name="Comma 15 3 2 7 4" xfId="38585"/>
    <cellStyle name="Comma 15 3 2 7 5" xfId="38586"/>
    <cellStyle name="Comma 15 3 2 8" xfId="38587"/>
    <cellStyle name="Comma 15 3 2 8 2" xfId="38588"/>
    <cellStyle name="Comma 15 3 2 8 3" xfId="38589"/>
    <cellStyle name="Comma 15 3 2 9" xfId="38590"/>
    <cellStyle name="Comma 15 3 2 9 2" xfId="38591"/>
    <cellStyle name="Comma 15 3 2 9 3" xfId="38592"/>
    <cellStyle name="Comma 15 3 3" xfId="38593"/>
    <cellStyle name="Comma 15 3 3 10" xfId="38594"/>
    <cellStyle name="Comma 15 3 3 2" xfId="38595"/>
    <cellStyle name="Comma 15 3 3 2 2" xfId="38596"/>
    <cellStyle name="Comma 15 3 3 2 2 2" xfId="38597"/>
    <cellStyle name="Comma 15 3 3 2 2 2 2" xfId="38598"/>
    <cellStyle name="Comma 15 3 3 2 2 2 3" xfId="38599"/>
    <cellStyle name="Comma 15 3 3 2 2 3" xfId="38600"/>
    <cellStyle name="Comma 15 3 3 2 2 3 2" xfId="38601"/>
    <cellStyle name="Comma 15 3 3 2 2 3 3" xfId="38602"/>
    <cellStyle name="Comma 15 3 3 2 2 4" xfId="38603"/>
    <cellStyle name="Comma 15 3 3 2 2 4 2" xfId="38604"/>
    <cellStyle name="Comma 15 3 3 2 2 5" xfId="38605"/>
    <cellStyle name="Comma 15 3 3 2 2 6" xfId="38606"/>
    <cellStyle name="Comma 15 3 3 2 3" xfId="38607"/>
    <cellStyle name="Comma 15 3 3 2 3 2" xfId="38608"/>
    <cellStyle name="Comma 15 3 3 2 3 2 2" xfId="38609"/>
    <cellStyle name="Comma 15 3 3 2 3 2 3" xfId="38610"/>
    <cellStyle name="Comma 15 3 3 2 3 3" xfId="38611"/>
    <cellStyle name="Comma 15 3 3 2 3 3 2" xfId="38612"/>
    <cellStyle name="Comma 15 3 3 2 3 3 3" xfId="38613"/>
    <cellStyle name="Comma 15 3 3 2 3 4" xfId="38614"/>
    <cellStyle name="Comma 15 3 3 2 3 4 2" xfId="38615"/>
    <cellStyle name="Comma 15 3 3 2 3 5" xfId="38616"/>
    <cellStyle name="Comma 15 3 3 2 3 6" xfId="38617"/>
    <cellStyle name="Comma 15 3 3 2 4" xfId="38618"/>
    <cellStyle name="Comma 15 3 3 2 4 2" xfId="38619"/>
    <cellStyle name="Comma 15 3 3 2 4 2 2" xfId="38620"/>
    <cellStyle name="Comma 15 3 3 2 4 2 3" xfId="38621"/>
    <cellStyle name="Comma 15 3 3 2 4 3" xfId="38622"/>
    <cellStyle name="Comma 15 3 3 2 4 3 2" xfId="38623"/>
    <cellStyle name="Comma 15 3 3 2 4 4" xfId="38624"/>
    <cellStyle name="Comma 15 3 3 2 4 5" xfId="38625"/>
    <cellStyle name="Comma 15 3 3 2 5" xfId="38626"/>
    <cellStyle name="Comma 15 3 3 2 5 2" xfId="38627"/>
    <cellStyle name="Comma 15 3 3 2 5 3" xfId="38628"/>
    <cellStyle name="Comma 15 3 3 2 6" xfId="38629"/>
    <cellStyle name="Comma 15 3 3 2 6 2" xfId="38630"/>
    <cellStyle name="Comma 15 3 3 2 6 3" xfId="38631"/>
    <cellStyle name="Comma 15 3 3 2 7" xfId="38632"/>
    <cellStyle name="Comma 15 3 3 2 7 2" xfId="38633"/>
    <cellStyle name="Comma 15 3 3 2 8" xfId="38634"/>
    <cellStyle name="Comma 15 3 3 2 9" xfId="38635"/>
    <cellStyle name="Comma 15 3 3 3" xfId="38636"/>
    <cellStyle name="Comma 15 3 3 3 2" xfId="38637"/>
    <cellStyle name="Comma 15 3 3 3 2 2" xfId="38638"/>
    <cellStyle name="Comma 15 3 3 3 2 3" xfId="38639"/>
    <cellStyle name="Comma 15 3 3 3 3" xfId="38640"/>
    <cellStyle name="Comma 15 3 3 3 3 2" xfId="38641"/>
    <cellStyle name="Comma 15 3 3 3 3 3" xfId="38642"/>
    <cellStyle name="Comma 15 3 3 3 4" xfId="38643"/>
    <cellStyle name="Comma 15 3 3 3 4 2" xfId="38644"/>
    <cellStyle name="Comma 15 3 3 3 5" xfId="38645"/>
    <cellStyle name="Comma 15 3 3 3 6" xfId="38646"/>
    <cellStyle name="Comma 15 3 3 4" xfId="38647"/>
    <cellStyle name="Comma 15 3 3 4 2" xfId="38648"/>
    <cellStyle name="Comma 15 3 3 4 2 2" xfId="38649"/>
    <cellStyle name="Comma 15 3 3 4 2 3" xfId="38650"/>
    <cellStyle name="Comma 15 3 3 4 3" xfId="38651"/>
    <cellStyle name="Comma 15 3 3 4 3 2" xfId="38652"/>
    <cellStyle name="Comma 15 3 3 4 3 3" xfId="38653"/>
    <cellStyle name="Comma 15 3 3 4 4" xfId="38654"/>
    <cellStyle name="Comma 15 3 3 4 4 2" xfId="38655"/>
    <cellStyle name="Comma 15 3 3 4 5" xfId="38656"/>
    <cellStyle name="Comma 15 3 3 4 6" xfId="38657"/>
    <cellStyle name="Comma 15 3 3 5" xfId="38658"/>
    <cellStyle name="Comma 15 3 3 5 2" xfId="38659"/>
    <cellStyle name="Comma 15 3 3 5 2 2" xfId="38660"/>
    <cellStyle name="Comma 15 3 3 5 2 3" xfId="38661"/>
    <cellStyle name="Comma 15 3 3 5 3" xfId="38662"/>
    <cellStyle name="Comma 15 3 3 5 3 2" xfId="38663"/>
    <cellStyle name="Comma 15 3 3 5 4" xfId="38664"/>
    <cellStyle name="Comma 15 3 3 5 5" xfId="38665"/>
    <cellStyle name="Comma 15 3 3 6" xfId="38666"/>
    <cellStyle name="Comma 15 3 3 6 2" xfId="38667"/>
    <cellStyle name="Comma 15 3 3 6 3" xfId="38668"/>
    <cellStyle name="Comma 15 3 3 7" xfId="38669"/>
    <cellStyle name="Comma 15 3 3 7 2" xfId="38670"/>
    <cellStyle name="Comma 15 3 3 7 3" xfId="38671"/>
    <cellStyle name="Comma 15 3 3 8" xfId="38672"/>
    <cellStyle name="Comma 15 3 3 8 2" xfId="38673"/>
    <cellStyle name="Comma 15 3 3 9" xfId="38674"/>
    <cellStyle name="Comma 15 3 4" xfId="38675"/>
    <cellStyle name="Comma 15 3 4 2" xfId="38676"/>
    <cellStyle name="Comma 15 3 4 2 2" xfId="38677"/>
    <cellStyle name="Comma 15 3 4 2 2 2" xfId="38678"/>
    <cellStyle name="Comma 15 3 4 2 2 3" xfId="38679"/>
    <cellStyle name="Comma 15 3 4 2 3" xfId="38680"/>
    <cellStyle name="Comma 15 3 4 2 3 2" xfId="38681"/>
    <cellStyle name="Comma 15 3 4 2 3 3" xfId="38682"/>
    <cellStyle name="Comma 15 3 4 2 4" xfId="38683"/>
    <cellStyle name="Comma 15 3 4 2 4 2" xfId="38684"/>
    <cellStyle name="Comma 15 3 4 2 5" xfId="38685"/>
    <cellStyle name="Comma 15 3 4 2 6" xfId="38686"/>
    <cellStyle name="Comma 15 3 4 3" xfId="38687"/>
    <cellStyle name="Comma 15 3 4 3 2" xfId="38688"/>
    <cellStyle name="Comma 15 3 4 3 2 2" xfId="38689"/>
    <cellStyle name="Comma 15 3 4 3 2 3" xfId="38690"/>
    <cellStyle name="Comma 15 3 4 3 3" xfId="38691"/>
    <cellStyle name="Comma 15 3 4 3 3 2" xfId="38692"/>
    <cellStyle name="Comma 15 3 4 3 3 3" xfId="38693"/>
    <cellStyle name="Comma 15 3 4 3 4" xfId="38694"/>
    <cellStyle name="Comma 15 3 4 3 4 2" xfId="38695"/>
    <cellStyle name="Comma 15 3 4 3 5" xfId="38696"/>
    <cellStyle name="Comma 15 3 4 3 6" xfId="38697"/>
    <cellStyle name="Comma 15 3 4 4" xfId="38698"/>
    <cellStyle name="Comma 15 3 4 4 2" xfId="38699"/>
    <cellStyle name="Comma 15 3 4 4 2 2" xfId="38700"/>
    <cellStyle name="Comma 15 3 4 4 2 3" xfId="38701"/>
    <cellStyle name="Comma 15 3 4 4 3" xfId="38702"/>
    <cellStyle name="Comma 15 3 4 4 3 2" xfId="38703"/>
    <cellStyle name="Comma 15 3 4 4 4" xfId="38704"/>
    <cellStyle name="Comma 15 3 4 4 5" xfId="38705"/>
    <cellStyle name="Comma 15 3 4 5" xfId="38706"/>
    <cellStyle name="Comma 15 3 4 5 2" xfId="38707"/>
    <cellStyle name="Comma 15 3 4 5 3" xfId="38708"/>
    <cellStyle name="Comma 15 3 4 6" xfId="38709"/>
    <cellStyle name="Comma 15 3 4 6 2" xfId="38710"/>
    <cellStyle name="Comma 15 3 4 6 3" xfId="38711"/>
    <cellStyle name="Comma 15 3 4 7" xfId="38712"/>
    <cellStyle name="Comma 15 3 4 7 2" xfId="38713"/>
    <cellStyle name="Comma 15 3 4 8" xfId="38714"/>
    <cellStyle name="Comma 15 3 4 9" xfId="38715"/>
    <cellStyle name="Comma 15 3 5" xfId="38716"/>
    <cellStyle name="Comma 15 3 5 2" xfId="38717"/>
    <cellStyle name="Comma 15 3 5 2 2" xfId="38718"/>
    <cellStyle name="Comma 15 3 5 2 2 2" xfId="38719"/>
    <cellStyle name="Comma 15 3 5 2 2 3" xfId="38720"/>
    <cellStyle name="Comma 15 3 5 2 3" xfId="38721"/>
    <cellStyle name="Comma 15 3 5 2 3 2" xfId="38722"/>
    <cellStyle name="Comma 15 3 5 2 3 3" xfId="38723"/>
    <cellStyle name="Comma 15 3 5 2 4" xfId="38724"/>
    <cellStyle name="Comma 15 3 5 2 4 2" xfId="38725"/>
    <cellStyle name="Comma 15 3 5 2 5" xfId="38726"/>
    <cellStyle name="Comma 15 3 5 2 6" xfId="38727"/>
    <cellStyle name="Comma 15 3 5 3" xfId="38728"/>
    <cellStyle name="Comma 15 3 5 3 2" xfId="38729"/>
    <cellStyle name="Comma 15 3 5 3 2 2" xfId="38730"/>
    <cellStyle name="Comma 15 3 5 3 2 3" xfId="38731"/>
    <cellStyle name="Comma 15 3 5 3 3" xfId="38732"/>
    <cellStyle name="Comma 15 3 5 3 3 2" xfId="38733"/>
    <cellStyle name="Comma 15 3 5 3 3 3" xfId="38734"/>
    <cellStyle name="Comma 15 3 5 3 4" xfId="38735"/>
    <cellStyle name="Comma 15 3 5 3 4 2" xfId="38736"/>
    <cellStyle name="Comma 15 3 5 3 5" xfId="38737"/>
    <cellStyle name="Comma 15 3 5 3 6" xfId="38738"/>
    <cellStyle name="Comma 15 3 5 4" xfId="38739"/>
    <cellStyle name="Comma 15 3 5 4 2" xfId="38740"/>
    <cellStyle name="Comma 15 3 5 4 2 2" xfId="38741"/>
    <cellStyle name="Comma 15 3 5 4 2 3" xfId="38742"/>
    <cellStyle name="Comma 15 3 5 4 3" xfId="38743"/>
    <cellStyle name="Comma 15 3 5 4 3 2" xfId="38744"/>
    <cellStyle name="Comma 15 3 5 4 4" xfId="38745"/>
    <cellStyle name="Comma 15 3 5 4 5" xfId="38746"/>
    <cellStyle name="Comma 15 3 5 5" xfId="38747"/>
    <cellStyle name="Comma 15 3 5 5 2" xfId="38748"/>
    <cellStyle name="Comma 15 3 5 5 3" xfId="38749"/>
    <cellStyle name="Comma 15 3 5 6" xfId="38750"/>
    <cellStyle name="Comma 15 3 5 6 2" xfId="38751"/>
    <cellStyle name="Comma 15 3 5 6 3" xfId="38752"/>
    <cellStyle name="Comma 15 3 5 7" xfId="38753"/>
    <cellStyle name="Comma 15 3 5 7 2" xfId="38754"/>
    <cellStyle name="Comma 15 3 5 8" xfId="38755"/>
    <cellStyle name="Comma 15 3 5 9" xfId="38756"/>
    <cellStyle name="Comma 15 3 6" xfId="38757"/>
    <cellStyle name="Comma 15 3 6 2" xfId="38758"/>
    <cellStyle name="Comma 15 3 6 2 2" xfId="38759"/>
    <cellStyle name="Comma 15 3 6 2 3" xfId="38760"/>
    <cellStyle name="Comma 15 3 6 3" xfId="38761"/>
    <cellStyle name="Comma 15 3 6 3 2" xfId="38762"/>
    <cellStyle name="Comma 15 3 6 3 3" xfId="38763"/>
    <cellStyle name="Comma 15 3 6 4" xfId="38764"/>
    <cellStyle name="Comma 15 3 6 4 2" xfId="38765"/>
    <cellStyle name="Comma 15 3 6 5" xfId="38766"/>
    <cellStyle name="Comma 15 3 6 6" xfId="38767"/>
    <cellStyle name="Comma 15 3 7" xfId="38768"/>
    <cellStyle name="Comma 15 3 7 2" xfId="38769"/>
    <cellStyle name="Comma 15 3 7 2 2" xfId="38770"/>
    <cellStyle name="Comma 15 3 7 2 3" xfId="38771"/>
    <cellStyle name="Comma 15 3 7 3" xfId="38772"/>
    <cellStyle name="Comma 15 3 7 3 2" xfId="38773"/>
    <cellStyle name="Comma 15 3 7 3 3" xfId="38774"/>
    <cellStyle name="Comma 15 3 7 4" xfId="38775"/>
    <cellStyle name="Comma 15 3 7 4 2" xfId="38776"/>
    <cellStyle name="Comma 15 3 7 5" xfId="38777"/>
    <cellStyle name="Comma 15 3 7 6" xfId="38778"/>
    <cellStyle name="Comma 15 3 8" xfId="38779"/>
    <cellStyle name="Comma 15 3 8 2" xfId="38780"/>
    <cellStyle name="Comma 15 3 8 2 2" xfId="38781"/>
    <cellStyle name="Comma 15 3 8 2 3" xfId="38782"/>
    <cellStyle name="Comma 15 3 8 3" xfId="38783"/>
    <cellStyle name="Comma 15 3 8 3 2" xfId="38784"/>
    <cellStyle name="Comma 15 3 8 4" xfId="38785"/>
    <cellStyle name="Comma 15 3 8 5" xfId="38786"/>
    <cellStyle name="Comma 15 3 9" xfId="38787"/>
    <cellStyle name="Comma 15 3 9 2" xfId="38788"/>
    <cellStyle name="Comma 15 3 9 3" xfId="38789"/>
    <cellStyle name="Comma 15 4" xfId="38790"/>
    <cellStyle name="Comma 15 4 10" xfId="38791"/>
    <cellStyle name="Comma 15 4 10 2" xfId="38792"/>
    <cellStyle name="Comma 15 4 11" xfId="38793"/>
    <cellStyle name="Comma 15 4 12" xfId="38794"/>
    <cellStyle name="Comma 15 4 2" xfId="38795"/>
    <cellStyle name="Comma 15 4 2 10" xfId="38796"/>
    <cellStyle name="Comma 15 4 2 2" xfId="38797"/>
    <cellStyle name="Comma 15 4 2 2 2" xfId="38798"/>
    <cellStyle name="Comma 15 4 2 2 2 2" xfId="38799"/>
    <cellStyle name="Comma 15 4 2 2 2 2 2" xfId="38800"/>
    <cellStyle name="Comma 15 4 2 2 2 2 3" xfId="38801"/>
    <cellStyle name="Comma 15 4 2 2 2 3" xfId="38802"/>
    <cellStyle name="Comma 15 4 2 2 2 3 2" xfId="38803"/>
    <cellStyle name="Comma 15 4 2 2 2 3 3" xfId="38804"/>
    <cellStyle name="Comma 15 4 2 2 2 4" xfId="38805"/>
    <cellStyle name="Comma 15 4 2 2 2 4 2" xfId="38806"/>
    <cellStyle name="Comma 15 4 2 2 2 5" xfId="38807"/>
    <cellStyle name="Comma 15 4 2 2 2 6" xfId="38808"/>
    <cellStyle name="Comma 15 4 2 2 3" xfId="38809"/>
    <cellStyle name="Comma 15 4 2 2 3 2" xfId="38810"/>
    <cellStyle name="Comma 15 4 2 2 3 2 2" xfId="38811"/>
    <cellStyle name="Comma 15 4 2 2 3 2 3" xfId="38812"/>
    <cellStyle name="Comma 15 4 2 2 3 3" xfId="38813"/>
    <cellStyle name="Comma 15 4 2 2 3 3 2" xfId="38814"/>
    <cellStyle name="Comma 15 4 2 2 3 3 3" xfId="38815"/>
    <cellStyle name="Comma 15 4 2 2 3 4" xfId="38816"/>
    <cellStyle name="Comma 15 4 2 2 3 4 2" xfId="38817"/>
    <cellStyle name="Comma 15 4 2 2 3 5" xfId="38818"/>
    <cellStyle name="Comma 15 4 2 2 3 6" xfId="38819"/>
    <cellStyle name="Comma 15 4 2 2 4" xfId="38820"/>
    <cellStyle name="Comma 15 4 2 2 4 2" xfId="38821"/>
    <cellStyle name="Comma 15 4 2 2 4 2 2" xfId="38822"/>
    <cellStyle name="Comma 15 4 2 2 4 2 3" xfId="38823"/>
    <cellStyle name="Comma 15 4 2 2 4 3" xfId="38824"/>
    <cellStyle name="Comma 15 4 2 2 4 3 2" xfId="38825"/>
    <cellStyle name="Comma 15 4 2 2 4 4" xfId="38826"/>
    <cellStyle name="Comma 15 4 2 2 4 5" xfId="38827"/>
    <cellStyle name="Comma 15 4 2 2 5" xfId="38828"/>
    <cellStyle name="Comma 15 4 2 2 5 2" xfId="38829"/>
    <cellStyle name="Comma 15 4 2 2 5 3" xfId="38830"/>
    <cellStyle name="Comma 15 4 2 2 6" xfId="38831"/>
    <cellStyle name="Comma 15 4 2 2 6 2" xfId="38832"/>
    <cellStyle name="Comma 15 4 2 2 6 3" xfId="38833"/>
    <cellStyle name="Comma 15 4 2 2 7" xfId="38834"/>
    <cellStyle name="Comma 15 4 2 2 7 2" xfId="38835"/>
    <cellStyle name="Comma 15 4 2 2 8" xfId="38836"/>
    <cellStyle name="Comma 15 4 2 2 9" xfId="38837"/>
    <cellStyle name="Comma 15 4 2 3" xfId="38838"/>
    <cellStyle name="Comma 15 4 2 3 2" xfId="38839"/>
    <cellStyle name="Comma 15 4 2 3 2 2" xfId="38840"/>
    <cellStyle name="Comma 15 4 2 3 2 3" xfId="38841"/>
    <cellStyle name="Comma 15 4 2 3 3" xfId="38842"/>
    <cellStyle name="Comma 15 4 2 3 3 2" xfId="38843"/>
    <cellStyle name="Comma 15 4 2 3 3 3" xfId="38844"/>
    <cellStyle name="Comma 15 4 2 3 4" xfId="38845"/>
    <cellStyle name="Comma 15 4 2 3 4 2" xfId="38846"/>
    <cellStyle name="Comma 15 4 2 3 5" xfId="38847"/>
    <cellStyle name="Comma 15 4 2 3 6" xfId="38848"/>
    <cellStyle name="Comma 15 4 2 4" xfId="38849"/>
    <cellStyle name="Comma 15 4 2 4 2" xfId="38850"/>
    <cellStyle name="Comma 15 4 2 4 2 2" xfId="38851"/>
    <cellStyle name="Comma 15 4 2 4 2 3" xfId="38852"/>
    <cellStyle name="Comma 15 4 2 4 3" xfId="38853"/>
    <cellStyle name="Comma 15 4 2 4 3 2" xfId="38854"/>
    <cellStyle name="Comma 15 4 2 4 3 3" xfId="38855"/>
    <cellStyle name="Comma 15 4 2 4 4" xfId="38856"/>
    <cellStyle name="Comma 15 4 2 4 4 2" xfId="38857"/>
    <cellStyle name="Comma 15 4 2 4 5" xfId="38858"/>
    <cellStyle name="Comma 15 4 2 4 6" xfId="38859"/>
    <cellStyle name="Comma 15 4 2 5" xfId="38860"/>
    <cellStyle name="Comma 15 4 2 5 2" xfId="38861"/>
    <cellStyle name="Comma 15 4 2 5 2 2" xfId="38862"/>
    <cellStyle name="Comma 15 4 2 5 2 3" xfId="38863"/>
    <cellStyle name="Comma 15 4 2 5 3" xfId="38864"/>
    <cellStyle name="Comma 15 4 2 5 3 2" xfId="38865"/>
    <cellStyle name="Comma 15 4 2 5 4" xfId="38866"/>
    <cellStyle name="Comma 15 4 2 5 5" xfId="38867"/>
    <cellStyle name="Comma 15 4 2 6" xfId="38868"/>
    <cellStyle name="Comma 15 4 2 6 2" xfId="38869"/>
    <cellStyle name="Comma 15 4 2 6 3" xfId="38870"/>
    <cellStyle name="Comma 15 4 2 7" xfId="38871"/>
    <cellStyle name="Comma 15 4 2 7 2" xfId="38872"/>
    <cellStyle name="Comma 15 4 2 7 3" xfId="38873"/>
    <cellStyle name="Comma 15 4 2 8" xfId="38874"/>
    <cellStyle name="Comma 15 4 2 8 2" xfId="38875"/>
    <cellStyle name="Comma 15 4 2 9" xfId="38876"/>
    <cellStyle name="Comma 15 4 3" xfId="38877"/>
    <cellStyle name="Comma 15 4 3 2" xfId="38878"/>
    <cellStyle name="Comma 15 4 3 2 2" xfId="38879"/>
    <cellStyle name="Comma 15 4 3 2 2 2" xfId="38880"/>
    <cellStyle name="Comma 15 4 3 2 2 3" xfId="38881"/>
    <cellStyle name="Comma 15 4 3 2 3" xfId="38882"/>
    <cellStyle name="Comma 15 4 3 2 3 2" xfId="38883"/>
    <cellStyle name="Comma 15 4 3 2 3 3" xfId="38884"/>
    <cellStyle name="Comma 15 4 3 2 4" xfId="38885"/>
    <cellStyle name="Comma 15 4 3 2 4 2" xfId="38886"/>
    <cellStyle name="Comma 15 4 3 2 5" xfId="38887"/>
    <cellStyle name="Comma 15 4 3 2 6" xfId="38888"/>
    <cellStyle name="Comma 15 4 3 3" xfId="38889"/>
    <cellStyle name="Comma 15 4 3 3 2" xfId="38890"/>
    <cellStyle name="Comma 15 4 3 3 2 2" xfId="38891"/>
    <cellStyle name="Comma 15 4 3 3 2 3" xfId="38892"/>
    <cellStyle name="Comma 15 4 3 3 3" xfId="38893"/>
    <cellStyle name="Comma 15 4 3 3 3 2" xfId="38894"/>
    <cellStyle name="Comma 15 4 3 3 3 3" xfId="38895"/>
    <cellStyle name="Comma 15 4 3 3 4" xfId="38896"/>
    <cellStyle name="Comma 15 4 3 3 4 2" xfId="38897"/>
    <cellStyle name="Comma 15 4 3 3 5" xfId="38898"/>
    <cellStyle name="Comma 15 4 3 3 6" xfId="38899"/>
    <cellStyle name="Comma 15 4 3 4" xfId="38900"/>
    <cellStyle name="Comma 15 4 3 4 2" xfId="38901"/>
    <cellStyle name="Comma 15 4 3 4 2 2" xfId="38902"/>
    <cellStyle name="Comma 15 4 3 4 2 3" xfId="38903"/>
    <cellStyle name="Comma 15 4 3 4 3" xfId="38904"/>
    <cellStyle name="Comma 15 4 3 4 3 2" xfId="38905"/>
    <cellStyle name="Comma 15 4 3 4 4" xfId="38906"/>
    <cellStyle name="Comma 15 4 3 4 5" xfId="38907"/>
    <cellStyle name="Comma 15 4 3 5" xfId="38908"/>
    <cellStyle name="Comma 15 4 3 5 2" xfId="38909"/>
    <cellStyle name="Comma 15 4 3 5 3" xfId="38910"/>
    <cellStyle name="Comma 15 4 3 6" xfId="38911"/>
    <cellStyle name="Comma 15 4 3 6 2" xfId="38912"/>
    <cellStyle name="Comma 15 4 3 6 3" xfId="38913"/>
    <cellStyle name="Comma 15 4 3 7" xfId="38914"/>
    <cellStyle name="Comma 15 4 3 7 2" xfId="38915"/>
    <cellStyle name="Comma 15 4 3 8" xfId="38916"/>
    <cellStyle name="Comma 15 4 3 9" xfId="38917"/>
    <cellStyle name="Comma 15 4 4" xfId="38918"/>
    <cellStyle name="Comma 15 4 4 2" xfId="38919"/>
    <cellStyle name="Comma 15 4 4 2 2" xfId="38920"/>
    <cellStyle name="Comma 15 4 4 2 2 2" xfId="38921"/>
    <cellStyle name="Comma 15 4 4 2 2 3" xfId="38922"/>
    <cellStyle name="Comma 15 4 4 2 3" xfId="38923"/>
    <cellStyle name="Comma 15 4 4 2 3 2" xfId="38924"/>
    <cellStyle name="Comma 15 4 4 2 3 3" xfId="38925"/>
    <cellStyle name="Comma 15 4 4 2 4" xfId="38926"/>
    <cellStyle name="Comma 15 4 4 2 4 2" xfId="38927"/>
    <cellStyle name="Comma 15 4 4 2 5" xfId="38928"/>
    <cellStyle name="Comma 15 4 4 2 6" xfId="38929"/>
    <cellStyle name="Comma 15 4 4 3" xfId="38930"/>
    <cellStyle name="Comma 15 4 4 3 2" xfId="38931"/>
    <cellStyle name="Comma 15 4 4 3 2 2" xfId="38932"/>
    <cellStyle name="Comma 15 4 4 3 2 3" xfId="38933"/>
    <cellStyle name="Comma 15 4 4 3 3" xfId="38934"/>
    <cellStyle name="Comma 15 4 4 3 3 2" xfId="38935"/>
    <cellStyle name="Comma 15 4 4 3 3 3" xfId="38936"/>
    <cellStyle name="Comma 15 4 4 3 4" xfId="38937"/>
    <cellStyle name="Comma 15 4 4 3 4 2" xfId="38938"/>
    <cellStyle name="Comma 15 4 4 3 5" xfId="38939"/>
    <cellStyle name="Comma 15 4 4 3 6" xfId="38940"/>
    <cellStyle name="Comma 15 4 4 4" xfId="38941"/>
    <cellStyle name="Comma 15 4 4 4 2" xfId="38942"/>
    <cellStyle name="Comma 15 4 4 4 2 2" xfId="38943"/>
    <cellStyle name="Comma 15 4 4 4 2 3" xfId="38944"/>
    <cellStyle name="Comma 15 4 4 4 3" xfId="38945"/>
    <cellStyle name="Comma 15 4 4 4 3 2" xfId="38946"/>
    <cellStyle name="Comma 15 4 4 4 4" xfId="38947"/>
    <cellStyle name="Comma 15 4 4 4 5" xfId="38948"/>
    <cellStyle name="Comma 15 4 4 5" xfId="38949"/>
    <cellStyle name="Comma 15 4 4 5 2" xfId="38950"/>
    <cellStyle name="Comma 15 4 4 5 3" xfId="38951"/>
    <cellStyle name="Comma 15 4 4 6" xfId="38952"/>
    <cellStyle name="Comma 15 4 4 6 2" xfId="38953"/>
    <cellStyle name="Comma 15 4 4 6 3" xfId="38954"/>
    <cellStyle name="Comma 15 4 4 7" xfId="38955"/>
    <cellStyle name="Comma 15 4 4 7 2" xfId="38956"/>
    <cellStyle name="Comma 15 4 4 8" xfId="38957"/>
    <cellStyle name="Comma 15 4 4 9" xfId="38958"/>
    <cellStyle name="Comma 15 4 5" xfId="38959"/>
    <cellStyle name="Comma 15 4 5 2" xfId="38960"/>
    <cellStyle name="Comma 15 4 5 2 2" xfId="38961"/>
    <cellStyle name="Comma 15 4 5 2 3" xfId="38962"/>
    <cellStyle name="Comma 15 4 5 3" xfId="38963"/>
    <cellStyle name="Comma 15 4 5 3 2" xfId="38964"/>
    <cellStyle name="Comma 15 4 5 3 3" xfId="38965"/>
    <cellStyle name="Comma 15 4 5 4" xfId="38966"/>
    <cellStyle name="Comma 15 4 5 4 2" xfId="38967"/>
    <cellStyle name="Comma 15 4 5 5" xfId="38968"/>
    <cellStyle name="Comma 15 4 5 6" xfId="38969"/>
    <cellStyle name="Comma 15 4 6" xfId="38970"/>
    <cellStyle name="Comma 15 4 6 2" xfId="38971"/>
    <cellStyle name="Comma 15 4 6 2 2" xfId="38972"/>
    <cellStyle name="Comma 15 4 6 2 3" xfId="38973"/>
    <cellStyle name="Comma 15 4 6 3" xfId="38974"/>
    <cellStyle name="Comma 15 4 6 3 2" xfId="38975"/>
    <cellStyle name="Comma 15 4 6 3 3" xfId="38976"/>
    <cellStyle name="Comma 15 4 6 4" xfId="38977"/>
    <cellStyle name="Comma 15 4 6 4 2" xfId="38978"/>
    <cellStyle name="Comma 15 4 6 5" xfId="38979"/>
    <cellStyle name="Comma 15 4 6 6" xfId="38980"/>
    <cellStyle name="Comma 15 4 7" xfId="38981"/>
    <cellStyle name="Comma 15 4 7 2" xfId="38982"/>
    <cellStyle name="Comma 15 4 7 2 2" xfId="38983"/>
    <cellStyle name="Comma 15 4 7 2 3" xfId="38984"/>
    <cellStyle name="Comma 15 4 7 3" xfId="38985"/>
    <cellStyle name="Comma 15 4 7 3 2" xfId="38986"/>
    <cellStyle name="Comma 15 4 7 4" xfId="38987"/>
    <cellStyle name="Comma 15 4 7 5" xfId="38988"/>
    <cellStyle name="Comma 15 4 8" xfId="38989"/>
    <cellStyle name="Comma 15 4 8 2" xfId="38990"/>
    <cellStyle name="Comma 15 4 8 3" xfId="38991"/>
    <cellStyle name="Comma 15 4 9" xfId="38992"/>
    <cellStyle name="Comma 15 4 9 2" xfId="38993"/>
    <cellStyle name="Comma 15 4 9 3" xfId="38994"/>
    <cellStyle name="Comma 15 5" xfId="38995"/>
    <cellStyle name="Comma 15 5 10" xfId="38996"/>
    <cellStyle name="Comma 15 5 2" xfId="38997"/>
    <cellStyle name="Comma 15 5 2 2" xfId="38998"/>
    <cellStyle name="Comma 15 5 2 2 2" xfId="38999"/>
    <cellStyle name="Comma 15 5 2 2 2 2" xfId="39000"/>
    <cellStyle name="Comma 15 5 2 2 2 3" xfId="39001"/>
    <cellStyle name="Comma 15 5 2 2 3" xfId="39002"/>
    <cellStyle name="Comma 15 5 2 2 3 2" xfId="39003"/>
    <cellStyle name="Comma 15 5 2 2 3 3" xfId="39004"/>
    <cellStyle name="Comma 15 5 2 2 4" xfId="39005"/>
    <cellStyle name="Comma 15 5 2 2 4 2" xfId="39006"/>
    <cellStyle name="Comma 15 5 2 2 5" xfId="39007"/>
    <cellStyle name="Comma 15 5 2 2 6" xfId="39008"/>
    <cellStyle name="Comma 15 5 2 3" xfId="39009"/>
    <cellStyle name="Comma 15 5 2 3 2" xfId="39010"/>
    <cellStyle name="Comma 15 5 2 3 2 2" xfId="39011"/>
    <cellStyle name="Comma 15 5 2 3 2 3" xfId="39012"/>
    <cellStyle name="Comma 15 5 2 3 3" xfId="39013"/>
    <cellStyle name="Comma 15 5 2 3 3 2" xfId="39014"/>
    <cellStyle name="Comma 15 5 2 3 3 3" xfId="39015"/>
    <cellStyle name="Comma 15 5 2 3 4" xfId="39016"/>
    <cellStyle name="Comma 15 5 2 3 4 2" xfId="39017"/>
    <cellStyle name="Comma 15 5 2 3 5" xfId="39018"/>
    <cellStyle name="Comma 15 5 2 3 6" xfId="39019"/>
    <cellStyle name="Comma 15 5 2 4" xfId="39020"/>
    <cellStyle name="Comma 15 5 2 4 2" xfId="39021"/>
    <cellStyle name="Comma 15 5 2 4 2 2" xfId="39022"/>
    <cellStyle name="Comma 15 5 2 4 2 3" xfId="39023"/>
    <cellStyle name="Comma 15 5 2 4 3" xfId="39024"/>
    <cellStyle name="Comma 15 5 2 4 3 2" xfId="39025"/>
    <cellStyle name="Comma 15 5 2 4 4" xfId="39026"/>
    <cellStyle name="Comma 15 5 2 4 5" xfId="39027"/>
    <cellStyle name="Comma 15 5 2 5" xfId="39028"/>
    <cellStyle name="Comma 15 5 2 5 2" xfId="39029"/>
    <cellStyle name="Comma 15 5 2 5 3" xfId="39030"/>
    <cellStyle name="Comma 15 5 2 6" xfId="39031"/>
    <cellStyle name="Comma 15 5 2 6 2" xfId="39032"/>
    <cellStyle name="Comma 15 5 2 6 3" xfId="39033"/>
    <cellStyle name="Comma 15 5 2 7" xfId="39034"/>
    <cellStyle name="Comma 15 5 2 7 2" xfId="39035"/>
    <cellStyle name="Comma 15 5 2 8" xfId="39036"/>
    <cellStyle name="Comma 15 5 2 9" xfId="39037"/>
    <cellStyle name="Comma 15 5 3" xfId="39038"/>
    <cellStyle name="Comma 15 5 3 2" xfId="39039"/>
    <cellStyle name="Comma 15 5 3 2 2" xfId="39040"/>
    <cellStyle name="Comma 15 5 3 2 3" xfId="39041"/>
    <cellStyle name="Comma 15 5 3 3" xfId="39042"/>
    <cellStyle name="Comma 15 5 3 3 2" xfId="39043"/>
    <cellStyle name="Comma 15 5 3 3 3" xfId="39044"/>
    <cellStyle name="Comma 15 5 3 4" xfId="39045"/>
    <cellStyle name="Comma 15 5 3 4 2" xfId="39046"/>
    <cellStyle name="Comma 15 5 3 5" xfId="39047"/>
    <cellStyle name="Comma 15 5 3 6" xfId="39048"/>
    <cellStyle name="Comma 15 5 4" xfId="39049"/>
    <cellStyle name="Comma 15 5 4 2" xfId="39050"/>
    <cellStyle name="Comma 15 5 4 2 2" xfId="39051"/>
    <cellStyle name="Comma 15 5 4 2 3" xfId="39052"/>
    <cellStyle name="Comma 15 5 4 3" xfId="39053"/>
    <cellStyle name="Comma 15 5 4 3 2" xfId="39054"/>
    <cellStyle name="Comma 15 5 4 3 3" xfId="39055"/>
    <cellStyle name="Comma 15 5 4 4" xfId="39056"/>
    <cellStyle name="Comma 15 5 4 4 2" xfId="39057"/>
    <cellStyle name="Comma 15 5 4 5" xfId="39058"/>
    <cellStyle name="Comma 15 5 4 6" xfId="39059"/>
    <cellStyle name="Comma 15 5 5" xfId="39060"/>
    <cellStyle name="Comma 15 5 5 2" xfId="39061"/>
    <cellStyle name="Comma 15 5 5 2 2" xfId="39062"/>
    <cellStyle name="Comma 15 5 5 2 3" xfId="39063"/>
    <cellStyle name="Comma 15 5 5 3" xfId="39064"/>
    <cellStyle name="Comma 15 5 5 3 2" xfId="39065"/>
    <cellStyle name="Comma 15 5 5 4" xfId="39066"/>
    <cellStyle name="Comma 15 5 5 5" xfId="39067"/>
    <cellStyle name="Comma 15 5 6" xfId="39068"/>
    <cellStyle name="Comma 15 5 6 2" xfId="39069"/>
    <cellStyle name="Comma 15 5 6 3" xfId="39070"/>
    <cellStyle name="Comma 15 5 7" xfId="39071"/>
    <cellStyle name="Comma 15 5 7 2" xfId="39072"/>
    <cellStyle name="Comma 15 5 7 3" xfId="39073"/>
    <cellStyle name="Comma 15 5 8" xfId="39074"/>
    <cellStyle name="Comma 15 5 8 2" xfId="39075"/>
    <cellStyle name="Comma 15 5 9" xfId="39076"/>
    <cellStyle name="Comma 15 6" xfId="39077"/>
    <cellStyle name="Comma 15 6 2" xfId="39078"/>
    <cellStyle name="Comma 15 6 2 2" xfId="39079"/>
    <cellStyle name="Comma 15 6 2 2 2" xfId="39080"/>
    <cellStyle name="Comma 15 6 2 2 3" xfId="39081"/>
    <cellStyle name="Comma 15 6 2 3" xfId="39082"/>
    <cellStyle name="Comma 15 6 2 3 2" xfId="39083"/>
    <cellStyle name="Comma 15 6 2 3 3" xfId="39084"/>
    <cellStyle name="Comma 15 6 2 4" xfId="39085"/>
    <cellStyle name="Comma 15 6 2 4 2" xfId="39086"/>
    <cellStyle name="Comma 15 6 2 5" xfId="39087"/>
    <cellStyle name="Comma 15 6 2 6" xfId="39088"/>
    <cellStyle name="Comma 15 6 3" xfId="39089"/>
    <cellStyle name="Comma 15 6 3 2" xfId="39090"/>
    <cellStyle name="Comma 15 6 3 2 2" xfId="39091"/>
    <cellStyle name="Comma 15 6 3 2 3" xfId="39092"/>
    <cellStyle name="Comma 15 6 3 3" xfId="39093"/>
    <cellStyle name="Comma 15 6 3 3 2" xfId="39094"/>
    <cellStyle name="Comma 15 6 3 3 3" xfId="39095"/>
    <cellStyle name="Comma 15 6 3 4" xfId="39096"/>
    <cellStyle name="Comma 15 6 3 4 2" xfId="39097"/>
    <cellStyle name="Comma 15 6 3 5" xfId="39098"/>
    <cellStyle name="Comma 15 6 3 6" xfId="39099"/>
    <cellStyle name="Comma 15 6 4" xfId="39100"/>
    <cellStyle name="Comma 15 6 4 2" xfId="39101"/>
    <cellStyle name="Comma 15 6 4 2 2" xfId="39102"/>
    <cellStyle name="Comma 15 6 4 2 3" xfId="39103"/>
    <cellStyle name="Comma 15 6 4 3" xfId="39104"/>
    <cellStyle name="Comma 15 6 4 3 2" xfId="39105"/>
    <cellStyle name="Comma 15 6 4 4" xfId="39106"/>
    <cellStyle name="Comma 15 6 4 5" xfId="39107"/>
    <cellStyle name="Comma 15 6 5" xfId="39108"/>
    <cellStyle name="Comma 15 6 5 2" xfId="39109"/>
    <cellStyle name="Comma 15 6 5 3" xfId="39110"/>
    <cellStyle name="Comma 15 6 6" xfId="39111"/>
    <cellStyle name="Comma 15 6 6 2" xfId="39112"/>
    <cellStyle name="Comma 15 6 6 3" xfId="39113"/>
    <cellStyle name="Comma 15 6 7" xfId="39114"/>
    <cellStyle name="Comma 15 6 7 2" xfId="39115"/>
    <cellStyle name="Comma 15 6 8" xfId="39116"/>
    <cellStyle name="Comma 15 6 9" xfId="39117"/>
    <cellStyle name="Comma 15 7" xfId="39118"/>
    <cellStyle name="Comma 15 7 2" xfId="39119"/>
    <cellStyle name="Comma 15 7 2 2" xfId="39120"/>
    <cellStyle name="Comma 15 7 2 2 2" xfId="39121"/>
    <cellStyle name="Comma 15 7 2 2 3" xfId="39122"/>
    <cellStyle name="Comma 15 7 2 3" xfId="39123"/>
    <cellStyle name="Comma 15 7 2 3 2" xfId="39124"/>
    <cellStyle name="Comma 15 7 2 3 3" xfId="39125"/>
    <cellStyle name="Comma 15 7 2 4" xfId="39126"/>
    <cellStyle name="Comma 15 7 2 4 2" xfId="39127"/>
    <cellStyle name="Comma 15 7 2 5" xfId="39128"/>
    <cellStyle name="Comma 15 7 2 6" xfId="39129"/>
    <cellStyle name="Comma 15 7 3" xfId="39130"/>
    <cellStyle name="Comma 15 7 3 2" xfId="39131"/>
    <cellStyle name="Comma 15 7 3 2 2" xfId="39132"/>
    <cellStyle name="Comma 15 7 3 2 3" xfId="39133"/>
    <cellStyle name="Comma 15 7 3 3" xfId="39134"/>
    <cellStyle name="Comma 15 7 3 3 2" xfId="39135"/>
    <cellStyle name="Comma 15 7 3 3 3" xfId="39136"/>
    <cellStyle name="Comma 15 7 3 4" xfId="39137"/>
    <cellStyle name="Comma 15 7 3 4 2" xfId="39138"/>
    <cellStyle name="Comma 15 7 3 5" xfId="39139"/>
    <cellStyle name="Comma 15 7 3 6" xfId="39140"/>
    <cellStyle name="Comma 15 7 4" xfId="39141"/>
    <cellStyle name="Comma 15 7 4 2" xfId="39142"/>
    <cellStyle name="Comma 15 7 4 2 2" xfId="39143"/>
    <cellStyle name="Comma 15 7 4 2 3" xfId="39144"/>
    <cellStyle name="Comma 15 7 4 3" xfId="39145"/>
    <cellStyle name="Comma 15 7 4 3 2" xfId="39146"/>
    <cellStyle name="Comma 15 7 4 4" xfId="39147"/>
    <cellStyle name="Comma 15 7 4 5" xfId="39148"/>
    <cellStyle name="Comma 15 7 5" xfId="39149"/>
    <cellStyle name="Comma 15 7 5 2" xfId="39150"/>
    <cellStyle name="Comma 15 7 5 3" xfId="39151"/>
    <cellStyle name="Comma 15 7 6" xfId="39152"/>
    <cellStyle name="Comma 15 7 6 2" xfId="39153"/>
    <cellStyle name="Comma 15 7 6 3" xfId="39154"/>
    <cellStyle name="Comma 15 7 7" xfId="39155"/>
    <cellStyle name="Comma 15 7 7 2" xfId="39156"/>
    <cellStyle name="Comma 15 7 8" xfId="39157"/>
    <cellStyle name="Comma 15 7 9" xfId="39158"/>
    <cellStyle name="Comma 15 8" xfId="39159"/>
    <cellStyle name="Comma 15 8 2" xfId="39160"/>
    <cellStyle name="Comma 15 8 2 2" xfId="39161"/>
    <cellStyle name="Comma 15 8 2 3" xfId="39162"/>
    <cellStyle name="Comma 15 8 3" xfId="39163"/>
    <cellStyle name="Comma 15 8 3 2" xfId="39164"/>
    <cellStyle name="Comma 15 8 3 3" xfId="39165"/>
    <cellStyle name="Comma 15 8 4" xfId="39166"/>
    <cellStyle name="Comma 15 8 4 2" xfId="39167"/>
    <cellStyle name="Comma 15 8 5" xfId="39168"/>
    <cellStyle name="Comma 15 8 6" xfId="39169"/>
    <cellStyle name="Comma 15 9" xfId="39170"/>
    <cellStyle name="Comma 15 9 2" xfId="39171"/>
    <cellStyle name="Comma 15 9 2 2" xfId="39172"/>
    <cellStyle name="Comma 15 9 2 3" xfId="39173"/>
    <cellStyle name="Comma 15 9 3" xfId="39174"/>
    <cellStyle name="Comma 15 9 3 2" xfId="39175"/>
    <cellStyle name="Comma 15 9 3 3" xfId="39176"/>
    <cellStyle name="Comma 15 9 4" xfId="39177"/>
    <cellStyle name="Comma 15 9 4 2" xfId="39178"/>
    <cellStyle name="Comma 15 9 5" xfId="39179"/>
    <cellStyle name="Comma 15 9 6" xfId="39180"/>
    <cellStyle name="Comma 16" xfId="3243"/>
    <cellStyle name="Comma 16 10" xfId="39181"/>
    <cellStyle name="Comma 16 10 2" xfId="39182"/>
    <cellStyle name="Comma 16 10 2 2" xfId="39183"/>
    <cellStyle name="Comma 16 10 2 3" xfId="39184"/>
    <cellStyle name="Comma 16 10 3" xfId="39185"/>
    <cellStyle name="Comma 16 10 3 2" xfId="39186"/>
    <cellStyle name="Comma 16 10 4" xfId="39187"/>
    <cellStyle name="Comma 16 10 5" xfId="39188"/>
    <cellStyle name="Comma 16 11" xfId="39189"/>
    <cellStyle name="Comma 16 11 2" xfId="39190"/>
    <cellStyle name="Comma 16 11 3" xfId="39191"/>
    <cellStyle name="Comma 16 12" xfId="39192"/>
    <cellStyle name="Comma 16 12 2" xfId="39193"/>
    <cellStyle name="Comma 16 12 3" xfId="39194"/>
    <cellStyle name="Comma 16 13" xfId="39195"/>
    <cellStyle name="Comma 16 13 2" xfId="39196"/>
    <cellStyle name="Comma 16 14" xfId="39197"/>
    <cellStyle name="Comma 16 15" xfId="39198"/>
    <cellStyle name="Comma 16 16" xfId="39199"/>
    <cellStyle name="Comma 16 2" xfId="3244"/>
    <cellStyle name="Comma 16 2 10" xfId="39200"/>
    <cellStyle name="Comma 16 2 10 2" xfId="39201"/>
    <cellStyle name="Comma 16 2 10 3" xfId="39202"/>
    <cellStyle name="Comma 16 2 11" xfId="39203"/>
    <cellStyle name="Comma 16 2 11 2" xfId="39204"/>
    <cellStyle name="Comma 16 2 11 3" xfId="39205"/>
    <cellStyle name="Comma 16 2 12" xfId="39206"/>
    <cellStyle name="Comma 16 2 12 2" xfId="39207"/>
    <cellStyle name="Comma 16 2 13" xfId="39208"/>
    <cellStyle name="Comma 16 2 14" xfId="39209"/>
    <cellStyle name="Comma 16 2 2" xfId="39210"/>
    <cellStyle name="Comma 16 2 2 10" xfId="39211"/>
    <cellStyle name="Comma 16 2 2 10 2" xfId="39212"/>
    <cellStyle name="Comma 16 2 2 10 3" xfId="39213"/>
    <cellStyle name="Comma 16 2 2 11" xfId="39214"/>
    <cellStyle name="Comma 16 2 2 11 2" xfId="39215"/>
    <cellStyle name="Comma 16 2 2 12" xfId="39216"/>
    <cellStyle name="Comma 16 2 2 13" xfId="39217"/>
    <cellStyle name="Comma 16 2 2 2" xfId="39218"/>
    <cellStyle name="Comma 16 2 2 2 10" xfId="39219"/>
    <cellStyle name="Comma 16 2 2 2 10 2" xfId="39220"/>
    <cellStyle name="Comma 16 2 2 2 11" xfId="39221"/>
    <cellStyle name="Comma 16 2 2 2 12" xfId="39222"/>
    <cellStyle name="Comma 16 2 2 2 2" xfId="39223"/>
    <cellStyle name="Comma 16 2 2 2 2 10" xfId="39224"/>
    <cellStyle name="Comma 16 2 2 2 2 2" xfId="39225"/>
    <cellStyle name="Comma 16 2 2 2 2 2 2" xfId="39226"/>
    <cellStyle name="Comma 16 2 2 2 2 2 2 2" xfId="39227"/>
    <cellStyle name="Comma 16 2 2 2 2 2 2 2 2" xfId="39228"/>
    <cellStyle name="Comma 16 2 2 2 2 2 2 2 3" xfId="39229"/>
    <cellStyle name="Comma 16 2 2 2 2 2 2 3" xfId="39230"/>
    <cellStyle name="Comma 16 2 2 2 2 2 2 3 2" xfId="39231"/>
    <cellStyle name="Comma 16 2 2 2 2 2 2 3 3" xfId="39232"/>
    <cellStyle name="Comma 16 2 2 2 2 2 2 4" xfId="39233"/>
    <cellStyle name="Comma 16 2 2 2 2 2 2 4 2" xfId="39234"/>
    <cellStyle name="Comma 16 2 2 2 2 2 2 5" xfId="39235"/>
    <cellStyle name="Comma 16 2 2 2 2 2 2 6" xfId="39236"/>
    <cellStyle name="Comma 16 2 2 2 2 2 3" xfId="39237"/>
    <cellStyle name="Comma 16 2 2 2 2 2 3 2" xfId="39238"/>
    <cellStyle name="Comma 16 2 2 2 2 2 3 2 2" xfId="39239"/>
    <cellStyle name="Comma 16 2 2 2 2 2 3 2 3" xfId="39240"/>
    <cellStyle name="Comma 16 2 2 2 2 2 3 3" xfId="39241"/>
    <cellStyle name="Comma 16 2 2 2 2 2 3 3 2" xfId="39242"/>
    <cellStyle name="Comma 16 2 2 2 2 2 3 3 3" xfId="39243"/>
    <cellStyle name="Comma 16 2 2 2 2 2 3 4" xfId="39244"/>
    <cellStyle name="Comma 16 2 2 2 2 2 3 4 2" xfId="39245"/>
    <cellStyle name="Comma 16 2 2 2 2 2 3 5" xfId="39246"/>
    <cellStyle name="Comma 16 2 2 2 2 2 3 6" xfId="39247"/>
    <cellStyle name="Comma 16 2 2 2 2 2 4" xfId="39248"/>
    <cellStyle name="Comma 16 2 2 2 2 2 4 2" xfId="39249"/>
    <cellStyle name="Comma 16 2 2 2 2 2 4 2 2" xfId="39250"/>
    <cellStyle name="Comma 16 2 2 2 2 2 4 2 3" xfId="39251"/>
    <cellStyle name="Comma 16 2 2 2 2 2 4 3" xfId="39252"/>
    <cellStyle name="Comma 16 2 2 2 2 2 4 3 2" xfId="39253"/>
    <cellStyle name="Comma 16 2 2 2 2 2 4 4" xfId="39254"/>
    <cellStyle name="Comma 16 2 2 2 2 2 4 5" xfId="39255"/>
    <cellStyle name="Comma 16 2 2 2 2 2 5" xfId="39256"/>
    <cellStyle name="Comma 16 2 2 2 2 2 5 2" xfId="39257"/>
    <cellStyle name="Comma 16 2 2 2 2 2 5 3" xfId="39258"/>
    <cellStyle name="Comma 16 2 2 2 2 2 6" xfId="39259"/>
    <cellStyle name="Comma 16 2 2 2 2 2 6 2" xfId="39260"/>
    <cellStyle name="Comma 16 2 2 2 2 2 6 3" xfId="39261"/>
    <cellStyle name="Comma 16 2 2 2 2 2 7" xfId="39262"/>
    <cellStyle name="Comma 16 2 2 2 2 2 7 2" xfId="39263"/>
    <cellStyle name="Comma 16 2 2 2 2 2 8" xfId="39264"/>
    <cellStyle name="Comma 16 2 2 2 2 2 9" xfId="39265"/>
    <cellStyle name="Comma 16 2 2 2 2 3" xfId="39266"/>
    <cellStyle name="Comma 16 2 2 2 2 3 2" xfId="39267"/>
    <cellStyle name="Comma 16 2 2 2 2 3 2 2" xfId="39268"/>
    <cellStyle name="Comma 16 2 2 2 2 3 2 3" xfId="39269"/>
    <cellStyle name="Comma 16 2 2 2 2 3 3" xfId="39270"/>
    <cellStyle name="Comma 16 2 2 2 2 3 3 2" xfId="39271"/>
    <cellStyle name="Comma 16 2 2 2 2 3 3 3" xfId="39272"/>
    <cellStyle name="Comma 16 2 2 2 2 3 4" xfId="39273"/>
    <cellStyle name="Comma 16 2 2 2 2 3 4 2" xfId="39274"/>
    <cellStyle name="Comma 16 2 2 2 2 3 5" xfId="39275"/>
    <cellStyle name="Comma 16 2 2 2 2 3 6" xfId="39276"/>
    <cellStyle name="Comma 16 2 2 2 2 4" xfId="39277"/>
    <cellStyle name="Comma 16 2 2 2 2 4 2" xfId="39278"/>
    <cellStyle name="Comma 16 2 2 2 2 4 2 2" xfId="39279"/>
    <cellStyle name="Comma 16 2 2 2 2 4 2 3" xfId="39280"/>
    <cellStyle name="Comma 16 2 2 2 2 4 3" xfId="39281"/>
    <cellStyle name="Comma 16 2 2 2 2 4 3 2" xfId="39282"/>
    <cellStyle name="Comma 16 2 2 2 2 4 3 3" xfId="39283"/>
    <cellStyle name="Comma 16 2 2 2 2 4 4" xfId="39284"/>
    <cellStyle name="Comma 16 2 2 2 2 4 4 2" xfId="39285"/>
    <cellStyle name="Comma 16 2 2 2 2 4 5" xfId="39286"/>
    <cellStyle name="Comma 16 2 2 2 2 4 6" xfId="39287"/>
    <cellStyle name="Comma 16 2 2 2 2 5" xfId="39288"/>
    <cellStyle name="Comma 16 2 2 2 2 5 2" xfId="39289"/>
    <cellStyle name="Comma 16 2 2 2 2 5 2 2" xfId="39290"/>
    <cellStyle name="Comma 16 2 2 2 2 5 2 3" xfId="39291"/>
    <cellStyle name="Comma 16 2 2 2 2 5 3" xfId="39292"/>
    <cellStyle name="Comma 16 2 2 2 2 5 3 2" xfId="39293"/>
    <cellStyle name="Comma 16 2 2 2 2 5 4" xfId="39294"/>
    <cellStyle name="Comma 16 2 2 2 2 5 5" xfId="39295"/>
    <cellStyle name="Comma 16 2 2 2 2 6" xfId="39296"/>
    <cellStyle name="Comma 16 2 2 2 2 6 2" xfId="39297"/>
    <cellStyle name="Comma 16 2 2 2 2 6 3" xfId="39298"/>
    <cellStyle name="Comma 16 2 2 2 2 7" xfId="39299"/>
    <cellStyle name="Comma 16 2 2 2 2 7 2" xfId="39300"/>
    <cellStyle name="Comma 16 2 2 2 2 7 3" xfId="39301"/>
    <cellStyle name="Comma 16 2 2 2 2 8" xfId="39302"/>
    <cellStyle name="Comma 16 2 2 2 2 8 2" xfId="39303"/>
    <cellStyle name="Comma 16 2 2 2 2 9" xfId="39304"/>
    <cellStyle name="Comma 16 2 2 2 3" xfId="39305"/>
    <cellStyle name="Comma 16 2 2 2 3 2" xfId="39306"/>
    <cellStyle name="Comma 16 2 2 2 3 2 2" xfId="39307"/>
    <cellStyle name="Comma 16 2 2 2 3 2 2 2" xfId="39308"/>
    <cellStyle name="Comma 16 2 2 2 3 2 2 3" xfId="39309"/>
    <cellStyle name="Comma 16 2 2 2 3 2 3" xfId="39310"/>
    <cellStyle name="Comma 16 2 2 2 3 2 3 2" xfId="39311"/>
    <cellStyle name="Comma 16 2 2 2 3 2 3 3" xfId="39312"/>
    <cellStyle name="Comma 16 2 2 2 3 2 4" xfId="39313"/>
    <cellStyle name="Comma 16 2 2 2 3 2 4 2" xfId="39314"/>
    <cellStyle name="Comma 16 2 2 2 3 2 5" xfId="39315"/>
    <cellStyle name="Comma 16 2 2 2 3 2 6" xfId="39316"/>
    <cellStyle name="Comma 16 2 2 2 3 3" xfId="39317"/>
    <cellStyle name="Comma 16 2 2 2 3 3 2" xfId="39318"/>
    <cellStyle name="Comma 16 2 2 2 3 3 2 2" xfId="39319"/>
    <cellStyle name="Comma 16 2 2 2 3 3 2 3" xfId="39320"/>
    <cellStyle name="Comma 16 2 2 2 3 3 3" xfId="39321"/>
    <cellStyle name="Comma 16 2 2 2 3 3 3 2" xfId="39322"/>
    <cellStyle name="Comma 16 2 2 2 3 3 3 3" xfId="39323"/>
    <cellStyle name="Comma 16 2 2 2 3 3 4" xfId="39324"/>
    <cellStyle name="Comma 16 2 2 2 3 3 4 2" xfId="39325"/>
    <cellStyle name="Comma 16 2 2 2 3 3 5" xfId="39326"/>
    <cellStyle name="Comma 16 2 2 2 3 3 6" xfId="39327"/>
    <cellStyle name="Comma 16 2 2 2 3 4" xfId="39328"/>
    <cellStyle name="Comma 16 2 2 2 3 4 2" xfId="39329"/>
    <cellStyle name="Comma 16 2 2 2 3 4 2 2" xfId="39330"/>
    <cellStyle name="Comma 16 2 2 2 3 4 2 3" xfId="39331"/>
    <cellStyle name="Comma 16 2 2 2 3 4 3" xfId="39332"/>
    <cellStyle name="Comma 16 2 2 2 3 4 3 2" xfId="39333"/>
    <cellStyle name="Comma 16 2 2 2 3 4 4" xfId="39334"/>
    <cellStyle name="Comma 16 2 2 2 3 4 5" xfId="39335"/>
    <cellStyle name="Comma 16 2 2 2 3 5" xfId="39336"/>
    <cellStyle name="Comma 16 2 2 2 3 5 2" xfId="39337"/>
    <cellStyle name="Comma 16 2 2 2 3 5 3" xfId="39338"/>
    <cellStyle name="Comma 16 2 2 2 3 6" xfId="39339"/>
    <cellStyle name="Comma 16 2 2 2 3 6 2" xfId="39340"/>
    <cellStyle name="Comma 16 2 2 2 3 6 3" xfId="39341"/>
    <cellStyle name="Comma 16 2 2 2 3 7" xfId="39342"/>
    <cellStyle name="Comma 16 2 2 2 3 7 2" xfId="39343"/>
    <cellStyle name="Comma 16 2 2 2 3 8" xfId="39344"/>
    <cellStyle name="Comma 16 2 2 2 3 9" xfId="39345"/>
    <cellStyle name="Comma 16 2 2 2 4" xfId="39346"/>
    <cellStyle name="Comma 16 2 2 2 4 2" xfId="39347"/>
    <cellStyle name="Comma 16 2 2 2 4 2 2" xfId="39348"/>
    <cellStyle name="Comma 16 2 2 2 4 2 2 2" xfId="39349"/>
    <cellStyle name="Comma 16 2 2 2 4 2 2 3" xfId="39350"/>
    <cellStyle name="Comma 16 2 2 2 4 2 3" xfId="39351"/>
    <cellStyle name="Comma 16 2 2 2 4 2 3 2" xfId="39352"/>
    <cellStyle name="Comma 16 2 2 2 4 2 3 3" xfId="39353"/>
    <cellStyle name="Comma 16 2 2 2 4 2 4" xfId="39354"/>
    <cellStyle name="Comma 16 2 2 2 4 2 4 2" xfId="39355"/>
    <cellStyle name="Comma 16 2 2 2 4 2 5" xfId="39356"/>
    <cellStyle name="Comma 16 2 2 2 4 2 6" xfId="39357"/>
    <cellStyle name="Comma 16 2 2 2 4 3" xfId="39358"/>
    <cellStyle name="Comma 16 2 2 2 4 3 2" xfId="39359"/>
    <cellStyle name="Comma 16 2 2 2 4 3 2 2" xfId="39360"/>
    <cellStyle name="Comma 16 2 2 2 4 3 2 3" xfId="39361"/>
    <cellStyle name="Comma 16 2 2 2 4 3 3" xfId="39362"/>
    <cellStyle name="Comma 16 2 2 2 4 3 3 2" xfId="39363"/>
    <cellStyle name="Comma 16 2 2 2 4 3 3 3" xfId="39364"/>
    <cellStyle name="Comma 16 2 2 2 4 3 4" xfId="39365"/>
    <cellStyle name="Comma 16 2 2 2 4 3 4 2" xfId="39366"/>
    <cellStyle name="Comma 16 2 2 2 4 3 5" xfId="39367"/>
    <cellStyle name="Comma 16 2 2 2 4 3 6" xfId="39368"/>
    <cellStyle name="Comma 16 2 2 2 4 4" xfId="39369"/>
    <cellStyle name="Comma 16 2 2 2 4 4 2" xfId="39370"/>
    <cellStyle name="Comma 16 2 2 2 4 4 2 2" xfId="39371"/>
    <cellStyle name="Comma 16 2 2 2 4 4 2 3" xfId="39372"/>
    <cellStyle name="Comma 16 2 2 2 4 4 3" xfId="39373"/>
    <cellStyle name="Comma 16 2 2 2 4 4 3 2" xfId="39374"/>
    <cellStyle name="Comma 16 2 2 2 4 4 4" xfId="39375"/>
    <cellStyle name="Comma 16 2 2 2 4 4 5" xfId="39376"/>
    <cellStyle name="Comma 16 2 2 2 4 5" xfId="39377"/>
    <cellStyle name="Comma 16 2 2 2 4 5 2" xfId="39378"/>
    <cellStyle name="Comma 16 2 2 2 4 5 3" xfId="39379"/>
    <cellStyle name="Comma 16 2 2 2 4 6" xfId="39380"/>
    <cellStyle name="Comma 16 2 2 2 4 6 2" xfId="39381"/>
    <cellStyle name="Comma 16 2 2 2 4 6 3" xfId="39382"/>
    <cellStyle name="Comma 16 2 2 2 4 7" xfId="39383"/>
    <cellStyle name="Comma 16 2 2 2 4 7 2" xfId="39384"/>
    <cellStyle name="Comma 16 2 2 2 4 8" xfId="39385"/>
    <cellStyle name="Comma 16 2 2 2 4 9" xfId="39386"/>
    <cellStyle name="Comma 16 2 2 2 5" xfId="39387"/>
    <cellStyle name="Comma 16 2 2 2 5 2" xfId="39388"/>
    <cellStyle name="Comma 16 2 2 2 5 2 2" xfId="39389"/>
    <cellStyle name="Comma 16 2 2 2 5 2 3" xfId="39390"/>
    <cellStyle name="Comma 16 2 2 2 5 3" xfId="39391"/>
    <cellStyle name="Comma 16 2 2 2 5 3 2" xfId="39392"/>
    <cellStyle name="Comma 16 2 2 2 5 3 3" xfId="39393"/>
    <cellStyle name="Comma 16 2 2 2 5 4" xfId="39394"/>
    <cellStyle name="Comma 16 2 2 2 5 4 2" xfId="39395"/>
    <cellStyle name="Comma 16 2 2 2 5 5" xfId="39396"/>
    <cellStyle name="Comma 16 2 2 2 5 6" xfId="39397"/>
    <cellStyle name="Comma 16 2 2 2 6" xfId="39398"/>
    <cellStyle name="Comma 16 2 2 2 6 2" xfId="39399"/>
    <cellStyle name="Comma 16 2 2 2 6 2 2" xfId="39400"/>
    <cellStyle name="Comma 16 2 2 2 6 2 3" xfId="39401"/>
    <cellStyle name="Comma 16 2 2 2 6 3" xfId="39402"/>
    <cellStyle name="Comma 16 2 2 2 6 3 2" xfId="39403"/>
    <cellStyle name="Comma 16 2 2 2 6 3 3" xfId="39404"/>
    <cellStyle name="Comma 16 2 2 2 6 4" xfId="39405"/>
    <cellStyle name="Comma 16 2 2 2 6 4 2" xfId="39406"/>
    <cellStyle name="Comma 16 2 2 2 6 5" xfId="39407"/>
    <cellStyle name="Comma 16 2 2 2 6 6" xfId="39408"/>
    <cellStyle name="Comma 16 2 2 2 7" xfId="39409"/>
    <cellStyle name="Comma 16 2 2 2 7 2" xfId="39410"/>
    <cellStyle name="Comma 16 2 2 2 7 2 2" xfId="39411"/>
    <cellStyle name="Comma 16 2 2 2 7 2 3" xfId="39412"/>
    <cellStyle name="Comma 16 2 2 2 7 3" xfId="39413"/>
    <cellStyle name="Comma 16 2 2 2 7 3 2" xfId="39414"/>
    <cellStyle name="Comma 16 2 2 2 7 4" xfId="39415"/>
    <cellStyle name="Comma 16 2 2 2 7 5" xfId="39416"/>
    <cellStyle name="Comma 16 2 2 2 8" xfId="39417"/>
    <cellStyle name="Comma 16 2 2 2 8 2" xfId="39418"/>
    <cellStyle name="Comma 16 2 2 2 8 3" xfId="39419"/>
    <cellStyle name="Comma 16 2 2 2 9" xfId="39420"/>
    <cellStyle name="Comma 16 2 2 2 9 2" xfId="39421"/>
    <cellStyle name="Comma 16 2 2 2 9 3" xfId="39422"/>
    <cellStyle name="Comma 16 2 2 3" xfId="39423"/>
    <cellStyle name="Comma 16 2 2 3 10" xfId="39424"/>
    <cellStyle name="Comma 16 2 2 3 2" xfId="39425"/>
    <cellStyle name="Comma 16 2 2 3 2 2" xfId="39426"/>
    <cellStyle name="Comma 16 2 2 3 2 2 2" xfId="39427"/>
    <cellStyle name="Comma 16 2 2 3 2 2 2 2" xfId="39428"/>
    <cellStyle name="Comma 16 2 2 3 2 2 2 3" xfId="39429"/>
    <cellStyle name="Comma 16 2 2 3 2 2 3" xfId="39430"/>
    <cellStyle name="Comma 16 2 2 3 2 2 3 2" xfId="39431"/>
    <cellStyle name="Comma 16 2 2 3 2 2 3 3" xfId="39432"/>
    <cellStyle name="Comma 16 2 2 3 2 2 4" xfId="39433"/>
    <cellStyle name="Comma 16 2 2 3 2 2 4 2" xfId="39434"/>
    <cellStyle name="Comma 16 2 2 3 2 2 5" xfId="39435"/>
    <cellStyle name="Comma 16 2 2 3 2 2 6" xfId="39436"/>
    <cellStyle name="Comma 16 2 2 3 2 3" xfId="39437"/>
    <cellStyle name="Comma 16 2 2 3 2 3 2" xfId="39438"/>
    <cellStyle name="Comma 16 2 2 3 2 3 2 2" xfId="39439"/>
    <cellStyle name="Comma 16 2 2 3 2 3 2 3" xfId="39440"/>
    <cellStyle name="Comma 16 2 2 3 2 3 3" xfId="39441"/>
    <cellStyle name="Comma 16 2 2 3 2 3 3 2" xfId="39442"/>
    <cellStyle name="Comma 16 2 2 3 2 3 3 3" xfId="39443"/>
    <cellStyle name="Comma 16 2 2 3 2 3 4" xfId="39444"/>
    <cellStyle name="Comma 16 2 2 3 2 3 4 2" xfId="39445"/>
    <cellStyle name="Comma 16 2 2 3 2 3 5" xfId="39446"/>
    <cellStyle name="Comma 16 2 2 3 2 3 6" xfId="39447"/>
    <cellStyle name="Comma 16 2 2 3 2 4" xfId="39448"/>
    <cellStyle name="Comma 16 2 2 3 2 4 2" xfId="39449"/>
    <cellStyle name="Comma 16 2 2 3 2 4 2 2" xfId="39450"/>
    <cellStyle name="Comma 16 2 2 3 2 4 2 3" xfId="39451"/>
    <cellStyle name="Comma 16 2 2 3 2 4 3" xfId="39452"/>
    <cellStyle name="Comma 16 2 2 3 2 4 3 2" xfId="39453"/>
    <cellStyle name="Comma 16 2 2 3 2 4 4" xfId="39454"/>
    <cellStyle name="Comma 16 2 2 3 2 4 5" xfId="39455"/>
    <cellStyle name="Comma 16 2 2 3 2 5" xfId="39456"/>
    <cellStyle name="Comma 16 2 2 3 2 5 2" xfId="39457"/>
    <cellStyle name="Comma 16 2 2 3 2 5 3" xfId="39458"/>
    <cellStyle name="Comma 16 2 2 3 2 6" xfId="39459"/>
    <cellStyle name="Comma 16 2 2 3 2 6 2" xfId="39460"/>
    <cellStyle name="Comma 16 2 2 3 2 6 3" xfId="39461"/>
    <cellStyle name="Comma 16 2 2 3 2 7" xfId="39462"/>
    <cellStyle name="Comma 16 2 2 3 2 7 2" xfId="39463"/>
    <cellStyle name="Comma 16 2 2 3 2 8" xfId="39464"/>
    <cellStyle name="Comma 16 2 2 3 2 9" xfId="39465"/>
    <cellStyle name="Comma 16 2 2 3 3" xfId="39466"/>
    <cellStyle name="Comma 16 2 2 3 3 2" xfId="39467"/>
    <cellStyle name="Comma 16 2 2 3 3 2 2" xfId="39468"/>
    <cellStyle name="Comma 16 2 2 3 3 2 3" xfId="39469"/>
    <cellStyle name="Comma 16 2 2 3 3 3" xfId="39470"/>
    <cellStyle name="Comma 16 2 2 3 3 3 2" xfId="39471"/>
    <cellStyle name="Comma 16 2 2 3 3 3 3" xfId="39472"/>
    <cellStyle name="Comma 16 2 2 3 3 4" xfId="39473"/>
    <cellStyle name="Comma 16 2 2 3 3 4 2" xfId="39474"/>
    <cellStyle name="Comma 16 2 2 3 3 5" xfId="39475"/>
    <cellStyle name="Comma 16 2 2 3 3 6" xfId="39476"/>
    <cellStyle name="Comma 16 2 2 3 4" xfId="39477"/>
    <cellStyle name="Comma 16 2 2 3 4 2" xfId="39478"/>
    <cellStyle name="Comma 16 2 2 3 4 2 2" xfId="39479"/>
    <cellStyle name="Comma 16 2 2 3 4 2 3" xfId="39480"/>
    <cellStyle name="Comma 16 2 2 3 4 3" xfId="39481"/>
    <cellStyle name="Comma 16 2 2 3 4 3 2" xfId="39482"/>
    <cellStyle name="Comma 16 2 2 3 4 3 3" xfId="39483"/>
    <cellStyle name="Comma 16 2 2 3 4 4" xfId="39484"/>
    <cellStyle name="Comma 16 2 2 3 4 4 2" xfId="39485"/>
    <cellStyle name="Comma 16 2 2 3 4 5" xfId="39486"/>
    <cellStyle name="Comma 16 2 2 3 4 6" xfId="39487"/>
    <cellStyle name="Comma 16 2 2 3 5" xfId="39488"/>
    <cellStyle name="Comma 16 2 2 3 5 2" xfId="39489"/>
    <cellStyle name="Comma 16 2 2 3 5 2 2" xfId="39490"/>
    <cellStyle name="Comma 16 2 2 3 5 2 3" xfId="39491"/>
    <cellStyle name="Comma 16 2 2 3 5 3" xfId="39492"/>
    <cellStyle name="Comma 16 2 2 3 5 3 2" xfId="39493"/>
    <cellStyle name="Comma 16 2 2 3 5 4" xfId="39494"/>
    <cellStyle name="Comma 16 2 2 3 5 5" xfId="39495"/>
    <cellStyle name="Comma 16 2 2 3 6" xfId="39496"/>
    <cellStyle name="Comma 16 2 2 3 6 2" xfId="39497"/>
    <cellStyle name="Comma 16 2 2 3 6 3" xfId="39498"/>
    <cellStyle name="Comma 16 2 2 3 7" xfId="39499"/>
    <cellStyle name="Comma 16 2 2 3 7 2" xfId="39500"/>
    <cellStyle name="Comma 16 2 2 3 7 3" xfId="39501"/>
    <cellStyle name="Comma 16 2 2 3 8" xfId="39502"/>
    <cellStyle name="Comma 16 2 2 3 8 2" xfId="39503"/>
    <cellStyle name="Comma 16 2 2 3 9" xfId="39504"/>
    <cellStyle name="Comma 16 2 2 4" xfId="39505"/>
    <cellStyle name="Comma 16 2 2 4 2" xfId="39506"/>
    <cellStyle name="Comma 16 2 2 4 2 2" xfId="39507"/>
    <cellStyle name="Comma 16 2 2 4 2 2 2" xfId="39508"/>
    <cellStyle name="Comma 16 2 2 4 2 2 3" xfId="39509"/>
    <cellStyle name="Comma 16 2 2 4 2 3" xfId="39510"/>
    <cellStyle name="Comma 16 2 2 4 2 3 2" xfId="39511"/>
    <cellStyle name="Comma 16 2 2 4 2 3 3" xfId="39512"/>
    <cellStyle name="Comma 16 2 2 4 2 4" xfId="39513"/>
    <cellStyle name="Comma 16 2 2 4 2 4 2" xfId="39514"/>
    <cellStyle name="Comma 16 2 2 4 2 5" xfId="39515"/>
    <cellStyle name="Comma 16 2 2 4 2 6" xfId="39516"/>
    <cellStyle name="Comma 16 2 2 4 3" xfId="39517"/>
    <cellStyle name="Comma 16 2 2 4 3 2" xfId="39518"/>
    <cellStyle name="Comma 16 2 2 4 3 2 2" xfId="39519"/>
    <cellStyle name="Comma 16 2 2 4 3 2 3" xfId="39520"/>
    <cellStyle name="Comma 16 2 2 4 3 3" xfId="39521"/>
    <cellStyle name="Comma 16 2 2 4 3 3 2" xfId="39522"/>
    <cellStyle name="Comma 16 2 2 4 3 3 3" xfId="39523"/>
    <cellStyle name="Comma 16 2 2 4 3 4" xfId="39524"/>
    <cellStyle name="Comma 16 2 2 4 3 4 2" xfId="39525"/>
    <cellStyle name="Comma 16 2 2 4 3 5" xfId="39526"/>
    <cellStyle name="Comma 16 2 2 4 3 6" xfId="39527"/>
    <cellStyle name="Comma 16 2 2 4 4" xfId="39528"/>
    <cellStyle name="Comma 16 2 2 4 4 2" xfId="39529"/>
    <cellStyle name="Comma 16 2 2 4 4 2 2" xfId="39530"/>
    <cellStyle name="Comma 16 2 2 4 4 2 3" xfId="39531"/>
    <cellStyle name="Comma 16 2 2 4 4 3" xfId="39532"/>
    <cellStyle name="Comma 16 2 2 4 4 3 2" xfId="39533"/>
    <cellStyle name="Comma 16 2 2 4 4 4" xfId="39534"/>
    <cellStyle name="Comma 16 2 2 4 4 5" xfId="39535"/>
    <cellStyle name="Comma 16 2 2 4 5" xfId="39536"/>
    <cellStyle name="Comma 16 2 2 4 5 2" xfId="39537"/>
    <cellStyle name="Comma 16 2 2 4 5 3" xfId="39538"/>
    <cellStyle name="Comma 16 2 2 4 6" xfId="39539"/>
    <cellStyle name="Comma 16 2 2 4 6 2" xfId="39540"/>
    <cellStyle name="Comma 16 2 2 4 6 3" xfId="39541"/>
    <cellStyle name="Comma 16 2 2 4 7" xfId="39542"/>
    <cellStyle name="Comma 16 2 2 4 7 2" xfId="39543"/>
    <cellStyle name="Comma 16 2 2 4 8" xfId="39544"/>
    <cellStyle name="Comma 16 2 2 4 9" xfId="39545"/>
    <cellStyle name="Comma 16 2 2 5" xfId="39546"/>
    <cellStyle name="Comma 16 2 2 5 2" xfId="39547"/>
    <cellStyle name="Comma 16 2 2 5 2 2" xfId="39548"/>
    <cellStyle name="Comma 16 2 2 5 2 2 2" xfId="39549"/>
    <cellStyle name="Comma 16 2 2 5 2 2 3" xfId="39550"/>
    <cellStyle name="Comma 16 2 2 5 2 3" xfId="39551"/>
    <cellStyle name="Comma 16 2 2 5 2 3 2" xfId="39552"/>
    <cellStyle name="Comma 16 2 2 5 2 3 3" xfId="39553"/>
    <cellStyle name="Comma 16 2 2 5 2 4" xfId="39554"/>
    <cellStyle name="Comma 16 2 2 5 2 4 2" xfId="39555"/>
    <cellStyle name="Comma 16 2 2 5 2 5" xfId="39556"/>
    <cellStyle name="Comma 16 2 2 5 2 6" xfId="39557"/>
    <cellStyle name="Comma 16 2 2 5 3" xfId="39558"/>
    <cellStyle name="Comma 16 2 2 5 3 2" xfId="39559"/>
    <cellStyle name="Comma 16 2 2 5 3 2 2" xfId="39560"/>
    <cellStyle name="Comma 16 2 2 5 3 2 3" xfId="39561"/>
    <cellStyle name="Comma 16 2 2 5 3 3" xfId="39562"/>
    <cellStyle name="Comma 16 2 2 5 3 3 2" xfId="39563"/>
    <cellStyle name="Comma 16 2 2 5 3 3 3" xfId="39564"/>
    <cellStyle name="Comma 16 2 2 5 3 4" xfId="39565"/>
    <cellStyle name="Comma 16 2 2 5 3 4 2" xfId="39566"/>
    <cellStyle name="Comma 16 2 2 5 3 5" xfId="39567"/>
    <cellStyle name="Comma 16 2 2 5 3 6" xfId="39568"/>
    <cellStyle name="Comma 16 2 2 5 4" xfId="39569"/>
    <cellStyle name="Comma 16 2 2 5 4 2" xfId="39570"/>
    <cellStyle name="Comma 16 2 2 5 4 2 2" xfId="39571"/>
    <cellStyle name="Comma 16 2 2 5 4 2 3" xfId="39572"/>
    <cellStyle name="Comma 16 2 2 5 4 3" xfId="39573"/>
    <cellStyle name="Comma 16 2 2 5 4 3 2" xfId="39574"/>
    <cellStyle name="Comma 16 2 2 5 4 4" xfId="39575"/>
    <cellStyle name="Comma 16 2 2 5 4 5" xfId="39576"/>
    <cellStyle name="Comma 16 2 2 5 5" xfId="39577"/>
    <cellStyle name="Comma 16 2 2 5 5 2" xfId="39578"/>
    <cellStyle name="Comma 16 2 2 5 5 3" xfId="39579"/>
    <cellStyle name="Comma 16 2 2 5 6" xfId="39580"/>
    <cellStyle name="Comma 16 2 2 5 6 2" xfId="39581"/>
    <cellStyle name="Comma 16 2 2 5 6 3" xfId="39582"/>
    <cellStyle name="Comma 16 2 2 5 7" xfId="39583"/>
    <cellStyle name="Comma 16 2 2 5 7 2" xfId="39584"/>
    <cellStyle name="Comma 16 2 2 5 8" xfId="39585"/>
    <cellStyle name="Comma 16 2 2 5 9" xfId="39586"/>
    <cellStyle name="Comma 16 2 2 6" xfId="39587"/>
    <cellStyle name="Comma 16 2 2 6 2" xfId="39588"/>
    <cellStyle name="Comma 16 2 2 6 2 2" xfId="39589"/>
    <cellStyle name="Comma 16 2 2 6 2 3" xfId="39590"/>
    <cellStyle name="Comma 16 2 2 6 3" xfId="39591"/>
    <cellStyle name="Comma 16 2 2 6 3 2" xfId="39592"/>
    <cellStyle name="Comma 16 2 2 6 3 3" xfId="39593"/>
    <cellStyle name="Comma 16 2 2 6 4" xfId="39594"/>
    <cellStyle name="Comma 16 2 2 6 4 2" xfId="39595"/>
    <cellStyle name="Comma 16 2 2 6 5" xfId="39596"/>
    <cellStyle name="Comma 16 2 2 6 6" xfId="39597"/>
    <cellStyle name="Comma 16 2 2 7" xfId="39598"/>
    <cellStyle name="Comma 16 2 2 7 2" xfId="39599"/>
    <cellStyle name="Comma 16 2 2 7 2 2" xfId="39600"/>
    <cellStyle name="Comma 16 2 2 7 2 3" xfId="39601"/>
    <cellStyle name="Comma 16 2 2 7 3" xfId="39602"/>
    <cellStyle name="Comma 16 2 2 7 3 2" xfId="39603"/>
    <cellStyle name="Comma 16 2 2 7 3 3" xfId="39604"/>
    <cellStyle name="Comma 16 2 2 7 4" xfId="39605"/>
    <cellStyle name="Comma 16 2 2 7 4 2" xfId="39606"/>
    <cellStyle name="Comma 16 2 2 7 5" xfId="39607"/>
    <cellStyle name="Comma 16 2 2 7 6" xfId="39608"/>
    <cellStyle name="Comma 16 2 2 8" xfId="39609"/>
    <cellStyle name="Comma 16 2 2 8 2" xfId="39610"/>
    <cellStyle name="Comma 16 2 2 8 2 2" xfId="39611"/>
    <cellStyle name="Comma 16 2 2 8 2 3" xfId="39612"/>
    <cellStyle name="Comma 16 2 2 8 3" xfId="39613"/>
    <cellStyle name="Comma 16 2 2 8 3 2" xfId="39614"/>
    <cellStyle name="Comma 16 2 2 8 4" xfId="39615"/>
    <cellStyle name="Comma 16 2 2 8 5" xfId="39616"/>
    <cellStyle name="Comma 16 2 2 9" xfId="39617"/>
    <cellStyle name="Comma 16 2 2 9 2" xfId="39618"/>
    <cellStyle name="Comma 16 2 2 9 3" xfId="39619"/>
    <cellStyle name="Comma 16 2 3" xfId="39620"/>
    <cellStyle name="Comma 16 2 3 10" xfId="39621"/>
    <cellStyle name="Comma 16 2 3 10 2" xfId="39622"/>
    <cellStyle name="Comma 16 2 3 11" xfId="39623"/>
    <cellStyle name="Comma 16 2 3 12" xfId="39624"/>
    <cellStyle name="Comma 16 2 3 2" xfId="39625"/>
    <cellStyle name="Comma 16 2 3 2 10" xfId="39626"/>
    <cellStyle name="Comma 16 2 3 2 2" xfId="39627"/>
    <cellStyle name="Comma 16 2 3 2 2 2" xfId="39628"/>
    <cellStyle name="Comma 16 2 3 2 2 2 2" xfId="39629"/>
    <cellStyle name="Comma 16 2 3 2 2 2 2 2" xfId="39630"/>
    <cellStyle name="Comma 16 2 3 2 2 2 2 3" xfId="39631"/>
    <cellStyle name="Comma 16 2 3 2 2 2 3" xfId="39632"/>
    <cellStyle name="Comma 16 2 3 2 2 2 3 2" xfId="39633"/>
    <cellStyle name="Comma 16 2 3 2 2 2 3 3" xfId="39634"/>
    <cellStyle name="Comma 16 2 3 2 2 2 4" xfId="39635"/>
    <cellStyle name="Comma 16 2 3 2 2 2 4 2" xfId="39636"/>
    <cellStyle name="Comma 16 2 3 2 2 2 5" xfId="39637"/>
    <cellStyle name="Comma 16 2 3 2 2 2 6" xfId="39638"/>
    <cellStyle name="Comma 16 2 3 2 2 3" xfId="39639"/>
    <cellStyle name="Comma 16 2 3 2 2 3 2" xfId="39640"/>
    <cellStyle name="Comma 16 2 3 2 2 3 2 2" xfId="39641"/>
    <cellStyle name="Comma 16 2 3 2 2 3 2 3" xfId="39642"/>
    <cellStyle name="Comma 16 2 3 2 2 3 3" xfId="39643"/>
    <cellStyle name="Comma 16 2 3 2 2 3 3 2" xfId="39644"/>
    <cellStyle name="Comma 16 2 3 2 2 3 3 3" xfId="39645"/>
    <cellStyle name="Comma 16 2 3 2 2 3 4" xfId="39646"/>
    <cellStyle name="Comma 16 2 3 2 2 3 4 2" xfId="39647"/>
    <cellStyle name="Comma 16 2 3 2 2 3 5" xfId="39648"/>
    <cellStyle name="Comma 16 2 3 2 2 3 6" xfId="39649"/>
    <cellStyle name="Comma 16 2 3 2 2 4" xfId="39650"/>
    <cellStyle name="Comma 16 2 3 2 2 4 2" xfId="39651"/>
    <cellStyle name="Comma 16 2 3 2 2 4 2 2" xfId="39652"/>
    <cellStyle name="Comma 16 2 3 2 2 4 2 3" xfId="39653"/>
    <cellStyle name="Comma 16 2 3 2 2 4 3" xfId="39654"/>
    <cellStyle name="Comma 16 2 3 2 2 4 3 2" xfId="39655"/>
    <cellStyle name="Comma 16 2 3 2 2 4 4" xfId="39656"/>
    <cellStyle name="Comma 16 2 3 2 2 4 5" xfId="39657"/>
    <cellStyle name="Comma 16 2 3 2 2 5" xfId="39658"/>
    <cellStyle name="Comma 16 2 3 2 2 5 2" xfId="39659"/>
    <cellStyle name="Comma 16 2 3 2 2 5 3" xfId="39660"/>
    <cellStyle name="Comma 16 2 3 2 2 6" xfId="39661"/>
    <cellStyle name="Comma 16 2 3 2 2 6 2" xfId="39662"/>
    <cellStyle name="Comma 16 2 3 2 2 6 3" xfId="39663"/>
    <cellStyle name="Comma 16 2 3 2 2 7" xfId="39664"/>
    <cellStyle name="Comma 16 2 3 2 2 7 2" xfId="39665"/>
    <cellStyle name="Comma 16 2 3 2 2 8" xfId="39666"/>
    <cellStyle name="Comma 16 2 3 2 2 9" xfId="39667"/>
    <cellStyle name="Comma 16 2 3 2 3" xfId="39668"/>
    <cellStyle name="Comma 16 2 3 2 3 2" xfId="39669"/>
    <cellStyle name="Comma 16 2 3 2 3 2 2" xfId="39670"/>
    <cellStyle name="Comma 16 2 3 2 3 2 3" xfId="39671"/>
    <cellStyle name="Comma 16 2 3 2 3 3" xfId="39672"/>
    <cellStyle name="Comma 16 2 3 2 3 3 2" xfId="39673"/>
    <cellStyle name="Comma 16 2 3 2 3 3 3" xfId="39674"/>
    <cellStyle name="Comma 16 2 3 2 3 4" xfId="39675"/>
    <cellStyle name="Comma 16 2 3 2 3 4 2" xfId="39676"/>
    <cellStyle name="Comma 16 2 3 2 3 5" xfId="39677"/>
    <cellStyle name="Comma 16 2 3 2 3 6" xfId="39678"/>
    <cellStyle name="Comma 16 2 3 2 4" xfId="39679"/>
    <cellStyle name="Comma 16 2 3 2 4 2" xfId="39680"/>
    <cellStyle name="Comma 16 2 3 2 4 2 2" xfId="39681"/>
    <cellStyle name="Comma 16 2 3 2 4 2 3" xfId="39682"/>
    <cellStyle name="Comma 16 2 3 2 4 3" xfId="39683"/>
    <cellStyle name="Comma 16 2 3 2 4 3 2" xfId="39684"/>
    <cellStyle name="Comma 16 2 3 2 4 3 3" xfId="39685"/>
    <cellStyle name="Comma 16 2 3 2 4 4" xfId="39686"/>
    <cellStyle name="Comma 16 2 3 2 4 4 2" xfId="39687"/>
    <cellStyle name="Comma 16 2 3 2 4 5" xfId="39688"/>
    <cellStyle name="Comma 16 2 3 2 4 6" xfId="39689"/>
    <cellStyle name="Comma 16 2 3 2 5" xfId="39690"/>
    <cellStyle name="Comma 16 2 3 2 5 2" xfId="39691"/>
    <cellStyle name="Comma 16 2 3 2 5 2 2" xfId="39692"/>
    <cellStyle name="Comma 16 2 3 2 5 2 3" xfId="39693"/>
    <cellStyle name="Comma 16 2 3 2 5 3" xfId="39694"/>
    <cellStyle name="Comma 16 2 3 2 5 3 2" xfId="39695"/>
    <cellStyle name="Comma 16 2 3 2 5 4" xfId="39696"/>
    <cellStyle name="Comma 16 2 3 2 5 5" xfId="39697"/>
    <cellStyle name="Comma 16 2 3 2 6" xfId="39698"/>
    <cellStyle name="Comma 16 2 3 2 6 2" xfId="39699"/>
    <cellStyle name="Comma 16 2 3 2 6 3" xfId="39700"/>
    <cellStyle name="Comma 16 2 3 2 7" xfId="39701"/>
    <cellStyle name="Comma 16 2 3 2 7 2" xfId="39702"/>
    <cellStyle name="Comma 16 2 3 2 7 3" xfId="39703"/>
    <cellStyle name="Comma 16 2 3 2 8" xfId="39704"/>
    <cellStyle name="Comma 16 2 3 2 8 2" xfId="39705"/>
    <cellStyle name="Comma 16 2 3 2 9" xfId="39706"/>
    <cellStyle name="Comma 16 2 3 3" xfId="39707"/>
    <cellStyle name="Comma 16 2 3 3 2" xfId="39708"/>
    <cellStyle name="Comma 16 2 3 3 2 2" xfId="39709"/>
    <cellStyle name="Comma 16 2 3 3 2 2 2" xfId="39710"/>
    <cellStyle name="Comma 16 2 3 3 2 2 3" xfId="39711"/>
    <cellStyle name="Comma 16 2 3 3 2 3" xfId="39712"/>
    <cellStyle name="Comma 16 2 3 3 2 3 2" xfId="39713"/>
    <cellStyle name="Comma 16 2 3 3 2 3 3" xfId="39714"/>
    <cellStyle name="Comma 16 2 3 3 2 4" xfId="39715"/>
    <cellStyle name="Comma 16 2 3 3 2 4 2" xfId="39716"/>
    <cellStyle name="Comma 16 2 3 3 2 5" xfId="39717"/>
    <cellStyle name="Comma 16 2 3 3 2 6" xfId="39718"/>
    <cellStyle name="Comma 16 2 3 3 3" xfId="39719"/>
    <cellStyle name="Comma 16 2 3 3 3 2" xfId="39720"/>
    <cellStyle name="Comma 16 2 3 3 3 2 2" xfId="39721"/>
    <cellStyle name="Comma 16 2 3 3 3 2 3" xfId="39722"/>
    <cellStyle name="Comma 16 2 3 3 3 3" xfId="39723"/>
    <cellStyle name="Comma 16 2 3 3 3 3 2" xfId="39724"/>
    <cellStyle name="Comma 16 2 3 3 3 3 3" xfId="39725"/>
    <cellStyle name="Comma 16 2 3 3 3 4" xfId="39726"/>
    <cellStyle name="Comma 16 2 3 3 3 4 2" xfId="39727"/>
    <cellStyle name="Comma 16 2 3 3 3 5" xfId="39728"/>
    <cellStyle name="Comma 16 2 3 3 3 6" xfId="39729"/>
    <cellStyle name="Comma 16 2 3 3 4" xfId="39730"/>
    <cellStyle name="Comma 16 2 3 3 4 2" xfId="39731"/>
    <cellStyle name="Comma 16 2 3 3 4 2 2" xfId="39732"/>
    <cellStyle name="Comma 16 2 3 3 4 2 3" xfId="39733"/>
    <cellStyle name="Comma 16 2 3 3 4 3" xfId="39734"/>
    <cellStyle name="Comma 16 2 3 3 4 3 2" xfId="39735"/>
    <cellStyle name="Comma 16 2 3 3 4 4" xfId="39736"/>
    <cellStyle name="Comma 16 2 3 3 4 5" xfId="39737"/>
    <cellStyle name="Comma 16 2 3 3 5" xfId="39738"/>
    <cellStyle name="Comma 16 2 3 3 5 2" xfId="39739"/>
    <cellStyle name="Comma 16 2 3 3 5 3" xfId="39740"/>
    <cellStyle name="Comma 16 2 3 3 6" xfId="39741"/>
    <cellStyle name="Comma 16 2 3 3 6 2" xfId="39742"/>
    <cellStyle name="Comma 16 2 3 3 6 3" xfId="39743"/>
    <cellStyle name="Comma 16 2 3 3 7" xfId="39744"/>
    <cellStyle name="Comma 16 2 3 3 7 2" xfId="39745"/>
    <cellStyle name="Comma 16 2 3 3 8" xfId="39746"/>
    <cellStyle name="Comma 16 2 3 3 9" xfId="39747"/>
    <cellStyle name="Comma 16 2 3 4" xfId="39748"/>
    <cellStyle name="Comma 16 2 3 4 2" xfId="39749"/>
    <cellStyle name="Comma 16 2 3 4 2 2" xfId="39750"/>
    <cellStyle name="Comma 16 2 3 4 2 2 2" xfId="39751"/>
    <cellStyle name="Comma 16 2 3 4 2 2 3" xfId="39752"/>
    <cellStyle name="Comma 16 2 3 4 2 3" xfId="39753"/>
    <cellStyle name="Comma 16 2 3 4 2 3 2" xfId="39754"/>
    <cellStyle name="Comma 16 2 3 4 2 3 3" xfId="39755"/>
    <cellStyle name="Comma 16 2 3 4 2 4" xfId="39756"/>
    <cellStyle name="Comma 16 2 3 4 2 4 2" xfId="39757"/>
    <cellStyle name="Comma 16 2 3 4 2 5" xfId="39758"/>
    <cellStyle name="Comma 16 2 3 4 2 6" xfId="39759"/>
    <cellStyle name="Comma 16 2 3 4 3" xfId="39760"/>
    <cellStyle name="Comma 16 2 3 4 3 2" xfId="39761"/>
    <cellStyle name="Comma 16 2 3 4 3 2 2" xfId="39762"/>
    <cellStyle name="Comma 16 2 3 4 3 2 3" xfId="39763"/>
    <cellStyle name="Comma 16 2 3 4 3 3" xfId="39764"/>
    <cellStyle name="Comma 16 2 3 4 3 3 2" xfId="39765"/>
    <cellStyle name="Comma 16 2 3 4 3 3 3" xfId="39766"/>
    <cellStyle name="Comma 16 2 3 4 3 4" xfId="39767"/>
    <cellStyle name="Comma 16 2 3 4 3 4 2" xfId="39768"/>
    <cellStyle name="Comma 16 2 3 4 3 5" xfId="39769"/>
    <cellStyle name="Comma 16 2 3 4 3 6" xfId="39770"/>
    <cellStyle name="Comma 16 2 3 4 4" xfId="39771"/>
    <cellStyle name="Comma 16 2 3 4 4 2" xfId="39772"/>
    <cellStyle name="Comma 16 2 3 4 4 2 2" xfId="39773"/>
    <cellStyle name="Comma 16 2 3 4 4 2 3" xfId="39774"/>
    <cellStyle name="Comma 16 2 3 4 4 3" xfId="39775"/>
    <cellStyle name="Comma 16 2 3 4 4 3 2" xfId="39776"/>
    <cellStyle name="Comma 16 2 3 4 4 4" xfId="39777"/>
    <cellStyle name="Comma 16 2 3 4 4 5" xfId="39778"/>
    <cellStyle name="Comma 16 2 3 4 5" xfId="39779"/>
    <cellStyle name="Comma 16 2 3 4 5 2" xfId="39780"/>
    <cellStyle name="Comma 16 2 3 4 5 3" xfId="39781"/>
    <cellStyle name="Comma 16 2 3 4 6" xfId="39782"/>
    <cellStyle name="Comma 16 2 3 4 6 2" xfId="39783"/>
    <cellStyle name="Comma 16 2 3 4 6 3" xfId="39784"/>
    <cellStyle name="Comma 16 2 3 4 7" xfId="39785"/>
    <cellStyle name="Comma 16 2 3 4 7 2" xfId="39786"/>
    <cellStyle name="Comma 16 2 3 4 8" xfId="39787"/>
    <cellStyle name="Comma 16 2 3 4 9" xfId="39788"/>
    <cellStyle name="Comma 16 2 3 5" xfId="39789"/>
    <cellStyle name="Comma 16 2 3 5 2" xfId="39790"/>
    <cellStyle name="Comma 16 2 3 5 2 2" xfId="39791"/>
    <cellStyle name="Comma 16 2 3 5 2 3" xfId="39792"/>
    <cellStyle name="Comma 16 2 3 5 3" xfId="39793"/>
    <cellStyle name="Comma 16 2 3 5 3 2" xfId="39794"/>
    <cellStyle name="Comma 16 2 3 5 3 3" xfId="39795"/>
    <cellStyle name="Comma 16 2 3 5 4" xfId="39796"/>
    <cellStyle name="Comma 16 2 3 5 4 2" xfId="39797"/>
    <cellStyle name="Comma 16 2 3 5 5" xfId="39798"/>
    <cellStyle name="Comma 16 2 3 5 6" xfId="39799"/>
    <cellStyle name="Comma 16 2 3 6" xfId="39800"/>
    <cellStyle name="Comma 16 2 3 6 2" xfId="39801"/>
    <cellStyle name="Comma 16 2 3 6 2 2" xfId="39802"/>
    <cellStyle name="Comma 16 2 3 6 2 3" xfId="39803"/>
    <cellStyle name="Comma 16 2 3 6 3" xfId="39804"/>
    <cellStyle name="Comma 16 2 3 6 3 2" xfId="39805"/>
    <cellStyle name="Comma 16 2 3 6 3 3" xfId="39806"/>
    <cellStyle name="Comma 16 2 3 6 4" xfId="39807"/>
    <cellStyle name="Comma 16 2 3 6 4 2" xfId="39808"/>
    <cellStyle name="Comma 16 2 3 6 5" xfId="39809"/>
    <cellStyle name="Comma 16 2 3 6 6" xfId="39810"/>
    <cellStyle name="Comma 16 2 3 7" xfId="39811"/>
    <cellStyle name="Comma 16 2 3 7 2" xfId="39812"/>
    <cellStyle name="Comma 16 2 3 7 2 2" xfId="39813"/>
    <cellStyle name="Comma 16 2 3 7 2 3" xfId="39814"/>
    <cellStyle name="Comma 16 2 3 7 3" xfId="39815"/>
    <cellStyle name="Comma 16 2 3 7 3 2" xfId="39816"/>
    <cellStyle name="Comma 16 2 3 7 4" xfId="39817"/>
    <cellStyle name="Comma 16 2 3 7 5" xfId="39818"/>
    <cellStyle name="Comma 16 2 3 8" xfId="39819"/>
    <cellStyle name="Comma 16 2 3 8 2" xfId="39820"/>
    <cellStyle name="Comma 16 2 3 8 3" xfId="39821"/>
    <cellStyle name="Comma 16 2 3 9" xfId="39822"/>
    <cellStyle name="Comma 16 2 3 9 2" xfId="39823"/>
    <cellStyle name="Comma 16 2 3 9 3" xfId="39824"/>
    <cellStyle name="Comma 16 2 4" xfId="39825"/>
    <cellStyle name="Comma 16 2 4 10" xfId="39826"/>
    <cellStyle name="Comma 16 2 4 2" xfId="39827"/>
    <cellStyle name="Comma 16 2 4 2 2" xfId="39828"/>
    <cellStyle name="Comma 16 2 4 2 2 2" xfId="39829"/>
    <cellStyle name="Comma 16 2 4 2 2 2 2" xfId="39830"/>
    <cellStyle name="Comma 16 2 4 2 2 2 3" xfId="39831"/>
    <cellStyle name="Comma 16 2 4 2 2 3" xfId="39832"/>
    <cellStyle name="Comma 16 2 4 2 2 3 2" xfId="39833"/>
    <cellStyle name="Comma 16 2 4 2 2 3 3" xfId="39834"/>
    <cellStyle name="Comma 16 2 4 2 2 4" xfId="39835"/>
    <cellStyle name="Comma 16 2 4 2 2 4 2" xfId="39836"/>
    <cellStyle name="Comma 16 2 4 2 2 5" xfId="39837"/>
    <cellStyle name="Comma 16 2 4 2 2 6" xfId="39838"/>
    <cellStyle name="Comma 16 2 4 2 3" xfId="39839"/>
    <cellStyle name="Comma 16 2 4 2 3 2" xfId="39840"/>
    <cellStyle name="Comma 16 2 4 2 3 2 2" xfId="39841"/>
    <cellStyle name="Comma 16 2 4 2 3 2 3" xfId="39842"/>
    <cellStyle name="Comma 16 2 4 2 3 3" xfId="39843"/>
    <cellStyle name="Comma 16 2 4 2 3 3 2" xfId="39844"/>
    <cellStyle name="Comma 16 2 4 2 3 3 3" xfId="39845"/>
    <cellStyle name="Comma 16 2 4 2 3 4" xfId="39846"/>
    <cellStyle name="Comma 16 2 4 2 3 4 2" xfId="39847"/>
    <cellStyle name="Comma 16 2 4 2 3 5" xfId="39848"/>
    <cellStyle name="Comma 16 2 4 2 3 6" xfId="39849"/>
    <cellStyle name="Comma 16 2 4 2 4" xfId="39850"/>
    <cellStyle name="Comma 16 2 4 2 4 2" xfId="39851"/>
    <cellStyle name="Comma 16 2 4 2 4 2 2" xfId="39852"/>
    <cellStyle name="Comma 16 2 4 2 4 2 3" xfId="39853"/>
    <cellStyle name="Comma 16 2 4 2 4 3" xfId="39854"/>
    <cellStyle name="Comma 16 2 4 2 4 3 2" xfId="39855"/>
    <cellStyle name="Comma 16 2 4 2 4 4" xfId="39856"/>
    <cellStyle name="Comma 16 2 4 2 4 5" xfId="39857"/>
    <cellStyle name="Comma 16 2 4 2 5" xfId="39858"/>
    <cellStyle name="Comma 16 2 4 2 5 2" xfId="39859"/>
    <cellStyle name="Comma 16 2 4 2 5 3" xfId="39860"/>
    <cellStyle name="Comma 16 2 4 2 6" xfId="39861"/>
    <cellStyle name="Comma 16 2 4 2 6 2" xfId="39862"/>
    <cellStyle name="Comma 16 2 4 2 6 3" xfId="39863"/>
    <cellStyle name="Comma 16 2 4 2 7" xfId="39864"/>
    <cellStyle name="Comma 16 2 4 2 7 2" xfId="39865"/>
    <cellStyle name="Comma 16 2 4 2 8" xfId="39866"/>
    <cellStyle name="Comma 16 2 4 2 9" xfId="39867"/>
    <cellStyle name="Comma 16 2 4 3" xfId="39868"/>
    <cellStyle name="Comma 16 2 4 3 2" xfId="39869"/>
    <cellStyle name="Comma 16 2 4 3 2 2" xfId="39870"/>
    <cellStyle name="Comma 16 2 4 3 2 3" xfId="39871"/>
    <cellStyle name="Comma 16 2 4 3 3" xfId="39872"/>
    <cellStyle name="Comma 16 2 4 3 3 2" xfId="39873"/>
    <cellStyle name="Comma 16 2 4 3 3 3" xfId="39874"/>
    <cellStyle name="Comma 16 2 4 3 4" xfId="39875"/>
    <cellStyle name="Comma 16 2 4 3 4 2" xfId="39876"/>
    <cellStyle name="Comma 16 2 4 3 5" xfId="39877"/>
    <cellStyle name="Comma 16 2 4 3 6" xfId="39878"/>
    <cellStyle name="Comma 16 2 4 4" xfId="39879"/>
    <cellStyle name="Comma 16 2 4 4 2" xfId="39880"/>
    <cellStyle name="Comma 16 2 4 4 2 2" xfId="39881"/>
    <cellStyle name="Comma 16 2 4 4 2 3" xfId="39882"/>
    <cellStyle name="Comma 16 2 4 4 3" xfId="39883"/>
    <cellStyle name="Comma 16 2 4 4 3 2" xfId="39884"/>
    <cellStyle name="Comma 16 2 4 4 3 3" xfId="39885"/>
    <cellStyle name="Comma 16 2 4 4 4" xfId="39886"/>
    <cellStyle name="Comma 16 2 4 4 4 2" xfId="39887"/>
    <cellStyle name="Comma 16 2 4 4 5" xfId="39888"/>
    <cellStyle name="Comma 16 2 4 4 6" xfId="39889"/>
    <cellStyle name="Comma 16 2 4 5" xfId="39890"/>
    <cellStyle name="Comma 16 2 4 5 2" xfId="39891"/>
    <cellStyle name="Comma 16 2 4 5 2 2" xfId="39892"/>
    <cellStyle name="Comma 16 2 4 5 2 3" xfId="39893"/>
    <cellStyle name="Comma 16 2 4 5 3" xfId="39894"/>
    <cellStyle name="Comma 16 2 4 5 3 2" xfId="39895"/>
    <cellStyle name="Comma 16 2 4 5 4" xfId="39896"/>
    <cellStyle name="Comma 16 2 4 5 5" xfId="39897"/>
    <cellStyle name="Comma 16 2 4 6" xfId="39898"/>
    <cellStyle name="Comma 16 2 4 6 2" xfId="39899"/>
    <cellStyle name="Comma 16 2 4 6 3" xfId="39900"/>
    <cellStyle name="Comma 16 2 4 7" xfId="39901"/>
    <cellStyle name="Comma 16 2 4 7 2" xfId="39902"/>
    <cellStyle name="Comma 16 2 4 7 3" xfId="39903"/>
    <cellStyle name="Comma 16 2 4 8" xfId="39904"/>
    <cellStyle name="Comma 16 2 4 8 2" xfId="39905"/>
    <cellStyle name="Comma 16 2 4 9" xfId="39906"/>
    <cellStyle name="Comma 16 2 5" xfId="39907"/>
    <cellStyle name="Comma 16 2 5 2" xfId="39908"/>
    <cellStyle name="Comma 16 2 5 2 2" xfId="39909"/>
    <cellStyle name="Comma 16 2 5 2 2 2" xfId="39910"/>
    <cellStyle name="Comma 16 2 5 2 2 3" xfId="39911"/>
    <cellStyle name="Comma 16 2 5 2 3" xfId="39912"/>
    <cellStyle name="Comma 16 2 5 2 3 2" xfId="39913"/>
    <cellStyle name="Comma 16 2 5 2 3 3" xfId="39914"/>
    <cellStyle name="Comma 16 2 5 2 4" xfId="39915"/>
    <cellStyle name="Comma 16 2 5 2 4 2" xfId="39916"/>
    <cellStyle name="Comma 16 2 5 2 5" xfId="39917"/>
    <cellStyle name="Comma 16 2 5 2 6" xfId="39918"/>
    <cellStyle name="Comma 16 2 5 3" xfId="39919"/>
    <cellStyle name="Comma 16 2 5 3 2" xfId="39920"/>
    <cellStyle name="Comma 16 2 5 3 2 2" xfId="39921"/>
    <cellStyle name="Comma 16 2 5 3 2 3" xfId="39922"/>
    <cellStyle name="Comma 16 2 5 3 3" xfId="39923"/>
    <cellStyle name="Comma 16 2 5 3 3 2" xfId="39924"/>
    <cellStyle name="Comma 16 2 5 3 3 3" xfId="39925"/>
    <cellStyle name="Comma 16 2 5 3 4" xfId="39926"/>
    <cellStyle name="Comma 16 2 5 3 4 2" xfId="39927"/>
    <cellStyle name="Comma 16 2 5 3 5" xfId="39928"/>
    <cellStyle name="Comma 16 2 5 3 6" xfId="39929"/>
    <cellStyle name="Comma 16 2 5 4" xfId="39930"/>
    <cellStyle name="Comma 16 2 5 4 2" xfId="39931"/>
    <cellStyle name="Comma 16 2 5 4 2 2" xfId="39932"/>
    <cellStyle name="Comma 16 2 5 4 2 3" xfId="39933"/>
    <cellStyle name="Comma 16 2 5 4 3" xfId="39934"/>
    <cellStyle name="Comma 16 2 5 4 3 2" xfId="39935"/>
    <cellStyle name="Comma 16 2 5 4 4" xfId="39936"/>
    <cellStyle name="Comma 16 2 5 4 5" xfId="39937"/>
    <cellStyle name="Comma 16 2 5 5" xfId="39938"/>
    <cellStyle name="Comma 16 2 5 5 2" xfId="39939"/>
    <cellStyle name="Comma 16 2 5 5 3" xfId="39940"/>
    <cellStyle name="Comma 16 2 5 6" xfId="39941"/>
    <cellStyle name="Comma 16 2 5 6 2" xfId="39942"/>
    <cellStyle name="Comma 16 2 5 6 3" xfId="39943"/>
    <cellStyle name="Comma 16 2 5 7" xfId="39944"/>
    <cellStyle name="Comma 16 2 5 7 2" xfId="39945"/>
    <cellStyle name="Comma 16 2 5 8" xfId="39946"/>
    <cellStyle name="Comma 16 2 5 9" xfId="39947"/>
    <cellStyle name="Comma 16 2 6" xfId="39948"/>
    <cellStyle name="Comma 16 2 6 2" xfId="39949"/>
    <cellStyle name="Comma 16 2 6 2 2" xfId="39950"/>
    <cellStyle name="Comma 16 2 6 2 2 2" xfId="39951"/>
    <cellStyle name="Comma 16 2 6 2 2 3" xfId="39952"/>
    <cellStyle name="Comma 16 2 6 2 3" xfId="39953"/>
    <cellStyle name="Comma 16 2 6 2 3 2" xfId="39954"/>
    <cellStyle name="Comma 16 2 6 2 3 3" xfId="39955"/>
    <cellStyle name="Comma 16 2 6 2 4" xfId="39956"/>
    <cellStyle name="Comma 16 2 6 2 4 2" xfId="39957"/>
    <cellStyle name="Comma 16 2 6 2 5" xfId="39958"/>
    <cellStyle name="Comma 16 2 6 2 6" xfId="39959"/>
    <cellStyle name="Comma 16 2 6 3" xfId="39960"/>
    <cellStyle name="Comma 16 2 6 3 2" xfId="39961"/>
    <cellStyle name="Comma 16 2 6 3 2 2" xfId="39962"/>
    <cellStyle name="Comma 16 2 6 3 2 3" xfId="39963"/>
    <cellStyle name="Comma 16 2 6 3 3" xfId="39964"/>
    <cellStyle name="Comma 16 2 6 3 3 2" xfId="39965"/>
    <cellStyle name="Comma 16 2 6 3 3 3" xfId="39966"/>
    <cellStyle name="Comma 16 2 6 3 4" xfId="39967"/>
    <cellStyle name="Comma 16 2 6 3 4 2" xfId="39968"/>
    <cellStyle name="Comma 16 2 6 3 5" xfId="39969"/>
    <cellStyle name="Comma 16 2 6 3 6" xfId="39970"/>
    <cellStyle name="Comma 16 2 6 4" xfId="39971"/>
    <cellStyle name="Comma 16 2 6 4 2" xfId="39972"/>
    <cellStyle name="Comma 16 2 6 4 2 2" xfId="39973"/>
    <cellStyle name="Comma 16 2 6 4 2 3" xfId="39974"/>
    <cellStyle name="Comma 16 2 6 4 3" xfId="39975"/>
    <cellStyle name="Comma 16 2 6 4 3 2" xfId="39976"/>
    <cellStyle name="Comma 16 2 6 4 4" xfId="39977"/>
    <cellStyle name="Comma 16 2 6 4 5" xfId="39978"/>
    <cellStyle name="Comma 16 2 6 5" xfId="39979"/>
    <cellStyle name="Comma 16 2 6 5 2" xfId="39980"/>
    <cellStyle name="Comma 16 2 6 5 3" xfId="39981"/>
    <cellStyle name="Comma 16 2 6 6" xfId="39982"/>
    <cellStyle name="Comma 16 2 6 6 2" xfId="39983"/>
    <cellStyle name="Comma 16 2 6 6 3" xfId="39984"/>
    <cellStyle name="Comma 16 2 6 7" xfId="39985"/>
    <cellStyle name="Comma 16 2 6 7 2" xfId="39986"/>
    <cellStyle name="Comma 16 2 6 8" xfId="39987"/>
    <cellStyle name="Comma 16 2 6 9" xfId="39988"/>
    <cellStyle name="Comma 16 2 7" xfId="39989"/>
    <cellStyle name="Comma 16 2 7 2" xfId="39990"/>
    <cellStyle name="Comma 16 2 7 2 2" xfId="39991"/>
    <cellStyle name="Comma 16 2 7 2 3" xfId="39992"/>
    <cellStyle name="Comma 16 2 7 3" xfId="39993"/>
    <cellStyle name="Comma 16 2 7 3 2" xfId="39994"/>
    <cellStyle name="Comma 16 2 7 3 3" xfId="39995"/>
    <cellStyle name="Comma 16 2 7 4" xfId="39996"/>
    <cellStyle name="Comma 16 2 7 4 2" xfId="39997"/>
    <cellStyle name="Comma 16 2 7 5" xfId="39998"/>
    <cellStyle name="Comma 16 2 7 6" xfId="39999"/>
    <cellStyle name="Comma 16 2 8" xfId="40000"/>
    <cellStyle name="Comma 16 2 8 2" xfId="40001"/>
    <cellStyle name="Comma 16 2 8 2 2" xfId="40002"/>
    <cellStyle name="Comma 16 2 8 2 3" xfId="40003"/>
    <cellStyle name="Comma 16 2 8 3" xfId="40004"/>
    <cellStyle name="Comma 16 2 8 3 2" xfId="40005"/>
    <cellStyle name="Comma 16 2 8 3 3" xfId="40006"/>
    <cellStyle name="Comma 16 2 8 4" xfId="40007"/>
    <cellStyle name="Comma 16 2 8 4 2" xfId="40008"/>
    <cellStyle name="Comma 16 2 8 5" xfId="40009"/>
    <cellStyle name="Comma 16 2 8 6" xfId="40010"/>
    <cellStyle name="Comma 16 2 9" xfId="40011"/>
    <cellStyle name="Comma 16 2 9 2" xfId="40012"/>
    <cellStyle name="Comma 16 2 9 2 2" xfId="40013"/>
    <cellStyle name="Comma 16 2 9 2 3" xfId="40014"/>
    <cellStyle name="Comma 16 2 9 3" xfId="40015"/>
    <cellStyle name="Comma 16 2 9 3 2" xfId="40016"/>
    <cellStyle name="Comma 16 2 9 4" xfId="40017"/>
    <cellStyle name="Comma 16 2 9 5" xfId="40018"/>
    <cellStyle name="Comma 16 3" xfId="40019"/>
    <cellStyle name="Comma 16 3 10" xfId="40020"/>
    <cellStyle name="Comma 16 3 10 2" xfId="40021"/>
    <cellStyle name="Comma 16 3 10 3" xfId="40022"/>
    <cellStyle name="Comma 16 3 11" xfId="40023"/>
    <cellStyle name="Comma 16 3 11 2" xfId="40024"/>
    <cellStyle name="Comma 16 3 12" xfId="40025"/>
    <cellStyle name="Comma 16 3 13" xfId="40026"/>
    <cellStyle name="Comma 16 3 2" xfId="40027"/>
    <cellStyle name="Comma 16 3 2 10" xfId="40028"/>
    <cellStyle name="Comma 16 3 2 10 2" xfId="40029"/>
    <cellStyle name="Comma 16 3 2 11" xfId="40030"/>
    <cellStyle name="Comma 16 3 2 12" xfId="40031"/>
    <cellStyle name="Comma 16 3 2 2" xfId="40032"/>
    <cellStyle name="Comma 16 3 2 2 10" xfId="40033"/>
    <cellStyle name="Comma 16 3 2 2 2" xfId="40034"/>
    <cellStyle name="Comma 16 3 2 2 2 2" xfId="40035"/>
    <cellStyle name="Comma 16 3 2 2 2 2 2" xfId="40036"/>
    <cellStyle name="Comma 16 3 2 2 2 2 2 2" xfId="40037"/>
    <cellStyle name="Comma 16 3 2 2 2 2 2 3" xfId="40038"/>
    <cellStyle name="Comma 16 3 2 2 2 2 3" xfId="40039"/>
    <cellStyle name="Comma 16 3 2 2 2 2 3 2" xfId="40040"/>
    <cellStyle name="Comma 16 3 2 2 2 2 3 3" xfId="40041"/>
    <cellStyle name="Comma 16 3 2 2 2 2 4" xfId="40042"/>
    <cellStyle name="Comma 16 3 2 2 2 2 4 2" xfId="40043"/>
    <cellStyle name="Comma 16 3 2 2 2 2 5" xfId="40044"/>
    <cellStyle name="Comma 16 3 2 2 2 2 6" xfId="40045"/>
    <cellStyle name="Comma 16 3 2 2 2 3" xfId="40046"/>
    <cellStyle name="Comma 16 3 2 2 2 3 2" xfId="40047"/>
    <cellStyle name="Comma 16 3 2 2 2 3 2 2" xfId="40048"/>
    <cellStyle name="Comma 16 3 2 2 2 3 2 3" xfId="40049"/>
    <cellStyle name="Comma 16 3 2 2 2 3 3" xfId="40050"/>
    <cellStyle name="Comma 16 3 2 2 2 3 3 2" xfId="40051"/>
    <cellStyle name="Comma 16 3 2 2 2 3 3 3" xfId="40052"/>
    <cellStyle name="Comma 16 3 2 2 2 3 4" xfId="40053"/>
    <cellStyle name="Comma 16 3 2 2 2 3 4 2" xfId="40054"/>
    <cellStyle name="Comma 16 3 2 2 2 3 5" xfId="40055"/>
    <cellStyle name="Comma 16 3 2 2 2 3 6" xfId="40056"/>
    <cellStyle name="Comma 16 3 2 2 2 4" xfId="40057"/>
    <cellStyle name="Comma 16 3 2 2 2 4 2" xfId="40058"/>
    <cellStyle name="Comma 16 3 2 2 2 4 2 2" xfId="40059"/>
    <cellStyle name="Comma 16 3 2 2 2 4 2 3" xfId="40060"/>
    <cellStyle name="Comma 16 3 2 2 2 4 3" xfId="40061"/>
    <cellStyle name="Comma 16 3 2 2 2 4 3 2" xfId="40062"/>
    <cellStyle name="Comma 16 3 2 2 2 4 4" xfId="40063"/>
    <cellStyle name="Comma 16 3 2 2 2 4 5" xfId="40064"/>
    <cellStyle name="Comma 16 3 2 2 2 5" xfId="40065"/>
    <cellStyle name="Comma 16 3 2 2 2 5 2" xfId="40066"/>
    <cellStyle name="Comma 16 3 2 2 2 5 3" xfId="40067"/>
    <cellStyle name="Comma 16 3 2 2 2 6" xfId="40068"/>
    <cellStyle name="Comma 16 3 2 2 2 6 2" xfId="40069"/>
    <cellStyle name="Comma 16 3 2 2 2 6 3" xfId="40070"/>
    <cellStyle name="Comma 16 3 2 2 2 7" xfId="40071"/>
    <cellStyle name="Comma 16 3 2 2 2 7 2" xfId="40072"/>
    <cellStyle name="Comma 16 3 2 2 2 8" xfId="40073"/>
    <cellStyle name="Comma 16 3 2 2 2 9" xfId="40074"/>
    <cellStyle name="Comma 16 3 2 2 3" xfId="40075"/>
    <cellStyle name="Comma 16 3 2 2 3 2" xfId="40076"/>
    <cellStyle name="Comma 16 3 2 2 3 2 2" xfId="40077"/>
    <cellStyle name="Comma 16 3 2 2 3 2 3" xfId="40078"/>
    <cellStyle name="Comma 16 3 2 2 3 3" xfId="40079"/>
    <cellStyle name="Comma 16 3 2 2 3 3 2" xfId="40080"/>
    <cellStyle name="Comma 16 3 2 2 3 3 3" xfId="40081"/>
    <cellStyle name="Comma 16 3 2 2 3 4" xfId="40082"/>
    <cellStyle name="Comma 16 3 2 2 3 4 2" xfId="40083"/>
    <cellStyle name="Comma 16 3 2 2 3 5" xfId="40084"/>
    <cellStyle name="Comma 16 3 2 2 3 6" xfId="40085"/>
    <cellStyle name="Comma 16 3 2 2 4" xfId="40086"/>
    <cellStyle name="Comma 16 3 2 2 4 2" xfId="40087"/>
    <cellStyle name="Comma 16 3 2 2 4 2 2" xfId="40088"/>
    <cellStyle name="Comma 16 3 2 2 4 2 3" xfId="40089"/>
    <cellStyle name="Comma 16 3 2 2 4 3" xfId="40090"/>
    <cellStyle name="Comma 16 3 2 2 4 3 2" xfId="40091"/>
    <cellStyle name="Comma 16 3 2 2 4 3 3" xfId="40092"/>
    <cellStyle name="Comma 16 3 2 2 4 4" xfId="40093"/>
    <cellStyle name="Comma 16 3 2 2 4 4 2" xfId="40094"/>
    <cellStyle name="Comma 16 3 2 2 4 5" xfId="40095"/>
    <cellStyle name="Comma 16 3 2 2 4 6" xfId="40096"/>
    <cellStyle name="Comma 16 3 2 2 5" xfId="40097"/>
    <cellStyle name="Comma 16 3 2 2 5 2" xfId="40098"/>
    <cellStyle name="Comma 16 3 2 2 5 2 2" xfId="40099"/>
    <cellStyle name="Comma 16 3 2 2 5 2 3" xfId="40100"/>
    <cellStyle name="Comma 16 3 2 2 5 3" xfId="40101"/>
    <cellStyle name="Comma 16 3 2 2 5 3 2" xfId="40102"/>
    <cellStyle name="Comma 16 3 2 2 5 4" xfId="40103"/>
    <cellStyle name="Comma 16 3 2 2 5 5" xfId="40104"/>
    <cellStyle name="Comma 16 3 2 2 6" xfId="40105"/>
    <cellStyle name="Comma 16 3 2 2 6 2" xfId="40106"/>
    <cellStyle name="Comma 16 3 2 2 6 3" xfId="40107"/>
    <cellStyle name="Comma 16 3 2 2 7" xfId="40108"/>
    <cellStyle name="Comma 16 3 2 2 7 2" xfId="40109"/>
    <cellStyle name="Comma 16 3 2 2 7 3" xfId="40110"/>
    <cellStyle name="Comma 16 3 2 2 8" xfId="40111"/>
    <cellStyle name="Comma 16 3 2 2 8 2" xfId="40112"/>
    <cellStyle name="Comma 16 3 2 2 9" xfId="40113"/>
    <cellStyle name="Comma 16 3 2 3" xfId="40114"/>
    <cellStyle name="Comma 16 3 2 3 2" xfId="40115"/>
    <cellStyle name="Comma 16 3 2 3 2 2" xfId="40116"/>
    <cellStyle name="Comma 16 3 2 3 2 2 2" xfId="40117"/>
    <cellStyle name="Comma 16 3 2 3 2 2 3" xfId="40118"/>
    <cellStyle name="Comma 16 3 2 3 2 3" xfId="40119"/>
    <cellStyle name="Comma 16 3 2 3 2 3 2" xfId="40120"/>
    <cellStyle name="Comma 16 3 2 3 2 3 3" xfId="40121"/>
    <cellStyle name="Comma 16 3 2 3 2 4" xfId="40122"/>
    <cellStyle name="Comma 16 3 2 3 2 4 2" xfId="40123"/>
    <cellStyle name="Comma 16 3 2 3 2 5" xfId="40124"/>
    <cellStyle name="Comma 16 3 2 3 2 6" xfId="40125"/>
    <cellStyle name="Comma 16 3 2 3 3" xfId="40126"/>
    <cellStyle name="Comma 16 3 2 3 3 2" xfId="40127"/>
    <cellStyle name="Comma 16 3 2 3 3 2 2" xfId="40128"/>
    <cellStyle name="Comma 16 3 2 3 3 2 3" xfId="40129"/>
    <cellStyle name="Comma 16 3 2 3 3 3" xfId="40130"/>
    <cellStyle name="Comma 16 3 2 3 3 3 2" xfId="40131"/>
    <cellStyle name="Comma 16 3 2 3 3 3 3" xfId="40132"/>
    <cellStyle name="Comma 16 3 2 3 3 4" xfId="40133"/>
    <cellStyle name="Comma 16 3 2 3 3 4 2" xfId="40134"/>
    <cellStyle name="Comma 16 3 2 3 3 5" xfId="40135"/>
    <cellStyle name="Comma 16 3 2 3 3 6" xfId="40136"/>
    <cellStyle name="Comma 16 3 2 3 4" xfId="40137"/>
    <cellStyle name="Comma 16 3 2 3 4 2" xfId="40138"/>
    <cellStyle name="Comma 16 3 2 3 4 2 2" xfId="40139"/>
    <cellStyle name="Comma 16 3 2 3 4 2 3" xfId="40140"/>
    <cellStyle name="Comma 16 3 2 3 4 3" xfId="40141"/>
    <cellStyle name="Comma 16 3 2 3 4 3 2" xfId="40142"/>
    <cellStyle name="Comma 16 3 2 3 4 4" xfId="40143"/>
    <cellStyle name="Comma 16 3 2 3 4 5" xfId="40144"/>
    <cellStyle name="Comma 16 3 2 3 5" xfId="40145"/>
    <cellStyle name="Comma 16 3 2 3 5 2" xfId="40146"/>
    <cellStyle name="Comma 16 3 2 3 5 3" xfId="40147"/>
    <cellStyle name="Comma 16 3 2 3 6" xfId="40148"/>
    <cellStyle name="Comma 16 3 2 3 6 2" xfId="40149"/>
    <cellStyle name="Comma 16 3 2 3 6 3" xfId="40150"/>
    <cellStyle name="Comma 16 3 2 3 7" xfId="40151"/>
    <cellStyle name="Comma 16 3 2 3 7 2" xfId="40152"/>
    <cellStyle name="Comma 16 3 2 3 8" xfId="40153"/>
    <cellStyle name="Comma 16 3 2 3 9" xfId="40154"/>
    <cellStyle name="Comma 16 3 2 4" xfId="40155"/>
    <cellStyle name="Comma 16 3 2 4 2" xfId="40156"/>
    <cellStyle name="Comma 16 3 2 4 2 2" xfId="40157"/>
    <cellStyle name="Comma 16 3 2 4 2 2 2" xfId="40158"/>
    <cellStyle name="Comma 16 3 2 4 2 2 3" xfId="40159"/>
    <cellStyle name="Comma 16 3 2 4 2 3" xfId="40160"/>
    <cellStyle name="Comma 16 3 2 4 2 3 2" xfId="40161"/>
    <cellStyle name="Comma 16 3 2 4 2 3 3" xfId="40162"/>
    <cellStyle name="Comma 16 3 2 4 2 4" xfId="40163"/>
    <cellStyle name="Comma 16 3 2 4 2 4 2" xfId="40164"/>
    <cellStyle name="Comma 16 3 2 4 2 5" xfId="40165"/>
    <cellStyle name="Comma 16 3 2 4 2 6" xfId="40166"/>
    <cellStyle name="Comma 16 3 2 4 3" xfId="40167"/>
    <cellStyle name="Comma 16 3 2 4 3 2" xfId="40168"/>
    <cellStyle name="Comma 16 3 2 4 3 2 2" xfId="40169"/>
    <cellStyle name="Comma 16 3 2 4 3 2 3" xfId="40170"/>
    <cellStyle name="Comma 16 3 2 4 3 3" xfId="40171"/>
    <cellStyle name="Comma 16 3 2 4 3 3 2" xfId="40172"/>
    <cellStyle name="Comma 16 3 2 4 3 3 3" xfId="40173"/>
    <cellStyle name="Comma 16 3 2 4 3 4" xfId="40174"/>
    <cellStyle name="Comma 16 3 2 4 3 4 2" xfId="40175"/>
    <cellStyle name="Comma 16 3 2 4 3 5" xfId="40176"/>
    <cellStyle name="Comma 16 3 2 4 3 6" xfId="40177"/>
    <cellStyle name="Comma 16 3 2 4 4" xfId="40178"/>
    <cellStyle name="Comma 16 3 2 4 4 2" xfId="40179"/>
    <cellStyle name="Comma 16 3 2 4 4 2 2" xfId="40180"/>
    <cellStyle name="Comma 16 3 2 4 4 2 3" xfId="40181"/>
    <cellStyle name="Comma 16 3 2 4 4 3" xfId="40182"/>
    <cellStyle name="Comma 16 3 2 4 4 3 2" xfId="40183"/>
    <cellStyle name="Comma 16 3 2 4 4 4" xfId="40184"/>
    <cellStyle name="Comma 16 3 2 4 4 5" xfId="40185"/>
    <cellStyle name="Comma 16 3 2 4 5" xfId="40186"/>
    <cellStyle name="Comma 16 3 2 4 5 2" xfId="40187"/>
    <cellStyle name="Comma 16 3 2 4 5 3" xfId="40188"/>
    <cellStyle name="Comma 16 3 2 4 6" xfId="40189"/>
    <cellStyle name="Comma 16 3 2 4 6 2" xfId="40190"/>
    <cellStyle name="Comma 16 3 2 4 6 3" xfId="40191"/>
    <cellStyle name="Comma 16 3 2 4 7" xfId="40192"/>
    <cellStyle name="Comma 16 3 2 4 7 2" xfId="40193"/>
    <cellStyle name="Comma 16 3 2 4 8" xfId="40194"/>
    <cellStyle name="Comma 16 3 2 4 9" xfId="40195"/>
    <cellStyle name="Comma 16 3 2 5" xfId="40196"/>
    <cellStyle name="Comma 16 3 2 5 2" xfId="40197"/>
    <cellStyle name="Comma 16 3 2 5 2 2" xfId="40198"/>
    <cellStyle name="Comma 16 3 2 5 2 3" xfId="40199"/>
    <cellStyle name="Comma 16 3 2 5 3" xfId="40200"/>
    <cellStyle name="Comma 16 3 2 5 3 2" xfId="40201"/>
    <cellStyle name="Comma 16 3 2 5 3 3" xfId="40202"/>
    <cellStyle name="Comma 16 3 2 5 4" xfId="40203"/>
    <cellStyle name="Comma 16 3 2 5 4 2" xfId="40204"/>
    <cellStyle name="Comma 16 3 2 5 5" xfId="40205"/>
    <cellStyle name="Comma 16 3 2 5 6" xfId="40206"/>
    <cellStyle name="Comma 16 3 2 6" xfId="40207"/>
    <cellStyle name="Comma 16 3 2 6 2" xfId="40208"/>
    <cellStyle name="Comma 16 3 2 6 2 2" xfId="40209"/>
    <cellStyle name="Comma 16 3 2 6 2 3" xfId="40210"/>
    <cellStyle name="Comma 16 3 2 6 3" xfId="40211"/>
    <cellStyle name="Comma 16 3 2 6 3 2" xfId="40212"/>
    <cellStyle name="Comma 16 3 2 6 3 3" xfId="40213"/>
    <cellStyle name="Comma 16 3 2 6 4" xfId="40214"/>
    <cellStyle name="Comma 16 3 2 6 4 2" xfId="40215"/>
    <cellStyle name="Comma 16 3 2 6 5" xfId="40216"/>
    <cellStyle name="Comma 16 3 2 6 6" xfId="40217"/>
    <cellStyle name="Comma 16 3 2 7" xfId="40218"/>
    <cellStyle name="Comma 16 3 2 7 2" xfId="40219"/>
    <cellStyle name="Comma 16 3 2 7 2 2" xfId="40220"/>
    <cellStyle name="Comma 16 3 2 7 2 3" xfId="40221"/>
    <cellStyle name="Comma 16 3 2 7 3" xfId="40222"/>
    <cellStyle name="Comma 16 3 2 7 3 2" xfId="40223"/>
    <cellStyle name="Comma 16 3 2 7 4" xfId="40224"/>
    <cellStyle name="Comma 16 3 2 7 5" xfId="40225"/>
    <cellStyle name="Comma 16 3 2 8" xfId="40226"/>
    <cellStyle name="Comma 16 3 2 8 2" xfId="40227"/>
    <cellStyle name="Comma 16 3 2 8 3" xfId="40228"/>
    <cellStyle name="Comma 16 3 2 9" xfId="40229"/>
    <cellStyle name="Comma 16 3 2 9 2" xfId="40230"/>
    <cellStyle name="Comma 16 3 2 9 3" xfId="40231"/>
    <cellStyle name="Comma 16 3 3" xfId="40232"/>
    <cellStyle name="Comma 16 3 3 10" xfId="40233"/>
    <cellStyle name="Comma 16 3 3 2" xfId="40234"/>
    <cellStyle name="Comma 16 3 3 2 2" xfId="40235"/>
    <cellStyle name="Comma 16 3 3 2 2 2" xfId="40236"/>
    <cellStyle name="Comma 16 3 3 2 2 2 2" xfId="40237"/>
    <cellStyle name="Comma 16 3 3 2 2 2 3" xfId="40238"/>
    <cellStyle name="Comma 16 3 3 2 2 3" xfId="40239"/>
    <cellStyle name="Comma 16 3 3 2 2 3 2" xfId="40240"/>
    <cellStyle name="Comma 16 3 3 2 2 3 3" xfId="40241"/>
    <cellStyle name="Comma 16 3 3 2 2 4" xfId="40242"/>
    <cellStyle name="Comma 16 3 3 2 2 4 2" xfId="40243"/>
    <cellStyle name="Comma 16 3 3 2 2 5" xfId="40244"/>
    <cellStyle name="Comma 16 3 3 2 2 6" xfId="40245"/>
    <cellStyle name="Comma 16 3 3 2 3" xfId="40246"/>
    <cellStyle name="Comma 16 3 3 2 3 2" xfId="40247"/>
    <cellStyle name="Comma 16 3 3 2 3 2 2" xfId="40248"/>
    <cellStyle name="Comma 16 3 3 2 3 2 3" xfId="40249"/>
    <cellStyle name="Comma 16 3 3 2 3 3" xfId="40250"/>
    <cellStyle name="Comma 16 3 3 2 3 3 2" xfId="40251"/>
    <cellStyle name="Comma 16 3 3 2 3 3 3" xfId="40252"/>
    <cellStyle name="Comma 16 3 3 2 3 4" xfId="40253"/>
    <cellStyle name="Comma 16 3 3 2 3 4 2" xfId="40254"/>
    <cellStyle name="Comma 16 3 3 2 3 5" xfId="40255"/>
    <cellStyle name="Comma 16 3 3 2 3 6" xfId="40256"/>
    <cellStyle name="Comma 16 3 3 2 4" xfId="40257"/>
    <cellStyle name="Comma 16 3 3 2 4 2" xfId="40258"/>
    <cellStyle name="Comma 16 3 3 2 4 2 2" xfId="40259"/>
    <cellStyle name="Comma 16 3 3 2 4 2 3" xfId="40260"/>
    <cellStyle name="Comma 16 3 3 2 4 3" xfId="40261"/>
    <cellStyle name="Comma 16 3 3 2 4 3 2" xfId="40262"/>
    <cellStyle name="Comma 16 3 3 2 4 4" xfId="40263"/>
    <cellStyle name="Comma 16 3 3 2 4 5" xfId="40264"/>
    <cellStyle name="Comma 16 3 3 2 5" xfId="40265"/>
    <cellStyle name="Comma 16 3 3 2 5 2" xfId="40266"/>
    <cellStyle name="Comma 16 3 3 2 5 3" xfId="40267"/>
    <cellStyle name="Comma 16 3 3 2 6" xfId="40268"/>
    <cellStyle name="Comma 16 3 3 2 6 2" xfId="40269"/>
    <cellStyle name="Comma 16 3 3 2 6 3" xfId="40270"/>
    <cellStyle name="Comma 16 3 3 2 7" xfId="40271"/>
    <cellStyle name="Comma 16 3 3 2 7 2" xfId="40272"/>
    <cellStyle name="Comma 16 3 3 2 8" xfId="40273"/>
    <cellStyle name="Comma 16 3 3 2 9" xfId="40274"/>
    <cellStyle name="Comma 16 3 3 3" xfId="40275"/>
    <cellStyle name="Comma 16 3 3 3 2" xfId="40276"/>
    <cellStyle name="Comma 16 3 3 3 2 2" xfId="40277"/>
    <cellStyle name="Comma 16 3 3 3 2 3" xfId="40278"/>
    <cellStyle name="Comma 16 3 3 3 3" xfId="40279"/>
    <cellStyle name="Comma 16 3 3 3 3 2" xfId="40280"/>
    <cellStyle name="Comma 16 3 3 3 3 3" xfId="40281"/>
    <cellStyle name="Comma 16 3 3 3 4" xfId="40282"/>
    <cellStyle name="Comma 16 3 3 3 4 2" xfId="40283"/>
    <cellStyle name="Comma 16 3 3 3 5" xfId="40284"/>
    <cellStyle name="Comma 16 3 3 3 6" xfId="40285"/>
    <cellStyle name="Comma 16 3 3 4" xfId="40286"/>
    <cellStyle name="Comma 16 3 3 4 2" xfId="40287"/>
    <cellStyle name="Comma 16 3 3 4 2 2" xfId="40288"/>
    <cellStyle name="Comma 16 3 3 4 2 3" xfId="40289"/>
    <cellStyle name="Comma 16 3 3 4 3" xfId="40290"/>
    <cellStyle name="Comma 16 3 3 4 3 2" xfId="40291"/>
    <cellStyle name="Comma 16 3 3 4 3 3" xfId="40292"/>
    <cellStyle name="Comma 16 3 3 4 4" xfId="40293"/>
    <cellStyle name="Comma 16 3 3 4 4 2" xfId="40294"/>
    <cellStyle name="Comma 16 3 3 4 5" xfId="40295"/>
    <cellStyle name="Comma 16 3 3 4 6" xfId="40296"/>
    <cellStyle name="Comma 16 3 3 5" xfId="40297"/>
    <cellStyle name="Comma 16 3 3 5 2" xfId="40298"/>
    <cellStyle name="Comma 16 3 3 5 2 2" xfId="40299"/>
    <cellStyle name="Comma 16 3 3 5 2 3" xfId="40300"/>
    <cellStyle name="Comma 16 3 3 5 3" xfId="40301"/>
    <cellStyle name="Comma 16 3 3 5 3 2" xfId="40302"/>
    <cellStyle name="Comma 16 3 3 5 4" xfId="40303"/>
    <cellStyle name="Comma 16 3 3 5 5" xfId="40304"/>
    <cellStyle name="Comma 16 3 3 6" xfId="40305"/>
    <cellStyle name="Comma 16 3 3 6 2" xfId="40306"/>
    <cellStyle name="Comma 16 3 3 6 3" xfId="40307"/>
    <cellStyle name="Comma 16 3 3 7" xfId="40308"/>
    <cellStyle name="Comma 16 3 3 7 2" xfId="40309"/>
    <cellStyle name="Comma 16 3 3 7 3" xfId="40310"/>
    <cellStyle name="Comma 16 3 3 8" xfId="40311"/>
    <cellStyle name="Comma 16 3 3 8 2" xfId="40312"/>
    <cellStyle name="Comma 16 3 3 9" xfId="40313"/>
    <cellStyle name="Comma 16 3 4" xfId="40314"/>
    <cellStyle name="Comma 16 3 4 2" xfId="40315"/>
    <cellStyle name="Comma 16 3 4 2 2" xfId="40316"/>
    <cellStyle name="Comma 16 3 4 2 2 2" xfId="40317"/>
    <cellStyle name="Comma 16 3 4 2 2 3" xfId="40318"/>
    <cellStyle name="Comma 16 3 4 2 3" xfId="40319"/>
    <cellStyle name="Comma 16 3 4 2 3 2" xfId="40320"/>
    <cellStyle name="Comma 16 3 4 2 3 3" xfId="40321"/>
    <cellStyle name="Comma 16 3 4 2 4" xfId="40322"/>
    <cellStyle name="Comma 16 3 4 2 4 2" xfId="40323"/>
    <cellStyle name="Comma 16 3 4 2 5" xfId="40324"/>
    <cellStyle name="Comma 16 3 4 2 6" xfId="40325"/>
    <cellStyle name="Comma 16 3 4 3" xfId="40326"/>
    <cellStyle name="Comma 16 3 4 3 2" xfId="40327"/>
    <cellStyle name="Comma 16 3 4 3 2 2" xfId="40328"/>
    <cellStyle name="Comma 16 3 4 3 2 3" xfId="40329"/>
    <cellStyle name="Comma 16 3 4 3 3" xfId="40330"/>
    <cellStyle name="Comma 16 3 4 3 3 2" xfId="40331"/>
    <cellStyle name="Comma 16 3 4 3 3 3" xfId="40332"/>
    <cellStyle name="Comma 16 3 4 3 4" xfId="40333"/>
    <cellStyle name="Comma 16 3 4 3 4 2" xfId="40334"/>
    <cellStyle name="Comma 16 3 4 3 5" xfId="40335"/>
    <cellStyle name="Comma 16 3 4 3 6" xfId="40336"/>
    <cellStyle name="Comma 16 3 4 4" xfId="40337"/>
    <cellStyle name="Comma 16 3 4 4 2" xfId="40338"/>
    <cellStyle name="Comma 16 3 4 4 2 2" xfId="40339"/>
    <cellStyle name="Comma 16 3 4 4 2 3" xfId="40340"/>
    <cellStyle name="Comma 16 3 4 4 3" xfId="40341"/>
    <cellStyle name="Comma 16 3 4 4 3 2" xfId="40342"/>
    <cellStyle name="Comma 16 3 4 4 4" xfId="40343"/>
    <cellStyle name="Comma 16 3 4 4 5" xfId="40344"/>
    <cellStyle name="Comma 16 3 4 5" xfId="40345"/>
    <cellStyle name="Comma 16 3 4 5 2" xfId="40346"/>
    <cellStyle name="Comma 16 3 4 5 3" xfId="40347"/>
    <cellStyle name="Comma 16 3 4 6" xfId="40348"/>
    <cellStyle name="Comma 16 3 4 6 2" xfId="40349"/>
    <cellStyle name="Comma 16 3 4 6 3" xfId="40350"/>
    <cellStyle name="Comma 16 3 4 7" xfId="40351"/>
    <cellStyle name="Comma 16 3 4 7 2" xfId="40352"/>
    <cellStyle name="Comma 16 3 4 8" xfId="40353"/>
    <cellStyle name="Comma 16 3 4 9" xfId="40354"/>
    <cellStyle name="Comma 16 3 5" xfId="40355"/>
    <cellStyle name="Comma 16 3 5 2" xfId="40356"/>
    <cellStyle name="Comma 16 3 5 2 2" xfId="40357"/>
    <cellStyle name="Comma 16 3 5 2 2 2" xfId="40358"/>
    <cellStyle name="Comma 16 3 5 2 2 3" xfId="40359"/>
    <cellStyle name="Comma 16 3 5 2 3" xfId="40360"/>
    <cellStyle name="Comma 16 3 5 2 3 2" xfId="40361"/>
    <cellStyle name="Comma 16 3 5 2 3 3" xfId="40362"/>
    <cellStyle name="Comma 16 3 5 2 4" xfId="40363"/>
    <cellStyle name="Comma 16 3 5 2 4 2" xfId="40364"/>
    <cellStyle name="Comma 16 3 5 2 5" xfId="40365"/>
    <cellStyle name="Comma 16 3 5 2 6" xfId="40366"/>
    <cellStyle name="Comma 16 3 5 3" xfId="40367"/>
    <cellStyle name="Comma 16 3 5 3 2" xfId="40368"/>
    <cellStyle name="Comma 16 3 5 3 2 2" xfId="40369"/>
    <cellStyle name="Comma 16 3 5 3 2 3" xfId="40370"/>
    <cellStyle name="Comma 16 3 5 3 3" xfId="40371"/>
    <cellStyle name="Comma 16 3 5 3 3 2" xfId="40372"/>
    <cellStyle name="Comma 16 3 5 3 3 3" xfId="40373"/>
    <cellStyle name="Comma 16 3 5 3 4" xfId="40374"/>
    <cellStyle name="Comma 16 3 5 3 4 2" xfId="40375"/>
    <cellStyle name="Comma 16 3 5 3 5" xfId="40376"/>
    <cellStyle name="Comma 16 3 5 3 6" xfId="40377"/>
    <cellStyle name="Comma 16 3 5 4" xfId="40378"/>
    <cellStyle name="Comma 16 3 5 4 2" xfId="40379"/>
    <cellStyle name="Comma 16 3 5 4 2 2" xfId="40380"/>
    <cellStyle name="Comma 16 3 5 4 2 3" xfId="40381"/>
    <cellStyle name="Comma 16 3 5 4 3" xfId="40382"/>
    <cellStyle name="Comma 16 3 5 4 3 2" xfId="40383"/>
    <cellStyle name="Comma 16 3 5 4 4" xfId="40384"/>
    <cellStyle name="Comma 16 3 5 4 5" xfId="40385"/>
    <cellStyle name="Comma 16 3 5 5" xfId="40386"/>
    <cellStyle name="Comma 16 3 5 5 2" xfId="40387"/>
    <cellStyle name="Comma 16 3 5 5 3" xfId="40388"/>
    <cellStyle name="Comma 16 3 5 6" xfId="40389"/>
    <cellStyle name="Comma 16 3 5 6 2" xfId="40390"/>
    <cellStyle name="Comma 16 3 5 6 3" xfId="40391"/>
    <cellStyle name="Comma 16 3 5 7" xfId="40392"/>
    <cellStyle name="Comma 16 3 5 7 2" xfId="40393"/>
    <cellStyle name="Comma 16 3 5 8" xfId="40394"/>
    <cellStyle name="Comma 16 3 5 9" xfId="40395"/>
    <cellStyle name="Comma 16 3 6" xfId="40396"/>
    <cellStyle name="Comma 16 3 6 2" xfId="40397"/>
    <cellStyle name="Comma 16 3 6 2 2" xfId="40398"/>
    <cellStyle name="Comma 16 3 6 2 3" xfId="40399"/>
    <cellStyle name="Comma 16 3 6 3" xfId="40400"/>
    <cellStyle name="Comma 16 3 6 3 2" xfId="40401"/>
    <cellStyle name="Comma 16 3 6 3 3" xfId="40402"/>
    <cellStyle name="Comma 16 3 6 4" xfId="40403"/>
    <cellStyle name="Comma 16 3 6 4 2" xfId="40404"/>
    <cellStyle name="Comma 16 3 6 5" xfId="40405"/>
    <cellStyle name="Comma 16 3 6 6" xfId="40406"/>
    <cellStyle name="Comma 16 3 7" xfId="40407"/>
    <cellStyle name="Comma 16 3 7 2" xfId="40408"/>
    <cellStyle name="Comma 16 3 7 2 2" xfId="40409"/>
    <cellStyle name="Comma 16 3 7 2 3" xfId="40410"/>
    <cellStyle name="Comma 16 3 7 3" xfId="40411"/>
    <cellStyle name="Comma 16 3 7 3 2" xfId="40412"/>
    <cellStyle name="Comma 16 3 7 3 3" xfId="40413"/>
    <cellStyle name="Comma 16 3 7 4" xfId="40414"/>
    <cellStyle name="Comma 16 3 7 4 2" xfId="40415"/>
    <cellStyle name="Comma 16 3 7 5" xfId="40416"/>
    <cellStyle name="Comma 16 3 7 6" xfId="40417"/>
    <cellStyle name="Comma 16 3 8" xfId="40418"/>
    <cellStyle name="Comma 16 3 8 2" xfId="40419"/>
    <cellStyle name="Comma 16 3 8 2 2" xfId="40420"/>
    <cellStyle name="Comma 16 3 8 2 3" xfId="40421"/>
    <cellStyle name="Comma 16 3 8 3" xfId="40422"/>
    <cellStyle name="Comma 16 3 8 3 2" xfId="40423"/>
    <cellStyle name="Comma 16 3 8 4" xfId="40424"/>
    <cellStyle name="Comma 16 3 8 5" xfId="40425"/>
    <cellStyle name="Comma 16 3 9" xfId="40426"/>
    <cellStyle name="Comma 16 3 9 2" xfId="40427"/>
    <cellStyle name="Comma 16 3 9 3" xfId="40428"/>
    <cellStyle name="Comma 16 4" xfId="40429"/>
    <cellStyle name="Comma 16 4 10" xfId="40430"/>
    <cellStyle name="Comma 16 4 10 2" xfId="40431"/>
    <cellStyle name="Comma 16 4 11" xfId="40432"/>
    <cellStyle name="Comma 16 4 12" xfId="40433"/>
    <cellStyle name="Comma 16 4 2" xfId="40434"/>
    <cellStyle name="Comma 16 4 2 10" xfId="40435"/>
    <cellStyle name="Comma 16 4 2 2" xfId="40436"/>
    <cellStyle name="Comma 16 4 2 2 2" xfId="40437"/>
    <cellStyle name="Comma 16 4 2 2 2 2" xfId="40438"/>
    <cellStyle name="Comma 16 4 2 2 2 2 2" xfId="40439"/>
    <cellStyle name="Comma 16 4 2 2 2 2 3" xfId="40440"/>
    <cellStyle name="Comma 16 4 2 2 2 3" xfId="40441"/>
    <cellStyle name="Comma 16 4 2 2 2 3 2" xfId="40442"/>
    <cellStyle name="Comma 16 4 2 2 2 3 3" xfId="40443"/>
    <cellStyle name="Comma 16 4 2 2 2 4" xfId="40444"/>
    <cellStyle name="Comma 16 4 2 2 2 4 2" xfId="40445"/>
    <cellStyle name="Comma 16 4 2 2 2 5" xfId="40446"/>
    <cellStyle name="Comma 16 4 2 2 2 6" xfId="40447"/>
    <cellStyle name="Comma 16 4 2 2 3" xfId="40448"/>
    <cellStyle name="Comma 16 4 2 2 3 2" xfId="40449"/>
    <cellStyle name="Comma 16 4 2 2 3 2 2" xfId="40450"/>
    <cellStyle name="Comma 16 4 2 2 3 2 3" xfId="40451"/>
    <cellStyle name="Comma 16 4 2 2 3 3" xfId="40452"/>
    <cellStyle name="Comma 16 4 2 2 3 3 2" xfId="40453"/>
    <cellStyle name="Comma 16 4 2 2 3 3 3" xfId="40454"/>
    <cellStyle name="Comma 16 4 2 2 3 4" xfId="40455"/>
    <cellStyle name="Comma 16 4 2 2 3 4 2" xfId="40456"/>
    <cellStyle name="Comma 16 4 2 2 3 5" xfId="40457"/>
    <cellStyle name="Comma 16 4 2 2 3 6" xfId="40458"/>
    <cellStyle name="Comma 16 4 2 2 4" xfId="40459"/>
    <cellStyle name="Comma 16 4 2 2 4 2" xfId="40460"/>
    <cellStyle name="Comma 16 4 2 2 4 2 2" xfId="40461"/>
    <cellStyle name="Comma 16 4 2 2 4 2 3" xfId="40462"/>
    <cellStyle name="Comma 16 4 2 2 4 3" xfId="40463"/>
    <cellStyle name="Comma 16 4 2 2 4 3 2" xfId="40464"/>
    <cellStyle name="Comma 16 4 2 2 4 4" xfId="40465"/>
    <cellStyle name="Comma 16 4 2 2 4 5" xfId="40466"/>
    <cellStyle name="Comma 16 4 2 2 5" xfId="40467"/>
    <cellStyle name="Comma 16 4 2 2 5 2" xfId="40468"/>
    <cellStyle name="Comma 16 4 2 2 5 3" xfId="40469"/>
    <cellStyle name="Comma 16 4 2 2 6" xfId="40470"/>
    <cellStyle name="Comma 16 4 2 2 6 2" xfId="40471"/>
    <cellStyle name="Comma 16 4 2 2 6 3" xfId="40472"/>
    <cellStyle name="Comma 16 4 2 2 7" xfId="40473"/>
    <cellStyle name="Comma 16 4 2 2 7 2" xfId="40474"/>
    <cellStyle name="Comma 16 4 2 2 8" xfId="40475"/>
    <cellStyle name="Comma 16 4 2 2 9" xfId="40476"/>
    <cellStyle name="Comma 16 4 2 3" xfId="40477"/>
    <cellStyle name="Comma 16 4 2 3 2" xfId="40478"/>
    <cellStyle name="Comma 16 4 2 3 2 2" xfId="40479"/>
    <cellStyle name="Comma 16 4 2 3 2 3" xfId="40480"/>
    <cellStyle name="Comma 16 4 2 3 3" xfId="40481"/>
    <cellStyle name="Comma 16 4 2 3 3 2" xfId="40482"/>
    <cellStyle name="Comma 16 4 2 3 3 3" xfId="40483"/>
    <cellStyle name="Comma 16 4 2 3 4" xfId="40484"/>
    <cellStyle name="Comma 16 4 2 3 4 2" xfId="40485"/>
    <cellStyle name="Comma 16 4 2 3 5" xfId="40486"/>
    <cellStyle name="Comma 16 4 2 3 6" xfId="40487"/>
    <cellStyle name="Comma 16 4 2 4" xfId="40488"/>
    <cellStyle name="Comma 16 4 2 4 2" xfId="40489"/>
    <cellStyle name="Comma 16 4 2 4 2 2" xfId="40490"/>
    <cellStyle name="Comma 16 4 2 4 2 3" xfId="40491"/>
    <cellStyle name="Comma 16 4 2 4 3" xfId="40492"/>
    <cellStyle name="Comma 16 4 2 4 3 2" xfId="40493"/>
    <cellStyle name="Comma 16 4 2 4 3 3" xfId="40494"/>
    <cellStyle name="Comma 16 4 2 4 4" xfId="40495"/>
    <cellStyle name="Comma 16 4 2 4 4 2" xfId="40496"/>
    <cellStyle name="Comma 16 4 2 4 5" xfId="40497"/>
    <cellStyle name="Comma 16 4 2 4 6" xfId="40498"/>
    <cellStyle name="Comma 16 4 2 5" xfId="40499"/>
    <cellStyle name="Comma 16 4 2 5 2" xfId="40500"/>
    <cellStyle name="Comma 16 4 2 5 2 2" xfId="40501"/>
    <cellStyle name="Comma 16 4 2 5 2 3" xfId="40502"/>
    <cellStyle name="Comma 16 4 2 5 3" xfId="40503"/>
    <cellStyle name="Comma 16 4 2 5 3 2" xfId="40504"/>
    <cellStyle name="Comma 16 4 2 5 4" xfId="40505"/>
    <cellStyle name="Comma 16 4 2 5 5" xfId="40506"/>
    <cellStyle name="Comma 16 4 2 6" xfId="40507"/>
    <cellStyle name="Comma 16 4 2 6 2" xfId="40508"/>
    <cellStyle name="Comma 16 4 2 6 3" xfId="40509"/>
    <cellStyle name="Comma 16 4 2 7" xfId="40510"/>
    <cellStyle name="Comma 16 4 2 7 2" xfId="40511"/>
    <cellStyle name="Comma 16 4 2 7 3" xfId="40512"/>
    <cellStyle name="Comma 16 4 2 8" xfId="40513"/>
    <cellStyle name="Comma 16 4 2 8 2" xfId="40514"/>
    <cellStyle name="Comma 16 4 2 9" xfId="40515"/>
    <cellStyle name="Comma 16 4 3" xfId="40516"/>
    <cellStyle name="Comma 16 4 3 2" xfId="40517"/>
    <cellStyle name="Comma 16 4 3 2 2" xfId="40518"/>
    <cellStyle name="Comma 16 4 3 2 2 2" xfId="40519"/>
    <cellStyle name="Comma 16 4 3 2 2 3" xfId="40520"/>
    <cellStyle name="Comma 16 4 3 2 3" xfId="40521"/>
    <cellStyle name="Comma 16 4 3 2 3 2" xfId="40522"/>
    <cellStyle name="Comma 16 4 3 2 3 3" xfId="40523"/>
    <cellStyle name="Comma 16 4 3 2 4" xfId="40524"/>
    <cellStyle name="Comma 16 4 3 2 4 2" xfId="40525"/>
    <cellStyle name="Comma 16 4 3 2 5" xfId="40526"/>
    <cellStyle name="Comma 16 4 3 2 6" xfId="40527"/>
    <cellStyle name="Comma 16 4 3 3" xfId="40528"/>
    <cellStyle name="Comma 16 4 3 3 2" xfId="40529"/>
    <cellStyle name="Comma 16 4 3 3 2 2" xfId="40530"/>
    <cellStyle name="Comma 16 4 3 3 2 3" xfId="40531"/>
    <cellStyle name="Comma 16 4 3 3 3" xfId="40532"/>
    <cellStyle name="Comma 16 4 3 3 3 2" xfId="40533"/>
    <cellStyle name="Comma 16 4 3 3 3 3" xfId="40534"/>
    <cellStyle name="Comma 16 4 3 3 4" xfId="40535"/>
    <cellStyle name="Comma 16 4 3 3 4 2" xfId="40536"/>
    <cellStyle name="Comma 16 4 3 3 5" xfId="40537"/>
    <cellStyle name="Comma 16 4 3 3 6" xfId="40538"/>
    <cellStyle name="Comma 16 4 3 4" xfId="40539"/>
    <cellStyle name="Comma 16 4 3 4 2" xfId="40540"/>
    <cellStyle name="Comma 16 4 3 4 2 2" xfId="40541"/>
    <cellStyle name="Comma 16 4 3 4 2 3" xfId="40542"/>
    <cellStyle name="Comma 16 4 3 4 3" xfId="40543"/>
    <cellStyle name="Comma 16 4 3 4 3 2" xfId="40544"/>
    <cellStyle name="Comma 16 4 3 4 4" xfId="40545"/>
    <cellStyle name="Comma 16 4 3 4 5" xfId="40546"/>
    <cellStyle name="Comma 16 4 3 5" xfId="40547"/>
    <cellStyle name="Comma 16 4 3 5 2" xfId="40548"/>
    <cellStyle name="Comma 16 4 3 5 3" xfId="40549"/>
    <cellStyle name="Comma 16 4 3 6" xfId="40550"/>
    <cellStyle name="Comma 16 4 3 6 2" xfId="40551"/>
    <cellStyle name="Comma 16 4 3 6 3" xfId="40552"/>
    <cellStyle name="Comma 16 4 3 7" xfId="40553"/>
    <cellStyle name="Comma 16 4 3 7 2" xfId="40554"/>
    <cellStyle name="Comma 16 4 3 8" xfId="40555"/>
    <cellStyle name="Comma 16 4 3 9" xfId="40556"/>
    <cellStyle name="Comma 16 4 4" xfId="40557"/>
    <cellStyle name="Comma 16 4 4 2" xfId="40558"/>
    <cellStyle name="Comma 16 4 4 2 2" xfId="40559"/>
    <cellStyle name="Comma 16 4 4 2 2 2" xfId="40560"/>
    <cellStyle name="Comma 16 4 4 2 2 3" xfId="40561"/>
    <cellStyle name="Comma 16 4 4 2 3" xfId="40562"/>
    <cellStyle name="Comma 16 4 4 2 3 2" xfId="40563"/>
    <cellStyle name="Comma 16 4 4 2 3 3" xfId="40564"/>
    <cellStyle name="Comma 16 4 4 2 4" xfId="40565"/>
    <cellStyle name="Comma 16 4 4 2 4 2" xfId="40566"/>
    <cellStyle name="Comma 16 4 4 2 5" xfId="40567"/>
    <cellStyle name="Comma 16 4 4 2 6" xfId="40568"/>
    <cellStyle name="Comma 16 4 4 3" xfId="40569"/>
    <cellStyle name="Comma 16 4 4 3 2" xfId="40570"/>
    <cellStyle name="Comma 16 4 4 3 2 2" xfId="40571"/>
    <cellStyle name="Comma 16 4 4 3 2 3" xfId="40572"/>
    <cellStyle name="Comma 16 4 4 3 3" xfId="40573"/>
    <cellStyle name="Comma 16 4 4 3 3 2" xfId="40574"/>
    <cellStyle name="Comma 16 4 4 3 3 3" xfId="40575"/>
    <cellStyle name="Comma 16 4 4 3 4" xfId="40576"/>
    <cellStyle name="Comma 16 4 4 3 4 2" xfId="40577"/>
    <cellStyle name="Comma 16 4 4 3 5" xfId="40578"/>
    <cellStyle name="Comma 16 4 4 3 6" xfId="40579"/>
    <cellStyle name="Comma 16 4 4 4" xfId="40580"/>
    <cellStyle name="Comma 16 4 4 4 2" xfId="40581"/>
    <cellStyle name="Comma 16 4 4 4 2 2" xfId="40582"/>
    <cellStyle name="Comma 16 4 4 4 2 3" xfId="40583"/>
    <cellStyle name="Comma 16 4 4 4 3" xfId="40584"/>
    <cellStyle name="Comma 16 4 4 4 3 2" xfId="40585"/>
    <cellStyle name="Comma 16 4 4 4 4" xfId="40586"/>
    <cellStyle name="Comma 16 4 4 4 5" xfId="40587"/>
    <cellStyle name="Comma 16 4 4 5" xfId="40588"/>
    <cellStyle name="Comma 16 4 4 5 2" xfId="40589"/>
    <cellStyle name="Comma 16 4 4 5 3" xfId="40590"/>
    <cellStyle name="Comma 16 4 4 6" xfId="40591"/>
    <cellStyle name="Comma 16 4 4 6 2" xfId="40592"/>
    <cellStyle name="Comma 16 4 4 6 3" xfId="40593"/>
    <cellStyle name="Comma 16 4 4 7" xfId="40594"/>
    <cellStyle name="Comma 16 4 4 7 2" xfId="40595"/>
    <cellStyle name="Comma 16 4 4 8" xfId="40596"/>
    <cellStyle name="Comma 16 4 4 9" xfId="40597"/>
    <cellStyle name="Comma 16 4 5" xfId="40598"/>
    <cellStyle name="Comma 16 4 5 2" xfId="40599"/>
    <cellStyle name="Comma 16 4 5 2 2" xfId="40600"/>
    <cellStyle name="Comma 16 4 5 2 3" xfId="40601"/>
    <cellStyle name="Comma 16 4 5 3" xfId="40602"/>
    <cellStyle name="Comma 16 4 5 3 2" xfId="40603"/>
    <cellStyle name="Comma 16 4 5 3 3" xfId="40604"/>
    <cellStyle name="Comma 16 4 5 4" xfId="40605"/>
    <cellStyle name="Comma 16 4 5 4 2" xfId="40606"/>
    <cellStyle name="Comma 16 4 5 5" xfId="40607"/>
    <cellStyle name="Comma 16 4 5 6" xfId="40608"/>
    <cellStyle name="Comma 16 4 6" xfId="40609"/>
    <cellStyle name="Comma 16 4 6 2" xfId="40610"/>
    <cellStyle name="Comma 16 4 6 2 2" xfId="40611"/>
    <cellStyle name="Comma 16 4 6 2 3" xfId="40612"/>
    <cellStyle name="Comma 16 4 6 3" xfId="40613"/>
    <cellStyle name="Comma 16 4 6 3 2" xfId="40614"/>
    <cellStyle name="Comma 16 4 6 3 3" xfId="40615"/>
    <cellStyle name="Comma 16 4 6 4" xfId="40616"/>
    <cellStyle name="Comma 16 4 6 4 2" xfId="40617"/>
    <cellStyle name="Comma 16 4 6 5" xfId="40618"/>
    <cellStyle name="Comma 16 4 6 6" xfId="40619"/>
    <cellStyle name="Comma 16 4 7" xfId="40620"/>
    <cellStyle name="Comma 16 4 7 2" xfId="40621"/>
    <cellStyle name="Comma 16 4 7 2 2" xfId="40622"/>
    <cellStyle name="Comma 16 4 7 2 3" xfId="40623"/>
    <cellStyle name="Comma 16 4 7 3" xfId="40624"/>
    <cellStyle name="Comma 16 4 7 3 2" xfId="40625"/>
    <cellStyle name="Comma 16 4 7 4" xfId="40626"/>
    <cellStyle name="Comma 16 4 7 5" xfId="40627"/>
    <cellStyle name="Comma 16 4 8" xfId="40628"/>
    <cellStyle name="Comma 16 4 8 2" xfId="40629"/>
    <cellStyle name="Comma 16 4 8 3" xfId="40630"/>
    <cellStyle name="Comma 16 4 9" xfId="40631"/>
    <cellStyle name="Comma 16 4 9 2" xfId="40632"/>
    <cellStyle name="Comma 16 4 9 3" xfId="40633"/>
    <cellStyle name="Comma 16 5" xfId="40634"/>
    <cellStyle name="Comma 16 5 10" xfId="40635"/>
    <cellStyle name="Comma 16 5 2" xfId="40636"/>
    <cellStyle name="Comma 16 5 2 2" xfId="40637"/>
    <cellStyle name="Comma 16 5 2 2 2" xfId="40638"/>
    <cellStyle name="Comma 16 5 2 2 2 2" xfId="40639"/>
    <cellStyle name="Comma 16 5 2 2 2 3" xfId="40640"/>
    <cellStyle name="Comma 16 5 2 2 3" xfId="40641"/>
    <cellStyle name="Comma 16 5 2 2 3 2" xfId="40642"/>
    <cellStyle name="Comma 16 5 2 2 3 3" xfId="40643"/>
    <cellStyle name="Comma 16 5 2 2 4" xfId="40644"/>
    <cellStyle name="Comma 16 5 2 2 4 2" xfId="40645"/>
    <cellStyle name="Comma 16 5 2 2 5" xfId="40646"/>
    <cellStyle name="Comma 16 5 2 2 6" xfId="40647"/>
    <cellStyle name="Comma 16 5 2 3" xfId="40648"/>
    <cellStyle name="Comma 16 5 2 3 2" xfId="40649"/>
    <cellStyle name="Comma 16 5 2 3 2 2" xfId="40650"/>
    <cellStyle name="Comma 16 5 2 3 2 3" xfId="40651"/>
    <cellStyle name="Comma 16 5 2 3 3" xfId="40652"/>
    <cellStyle name="Comma 16 5 2 3 3 2" xfId="40653"/>
    <cellStyle name="Comma 16 5 2 3 3 3" xfId="40654"/>
    <cellStyle name="Comma 16 5 2 3 4" xfId="40655"/>
    <cellStyle name="Comma 16 5 2 3 4 2" xfId="40656"/>
    <cellStyle name="Comma 16 5 2 3 5" xfId="40657"/>
    <cellStyle name="Comma 16 5 2 3 6" xfId="40658"/>
    <cellStyle name="Comma 16 5 2 4" xfId="40659"/>
    <cellStyle name="Comma 16 5 2 4 2" xfId="40660"/>
    <cellStyle name="Comma 16 5 2 4 2 2" xfId="40661"/>
    <cellStyle name="Comma 16 5 2 4 2 3" xfId="40662"/>
    <cellStyle name="Comma 16 5 2 4 3" xfId="40663"/>
    <cellStyle name="Comma 16 5 2 4 3 2" xfId="40664"/>
    <cellStyle name="Comma 16 5 2 4 4" xfId="40665"/>
    <cellStyle name="Comma 16 5 2 4 5" xfId="40666"/>
    <cellStyle name="Comma 16 5 2 5" xfId="40667"/>
    <cellStyle name="Comma 16 5 2 5 2" xfId="40668"/>
    <cellStyle name="Comma 16 5 2 5 3" xfId="40669"/>
    <cellStyle name="Comma 16 5 2 6" xfId="40670"/>
    <cellStyle name="Comma 16 5 2 6 2" xfId="40671"/>
    <cellStyle name="Comma 16 5 2 6 3" xfId="40672"/>
    <cellStyle name="Comma 16 5 2 7" xfId="40673"/>
    <cellStyle name="Comma 16 5 2 7 2" xfId="40674"/>
    <cellStyle name="Comma 16 5 2 8" xfId="40675"/>
    <cellStyle name="Comma 16 5 2 9" xfId="40676"/>
    <cellStyle name="Comma 16 5 3" xfId="40677"/>
    <cellStyle name="Comma 16 5 3 2" xfId="40678"/>
    <cellStyle name="Comma 16 5 3 2 2" xfId="40679"/>
    <cellStyle name="Comma 16 5 3 2 3" xfId="40680"/>
    <cellStyle name="Comma 16 5 3 3" xfId="40681"/>
    <cellStyle name="Comma 16 5 3 3 2" xfId="40682"/>
    <cellStyle name="Comma 16 5 3 3 3" xfId="40683"/>
    <cellStyle name="Comma 16 5 3 4" xfId="40684"/>
    <cellStyle name="Comma 16 5 3 4 2" xfId="40685"/>
    <cellStyle name="Comma 16 5 3 5" xfId="40686"/>
    <cellStyle name="Comma 16 5 3 6" xfId="40687"/>
    <cellStyle name="Comma 16 5 4" xfId="40688"/>
    <cellStyle name="Comma 16 5 4 2" xfId="40689"/>
    <cellStyle name="Comma 16 5 4 2 2" xfId="40690"/>
    <cellStyle name="Comma 16 5 4 2 3" xfId="40691"/>
    <cellStyle name="Comma 16 5 4 3" xfId="40692"/>
    <cellStyle name="Comma 16 5 4 3 2" xfId="40693"/>
    <cellStyle name="Comma 16 5 4 3 3" xfId="40694"/>
    <cellStyle name="Comma 16 5 4 4" xfId="40695"/>
    <cellStyle name="Comma 16 5 4 4 2" xfId="40696"/>
    <cellStyle name="Comma 16 5 4 5" xfId="40697"/>
    <cellStyle name="Comma 16 5 4 6" xfId="40698"/>
    <cellStyle name="Comma 16 5 5" xfId="40699"/>
    <cellStyle name="Comma 16 5 5 2" xfId="40700"/>
    <cellStyle name="Comma 16 5 5 2 2" xfId="40701"/>
    <cellStyle name="Comma 16 5 5 2 3" xfId="40702"/>
    <cellStyle name="Comma 16 5 5 3" xfId="40703"/>
    <cellStyle name="Comma 16 5 5 3 2" xfId="40704"/>
    <cellStyle name="Comma 16 5 5 4" xfId="40705"/>
    <cellStyle name="Comma 16 5 5 5" xfId="40706"/>
    <cellStyle name="Comma 16 5 6" xfId="40707"/>
    <cellStyle name="Comma 16 5 6 2" xfId="40708"/>
    <cellStyle name="Comma 16 5 6 3" xfId="40709"/>
    <cellStyle name="Comma 16 5 7" xfId="40710"/>
    <cellStyle name="Comma 16 5 7 2" xfId="40711"/>
    <cellStyle name="Comma 16 5 7 3" xfId="40712"/>
    <cellStyle name="Comma 16 5 8" xfId="40713"/>
    <cellStyle name="Comma 16 5 8 2" xfId="40714"/>
    <cellStyle name="Comma 16 5 9" xfId="40715"/>
    <cellStyle name="Comma 16 6" xfId="40716"/>
    <cellStyle name="Comma 16 6 2" xfId="40717"/>
    <cellStyle name="Comma 16 6 2 2" xfId="40718"/>
    <cellStyle name="Comma 16 6 2 2 2" xfId="40719"/>
    <cellStyle name="Comma 16 6 2 2 3" xfId="40720"/>
    <cellStyle name="Comma 16 6 2 3" xfId="40721"/>
    <cellStyle name="Comma 16 6 2 3 2" xfId="40722"/>
    <cellStyle name="Comma 16 6 2 3 3" xfId="40723"/>
    <cellStyle name="Comma 16 6 2 4" xfId="40724"/>
    <cellStyle name="Comma 16 6 2 4 2" xfId="40725"/>
    <cellStyle name="Comma 16 6 2 5" xfId="40726"/>
    <cellStyle name="Comma 16 6 2 6" xfId="40727"/>
    <cellStyle name="Comma 16 6 3" xfId="40728"/>
    <cellStyle name="Comma 16 6 3 2" xfId="40729"/>
    <cellStyle name="Comma 16 6 3 2 2" xfId="40730"/>
    <cellStyle name="Comma 16 6 3 2 3" xfId="40731"/>
    <cellStyle name="Comma 16 6 3 3" xfId="40732"/>
    <cellStyle name="Comma 16 6 3 3 2" xfId="40733"/>
    <cellStyle name="Comma 16 6 3 3 3" xfId="40734"/>
    <cellStyle name="Comma 16 6 3 4" xfId="40735"/>
    <cellStyle name="Comma 16 6 3 4 2" xfId="40736"/>
    <cellStyle name="Comma 16 6 3 5" xfId="40737"/>
    <cellStyle name="Comma 16 6 3 6" xfId="40738"/>
    <cellStyle name="Comma 16 6 4" xfId="40739"/>
    <cellStyle name="Comma 16 6 4 2" xfId="40740"/>
    <cellStyle name="Comma 16 6 4 2 2" xfId="40741"/>
    <cellStyle name="Comma 16 6 4 2 3" xfId="40742"/>
    <cellStyle name="Comma 16 6 4 3" xfId="40743"/>
    <cellStyle name="Comma 16 6 4 3 2" xfId="40744"/>
    <cellStyle name="Comma 16 6 4 4" xfId="40745"/>
    <cellStyle name="Comma 16 6 4 5" xfId="40746"/>
    <cellStyle name="Comma 16 6 5" xfId="40747"/>
    <cellStyle name="Comma 16 6 5 2" xfId="40748"/>
    <cellStyle name="Comma 16 6 5 3" xfId="40749"/>
    <cellStyle name="Comma 16 6 6" xfId="40750"/>
    <cellStyle name="Comma 16 6 6 2" xfId="40751"/>
    <cellStyle name="Comma 16 6 6 3" xfId="40752"/>
    <cellStyle name="Comma 16 6 7" xfId="40753"/>
    <cellStyle name="Comma 16 6 7 2" xfId="40754"/>
    <cellStyle name="Comma 16 6 8" xfId="40755"/>
    <cellStyle name="Comma 16 6 9" xfId="40756"/>
    <cellStyle name="Comma 16 7" xfId="40757"/>
    <cellStyle name="Comma 16 7 2" xfId="40758"/>
    <cellStyle name="Comma 16 7 2 2" xfId="40759"/>
    <cellStyle name="Comma 16 7 2 2 2" xfId="40760"/>
    <cellStyle name="Comma 16 7 2 2 3" xfId="40761"/>
    <cellStyle name="Comma 16 7 2 3" xfId="40762"/>
    <cellStyle name="Comma 16 7 2 3 2" xfId="40763"/>
    <cellStyle name="Comma 16 7 2 3 3" xfId="40764"/>
    <cellStyle name="Comma 16 7 2 4" xfId="40765"/>
    <cellStyle name="Comma 16 7 2 4 2" xfId="40766"/>
    <cellStyle name="Comma 16 7 2 5" xfId="40767"/>
    <cellStyle name="Comma 16 7 2 6" xfId="40768"/>
    <cellStyle name="Comma 16 7 3" xfId="40769"/>
    <cellStyle name="Comma 16 7 3 2" xfId="40770"/>
    <cellStyle name="Comma 16 7 3 2 2" xfId="40771"/>
    <cellStyle name="Comma 16 7 3 2 3" xfId="40772"/>
    <cellStyle name="Comma 16 7 3 3" xfId="40773"/>
    <cellStyle name="Comma 16 7 3 3 2" xfId="40774"/>
    <cellStyle name="Comma 16 7 3 3 3" xfId="40775"/>
    <cellStyle name="Comma 16 7 3 4" xfId="40776"/>
    <cellStyle name="Comma 16 7 3 4 2" xfId="40777"/>
    <cellStyle name="Comma 16 7 3 5" xfId="40778"/>
    <cellStyle name="Comma 16 7 3 6" xfId="40779"/>
    <cellStyle name="Comma 16 7 4" xfId="40780"/>
    <cellStyle name="Comma 16 7 4 2" xfId="40781"/>
    <cellStyle name="Comma 16 7 4 2 2" xfId="40782"/>
    <cellStyle name="Comma 16 7 4 2 3" xfId="40783"/>
    <cellStyle name="Comma 16 7 4 3" xfId="40784"/>
    <cellStyle name="Comma 16 7 4 3 2" xfId="40785"/>
    <cellStyle name="Comma 16 7 4 4" xfId="40786"/>
    <cellStyle name="Comma 16 7 4 5" xfId="40787"/>
    <cellStyle name="Comma 16 7 5" xfId="40788"/>
    <cellStyle name="Comma 16 7 5 2" xfId="40789"/>
    <cellStyle name="Comma 16 7 5 3" xfId="40790"/>
    <cellStyle name="Comma 16 7 6" xfId="40791"/>
    <cellStyle name="Comma 16 7 6 2" xfId="40792"/>
    <cellStyle name="Comma 16 7 6 3" xfId="40793"/>
    <cellStyle name="Comma 16 7 7" xfId="40794"/>
    <cellStyle name="Comma 16 7 7 2" xfId="40795"/>
    <cellStyle name="Comma 16 7 8" xfId="40796"/>
    <cellStyle name="Comma 16 7 9" xfId="40797"/>
    <cellStyle name="Comma 16 8" xfId="40798"/>
    <cellStyle name="Comma 16 8 2" xfId="40799"/>
    <cellStyle name="Comma 16 8 2 2" xfId="40800"/>
    <cellStyle name="Comma 16 8 2 3" xfId="40801"/>
    <cellStyle name="Comma 16 8 3" xfId="40802"/>
    <cellStyle name="Comma 16 8 3 2" xfId="40803"/>
    <cellStyle name="Comma 16 8 3 3" xfId="40804"/>
    <cellStyle name="Comma 16 8 4" xfId="40805"/>
    <cellStyle name="Comma 16 8 4 2" xfId="40806"/>
    <cellStyle name="Comma 16 8 5" xfId="40807"/>
    <cellStyle name="Comma 16 8 6" xfId="40808"/>
    <cellStyle name="Comma 16 9" xfId="40809"/>
    <cellStyle name="Comma 16 9 2" xfId="40810"/>
    <cellStyle name="Comma 16 9 2 2" xfId="40811"/>
    <cellStyle name="Comma 16 9 2 3" xfId="40812"/>
    <cellStyle name="Comma 16 9 3" xfId="40813"/>
    <cellStyle name="Comma 16 9 3 2" xfId="40814"/>
    <cellStyle name="Comma 16 9 3 3" xfId="40815"/>
    <cellStyle name="Comma 16 9 4" xfId="40816"/>
    <cellStyle name="Comma 16 9 4 2" xfId="40817"/>
    <cellStyle name="Comma 16 9 5" xfId="40818"/>
    <cellStyle name="Comma 16 9 6" xfId="40819"/>
    <cellStyle name="Comma 17" xfId="3245"/>
    <cellStyle name="Comma 17 10" xfId="40820"/>
    <cellStyle name="Comma 17 10 2" xfId="40821"/>
    <cellStyle name="Comma 17 10 2 2" xfId="40822"/>
    <cellStyle name="Comma 17 10 2 3" xfId="40823"/>
    <cellStyle name="Comma 17 10 3" xfId="40824"/>
    <cellStyle name="Comma 17 10 3 2" xfId="40825"/>
    <cellStyle name="Comma 17 10 4" xfId="40826"/>
    <cellStyle name="Comma 17 10 5" xfId="40827"/>
    <cellStyle name="Comma 17 11" xfId="40828"/>
    <cellStyle name="Comma 17 11 2" xfId="40829"/>
    <cellStyle name="Comma 17 11 3" xfId="40830"/>
    <cellStyle name="Comma 17 12" xfId="40831"/>
    <cellStyle name="Comma 17 12 2" xfId="40832"/>
    <cellStyle name="Comma 17 12 3" xfId="40833"/>
    <cellStyle name="Comma 17 13" xfId="40834"/>
    <cellStyle name="Comma 17 13 2" xfId="40835"/>
    <cellStyle name="Comma 17 14" xfId="40836"/>
    <cellStyle name="Comma 17 15" xfId="40837"/>
    <cellStyle name="Comma 17 16" xfId="40838"/>
    <cellStyle name="Comma 17 2" xfId="3246"/>
    <cellStyle name="Comma 17 2 10" xfId="40839"/>
    <cellStyle name="Comma 17 2 10 2" xfId="40840"/>
    <cellStyle name="Comma 17 2 10 3" xfId="40841"/>
    <cellStyle name="Comma 17 2 11" xfId="40842"/>
    <cellStyle name="Comma 17 2 11 2" xfId="40843"/>
    <cellStyle name="Comma 17 2 11 3" xfId="40844"/>
    <cellStyle name="Comma 17 2 12" xfId="40845"/>
    <cellStyle name="Comma 17 2 12 2" xfId="40846"/>
    <cellStyle name="Comma 17 2 13" xfId="40847"/>
    <cellStyle name="Comma 17 2 14" xfId="40848"/>
    <cellStyle name="Comma 17 2 2" xfId="40849"/>
    <cellStyle name="Comma 17 2 2 10" xfId="40850"/>
    <cellStyle name="Comma 17 2 2 10 2" xfId="40851"/>
    <cellStyle name="Comma 17 2 2 10 3" xfId="40852"/>
    <cellStyle name="Comma 17 2 2 11" xfId="40853"/>
    <cellStyle name="Comma 17 2 2 11 2" xfId="40854"/>
    <cellStyle name="Comma 17 2 2 12" xfId="40855"/>
    <cellStyle name="Comma 17 2 2 13" xfId="40856"/>
    <cellStyle name="Comma 17 2 2 2" xfId="40857"/>
    <cellStyle name="Comma 17 2 2 2 10" xfId="40858"/>
    <cellStyle name="Comma 17 2 2 2 10 2" xfId="40859"/>
    <cellStyle name="Comma 17 2 2 2 11" xfId="40860"/>
    <cellStyle name="Comma 17 2 2 2 12" xfId="40861"/>
    <cellStyle name="Comma 17 2 2 2 2" xfId="40862"/>
    <cellStyle name="Comma 17 2 2 2 2 10" xfId="40863"/>
    <cellStyle name="Comma 17 2 2 2 2 2" xfId="40864"/>
    <cellStyle name="Comma 17 2 2 2 2 2 2" xfId="40865"/>
    <cellStyle name="Comma 17 2 2 2 2 2 2 2" xfId="40866"/>
    <cellStyle name="Comma 17 2 2 2 2 2 2 2 2" xfId="40867"/>
    <cellStyle name="Comma 17 2 2 2 2 2 2 2 3" xfId="40868"/>
    <cellStyle name="Comma 17 2 2 2 2 2 2 3" xfId="40869"/>
    <cellStyle name="Comma 17 2 2 2 2 2 2 3 2" xfId="40870"/>
    <cellStyle name="Comma 17 2 2 2 2 2 2 3 3" xfId="40871"/>
    <cellStyle name="Comma 17 2 2 2 2 2 2 4" xfId="40872"/>
    <cellStyle name="Comma 17 2 2 2 2 2 2 4 2" xfId="40873"/>
    <cellStyle name="Comma 17 2 2 2 2 2 2 5" xfId="40874"/>
    <cellStyle name="Comma 17 2 2 2 2 2 2 6" xfId="40875"/>
    <cellStyle name="Comma 17 2 2 2 2 2 3" xfId="40876"/>
    <cellStyle name="Comma 17 2 2 2 2 2 3 2" xfId="40877"/>
    <cellStyle name="Comma 17 2 2 2 2 2 3 2 2" xfId="40878"/>
    <cellStyle name="Comma 17 2 2 2 2 2 3 2 3" xfId="40879"/>
    <cellStyle name="Comma 17 2 2 2 2 2 3 3" xfId="40880"/>
    <cellStyle name="Comma 17 2 2 2 2 2 3 3 2" xfId="40881"/>
    <cellStyle name="Comma 17 2 2 2 2 2 3 3 3" xfId="40882"/>
    <cellStyle name="Comma 17 2 2 2 2 2 3 4" xfId="40883"/>
    <cellStyle name="Comma 17 2 2 2 2 2 3 4 2" xfId="40884"/>
    <cellStyle name="Comma 17 2 2 2 2 2 3 5" xfId="40885"/>
    <cellStyle name="Comma 17 2 2 2 2 2 3 6" xfId="40886"/>
    <cellStyle name="Comma 17 2 2 2 2 2 4" xfId="40887"/>
    <cellStyle name="Comma 17 2 2 2 2 2 4 2" xfId="40888"/>
    <cellStyle name="Comma 17 2 2 2 2 2 4 2 2" xfId="40889"/>
    <cellStyle name="Comma 17 2 2 2 2 2 4 2 3" xfId="40890"/>
    <cellStyle name="Comma 17 2 2 2 2 2 4 3" xfId="40891"/>
    <cellStyle name="Comma 17 2 2 2 2 2 4 3 2" xfId="40892"/>
    <cellStyle name="Comma 17 2 2 2 2 2 4 4" xfId="40893"/>
    <cellStyle name="Comma 17 2 2 2 2 2 4 5" xfId="40894"/>
    <cellStyle name="Comma 17 2 2 2 2 2 5" xfId="40895"/>
    <cellStyle name="Comma 17 2 2 2 2 2 5 2" xfId="40896"/>
    <cellStyle name="Comma 17 2 2 2 2 2 5 3" xfId="40897"/>
    <cellStyle name="Comma 17 2 2 2 2 2 6" xfId="40898"/>
    <cellStyle name="Comma 17 2 2 2 2 2 6 2" xfId="40899"/>
    <cellStyle name="Comma 17 2 2 2 2 2 6 3" xfId="40900"/>
    <cellStyle name="Comma 17 2 2 2 2 2 7" xfId="40901"/>
    <cellStyle name="Comma 17 2 2 2 2 2 7 2" xfId="40902"/>
    <cellStyle name="Comma 17 2 2 2 2 2 8" xfId="40903"/>
    <cellStyle name="Comma 17 2 2 2 2 2 9" xfId="40904"/>
    <cellStyle name="Comma 17 2 2 2 2 3" xfId="40905"/>
    <cellStyle name="Comma 17 2 2 2 2 3 2" xfId="40906"/>
    <cellStyle name="Comma 17 2 2 2 2 3 2 2" xfId="40907"/>
    <cellStyle name="Comma 17 2 2 2 2 3 2 3" xfId="40908"/>
    <cellStyle name="Comma 17 2 2 2 2 3 3" xfId="40909"/>
    <cellStyle name="Comma 17 2 2 2 2 3 3 2" xfId="40910"/>
    <cellStyle name="Comma 17 2 2 2 2 3 3 3" xfId="40911"/>
    <cellStyle name="Comma 17 2 2 2 2 3 4" xfId="40912"/>
    <cellStyle name="Comma 17 2 2 2 2 3 4 2" xfId="40913"/>
    <cellStyle name="Comma 17 2 2 2 2 3 5" xfId="40914"/>
    <cellStyle name="Comma 17 2 2 2 2 3 6" xfId="40915"/>
    <cellStyle name="Comma 17 2 2 2 2 4" xfId="40916"/>
    <cellStyle name="Comma 17 2 2 2 2 4 2" xfId="40917"/>
    <cellStyle name="Comma 17 2 2 2 2 4 2 2" xfId="40918"/>
    <cellStyle name="Comma 17 2 2 2 2 4 2 3" xfId="40919"/>
    <cellStyle name="Comma 17 2 2 2 2 4 3" xfId="40920"/>
    <cellStyle name="Comma 17 2 2 2 2 4 3 2" xfId="40921"/>
    <cellStyle name="Comma 17 2 2 2 2 4 3 3" xfId="40922"/>
    <cellStyle name="Comma 17 2 2 2 2 4 4" xfId="40923"/>
    <cellStyle name="Comma 17 2 2 2 2 4 4 2" xfId="40924"/>
    <cellStyle name="Comma 17 2 2 2 2 4 5" xfId="40925"/>
    <cellStyle name="Comma 17 2 2 2 2 4 6" xfId="40926"/>
    <cellStyle name="Comma 17 2 2 2 2 5" xfId="40927"/>
    <cellStyle name="Comma 17 2 2 2 2 5 2" xfId="40928"/>
    <cellStyle name="Comma 17 2 2 2 2 5 2 2" xfId="40929"/>
    <cellStyle name="Comma 17 2 2 2 2 5 2 3" xfId="40930"/>
    <cellStyle name="Comma 17 2 2 2 2 5 3" xfId="40931"/>
    <cellStyle name="Comma 17 2 2 2 2 5 3 2" xfId="40932"/>
    <cellStyle name="Comma 17 2 2 2 2 5 4" xfId="40933"/>
    <cellStyle name="Comma 17 2 2 2 2 5 5" xfId="40934"/>
    <cellStyle name="Comma 17 2 2 2 2 6" xfId="40935"/>
    <cellStyle name="Comma 17 2 2 2 2 6 2" xfId="40936"/>
    <cellStyle name="Comma 17 2 2 2 2 6 3" xfId="40937"/>
    <cellStyle name="Comma 17 2 2 2 2 7" xfId="40938"/>
    <cellStyle name="Comma 17 2 2 2 2 7 2" xfId="40939"/>
    <cellStyle name="Comma 17 2 2 2 2 7 3" xfId="40940"/>
    <cellStyle name="Comma 17 2 2 2 2 8" xfId="40941"/>
    <cellStyle name="Comma 17 2 2 2 2 8 2" xfId="40942"/>
    <cellStyle name="Comma 17 2 2 2 2 9" xfId="40943"/>
    <cellStyle name="Comma 17 2 2 2 3" xfId="40944"/>
    <cellStyle name="Comma 17 2 2 2 3 2" xfId="40945"/>
    <cellStyle name="Comma 17 2 2 2 3 2 2" xfId="40946"/>
    <cellStyle name="Comma 17 2 2 2 3 2 2 2" xfId="40947"/>
    <cellStyle name="Comma 17 2 2 2 3 2 2 3" xfId="40948"/>
    <cellStyle name="Comma 17 2 2 2 3 2 3" xfId="40949"/>
    <cellStyle name="Comma 17 2 2 2 3 2 3 2" xfId="40950"/>
    <cellStyle name="Comma 17 2 2 2 3 2 3 3" xfId="40951"/>
    <cellStyle name="Comma 17 2 2 2 3 2 4" xfId="40952"/>
    <cellStyle name="Comma 17 2 2 2 3 2 4 2" xfId="40953"/>
    <cellStyle name="Comma 17 2 2 2 3 2 5" xfId="40954"/>
    <cellStyle name="Comma 17 2 2 2 3 2 6" xfId="40955"/>
    <cellStyle name="Comma 17 2 2 2 3 3" xfId="40956"/>
    <cellStyle name="Comma 17 2 2 2 3 3 2" xfId="40957"/>
    <cellStyle name="Comma 17 2 2 2 3 3 2 2" xfId="40958"/>
    <cellStyle name="Comma 17 2 2 2 3 3 2 3" xfId="40959"/>
    <cellStyle name="Comma 17 2 2 2 3 3 3" xfId="40960"/>
    <cellStyle name="Comma 17 2 2 2 3 3 3 2" xfId="40961"/>
    <cellStyle name="Comma 17 2 2 2 3 3 3 3" xfId="40962"/>
    <cellStyle name="Comma 17 2 2 2 3 3 4" xfId="40963"/>
    <cellStyle name="Comma 17 2 2 2 3 3 4 2" xfId="40964"/>
    <cellStyle name="Comma 17 2 2 2 3 3 5" xfId="40965"/>
    <cellStyle name="Comma 17 2 2 2 3 3 6" xfId="40966"/>
    <cellStyle name="Comma 17 2 2 2 3 4" xfId="40967"/>
    <cellStyle name="Comma 17 2 2 2 3 4 2" xfId="40968"/>
    <cellStyle name="Comma 17 2 2 2 3 4 2 2" xfId="40969"/>
    <cellStyle name="Comma 17 2 2 2 3 4 2 3" xfId="40970"/>
    <cellStyle name="Comma 17 2 2 2 3 4 3" xfId="40971"/>
    <cellStyle name="Comma 17 2 2 2 3 4 3 2" xfId="40972"/>
    <cellStyle name="Comma 17 2 2 2 3 4 4" xfId="40973"/>
    <cellStyle name="Comma 17 2 2 2 3 4 5" xfId="40974"/>
    <cellStyle name="Comma 17 2 2 2 3 5" xfId="40975"/>
    <cellStyle name="Comma 17 2 2 2 3 5 2" xfId="40976"/>
    <cellStyle name="Comma 17 2 2 2 3 5 3" xfId="40977"/>
    <cellStyle name="Comma 17 2 2 2 3 6" xfId="40978"/>
    <cellStyle name="Comma 17 2 2 2 3 6 2" xfId="40979"/>
    <cellStyle name="Comma 17 2 2 2 3 6 3" xfId="40980"/>
    <cellStyle name="Comma 17 2 2 2 3 7" xfId="40981"/>
    <cellStyle name="Comma 17 2 2 2 3 7 2" xfId="40982"/>
    <cellStyle name="Comma 17 2 2 2 3 8" xfId="40983"/>
    <cellStyle name="Comma 17 2 2 2 3 9" xfId="40984"/>
    <cellStyle name="Comma 17 2 2 2 4" xfId="40985"/>
    <cellStyle name="Comma 17 2 2 2 4 2" xfId="40986"/>
    <cellStyle name="Comma 17 2 2 2 4 2 2" xfId="40987"/>
    <cellStyle name="Comma 17 2 2 2 4 2 2 2" xfId="40988"/>
    <cellStyle name="Comma 17 2 2 2 4 2 2 3" xfId="40989"/>
    <cellStyle name="Comma 17 2 2 2 4 2 3" xfId="40990"/>
    <cellStyle name="Comma 17 2 2 2 4 2 3 2" xfId="40991"/>
    <cellStyle name="Comma 17 2 2 2 4 2 3 3" xfId="40992"/>
    <cellStyle name="Comma 17 2 2 2 4 2 4" xfId="40993"/>
    <cellStyle name="Comma 17 2 2 2 4 2 4 2" xfId="40994"/>
    <cellStyle name="Comma 17 2 2 2 4 2 5" xfId="40995"/>
    <cellStyle name="Comma 17 2 2 2 4 2 6" xfId="40996"/>
    <cellStyle name="Comma 17 2 2 2 4 3" xfId="40997"/>
    <cellStyle name="Comma 17 2 2 2 4 3 2" xfId="40998"/>
    <cellStyle name="Comma 17 2 2 2 4 3 2 2" xfId="40999"/>
    <cellStyle name="Comma 17 2 2 2 4 3 2 3" xfId="41000"/>
    <cellStyle name="Comma 17 2 2 2 4 3 3" xfId="41001"/>
    <cellStyle name="Comma 17 2 2 2 4 3 3 2" xfId="41002"/>
    <cellStyle name="Comma 17 2 2 2 4 3 3 3" xfId="41003"/>
    <cellStyle name="Comma 17 2 2 2 4 3 4" xfId="41004"/>
    <cellStyle name="Comma 17 2 2 2 4 3 4 2" xfId="41005"/>
    <cellStyle name="Comma 17 2 2 2 4 3 5" xfId="41006"/>
    <cellStyle name="Comma 17 2 2 2 4 3 6" xfId="41007"/>
    <cellStyle name="Comma 17 2 2 2 4 4" xfId="41008"/>
    <cellStyle name="Comma 17 2 2 2 4 4 2" xfId="41009"/>
    <cellStyle name="Comma 17 2 2 2 4 4 2 2" xfId="41010"/>
    <cellStyle name="Comma 17 2 2 2 4 4 2 3" xfId="41011"/>
    <cellStyle name="Comma 17 2 2 2 4 4 3" xfId="41012"/>
    <cellStyle name="Comma 17 2 2 2 4 4 3 2" xfId="41013"/>
    <cellStyle name="Comma 17 2 2 2 4 4 4" xfId="41014"/>
    <cellStyle name="Comma 17 2 2 2 4 4 5" xfId="41015"/>
    <cellStyle name="Comma 17 2 2 2 4 5" xfId="41016"/>
    <cellStyle name="Comma 17 2 2 2 4 5 2" xfId="41017"/>
    <cellStyle name="Comma 17 2 2 2 4 5 3" xfId="41018"/>
    <cellStyle name="Comma 17 2 2 2 4 6" xfId="41019"/>
    <cellStyle name="Comma 17 2 2 2 4 6 2" xfId="41020"/>
    <cellStyle name="Comma 17 2 2 2 4 6 3" xfId="41021"/>
    <cellStyle name="Comma 17 2 2 2 4 7" xfId="41022"/>
    <cellStyle name="Comma 17 2 2 2 4 7 2" xfId="41023"/>
    <cellStyle name="Comma 17 2 2 2 4 8" xfId="41024"/>
    <cellStyle name="Comma 17 2 2 2 4 9" xfId="41025"/>
    <cellStyle name="Comma 17 2 2 2 5" xfId="41026"/>
    <cellStyle name="Comma 17 2 2 2 5 2" xfId="41027"/>
    <cellStyle name="Comma 17 2 2 2 5 2 2" xfId="41028"/>
    <cellStyle name="Comma 17 2 2 2 5 2 3" xfId="41029"/>
    <cellStyle name="Comma 17 2 2 2 5 3" xfId="41030"/>
    <cellStyle name="Comma 17 2 2 2 5 3 2" xfId="41031"/>
    <cellStyle name="Comma 17 2 2 2 5 3 3" xfId="41032"/>
    <cellStyle name="Comma 17 2 2 2 5 4" xfId="41033"/>
    <cellStyle name="Comma 17 2 2 2 5 4 2" xfId="41034"/>
    <cellStyle name="Comma 17 2 2 2 5 5" xfId="41035"/>
    <cellStyle name="Comma 17 2 2 2 5 6" xfId="41036"/>
    <cellStyle name="Comma 17 2 2 2 6" xfId="41037"/>
    <cellStyle name="Comma 17 2 2 2 6 2" xfId="41038"/>
    <cellStyle name="Comma 17 2 2 2 6 2 2" xfId="41039"/>
    <cellStyle name="Comma 17 2 2 2 6 2 3" xfId="41040"/>
    <cellStyle name="Comma 17 2 2 2 6 3" xfId="41041"/>
    <cellStyle name="Comma 17 2 2 2 6 3 2" xfId="41042"/>
    <cellStyle name="Comma 17 2 2 2 6 3 3" xfId="41043"/>
    <cellStyle name="Comma 17 2 2 2 6 4" xfId="41044"/>
    <cellStyle name="Comma 17 2 2 2 6 4 2" xfId="41045"/>
    <cellStyle name="Comma 17 2 2 2 6 5" xfId="41046"/>
    <cellStyle name="Comma 17 2 2 2 6 6" xfId="41047"/>
    <cellStyle name="Comma 17 2 2 2 7" xfId="41048"/>
    <cellStyle name="Comma 17 2 2 2 7 2" xfId="41049"/>
    <cellStyle name="Comma 17 2 2 2 7 2 2" xfId="41050"/>
    <cellStyle name="Comma 17 2 2 2 7 2 3" xfId="41051"/>
    <cellStyle name="Comma 17 2 2 2 7 3" xfId="41052"/>
    <cellStyle name="Comma 17 2 2 2 7 3 2" xfId="41053"/>
    <cellStyle name="Comma 17 2 2 2 7 4" xfId="41054"/>
    <cellStyle name="Comma 17 2 2 2 7 5" xfId="41055"/>
    <cellStyle name="Comma 17 2 2 2 8" xfId="41056"/>
    <cellStyle name="Comma 17 2 2 2 8 2" xfId="41057"/>
    <cellStyle name="Comma 17 2 2 2 8 3" xfId="41058"/>
    <cellStyle name="Comma 17 2 2 2 9" xfId="41059"/>
    <cellStyle name="Comma 17 2 2 2 9 2" xfId="41060"/>
    <cellStyle name="Comma 17 2 2 2 9 3" xfId="41061"/>
    <cellStyle name="Comma 17 2 2 3" xfId="41062"/>
    <cellStyle name="Comma 17 2 2 3 10" xfId="41063"/>
    <cellStyle name="Comma 17 2 2 3 2" xfId="41064"/>
    <cellStyle name="Comma 17 2 2 3 2 2" xfId="41065"/>
    <cellStyle name="Comma 17 2 2 3 2 2 2" xfId="41066"/>
    <cellStyle name="Comma 17 2 2 3 2 2 2 2" xfId="41067"/>
    <cellStyle name="Comma 17 2 2 3 2 2 2 3" xfId="41068"/>
    <cellStyle name="Comma 17 2 2 3 2 2 3" xfId="41069"/>
    <cellStyle name="Comma 17 2 2 3 2 2 3 2" xfId="41070"/>
    <cellStyle name="Comma 17 2 2 3 2 2 3 3" xfId="41071"/>
    <cellStyle name="Comma 17 2 2 3 2 2 4" xfId="41072"/>
    <cellStyle name="Comma 17 2 2 3 2 2 4 2" xfId="41073"/>
    <cellStyle name="Comma 17 2 2 3 2 2 5" xfId="41074"/>
    <cellStyle name="Comma 17 2 2 3 2 2 6" xfId="41075"/>
    <cellStyle name="Comma 17 2 2 3 2 3" xfId="41076"/>
    <cellStyle name="Comma 17 2 2 3 2 3 2" xfId="41077"/>
    <cellStyle name="Comma 17 2 2 3 2 3 2 2" xfId="41078"/>
    <cellStyle name="Comma 17 2 2 3 2 3 2 3" xfId="41079"/>
    <cellStyle name="Comma 17 2 2 3 2 3 3" xfId="41080"/>
    <cellStyle name="Comma 17 2 2 3 2 3 3 2" xfId="41081"/>
    <cellStyle name="Comma 17 2 2 3 2 3 3 3" xfId="41082"/>
    <cellStyle name="Comma 17 2 2 3 2 3 4" xfId="41083"/>
    <cellStyle name="Comma 17 2 2 3 2 3 4 2" xfId="41084"/>
    <cellStyle name="Comma 17 2 2 3 2 3 5" xfId="41085"/>
    <cellStyle name="Comma 17 2 2 3 2 3 6" xfId="41086"/>
    <cellStyle name="Comma 17 2 2 3 2 4" xfId="41087"/>
    <cellStyle name="Comma 17 2 2 3 2 4 2" xfId="41088"/>
    <cellStyle name="Comma 17 2 2 3 2 4 2 2" xfId="41089"/>
    <cellStyle name="Comma 17 2 2 3 2 4 2 3" xfId="41090"/>
    <cellStyle name="Comma 17 2 2 3 2 4 3" xfId="41091"/>
    <cellStyle name="Comma 17 2 2 3 2 4 3 2" xfId="41092"/>
    <cellStyle name="Comma 17 2 2 3 2 4 4" xfId="41093"/>
    <cellStyle name="Comma 17 2 2 3 2 4 5" xfId="41094"/>
    <cellStyle name="Comma 17 2 2 3 2 5" xfId="41095"/>
    <cellStyle name="Comma 17 2 2 3 2 5 2" xfId="41096"/>
    <cellStyle name="Comma 17 2 2 3 2 5 3" xfId="41097"/>
    <cellStyle name="Comma 17 2 2 3 2 6" xfId="41098"/>
    <cellStyle name="Comma 17 2 2 3 2 6 2" xfId="41099"/>
    <cellStyle name="Comma 17 2 2 3 2 6 3" xfId="41100"/>
    <cellStyle name="Comma 17 2 2 3 2 7" xfId="41101"/>
    <cellStyle name="Comma 17 2 2 3 2 7 2" xfId="41102"/>
    <cellStyle name="Comma 17 2 2 3 2 8" xfId="41103"/>
    <cellStyle name="Comma 17 2 2 3 2 9" xfId="41104"/>
    <cellStyle name="Comma 17 2 2 3 3" xfId="41105"/>
    <cellStyle name="Comma 17 2 2 3 3 2" xfId="41106"/>
    <cellStyle name="Comma 17 2 2 3 3 2 2" xfId="41107"/>
    <cellStyle name="Comma 17 2 2 3 3 2 3" xfId="41108"/>
    <cellStyle name="Comma 17 2 2 3 3 3" xfId="41109"/>
    <cellStyle name="Comma 17 2 2 3 3 3 2" xfId="41110"/>
    <cellStyle name="Comma 17 2 2 3 3 3 3" xfId="41111"/>
    <cellStyle name="Comma 17 2 2 3 3 4" xfId="41112"/>
    <cellStyle name="Comma 17 2 2 3 3 4 2" xfId="41113"/>
    <cellStyle name="Comma 17 2 2 3 3 5" xfId="41114"/>
    <cellStyle name="Comma 17 2 2 3 3 6" xfId="41115"/>
    <cellStyle name="Comma 17 2 2 3 4" xfId="41116"/>
    <cellStyle name="Comma 17 2 2 3 4 2" xfId="41117"/>
    <cellStyle name="Comma 17 2 2 3 4 2 2" xfId="41118"/>
    <cellStyle name="Comma 17 2 2 3 4 2 3" xfId="41119"/>
    <cellStyle name="Comma 17 2 2 3 4 3" xfId="41120"/>
    <cellStyle name="Comma 17 2 2 3 4 3 2" xfId="41121"/>
    <cellStyle name="Comma 17 2 2 3 4 3 3" xfId="41122"/>
    <cellStyle name="Comma 17 2 2 3 4 4" xfId="41123"/>
    <cellStyle name="Comma 17 2 2 3 4 4 2" xfId="41124"/>
    <cellStyle name="Comma 17 2 2 3 4 5" xfId="41125"/>
    <cellStyle name="Comma 17 2 2 3 4 6" xfId="41126"/>
    <cellStyle name="Comma 17 2 2 3 5" xfId="41127"/>
    <cellStyle name="Comma 17 2 2 3 5 2" xfId="41128"/>
    <cellStyle name="Comma 17 2 2 3 5 2 2" xfId="41129"/>
    <cellStyle name="Comma 17 2 2 3 5 2 3" xfId="41130"/>
    <cellStyle name="Comma 17 2 2 3 5 3" xfId="41131"/>
    <cellStyle name="Comma 17 2 2 3 5 3 2" xfId="41132"/>
    <cellStyle name="Comma 17 2 2 3 5 4" xfId="41133"/>
    <cellStyle name="Comma 17 2 2 3 5 5" xfId="41134"/>
    <cellStyle name="Comma 17 2 2 3 6" xfId="41135"/>
    <cellStyle name="Comma 17 2 2 3 6 2" xfId="41136"/>
    <cellStyle name="Comma 17 2 2 3 6 3" xfId="41137"/>
    <cellStyle name="Comma 17 2 2 3 7" xfId="41138"/>
    <cellStyle name="Comma 17 2 2 3 7 2" xfId="41139"/>
    <cellStyle name="Comma 17 2 2 3 7 3" xfId="41140"/>
    <cellStyle name="Comma 17 2 2 3 8" xfId="41141"/>
    <cellStyle name="Comma 17 2 2 3 8 2" xfId="41142"/>
    <cellStyle name="Comma 17 2 2 3 9" xfId="41143"/>
    <cellStyle name="Comma 17 2 2 4" xfId="41144"/>
    <cellStyle name="Comma 17 2 2 4 2" xfId="41145"/>
    <cellStyle name="Comma 17 2 2 4 2 2" xfId="41146"/>
    <cellStyle name="Comma 17 2 2 4 2 2 2" xfId="41147"/>
    <cellStyle name="Comma 17 2 2 4 2 2 3" xfId="41148"/>
    <cellStyle name="Comma 17 2 2 4 2 3" xfId="41149"/>
    <cellStyle name="Comma 17 2 2 4 2 3 2" xfId="41150"/>
    <cellStyle name="Comma 17 2 2 4 2 3 3" xfId="41151"/>
    <cellStyle name="Comma 17 2 2 4 2 4" xfId="41152"/>
    <cellStyle name="Comma 17 2 2 4 2 4 2" xfId="41153"/>
    <cellStyle name="Comma 17 2 2 4 2 5" xfId="41154"/>
    <cellStyle name="Comma 17 2 2 4 2 6" xfId="41155"/>
    <cellStyle name="Comma 17 2 2 4 3" xfId="41156"/>
    <cellStyle name="Comma 17 2 2 4 3 2" xfId="41157"/>
    <cellStyle name="Comma 17 2 2 4 3 2 2" xfId="41158"/>
    <cellStyle name="Comma 17 2 2 4 3 2 3" xfId="41159"/>
    <cellStyle name="Comma 17 2 2 4 3 3" xfId="41160"/>
    <cellStyle name="Comma 17 2 2 4 3 3 2" xfId="41161"/>
    <cellStyle name="Comma 17 2 2 4 3 3 3" xfId="41162"/>
    <cellStyle name="Comma 17 2 2 4 3 4" xfId="41163"/>
    <cellStyle name="Comma 17 2 2 4 3 4 2" xfId="41164"/>
    <cellStyle name="Comma 17 2 2 4 3 5" xfId="41165"/>
    <cellStyle name="Comma 17 2 2 4 3 6" xfId="41166"/>
    <cellStyle name="Comma 17 2 2 4 4" xfId="41167"/>
    <cellStyle name="Comma 17 2 2 4 4 2" xfId="41168"/>
    <cellStyle name="Comma 17 2 2 4 4 2 2" xfId="41169"/>
    <cellStyle name="Comma 17 2 2 4 4 2 3" xfId="41170"/>
    <cellStyle name="Comma 17 2 2 4 4 3" xfId="41171"/>
    <cellStyle name="Comma 17 2 2 4 4 3 2" xfId="41172"/>
    <cellStyle name="Comma 17 2 2 4 4 4" xfId="41173"/>
    <cellStyle name="Comma 17 2 2 4 4 5" xfId="41174"/>
    <cellStyle name="Comma 17 2 2 4 5" xfId="41175"/>
    <cellStyle name="Comma 17 2 2 4 5 2" xfId="41176"/>
    <cellStyle name="Comma 17 2 2 4 5 3" xfId="41177"/>
    <cellStyle name="Comma 17 2 2 4 6" xfId="41178"/>
    <cellStyle name="Comma 17 2 2 4 6 2" xfId="41179"/>
    <cellStyle name="Comma 17 2 2 4 6 3" xfId="41180"/>
    <cellStyle name="Comma 17 2 2 4 7" xfId="41181"/>
    <cellStyle name="Comma 17 2 2 4 7 2" xfId="41182"/>
    <cellStyle name="Comma 17 2 2 4 8" xfId="41183"/>
    <cellStyle name="Comma 17 2 2 4 9" xfId="41184"/>
    <cellStyle name="Comma 17 2 2 5" xfId="41185"/>
    <cellStyle name="Comma 17 2 2 5 2" xfId="41186"/>
    <cellStyle name="Comma 17 2 2 5 2 2" xfId="41187"/>
    <cellStyle name="Comma 17 2 2 5 2 2 2" xfId="41188"/>
    <cellStyle name="Comma 17 2 2 5 2 2 3" xfId="41189"/>
    <cellStyle name="Comma 17 2 2 5 2 3" xfId="41190"/>
    <cellStyle name="Comma 17 2 2 5 2 3 2" xfId="41191"/>
    <cellStyle name="Comma 17 2 2 5 2 3 3" xfId="41192"/>
    <cellStyle name="Comma 17 2 2 5 2 4" xfId="41193"/>
    <cellStyle name="Comma 17 2 2 5 2 4 2" xfId="41194"/>
    <cellStyle name="Comma 17 2 2 5 2 5" xfId="41195"/>
    <cellStyle name="Comma 17 2 2 5 2 6" xfId="41196"/>
    <cellStyle name="Comma 17 2 2 5 3" xfId="41197"/>
    <cellStyle name="Comma 17 2 2 5 3 2" xfId="41198"/>
    <cellStyle name="Comma 17 2 2 5 3 2 2" xfId="41199"/>
    <cellStyle name="Comma 17 2 2 5 3 2 3" xfId="41200"/>
    <cellStyle name="Comma 17 2 2 5 3 3" xfId="41201"/>
    <cellStyle name="Comma 17 2 2 5 3 3 2" xfId="41202"/>
    <cellStyle name="Comma 17 2 2 5 3 3 3" xfId="41203"/>
    <cellStyle name="Comma 17 2 2 5 3 4" xfId="41204"/>
    <cellStyle name="Comma 17 2 2 5 3 4 2" xfId="41205"/>
    <cellStyle name="Comma 17 2 2 5 3 5" xfId="41206"/>
    <cellStyle name="Comma 17 2 2 5 3 6" xfId="41207"/>
    <cellStyle name="Comma 17 2 2 5 4" xfId="41208"/>
    <cellStyle name="Comma 17 2 2 5 4 2" xfId="41209"/>
    <cellStyle name="Comma 17 2 2 5 4 2 2" xfId="41210"/>
    <cellStyle name="Comma 17 2 2 5 4 2 3" xfId="41211"/>
    <cellStyle name="Comma 17 2 2 5 4 3" xfId="41212"/>
    <cellStyle name="Comma 17 2 2 5 4 3 2" xfId="41213"/>
    <cellStyle name="Comma 17 2 2 5 4 4" xfId="41214"/>
    <cellStyle name="Comma 17 2 2 5 4 5" xfId="41215"/>
    <cellStyle name="Comma 17 2 2 5 5" xfId="41216"/>
    <cellStyle name="Comma 17 2 2 5 5 2" xfId="41217"/>
    <cellStyle name="Comma 17 2 2 5 5 3" xfId="41218"/>
    <cellStyle name="Comma 17 2 2 5 6" xfId="41219"/>
    <cellStyle name="Comma 17 2 2 5 6 2" xfId="41220"/>
    <cellStyle name="Comma 17 2 2 5 6 3" xfId="41221"/>
    <cellStyle name="Comma 17 2 2 5 7" xfId="41222"/>
    <cellStyle name="Comma 17 2 2 5 7 2" xfId="41223"/>
    <cellStyle name="Comma 17 2 2 5 8" xfId="41224"/>
    <cellStyle name="Comma 17 2 2 5 9" xfId="41225"/>
    <cellStyle name="Comma 17 2 2 6" xfId="41226"/>
    <cellStyle name="Comma 17 2 2 6 2" xfId="41227"/>
    <cellStyle name="Comma 17 2 2 6 2 2" xfId="41228"/>
    <cellStyle name="Comma 17 2 2 6 2 3" xfId="41229"/>
    <cellStyle name="Comma 17 2 2 6 3" xfId="41230"/>
    <cellStyle name="Comma 17 2 2 6 3 2" xfId="41231"/>
    <cellStyle name="Comma 17 2 2 6 3 3" xfId="41232"/>
    <cellStyle name="Comma 17 2 2 6 4" xfId="41233"/>
    <cellStyle name="Comma 17 2 2 6 4 2" xfId="41234"/>
    <cellStyle name="Comma 17 2 2 6 5" xfId="41235"/>
    <cellStyle name="Comma 17 2 2 6 6" xfId="41236"/>
    <cellStyle name="Comma 17 2 2 7" xfId="41237"/>
    <cellStyle name="Comma 17 2 2 7 2" xfId="41238"/>
    <cellStyle name="Comma 17 2 2 7 2 2" xfId="41239"/>
    <cellStyle name="Comma 17 2 2 7 2 3" xfId="41240"/>
    <cellStyle name="Comma 17 2 2 7 3" xfId="41241"/>
    <cellStyle name="Comma 17 2 2 7 3 2" xfId="41242"/>
    <cellStyle name="Comma 17 2 2 7 3 3" xfId="41243"/>
    <cellStyle name="Comma 17 2 2 7 4" xfId="41244"/>
    <cellStyle name="Comma 17 2 2 7 4 2" xfId="41245"/>
    <cellStyle name="Comma 17 2 2 7 5" xfId="41246"/>
    <cellStyle name="Comma 17 2 2 7 6" xfId="41247"/>
    <cellStyle name="Comma 17 2 2 8" xfId="41248"/>
    <cellStyle name="Comma 17 2 2 8 2" xfId="41249"/>
    <cellStyle name="Comma 17 2 2 8 2 2" xfId="41250"/>
    <cellStyle name="Comma 17 2 2 8 2 3" xfId="41251"/>
    <cellStyle name="Comma 17 2 2 8 3" xfId="41252"/>
    <cellStyle name="Comma 17 2 2 8 3 2" xfId="41253"/>
    <cellStyle name="Comma 17 2 2 8 4" xfId="41254"/>
    <cellStyle name="Comma 17 2 2 8 5" xfId="41255"/>
    <cellStyle name="Comma 17 2 2 9" xfId="41256"/>
    <cellStyle name="Comma 17 2 2 9 2" xfId="41257"/>
    <cellStyle name="Comma 17 2 2 9 3" xfId="41258"/>
    <cellStyle name="Comma 17 2 3" xfId="41259"/>
    <cellStyle name="Comma 17 2 3 10" xfId="41260"/>
    <cellStyle name="Comma 17 2 3 10 2" xfId="41261"/>
    <cellStyle name="Comma 17 2 3 11" xfId="41262"/>
    <cellStyle name="Comma 17 2 3 12" xfId="41263"/>
    <cellStyle name="Comma 17 2 3 2" xfId="41264"/>
    <cellStyle name="Comma 17 2 3 2 10" xfId="41265"/>
    <cellStyle name="Comma 17 2 3 2 2" xfId="41266"/>
    <cellStyle name="Comma 17 2 3 2 2 2" xfId="41267"/>
    <cellStyle name="Comma 17 2 3 2 2 2 2" xfId="41268"/>
    <cellStyle name="Comma 17 2 3 2 2 2 2 2" xfId="41269"/>
    <cellStyle name="Comma 17 2 3 2 2 2 2 3" xfId="41270"/>
    <cellStyle name="Comma 17 2 3 2 2 2 3" xfId="41271"/>
    <cellStyle name="Comma 17 2 3 2 2 2 3 2" xfId="41272"/>
    <cellStyle name="Comma 17 2 3 2 2 2 3 3" xfId="41273"/>
    <cellStyle name="Comma 17 2 3 2 2 2 4" xfId="41274"/>
    <cellStyle name="Comma 17 2 3 2 2 2 4 2" xfId="41275"/>
    <cellStyle name="Comma 17 2 3 2 2 2 5" xfId="41276"/>
    <cellStyle name="Comma 17 2 3 2 2 2 6" xfId="41277"/>
    <cellStyle name="Comma 17 2 3 2 2 3" xfId="41278"/>
    <cellStyle name="Comma 17 2 3 2 2 3 2" xfId="41279"/>
    <cellStyle name="Comma 17 2 3 2 2 3 2 2" xfId="41280"/>
    <cellStyle name="Comma 17 2 3 2 2 3 2 3" xfId="41281"/>
    <cellStyle name="Comma 17 2 3 2 2 3 3" xfId="41282"/>
    <cellStyle name="Comma 17 2 3 2 2 3 3 2" xfId="41283"/>
    <cellStyle name="Comma 17 2 3 2 2 3 3 3" xfId="41284"/>
    <cellStyle name="Comma 17 2 3 2 2 3 4" xfId="41285"/>
    <cellStyle name="Comma 17 2 3 2 2 3 4 2" xfId="41286"/>
    <cellStyle name="Comma 17 2 3 2 2 3 5" xfId="41287"/>
    <cellStyle name="Comma 17 2 3 2 2 3 6" xfId="41288"/>
    <cellStyle name="Comma 17 2 3 2 2 4" xfId="41289"/>
    <cellStyle name="Comma 17 2 3 2 2 4 2" xfId="41290"/>
    <cellStyle name="Comma 17 2 3 2 2 4 2 2" xfId="41291"/>
    <cellStyle name="Comma 17 2 3 2 2 4 2 3" xfId="41292"/>
    <cellStyle name="Comma 17 2 3 2 2 4 3" xfId="41293"/>
    <cellStyle name="Comma 17 2 3 2 2 4 3 2" xfId="41294"/>
    <cellStyle name="Comma 17 2 3 2 2 4 4" xfId="41295"/>
    <cellStyle name="Comma 17 2 3 2 2 4 5" xfId="41296"/>
    <cellStyle name="Comma 17 2 3 2 2 5" xfId="41297"/>
    <cellStyle name="Comma 17 2 3 2 2 5 2" xfId="41298"/>
    <cellStyle name="Comma 17 2 3 2 2 5 3" xfId="41299"/>
    <cellStyle name="Comma 17 2 3 2 2 6" xfId="41300"/>
    <cellStyle name="Comma 17 2 3 2 2 6 2" xfId="41301"/>
    <cellStyle name="Comma 17 2 3 2 2 6 3" xfId="41302"/>
    <cellStyle name="Comma 17 2 3 2 2 7" xfId="41303"/>
    <cellStyle name="Comma 17 2 3 2 2 7 2" xfId="41304"/>
    <cellStyle name="Comma 17 2 3 2 2 8" xfId="41305"/>
    <cellStyle name="Comma 17 2 3 2 2 9" xfId="41306"/>
    <cellStyle name="Comma 17 2 3 2 3" xfId="41307"/>
    <cellStyle name="Comma 17 2 3 2 3 2" xfId="41308"/>
    <cellStyle name="Comma 17 2 3 2 3 2 2" xfId="41309"/>
    <cellStyle name="Comma 17 2 3 2 3 2 3" xfId="41310"/>
    <cellStyle name="Comma 17 2 3 2 3 3" xfId="41311"/>
    <cellStyle name="Comma 17 2 3 2 3 3 2" xfId="41312"/>
    <cellStyle name="Comma 17 2 3 2 3 3 3" xfId="41313"/>
    <cellStyle name="Comma 17 2 3 2 3 4" xfId="41314"/>
    <cellStyle name="Comma 17 2 3 2 3 4 2" xfId="41315"/>
    <cellStyle name="Comma 17 2 3 2 3 5" xfId="41316"/>
    <cellStyle name="Comma 17 2 3 2 3 6" xfId="41317"/>
    <cellStyle name="Comma 17 2 3 2 4" xfId="41318"/>
    <cellStyle name="Comma 17 2 3 2 4 2" xfId="41319"/>
    <cellStyle name="Comma 17 2 3 2 4 2 2" xfId="41320"/>
    <cellStyle name="Comma 17 2 3 2 4 2 3" xfId="41321"/>
    <cellStyle name="Comma 17 2 3 2 4 3" xfId="41322"/>
    <cellStyle name="Comma 17 2 3 2 4 3 2" xfId="41323"/>
    <cellStyle name="Comma 17 2 3 2 4 3 3" xfId="41324"/>
    <cellStyle name="Comma 17 2 3 2 4 4" xfId="41325"/>
    <cellStyle name="Comma 17 2 3 2 4 4 2" xfId="41326"/>
    <cellStyle name="Comma 17 2 3 2 4 5" xfId="41327"/>
    <cellStyle name="Comma 17 2 3 2 4 6" xfId="41328"/>
    <cellStyle name="Comma 17 2 3 2 5" xfId="41329"/>
    <cellStyle name="Comma 17 2 3 2 5 2" xfId="41330"/>
    <cellStyle name="Comma 17 2 3 2 5 2 2" xfId="41331"/>
    <cellStyle name="Comma 17 2 3 2 5 2 3" xfId="41332"/>
    <cellStyle name="Comma 17 2 3 2 5 3" xfId="41333"/>
    <cellStyle name="Comma 17 2 3 2 5 3 2" xfId="41334"/>
    <cellStyle name="Comma 17 2 3 2 5 4" xfId="41335"/>
    <cellStyle name="Comma 17 2 3 2 5 5" xfId="41336"/>
    <cellStyle name="Comma 17 2 3 2 6" xfId="41337"/>
    <cellStyle name="Comma 17 2 3 2 6 2" xfId="41338"/>
    <cellStyle name="Comma 17 2 3 2 6 3" xfId="41339"/>
    <cellStyle name="Comma 17 2 3 2 7" xfId="41340"/>
    <cellStyle name="Comma 17 2 3 2 7 2" xfId="41341"/>
    <cellStyle name="Comma 17 2 3 2 7 3" xfId="41342"/>
    <cellStyle name="Comma 17 2 3 2 8" xfId="41343"/>
    <cellStyle name="Comma 17 2 3 2 8 2" xfId="41344"/>
    <cellStyle name="Comma 17 2 3 2 9" xfId="41345"/>
    <cellStyle name="Comma 17 2 3 3" xfId="41346"/>
    <cellStyle name="Comma 17 2 3 3 2" xfId="41347"/>
    <cellStyle name="Comma 17 2 3 3 2 2" xfId="41348"/>
    <cellStyle name="Comma 17 2 3 3 2 2 2" xfId="41349"/>
    <cellStyle name="Comma 17 2 3 3 2 2 3" xfId="41350"/>
    <cellStyle name="Comma 17 2 3 3 2 3" xfId="41351"/>
    <cellStyle name="Comma 17 2 3 3 2 3 2" xfId="41352"/>
    <cellStyle name="Comma 17 2 3 3 2 3 3" xfId="41353"/>
    <cellStyle name="Comma 17 2 3 3 2 4" xfId="41354"/>
    <cellStyle name="Comma 17 2 3 3 2 4 2" xfId="41355"/>
    <cellStyle name="Comma 17 2 3 3 2 5" xfId="41356"/>
    <cellStyle name="Comma 17 2 3 3 2 6" xfId="41357"/>
    <cellStyle name="Comma 17 2 3 3 3" xfId="41358"/>
    <cellStyle name="Comma 17 2 3 3 3 2" xfId="41359"/>
    <cellStyle name="Comma 17 2 3 3 3 2 2" xfId="41360"/>
    <cellStyle name="Comma 17 2 3 3 3 2 3" xfId="41361"/>
    <cellStyle name="Comma 17 2 3 3 3 3" xfId="41362"/>
    <cellStyle name="Comma 17 2 3 3 3 3 2" xfId="41363"/>
    <cellStyle name="Comma 17 2 3 3 3 3 3" xfId="41364"/>
    <cellStyle name="Comma 17 2 3 3 3 4" xfId="41365"/>
    <cellStyle name="Comma 17 2 3 3 3 4 2" xfId="41366"/>
    <cellStyle name="Comma 17 2 3 3 3 5" xfId="41367"/>
    <cellStyle name="Comma 17 2 3 3 3 6" xfId="41368"/>
    <cellStyle name="Comma 17 2 3 3 4" xfId="41369"/>
    <cellStyle name="Comma 17 2 3 3 4 2" xfId="41370"/>
    <cellStyle name="Comma 17 2 3 3 4 2 2" xfId="41371"/>
    <cellStyle name="Comma 17 2 3 3 4 2 3" xfId="41372"/>
    <cellStyle name="Comma 17 2 3 3 4 3" xfId="41373"/>
    <cellStyle name="Comma 17 2 3 3 4 3 2" xfId="41374"/>
    <cellStyle name="Comma 17 2 3 3 4 4" xfId="41375"/>
    <cellStyle name="Comma 17 2 3 3 4 5" xfId="41376"/>
    <cellStyle name="Comma 17 2 3 3 5" xfId="41377"/>
    <cellStyle name="Comma 17 2 3 3 5 2" xfId="41378"/>
    <cellStyle name="Comma 17 2 3 3 5 3" xfId="41379"/>
    <cellStyle name="Comma 17 2 3 3 6" xfId="41380"/>
    <cellStyle name="Comma 17 2 3 3 6 2" xfId="41381"/>
    <cellStyle name="Comma 17 2 3 3 6 3" xfId="41382"/>
    <cellStyle name="Comma 17 2 3 3 7" xfId="41383"/>
    <cellStyle name="Comma 17 2 3 3 7 2" xfId="41384"/>
    <cellStyle name="Comma 17 2 3 3 8" xfId="41385"/>
    <cellStyle name="Comma 17 2 3 3 9" xfId="41386"/>
    <cellStyle name="Comma 17 2 3 4" xfId="41387"/>
    <cellStyle name="Comma 17 2 3 4 2" xfId="41388"/>
    <cellStyle name="Comma 17 2 3 4 2 2" xfId="41389"/>
    <cellStyle name="Comma 17 2 3 4 2 2 2" xfId="41390"/>
    <cellStyle name="Comma 17 2 3 4 2 2 3" xfId="41391"/>
    <cellStyle name="Comma 17 2 3 4 2 3" xfId="41392"/>
    <cellStyle name="Comma 17 2 3 4 2 3 2" xfId="41393"/>
    <cellStyle name="Comma 17 2 3 4 2 3 3" xfId="41394"/>
    <cellStyle name="Comma 17 2 3 4 2 4" xfId="41395"/>
    <cellStyle name="Comma 17 2 3 4 2 4 2" xfId="41396"/>
    <cellStyle name="Comma 17 2 3 4 2 5" xfId="41397"/>
    <cellStyle name="Comma 17 2 3 4 2 6" xfId="41398"/>
    <cellStyle name="Comma 17 2 3 4 3" xfId="41399"/>
    <cellStyle name="Comma 17 2 3 4 3 2" xfId="41400"/>
    <cellStyle name="Comma 17 2 3 4 3 2 2" xfId="41401"/>
    <cellStyle name="Comma 17 2 3 4 3 2 3" xfId="41402"/>
    <cellStyle name="Comma 17 2 3 4 3 3" xfId="41403"/>
    <cellStyle name="Comma 17 2 3 4 3 3 2" xfId="41404"/>
    <cellStyle name="Comma 17 2 3 4 3 3 3" xfId="41405"/>
    <cellStyle name="Comma 17 2 3 4 3 4" xfId="41406"/>
    <cellStyle name="Comma 17 2 3 4 3 4 2" xfId="41407"/>
    <cellStyle name="Comma 17 2 3 4 3 5" xfId="41408"/>
    <cellStyle name="Comma 17 2 3 4 3 6" xfId="41409"/>
    <cellStyle name="Comma 17 2 3 4 4" xfId="41410"/>
    <cellStyle name="Comma 17 2 3 4 4 2" xfId="41411"/>
    <cellStyle name="Comma 17 2 3 4 4 2 2" xfId="41412"/>
    <cellStyle name="Comma 17 2 3 4 4 2 3" xfId="41413"/>
    <cellStyle name="Comma 17 2 3 4 4 3" xfId="41414"/>
    <cellStyle name="Comma 17 2 3 4 4 3 2" xfId="41415"/>
    <cellStyle name="Comma 17 2 3 4 4 4" xfId="41416"/>
    <cellStyle name="Comma 17 2 3 4 4 5" xfId="41417"/>
    <cellStyle name="Comma 17 2 3 4 5" xfId="41418"/>
    <cellStyle name="Comma 17 2 3 4 5 2" xfId="41419"/>
    <cellStyle name="Comma 17 2 3 4 5 3" xfId="41420"/>
    <cellStyle name="Comma 17 2 3 4 6" xfId="41421"/>
    <cellStyle name="Comma 17 2 3 4 6 2" xfId="41422"/>
    <cellStyle name="Comma 17 2 3 4 6 3" xfId="41423"/>
    <cellStyle name="Comma 17 2 3 4 7" xfId="41424"/>
    <cellStyle name="Comma 17 2 3 4 7 2" xfId="41425"/>
    <cellStyle name="Comma 17 2 3 4 8" xfId="41426"/>
    <cellStyle name="Comma 17 2 3 4 9" xfId="41427"/>
    <cellStyle name="Comma 17 2 3 5" xfId="41428"/>
    <cellStyle name="Comma 17 2 3 5 2" xfId="41429"/>
    <cellStyle name="Comma 17 2 3 5 2 2" xfId="41430"/>
    <cellStyle name="Comma 17 2 3 5 2 3" xfId="41431"/>
    <cellStyle name="Comma 17 2 3 5 3" xfId="41432"/>
    <cellStyle name="Comma 17 2 3 5 3 2" xfId="41433"/>
    <cellStyle name="Comma 17 2 3 5 3 3" xfId="41434"/>
    <cellStyle name="Comma 17 2 3 5 4" xfId="41435"/>
    <cellStyle name="Comma 17 2 3 5 4 2" xfId="41436"/>
    <cellStyle name="Comma 17 2 3 5 5" xfId="41437"/>
    <cellStyle name="Comma 17 2 3 5 6" xfId="41438"/>
    <cellStyle name="Comma 17 2 3 6" xfId="41439"/>
    <cellStyle name="Comma 17 2 3 6 2" xfId="41440"/>
    <cellStyle name="Comma 17 2 3 6 2 2" xfId="41441"/>
    <cellStyle name="Comma 17 2 3 6 2 3" xfId="41442"/>
    <cellStyle name="Comma 17 2 3 6 3" xfId="41443"/>
    <cellStyle name="Comma 17 2 3 6 3 2" xfId="41444"/>
    <cellStyle name="Comma 17 2 3 6 3 3" xfId="41445"/>
    <cellStyle name="Comma 17 2 3 6 4" xfId="41446"/>
    <cellStyle name="Comma 17 2 3 6 4 2" xfId="41447"/>
    <cellStyle name="Comma 17 2 3 6 5" xfId="41448"/>
    <cellStyle name="Comma 17 2 3 6 6" xfId="41449"/>
    <cellStyle name="Comma 17 2 3 7" xfId="41450"/>
    <cellStyle name="Comma 17 2 3 7 2" xfId="41451"/>
    <cellStyle name="Comma 17 2 3 7 2 2" xfId="41452"/>
    <cellStyle name="Comma 17 2 3 7 2 3" xfId="41453"/>
    <cellStyle name="Comma 17 2 3 7 3" xfId="41454"/>
    <cellStyle name="Comma 17 2 3 7 3 2" xfId="41455"/>
    <cellStyle name="Comma 17 2 3 7 4" xfId="41456"/>
    <cellStyle name="Comma 17 2 3 7 5" xfId="41457"/>
    <cellStyle name="Comma 17 2 3 8" xfId="41458"/>
    <cellStyle name="Comma 17 2 3 8 2" xfId="41459"/>
    <cellStyle name="Comma 17 2 3 8 3" xfId="41460"/>
    <cellStyle name="Comma 17 2 3 9" xfId="41461"/>
    <cellStyle name="Comma 17 2 3 9 2" xfId="41462"/>
    <cellStyle name="Comma 17 2 3 9 3" xfId="41463"/>
    <cellStyle name="Comma 17 2 4" xfId="41464"/>
    <cellStyle name="Comma 17 2 4 10" xfId="41465"/>
    <cellStyle name="Comma 17 2 4 2" xfId="41466"/>
    <cellStyle name="Comma 17 2 4 2 2" xfId="41467"/>
    <cellStyle name="Comma 17 2 4 2 2 2" xfId="41468"/>
    <cellStyle name="Comma 17 2 4 2 2 2 2" xfId="41469"/>
    <cellStyle name="Comma 17 2 4 2 2 2 3" xfId="41470"/>
    <cellStyle name="Comma 17 2 4 2 2 3" xfId="41471"/>
    <cellStyle name="Comma 17 2 4 2 2 3 2" xfId="41472"/>
    <cellStyle name="Comma 17 2 4 2 2 3 3" xfId="41473"/>
    <cellStyle name="Comma 17 2 4 2 2 4" xfId="41474"/>
    <cellStyle name="Comma 17 2 4 2 2 4 2" xfId="41475"/>
    <cellStyle name="Comma 17 2 4 2 2 5" xfId="41476"/>
    <cellStyle name="Comma 17 2 4 2 2 6" xfId="41477"/>
    <cellStyle name="Comma 17 2 4 2 3" xfId="41478"/>
    <cellStyle name="Comma 17 2 4 2 3 2" xfId="41479"/>
    <cellStyle name="Comma 17 2 4 2 3 2 2" xfId="41480"/>
    <cellStyle name="Comma 17 2 4 2 3 2 3" xfId="41481"/>
    <cellStyle name="Comma 17 2 4 2 3 3" xfId="41482"/>
    <cellStyle name="Comma 17 2 4 2 3 3 2" xfId="41483"/>
    <cellStyle name="Comma 17 2 4 2 3 3 3" xfId="41484"/>
    <cellStyle name="Comma 17 2 4 2 3 4" xfId="41485"/>
    <cellStyle name="Comma 17 2 4 2 3 4 2" xfId="41486"/>
    <cellStyle name="Comma 17 2 4 2 3 5" xfId="41487"/>
    <cellStyle name="Comma 17 2 4 2 3 6" xfId="41488"/>
    <cellStyle name="Comma 17 2 4 2 4" xfId="41489"/>
    <cellStyle name="Comma 17 2 4 2 4 2" xfId="41490"/>
    <cellStyle name="Comma 17 2 4 2 4 2 2" xfId="41491"/>
    <cellStyle name="Comma 17 2 4 2 4 2 3" xfId="41492"/>
    <cellStyle name="Comma 17 2 4 2 4 3" xfId="41493"/>
    <cellStyle name="Comma 17 2 4 2 4 3 2" xfId="41494"/>
    <cellStyle name="Comma 17 2 4 2 4 4" xfId="41495"/>
    <cellStyle name="Comma 17 2 4 2 4 5" xfId="41496"/>
    <cellStyle name="Comma 17 2 4 2 5" xfId="41497"/>
    <cellStyle name="Comma 17 2 4 2 5 2" xfId="41498"/>
    <cellStyle name="Comma 17 2 4 2 5 3" xfId="41499"/>
    <cellStyle name="Comma 17 2 4 2 6" xfId="41500"/>
    <cellStyle name="Comma 17 2 4 2 6 2" xfId="41501"/>
    <cellStyle name="Comma 17 2 4 2 6 3" xfId="41502"/>
    <cellStyle name="Comma 17 2 4 2 7" xfId="41503"/>
    <cellStyle name="Comma 17 2 4 2 7 2" xfId="41504"/>
    <cellStyle name="Comma 17 2 4 2 8" xfId="41505"/>
    <cellStyle name="Comma 17 2 4 2 9" xfId="41506"/>
    <cellStyle name="Comma 17 2 4 3" xfId="41507"/>
    <cellStyle name="Comma 17 2 4 3 2" xfId="41508"/>
    <cellStyle name="Comma 17 2 4 3 2 2" xfId="41509"/>
    <cellStyle name="Comma 17 2 4 3 2 3" xfId="41510"/>
    <cellStyle name="Comma 17 2 4 3 3" xfId="41511"/>
    <cellStyle name="Comma 17 2 4 3 3 2" xfId="41512"/>
    <cellStyle name="Comma 17 2 4 3 3 3" xfId="41513"/>
    <cellStyle name="Comma 17 2 4 3 4" xfId="41514"/>
    <cellStyle name="Comma 17 2 4 3 4 2" xfId="41515"/>
    <cellStyle name="Comma 17 2 4 3 5" xfId="41516"/>
    <cellStyle name="Comma 17 2 4 3 6" xfId="41517"/>
    <cellStyle name="Comma 17 2 4 4" xfId="41518"/>
    <cellStyle name="Comma 17 2 4 4 2" xfId="41519"/>
    <cellStyle name="Comma 17 2 4 4 2 2" xfId="41520"/>
    <cellStyle name="Comma 17 2 4 4 2 3" xfId="41521"/>
    <cellStyle name="Comma 17 2 4 4 3" xfId="41522"/>
    <cellStyle name="Comma 17 2 4 4 3 2" xfId="41523"/>
    <cellStyle name="Comma 17 2 4 4 3 3" xfId="41524"/>
    <cellStyle name="Comma 17 2 4 4 4" xfId="41525"/>
    <cellStyle name="Comma 17 2 4 4 4 2" xfId="41526"/>
    <cellStyle name="Comma 17 2 4 4 5" xfId="41527"/>
    <cellStyle name="Comma 17 2 4 4 6" xfId="41528"/>
    <cellStyle name="Comma 17 2 4 5" xfId="41529"/>
    <cellStyle name="Comma 17 2 4 5 2" xfId="41530"/>
    <cellStyle name="Comma 17 2 4 5 2 2" xfId="41531"/>
    <cellStyle name="Comma 17 2 4 5 2 3" xfId="41532"/>
    <cellStyle name="Comma 17 2 4 5 3" xfId="41533"/>
    <cellStyle name="Comma 17 2 4 5 3 2" xfId="41534"/>
    <cellStyle name="Comma 17 2 4 5 4" xfId="41535"/>
    <cellStyle name="Comma 17 2 4 5 5" xfId="41536"/>
    <cellStyle name="Comma 17 2 4 6" xfId="41537"/>
    <cellStyle name="Comma 17 2 4 6 2" xfId="41538"/>
    <cellStyle name="Comma 17 2 4 6 3" xfId="41539"/>
    <cellStyle name="Comma 17 2 4 7" xfId="41540"/>
    <cellStyle name="Comma 17 2 4 7 2" xfId="41541"/>
    <cellStyle name="Comma 17 2 4 7 3" xfId="41542"/>
    <cellStyle name="Comma 17 2 4 8" xfId="41543"/>
    <cellStyle name="Comma 17 2 4 8 2" xfId="41544"/>
    <cellStyle name="Comma 17 2 4 9" xfId="41545"/>
    <cellStyle name="Comma 17 2 5" xfId="41546"/>
    <cellStyle name="Comma 17 2 5 2" xfId="41547"/>
    <cellStyle name="Comma 17 2 5 2 2" xfId="41548"/>
    <cellStyle name="Comma 17 2 5 2 2 2" xfId="41549"/>
    <cellStyle name="Comma 17 2 5 2 2 3" xfId="41550"/>
    <cellStyle name="Comma 17 2 5 2 3" xfId="41551"/>
    <cellStyle name="Comma 17 2 5 2 3 2" xfId="41552"/>
    <cellStyle name="Comma 17 2 5 2 3 3" xfId="41553"/>
    <cellStyle name="Comma 17 2 5 2 4" xfId="41554"/>
    <cellStyle name="Comma 17 2 5 2 4 2" xfId="41555"/>
    <cellStyle name="Comma 17 2 5 2 5" xfId="41556"/>
    <cellStyle name="Comma 17 2 5 2 6" xfId="41557"/>
    <cellStyle name="Comma 17 2 5 3" xfId="41558"/>
    <cellStyle name="Comma 17 2 5 3 2" xfId="41559"/>
    <cellStyle name="Comma 17 2 5 3 2 2" xfId="41560"/>
    <cellStyle name="Comma 17 2 5 3 2 3" xfId="41561"/>
    <cellStyle name="Comma 17 2 5 3 3" xfId="41562"/>
    <cellStyle name="Comma 17 2 5 3 3 2" xfId="41563"/>
    <cellStyle name="Comma 17 2 5 3 3 3" xfId="41564"/>
    <cellStyle name="Comma 17 2 5 3 4" xfId="41565"/>
    <cellStyle name="Comma 17 2 5 3 4 2" xfId="41566"/>
    <cellStyle name="Comma 17 2 5 3 5" xfId="41567"/>
    <cellStyle name="Comma 17 2 5 3 6" xfId="41568"/>
    <cellStyle name="Comma 17 2 5 4" xfId="41569"/>
    <cellStyle name="Comma 17 2 5 4 2" xfId="41570"/>
    <cellStyle name="Comma 17 2 5 4 2 2" xfId="41571"/>
    <cellStyle name="Comma 17 2 5 4 2 3" xfId="41572"/>
    <cellStyle name="Comma 17 2 5 4 3" xfId="41573"/>
    <cellStyle name="Comma 17 2 5 4 3 2" xfId="41574"/>
    <cellStyle name="Comma 17 2 5 4 4" xfId="41575"/>
    <cellStyle name="Comma 17 2 5 4 5" xfId="41576"/>
    <cellStyle name="Comma 17 2 5 5" xfId="41577"/>
    <cellStyle name="Comma 17 2 5 5 2" xfId="41578"/>
    <cellStyle name="Comma 17 2 5 5 3" xfId="41579"/>
    <cellStyle name="Comma 17 2 5 6" xfId="41580"/>
    <cellStyle name="Comma 17 2 5 6 2" xfId="41581"/>
    <cellStyle name="Comma 17 2 5 6 3" xfId="41582"/>
    <cellStyle name="Comma 17 2 5 7" xfId="41583"/>
    <cellStyle name="Comma 17 2 5 7 2" xfId="41584"/>
    <cellStyle name="Comma 17 2 5 8" xfId="41585"/>
    <cellStyle name="Comma 17 2 5 9" xfId="41586"/>
    <cellStyle name="Comma 17 2 6" xfId="41587"/>
    <cellStyle name="Comma 17 2 6 2" xfId="41588"/>
    <cellStyle name="Comma 17 2 6 2 2" xfId="41589"/>
    <cellStyle name="Comma 17 2 6 2 2 2" xfId="41590"/>
    <cellStyle name="Comma 17 2 6 2 2 3" xfId="41591"/>
    <cellStyle name="Comma 17 2 6 2 3" xfId="41592"/>
    <cellStyle name="Comma 17 2 6 2 3 2" xfId="41593"/>
    <cellStyle name="Comma 17 2 6 2 3 3" xfId="41594"/>
    <cellStyle name="Comma 17 2 6 2 4" xfId="41595"/>
    <cellStyle name="Comma 17 2 6 2 4 2" xfId="41596"/>
    <cellStyle name="Comma 17 2 6 2 5" xfId="41597"/>
    <cellStyle name="Comma 17 2 6 2 6" xfId="41598"/>
    <cellStyle name="Comma 17 2 6 3" xfId="41599"/>
    <cellStyle name="Comma 17 2 6 3 2" xfId="41600"/>
    <cellStyle name="Comma 17 2 6 3 2 2" xfId="41601"/>
    <cellStyle name="Comma 17 2 6 3 2 3" xfId="41602"/>
    <cellStyle name="Comma 17 2 6 3 3" xfId="41603"/>
    <cellStyle name="Comma 17 2 6 3 3 2" xfId="41604"/>
    <cellStyle name="Comma 17 2 6 3 3 3" xfId="41605"/>
    <cellStyle name="Comma 17 2 6 3 4" xfId="41606"/>
    <cellStyle name="Comma 17 2 6 3 4 2" xfId="41607"/>
    <cellStyle name="Comma 17 2 6 3 5" xfId="41608"/>
    <cellStyle name="Comma 17 2 6 3 6" xfId="41609"/>
    <cellStyle name="Comma 17 2 6 4" xfId="41610"/>
    <cellStyle name="Comma 17 2 6 4 2" xfId="41611"/>
    <cellStyle name="Comma 17 2 6 4 2 2" xfId="41612"/>
    <cellStyle name="Comma 17 2 6 4 2 3" xfId="41613"/>
    <cellStyle name="Comma 17 2 6 4 3" xfId="41614"/>
    <cellStyle name="Comma 17 2 6 4 3 2" xfId="41615"/>
    <cellStyle name="Comma 17 2 6 4 4" xfId="41616"/>
    <cellStyle name="Comma 17 2 6 4 5" xfId="41617"/>
    <cellStyle name="Comma 17 2 6 5" xfId="41618"/>
    <cellStyle name="Comma 17 2 6 5 2" xfId="41619"/>
    <cellStyle name="Comma 17 2 6 5 3" xfId="41620"/>
    <cellStyle name="Comma 17 2 6 6" xfId="41621"/>
    <cellStyle name="Comma 17 2 6 6 2" xfId="41622"/>
    <cellStyle name="Comma 17 2 6 6 3" xfId="41623"/>
    <cellStyle name="Comma 17 2 6 7" xfId="41624"/>
    <cellStyle name="Comma 17 2 6 7 2" xfId="41625"/>
    <cellStyle name="Comma 17 2 6 8" xfId="41626"/>
    <cellStyle name="Comma 17 2 6 9" xfId="41627"/>
    <cellStyle name="Comma 17 2 7" xfId="41628"/>
    <cellStyle name="Comma 17 2 7 2" xfId="41629"/>
    <cellStyle name="Comma 17 2 7 2 2" xfId="41630"/>
    <cellStyle name="Comma 17 2 7 2 3" xfId="41631"/>
    <cellStyle name="Comma 17 2 7 3" xfId="41632"/>
    <cellStyle name="Comma 17 2 7 3 2" xfId="41633"/>
    <cellStyle name="Comma 17 2 7 3 3" xfId="41634"/>
    <cellStyle name="Comma 17 2 7 4" xfId="41635"/>
    <cellStyle name="Comma 17 2 7 4 2" xfId="41636"/>
    <cellStyle name="Comma 17 2 7 5" xfId="41637"/>
    <cellStyle name="Comma 17 2 7 6" xfId="41638"/>
    <cellStyle name="Comma 17 2 8" xfId="41639"/>
    <cellStyle name="Comma 17 2 8 2" xfId="41640"/>
    <cellStyle name="Comma 17 2 8 2 2" xfId="41641"/>
    <cellStyle name="Comma 17 2 8 2 3" xfId="41642"/>
    <cellStyle name="Comma 17 2 8 3" xfId="41643"/>
    <cellStyle name="Comma 17 2 8 3 2" xfId="41644"/>
    <cellStyle name="Comma 17 2 8 3 3" xfId="41645"/>
    <cellStyle name="Comma 17 2 8 4" xfId="41646"/>
    <cellStyle name="Comma 17 2 8 4 2" xfId="41647"/>
    <cellStyle name="Comma 17 2 8 5" xfId="41648"/>
    <cellStyle name="Comma 17 2 8 6" xfId="41649"/>
    <cellStyle name="Comma 17 2 9" xfId="41650"/>
    <cellStyle name="Comma 17 2 9 2" xfId="41651"/>
    <cellStyle name="Comma 17 2 9 2 2" xfId="41652"/>
    <cellStyle name="Comma 17 2 9 2 3" xfId="41653"/>
    <cellStyle name="Comma 17 2 9 3" xfId="41654"/>
    <cellStyle name="Comma 17 2 9 3 2" xfId="41655"/>
    <cellStyle name="Comma 17 2 9 4" xfId="41656"/>
    <cellStyle name="Comma 17 2 9 5" xfId="41657"/>
    <cellStyle name="Comma 17 3" xfId="41658"/>
    <cellStyle name="Comma 17 3 10" xfId="41659"/>
    <cellStyle name="Comma 17 3 10 2" xfId="41660"/>
    <cellStyle name="Comma 17 3 10 3" xfId="41661"/>
    <cellStyle name="Comma 17 3 11" xfId="41662"/>
    <cellStyle name="Comma 17 3 11 2" xfId="41663"/>
    <cellStyle name="Comma 17 3 12" xfId="41664"/>
    <cellStyle name="Comma 17 3 13" xfId="41665"/>
    <cellStyle name="Comma 17 3 2" xfId="41666"/>
    <cellStyle name="Comma 17 3 2 10" xfId="41667"/>
    <cellStyle name="Comma 17 3 2 10 2" xfId="41668"/>
    <cellStyle name="Comma 17 3 2 11" xfId="41669"/>
    <cellStyle name="Comma 17 3 2 12" xfId="41670"/>
    <cellStyle name="Comma 17 3 2 2" xfId="41671"/>
    <cellStyle name="Comma 17 3 2 2 10" xfId="41672"/>
    <cellStyle name="Comma 17 3 2 2 2" xfId="41673"/>
    <cellStyle name="Comma 17 3 2 2 2 2" xfId="41674"/>
    <cellStyle name="Comma 17 3 2 2 2 2 2" xfId="41675"/>
    <cellStyle name="Comma 17 3 2 2 2 2 2 2" xfId="41676"/>
    <cellStyle name="Comma 17 3 2 2 2 2 2 3" xfId="41677"/>
    <cellStyle name="Comma 17 3 2 2 2 2 3" xfId="41678"/>
    <cellStyle name="Comma 17 3 2 2 2 2 3 2" xfId="41679"/>
    <cellStyle name="Comma 17 3 2 2 2 2 3 3" xfId="41680"/>
    <cellStyle name="Comma 17 3 2 2 2 2 4" xfId="41681"/>
    <cellStyle name="Comma 17 3 2 2 2 2 4 2" xfId="41682"/>
    <cellStyle name="Comma 17 3 2 2 2 2 5" xfId="41683"/>
    <cellStyle name="Comma 17 3 2 2 2 2 6" xfId="41684"/>
    <cellStyle name="Comma 17 3 2 2 2 3" xfId="41685"/>
    <cellStyle name="Comma 17 3 2 2 2 3 2" xfId="41686"/>
    <cellStyle name="Comma 17 3 2 2 2 3 2 2" xfId="41687"/>
    <cellStyle name="Comma 17 3 2 2 2 3 2 3" xfId="41688"/>
    <cellStyle name="Comma 17 3 2 2 2 3 3" xfId="41689"/>
    <cellStyle name="Comma 17 3 2 2 2 3 3 2" xfId="41690"/>
    <cellStyle name="Comma 17 3 2 2 2 3 3 3" xfId="41691"/>
    <cellStyle name="Comma 17 3 2 2 2 3 4" xfId="41692"/>
    <cellStyle name="Comma 17 3 2 2 2 3 4 2" xfId="41693"/>
    <cellStyle name="Comma 17 3 2 2 2 3 5" xfId="41694"/>
    <cellStyle name="Comma 17 3 2 2 2 3 6" xfId="41695"/>
    <cellStyle name="Comma 17 3 2 2 2 4" xfId="41696"/>
    <cellStyle name="Comma 17 3 2 2 2 4 2" xfId="41697"/>
    <cellStyle name="Comma 17 3 2 2 2 4 2 2" xfId="41698"/>
    <cellStyle name="Comma 17 3 2 2 2 4 2 3" xfId="41699"/>
    <cellStyle name="Comma 17 3 2 2 2 4 3" xfId="41700"/>
    <cellStyle name="Comma 17 3 2 2 2 4 3 2" xfId="41701"/>
    <cellStyle name="Comma 17 3 2 2 2 4 4" xfId="41702"/>
    <cellStyle name="Comma 17 3 2 2 2 4 5" xfId="41703"/>
    <cellStyle name="Comma 17 3 2 2 2 5" xfId="41704"/>
    <cellStyle name="Comma 17 3 2 2 2 5 2" xfId="41705"/>
    <cellStyle name="Comma 17 3 2 2 2 5 3" xfId="41706"/>
    <cellStyle name="Comma 17 3 2 2 2 6" xfId="41707"/>
    <cellStyle name="Comma 17 3 2 2 2 6 2" xfId="41708"/>
    <cellStyle name="Comma 17 3 2 2 2 6 3" xfId="41709"/>
    <cellStyle name="Comma 17 3 2 2 2 7" xfId="41710"/>
    <cellStyle name="Comma 17 3 2 2 2 7 2" xfId="41711"/>
    <cellStyle name="Comma 17 3 2 2 2 8" xfId="41712"/>
    <cellStyle name="Comma 17 3 2 2 2 9" xfId="41713"/>
    <cellStyle name="Comma 17 3 2 2 3" xfId="41714"/>
    <cellStyle name="Comma 17 3 2 2 3 2" xfId="41715"/>
    <cellStyle name="Comma 17 3 2 2 3 2 2" xfId="41716"/>
    <cellStyle name="Comma 17 3 2 2 3 2 3" xfId="41717"/>
    <cellStyle name="Comma 17 3 2 2 3 3" xfId="41718"/>
    <cellStyle name="Comma 17 3 2 2 3 3 2" xfId="41719"/>
    <cellStyle name="Comma 17 3 2 2 3 3 3" xfId="41720"/>
    <cellStyle name="Comma 17 3 2 2 3 4" xfId="41721"/>
    <cellStyle name="Comma 17 3 2 2 3 4 2" xfId="41722"/>
    <cellStyle name="Comma 17 3 2 2 3 5" xfId="41723"/>
    <cellStyle name="Comma 17 3 2 2 3 6" xfId="41724"/>
    <cellStyle name="Comma 17 3 2 2 4" xfId="41725"/>
    <cellStyle name="Comma 17 3 2 2 4 2" xfId="41726"/>
    <cellStyle name="Comma 17 3 2 2 4 2 2" xfId="41727"/>
    <cellStyle name="Comma 17 3 2 2 4 2 3" xfId="41728"/>
    <cellStyle name="Comma 17 3 2 2 4 3" xfId="41729"/>
    <cellStyle name="Comma 17 3 2 2 4 3 2" xfId="41730"/>
    <cellStyle name="Comma 17 3 2 2 4 3 3" xfId="41731"/>
    <cellStyle name="Comma 17 3 2 2 4 4" xfId="41732"/>
    <cellStyle name="Comma 17 3 2 2 4 4 2" xfId="41733"/>
    <cellStyle name="Comma 17 3 2 2 4 5" xfId="41734"/>
    <cellStyle name="Comma 17 3 2 2 4 6" xfId="41735"/>
    <cellStyle name="Comma 17 3 2 2 5" xfId="41736"/>
    <cellStyle name="Comma 17 3 2 2 5 2" xfId="41737"/>
    <cellStyle name="Comma 17 3 2 2 5 2 2" xfId="41738"/>
    <cellStyle name="Comma 17 3 2 2 5 2 3" xfId="41739"/>
    <cellStyle name="Comma 17 3 2 2 5 3" xfId="41740"/>
    <cellStyle name="Comma 17 3 2 2 5 3 2" xfId="41741"/>
    <cellStyle name="Comma 17 3 2 2 5 4" xfId="41742"/>
    <cellStyle name="Comma 17 3 2 2 5 5" xfId="41743"/>
    <cellStyle name="Comma 17 3 2 2 6" xfId="41744"/>
    <cellStyle name="Comma 17 3 2 2 6 2" xfId="41745"/>
    <cellStyle name="Comma 17 3 2 2 6 3" xfId="41746"/>
    <cellStyle name="Comma 17 3 2 2 7" xfId="41747"/>
    <cellStyle name="Comma 17 3 2 2 7 2" xfId="41748"/>
    <cellStyle name="Comma 17 3 2 2 7 3" xfId="41749"/>
    <cellStyle name="Comma 17 3 2 2 8" xfId="41750"/>
    <cellStyle name="Comma 17 3 2 2 8 2" xfId="41751"/>
    <cellStyle name="Comma 17 3 2 2 9" xfId="41752"/>
    <cellStyle name="Comma 17 3 2 3" xfId="41753"/>
    <cellStyle name="Comma 17 3 2 3 2" xfId="41754"/>
    <cellStyle name="Comma 17 3 2 3 2 2" xfId="41755"/>
    <cellStyle name="Comma 17 3 2 3 2 2 2" xfId="41756"/>
    <cellStyle name="Comma 17 3 2 3 2 2 3" xfId="41757"/>
    <cellStyle name="Comma 17 3 2 3 2 3" xfId="41758"/>
    <cellStyle name="Comma 17 3 2 3 2 3 2" xfId="41759"/>
    <cellStyle name="Comma 17 3 2 3 2 3 3" xfId="41760"/>
    <cellStyle name="Comma 17 3 2 3 2 4" xfId="41761"/>
    <cellStyle name="Comma 17 3 2 3 2 4 2" xfId="41762"/>
    <cellStyle name="Comma 17 3 2 3 2 5" xfId="41763"/>
    <cellStyle name="Comma 17 3 2 3 2 6" xfId="41764"/>
    <cellStyle name="Comma 17 3 2 3 3" xfId="41765"/>
    <cellStyle name="Comma 17 3 2 3 3 2" xfId="41766"/>
    <cellStyle name="Comma 17 3 2 3 3 2 2" xfId="41767"/>
    <cellStyle name="Comma 17 3 2 3 3 2 3" xfId="41768"/>
    <cellStyle name="Comma 17 3 2 3 3 3" xfId="41769"/>
    <cellStyle name="Comma 17 3 2 3 3 3 2" xfId="41770"/>
    <cellStyle name="Comma 17 3 2 3 3 3 3" xfId="41771"/>
    <cellStyle name="Comma 17 3 2 3 3 4" xfId="41772"/>
    <cellStyle name="Comma 17 3 2 3 3 4 2" xfId="41773"/>
    <cellStyle name="Comma 17 3 2 3 3 5" xfId="41774"/>
    <cellStyle name="Comma 17 3 2 3 3 6" xfId="41775"/>
    <cellStyle name="Comma 17 3 2 3 4" xfId="41776"/>
    <cellStyle name="Comma 17 3 2 3 4 2" xfId="41777"/>
    <cellStyle name="Comma 17 3 2 3 4 2 2" xfId="41778"/>
    <cellStyle name="Comma 17 3 2 3 4 2 3" xfId="41779"/>
    <cellStyle name="Comma 17 3 2 3 4 3" xfId="41780"/>
    <cellStyle name="Comma 17 3 2 3 4 3 2" xfId="41781"/>
    <cellStyle name="Comma 17 3 2 3 4 4" xfId="41782"/>
    <cellStyle name="Comma 17 3 2 3 4 5" xfId="41783"/>
    <cellStyle name="Comma 17 3 2 3 5" xfId="41784"/>
    <cellStyle name="Comma 17 3 2 3 5 2" xfId="41785"/>
    <cellStyle name="Comma 17 3 2 3 5 3" xfId="41786"/>
    <cellStyle name="Comma 17 3 2 3 6" xfId="41787"/>
    <cellStyle name="Comma 17 3 2 3 6 2" xfId="41788"/>
    <cellStyle name="Comma 17 3 2 3 6 3" xfId="41789"/>
    <cellStyle name="Comma 17 3 2 3 7" xfId="41790"/>
    <cellStyle name="Comma 17 3 2 3 7 2" xfId="41791"/>
    <cellStyle name="Comma 17 3 2 3 8" xfId="41792"/>
    <cellStyle name="Comma 17 3 2 3 9" xfId="41793"/>
    <cellStyle name="Comma 17 3 2 4" xfId="41794"/>
    <cellStyle name="Comma 17 3 2 4 2" xfId="41795"/>
    <cellStyle name="Comma 17 3 2 4 2 2" xfId="41796"/>
    <cellStyle name="Comma 17 3 2 4 2 2 2" xfId="41797"/>
    <cellStyle name="Comma 17 3 2 4 2 2 3" xfId="41798"/>
    <cellStyle name="Comma 17 3 2 4 2 3" xfId="41799"/>
    <cellStyle name="Comma 17 3 2 4 2 3 2" xfId="41800"/>
    <cellStyle name="Comma 17 3 2 4 2 3 3" xfId="41801"/>
    <cellStyle name="Comma 17 3 2 4 2 4" xfId="41802"/>
    <cellStyle name="Comma 17 3 2 4 2 4 2" xfId="41803"/>
    <cellStyle name="Comma 17 3 2 4 2 5" xfId="41804"/>
    <cellStyle name="Comma 17 3 2 4 2 6" xfId="41805"/>
    <cellStyle name="Comma 17 3 2 4 3" xfId="41806"/>
    <cellStyle name="Comma 17 3 2 4 3 2" xfId="41807"/>
    <cellStyle name="Comma 17 3 2 4 3 2 2" xfId="41808"/>
    <cellStyle name="Comma 17 3 2 4 3 2 3" xfId="41809"/>
    <cellStyle name="Comma 17 3 2 4 3 3" xfId="41810"/>
    <cellStyle name="Comma 17 3 2 4 3 3 2" xfId="41811"/>
    <cellStyle name="Comma 17 3 2 4 3 3 3" xfId="41812"/>
    <cellStyle name="Comma 17 3 2 4 3 4" xfId="41813"/>
    <cellStyle name="Comma 17 3 2 4 3 4 2" xfId="41814"/>
    <cellStyle name="Comma 17 3 2 4 3 5" xfId="41815"/>
    <cellStyle name="Comma 17 3 2 4 3 6" xfId="41816"/>
    <cellStyle name="Comma 17 3 2 4 4" xfId="41817"/>
    <cellStyle name="Comma 17 3 2 4 4 2" xfId="41818"/>
    <cellStyle name="Comma 17 3 2 4 4 2 2" xfId="41819"/>
    <cellStyle name="Comma 17 3 2 4 4 2 3" xfId="41820"/>
    <cellStyle name="Comma 17 3 2 4 4 3" xfId="41821"/>
    <cellStyle name="Comma 17 3 2 4 4 3 2" xfId="41822"/>
    <cellStyle name="Comma 17 3 2 4 4 4" xfId="41823"/>
    <cellStyle name="Comma 17 3 2 4 4 5" xfId="41824"/>
    <cellStyle name="Comma 17 3 2 4 5" xfId="41825"/>
    <cellStyle name="Comma 17 3 2 4 5 2" xfId="41826"/>
    <cellStyle name="Comma 17 3 2 4 5 3" xfId="41827"/>
    <cellStyle name="Comma 17 3 2 4 6" xfId="41828"/>
    <cellStyle name="Comma 17 3 2 4 6 2" xfId="41829"/>
    <cellStyle name="Comma 17 3 2 4 6 3" xfId="41830"/>
    <cellStyle name="Comma 17 3 2 4 7" xfId="41831"/>
    <cellStyle name="Comma 17 3 2 4 7 2" xfId="41832"/>
    <cellStyle name="Comma 17 3 2 4 8" xfId="41833"/>
    <cellStyle name="Comma 17 3 2 4 9" xfId="41834"/>
    <cellStyle name="Comma 17 3 2 5" xfId="41835"/>
    <cellStyle name="Comma 17 3 2 5 2" xfId="41836"/>
    <cellStyle name="Comma 17 3 2 5 2 2" xfId="41837"/>
    <cellStyle name="Comma 17 3 2 5 2 3" xfId="41838"/>
    <cellStyle name="Comma 17 3 2 5 3" xfId="41839"/>
    <cellStyle name="Comma 17 3 2 5 3 2" xfId="41840"/>
    <cellStyle name="Comma 17 3 2 5 3 3" xfId="41841"/>
    <cellStyle name="Comma 17 3 2 5 4" xfId="41842"/>
    <cellStyle name="Comma 17 3 2 5 4 2" xfId="41843"/>
    <cellStyle name="Comma 17 3 2 5 5" xfId="41844"/>
    <cellStyle name="Comma 17 3 2 5 6" xfId="41845"/>
    <cellStyle name="Comma 17 3 2 6" xfId="41846"/>
    <cellStyle name="Comma 17 3 2 6 2" xfId="41847"/>
    <cellStyle name="Comma 17 3 2 6 2 2" xfId="41848"/>
    <cellStyle name="Comma 17 3 2 6 2 3" xfId="41849"/>
    <cellStyle name="Comma 17 3 2 6 3" xfId="41850"/>
    <cellStyle name="Comma 17 3 2 6 3 2" xfId="41851"/>
    <cellStyle name="Comma 17 3 2 6 3 3" xfId="41852"/>
    <cellStyle name="Comma 17 3 2 6 4" xfId="41853"/>
    <cellStyle name="Comma 17 3 2 6 4 2" xfId="41854"/>
    <cellStyle name="Comma 17 3 2 6 5" xfId="41855"/>
    <cellStyle name="Comma 17 3 2 6 6" xfId="41856"/>
    <cellStyle name="Comma 17 3 2 7" xfId="41857"/>
    <cellStyle name="Comma 17 3 2 7 2" xfId="41858"/>
    <cellStyle name="Comma 17 3 2 7 2 2" xfId="41859"/>
    <cellStyle name="Comma 17 3 2 7 2 3" xfId="41860"/>
    <cellStyle name="Comma 17 3 2 7 3" xfId="41861"/>
    <cellStyle name="Comma 17 3 2 7 3 2" xfId="41862"/>
    <cellStyle name="Comma 17 3 2 7 4" xfId="41863"/>
    <cellStyle name="Comma 17 3 2 7 5" xfId="41864"/>
    <cellStyle name="Comma 17 3 2 8" xfId="41865"/>
    <cellStyle name="Comma 17 3 2 8 2" xfId="41866"/>
    <cellStyle name="Comma 17 3 2 8 3" xfId="41867"/>
    <cellStyle name="Comma 17 3 2 9" xfId="41868"/>
    <cellStyle name="Comma 17 3 2 9 2" xfId="41869"/>
    <cellStyle name="Comma 17 3 2 9 3" xfId="41870"/>
    <cellStyle name="Comma 17 3 3" xfId="41871"/>
    <cellStyle name="Comma 17 3 3 10" xfId="41872"/>
    <cellStyle name="Comma 17 3 3 2" xfId="41873"/>
    <cellStyle name="Comma 17 3 3 2 2" xfId="41874"/>
    <cellStyle name="Comma 17 3 3 2 2 2" xfId="41875"/>
    <cellStyle name="Comma 17 3 3 2 2 2 2" xfId="41876"/>
    <cellStyle name="Comma 17 3 3 2 2 2 3" xfId="41877"/>
    <cellStyle name="Comma 17 3 3 2 2 3" xfId="41878"/>
    <cellStyle name="Comma 17 3 3 2 2 3 2" xfId="41879"/>
    <cellStyle name="Comma 17 3 3 2 2 3 3" xfId="41880"/>
    <cellStyle name="Comma 17 3 3 2 2 4" xfId="41881"/>
    <cellStyle name="Comma 17 3 3 2 2 4 2" xfId="41882"/>
    <cellStyle name="Comma 17 3 3 2 2 5" xfId="41883"/>
    <cellStyle name="Comma 17 3 3 2 2 6" xfId="41884"/>
    <cellStyle name="Comma 17 3 3 2 3" xfId="41885"/>
    <cellStyle name="Comma 17 3 3 2 3 2" xfId="41886"/>
    <cellStyle name="Comma 17 3 3 2 3 2 2" xfId="41887"/>
    <cellStyle name="Comma 17 3 3 2 3 2 3" xfId="41888"/>
    <cellStyle name="Comma 17 3 3 2 3 3" xfId="41889"/>
    <cellStyle name="Comma 17 3 3 2 3 3 2" xfId="41890"/>
    <cellStyle name="Comma 17 3 3 2 3 3 3" xfId="41891"/>
    <cellStyle name="Comma 17 3 3 2 3 4" xfId="41892"/>
    <cellStyle name="Comma 17 3 3 2 3 4 2" xfId="41893"/>
    <cellStyle name="Comma 17 3 3 2 3 5" xfId="41894"/>
    <cellStyle name="Comma 17 3 3 2 3 6" xfId="41895"/>
    <cellStyle name="Comma 17 3 3 2 4" xfId="41896"/>
    <cellStyle name="Comma 17 3 3 2 4 2" xfId="41897"/>
    <cellStyle name="Comma 17 3 3 2 4 2 2" xfId="41898"/>
    <cellStyle name="Comma 17 3 3 2 4 2 3" xfId="41899"/>
    <cellStyle name="Comma 17 3 3 2 4 3" xfId="41900"/>
    <cellStyle name="Comma 17 3 3 2 4 3 2" xfId="41901"/>
    <cellStyle name="Comma 17 3 3 2 4 4" xfId="41902"/>
    <cellStyle name="Comma 17 3 3 2 4 5" xfId="41903"/>
    <cellStyle name="Comma 17 3 3 2 5" xfId="41904"/>
    <cellStyle name="Comma 17 3 3 2 5 2" xfId="41905"/>
    <cellStyle name="Comma 17 3 3 2 5 3" xfId="41906"/>
    <cellStyle name="Comma 17 3 3 2 6" xfId="41907"/>
    <cellStyle name="Comma 17 3 3 2 6 2" xfId="41908"/>
    <cellStyle name="Comma 17 3 3 2 6 3" xfId="41909"/>
    <cellStyle name="Comma 17 3 3 2 7" xfId="41910"/>
    <cellStyle name="Comma 17 3 3 2 7 2" xfId="41911"/>
    <cellStyle name="Comma 17 3 3 2 8" xfId="41912"/>
    <cellStyle name="Comma 17 3 3 2 9" xfId="41913"/>
    <cellStyle name="Comma 17 3 3 3" xfId="41914"/>
    <cellStyle name="Comma 17 3 3 3 2" xfId="41915"/>
    <cellStyle name="Comma 17 3 3 3 2 2" xfId="41916"/>
    <cellStyle name="Comma 17 3 3 3 2 3" xfId="41917"/>
    <cellStyle name="Comma 17 3 3 3 3" xfId="41918"/>
    <cellStyle name="Comma 17 3 3 3 3 2" xfId="41919"/>
    <cellStyle name="Comma 17 3 3 3 3 3" xfId="41920"/>
    <cellStyle name="Comma 17 3 3 3 4" xfId="41921"/>
    <cellStyle name="Comma 17 3 3 3 4 2" xfId="41922"/>
    <cellStyle name="Comma 17 3 3 3 5" xfId="41923"/>
    <cellStyle name="Comma 17 3 3 3 6" xfId="41924"/>
    <cellStyle name="Comma 17 3 3 4" xfId="41925"/>
    <cellStyle name="Comma 17 3 3 4 2" xfId="41926"/>
    <cellStyle name="Comma 17 3 3 4 2 2" xfId="41927"/>
    <cellStyle name="Comma 17 3 3 4 2 3" xfId="41928"/>
    <cellStyle name="Comma 17 3 3 4 3" xfId="41929"/>
    <cellStyle name="Comma 17 3 3 4 3 2" xfId="41930"/>
    <cellStyle name="Comma 17 3 3 4 3 3" xfId="41931"/>
    <cellStyle name="Comma 17 3 3 4 4" xfId="41932"/>
    <cellStyle name="Comma 17 3 3 4 4 2" xfId="41933"/>
    <cellStyle name="Comma 17 3 3 4 5" xfId="41934"/>
    <cellStyle name="Comma 17 3 3 4 6" xfId="41935"/>
    <cellStyle name="Comma 17 3 3 5" xfId="41936"/>
    <cellStyle name="Comma 17 3 3 5 2" xfId="41937"/>
    <cellStyle name="Comma 17 3 3 5 2 2" xfId="41938"/>
    <cellStyle name="Comma 17 3 3 5 2 3" xfId="41939"/>
    <cellStyle name="Comma 17 3 3 5 3" xfId="41940"/>
    <cellStyle name="Comma 17 3 3 5 3 2" xfId="41941"/>
    <cellStyle name="Comma 17 3 3 5 4" xfId="41942"/>
    <cellStyle name="Comma 17 3 3 5 5" xfId="41943"/>
    <cellStyle name="Comma 17 3 3 6" xfId="41944"/>
    <cellStyle name="Comma 17 3 3 6 2" xfId="41945"/>
    <cellStyle name="Comma 17 3 3 6 3" xfId="41946"/>
    <cellStyle name="Comma 17 3 3 7" xfId="41947"/>
    <cellStyle name="Comma 17 3 3 7 2" xfId="41948"/>
    <cellStyle name="Comma 17 3 3 7 3" xfId="41949"/>
    <cellStyle name="Comma 17 3 3 8" xfId="41950"/>
    <cellStyle name="Comma 17 3 3 8 2" xfId="41951"/>
    <cellStyle name="Comma 17 3 3 9" xfId="41952"/>
    <cellStyle name="Comma 17 3 4" xfId="41953"/>
    <cellStyle name="Comma 17 3 4 2" xfId="41954"/>
    <cellStyle name="Comma 17 3 4 2 2" xfId="41955"/>
    <cellStyle name="Comma 17 3 4 2 2 2" xfId="41956"/>
    <cellStyle name="Comma 17 3 4 2 2 3" xfId="41957"/>
    <cellStyle name="Comma 17 3 4 2 3" xfId="41958"/>
    <cellStyle name="Comma 17 3 4 2 3 2" xfId="41959"/>
    <cellStyle name="Comma 17 3 4 2 3 3" xfId="41960"/>
    <cellStyle name="Comma 17 3 4 2 4" xfId="41961"/>
    <cellStyle name="Comma 17 3 4 2 4 2" xfId="41962"/>
    <cellStyle name="Comma 17 3 4 2 5" xfId="41963"/>
    <cellStyle name="Comma 17 3 4 2 6" xfId="41964"/>
    <cellStyle name="Comma 17 3 4 3" xfId="41965"/>
    <cellStyle name="Comma 17 3 4 3 2" xfId="41966"/>
    <cellStyle name="Comma 17 3 4 3 2 2" xfId="41967"/>
    <cellStyle name="Comma 17 3 4 3 2 3" xfId="41968"/>
    <cellStyle name="Comma 17 3 4 3 3" xfId="41969"/>
    <cellStyle name="Comma 17 3 4 3 3 2" xfId="41970"/>
    <cellStyle name="Comma 17 3 4 3 3 3" xfId="41971"/>
    <cellStyle name="Comma 17 3 4 3 4" xfId="41972"/>
    <cellStyle name="Comma 17 3 4 3 4 2" xfId="41973"/>
    <cellStyle name="Comma 17 3 4 3 5" xfId="41974"/>
    <cellStyle name="Comma 17 3 4 3 6" xfId="41975"/>
    <cellStyle name="Comma 17 3 4 4" xfId="41976"/>
    <cellStyle name="Comma 17 3 4 4 2" xfId="41977"/>
    <cellStyle name="Comma 17 3 4 4 2 2" xfId="41978"/>
    <cellStyle name="Comma 17 3 4 4 2 3" xfId="41979"/>
    <cellStyle name="Comma 17 3 4 4 3" xfId="41980"/>
    <cellStyle name="Comma 17 3 4 4 3 2" xfId="41981"/>
    <cellStyle name="Comma 17 3 4 4 4" xfId="41982"/>
    <cellStyle name="Comma 17 3 4 4 5" xfId="41983"/>
    <cellStyle name="Comma 17 3 4 5" xfId="41984"/>
    <cellStyle name="Comma 17 3 4 5 2" xfId="41985"/>
    <cellStyle name="Comma 17 3 4 5 3" xfId="41986"/>
    <cellStyle name="Comma 17 3 4 6" xfId="41987"/>
    <cellStyle name="Comma 17 3 4 6 2" xfId="41988"/>
    <cellStyle name="Comma 17 3 4 6 3" xfId="41989"/>
    <cellStyle name="Comma 17 3 4 7" xfId="41990"/>
    <cellStyle name="Comma 17 3 4 7 2" xfId="41991"/>
    <cellStyle name="Comma 17 3 4 8" xfId="41992"/>
    <cellStyle name="Comma 17 3 4 9" xfId="41993"/>
    <cellStyle name="Comma 17 3 5" xfId="41994"/>
    <cellStyle name="Comma 17 3 5 2" xfId="41995"/>
    <cellStyle name="Comma 17 3 5 2 2" xfId="41996"/>
    <cellStyle name="Comma 17 3 5 2 2 2" xfId="41997"/>
    <cellStyle name="Comma 17 3 5 2 2 3" xfId="41998"/>
    <cellStyle name="Comma 17 3 5 2 3" xfId="41999"/>
    <cellStyle name="Comma 17 3 5 2 3 2" xfId="42000"/>
    <cellStyle name="Comma 17 3 5 2 3 3" xfId="42001"/>
    <cellStyle name="Comma 17 3 5 2 4" xfId="42002"/>
    <cellStyle name="Comma 17 3 5 2 4 2" xfId="42003"/>
    <cellStyle name="Comma 17 3 5 2 5" xfId="42004"/>
    <cellStyle name="Comma 17 3 5 2 6" xfId="42005"/>
    <cellStyle name="Comma 17 3 5 3" xfId="42006"/>
    <cellStyle name="Comma 17 3 5 3 2" xfId="42007"/>
    <cellStyle name="Comma 17 3 5 3 2 2" xfId="42008"/>
    <cellStyle name="Comma 17 3 5 3 2 3" xfId="42009"/>
    <cellStyle name="Comma 17 3 5 3 3" xfId="42010"/>
    <cellStyle name="Comma 17 3 5 3 3 2" xfId="42011"/>
    <cellStyle name="Comma 17 3 5 3 3 3" xfId="42012"/>
    <cellStyle name="Comma 17 3 5 3 4" xfId="42013"/>
    <cellStyle name="Comma 17 3 5 3 4 2" xfId="42014"/>
    <cellStyle name="Comma 17 3 5 3 5" xfId="42015"/>
    <cellStyle name="Comma 17 3 5 3 6" xfId="42016"/>
    <cellStyle name="Comma 17 3 5 4" xfId="42017"/>
    <cellStyle name="Comma 17 3 5 4 2" xfId="42018"/>
    <cellStyle name="Comma 17 3 5 4 2 2" xfId="42019"/>
    <cellStyle name="Comma 17 3 5 4 2 3" xfId="42020"/>
    <cellStyle name="Comma 17 3 5 4 3" xfId="42021"/>
    <cellStyle name="Comma 17 3 5 4 3 2" xfId="42022"/>
    <cellStyle name="Comma 17 3 5 4 4" xfId="42023"/>
    <cellStyle name="Comma 17 3 5 4 5" xfId="42024"/>
    <cellStyle name="Comma 17 3 5 5" xfId="42025"/>
    <cellStyle name="Comma 17 3 5 5 2" xfId="42026"/>
    <cellStyle name="Comma 17 3 5 5 3" xfId="42027"/>
    <cellStyle name="Comma 17 3 5 6" xfId="42028"/>
    <cellStyle name="Comma 17 3 5 6 2" xfId="42029"/>
    <cellStyle name="Comma 17 3 5 6 3" xfId="42030"/>
    <cellStyle name="Comma 17 3 5 7" xfId="42031"/>
    <cellStyle name="Comma 17 3 5 7 2" xfId="42032"/>
    <cellStyle name="Comma 17 3 5 8" xfId="42033"/>
    <cellStyle name="Comma 17 3 5 9" xfId="42034"/>
    <cellStyle name="Comma 17 3 6" xfId="42035"/>
    <cellStyle name="Comma 17 3 6 2" xfId="42036"/>
    <cellStyle name="Comma 17 3 6 2 2" xfId="42037"/>
    <cellStyle name="Comma 17 3 6 2 3" xfId="42038"/>
    <cellStyle name="Comma 17 3 6 3" xfId="42039"/>
    <cellStyle name="Comma 17 3 6 3 2" xfId="42040"/>
    <cellStyle name="Comma 17 3 6 3 3" xfId="42041"/>
    <cellStyle name="Comma 17 3 6 4" xfId="42042"/>
    <cellStyle name="Comma 17 3 6 4 2" xfId="42043"/>
    <cellStyle name="Comma 17 3 6 5" xfId="42044"/>
    <cellStyle name="Comma 17 3 6 6" xfId="42045"/>
    <cellStyle name="Comma 17 3 7" xfId="42046"/>
    <cellStyle name="Comma 17 3 7 2" xfId="42047"/>
    <cellStyle name="Comma 17 3 7 2 2" xfId="42048"/>
    <cellStyle name="Comma 17 3 7 2 3" xfId="42049"/>
    <cellStyle name="Comma 17 3 7 3" xfId="42050"/>
    <cellStyle name="Comma 17 3 7 3 2" xfId="42051"/>
    <cellStyle name="Comma 17 3 7 3 3" xfId="42052"/>
    <cellStyle name="Comma 17 3 7 4" xfId="42053"/>
    <cellStyle name="Comma 17 3 7 4 2" xfId="42054"/>
    <cellStyle name="Comma 17 3 7 5" xfId="42055"/>
    <cellStyle name="Comma 17 3 7 6" xfId="42056"/>
    <cellStyle name="Comma 17 3 8" xfId="42057"/>
    <cellStyle name="Comma 17 3 8 2" xfId="42058"/>
    <cellStyle name="Comma 17 3 8 2 2" xfId="42059"/>
    <cellStyle name="Comma 17 3 8 2 3" xfId="42060"/>
    <cellStyle name="Comma 17 3 8 3" xfId="42061"/>
    <cellStyle name="Comma 17 3 8 3 2" xfId="42062"/>
    <cellStyle name="Comma 17 3 8 4" xfId="42063"/>
    <cellStyle name="Comma 17 3 8 5" xfId="42064"/>
    <cellStyle name="Comma 17 3 9" xfId="42065"/>
    <cellStyle name="Comma 17 3 9 2" xfId="42066"/>
    <cellStyle name="Comma 17 3 9 3" xfId="42067"/>
    <cellStyle name="Comma 17 4" xfId="42068"/>
    <cellStyle name="Comma 17 4 10" xfId="42069"/>
    <cellStyle name="Comma 17 4 10 2" xfId="42070"/>
    <cellStyle name="Comma 17 4 11" xfId="42071"/>
    <cellStyle name="Comma 17 4 12" xfId="42072"/>
    <cellStyle name="Comma 17 4 2" xfId="42073"/>
    <cellStyle name="Comma 17 4 2 10" xfId="42074"/>
    <cellStyle name="Comma 17 4 2 2" xfId="42075"/>
    <cellStyle name="Comma 17 4 2 2 2" xfId="42076"/>
    <cellStyle name="Comma 17 4 2 2 2 2" xfId="42077"/>
    <cellStyle name="Comma 17 4 2 2 2 2 2" xfId="42078"/>
    <cellStyle name="Comma 17 4 2 2 2 2 3" xfId="42079"/>
    <cellStyle name="Comma 17 4 2 2 2 3" xfId="42080"/>
    <cellStyle name="Comma 17 4 2 2 2 3 2" xfId="42081"/>
    <cellStyle name="Comma 17 4 2 2 2 3 3" xfId="42082"/>
    <cellStyle name="Comma 17 4 2 2 2 4" xfId="42083"/>
    <cellStyle name="Comma 17 4 2 2 2 4 2" xfId="42084"/>
    <cellStyle name="Comma 17 4 2 2 2 5" xfId="42085"/>
    <cellStyle name="Comma 17 4 2 2 2 6" xfId="42086"/>
    <cellStyle name="Comma 17 4 2 2 3" xfId="42087"/>
    <cellStyle name="Comma 17 4 2 2 3 2" xfId="42088"/>
    <cellStyle name="Comma 17 4 2 2 3 2 2" xfId="42089"/>
    <cellStyle name="Comma 17 4 2 2 3 2 3" xfId="42090"/>
    <cellStyle name="Comma 17 4 2 2 3 3" xfId="42091"/>
    <cellStyle name="Comma 17 4 2 2 3 3 2" xfId="42092"/>
    <cellStyle name="Comma 17 4 2 2 3 3 3" xfId="42093"/>
    <cellStyle name="Comma 17 4 2 2 3 4" xfId="42094"/>
    <cellStyle name="Comma 17 4 2 2 3 4 2" xfId="42095"/>
    <cellStyle name="Comma 17 4 2 2 3 5" xfId="42096"/>
    <cellStyle name="Comma 17 4 2 2 3 6" xfId="42097"/>
    <cellStyle name="Comma 17 4 2 2 4" xfId="42098"/>
    <cellStyle name="Comma 17 4 2 2 4 2" xfId="42099"/>
    <cellStyle name="Comma 17 4 2 2 4 2 2" xfId="42100"/>
    <cellStyle name="Comma 17 4 2 2 4 2 3" xfId="42101"/>
    <cellStyle name="Comma 17 4 2 2 4 3" xfId="42102"/>
    <cellStyle name="Comma 17 4 2 2 4 3 2" xfId="42103"/>
    <cellStyle name="Comma 17 4 2 2 4 4" xfId="42104"/>
    <cellStyle name="Comma 17 4 2 2 4 5" xfId="42105"/>
    <cellStyle name="Comma 17 4 2 2 5" xfId="42106"/>
    <cellStyle name="Comma 17 4 2 2 5 2" xfId="42107"/>
    <cellStyle name="Comma 17 4 2 2 5 3" xfId="42108"/>
    <cellStyle name="Comma 17 4 2 2 6" xfId="42109"/>
    <cellStyle name="Comma 17 4 2 2 6 2" xfId="42110"/>
    <cellStyle name="Comma 17 4 2 2 6 3" xfId="42111"/>
    <cellStyle name="Comma 17 4 2 2 7" xfId="42112"/>
    <cellStyle name="Comma 17 4 2 2 7 2" xfId="42113"/>
    <cellStyle name="Comma 17 4 2 2 8" xfId="42114"/>
    <cellStyle name="Comma 17 4 2 2 9" xfId="42115"/>
    <cellStyle name="Comma 17 4 2 3" xfId="42116"/>
    <cellStyle name="Comma 17 4 2 3 2" xfId="42117"/>
    <cellStyle name="Comma 17 4 2 3 2 2" xfId="42118"/>
    <cellStyle name="Comma 17 4 2 3 2 3" xfId="42119"/>
    <cellStyle name="Comma 17 4 2 3 3" xfId="42120"/>
    <cellStyle name="Comma 17 4 2 3 3 2" xfId="42121"/>
    <cellStyle name="Comma 17 4 2 3 3 3" xfId="42122"/>
    <cellStyle name="Comma 17 4 2 3 4" xfId="42123"/>
    <cellStyle name="Comma 17 4 2 3 4 2" xfId="42124"/>
    <cellStyle name="Comma 17 4 2 3 5" xfId="42125"/>
    <cellStyle name="Comma 17 4 2 3 6" xfId="42126"/>
    <cellStyle name="Comma 17 4 2 4" xfId="42127"/>
    <cellStyle name="Comma 17 4 2 4 2" xfId="42128"/>
    <cellStyle name="Comma 17 4 2 4 2 2" xfId="42129"/>
    <cellStyle name="Comma 17 4 2 4 2 3" xfId="42130"/>
    <cellStyle name="Comma 17 4 2 4 3" xfId="42131"/>
    <cellStyle name="Comma 17 4 2 4 3 2" xfId="42132"/>
    <cellStyle name="Comma 17 4 2 4 3 3" xfId="42133"/>
    <cellStyle name="Comma 17 4 2 4 4" xfId="42134"/>
    <cellStyle name="Comma 17 4 2 4 4 2" xfId="42135"/>
    <cellStyle name="Comma 17 4 2 4 5" xfId="42136"/>
    <cellStyle name="Comma 17 4 2 4 6" xfId="42137"/>
    <cellStyle name="Comma 17 4 2 5" xfId="42138"/>
    <cellStyle name="Comma 17 4 2 5 2" xfId="42139"/>
    <cellStyle name="Comma 17 4 2 5 2 2" xfId="42140"/>
    <cellStyle name="Comma 17 4 2 5 2 3" xfId="42141"/>
    <cellStyle name="Comma 17 4 2 5 3" xfId="42142"/>
    <cellStyle name="Comma 17 4 2 5 3 2" xfId="42143"/>
    <cellStyle name="Comma 17 4 2 5 4" xfId="42144"/>
    <cellStyle name="Comma 17 4 2 5 5" xfId="42145"/>
    <cellStyle name="Comma 17 4 2 6" xfId="42146"/>
    <cellStyle name="Comma 17 4 2 6 2" xfId="42147"/>
    <cellStyle name="Comma 17 4 2 6 3" xfId="42148"/>
    <cellStyle name="Comma 17 4 2 7" xfId="42149"/>
    <cellStyle name="Comma 17 4 2 7 2" xfId="42150"/>
    <cellStyle name="Comma 17 4 2 7 3" xfId="42151"/>
    <cellStyle name="Comma 17 4 2 8" xfId="42152"/>
    <cellStyle name="Comma 17 4 2 8 2" xfId="42153"/>
    <cellStyle name="Comma 17 4 2 9" xfId="42154"/>
    <cellStyle name="Comma 17 4 3" xfId="42155"/>
    <cellStyle name="Comma 17 4 3 2" xfId="42156"/>
    <cellStyle name="Comma 17 4 3 2 2" xfId="42157"/>
    <cellStyle name="Comma 17 4 3 2 2 2" xfId="42158"/>
    <cellStyle name="Comma 17 4 3 2 2 3" xfId="42159"/>
    <cellStyle name="Comma 17 4 3 2 3" xfId="42160"/>
    <cellStyle name="Comma 17 4 3 2 3 2" xfId="42161"/>
    <cellStyle name="Comma 17 4 3 2 3 3" xfId="42162"/>
    <cellStyle name="Comma 17 4 3 2 4" xfId="42163"/>
    <cellStyle name="Comma 17 4 3 2 4 2" xfId="42164"/>
    <cellStyle name="Comma 17 4 3 2 5" xfId="42165"/>
    <cellStyle name="Comma 17 4 3 2 6" xfId="42166"/>
    <cellStyle name="Comma 17 4 3 3" xfId="42167"/>
    <cellStyle name="Comma 17 4 3 3 2" xfId="42168"/>
    <cellStyle name="Comma 17 4 3 3 2 2" xfId="42169"/>
    <cellStyle name="Comma 17 4 3 3 2 3" xfId="42170"/>
    <cellStyle name="Comma 17 4 3 3 3" xfId="42171"/>
    <cellStyle name="Comma 17 4 3 3 3 2" xfId="42172"/>
    <cellStyle name="Comma 17 4 3 3 3 3" xfId="42173"/>
    <cellStyle name="Comma 17 4 3 3 4" xfId="42174"/>
    <cellStyle name="Comma 17 4 3 3 4 2" xfId="42175"/>
    <cellStyle name="Comma 17 4 3 3 5" xfId="42176"/>
    <cellStyle name="Comma 17 4 3 3 6" xfId="42177"/>
    <cellStyle name="Comma 17 4 3 4" xfId="42178"/>
    <cellStyle name="Comma 17 4 3 4 2" xfId="42179"/>
    <cellStyle name="Comma 17 4 3 4 2 2" xfId="42180"/>
    <cellStyle name="Comma 17 4 3 4 2 3" xfId="42181"/>
    <cellStyle name="Comma 17 4 3 4 3" xfId="42182"/>
    <cellStyle name="Comma 17 4 3 4 3 2" xfId="42183"/>
    <cellStyle name="Comma 17 4 3 4 4" xfId="42184"/>
    <cellStyle name="Comma 17 4 3 4 5" xfId="42185"/>
    <cellStyle name="Comma 17 4 3 5" xfId="42186"/>
    <cellStyle name="Comma 17 4 3 5 2" xfId="42187"/>
    <cellStyle name="Comma 17 4 3 5 3" xfId="42188"/>
    <cellStyle name="Comma 17 4 3 6" xfId="42189"/>
    <cellStyle name="Comma 17 4 3 6 2" xfId="42190"/>
    <cellStyle name="Comma 17 4 3 6 3" xfId="42191"/>
    <cellStyle name="Comma 17 4 3 7" xfId="42192"/>
    <cellStyle name="Comma 17 4 3 7 2" xfId="42193"/>
    <cellStyle name="Comma 17 4 3 8" xfId="42194"/>
    <cellStyle name="Comma 17 4 3 9" xfId="42195"/>
    <cellStyle name="Comma 17 4 4" xfId="42196"/>
    <cellStyle name="Comma 17 4 4 2" xfId="42197"/>
    <cellStyle name="Comma 17 4 4 2 2" xfId="42198"/>
    <cellStyle name="Comma 17 4 4 2 2 2" xfId="42199"/>
    <cellStyle name="Comma 17 4 4 2 2 3" xfId="42200"/>
    <cellStyle name="Comma 17 4 4 2 3" xfId="42201"/>
    <cellStyle name="Comma 17 4 4 2 3 2" xfId="42202"/>
    <cellStyle name="Comma 17 4 4 2 3 3" xfId="42203"/>
    <cellStyle name="Comma 17 4 4 2 4" xfId="42204"/>
    <cellStyle name="Comma 17 4 4 2 4 2" xfId="42205"/>
    <cellStyle name="Comma 17 4 4 2 5" xfId="42206"/>
    <cellStyle name="Comma 17 4 4 2 6" xfId="42207"/>
    <cellStyle name="Comma 17 4 4 3" xfId="42208"/>
    <cellStyle name="Comma 17 4 4 3 2" xfId="42209"/>
    <cellStyle name="Comma 17 4 4 3 2 2" xfId="42210"/>
    <cellStyle name="Comma 17 4 4 3 2 3" xfId="42211"/>
    <cellStyle name="Comma 17 4 4 3 3" xfId="42212"/>
    <cellStyle name="Comma 17 4 4 3 3 2" xfId="42213"/>
    <cellStyle name="Comma 17 4 4 3 3 3" xfId="42214"/>
    <cellStyle name="Comma 17 4 4 3 4" xfId="42215"/>
    <cellStyle name="Comma 17 4 4 3 4 2" xfId="42216"/>
    <cellStyle name="Comma 17 4 4 3 5" xfId="42217"/>
    <cellStyle name="Comma 17 4 4 3 6" xfId="42218"/>
    <cellStyle name="Comma 17 4 4 4" xfId="42219"/>
    <cellStyle name="Comma 17 4 4 4 2" xfId="42220"/>
    <cellStyle name="Comma 17 4 4 4 2 2" xfId="42221"/>
    <cellStyle name="Comma 17 4 4 4 2 3" xfId="42222"/>
    <cellStyle name="Comma 17 4 4 4 3" xfId="42223"/>
    <cellStyle name="Comma 17 4 4 4 3 2" xfId="42224"/>
    <cellStyle name="Comma 17 4 4 4 4" xfId="42225"/>
    <cellStyle name="Comma 17 4 4 4 5" xfId="42226"/>
    <cellStyle name="Comma 17 4 4 5" xfId="42227"/>
    <cellStyle name="Comma 17 4 4 5 2" xfId="42228"/>
    <cellStyle name="Comma 17 4 4 5 3" xfId="42229"/>
    <cellStyle name="Comma 17 4 4 6" xfId="42230"/>
    <cellStyle name="Comma 17 4 4 6 2" xfId="42231"/>
    <cellStyle name="Comma 17 4 4 6 3" xfId="42232"/>
    <cellStyle name="Comma 17 4 4 7" xfId="42233"/>
    <cellStyle name="Comma 17 4 4 7 2" xfId="42234"/>
    <cellStyle name="Comma 17 4 4 8" xfId="42235"/>
    <cellStyle name="Comma 17 4 4 9" xfId="42236"/>
    <cellStyle name="Comma 17 4 5" xfId="42237"/>
    <cellStyle name="Comma 17 4 5 2" xfId="42238"/>
    <cellStyle name="Comma 17 4 5 2 2" xfId="42239"/>
    <cellStyle name="Comma 17 4 5 2 3" xfId="42240"/>
    <cellStyle name="Comma 17 4 5 3" xfId="42241"/>
    <cellStyle name="Comma 17 4 5 3 2" xfId="42242"/>
    <cellStyle name="Comma 17 4 5 3 3" xfId="42243"/>
    <cellStyle name="Comma 17 4 5 4" xfId="42244"/>
    <cellStyle name="Comma 17 4 5 4 2" xfId="42245"/>
    <cellStyle name="Comma 17 4 5 5" xfId="42246"/>
    <cellStyle name="Comma 17 4 5 6" xfId="42247"/>
    <cellStyle name="Comma 17 4 6" xfId="42248"/>
    <cellStyle name="Comma 17 4 6 2" xfId="42249"/>
    <cellStyle name="Comma 17 4 6 2 2" xfId="42250"/>
    <cellStyle name="Comma 17 4 6 2 3" xfId="42251"/>
    <cellStyle name="Comma 17 4 6 3" xfId="42252"/>
    <cellStyle name="Comma 17 4 6 3 2" xfId="42253"/>
    <cellStyle name="Comma 17 4 6 3 3" xfId="42254"/>
    <cellStyle name="Comma 17 4 6 4" xfId="42255"/>
    <cellStyle name="Comma 17 4 6 4 2" xfId="42256"/>
    <cellStyle name="Comma 17 4 6 5" xfId="42257"/>
    <cellStyle name="Comma 17 4 6 6" xfId="42258"/>
    <cellStyle name="Comma 17 4 7" xfId="42259"/>
    <cellStyle name="Comma 17 4 7 2" xfId="42260"/>
    <cellStyle name="Comma 17 4 7 2 2" xfId="42261"/>
    <cellStyle name="Comma 17 4 7 2 3" xfId="42262"/>
    <cellStyle name="Comma 17 4 7 3" xfId="42263"/>
    <cellStyle name="Comma 17 4 7 3 2" xfId="42264"/>
    <cellStyle name="Comma 17 4 7 4" xfId="42265"/>
    <cellStyle name="Comma 17 4 7 5" xfId="42266"/>
    <cellStyle name="Comma 17 4 8" xfId="42267"/>
    <cellStyle name="Comma 17 4 8 2" xfId="42268"/>
    <cellStyle name="Comma 17 4 8 3" xfId="42269"/>
    <cellStyle name="Comma 17 4 9" xfId="42270"/>
    <cellStyle name="Comma 17 4 9 2" xfId="42271"/>
    <cellStyle name="Comma 17 4 9 3" xfId="42272"/>
    <cellStyle name="Comma 17 5" xfId="42273"/>
    <cellStyle name="Comma 17 5 10" xfId="42274"/>
    <cellStyle name="Comma 17 5 2" xfId="42275"/>
    <cellStyle name="Comma 17 5 2 2" xfId="42276"/>
    <cellStyle name="Comma 17 5 2 2 2" xfId="42277"/>
    <cellStyle name="Comma 17 5 2 2 2 2" xfId="42278"/>
    <cellStyle name="Comma 17 5 2 2 2 3" xfId="42279"/>
    <cellStyle name="Comma 17 5 2 2 3" xfId="42280"/>
    <cellStyle name="Comma 17 5 2 2 3 2" xfId="42281"/>
    <cellStyle name="Comma 17 5 2 2 3 3" xfId="42282"/>
    <cellStyle name="Comma 17 5 2 2 4" xfId="42283"/>
    <cellStyle name="Comma 17 5 2 2 4 2" xfId="42284"/>
    <cellStyle name="Comma 17 5 2 2 5" xfId="42285"/>
    <cellStyle name="Comma 17 5 2 2 6" xfId="42286"/>
    <cellStyle name="Comma 17 5 2 3" xfId="42287"/>
    <cellStyle name="Comma 17 5 2 3 2" xfId="42288"/>
    <cellStyle name="Comma 17 5 2 3 2 2" xfId="42289"/>
    <cellStyle name="Comma 17 5 2 3 2 3" xfId="42290"/>
    <cellStyle name="Comma 17 5 2 3 3" xfId="42291"/>
    <cellStyle name="Comma 17 5 2 3 3 2" xfId="42292"/>
    <cellStyle name="Comma 17 5 2 3 3 3" xfId="42293"/>
    <cellStyle name="Comma 17 5 2 3 4" xfId="42294"/>
    <cellStyle name="Comma 17 5 2 3 4 2" xfId="42295"/>
    <cellStyle name="Comma 17 5 2 3 5" xfId="42296"/>
    <cellStyle name="Comma 17 5 2 3 6" xfId="42297"/>
    <cellStyle name="Comma 17 5 2 4" xfId="42298"/>
    <cellStyle name="Comma 17 5 2 4 2" xfId="42299"/>
    <cellStyle name="Comma 17 5 2 4 2 2" xfId="42300"/>
    <cellStyle name="Comma 17 5 2 4 2 3" xfId="42301"/>
    <cellStyle name="Comma 17 5 2 4 3" xfId="42302"/>
    <cellStyle name="Comma 17 5 2 4 3 2" xfId="42303"/>
    <cellStyle name="Comma 17 5 2 4 4" xfId="42304"/>
    <cellStyle name="Comma 17 5 2 4 5" xfId="42305"/>
    <cellStyle name="Comma 17 5 2 5" xfId="42306"/>
    <cellStyle name="Comma 17 5 2 5 2" xfId="42307"/>
    <cellStyle name="Comma 17 5 2 5 3" xfId="42308"/>
    <cellStyle name="Comma 17 5 2 6" xfId="42309"/>
    <cellStyle name="Comma 17 5 2 6 2" xfId="42310"/>
    <cellStyle name="Comma 17 5 2 6 3" xfId="42311"/>
    <cellStyle name="Comma 17 5 2 7" xfId="42312"/>
    <cellStyle name="Comma 17 5 2 7 2" xfId="42313"/>
    <cellStyle name="Comma 17 5 2 8" xfId="42314"/>
    <cellStyle name="Comma 17 5 2 9" xfId="42315"/>
    <cellStyle name="Comma 17 5 3" xfId="42316"/>
    <cellStyle name="Comma 17 5 3 2" xfId="42317"/>
    <cellStyle name="Comma 17 5 3 2 2" xfId="42318"/>
    <cellStyle name="Comma 17 5 3 2 3" xfId="42319"/>
    <cellStyle name="Comma 17 5 3 3" xfId="42320"/>
    <cellStyle name="Comma 17 5 3 3 2" xfId="42321"/>
    <cellStyle name="Comma 17 5 3 3 3" xfId="42322"/>
    <cellStyle name="Comma 17 5 3 4" xfId="42323"/>
    <cellStyle name="Comma 17 5 3 4 2" xfId="42324"/>
    <cellStyle name="Comma 17 5 3 5" xfId="42325"/>
    <cellStyle name="Comma 17 5 3 6" xfId="42326"/>
    <cellStyle name="Comma 17 5 4" xfId="42327"/>
    <cellStyle name="Comma 17 5 4 2" xfId="42328"/>
    <cellStyle name="Comma 17 5 4 2 2" xfId="42329"/>
    <cellStyle name="Comma 17 5 4 2 3" xfId="42330"/>
    <cellStyle name="Comma 17 5 4 3" xfId="42331"/>
    <cellStyle name="Comma 17 5 4 3 2" xfId="42332"/>
    <cellStyle name="Comma 17 5 4 3 3" xfId="42333"/>
    <cellStyle name="Comma 17 5 4 4" xfId="42334"/>
    <cellStyle name="Comma 17 5 4 4 2" xfId="42335"/>
    <cellStyle name="Comma 17 5 4 5" xfId="42336"/>
    <cellStyle name="Comma 17 5 4 6" xfId="42337"/>
    <cellStyle name="Comma 17 5 5" xfId="42338"/>
    <cellStyle name="Comma 17 5 5 2" xfId="42339"/>
    <cellStyle name="Comma 17 5 5 2 2" xfId="42340"/>
    <cellStyle name="Comma 17 5 5 2 3" xfId="42341"/>
    <cellStyle name="Comma 17 5 5 3" xfId="42342"/>
    <cellStyle name="Comma 17 5 5 3 2" xfId="42343"/>
    <cellStyle name="Comma 17 5 5 4" xfId="42344"/>
    <cellStyle name="Comma 17 5 5 5" xfId="42345"/>
    <cellStyle name="Comma 17 5 6" xfId="42346"/>
    <cellStyle name="Comma 17 5 6 2" xfId="42347"/>
    <cellStyle name="Comma 17 5 6 3" xfId="42348"/>
    <cellStyle name="Comma 17 5 7" xfId="42349"/>
    <cellStyle name="Comma 17 5 7 2" xfId="42350"/>
    <cellStyle name="Comma 17 5 7 3" xfId="42351"/>
    <cellStyle name="Comma 17 5 8" xfId="42352"/>
    <cellStyle name="Comma 17 5 8 2" xfId="42353"/>
    <cellStyle name="Comma 17 5 9" xfId="42354"/>
    <cellStyle name="Comma 17 6" xfId="42355"/>
    <cellStyle name="Comma 17 6 2" xfId="42356"/>
    <cellStyle name="Comma 17 6 2 2" xfId="42357"/>
    <cellStyle name="Comma 17 6 2 2 2" xfId="42358"/>
    <cellStyle name="Comma 17 6 2 2 3" xfId="42359"/>
    <cellStyle name="Comma 17 6 2 3" xfId="42360"/>
    <cellStyle name="Comma 17 6 2 3 2" xfId="42361"/>
    <cellStyle name="Comma 17 6 2 3 3" xfId="42362"/>
    <cellStyle name="Comma 17 6 2 4" xfId="42363"/>
    <cellStyle name="Comma 17 6 2 4 2" xfId="42364"/>
    <cellStyle name="Comma 17 6 2 5" xfId="42365"/>
    <cellStyle name="Comma 17 6 2 6" xfId="42366"/>
    <cellStyle name="Comma 17 6 3" xfId="42367"/>
    <cellStyle name="Comma 17 6 3 2" xfId="42368"/>
    <cellStyle name="Comma 17 6 3 2 2" xfId="42369"/>
    <cellStyle name="Comma 17 6 3 2 3" xfId="42370"/>
    <cellStyle name="Comma 17 6 3 3" xfId="42371"/>
    <cellStyle name="Comma 17 6 3 3 2" xfId="42372"/>
    <cellStyle name="Comma 17 6 3 3 3" xfId="42373"/>
    <cellStyle name="Comma 17 6 3 4" xfId="42374"/>
    <cellStyle name="Comma 17 6 3 4 2" xfId="42375"/>
    <cellStyle name="Comma 17 6 3 5" xfId="42376"/>
    <cellStyle name="Comma 17 6 3 6" xfId="42377"/>
    <cellStyle name="Comma 17 6 4" xfId="42378"/>
    <cellStyle name="Comma 17 6 4 2" xfId="42379"/>
    <cellStyle name="Comma 17 6 4 2 2" xfId="42380"/>
    <cellStyle name="Comma 17 6 4 2 3" xfId="42381"/>
    <cellStyle name="Comma 17 6 4 3" xfId="42382"/>
    <cellStyle name="Comma 17 6 4 3 2" xfId="42383"/>
    <cellStyle name="Comma 17 6 4 4" xfId="42384"/>
    <cellStyle name="Comma 17 6 4 5" xfId="42385"/>
    <cellStyle name="Comma 17 6 5" xfId="42386"/>
    <cellStyle name="Comma 17 6 5 2" xfId="42387"/>
    <cellStyle name="Comma 17 6 5 3" xfId="42388"/>
    <cellStyle name="Comma 17 6 6" xfId="42389"/>
    <cellStyle name="Comma 17 6 6 2" xfId="42390"/>
    <cellStyle name="Comma 17 6 6 3" xfId="42391"/>
    <cellStyle name="Comma 17 6 7" xfId="42392"/>
    <cellStyle name="Comma 17 6 7 2" xfId="42393"/>
    <cellStyle name="Comma 17 6 8" xfId="42394"/>
    <cellStyle name="Comma 17 6 9" xfId="42395"/>
    <cellStyle name="Comma 17 7" xfId="42396"/>
    <cellStyle name="Comma 17 7 2" xfId="42397"/>
    <cellStyle name="Comma 17 7 2 2" xfId="42398"/>
    <cellStyle name="Comma 17 7 2 2 2" xfId="42399"/>
    <cellStyle name="Comma 17 7 2 2 3" xfId="42400"/>
    <cellStyle name="Comma 17 7 2 3" xfId="42401"/>
    <cellStyle name="Comma 17 7 2 3 2" xfId="42402"/>
    <cellStyle name="Comma 17 7 2 3 3" xfId="42403"/>
    <cellStyle name="Comma 17 7 2 4" xfId="42404"/>
    <cellStyle name="Comma 17 7 2 4 2" xfId="42405"/>
    <cellStyle name="Comma 17 7 2 5" xfId="42406"/>
    <cellStyle name="Comma 17 7 2 6" xfId="42407"/>
    <cellStyle name="Comma 17 7 3" xfId="42408"/>
    <cellStyle name="Comma 17 7 3 2" xfId="42409"/>
    <cellStyle name="Comma 17 7 3 2 2" xfId="42410"/>
    <cellStyle name="Comma 17 7 3 2 3" xfId="42411"/>
    <cellStyle name="Comma 17 7 3 3" xfId="42412"/>
    <cellStyle name="Comma 17 7 3 3 2" xfId="42413"/>
    <cellStyle name="Comma 17 7 3 3 3" xfId="42414"/>
    <cellStyle name="Comma 17 7 3 4" xfId="42415"/>
    <cellStyle name="Comma 17 7 3 4 2" xfId="42416"/>
    <cellStyle name="Comma 17 7 3 5" xfId="42417"/>
    <cellStyle name="Comma 17 7 3 6" xfId="42418"/>
    <cellStyle name="Comma 17 7 4" xfId="42419"/>
    <cellStyle name="Comma 17 7 4 2" xfId="42420"/>
    <cellStyle name="Comma 17 7 4 2 2" xfId="42421"/>
    <cellStyle name="Comma 17 7 4 2 3" xfId="42422"/>
    <cellStyle name="Comma 17 7 4 3" xfId="42423"/>
    <cellStyle name="Comma 17 7 4 3 2" xfId="42424"/>
    <cellStyle name="Comma 17 7 4 4" xfId="42425"/>
    <cellStyle name="Comma 17 7 4 5" xfId="42426"/>
    <cellStyle name="Comma 17 7 5" xfId="42427"/>
    <cellStyle name="Comma 17 7 5 2" xfId="42428"/>
    <cellStyle name="Comma 17 7 5 3" xfId="42429"/>
    <cellStyle name="Comma 17 7 6" xfId="42430"/>
    <cellStyle name="Comma 17 7 6 2" xfId="42431"/>
    <cellStyle name="Comma 17 7 6 3" xfId="42432"/>
    <cellStyle name="Comma 17 7 7" xfId="42433"/>
    <cellStyle name="Comma 17 7 7 2" xfId="42434"/>
    <cellStyle name="Comma 17 7 8" xfId="42435"/>
    <cellStyle name="Comma 17 7 9" xfId="42436"/>
    <cellStyle name="Comma 17 8" xfId="42437"/>
    <cellStyle name="Comma 17 8 2" xfId="42438"/>
    <cellStyle name="Comma 17 8 2 2" xfId="42439"/>
    <cellStyle name="Comma 17 8 2 3" xfId="42440"/>
    <cellStyle name="Comma 17 8 3" xfId="42441"/>
    <cellStyle name="Comma 17 8 3 2" xfId="42442"/>
    <cellStyle name="Comma 17 8 3 3" xfId="42443"/>
    <cellStyle name="Comma 17 8 4" xfId="42444"/>
    <cellStyle name="Comma 17 8 4 2" xfId="42445"/>
    <cellStyle name="Comma 17 8 5" xfId="42446"/>
    <cellStyle name="Comma 17 8 6" xfId="42447"/>
    <cellStyle name="Comma 17 9" xfId="42448"/>
    <cellStyle name="Comma 17 9 2" xfId="42449"/>
    <cellStyle name="Comma 17 9 2 2" xfId="42450"/>
    <cellStyle name="Comma 17 9 2 3" xfId="42451"/>
    <cellStyle name="Comma 17 9 3" xfId="42452"/>
    <cellStyle name="Comma 17 9 3 2" xfId="42453"/>
    <cellStyle name="Comma 17 9 3 3" xfId="42454"/>
    <cellStyle name="Comma 17 9 4" xfId="42455"/>
    <cellStyle name="Comma 17 9 4 2" xfId="42456"/>
    <cellStyle name="Comma 17 9 5" xfId="42457"/>
    <cellStyle name="Comma 17 9 6" xfId="42458"/>
    <cellStyle name="Comma 18" xfId="3247"/>
    <cellStyle name="Comma 18 10" xfId="42459"/>
    <cellStyle name="Comma 18 10 2" xfId="42460"/>
    <cellStyle name="Comma 18 10 2 2" xfId="42461"/>
    <cellStyle name="Comma 18 10 2 3" xfId="42462"/>
    <cellStyle name="Comma 18 10 3" xfId="42463"/>
    <cellStyle name="Comma 18 10 3 2" xfId="42464"/>
    <cellStyle name="Comma 18 10 4" xfId="42465"/>
    <cellStyle name="Comma 18 10 5" xfId="42466"/>
    <cellStyle name="Comma 18 11" xfId="42467"/>
    <cellStyle name="Comma 18 11 2" xfId="42468"/>
    <cellStyle name="Comma 18 11 3" xfId="42469"/>
    <cellStyle name="Comma 18 12" xfId="42470"/>
    <cellStyle name="Comma 18 12 2" xfId="42471"/>
    <cellStyle name="Comma 18 12 3" xfId="42472"/>
    <cellStyle name="Comma 18 13" xfId="42473"/>
    <cellStyle name="Comma 18 13 2" xfId="42474"/>
    <cellStyle name="Comma 18 14" xfId="42475"/>
    <cellStyle name="Comma 18 15" xfId="42476"/>
    <cellStyle name="Comma 18 16" xfId="42477"/>
    <cellStyle name="Comma 18 2" xfId="3248"/>
    <cellStyle name="Comma 18 2 10" xfId="42478"/>
    <cellStyle name="Comma 18 2 10 2" xfId="42479"/>
    <cellStyle name="Comma 18 2 10 3" xfId="42480"/>
    <cellStyle name="Comma 18 2 11" xfId="42481"/>
    <cellStyle name="Comma 18 2 11 2" xfId="42482"/>
    <cellStyle name="Comma 18 2 11 3" xfId="42483"/>
    <cellStyle name="Comma 18 2 12" xfId="42484"/>
    <cellStyle name="Comma 18 2 12 2" xfId="42485"/>
    <cellStyle name="Comma 18 2 13" xfId="42486"/>
    <cellStyle name="Comma 18 2 14" xfId="42487"/>
    <cellStyle name="Comma 18 2 2" xfId="42488"/>
    <cellStyle name="Comma 18 2 2 10" xfId="42489"/>
    <cellStyle name="Comma 18 2 2 10 2" xfId="42490"/>
    <cellStyle name="Comma 18 2 2 10 3" xfId="42491"/>
    <cellStyle name="Comma 18 2 2 11" xfId="42492"/>
    <cellStyle name="Comma 18 2 2 11 2" xfId="42493"/>
    <cellStyle name="Comma 18 2 2 12" xfId="42494"/>
    <cellStyle name="Comma 18 2 2 13" xfId="42495"/>
    <cellStyle name="Comma 18 2 2 2" xfId="42496"/>
    <cellStyle name="Comma 18 2 2 2 10" xfId="42497"/>
    <cellStyle name="Comma 18 2 2 2 10 2" xfId="42498"/>
    <cellStyle name="Comma 18 2 2 2 11" xfId="42499"/>
    <cellStyle name="Comma 18 2 2 2 12" xfId="42500"/>
    <cellStyle name="Comma 18 2 2 2 2" xfId="42501"/>
    <cellStyle name="Comma 18 2 2 2 2 10" xfId="42502"/>
    <cellStyle name="Comma 18 2 2 2 2 2" xfId="42503"/>
    <cellStyle name="Comma 18 2 2 2 2 2 2" xfId="42504"/>
    <cellStyle name="Comma 18 2 2 2 2 2 2 2" xfId="42505"/>
    <cellStyle name="Comma 18 2 2 2 2 2 2 2 2" xfId="42506"/>
    <cellStyle name="Comma 18 2 2 2 2 2 2 2 3" xfId="42507"/>
    <cellStyle name="Comma 18 2 2 2 2 2 2 3" xfId="42508"/>
    <cellStyle name="Comma 18 2 2 2 2 2 2 3 2" xfId="42509"/>
    <cellStyle name="Comma 18 2 2 2 2 2 2 3 3" xfId="42510"/>
    <cellStyle name="Comma 18 2 2 2 2 2 2 4" xfId="42511"/>
    <cellStyle name="Comma 18 2 2 2 2 2 2 4 2" xfId="42512"/>
    <cellStyle name="Comma 18 2 2 2 2 2 2 5" xfId="42513"/>
    <cellStyle name="Comma 18 2 2 2 2 2 2 6" xfId="42514"/>
    <cellStyle name="Comma 18 2 2 2 2 2 3" xfId="42515"/>
    <cellStyle name="Comma 18 2 2 2 2 2 3 2" xfId="42516"/>
    <cellStyle name="Comma 18 2 2 2 2 2 3 2 2" xfId="42517"/>
    <cellStyle name="Comma 18 2 2 2 2 2 3 2 3" xfId="42518"/>
    <cellStyle name="Comma 18 2 2 2 2 2 3 3" xfId="42519"/>
    <cellStyle name="Comma 18 2 2 2 2 2 3 3 2" xfId="42520"/>
    <cellStyle name="Comma 18 2 2 2 2 2 3 3 3" xfId="42521"/>
    <cellStyle name="Comma 18 2 2 2 2 2 3 4" xfId="42522"/>
    <cellStyle name="Comma 18 2 2 2 2 2 3 4 2" xfId="42523"/>
    <cellStyle name="Comma 18 2 2 2 2 2 3 5" xfId="42524"/>
    <cellStyle name="Comma 18 2 2 2 2 2 3 6" xfId="42525"/>
    <cellStyle name="Comma 18 2 2 2 2 2 4" xfId="42526"/>
    <cellStyle name="Comma 18 2 2 2 2 2 4 2" xfId="42527"/>
    <cellStyle name="Comma 18 2 2 2 2 2 4 2 2" xfId="42528"/>
    <cellStyle name="Comma 18 2 2 2 2 2 4 2 3" xfId="42529"/>
    <cellStyle name="Comma 18 2 2 2 2 2 4 3" xfId="42530"/>
    <cellStyle name="Comma 18 2 2 2 2 2 4 3 2" xfId="42531"/>
    <cellStyle name="Comma 18 2 2 2 2 2 4 4" xfId="42532"/>
    <cellStyle name="Comma 18 2 2 2 2 2 4 5" xfId="42533"/>
    <cellStyle name="Comma 18 2 2 2 2 2 5" xfId="42534"/>
    <cellStyle name="Comma 18 2 2 2 2 2 5 2" xfId="42535"/>
    <cellStyle name="Comma 18 2 2 2 2 2 5 3" xfId="42536"/>
    <cellStyle name="Comma 18 2 2 2 2 2 6" xfId="42537"/>
    <cellStyle name="Comma 18 2 2 2 2 2 6 2" xfId="42538"/>
    <cellStyle name="Comma 18 2 2 2 2 2 6 3" xfId="42539"/>
    <cellStyle name="Comma 18 2 2 2 2 2 7" xfId="42540"/>
    <cellStyle name="Comma 18 2 2 2 2 2 7 2" xfId="42541"/>
    <cellStyle name="Comma 18 2 2 2 2 2 8" xfId="42542"/>
    <cellStyle name="Comma 18 2 2 2 2 2 9" xfId="42543"/>
    <cellStyle name="Comma 18 2 2 2 2 3" xfId="42544"/>
    <cellStyle name="Comma 18 2 2 2 2 3 2" xfId="42545"/>
    <cellStyle name="Comma 18 2 2 2 2 3 2 2" xfId="42546"/>
    <cellStyle name="Comma 18 2 2 2 2 3 2 3" xfId="42547"/>
    <cellStyle name="Comma 18 2 2 2 2 3 3" xfId="42548"/>
    <cellStyle name="Comma 18 2 2 2 2 3 3 2" xfId="42549"/>
    <cellStyle name="Comma 18 2 2 2 2 3 3 3" xfId="42550"/>
    <cellStyle name="Comma 18 2 2 2 2 3 4" xfId="42551"/>
    <cellStyle name="Comma 18 2 2 2 2 3 4 2" xfId="42552"/>
    <cellStyle name="Comma 18 2 2 2 2 3 5" xfId="42553"/>
    <cellStyle name="Comma 18 2 2 2 2 3 6" xfId="42554"/>
    <cellStyle name="Comma 18 2 2 2 2 4" xfId="42555"/>
    <cellStyle name="Comma 18 2 2 2 2 4 2" xfId="42556"/>
    <cellStyle name="Comma 18 2 2 2 2 4 2 2" xfId="42557"/>
    <cellStyle name="Comma 18 2 2 2 2 4 2 3" xfId="42558"/>
    <cellStyle name="Comma 18 2 2 2 2 4 3" xfId="42559"/>
    <cellStyle name="Comma 18 2 2 2 2 4 3 2" xfId="42560"/>
    <cellStyle name="Comma 18 2 2 2 2 4 3 3" xfId="42561"/>
    <cellStyle name="Comma 18 2 2 2 2 4 4" xfId="42562"/>
    <cellStyle name="Comma 18 2 2 2 2 4 4 2" xfId="42563"/>
    <cellStyle name="Comma 18 2 2 2 2 4 5" xfId="42564"/>
    <cellStyle name="Comma 18 2 2 2 2 4 6" xfId="42565"/>
    <cellStyle name="Comma 18 2 2 2 2 5" xfId="42566"/>
    <cellStyle name="Comma 18 2 2 2 2 5 2" xfId="42567"/>
    <cellStyle name="Comma 18 2 2 2 2 5 2 2" xfId="42568"/>
    <cellStyle name="Comma 18 2 2 2 2 5 2 3" xfId="42569"/>
    <cellStyle name="Comma 18 2 2 2 2 5 3" xfId="42570"/>
    <cellStyle name="Comma 18 2 2 2 2 5 3 2" xfId="42571"/>
    <cellStyle name="Comma 18 2 2 2 2 5 4" xfId="42572"/>
    <cellStyle name="Comma 18 2 2 2 2 5 5" xfId="42573"/>
    <cellStyle name="Comma 18 2 2 2 2 6" xfId="42574"/>
    <cellStyle name="Comma 18 2 2 2 2 6 2" xfId="42575"/>
    <cellStyle name="Comma 18 2 2 2 2 6 3" xfId="42576"/>
    <cellStyle name="Comma 18 2 2 2 2 7" xfId="42577"/>
    <cellStyle name="Comma 18 2 2 2 2 7 2" xfId="42578"/>
    <cellStyle name="Comma 18 2 2 2 2 7 3" xfId="42579"/>
    <cellStyle name="Comma 18 2 2 2 2 8" xfId="42580"/>
    <cellStyle name="Comma 18 2 2 2 2 8 2" xfId="42581"/>
    <cellStyle name="Comma 18 2 2 2 2 9" xfId="42582"/>
    <cellStyle name="Comma 18 2 2 2 3" xfId="42583"/>
    <cellStyle name="Comma 18 2 2 2 3 2" xfId="42584"/>
    <cellStyle name="Comma 18 2 2 2 3 2 2" xfId="42585"/>
    <cellStyle name="Comma 18 2 2 2 3 2 2 2" xfId="42586"/>
    <cellStyle name="Comma 18 2 2 2 3 2 2 3" xfId="42587"/>
    <cellStyle name="Comma 18 2 2 2 3 2 3" xfId="42588"/>
    <cellStyle name="Comma 18 2 2 2 3 2 3 2" xfId="42589"/>
    <cellStyle name="Comma 18 2 2 2 3 2 3 3" xfId="42590"/>
    <cellStyle name="Comma 18 2 2 2 3 2 4" xfId="42591"/>
    <cellStyle name="Comma 18 2 2 2 3 2 4 2" xfId="42592"/>
    <cellStyle name="Comma 18 2 2 2 3 2 5" xfId="42593"/>
    <cellStyle name="Comma 18 2 2 2 3 2 6" xfId="42594"/>
    <cellStyle name="Comma 18 2 2 2 3 3" xfId="42595"/>
    <cellStyle name="Comma 18 2 2 2 3 3 2" xfId="42596"/>
    <cellStyle name="Comma 18 2 2 2 3 3 2 2" xfId="42597"/>
    <cellStyle name="Comma 18 2 2 2 3 3 2 3" xfId="42598"/>
    <cellStyle name="Comma 18 2 2 2 3 3 3" xfId="42599"/>
    <cellStyle name="Comma 18 2 2 2 3 3 3 2" xfId="42600"/>
    <cellStyle name="Comma 18 2 2 2 3 3 3 3" xfId="42601"/>
    <cellStyle name="Comma 18 2 2 2 3 3 4" xfId="42602"/>
    <cellStyle name="Comma 18 2 2 2 3 3 4 2" xfId="42603"/>
    <cellStyle name="Comma 18 2 2 2 3 3 5" xfId="42604"/>
    <cellStyle name="Comma 18 2 2 2 3 3 6" xfId="42605"/>
    <cellStyle name="Comma 18 2 2 2 3 4" xfId="42606"/>
    <cellStyle name="Comma 18 2 2 2 3 4 2" xfId="42607"/>
    <cellStyle name="Comma 18 2 2 2 3 4 2 2" xfId="42608"/>
    <cellStyle name="Comma 18 2 2 2 3 4 2 3" xfId="42609"/>
    <cellStyle name="Comma 18 2 2 2 3 4 3" xfId="42610"/>
    <cellStyle name="Comma 18 2 2 2 3 4 3 2" xfId="42611"/>
    <cellStyle name="Comma 18 2 2 2 3 4 4" xfId="42612"/>
    <cellStyle name="Comma 18 2 2 2 3 4 5" xfId="42613"/>
    <cellStyle name="Comma 18 2 2 2 3 5" xfId="42614"/>
    <cellStyle name="Comma 18 2 2 2 3 5 2" xfId="42615"/>
    <cellStyle name="Comma 18 2 2 2 3 5 3" xfId="42616"/>
    <cellStyle name="Comma 18 2 2 2 3 6" xfId="42617"/>
    <cellStyle name="Comma 18 2 2 2 3 6 2" xfId="42618"/>
    <cellStyle name="Comma 18 2 2 2 3 6 3" xfId="42619"/>
    <cellStyle name="Comma 18 2 2 2 3 7" xfId="42620"/>
    <cellStyle name="Comma 18 2 2 2 3 7 2" xfId="42621"/>
    <cellStyle name="Comma 18 2 2 2 3 8" xfId="42622"/>
    <cellStyle name="Comma 18 2 2 2 3 9" xfId="42623"/>
    <cellStyle name="Comma 18 2 2 2 4" xfId="42624"/>
    <cellStyle name="Comma 18 2 2 2 4 2" xfId="42625"/>
    <cellStyle name="Comma 18 2 2 2 4 2 2" xfId="42626"/>
    <cellStyle name="Comma 18 2 2 2 4 2 2 2" xfId="42627"/>
    <cellStyle name="Comma 18 2 2 2 4 2 2 3" xfId="42628"/>
    <cellStyle name="Comma 18 2 2 2 4 2 3" xfId="42629"/>
    <cellStyle name="Comma 18 2 2 2 4 2 3 2" xfId="42630"/>
    <cellStyle name="Comma 18 2 2 2 4 2 3 3" xfId="42631"/>
    <cellStyle name="Comma 18 2 2 2 4 2 4" xfId="42632"/>
    <cellStyle name="Comma 18 2 2 2 4 2 4 2" xfId="42633"/>
    <cellStyle name="Comma 18 2 2 2 4 2 5" xfId="42634"/>
    <cellStyle name="Comma 18 2 2 2 4 2 6" xfId="42635"/>
    <cellStyle name="Comma 18 2 2 2 4 3" xfId="42636"/>
    <cellStyle name="Comma 18 2 2 2 4 3 2" xfId="42637"/>
    <cellStyle name="Comma 18 2 2 2 4 3 2 2" xfId="42638"/>
    <cellStyle name="Comma 18 2 2 2 4 3 2 3" xfId="42639"/>
    <cellStyle name="Comma 18 2 2 2 4 3 3" xfId="42640"/>
    <cellStyle name="Comma 18 2 2 2 4 3 3 2" xfId="42641"/>
    <cellStyle name="Comma 18 2 2 2 4 3 3 3" xfId="42642"/>
    <cellStyle name="Comma 18 2 2 2 4 3 4" xfId="42643"/>
    <cellStyle name="Comma 18 2 2 2 4 3 4 2" xfId="42644"/>
    <cellStyle name="Comma 18 2 2 2 4 3 5" xfId="42645"/>
    <cellStyle name="Comma 18 2 2 2 4 3 6" xfId="42646"/>
    <cellStyle name="Comma 18 2 2 2 4 4" xfId="42647"/>
    <cellStyle name="Comma 18 2 2 2 4 4 2" xfId="42648"/>
    <cellStyle name="Comma 18 2 2 2 4 4 2 2" xfId="42649"/>
    <cellStyle name="Comma 18 2 2 2 4 4 2 3" xfId="42650"/>
    <cellStyle name="Comma 18 2 2 2 4 4 3" xfId="42651"/>
    <cellStyle name="Comma 18 2 2 2 4 4 3 2" xfId="42652"/>
    <cellStyle name="Comma 18 2 2 2 4 4 4" xfId="42653"/>
    <cellStyle name="Comma 18 2 2 2 4 4 5" xfId="42654"/>
    <cellStyle name="Comma 18 2 2 2 4 5" xfId="42655"/>
    <cellStyle name="Comma 18 2 2 2 4 5 2" xfId="42656"/>
    <cellStyle name="Comma 18 2 2 2 4 5 3" xfId="42657"/>
    <cellStyle name="Comma 18 2 2 2 4 6" xfId="42658"/>
    <cellStyle name="Comma 18 2 2 2 4 6 2" xfId="42659"/>
    <cellStyle name="Comma 18 2 2 2 4 6 3" xfId="42660"/>
    <cellStyle name="Comma 18 2 2 2 4 7" xfId="42661"/>
    <cellStyle name="Comma 18 2 2 2 4 7 2" xfId="42662"/>
    <cellStyle name="Comma 18 2 2 2 4 8" xfId="42663"/>
    <cellStyle name="Comma 18 2 2 2 4 9" xfId="42664"/>
    <cellStyle name="Comma 18 2 2 2 5" xfId="42665"/>
    <cellStyle name="Comma 18 2 2 2 5 2" xfId="42666"/>
    <cellStyle name="Comma 18 2 2 2 5 2 2" xfId="42667"/>
    <cellStyle name="Comma 18 2 2 2 5 2 3" xfId="42668"/>
    <cellStyle name="Comma 18 2 2 2 5 3" xfId="42669"/>
    <cellStyle name="Comma 18 2 2 2 5 3 2" xfId="42670"/>
    <cellStyle name="Comma 18 2 2 2 5 3 3" xfId="42671"/>
    <cellStyle name="Comma 18 2 2 2 5 4" xfId="42672"/>
    <cellStyle name="Comma 18 2 2 2 5 4 2" xfId="42673"/>
    <cellStyle name="Comma 18 2 2 2 5 5" xfId="42674"/>
    <cellStyle name="Comma 18 2 2 2 5 6" xfId="42675"/>
    <cellStyle name="Comma 18 2 2 2 6" xfId="42676"/>
    <cellStyle name="Comma 18 2 2 2 6 2" xfId="42677"/>
    <cellStyle name="Comma 18 2 2 2 6 2 2" xfId="42678"/>
    <cellStyle name="Comma 18 2 2 2 6 2 3" xfId="42679"/>
    <cellStyle name="Comma 18 2 2 2 6 3" xfId="42680"/>
    <cellStyle name="Comma 18 2 2 2 6 3 2" xfId="42681"/>
    <cellStyle name="Comma 18 2 2 2 6 3 3" xfId="42682"/>
    <cellStyle name="Comma 18 2 2 2 6 4" xfId="42683"/>
    <cellStyle name="Comma 18 2 2 2 6 4 2" xfId="42684"/>
    <cellStyle name="Comma 18 2 2 2 6 5" xfId="42685"/>
    <cellStyle name="Comma 18 2 2 2 6 6" xfId="42686"/>
    <cellStyle name="Comma 18 2 2 2 7" xfId="42687"/>
    <cellStyle name="Comma 18 2 2 2 7 2" xfId="42688"/>
    <cellStyle name="Comma 18 2 2 2 7 2 2" xfId="42689"/>
    <cellStyle name="Comma 18 2 2 2 7 2 3" xfId="42690"/>
    <cellStyle name="Comma 18 2 2 2 7 3" xfId="42691"/>
    <cellStyle name="Comma 18 2 2 2 7 3 2" xfId="42692"/>
    <cellStyle name="Comma 18 2 2 2 7 4" xfId="42693"/>
    <cellStyle name="Comma 18 2 2 2 7 5" xfId="42694"/>
    <cellStyle name="Comma 18 2 2 2 8" xfId="42695"/>
    <cellStyle name="Comma 18 2 2 2 8 2" xfId="42696"/>
    <cellStyle name="Comma 18 2 2 2 8 3" xfId="42697"/>
    <cellStyle name="Comma 18 2 2 2 9" xfId="42698"/>
    <cellStyle name="Comma 18 2 2 2 9 2" xfId="42699"/>
    <cellStyle name="Comma 18 2 2 2 9 3" xfId="42700"/>
    <cellStyle name="Comma 18 2 2 3" xfId="42701"/>
    <cellStyle name="Comma 18 2 2 3 10" xfId="42702"/>
    <cellStyle name="Comma 18 2 2 3 2" xfId="42703"/>
    <cellStyle name="Comma 18 2 2 3 2 2" xfId="42704"/>
    <cellStyle name="Comma 18 2 2 3 2 2 2" xfId="42705"/>
    <cellStyle name="Comma 18 2 2 3 2 2 2 2" xfId="42706"/>
    <cellStyle name="Comma 18 2 2 3 2 2 2 3" xfId="42707"/>
    <cellStyle name="Comma 18 2 2 3 2 2 3" xfId="42708"/>
    <cellStyle name="Comma 18 2 2 3 2 2 3 2" xfId="42709"/>
    <cellStyle name="Comma 18 2 2 3 2 2 3 3" xfId="42710"/>
    <cellStyle name="Comma 18 2 2 3 2 2 4" xfId="42711"/>
    <cellStyle name="Comma 18 2 2 3 2 2 4 2" xfId="42712"/>
    <cellStyle name="Comma 18 2 2 3 2 2 5" xfId="42713"/>
    <cellStyle name="Comma 18 2 2 3 2 2 6" xfId="42714"/>
    <cellStyle name="Comma 18 2 2 3 2 3" xfId="42715"/>
    <cellStyle name="Comma 18 2 2 3 2 3 2" xfId="42716"/>
    <cellStyle name="Comma 18 2 2 3 2 3 2 2" xfId="42717"/>
    <cellStyle name="Comma 18 2 2 3 2 3 2 3" xfId="42718"/>
    <cellStyle name="Comma 18 2 2 3 2 3 3" xfId="42719"/>
    <cellStyle name="Comma 18 2 2 3 2 3 3 2" xfId="42720"/>
    <cellStyle name="Comma 18 2 2 3 2 3 3 3" xfId="42721"/>
    <cellStyle name="Comma 18 2 2 3 2 3 4" xfId="42722"/>
    <cellStyle name="Comma 18 2 2 3 2 3 4 2" xfId="42723"/>
    <cellStyle name="Comma 18 2 2 3 2 3 5" xfId="42724"/>
    <cellStyle name="Comma 18 2 2 3 2 3 6" xfId="42725"/>
    <cellStyle name="Comma 18 2 2 3 2 4" xfId="42726"/>
    <cellStyle name="Comma 18 2 2 3 2 4 2" xfId="42727"/>
    <cellStyle name="Comma 18 2 2 3 2 4 2 2" xfId="42728"/>
    <cellStyle name="Comma 18 2 2 3 2 4 2 3" xfId="42729"/>
    <cellStyle name="Comma 18 2 2 3 2 4 3" xfId="42730"/>
    <cellStyle name="Comma 18 2 2 3 2 4 3 2" xfId="42731"/>
    <cellStyle name="Comma 18 2 2 3 2 4 4" xfId="42732"/>
    <cellStyle name="Comma 18 2 2 3 2 4 5" xfId="42733"/>
    <cellStyle name="Comma 18 2 2 3 2 5" xfId="42734"/>
    <cellStyle name="Comma 18 2 2 3 2 5 2" xfId="42735"/>
    <cellStyle name="Comma 18 2 2 3 2 5 3" xfId="42736"/>
    <cellStyle name="Comma 18 2 2 3 2 6" xfId="42737"/>
    <cellStyle name="Comma 18 2 2 3 2 6 2" xfId="42738"/>
    <cellStyle name="Comma 18 2 2 3 2 6 3" xfId="42739"/>
    <cellStyle name="Comma 18 2 2 3 2 7" xfId="42740"/>
    <cellStyle name="Comma 18 2 2 3 2 7 2" xfId="42741"/>
    <cellStyle name="Comma 18 2 2 3 2 8" xfId="42742"/>
    <cellStyle name="Comma 18 2 2 3 2 9" xfId="42743"/>
    <cellStyle name="Comma 18 2 2 3 3" xfId="42744"/>
    <cellStyle name="Comma 18 2 2 3 3 2" xfId="42745"/>
    <cellStyle name="Comma 18 2 2 3 3 2 2" xfId="42746"/>
    <cellStyle name="Comma 18 2 2 3 3 2 3" xfId="42747"/>
    <cellStyle name="Comma 18 2 2 3 3 3" xfId="42748"/>
    <cellStyle name="Comma 18 2 2 3 3 3 2" xfId="42749"/>
    <cellStyle name="Comma 18 2 2 3 3 3 3" xfId="42750"/>
    <cellStyle name="Comma 18 2 2 3 3 4" xfId="42751"/>
    <cellStyle name="Comma 18 2 2 3 3 4 2" xfId="42752"/>
    <cellStyle name="Comma 18 2 2 3 3 5" xfId="42753"/>
    <cellStyle name="Comma 18 2 2 3 3 6" xfId="42754"/>
    <cellStyle name="Comma 18 2 2 3 4" xfId="42755"/>
    <cellStyle name="Comma 18 2 2 3 4 2" xfId="42756"/>
    <cellStyle name="Comma 18 2 2 3 4 2 2" xfId="42757"/>
    <cellStyle name="Comma 18 2 2 3 4 2 3" xfId="42758"/>
    <cellStyle name="Comma 18 2 2 3 4 3" xfId="42759"/>
    <cellStyle name="Comma 18 2 2 3 4 3 2" xfId="42760"/>
    <cellStyle name="Comma 18 2 2 3 4 3 3" xfId="42761"/>
    <cellStyle name="Comma 18 2 2 3 4 4" xfId="42762"/>
    <cellStyle name="Comma 18 2 2 3 4 4 2" xfId="42763"/>
    <cellStyle name="Comma 18 2 2 3 4 5" xfId="42764"/>
    <cellStyle name="Comma 18 2 2 3 4 6" xfId="42765"/>
    <cellStyle name="Comma 18 2 2 3 5" xfId="42766"/>
    <cellStyle name="Comma 18 2 2 3 5 2" xfId="42767"/>
    <cellStyle name="Comma 18 2 2 3 5 2 2" xfId="42768"/>
    <cellStyle name="Comma 18 2 2 3 5 2 3" xfId="42769"/>
    <cellStyle name="Comma 18 2 2 3 5 3" xfId="42770"/>
    <cellStyle name="Comma 18 2 2 3 5 3 2" xfId="42771"/>
    <cellStyle name="Comma 18 2 2 3 5 4" xfId="42772"/>
    <cellStyle name="Comma 18 2 2 3 5 5" xfId="42773"/>
    <cellStyle name="Comma 18 2 2 3 6" xfId="42774"/>
    <cellStyle name="Comma 18 2 2 3 6 2" xfId="42775"/>
    <cellStyle name="Comma 18 2 2 3 6 3" xfId="42776"/>
    <cellStyle name="Comma 18 2 2 3 7" xfId="42777"/>
    <cellStyle name="Comma 18 2 2 3 7 2" xfId="42778"/>
    <cellStyle name="Comma 18 2 2 3 7 3" xfId="42779"/>
    <cellStyle name="Comma 18 2 2 3 8" xfId="42780"/>
    <cellStyle name="Comma 18 2 2 3 8 2" xfId="42781"/>
    <cellStyle name="Comma 18 2 2 3 9" xfId="42782"/>
    <cellStyle name="Comma 18 2 2 4" xfId="42783"/>
    <cellStyle name="Comma 18 2 2 4 2" xfId="42784"/>
    <cellStyle name="Comma 18 2 2 4 2 2" xfId="42785"/>
    <cellStyle name="Comma 18 2 2 4 2 2 2" xfId="42786"/>
    <cellStyle name="Comma 18 2 2 4 2 2 3" xfId="42787"/>
    <cellStyle name="Comma 18 2 2 4 2 3" xfId="42788"/>
    <cellStyle name="Comma 18 2 2 4 2 3 2" xfId="42789"/>
    <cellStyle name="Comma 18 2 2 4 2 3 3" xfId="42790"/>
    <cellStyle name="Comma 18 2 2 4 2 4" xfId="42791"/>
    <cellStyle name="Comma 18 2 2 4 2 4 2" xfId="42792"/>
    <cellStyle name="Comma 18 2 2 4 2 5" xfId="42793"/>
    <cellStyle name="Comma 18 2 2 4 2 6" xfId="42794"/>
    <cellStyle name="Comma 18 2 2 4 3" xfId="42795"/>
    <cellStyle name="Comma 18 2 2 4 3 2" xfId="42796"/>
    <cellStyle name="Comma 18 2 2 4 3 2 2" xfId="42797"/>
    <cellStyle name="Comma 18 2 2 4 3 2 3" xfId="42798"/>
    <cellStyle name="Comma 18 2 2 4 3 3" xfId="42799"/>
    <cellStyle name="Comma 18 2 2 4 3 3 2" xfId="42800"/>
    <cellStyle name="Comma 18 2 2 4 3 3 3" xfId="42801"/>
    <cellStyle name="Comma 18 2 2 4 3 4" xfId="42802"/>
    <cellStyle name="Comma 18 2 2 4 3 4 2" xfId="42803"/>
    <cellStyle name="Comma 18 2 2 4 3 5" xfId="42804"/>
    <cellStyle name="Comma 18 2 2 4 3 6" xfId="42805"/>
    <cellStyle name="Comma 18 2 2 4 4" xfId="42806"/>
    <cellStyle name="Comma 18 2 2 4 4 2" xfId="42807"/>
    <cellStyle name="Comma 18 2 2 4 4 2 2" xfId="42808"/>
    <cellStyle name="Comma 18 2 2 4 4 2 3" xfId="42809"/>
    <cellStyle name="Comma 18 2 2 4 4 3" xfId="42810"/>
    <cellStyle name="Comma 18 2 2 4 4 3 2" xfId="42811"/>
    <cellStyle name="Comma 18 2 2 4 4 4" xfId="42812"/>
    <cellStyle name="Comma 18 2 2 4 4 5" xfId="42813"/>
    <cellStyle name="Comma 18 2 2 4 5" xfId="42814"/>
    <cellStyle name="Comma 18 2 2 4 5 2" xfId="42815"/>
    <cellStyle name="Comma 18 2 2 4 5 3" xfId="42816"/>
    <cellStyle name="Comma 18 2 2 4 6" xfId="42817"/>
    <cellStyle name="Comma 18 2 2 4 6 2" xfId="42818"/>
    <cellStyle name="Comma 18 2 2 4 6 3" xfId="42819"/>
    <cellStyle name="Comma 18 2 2 4 7" xfId="42820"/>
    <cellStyle name="Comma 18 2 2 4 7 2" xfId="42821"/>
    <cellStyle name="Comma 18 2 2 4 8" xfId="42822"/>
    <cellStyle name="Comma 18 2 2 4 9" xfId="42823"/>
    <cellStyle name="Comma 18 2 2 5" xfId="42824"/>
    <cellStyle name="Comma 18 2 2 5 2" xfId="42825"/>
    <cellStyle name="Comma 18 2 2 5 2 2" xfId="42826"/>
    <cellStyle name="Comma 18 2 2 5 2 2 2" xfId="42827"/>
    <cellStyle name="Comma 18 2 2 5 2 2 3" xfId="42828"/>
    <cellStyle name="Comma 18 2 2 5 2 3" xfId="42829"/>
    <cellStyle name="Comma 18 2 2 5 2 3 2" xfId="42830"/>
    <cellStyle name="Comma 18 2 2 5 2 3 3" xfId="42831"/>
    <cellStyle name="Comma 18 2 2 5 2 4" xfId="42832"/>
    <cellStyle name="Comma 18 2 2 5 2 4 2" xfId="42833"/>
    <cellStyle name="Comma 18 2 2 5 2 5" xfId="42834"/>
    <cellStyle name="Comma 18 2 2 5 2 6" xfId="42835"/>
    <cellStyle name="Comma 18 2 2 5 3" xfId="42836"/>
    <cellStyle name="Comma 18 2 2 5 3 2" xfId="42837"/>
    <cellStyle name="Comma 18 2 2 5 3 2 2" xfId="42838"/>
    <cellStyle name="Comma 18 2 2 5 3 2 3" xfId="42839"/>
    <cellStyle name="Comma 18 2 2 5 3 3" xfId="42840"/>
    <cellStyle name="Comma 18 2 2 5 3 3 2" xfId="42841"/>
    <cellStyle name="Comma 18 2 2 5 3 3 3" xfId="42842"/>
    <cellStyle name="Comma 18 2 2 5 3 4" xfId="42843"/>
    <cellStyle name="Comma 18 2 2 5 3 4 2" xfId="42844"/>
    <cellStyle name="Comma 18 2 2 5 3 5" xfId="42845"/>
    <cellStyle name="Comma 18 2 2 5 3 6" xfId="42846"/>
    <cellStyle name="Comma 18 2 2 5 4" xfId="42847"/>
    <cellStyle name="Comma 18 2 2 5 4 2" xfId="42848"/>
    <cellStyle name="Comma 18 2 2 5 4 2 2" xfId="42849"/>
    <cellStyle name="Comma 18 2 2 5 4 2 3" xfId="42850"/>
    <cellStyle name="Comma 18 2 2 5 4 3" xfId="42851"/>
    <cellStyle name="Comma 18 2 2 5 4 3 2" xfId="42852"/>
    <cellStyle name="Comma 18 2 2 5 4 4" xfId="42853"/>
    <cellStyle name="Comma 18 2 2 5 4 5" xfId="42854"/>
    <cellStyle name="Comma 18 2 2 5 5" xfId="42855"/>
    <cellStyle name="Comma 18 2 2 5 5 2" xfId="42856"/>
    <cellStyle name="Comma 18 2 2 5 5 3" xfId="42857"/>
    <cellStyle name="Comma 18 2 2 5 6" xfId="42858"/>
    <cellStyle name="Comma 18 2 2 5 6 2" xfId="42859"/>
    <cellStyle name="Comma 18 2 2 5 6 3" xfId="42860"/>
    <cellStyle name="Comma 18 2 2 5 7" xfId="42861"/>
    <cellStyle name="Comma 18 2 2 5 7 2" xfId="42862"/>
    <cellStyle name="Comma 18 2 2 5 8" xfId="42863"/>
    <cellStyle name="Comma 18 2 2 5 9" xfId="42864"/>
    <cellStyle name="Comma 18 2 2 6" xfId="42865"/>
    <cellStyle name="Comma 18 2 2 6 2" xfId="42866"/>
    <cellStyle name="Comma 18 2 2 6 2 2" xfId="42867"/>
    <cellStyle name="Comma 18 2 2 6 2 3" xfId="42868"/>
    <cellStyle name="Comma 18 2 2 6 3" xfId="42869"/>
    <cellStyle name="Comma 18 2 2 6 3 2" xfId="42870"/>
    <cellStyle name="Comma 18 2 2 6 3 3" xfId="42871"/>
    <cellStyle name="Comma 18 2 2 6 4" xfId="42872"/>
    <cellStyle name="Comma 18 2 2 6 4 2" xfId="42873"/>
    <cellStyle name="Comma 18 2 2 6 5" xfId="42874"/>
    <cellStyle name="Comma 18 2 2 6 6" xfId="42875"/>
    <cellStyle name="Comma 18 2 2 7" xfId="42876"/>
    <cellStyle name="Comma 18 2 2 7 2" xfId="42877"/>
    <cellStyle name="Comma 18 2 2 7 2 2" xfId="42878"/>
    <cellStyle name="Comma 18 2 2 7 2 3" xfId="42879"/>
    <cellStyle name="Comma 18 2 2 7 3" xfId="42880"/>
    <cellStyle name="Comma 18 2 2 7 3 2" xfId="42881"/>
    <cellStyle name="Comma 18 2 2 7 3 3" xfId="42882"/>
    <cellStyle name="Comma 18 2 2 7 4" xfId="42883"/>
    <cellStyle name="Comma 18 2 2 7 4 2" xfId="42884"/>
    <cellStyle name="Comma 18 2 2 7 5" xfId="42885"/>
    <cellStyle name="Comma 18 2 2 7 6" xfId="42886"/>
    <cellStyle name="Comma 18 2 2 8" xfId="42887"/>
    <cellStyle name="Comma 18 2 2 8 2" xfId="42888"/>
    <cellStyle name="Comma 18 2 2 8 2 2" xfId="42889"/>
    <cellStyle name="Comma 18 2 2 8 2 3" xfId="42890"/>
    <cellStyle name="Comma 18 2 2 8 3" xfId="42891"/>
    <cellStyle name="Comma 18 2 2 8 3 2" xfId="42892"/>
    <cellStyle name="Comma 18 2 2 8 4" xfId="42893"/>
    <cellStyle name="Comma 18 2 2 8 5" xfId="42894"/>
    <cellStyle name="Comma 18 2 2 9" xfId="42895"/>
    <cellStyle name="Comma 18 2 2 9 2" xfId="42896"/>
    <cellStyle name="Comma 18 2 2 9 3" xfId="42897"/>
    <cellStyle name="Comma 18 2 3" xfId="42898"/>
    <cellStyle name="Comma 18 2 3 10" xfId="42899"/>
    <cellStyle name="Comma 18 2 3 10 2" xfId="42900"/>
    <cellStyle name="Comma 18 2 3 11" xfId="42901"/>
    <cellStyle name="Comma 18 2 3 12" xfId="42902"/>
    <cellStyle name="Comma 18 2 3 2" xfId="42903"/>
    <cellStyle name="Comma 18 2 3 2 10" xfId="42904"/>
    <cellStyle name="Comma 18 2 3 2 2" xfId="42905"/>
    <cellStyle name="Comma 18 2 3 2 2 2" xfId="42906"/>
    <cellStyle name="Comma 18 2 3 2 2 2 2" xfId="42907"/>
    <cellStyle name="Comma 18 2 3 2 2 2 2 2" xfId="42908"/>
    <cellStyle name="Comma 18 2 3 2 2 2 2 3" xfId="42909"/>
    <cellStyle name="Comma 18 2 3 2 2 2 3" xfId="42910"/>
    <cellStyle name="Comma 18 2 3 2 2 2 3 2" xfId="42911"/>
    <cellStyle name="Comma 18 2 3 2 2 2 3 3" xfId="42912"/>
    <cellStyle name="Comma 18 2 3 2 2 2 4" xfId="42913"/>
    <cellStyle name="Comma 18 2 3 2 2 2 4 2" xfId="42914"/>
    <cellStyle name="Comma 18 2 3 2 2 2 5" xfId="42915"/>
    <cellStyle name="Comma 18 2 3 2 2 2 6" xfId="42916"/>
    <cellStyle name="Comma 18 2 3 2 2 3" xfId="42917"/>
    <cellStyle name="Comma 18 2 3 2 2 3 2" xfId="42918"/>
    <cellStyle name="Comma 18 2 3 2 2 3 2 2" xfId="42919"/>
    <cellStyle name="Comma 18 2 3 2 2 3 2 3" xfId="42920"/>
    <cellStyle name="Comma 18 2 3 2 2 3 3" xfId="42921"/>
    <cellStyle name="Comma 18 2 3 2 2 3 3 2" xfId="42922"/>
    <cellStyle name="Comma 18 2 3 2 2 3 3 3" xfId="42923"/>
    <cellStyle name="Comma 18 2 3 2 2 3 4" xfId="42924"/>
    <cellStyle name="Comma 18 2 3 2 2 3 4 2" xfId="42925"/>
    <cellStyle name="Comma 18 2 3 2 2 3 5" xfId="42926"/>
    <cellStyle name="Comma 18 2 3 2 2 3 6" xfId="42927"/>
    <cellStyle name="Comma 18 2 3 2 2 4" xfId="42928"/>
    <cellStyle name="Comma 18 2 3 2 2 4 2" xfId="42929"/>
    <cellStyle name="Comma 18 2 3 2 2 4 2 2" xfId="42930"/>
    <cellStyle name="Comma 18 2 3 2 2 4 2 3" xfId="42931"/>
    <cellStyle name="Comma 18 2 3 2 2 4 3" xfId="42932"/>
    <cellStyle name="Comma 18 2 3 2 2 4 3 2" xfId="42933"/>
    <cellStyle name="Comma 18 2 3 2 2 4 4" xfId="42934"/>
    <cellStyle name="Comma 18 2 3 2 2 4 5" xfId="42935"/>
    <cellStyle name="Comma 18 2 3 2 2 5" xfId="42936"/>
    <cellStyle name="Comma 18 2 3 2 2 5 2" xfId="42937"/>
    <cellStyle name="Comma 18 2 3 2 2 5 3" xfId="42938"/>
    <cellStyle name="Comma 18 2 3 2 2 6" xfId="42939"/>
    <cellStyle name="Comma 18 2 3 2 2 6 2" xfId="42940"/>
    <cellStyle name="Comma 18 2 3 2 2 6 3" xfId="42941"/>
    <cellStyle name="Comma 18 2 3 2 2 7" xfId="42942"/>
    <cellStyle name="Comma 18 2 3 2 2 7 2" xfId="42943"/>
    <cellStyle name="Comma 18 2 3 2 2 8" xfId="42944"/>
    <cellStyle name="Comma 18 2 3 2 2 9" xfId="42945"/>
    <cellStyle name="Comma 18 2 3 2 3" xfId="42946"/>
    <cellStyle name="Comma 18 2 3 2 3 2" xfId="42947"/>
    <cellStyle name="Comma 18 2 3 2 3 2 2" xfId="42948"/>
    <cellStyle name="Comma 18 2 3 2 3 2 3" xfId="42949"/>
    <cellStyle name="Comma 18 2 3 2 3 3" xfId="42950"/>
    <cellStyle name="Comma 18 2 3 2 3 3 2" xfId="42951"/>
    <cellStyle name="Comma 18 2 3 2 3 3 3" xfId="42952"/>
    <cellStyle name="Comma 18 2 3 2 3 4" xfId="42953"/>
    <cellStyle name="Comma 18 2 3 2 3 4 2" xfId="42954"/>
    <cellStyle name="Comma 18 2 3 2 3 5" xfId="42955"/>
    <cellStyle name="Comma 18 2 3 2 3 6" xfId="42956"/>
    <cellStyle name="Comma 18 2 3 2 4" xfId="42957"/>
    <cellStyle name="Comma 18 2 3 2 4 2" xfId="42958"/>
    <cellStyle name="Comma 18 2 3 2 4 2 2" xfId="42959"/>
    <cellStyle name="Comma 18 2 3 2 4 2 3" xfId="42960"/>
    <cellStyle name="Comma 18 2 3 2 4 3" xfId="42961"/>
    <cellStyle name="Comma 18 2 3 2 4 3 2" xfId="42962"/>
    <cellStyle name="Comma 18 2 3 2 4 3 3" xfId="42963"/>
    <cellStyle name="Comma 18 2 3 2 4 4" xfId="42964"/>
    <cellStyle name="Comma 18 2 3 2 4 4 2" xfId="42965"/>
    <cellStyle name="Comma 18 2 3 2 4 5" xfId="42966"/>
    <cellStyle name="Comma 18 2 3 2 4 6" xfId="42967"/>
    <cellStyle name="Comma 18 2 3 2 5" xfId="42968"/>
    <cellStyle name="Comma 18 2 3 2 5 2" xfId="42969"/>
    <cellStyle name="Comma 18 2 3 2 5 2 2" xfId="42970"/>
    <cellStyle name="Comma 18 2 3 2 5 2 3" xfId="42971"/>
    <cellStyle name="Comma 18 2 3 2 5 3" xfId="42972"/>
    <cellStyle name="Comma 18 2 3 2 5 3 2" xfId="42973"/>
    <cellStyle name="Comma 18 2 3 2 5 4" xfId="42974"/>
    <cellStyle name="Comma 18 2 3 2 5 5" xfId="42975"/>
    <cellStyle name="Comma 18 2 3 2 6" xfId="42976"/>
    <cellStyle name="Comma 18 2 3 2 6 2" xfId="42977"/>
    <cellStyle name="Comma 18 2 3 2 6 3" xfId="42978"/>
    <cellStyle name="Comma 18 2 3 2 7" xfId="42979"/>
    <cellStyle name="Comma 18 2 3 2 7 2" xfId="42980"/>
    <cellStyle name="Comma 18 2 3 2 7 3" xfId="42981"/>
    <cellStyle name="Comma 18 2 3 2 8" xfId="42982"/>
    <cellStyle name="Comma 18 2 3 2 8 2" xfId="42983"/>
    <cellStyle name="Comma 18 2 3 2 9" xfId="42984"/>
    <cellStyle name="Comma 18 2 3 3" xfId="42985"/>
    <cellStyle name="Comma 18 2 3 3 2" xfId="42986"/>
    <cellStyle name="Comma 18 2 3 3 2 2" xfId="42987"/>
    <cellStyle name="Comma 18 2 3 3 2 2 2" xfId="42988"/>
    <cellStyle name="Comma 18 2 3 3 2 2 3" xfId="42989"/>
    <cellStyle name="Comma 18 2 3 3 2 3" xfId="42990"/>
    <cellStyle name="Comma 18 2 3 3 2 3 2" xfId="42991"/>
    <cellStyle name="Comma 18 2 3 3 2 3 3" xfId="42992"/>
    <cellStyle name="Comma 18 2 3 3 2 4" xfId="42993"/>
    <cellStyle name="Comma 18 2 3 3 2 4 2" xfId="42994"/>
    <cellStyle name="Comma 18 2 3 3 2 5" xfId="42995"/>
    <cellStyle name="Comma 18 2 3 3 2 6" xfId="42996"/>
    <cellStyle name="Comma 18 2 3 3 3" xfId="42997"/>
    <cellStyle name="Comma 18 2 3 3 3 2" xfId="42998"/>
    <cellStyle name="Comma 18 2 3 3 3 2 2" xfId="42999"/>
    <cellStyle name="Comma 18 2 3 3 3 2 3" xfId="43000"/>
    <cellStyle name="Comma 18 2 3 3 3 3" xfId="43001"/>
    <cellStyle name="Comma 18 2 3 3 3 3 2" xfId="43002"/>
    <cellStyle name="Comma 18 2 3 3 3 3 3" xfId="43003"/>
    <cellStyle name="Comma 18 2 3 3 3 4" xfId="43004"/>
    <cellStyle name="Comma 18 2 3 3 3 4 2" xfId="43005"/>
    <cellStyle name="Comma 18 2 3 3 3 5" xfId="43006"/>
    <cellStyle name="Comma 18 2 3 3 3 6" xfId="43007"/>
    <cellStyle name="Comma 18 2 3 3 4" xfId="43008"/>
    <cellStyle name="Comma 18 2 3 3 4 2" xfId="43009"/>
    <cellStyle name="Comma 18 2 3 3 4 2 2" xfId="43010"/>
    <cellStyle name="Comma 18 2 3 3 4 2 3" xfId="43011"/>
    <cellStyle name="Comma 18 2 3 3 4 3" xfId="43012"/>
    <cellStyle name="Comma 18 2 3 3 4 3 2" xfId="43013"/>
    <cellStyle name="Comma 18 2 3 3 4 4" xfId="43014"/>
    <cellStyle name="Comma 18 2 3 3 4 5" xfId="43015"/>
    <cellStyle name="Comma 18 2 3 3 5" xfId="43016"/>
    <cellStyle name="Comma 18 2 3 3 5 2" xfId="43017"/>
    <cellStyle name="Comma 18 2 3 3 5 3" xfId="43018"/>
    <cellStyle name="Comma 18 2 3 3 6" xfId="43019"/>
    <cellStyle name="Comma 18 2 3 3 6 2" xfId="43020"/>
    <cellStyle name="Comma 18 2 3 3 6 3" xfId="43021"/>
    <cellStyle name="Comma 18 2 3 3 7" xfId="43022"/>
    <cellStyle name="Comma 18 2 3 3 7 2" xfId="43023"/>
    <cellStyle name="Comma 18 2 3 3 8" xfId="43024"/>
    <cellStyle name="Comma 18 2 3 3 9" xfId="43025"/>
    <cellStyle name="Comma 18 2 3 4" xfId="43026"/>
    <cellStyle name="Comma 18 2 3 4 2" xfId="43027"/>
    <cellStyle name="Comma 18 2 3 4 2 2" xfId="43028"/>
    <cellStyle name="Comma 18 2 3 4 2 2 2" xfId="43029"/>
    <cellStyle name="Comma 18 2 3 4 2 2 3" xfId="43030"/>
    <cellStyle name="Comma 18 2 3 4 2 3" xfId="43031"/>
    <cellStyle name="Comma 18 2 3 4 2 3 2" xfId="43032"/>
    <cellStyle name="Comma 18 2 3 4 2 3 3" xfId="43033"/>
    <cellStyle name="Comma 18 2 3 4 2 4" xfId="43034"/>
    <cellStyle name="Comma 18 2 3 4 2 4 2" xfId="43035"/>
    <cellStyle name="Comma 18 2 3 4 2 5" xfId="43036"/>
    <cellStyle name="Comma 18 2 3 4 2 6" xfId="43037"/>
    <cellStyle name="Comma 18 2 3 4 3" xfId="43038"/>
    <cellStyle name="Comma 18 2 3 4 3 2" xfId="43039"/>
    <cellStyle name="Comma 18 2 3 4 3 2 2" xfId="43040"/>
    <cellStyle name="Comma 18 2 3 4 3 2 3" xfId="43041"/>
    <cellStyle name="Comma 18 2 3 4 3 3" xfId="43042"/>
    <cellStyle name="Comma 18 2 3 4 3 3 2" xfId="43043"/>
    <cellStyle name="Comma 18 2 3 4 3 3 3" xfId="43044"/>
    <cellStyle name="Comma 18 2 3 4 3 4" xfId="43045"/>
    <cellStyle name="Comma 18 2 3 4 3 4 2" xfId="43046"/>
    <cellStyle name="Comma 18 2 3 4 3 5" xfId="43047"/>
    <cellStyle name="Comma 18 2 3 4 3 6" xfId="43048"/>
    <cellStyle name="Comma 18 2 3 4 4" xfId="43049"/>
    <cellStyle name="Comma 18 2 3 4 4 2" xfId="43050"/>
    <cellStyle name="Comma 18 2 3 4 4 2 2" xfId="43051"/>
    <cellStyle name="Comma 18 2 3 4 4 2 3" xfId="43052"/>
    <cellStyle name="Comma 18 2 3 4 4 3" xfId="43053"/>
    <cellStyle name="Comma 18 2 3 4 4 3 2" xfId="43054"/>
    <cellStyle name="Comma 18 2 3 4 4 4" xfId="43055"/>
    <cellStyle name="Comma 18 2 3 4 4 5" xfId="43056"/>
    <cellStyle name="Comma 18 2 3 4 5" xfId="43057"/>
    <cellStyle name="Comma 18 2 3 4 5 2" xfId="43058"/>
    <cellStyle name="Comma 18 2 3 4 5 3" xfId="43059"/>
    <cellStyle name="Comma 18 2 3 4 6" xfId="43060"/>
    <cellStyle name="Comma 18 2 3 4 6 2" xfId="43061"/>
    <cellStyle name="Comma 18 2 3 4 6 3" xfId="43062"/>
    <cellStyle name="Comma 18 2 3 4 7" xfId="43063"/>
    <cellStyle name="Comma 18 2 3 4 7 2" xfId="43064"/>
    <cellStyle name="Comma 18 2 3 4 8" xfId="43065"/>
    <cellStyle name="Comma 18 2 3 4 9" xfId="43066"/>
    <cellStyle name="Comma 18 2 3 5" xfId="43067"/>
    <cellStyle name="Comma 18 2 3 5 2" xfId="43068"/>
    <cellStyle name="Comma 18 2 3 5 2 2" xfId="43069"/>
    <cellStyle name="Comma 18 2 3 5 2 3" xfId="43070"/>
    <cellStyle name="Comma 18 2 3 5 3" xfId="43071"/>
    <cellStyle name="Comma 18 2 3 5 3 2" xfId="43072"/>
    <cellStyle name="Comma 18 2 3 5 3 3" xfId="43073"/>
    <cellStyle name="Comma 18 2 3 5 4" xfId="43074"/>
    <cellStyle name="Comma 18 2 3 5 4 2" xfId="43075"/>
    <cellStyle name="Comma 18 2 3 5 5" xfId="43076"/>
    <cellStyle name="Comma 18 2 3 5 6" xfId="43077"/>
    <cellStyle name="Comma 18 2 3 6" xfId="43078"/>
    <cellStyle name="Comma 18 2 3 6 2" xfId="43079"/>
    <cellStyle name="Comma 18 2 3 6 2 2" xfId="43080"/>
    <cellStyle name="Comma 18 2 3 6 2 3" xfId="43081"/>
    <cellStyle name="Comma 18 2 3 6 3" xfId="43082"/>
    <cellStyle name="Comma 18 2 3 6 3 2" xfId="43083"/>
    <cellStyle name="Comma 18 2 3 6 3 3" xfId="43084"/>
    <cellStyle name="Comma 18 2 3 6 4" xfId="43085"/>
    <cellStyle name="Comma 18 2 3 6 4 2" xfId="43086"/>
    <cellStyle name="Comma 18 2 3 6 5" xfId="43087"/>
    <cellStyle name="Comma 18 2 3 6 6" xfId="43088"/>
    <cellStyle name="Comma 18 2 3 7" xfId="43089"/>
    <cellStyle name="Comma 18 2 3 7 2" xfId="43090"/>
    <cellStyle name="Comma 18 2 3 7 2 2" xfId="43091"/>
    <cellStyle name="Comma 18 2 3 7 2 3" xfId="43092"/>
    <cellStyle name="Comma 18 2 3 7 3" xfId="43093"/>
    <cellStyle name="Comma 18 2 3 7 3 2" xfId="43094"/>
    <cellStyle name="Comma 18 2 3 7 4" xfId="43095"/>
    <cellStyle name="Comma 18 2 3 7 5" xfId="43096"/>
    <cellStyle name="Comma 18 2 3 8" xfId="43097"/>
    <cellStyle name="Comma 18 2 3 8 2" xfId="43098"/>
    <cellStyle name="Comma 18 2 3 8 3" xfId="43099"/>
    <cellStyle name="Comma 18 2 3 9" xfId="43100"/>
    <cellStyle name="Comma 18 2 3 9 2" xfId="43101"/>
    <cellStyle name="Comma 18 2 3 9 3" xfId="43102"/>
    <cellStyle name="Comma 18 2 4" xfId="43103"/>
    <cellStyle name="Comma 18 2 4 10" xfId="43104"/>
    <cellStyle name="Comma 18 2 4 2" xfId="43105"/>
    <cellStyle name="Comma 18 2 4 2 2" xfId="43106"/>
    <cellStyle name="Comma 18 2 4 2 2 2" xfId="43107"/>
    <cellStyle name="Comma 18 2 4 2 2 2 2" xfId="43108"/>
    <cellStyle name="Comma 18 2 4 2 2 2 3" xfId="43109"/>
    <cellStyle name="Comma 18 2 4 2 2 3" xfId="43110"/>
    <cellStyle name="Comma 18 2 4 2 2 3 2" xfId="43111"/>
    <cellStyle name="Comma 18 2 4 2 2 3 3" xfId="43112"/>
    <cellStyle name="Comma 18 2 4 2 2 4" xfId="43113"/>
    <cellStyle name="Comma 18 2 4 2 2 4 2" xfId="43114"/>
    <cellStyle name="Comma 18 2 4 2 2 5" xfId="43115"/>
    <cellStyle name="Comma 18 2 4 2 2 6" xfId="43116"/>
    <cellStyle name="Comma 18 2 4 2 3" xfId="43117"/>
    <cellStyle name="Comma 18 2 4 2 3 2" xfId="43118"/>
    <cellStyle name="Comma 18 2 4 2 3 2 2" xfId="43119"/>
    <cellStyle name="Comma 18 2 4 2 3 2 3" xfId="43120"/>
    <cellStyle name="Comma 18 2 4 2 3 3" xfId="43121"/>
    <cellStyle name="Comma 18 2 4 2 3 3 2" xfId="43122"/>
    <cellStyle name="Comma 18 2 4 2 3 3 3" xfId="43123"/>
    <cellStyle name="Comma 18 2 4 2 3 4" xfId="43124"/>
    <cellStyle name="Comma 18 2 4 2 3 4 2" xfId="43125"/>
    <cellStyle name="Comma 18 2 4 2 3 5" xfId="43126"/>
    <cellStyle name="Comma 18 2 4 2 3 6" xfId="43127"/>
    <cellStyle name="Comma 18 2 4 2 4" xfId="43128"/>
    <cellStyle name="Comma 18 2 4 2 4 2" xfId="43129"/>
    <cellStyle name="Comma 18 2 4 2 4 2 2" xfId="43130"/>
    <cellStyle name="Comma 18 2 4 2 4 2 3" xfId="43131"/>
    <cellStyle name="Comma 18 2 4 2 4 3" xfId="43132"/>
    <cellStyle name="Comma 18 2 4 2 4 3 2" xfId="43133"/>
    <cellStyle name="Comma 18 2 4 2 4 4" xfId="43134"/>
    <cellStyle name="Comma 18 2 4 2 4 5" xfId="43135"/>
    <cellStyle name="Comma 18 2 4 2 5" xfId="43136"/>
    <cellStyle name="Comma 18 2 4 2 5 2" xfId="43137"/>
    <cellStyle name="Comma 18 2 4 2 5 3" xfId="43138"/>
    <cellStyle name="Comma 18 2 4 2 6" xfId="43139"/>
    <cellStyle name="Comma 18 2 4 2 6 2" xfId="43140"/>
    <cellStyle name="Comma 18 2 4 2 6 3" xfId="43141"/>
    <cellStyle name="Comma 18 2 4 2 7" xfId="43142"/>
    <cellStyle name="Comma 18 2 4 2 7 2" xfId="43143"/>
    <cellStyle name="Comma 18 2 4 2 8" xfId="43144"/>
    <cellStyle name="Comma 18 2 4 2 9" xfId="43145"/>
    <cellStyle name="Comma 18 2 4 3" xfId="43146"/>
    <cellStyle name="Comma 18 2 4 3 2" xfId="43147"/>
    <cellStyle name="Comma 18 2 4 3 2 2" xfId="43148"/>
    <cellStyle name="Comma 18 2 4 3 2 3" xfId="43149"/>
    <cellStyle name="Comma 18 2 4 3 3" xfId="43150"/>
    <cellStyle name="Comma 18 2 4 3 3 2" xfId="43151"/>
    <cellStyle name="Comma 18 2 4 3 3 3" xfId="43152"/>
    <cellStyle name="Comma 18 2 4 3 4" xfId="43153"/>
    <cellStyle name="Comma 18 2 4 3 4 2" xfId="43154"/>
    <cellStyle name="Comma 18 2 4 3 5" xfId="43155"/>
    <cellStyle name="Comma 18 2 4 3 6" xfId="43156"/>
    <cellStyle name="Comma 18 2 4 4" xfId="43157"/>
    <cellStyle name="Comma 18 2 4 4 2" xfId="43158"/>
    <cellStyle name="Comma 18 2 4 4 2 2" xfId="43159"/>
    <cellStyle name="Comma 18 2 4 4 2 3" xfId="43160"/>
    <cellStyle name="Comma 18 2 4 4 3" xfId="43161"/>
    <cellStyle name="Comma 18 2 4 4 3 2" xfId="43162"/>
    <cellStyle name="Comma 18 2 4 4 3 3" xfId="43163"/>
    <cellStyle name="Comma 18 2 4 4 4" xfId="43164"/>
    <cellStyle name="Comma 18 2 4 4 4 2" xfId="43165"/>
    <cellStyle name="Comma 18 2 4 4 5" xfId="43166"/>
    <cellStyle name="Comma 18 2 4 4 6" xfId="43167"/>
    <cellStyle name="Comma 18 2 4 5" xfId="43168"/>
    <cellStyle name="Comma 18 2 4 5 2" xfId="43169"/>
    <cellStyle name="Comma 18 2 4 5 2 2" xfId="43170"/>
    <cellStyle name="Comma 18 2 4 5 2 3" xfId="43171"/>
    <cellStyle name="Comma 18 2 4 5 3" xfId="43172"/>
    <cellStyle name="Comma 18 2 4 5 3 2" xfId="43173"/>
    <cellStyle name="Comma 18 2 4 5 4" xfId="43174"/>
    <cellStyle name="Comma 18 2 4 5 5" xfId="43175"/>
    <cellStyle name="Comma 18 2 4 6" xfId="43176"/>
    <cellStyle name="Comma 18 2 4 6 2" xfId="43177"/>
    <cellStyle name="Comma 18 2 4 6 3" xfId="43178"/>
    <cellStyle name="Comma 18 2 4 7" xfId="43179"/>
    <cellStyle name="Comma 18 2 4 7 2" xfId="43180"/>
    <cellStyle name="Comma 18 2 4 7 3" xfId="43181"/>
    <cellStyle name="Comma 18 2 4 8" xfId="43182"/>
    <cellStyle name="Comma 18 2 4 8 2" xfId="43183"/>
    <cellStyle name="Comma 18 2 4 9" xfId="43184"/>
    <cellStyle name="Comma 18 2 5" xfId="43185"/>
    <cellStyle name="Comma 18 2 5 2" xfId="43186"/>
    <cellStyle name="Comma 18 2 5 2 2" xfId="43187"/>
    <cellStyle name="Comma 18 2 5 2 2 2" xfId="43188"/>
    <cellStyle name="Comma 18 2 5 2 2 3" xfId="43189"/>
    <cellStyle name="Comma 18 2 5 2 3" xfId="43190"/>
    <cellStyle name="Comma 18 2 5 2 3 2" xfId="43191"/>
    <cellStyle name="Comma 18 2 5 2 3 3" xfId="43192"/>
    <cellStyle name="Comma 18 2 5 2 4" xfId="43193"/>
    <cellStyle name="Comma 18 2 5 2 4 2" xfId="43194"/>
    <cellStyle name="Comma 18 2 5 2 5" xfId="43195"/>
    <cellStyle name="Comma 18 2 5 2 6" xfId="43196"/>
    <cellStyle name="Comma 18 2 5 3" xfId="43197"/>
    <cellStyle name="Comma 18 2 5 3 2" xfId="43198"/>
    <cellStyle name="Comma 18 2 5 3 2 2" xfId="43199"/>
    <cellStyle name="Comma 18 2 5 3 2 3" xfId="43200"/>
    <cellStyle name="Comma 18 2 5 3 3" xfId="43201"/>
    <cellStyle name="Comma 18 2 5 3 3 2" xfId="43202"/>
    <cellStyle name="Comma 18 2 5 3 3 3" xfId="43203"/>
    <cellStyle name="Comma 18 2 5 3 4" xfId="43204"/>
    <cellStyle name="Comma 18 2 5 3 4 2" xfId="43205"/>
    <cellStyle name="Comma 18 2 5 3 5" xfId="43206"/>
    <cellStyle name="Comma 18 2 5 3 6" xfId="43207"/>
    <cellStyle name="Comma 18 2 5 4" xfId="43208"/>
    <cellStyle name="Comma 18 2 5 4 2" xfId="43209"/>
    <cellStyle name="Comma 18 2 5 4 2 2" xfId="43210"/>
    <cellStyle name="Comma 18 2 5 4 2 3" xfId="43211"/>
    <cellStyle name="Comma 18 2 5 4 3" xfId="43212"/>
    <cellStyle name="Comma 18 2 5 4 3 2" xfId="43213"/>
    <cellStyle name="Comma 18 2 5 4 4" xfId="43214"/>
    <cellStyle name="Comma 18 2 5 4 5" xfId="43215"/>
    <cellStyle name="Comma 18 2 5 5" xfId="43216"/>
    <cellStyle name="Comma 18 2 5 5 2" xfId="43217"/>
    <cellStyle name="Comma 18 2 5 5 3" xfId="43218"/>
    <cellStyle name="Comma 18 2 5 6" xfId="43219"/>
    <cellStyle name="Comma 18 2 5 6 2" xfId="43220"/>
    <cellStyle name="Comma 18 2 5 6 3" xfId="43221"/>
    <cellStyle name="Comma 18 2 5 7" xfId="43222"/>
    <cellStyle name="Comma 18 2 5 7 2" xfId="43223"/>
    <cellStyle name="Comma 18 2 5 8" xfId="43224"/>
    <cellStyle name="Comma 18 2 5 9" xfId="43225"/>
    <cellStyle name="Comma 18 2 6" xfId="43226"/>
    <cellStyle name="Comma 18 2 6 2" xfId="43227"/>
    <cellStyle name="Comma 18 2 6 2 2" xfId="43228"/>
    <cellStyle name="Comma 18 2 6 2 2 2" xfId="43229"/>
    <cellStyle name="Comma 18 2 6 2 2 3" xfId="43230"/>
    <cellStyle name="Comma 18 2 6 2 3" xfId="43231"/>
    <cellStyle name="Comma 18 2 6 2 3 2" xfId="43232"/>
    <cellStyle name="Comma 18 2 6 2 3 3" xfId="43233"/>
    <cellStyle name="Comma 18 2 6 2 4" xfId="43234"/>
    <cellStyle name="Comma 18 2 6 2 4 2" xfId="43235"/>
    <cellStyle name="Comma 18 2 6 2 5" xfId="43236"/>
    <cellStyle name="Comma 18 2 6 2 6" xfId="43237"/>
    <cellStyle name="Comma 18 2 6 3" xfId="43238"/>
    <cellStyle name="Comma 18 2 6 3 2" xfId="43239"/>
    <cellStyle name="Comma 18 2 6 3 2 2" xfId="43240"/>
    <cellStyle name="Comma 18 2 6 3 2 3" xfId="43241"/>
    <cellStyle name="Comma 18 2 6 3 3" xfId="43242"/>
    <cellStyle name="Comma 18 2 6 3 3 2" xfId="43243"/>
    <cellStyle name="Comma 18 2 6 3 3 3" xfId="43244"/>
    <cellStyle name="Comma 18 2 6 3 4" xfId="43245"/>
    <cellStyle name="Comma 18 2 6 3 4 2" xfId="43246"/>
    <cellStyle name="Comma 18 2 6 3 5" xfId="43247"/>
    <cellStyle name="Comma 18 2 6 3 6" xfId="43248"/>
    <cellStyle name="Comma 18 2 6 4" xfId="43249"/>
    <cellStyle name="Comma 18 2 6 4 2" xfId="43250"/>
    <cellStyle name="Comma 18 2 6 4 2 2" xfId="43251"/>
    <cellStyle name="Comma 18 2 6 4 2 3" xfId="43252"/>
    <cellStyle name="Comma 18 2 6 4 3" xfId="43253"/>
    <cellStyle name="Comma 18 2 6 4 3 2" xfId="43254"/>
    <cellStyle name="Comma 18 2 6 4 4" xfId="43255"/>
    <cellStyle name="Comma 18 2 6 4 5" xfId="43256"/>
    <cellStyle name="Comma 18 2 6 5" xfId="43257"/>
    <cellStyle name="Comma 18 2 6 5 2" xfId="43258"/>
    <cellStyle name="Comma 18 2 6 5 3" xfId="43259"/>
    <cellStyle name="Comma 18 2 6 6" xfId="43260"/>
    <cellStyle name="Comma 18 2 6 6 2" xfId="43261"/>
    <cellStyle name="Comma 18 2 6 6 3" xfId="43262"/>
    <cellStyle name="Comma 18 2 6 7" xfId="43263"/>
    <cellStyle name="Comma 18 2 6 7 2" xfId="43264"/>
    <cellStyle name="Comma 18 2 6 8" xfId="43265"/>
    <cellStyle name="Comma 18 2 6 9" xfId="43266"/>
    <cellStyle name="Comma 18 2 7" xfId="43267"/>
    <cellStyle name="Comma 18 2 7 2" xfId="43268"/>
    <cellStyle name="Comma 18 2 7 2 2" xfId="43269"/>
    <cellStyle name="Comma 18 2 7 2 3" xfId="43270"/>
    <cellStyle name="Comma 18 2 7 3" xfId="43271"/>
    <cellStyle name="Comma 18 2 7 3 2" xfId="43272"/>
    <cellStyle name="Comma 18 2 7 3 3" xfId="43273"/>
    <cellStyle name="Comma 18 2 7 4" xfId="43274"/>
    <cellStyle name="Comma 18 2 7 4 2" xfId="43275"/>
    <cellStyle name="Comma 18 2 7 5" xfId="43276"/>
    <cellStyle name="Comma 18 2 7 6" xfId="43277"/>
    <cellStyle name="Comma 18 2 8" xfId="43278"/>
    <cellStyle name="Comma 18 2 8 2" xfId="43279"/>
    <cellStyle name="Comma 18 2 8 2 2" xfId="43280"/>
    <cellStyle name="Comma 18 2 8 2 3" xfId="43281"/>
    <cellStyle name="Comma 18 2 8 3" xfId="43282"/>
    <cellStyle name="Comma 18 2 8 3 2" xfId="43283"/>
    <cellStyle name="Comma 18 2 8 3 3" xfId="43284"/>
    <cellStyle name="Comma 18 2 8 4" xfId="43285"/>
    <cellStyle name="Comma 18 2 8 4 2" xfId="43286"/>
    <cellStyle name="Comma 18 2 8 5" xfId="43287"/>
    <cellStyle name="Comma 18 2 8 6" xfId="43288"/>
    <cellStyle name="Comma 18 2 9" xfId="43289"/>
    <cellStyle name="Comma 18 2 9 2" xfId="43290"/>
    <cellStyle name="Comma 18 2 9 2 2" xfId="43291"/>
    <cellStyle name="Comma 18 2 9 2 3" xfId="43292"/>
    <cellStyle name="Comma 18 2 9 3" xfId="43293"/>
    <cellStyle name="Comma 18 2 9 3 2" xfId="43294"/>
    <cellStyle name="Comma 18 2 9 4" xfId="43295"/>
    <cellStyle name="Comma 18 2 9 5" xfId="43296"/>
    <cellStyle name="Comma 18 3" xfId="43297"/>
    <cellStyle name="Comma 18 3 10" xfId="43298"/>
    <cellStyle name="Comma 18 3 10 2" xfId="43299"/>
    <cellStyle name="Comma 18 3 10 3" xfId="43300"/>
    <cellStyle name="Comma 18 3 11" xfId="43301"/>
    <cellStyle name="Comma 18 3 11 2" xfId="43302"/>
    <cellStyle name="Comma 18 3 12" xfId="43303"/>
    <cellStyle name="Comma 18 3 13" xfId="43304"/>
    <cellStyle name="Comma 18 3 2" xfId="43305"/>
    <cellStyle name="Comma 18 3 2 10" xfId="43306"/>
    <cellStyle name="Comma 18 3 2 10 2" xfId="43307"/>
    <cellStyle name="Comma 18 3 2 11" xfId="43308"/>
    <cellStyle name="Comma 18 3 2 12" xfId="43309"/>
    <cellStyle name="Comma 18 3 2 2" xfId="43310"/>
    <cellStyle name="Comma 18 3 2 2 10" xfId="43311"/>
    <cellStyle name="Comma 18 3 2 2 2" xfId="43312"/>
    <cellStyle name="Comma 18 3 2 2 2 2" xfId="43313"/>
    <cellStyle name="Comma 18 3 2 2 2 2 2" xfId="43314"/>
    <cellStyle name="Comma 18 3 2 2 2 2 2 2" xfId="43315"/>
    <cellStyle name="Comma 18 3 2 2 2 2 2 3" xfId="43316"/>
    <cellStyle name="Comma 18 3 2 2 2 2 3" xfId="43317"/>
    <cellStyle name="Comma 18 3 2 2 2 2 3 2" xfId="43318"/>
    <cellStyle name="Comma 18 3 2 2 2 2 3 3" xfId="43319"/>
    <cellStyle name="Comma 18 3 2 2 2 2 4" xfId="43320"/>
    <cellStyle name="Comma 18 3 2 2 2 2 4 2" xfId="43321"/>
    <cellStyle name="Comma 18 3 2 2 2 2 5" xfId="43322"/>
    <cellStyle name="Comma 18 3 2 2 2 2 6" xfId="43323"/>
    <cellStyle name="Comma 18 3 2 2 2 3" xfId="43324"/>
    <cellStyle name="Comma 18 3 2 2 2 3 2" xfId="43325"/>
    <cellStyle name="Comma 18 3 2 2 2 3 2 2" xfId="43326"/>
    <cellStyle name="Comma 18 3 2 2 2 3 2 3" xfId="43327"/>
    <cellStyle name="Comma 18 3 2 2 2 3 3" xfId="43328"/>
    <cellStyle name="Comma 18 3 2 2 2 3 3 2" xfId="43329"/>
    <cellStyle name="Comma 18 3 2 2 2 3 3 3" xfId="43330"/>
    <cellStyle name="Comma 18 3 2 2 2 3 4" xfId="43331"/>
    <cellStyle name="Comma 18 3 2 2 2 3 4 2" xfId="43332"/>
    <cellStyle name="Comma 18 3 2 2 2 3 5" xfId="43333"/>
    <cellStyle name="Comma 18 3 2 2 2 3 6" xfId="43334"/>
    <cellStyle name="Comma 18 3 2 2 2 4" xfId="43335"/>
    <cellStyle name="Comma 18 3 2 2 2 4 2" xfId="43336"/>
    <cellStyle name="Comma 18 3 2 2 2 4 2 2" xfId="43337"/>
    <cellStyle name="Comma 18 3 2 2 2 4 2 3" xfId="43338"/>
    <cellStyle name="Comma 18 3 2 2 2 4 3" xfId="43339"/>
    <cellStyle name="Comma 18 3 2 2 2 4 3 2" xfId="43340"/>
    <cellStyle name="Comma 18 3 2 2 2 4 4" xfId="43341"/>
    <cellStyle name="Comma 18 3 2 2 2 4 5" xfId="43342"/>
    <cellStyle name="Comma 18 3 2 2 2 5" xfId="43343"/>
    <cellStyle name="Comma 18 3 2 2 2 5 2" xfId="43344"/>
    <cellStyle name="Comma 18 3 2 2 2 5 3" xfId="43345"/>
    <cellStyle name="Comma 18 3 2 2 2 6" xfId="43346"/>
    <cellStyle name="Comma 18 3 2 2 2 6 2" xfId="43347"/>
    <cellStyle name="Comma 18 3 2 2 2 6 3" xfId="43348"/>
    <cellStyle name="Comma 18 3 2 2 2 7" xfId="43349"/>
    <cellStyle name="Comma 18 3 2 2 2 7 2" xfId="43350"/>
    <cellStyle name="Comma 18 3 2 2 2 8" xfId="43351"/>
    <cellStyle name="Comma 18 3 2 2 2 9" xfId="43352"/>
    <cellStyle name="Comma 18 3 2 2 3" xfId="43353"/>
    <cellStyle name="Comma 18 3 2 2 3 2" xfId="43354"/>
    <cellStyle name="Comma 18 3 2 2 3 2 2" xfId="43355"/>
    <cellStyle name="Comma 18 3 2 2 3 2 3" xfId="43356"/>
    <cellStyle name="Comma 18 3 2 2 3 3" xfId="43357"/>
    <cellStyle name="Comma 18 3 2 2 3 3 2" xfId="43358"/>
    <cellStyle name="Comma 18 3 2 2 3 3 3" xfId="43359"/>
    <cellStyle name="Comma 18 3 2 2 3 4" xfId="43360"/>
    <cellStyle name="Comma 18 3 2 2 3 4 2" xfId="43361"/>
    <cellStyle name="Comma 18 3 2 2 3 5" xfId="43362"/>
    <cellStyle name="Comma 18 3 2 2 3 6" xfId="43363"/>
    <cellStyle name="Comma 18 3 2 2 4" xfId="43364"/>
    <cellStyle name="Comma 18 3 2 2 4 2" xfId="43365"/>
    <cellStyle name="Comma 18 3 2 2 4 2 2" xfId="43366"/>
    <cellStyle name="Comma 18 3 2 2 4 2 3" xfId="43367"/>
    <cellStyle name="Comma 18 3 2 2 4 3" xfId="43368"/>
    <cellStyle name="Comma 18 3 2 2 4 3 2" xfId="43369"/>
    <cellStyle name="Comma 18 3 2 2 4 3 3" xfId="43370"/>
    <cellStyle name="Comma 18 3 2 2 4 4" xfId="43371"/>
    <cellStyle name="Comma 18 3 2 2 4 4 2" xfId="43372"/>
    <cellStyle name="Comma 18 3 2 2 4 5" xfId="43373"/>
    <cellStyle name="Comma 18 3 2 2 4 6" xfId="43374"/>
    <cellStyle name="Comma 18 3 2 2 5" xfId="43375"/>
    <cellStyle name="Comma 18 3 2 2 5 2" xfId="43376"/>
    <cellStyle name="Comma 18 3 2 2 5 2 2" xfId="43377"/>
    <cellStyle name="Comma 18 3 2 2 5 2 3" xfId="43378"/>
    <cellStyle name="Comma 18 3 2 2 5 3" xfId="43379"/>
    <cellStyle name="Comma 18 3 2 2 5 3 2" xfId="43380"/>
    <cellStyle name="Comma 18 3 2 2 5 4" xfId="43381"/>
    <cellStyle name="Comma 18 3 2 2 5 5" xfId="43382"/>
    <cellStyle name="Comma 18 3 2 2 6" xfId="43383"/>
    <cellStyle name="Comma 18 3 2 2 6 2" xfId="43384"/>
    <cellStyle name="Comma 18 3 2 2 6 3" xfId="43385"/>
    <cellStyle name="Comma 18 3 2 2 7" xfId="43386"/>
    <cellStyle name="Comma 18 3 2 2 7 2" xfId="43387"/>
    <cellStyle name="Comma 18 3 2 2 7 3" xfId="43388"/>
    <cellStyle name="Comma 18 3 2 2 8" xfId="43389"/>
    <cellStyle name="Comma 18 3 2 2 8 2" xfId="43390"/>
    <cellStyle name="Comma 18 3 2 2 9" xfId="43391"/>
    <cellStyle name="Comma 18 3 2 3" xfId="43392"/>
    <cellStyle name="Comma 18 3 2 3 2" xfId="43393"/>
    <cellStyle name="Comma 18 3 2 3 2 2" xfId="43394"/>
    <cellStyle name="Comma 18 3 2 3 2 2 2" xfId="43395"/>
    <cellStyle name="Comma 18 3 2 3 2 2 3" xfId="43396"/>
    <cellStyle name="Comma 18 3 2 3 2 3" xfId="43397"/>
    <cellStyle name="Comma 18 3 2 3 2 3 2" xfId="43398"/>
    <cellStyle name="Comma 18 3 2 3 2 3 3" xfId="43399"/>
    <cellStyle name="Comma 18 3 2 3 2 4" xfId="43400"/>
    <cellStyle name="Comma 18 3 2 3 2 4 2" xfId="43401"/>
    <cellStyle name="Comma 18 3 2 3 2 5" xfId="43402"/>
    <cellStyle name="Comma 18 3 2 3 2 6" xfId="43403"/>
    <cellStyle name="Comma 18 3 2 3 3" xfId="43404"/>
    <cellStyle name="Comma 18 3 2 3 3 2" xfId="43405"/>
    <cellStyle name="Comma 18 3 2 3 3 2 2" xfId="43406"/>
    <cellStyle name="Comma 18 3 2 3 3 2 3" xfId="43407"/>
    <cellStyle name="Comma 18 3 2 3 3 3" xfId="43408"/>
    <cellStyle name="Comma 18 3 2 3 3 3 2" xfId="43409"/>
    <cellStyle name="Comma 18 3 2 3 3 3 3" xfId="43410"/>
    <cellStyle name="Comma 18 3 2 3 3 4" xfId="43411"/>
    <cellStyle name="Comma 18 3 2 3 3 4 2" xfId="43412"/>
    <cellStyle name="Comma 18 3 2 3 3 5" xfId="43413"/>
    <cellStyle name="Comma 18 3 2 3 3 6" xfId="43414"/>
    <cellStyle name="Comma 18 3 2 3 4" xfId="43415"/>
    <cellStyle name="Comma 18 3 2 3 4 2" xfId="43416"/>
    <cellStyle name="Comma 18 3 2 3 4 2 2" xfId="43417"/>
    <cellStyle name="Comma 18 3 2 3 4 2 3" xfId="43418"/>
    <cellStyle name="Comma 18 3 2 3 4 3" xfId="43419"/>
    <cellStyle name="Comma 18 3 2 3 4 3 2" xfId="43420"/>
    <cellStyle name="Comma 18 3 2 3 4 4" xfId="43421"/>
    <cellStyle name="Comma 18 3 2 3 4 5" xfId="43422"/>
    <cellStyle name="Comma 18 3 2 3 5" xfId="43423"/>
    <cellStyle name="Comma 18 3 2 3 5 2" xfId="43424"/>
    <cellStyle name="Comma 18 3 2 3 5 3" xfId="43425"/>
    <cellStyle name="Comma 18 3 2 3 6" xfId="43426"/>
    <cellStyle name="Comma 18 3 2 3 6 2" xfId="43427"/>
    <cellStyle name="Comma 18 3 2 3 6 3" xfId="43428"/>
    <cellStyle name="Comma 18 3 2 3 7" xfId="43429"/>
    <cellStyle name="Comma 18 3 2 3 7 2" xfId="43430"/>
    <cellStyle name="Comma 18 3 2 3 8" xfId="43431"/>
    <cellStyle name="Comma 18 3 2 3 9" xfId="43432"/>
    <cellStyle name="Comma 18 3 2 4" xfId="43433"/>
    <cellStyle name="Comma 18 3 2 4 2" xfId="43434"/>
    <cellStyle name="Comma 18 3 2 4 2 2" xfId="43435"/>
    <cellStyle name="Comma 18 3 2 4 2 2 2" xfId="43436"/>
    <cellStyle name="Comma 18 3 2 4 2 2 3" xfId="43437"/>
    <cellStyle name="Comma 18 3 2 4 2 3" xfId="43438"/>
    <cellStyle name="Comma 18 3 2 4 2 3 2" xfId="43439"/>
    <cellStyle name="Comma 18 3 2 4 2 3 3" xfId="43440"/>
    <cellStyle name="Comma 18 3 2 4 2 4" xfId="43441"/>
    <cellStyle name="Comma 18 3 2 4 2 4 2" xfId="43442"/>
    <cellStyle name="Comma 18 3 2 4 2 5" xfId="43443"/>
    <cellStyle name="Comma 18 3 2 4 2 6" xfId="43444"/>
    <cellStyle name="Comma 18 3 2 4 3" xfId="43445"/>
    <cellStyle name="Comma 18 3 2 4 3 2" xfId="43446"/>
    <cellStyle name="Comma 18 3 2 4 3 2 2" xfId="43447"/>
    <cellStyle name="Comma 18 3 2 4 3 2 3" xfId="43448"/>
    <cellStyle name="Comma 18 3 2 4 3 3" xfId="43449"/>
    <cellStyle name="Comma 18 3 2 4 3 3 2" xfId="43450"/>
    <cellStyle name="Comma 18 3 2 4 3 3 3" xfId="43451"/>
    <cellStyle name="Comma 18 3 2 4 3 4" xfId="43452"/>
    <cellStyle name="Comma 18 3 2 4 3 4 2" xfId="43453"/>
    <cellStyle name="Comma 18 3 2 4 3 5" xfId="43454"/>
    <cellStyle name="Comma 18 3 2 4 3 6" xfId="43455"/>
    <cellStyle name="Comma 18 3 2 4 4" xfId="43456"/>
    <cellStyle name="Comma 18 3 2 4 4 2" xfId="43457"/>
    <cellStyle name="Comma 18 3 2 4 4 2 2" xfId="43458"/>
    <cellStyle name="Comma 18 3 2 4 4 2 3" xfId="43459"/>
    <cellStyle name="Comma 18 3 2 4 4 3" xfId="43460"/>
    <cellStyle name="Comma 18 3 2 4 4 3 2" xfId="43461"/>
    <cellStyle name="Comma 18 3 2 4 4 4" xfId="43462"/>
    <cellStyle name="Comma 18 3 2 4 4 5" xfId="43463"/>
    <cellStyle name="Comma 18 3 2 4 5" xfId="43464"/>
    <cellStyle name="Comma 18 3 2 4 5 2" xfId="43465"/>
    <cellStyle name="Comma 18 3 2 4 5 3" xfId="43466"/>
    <cellStyle name="Comma 18 3 2 4 6" xfId="43467"/>
    <cellStyle name="Comma 18 3 2 4 6 2" xfId="43468"/>
    <cellStyle name="Comma 18 3 2 4 6 3" xfId="43469"/>
    <cellStyle name="Comma 18 3 2 4 7" xfId="43470"/>
    <cellStyle name="Comma 18 3 2 4 7 2" xfId="43471"/>
    <cellStyle name="Comma 18 3 2 4 8" xfId="43472"/>
    <cellStyle name="Comma 18 3 2 4 9" xfId="43473"/>
    <cellStyle name="Comma 18 3 2 5" xfId="43474"/>
    <cellStyle name="Comma 18 3 2 5 2" xfId="43475"/>
    <cellStyle name="Comma 18 3 2 5 2 2" xfId="43476"/>
    <cellStyle name="Comma 18 3 2 5 2 3" xfId="43477"/>
    <cellStyle name="Comma 18 3 2 5 3" xfId="43478"/>
    <cellStyle name="Comma 18 3 2 5 3 2" xfId="43479"/>
    <cellStyle name="Comma 18 3 2 5 3 3" xfId="43480"/>
    <cellStyle name="Comma 18 3 2 5 4" xfId="43481"/>
    <cellStyle name="Comma 18 3 2 5 4 2" xfId="43482"/>
    <cellStyle name="Comma 18 3 2 5 5" xfId="43483"/>
    <cellStyle name="Comma 18 3 2 5 6" xfId="43484"/>
    <cellStyle name="Comma 18 3 2 6" xfId="43485"/>
    <cellStyle name="Comma 18 3 2 6 2" xfId="43486"/>
    <cellStyle name="Comma 18 3 2 6 2 2" xfId="43487"/>
    <cellStyle name="Comma 18 3 2 6 2 3" xfId="43488"/>
    <cellStyle name="Comma 18 3 2 6 3" xfId="43489"/>
    <cellStyle name="Comma 18 3 2 6 3 2" xfId="43490"/>
    <cellStyle name="Comma 18 3 2 6 3 3" xfId="43491"/>
    <cellStyle name="Comma 18 3 2 6 4" xfId="43492"/>
    <cellStyle name="Comma 18 3 2 6 4 2" xfId="43493"/>
    <cellStyle name="Comma 18 3 2 6 5" xfId="43494"/>
    <cellStyle name="Comma 18 3 2 6 6" xfId="43495"/>
    <cellStyle name="Comma 18 3 2 7" xfId="43496"/>
    <cellStyle name="Comma 18 3 2 7 2" xfId="43497"/>
    <cellStyle name="Comma 18 3 2 7 2 2" xfId="43498"/>
    <cellStyle name="Comma 18 3 2 7 2 3" xfId="43499"/>
    <cellStyle name="Comma 18 3 2 7 3" xfId="43500"/>
    <cellStyle name="Comma 18 3 2 7 3 2" xfId="43501"/>
    <cellStyle name="Comma 18 3 2 7 4" xfId="43502"/>
    <cellStyle name="Comma 18 3 2 7 5" xfId="43503"/>
    <cellStyle name="Comma 18 3 2 8" xfId="43504"/>
    <cellStyle name="Comma 18 3 2 8 2" xfId="43505"/>
    <cellStyle name="Comma 18 3 2 8 3" xfId="43506"/>
    <cellStyle name="Comma 18 3 2 9" xfId="43507"/>
    <cellStyle name="Comma 18 3 2 9 2" xfId="43508"/>
    <cellStyle name="Comma 18 3 2 9 3" xfId="43509"/>
    <cellStyle name="Comma 18 3 3" xfId="43510"/>
    <cellStyle name="Comma 18 3 3 10" xfId="43511"/>
    <cellStyle name="Comma 18 3 3 2" xfId="43512"/>
    <cellStyle name="Comma 18 3 3 2 2" xfId="43513"/>
    <cellStyle name="Comma 18 3 3 2 2 2" xfId="43514"/>
    <cellStyle name="Comma 18 3 3 2 2 2 2" xfId="43515"/>
    <cellStyle name="Comma 18 3 3 2 2 2 3" xfId="43516"/>
    <cellStyle name="Comma 18 3 3 2 2 3" xfId="43517"/>
    <cellStyle name="Comma 18 3 3 2 2 3 2" xfId="43518"/>
    <cellStyle name="Comma 18 3 3 2 2 3 3" xfId="43519"/>
    <cellStyle name="Comma 18 3 3 2 2 4" xfId="43520"/>
    <cellStyle name="Comma 18 3 3 2 2 4 2" xfId="43521"/>
    <cellStyle name="Comma 18 3 3 2 2 5" xfId="43522"/>
    <cellStyle name="Comma 18 3 3 2 2 6" xfId="43523"/>
    <cellStyle name="Comma 18 3 3 2 3" xfId="43524"/>
    <cellStyle name="Comma 18 3 3 2 3 2" xfId="43525"/>
    <cellStyle name="Comma 18 3 3 2 3 2 2" xfId="43526"/>
    <cellStyle name="Comma 18 3 3 2 3 2 3" xfId="43527"/>
    <cellStyle name="Comma 18 3 3 2 3 3" xfId="43528"/>
    <cellStyle name="Comma 18 3 3 2 3 3 2" xfId="43529"/>
    <cellStyle name="Comma 18 3 3 2 3 3 3" xfId="43530"/>
    <cellStyle name="Comma 18 3 3 2 3 4" xfId="43531"/>
    <cellStyle name="Comma 18 3 3 2 3 4 2" xfId="43532"/>
    <cellStyle name="Comma 18 3 3 2 3 5" xfId="43533"/>
    <cellStyle name="Comma 18 3 3 2 3 6" xfId="43534"/>
    <cellStyle name="Comma 18 3 3 2 4" xfId="43535"/>
    <cellStyle name="Comma 18 3 3 2 4 2" xfId="43536"/>
    <cellStyle name="Comma 18 3 3 2 4 2 2" xfId="43537"/>
    <cellStyle name="Comma 18 3 3 2 4 2 3" xfId="43538"/>
    <cellStyle name="Comma 18 3 3 2 4 3" xfId="43539"/>
    <cellStyle name="Comma 18 3 3 2 4 3 2" xfId="43540"/>
    <cellStyle name="Comma 18 3 3 2 4 4" xfId="43541"/>
    <cellStyle name="Comma 18 3 3 2 4 5" xfId="43542"/>
    <cellStyle name="Comma 18 3 3 2 5" xfId="43543"/>
    <cellStyle name="Comma 18 3 3 2 5 2" xfId="43544"/>
    <cellStyle name="Comma 18 3 3 2 5 3" xfId="43545"/>
    <cellStyle name="Comma 18 3 3 2 6" xfId="43546"/>
    <cellStyle name="Comma 18 3 3 2 6 2" xfId="43547"/>
    <cellStyle name="Comma 18 3 3 2 6 3" xfId="43548"/>
    <cellStyle name="Comma 18 3 3 2 7" xfId="43549"/>
    <cellStyle name="Comma 18 3 3 2 7 2" xfId="43550"/>
    <cellStyle name="Comma 18 3 3 2 8" xfId="43551"/>
    <cellStyle name="Comma 18 3 3 2 9" xfId="43552"/>
    <cellStyle name="Comma 18 3 3 3" xfId="43553"/>
    <cellStyle name="Comma 18 3 3 3 2" xfId="43554"/>
    <cellStyle name="Comma 18 3 3 3 2 2" xfId="43555"/>
    <cellStyle name="Comma 18 3 3 3 2 3" xfId="43556"/>
    <cellStyle name="Comma 18 3 3 3 3" xfId="43557"/>
    <cellStyle name="Comma 18 3 3 3 3 2" xfId="43558"/>
    <cellStyle name="Comma 18 3 3 3 3 3" xfId="43559"/>
    <cellStyle name="Comma 18 3 3 3 4" xfId="43560"/>
    <cellStyle name="Comma 18 3 3 3 4 2" xfId="43561"/>
    <cellStyle name="Comma 18 3 3 3 5" xfId="43562"/>
    <cellStyle name="Comma 18 3 3 3 6" xfId="43563"/>
    <cellStyle name="Comma 18 3 3 4" xfId="43564"/>
    <cellStyle name="Comma 18 3 3 4 2" xfId="43565"/>
    <cellStyle name="Comma 18 3 3 4 2 2" xfId="43566"/>
    <cellStyle name="Comma 18 3 3 4 2 3" xfId="43567"/>
    <cellStyle name="Comma 18 3 3 4 3" xfId="43568"/>
    <cellStyle name="Comma 18 3 3 4 3 2" xfId="43569"/>
    <cellStyle name="Comma 18 3 3 4 3 3" xfId="43570"/>
    <cellStyle name="Comma 18 3 3 4 4" xfId="43571"/>
    <cellStyle name="Comma 18 3 3 4 4 2" xfId="43572"/>
    <cellStyle name="Comma 18 3 3 4 5" xfId="43573"/>
    <cellStyle name="Comma 18 3 3 4 6" xfId="43574"/>
    <cellStyle name="Comma 18 3 3 5" xfId="43575"/>
    <cellStyle name="Comma 18 3 3 5 2" xfId="43576"/>
    <cellStyle name="Comma 18 3 3 5 2 2" xfId="43577"/>
    <cellStyle name="Comma 18 3 3 5 2 3" xfId="43578"/>
    <cellStyle name="Comma 18 3 3 5 3" xfId="43579"/>
    <cellStyle name="Comma 18 3 3 5 3 2" xfId="43580"/>
    <cellStyle name="Comma 18 3 3 5 4" xfId="43581"/>
    <cellStyle name="Comma 18 3 3 5 5" xfId="43582"/>
    <cellStyle name="Comma 18 3 3 6" xfId="43583"/>
    <cellStyle name="Comma 18 3 3 6 2" xfId="43584"/>
    <cellStyle name="Comma 18 3 3 6 3" xfId="43585"/>
    <cellStyle name="Comma 18 3 3 7" xfId="43586"/>
    <cellStyle name="Comma 18 3 3 7 2" xfId="43587"/>
    <cellStyle name="Comma 18 3 3 7 3" xfId="43588"/>
    <cellStyle name="Comma 18 3 3 8" xfId="43589"/>
    <cellStyle name="Comma 18 3 3 8 2" xfId="43590"/>
    <cellStyle name="Comma 18 3 3 9" xfId="43591"/>
    <cellStyle name="Comma 18 3 4" xfId="43592"/>
    <cellStyle name="Comma 18 3 4 2" xfId="43593"/>
    <cellStyle name="Comma 18 3 4 2 2" xfId="43594"/>
    <cellStyle name="Comma 18 3 4 2 2 2" xfId="43595"/>
    <cellStyle name="Comma 18 3 4 2 2 3" xfId="43596"/>
    <cellStyle name="Comma 18 3 4 2 3" xfId="43597"/>
    <cellStyle name="Comma 18 3 4 2 3 2" xfId="43598"/>
    <cellStyle name="Comma 18 3 4 2 3 3" xfId="43599"/>
    <cellStyle name="Comma 18 3 4 2 4" xfId="43600"/>
    <cellStyle name="Comma 18 3 4 2 4 2" xfId="43601"/>
    <cellStyle name="Comma 18 3 4 2 5" xfId="43602"/>
    <cellStyle name="Comma 18 3 4 2 6" xfId="43603"/>
    <cellStyle name="Comma 18 3 4 3" xfId="43604"/>
    <cellStyle name="Comma 18 3 4 3 2" xfId="43605"/>
    <cellStyle name="Comma 18 3 4 3 2 2" xfId="43606"/>
    <cellStyle name="Comma 18 3 4 3 2 3" xfId="43607"/>
    <cellStyle name="Comma 18 3 4 3 3" xfId="43608"/>
    <cellStyle name="Comma 18 3 4 3 3 2" xfId="43609"/>
    <cellStyle name="Comma 18 3 4 3 3 3" xfId="43610"/>
    <cellStyle name="Comma 18 3 4 3 4" xfId="43611"/>
    <cellStyle name="Comma 18 3 4 3 4 2" xfId="43612"/>
    <cellStyle name="Comma 18 3 4 3 5" xfId="43613"/>
    <cellStyle name="Comma 18 3 4 3 6" xfId="43614"/>
    <cellStyle name="Comma 18 3 4 4" xfId="43615"/>
    <cellStyle name="Comma 18 3 4 4 2" xfId="43616"/>
    <cellStyle name="Comma 18 3 4 4 2 2" xfId="43617"/>
    <cellStyle name="Comma 18 3 4 4 2 3" xfId="43618"/>
    <cellStyle name="Comma 18 3 4 4 3" xfId="43619"/>
    <cellStyle name="Comma 18 3 4 4 3 2" xfId="43620"/>
    <cellStyle name="Comma 18 3 4 4 4" xfId="43621"/>
    <cellStyle name="Comma 18 3 4 4 5" xfId="43622"/>
    <cellStyle name="Comma 18 3 4 5" xfId="43623"/>
    <cellStyle name="Comma 18 3 4 5 2" xfId="43624"/>
    <cellStyle name="Comma 18 3 4 5 3" xfId="43625"/>
    <cellStyle name="Comma 18 3 4 6" xfId="43626"/>
    <cellStyle name="Comma 18 3 4 6 2" xfId="43627"/>
    <cellStyle name="Comma 18 3 4 6 3" xfId="43628"/>
    <cellStyle name="Comma 18 3 4 7" xfId="43629"/>
    <cellStyle name="Comma 18 3 4 7 2" xfId="43630"/>
    <cellStyle name="Comma 18 3 4 8" xfId="43631"/>
    <cellStyle name="Comma 18 3 4 9" xfId="43632"/>
    <cellStyle name="Comma 18 3 5" xfId="43633"/>
    <cellStyle name="Comma 18 3 5 2" xfId="43634"/>
    <cellStyle name="Comma 18 3 5 2 2" xfId="43635"/>
    <cellStyle name="Comma 18 3 5 2 2 2" xfId="43636"/>
    <cellStyle name="Comma 18 3 5 2 2 3" xfId="43637"/>
    <cellStyle name="Comma 18 3 5 2 3" xfId="43638"/>
    <cellStyle name="Comma 18 3 5 2 3 2" xfId="43639"/>
    <cellStyle name="Comma 18 3 5 2 3 3" xfId="43640"/>
    <cellStyle name="Comma 18 3 5 2 4" xfId="43641"/>
    <cellStyle name="Comma 18 3 5 2 4 2" xfId="43642"/>
    <cellStyle name="Comma 18 3 5 2 5" xfId="43643"/>
    <cellStyle name="Comma 18 3 5 2 6" xfId="43644"/>
    <cellStyle name="Comma 18 3 5 3" xfId="43645"/>
    <cellStyle name="Comma 18 3 5 3 2" xfId="43646"/>
    <cellStyle name="Comma 18 3 5 3 2 2" xfId="43647"/>
    <cellStyle name="Comma 18 3 5 3 2 3" xfId="43648"/>
    <cellStyle name="Comma 18 3 5 3 3" xfId="43649"/>
    <cellStyle name="Comma 18 3 5 3 3 2" xfId="43650"/>
    <cellStyle name="Comma 18 3 5 3 3 3" xfId="43651"/>
    <cellStyle name="Comma 18 3 5 3 4" xfId="43652"/>
    <cellStyle name="Comma 18 3 5 3 4 2" xfId="43653"/>
    <cellStyle name="Comma 18 3 5 3 5" xfId="43654"/>
    <cellStyle name="Comma 18 3 5 3 6" xfId="43655"/>
    <cellStyle name="Comma 18 3 5 4" xfId="43656"/>
    <cellStyle name="Comma 18 3 5 4 2" xfId="43657"/>
    <cellStyle name="Comma 18 3 5 4 2 2" xfId="43658"/>
    <cellStyle name="Comma 18 3 5 4 2 3" xfId="43659"/>
    <cellStyle name="Comma 18 3 5 4 3" xfId="43660"/>
    <cellStyle name="Comma 18 3 5 4 3 2" xfId="43661"/>
    <cellStyle name="Comma 18 3 5 4 4" xfId="43662"/>
    <cellStyle name="Comma 18 3 5 4 5" xfId="43663"/>
    <cellStyle name="Comma 18 3 5 5" xfId="43664"/>
    <cellStyle name="Comma 18 3 5 5 2" xfId="43665"/>
    <cellStyle name="Comma 18 3 5 5 3" xfId="43666"/>
    <cellStyle name="Comma 18 3 5 6" xfId="43667"/>
    <cellStyle name="Comma 18 3 5 6 2" xfId="43668"/>
    <cellStyle name="Comma 18 3 5 6 3" xfId="43669"/>
    <cellStyle name="Comma 18 3 5 7" xfId="43670"/>
    <cellStyle name="Comma 18 3 5 7 2" xfId="43671"/>
    <cellStyle name="Comma 18 3 5 8" xfId="43672"/>
    <cellStyle name="Comma 18 3 5 9" xfId="43673"/>
    <cellStyle name="Comma 18 3 6" xfId="43674"/>
    <cellStyle name="Comma 18 3 6 2" xfId="43675"/>
    <cellStyle name="Comma 18 3 6 2 2" xfId="43676"/>
    <cellStyle name="Comma 18 3 6 2 3" xfId="43677"/>
    <cellStyle name="Comma 18 3 6 3" xfId="43678"/>
    <cellStyle name="Comma 18 3 6 3 2" xfId="43679"/>
    <cellStyle name="Comma 18 3 6 3 3" xfId="43680"/>
    <cellStyle name="Comma 18 3 6 4" xfId="43681"/>
    <cellStyle name="Comma 18 3 6 4 2" xfId="43682"/>
    <cellStyle name="Comma 18 3 6 5" xfId="43683"/>
    <cellStyle name="Comma 18 3 6 6" xfId="43684"/>
    <cellStyle name="Comma 18 3 7" xfId="43685"/>
    <cellStyle name="Comma 18 3 7 2" xfId="43686"/>
    <cellStyle name="Comma 18 3 7 2 2" xfId="43687"/>
    <cellStyle name="Comma 18 3 7 2 3" xfId="43688"/>
    <cellStyle name="Comma 18 3 7 3" xfId="43689"/>
    <cellStyle name="Comma 18 3 7 3 2" xfId="43690"/>
    <cellStyle name="Comma 18 3 7 3 3" xfId="43691"/>
    <cellStyle name="Comma 18 3 7 4" xfId="43692"/>
    <cellStyle name="Comma 18 3 7 4 2" xfId="43693"/>
    <cellStyle name="Comma 18 3 7 5" xfId="43694"/>
    <cellStyle name="Comma 18 3 7 6" xfId="43695"/>
    <cellStyle name="Comma 18 3 8" xfId="43696"/>
    <cellStyle name="Comma 18 3 8 2" xfId="43697"/>
    <cellStyle name="Comma 18 3 8 2 2" xfId="43698"/>
    <cellStyle name="Comma 18 3 8 2 3" xfId="43699"/>
    <cellStyle name="Comma 18 3 8 3" xfId="43700"/>
    <cellStyle name="Comma 18 3 8 3 2" xfId="43701"/>
    <cellStyle name="Comma 18 3 8 4" xfId="43702"/>
    <cellStyle name="Comma 18 3 8 5" xfId="43703"/>
    <cellStyle name="Comma 18 3 9" xfId="43704"/>
    <cellStyle name="Comma 18 3 9 2" xfId="43705"/>
    <cellStyle name="Comma 18 3 9 3" xfId="43706"/>
    <cellStyle name="Comma 18 4" xfId="43707"/>
    <cellStyle name="Comma 18 4 10" xfId="43708"/>
    <cellStyle name="Comma 18 4 10 2" xfId="43709"/>
    <cellStyle name="Comma 18 4 11" xfId="43710"/>
    <cellStyle name="Comma 18 4 12" xfId="43711"/>
    <cellStyle name="Comma 18 4 2" xfId="43712"/>
    <cellStyle name="Comma 18 4 2 10" xfId="43713"/>
    <cellStyle name="Comma 18 4 2 2" xfId="43714"/>
    <cellStyle name="Comma 18 4 2 2 2" xfId="43715"/>
    <cellStyle name="Comma 18 4 2 2 2 2" xfId="43716"/>
    <cellStyle name="Comma 18 4 2 2 2 2 2" xfId="43717"/>
    <cellStyle name="Comma 18 4 2 2 2 2 3" xfId="43718"/>
    <cellStyle name="Comma 18 4 2 2 2 3" xfId="43719"/>
    <cellStyle name="Comma 18 4 2 2 2 3 2" xfId="43720"/>
    <cellStyle name="Comma 18 4 2 2 2 3 3" xfId="43721"/>
    <cellStyle name="Comma 18 4 2 2 2 4" xfId="43722"/>
    <cellStyle name="Comma 18 4 2 2 2 4 2" xfId="43723"/>
    <cellStyle name="Comma 18 4 2 2 2 5" xfId="43724"/>
    <cellStyle name="Comma 18 4 2 2 2 6" xfId="43725"/>
    <cellStyle name="Comma 18 4 2 2 3" xfId="43726"/>
    <cellStyle name="Comma 18 4 2 2 3 2" xfId="43727"/>
    <cellStyle name="Comma 18 4 2 2 3 2 2" xfId="43728"/>
    <cellStyle name="Comma 18 4 2 2 3 2 3" xfId="43729"/>
    <cellStyle name="Comma 18 4 2 2 3 3" xfId="43730"/>
    <cellStyle name="Comma 18 4 2 2 3 3 2" xfId="43731"/>
    <cellStyle name="Comma 18 4 2 2 3 3 3" xfId="43732"/>
    <cellStyle name="Comma 18 4 2 2 3 4" xfId="43733"/>
    <cellStyle name="Comma 18 4 2 2 3 4 2" xfId="43734"/>
    <cellStyle name="Comma 18 4 2 2 3 5" xfId="43735"/>
    <cellStyle name="Comma 18 4 2 2 3 6" xfId="43736"/>
    <cellStyle name="Comma 18 4 2 2 4" xfId="43737"/>
    <cellStyle name="Comma 18 4 2 2 4 2" xfId="43738"/>
    <cellStyle name="Comma 18 4 2 2 4 2 2" xfId="43739"/>
    <cellStyle name="Comma 18 4 2 2 4 2 3" xfId="43740"/>
    <cellStyle name="Comma 18 4 2 2 4 3" xfId="43741"/>
    <cellStyle name="Comma 18 4 2 2 4 3 2" xfId="43742"/>
    <cellStyle name="Comma 18 4 2 2 4 4" xfId="43743"/>
    <cellStyle name="Comma 18 4 2 2 4 5" xfId="43744"/>
    <cellStyle name="Comma 18 4 2 2 5" xfId="43745"/>
    <cellStyle name="Comma 18 4 2 2 5 2" xfId="43746"/>
    <cellStyle name="Comma 18 4 2 2 5 3" xfId="43747"/>
    <cellStyle name="Comma 18 4 2 2 6" xfId="43748"/>
    <cellStyle name="Comma 18 4 2 2 6 2" xfId="43749"/>
    <cellStyle name="Comma 18 4 2 2 6 3" xfId="43750"/>
    <cellStyle name="Comma 18 4 2 2 7" xfId="43751"/>
    <cellStyle name="Comma 18 4 2 2 7 2" xfId="43752"/>
    <cellStyle name="Comma 18 4 2 2 8" xfId="43753"/>
    <cellStyle name="Comma 18 4 2 2 9" xfId="43754"/>
    <cellStyle name="Comma 18 4 2 3" xfId="43755"/>
    <cellStyle name="Comma 18 4 2 3 2" xfId="43756"/>
    <cellStyle name="Comma 18 4 2 3 2 2" xfId="43757"/>
    <cellStyle name="Comma 18 4 2 3 2 3" xfId="43758"/>
    <cellStyle name="Comma 18 4 2 3 3" xfId="43759"/>
    <cellStyle name="Comma 18 4 2 3 3 2" xfId="43760"/>
    <cellStyle name="Comma 18 4 2 3 3 3" xfId="43761"/>
    <cellStyle name="Comma 18 4 2 3 4" xfId="43762"/>
    <cellStyle name="Comma 18 4 2 3 4 2" xfId="43763"/>
    <cellStyle name="Comma 18 4 2 3 5" xfId="43764"/>
    <cellStyle name="Comma 18 4 2 3 6" xfId="43765"/>
    <cellStyle name="Comma 18 4 2 4" xfId="43766"/>
    <cellStyle name="Comma 18 4 2 4 2" xfId="43767"/>
    <cellStyle name="Comma 18 4 2 4 2 2" xfId="43768"/>
    <cellStyle name="Comma 18 4 2 4 2 3" xfId="43769"/>
    <cellStyle name="Comma 18 4 2 4 3" xfId="43770"/>
    <cellStyle name="Comma 18 4 2 4 3 2" xfId="43771"/>
    <cellStyle name="Comma 18 4 2 4 3 3" xfId="43772"/>
    <cellStyle name="Comma 18 4 2 4 4" xfId="43773"/>
    <cellStyle name="Comma 18 4 2 4 4 2" xfId="43774"/>
    <cellStyle name="Comma 18 4 2 4 5" xfId="43775"/>
    <cellStyle name="Comma 18 4 2 4 6" xfId="43776"/>
    <cellStyle name="Comma 18 4 2 5" xfId="43777"/>
    <cellStyle name="Comma 18 4 2 5 2" xfId="43778"/>
    <cellStyle name="Comma 18 4 2 5 2 2" xfId="43779"/>
    <cellStyle name="Comma 18 4 2 5 2 3" xfId="43780"/>
    <cellStyle name="Comma 18 4 2 5 3" xfId="43781"/>
    <cellStyle name="Comma 18 4 2 5 3 2" xfId="43782"/>
    <cellStyle name="Comma 18 4 2 5 4" xfId="43783"/>
    <cellStyle name="Comma 18 4 2 5 5" xfId="43784"/>
    <cellStyle name="Comma 18 4 2 6" xfId="43785"/>
    <cellStyle name="Comma 18 4 2 6 2" xfId="43786"/>
    <cellStyle name="Comma 18 4 2 6 3" xfId="43787"/>
    <cellStyle name="Comma 18 4 2 7" xfId="43788"/>
    <cellStyle name="Comma 18 4 2 7 2" xfId="43789"/>
    <cellStyle name="Comma 18 4 2 7 3" xfId="43790"/>
    <cellStyle name="Comma 18 4 2 8" xfId="43791"/>
    <cellStyle name="Comma 18 4 2 8 2" xfId="43792"/>
    <cellStyle name="Comma 18 4 2 9" xfId="43793"/>
    <cellStyle name="Comma 18 4 3" xfId="43794"/>
    <cellStyle name="Comma 18 4 3 2" xfId="43795"/>
    <cellStyle name="Comma 18 4 3 2 2" xfId="43796"/>
    <cellStyle name="Comma 18 4 3 2 2 2" xfId="43797"/>
    <cellStyle name="Comma 18 4 3 2 2 3" xfId="43798"/>
    <cellStyle name="Comma 18 4 3 2 3" xfId="43799"/>
    <cellStyle name="Comma 18 4 3 2 3 2" xfId="43800"/>
    <cellStyle name="Comma 18 4 3 2 3 3" xfId="43801"/>
    <cellStyle name="Comma 18 4 3 2 4" xfId="43802"/>
    <cellStyle name="Comma 18 4 3 2 4 2" xfId="43803"/>
    <cellStyle name="Comma 18 4 3 2 5" xfId="43804"/>
    <cellStyle name="Comma 18 4 3 2 6" xfId="43805"/>
    <cellStyle name="Comma 18 4 3 3" xfId="43806"/>
    <cellStyle name="Comma 18 4 3 3 2" xfId="43807"/>
    <cellStyle name="Comma 18 4 3 3 2 2" xfId="43808"/>
    <cellStyle name="Comma 18 4 3 3 2 3" xfId="43809"/>
    <cellStyle name="Comma 18 4 3 3 3" xfId="43810"/>
    <cellStyle name="Comma 18 4 3 3 3 2" xfId="43811"/>
    <cellStyle name="Comma 18 4 3 3 3 3" xfId="43812"/>
    <cellStyle name="Comma 18 4 3 3 4" xfId="43813"/>
    <cellStyle name="Comma 18 4 3 3 4 2" xfId="43814"/>
    <cellStyle name="Comma 18 4 3 3 5" xfId="43815"/>
    <cellStyle name="Comma 18 4 3 3 6" xfId="43816"/>
    <cellStyle name="Comma 18 4 3 4" xfId="43817"/>
    <cellStyle name="Comma 18 4 3 4 2" xfId="43818"/>
    <cellStyle name="Comma 18 4 3 4 2 2" xfId="43819"/>
    <cellStyle name="Comma 18 4 3 4 2 3" xfId="43820"/>
    <cellStyle name="Comma 18 4 3 4 3" xfId="43821"/>
    <cellStyle name="Comma 18 4 3 4 3 2" xfId="43822"/>
    <cellStyle name="Comma 18 4 3 4 4" xfId="43823"/>
    <cellStyle name="Comma 18 4 3 4 5" xfId="43824"/>
    <cellStyle name="Comma 18 4 3 5" xfId="43825"/>
    <cellStyle name="Comma 18 4 3 5 2" xfId="43826"/>
    <cellStyle name="Comma 18 4 3 5 3" xfId="43827"/>
    <cellStyle name="Comma 18 4 3 6" xfId="43828"/>
    <cellStyle name="Comma 18 4 3 6 2" xfId="43829"/>
    <cellStyle name="Comma 18 4 3 6 3" xfId="43830"/>
    <cellStyle name="Comma 18 4 3 7" xfId="43831"/>
    <cellStyle name="Comma 18 4 3 7 2" xfId="43832"/>
    <cellStyle name="Comma 18 4 3 8" xfId="43833"/>
    <cellStyle name="Comma 18 4 3 9" xfId="43834"/>
    <cellStyle name="Comma 18 4 4" xfId="43835"/>
    <cellStyle name="Comma 18 4 4 2" xfId="43836"/>
    <cellStyle name="Comma 18 4 4 2 2" xfId="43837"/>
    <cellStyle name="Comma 18 4 4 2 2 2" xfId="43838"/>
    <cellStyle name="Comma 18 4 4 2 2 3" xfId="43839"/>
    <cellStyle name="Comma 18 4 4 2 3" xfId="43840"/>
    <cellStyle name="Comma 18 4 4 2 3 2" xfId="43841"/>
    <cellStyle name="Comma 18 4 4 2 3 3" xfId="43842"/>
    <cellStyle name="Comma 18 4 4 2 4" xfId="43843"/>
    <cellStyle name="Comma 18 4 4 2 4 2" xfId="43844"/>
    <cellStyle name="Comma 18 4 4 2 5" xfId="43845"/>
    <cellStyle name="Comma 18 4 4 2 6" xfId="43846"/>
    <cellStyle name="Comma 18 4 4 3" xfId="43847"/>
    <cellStyle name="Comma 18 4 4 3 2" xfId="43848"/>
    <cellStyle name="Comma 18 4 4 3 2 2" xfId="43849"/>
    <cellStyle name="Comma 18 4 4 3 2 3" xfId="43850"/>
    <cellStyle name="Comma 18 4 4 3 3" xfId="43851"/>
    <cellStyle name="Comma 18 4 4 3 3 2" xfId="43852"/>
    <cellStyle name="Comma 18 4 4 3 3 3" xfId="43853"/>
    <cellStyle name="Comma 18 4 4 3 4" xfId="43854"/>
    <cellStyle name="Comma 18 4 4 3 4 2" xfId="43855"/>
    <cellStyle name="Comma 18 4 4 3 5" xfId="43856"/>
    <cellStyle name="Comma 18 4 4 3 6" xfId="43857"/>
    <cellStyle name="Comma 18 4 4 4" xfId="43858"/>
    <cellStyle name="Comma 18 4 4 4 2" xfId="43859"/>
    <cellStyle name="Comma 18 4 4 4 2 2" xfId="43860"/>
    <cellStyle name="Comma 18 4 4 4 2 3" xfId="43861"/>
    <cellStyle name="Comma 18 4 4 4 3" xfId="43862"/>
    <cellStyle name="Comma 18 4 4 4 3 2" xfId="43863"/>
    <cellStyle name="Comma 18 4 4 4 4" xfId="43864"/>
    <cellStyle name="Comma 18 4 4 4 5" xfId="43865"/>
    <cellStyle name="Comma 18 4 4 5" xfId="43866"/>
    <cellStyle name="Comma 18 4 4 5 2" xfId="43867"/>
    <cellStyle name="Comma 18 4 4 5 3" xfId="43868"/>
    <cellStyle name="Comma 18 4 4 6" xfId="43869"/>
    <cellStyle name="Comma 18 4 4 6 2" xfId="43870"/>
    <cellStyle name="Comma 18 4 4 6 3" xfId="43871"/>
    <cellStyle name="Comma 18 4 4 7" xfId="43872"/>
    <cellStyle name="Comma 18 4 4 7 2" xfId="43873"/>
    <cellStyle name="Comma 18 4 4 8" xfId="43874"/>
    <cellStyle name="Comma 18 4 4 9" xfId="43875"/>
    <cellStyle name="Comma 18 4 5" xfId="43876"/>
    <cellStyle name="Comma 18 4 5 2" xfId="43877"/>
    <cellStyle name="Comma 18 4 5 2 2" xfId="43878"/>
    <cellStyle name="Comma 18 4 5 2 3" xfId="43879"/>
    <cellStyle name="Comma 18 4 5 3" xfId="43880"/>
    <cellStyle name="Comma 18 4 5 3 2" xfId="43881"/>
    <cellStyle name="Comma 18 4 5 3 3" xfId="43882"/>
    <cellStyle name="Comma 18 4 5 4" xfId="43883"/>
    <cellStyle name="Comma 18 4 5 4 2" xfId="43884"/>
    <cellStyle name="Comma 18 4 5 5" xfId="43885"/>
    <cellStyle name="Comma 18 4 5 6" xfId="43886"/>
    <cellStyle name="Comma 18 4 6" xfId="43887"/>
    <cellStyle name="Comma 18 4 6 2" xfId="43888"/>
    <cellStyle name="Comma 18 4 6 2 2" xfId="43889"/>
    <cellStyle name="Comma 18 4 6 2 3" xfId="43890"/>
    <cellStyle name="Comma 18 4 6 3" xfId="43891"/>
    <cellStyle name="Comma 18 4 6 3 2" xfId="43892"/>
    <cellStyle name="Comma 18 4 6 3 3" xfId="43893"/>
    <cellStyle name="Comma 18 4 6 4" xfId="43894"/>
    <cellStyle name="Comma 18 4 6 4 2" xfId="43895"/>
    <cellStyle name="Comma 18 4 6 5" xfId="43896"/>
    <cellStyle name="Comma 18 4 6 6" xfId="43897"/>
    <cellStyle name="Comma 18 4 7" xfId="43898"/>
    <cellStyle name="Comma 18 4 7 2" xfId="43899"/>
    <cellStyle name="Comma 18 4 7 2 2" xfId="43900"/>
    <cellStyle name="Comma 18 4 7 2 3" xfId="43901"/>
    <cellStyle name="Comma 18 4 7 3" xfId="43902"/>
    <cellStyle name="Comma 18 4 7 3 2" xfId="43903"/>
    <cellStyle name="Comma 18 4 7 4" xfId="43904"/>
    <cellStyle name="Comma 18 4 7 5" xfId="43905"/>
    <cellStyle name="Comma 18 4 8" xfId="43906"/>
    <cellStyle name="Comma 18 4 8 2" xfId="43907"/>
    <cellStyle name="Comma 18 4 8 3" xfId="43908"/>
    <cellStyle name="Comma 18 4 9" xfId="43909"/>
    <cellStyle name="Comma 18 4 9 2" xfId="43910"/>
    <cellStyle name="Comma 18 4 9 3" xfId="43911"/>
    <cellStyle name="Comma 18 5" xfId="43912"/>
    <cellStyle name="Comma 18 5 10" xfId="43913"/>
    <cellStyle name="Comma 18 5 2" xfId="43914"/>
    <cellStyle name="Comma 18 5 2 2" xfId="43915"/>
    <cellStyle name="Comma 18 5 2 2 2" xfId="43916"/>
    <cellStyle name="Comma 18 5 2 2 2 2" xfId="43917"/>
    <cellStyle name="Comma 18 5 2 2 2 3" xfId="43918"/>
    <cellStyle name="Comma 18 5 2 2 3" xfId="43919"/>
    <cellStyle name="Comma 18 5 2 2 3 2" xfId="43920"/>
    <cellStyle name="Comma 18 5 2 2 3 3" xfId="43921"/>
    <cellStyle name="Comma 18 5 2 2 4" xfId="43922"/>
    <cellStyle name="Comma 18 5 2 2 4 2" xfId="43923"/>
    <cellStyle name="Comma 18 5 2 2 5" xfId="43924"/>
    <cellStyle name="Comma 18 5 2 2 6" xfId="43925"/>
    <cellStyle name="Comma 18 5 2 3" xfId="43926"/>
    <cellStyle name="Comma 18 5 2 3 2" xfId="43927"/>
    <cellStyle name="Comma 18 5 2 3 2 2" xfId="43928"/>
    <cellStyle name="Comma 18 5 2 3 2 3" xfId="43929"/>
    <cellStyle name="Comma 18 5 2 3 3" xfId="43930"/>
    <cellStyle name="Comma 18 5 2 3 3 2" xfId="43931"/>
    <cellStyle name="Comma 18 5 2 3 3 3" xfId="43932"/>
    <cellStyle name="Comma 18 5 2 3 4" xfId="43933"/>
    <cellStyle name="Comma 18 5 2 3 4 2" xfId="43934"/>
    <cellStyle name="Comma 18 5 2 3 5" xfId="43935"/>
    <cellStyle name="Comma 18 5 2 3 6" xfId="43936"/>
    <cellStyle name="Comma 18 5 2 4" xfId="43937"/>
    <cellStyle name="Comma 18 5 2 4 2" xfId="43938"/>
    <cellStyle name="Comma 18 5 2 4 2 2" xfId="43939"/>
    <cellStyle name="Comma 18 5 2 4 2 3" xfId="43940"/>
    <cellStyle name="Comma 18 5 2 4 3" xfId="43941"/>
    <cellStyle name="Comma 18 5 2 4 3 2" xfId="43942"/>
    <cellStyle name="Comma 18 5 2 4 4" xfId="43943"/>
    <cellStyle name="Comma 18 5 2 4 5" xfId="43944"/>
    <cellStyle name="Comma 18 5 2 5" xfId="43945"/>
    <cellStyle name="Comma 18 5 2 5 2" xfId="43946"/>
    <cellStyle name="Comma 18 5 2 5 3" xfId="43947"/>
    <cellStyle name="Comma 18 5 2 6" xfId="43948"/>
    <cellStyle name="Comma 18 5 2 6 2" xfId="43949"/>
    <cellStyle name="Comma 18 5 2 6 3" xfId="43950"/>
    <cellStyle name="Comma 18 5 2 7" xfId="43951"/>
    <cellStyle name="Comma 18 5 2 7 2" xfId="43952"/>
    <cellStyle name="Comma 18 5 2 8" xfId="43953"/>
    <cellStyle name="Comma 18 5 2 9" xfId="43954"/>
    <cellStyle name="Comma 18 5 3" xfId="43955"/>
    <cellStyle name="Comma 18 5 3 2" xfId="43956"/>
    <cellStyle name="Comma 18 5 3 2 2" xfId="43957"/>
    <cellStyle name="Comma 18 5 3 2 3" xfId="43958"/>
    <cellStyle name="Comma 18 5 3 3" xfId="43959"/>
    <cellStyle name="Comma 18 5 3 3 2" xfId="43960"/>
    <cellStyle name="Comma 18 5 3 3 3" xfId="43961"/>
    <cellStyle name="Comma 18 5 3 4" xfId="43962"/>
    <cellStyle name="Comma 18 5 3 4 2" xfId="43963"/>
    <cellStyle name="Comma 18 5 3 5" xfId="43964"/>
    <cellStyle name="Comma 18 5 3 6" xfId="43965"/>
    <cellStyle name="Comma 18 5 4" xfId="43966"/>
    <cellStyle name="Comma 18 5 4 2" xfId="43967"/>
    <cellStyle name="Comma 18 5 4 2 2" xfId="43968"/>
    <cellStyle name="Comma 18 5 4 2 3" xfId="43969"/>
    <cellStyle name="Comma 18 5 4 3" xfId="43970"/>
    <cellStyle name="Comma 18 5 4 3 2" xfId="43971"/>
    <cellStyle name="Comma 18 5 4 3 3" xfId="43972"/>
    <cellStyle name="Comma 18 5 4 4" xfId="43973"/>
    <cellStyle name="Comma 18 5 4 4 2" xfId="43974"/>
    <cellStyle name="Comma 18 5 4 5" xfId="43975"/>
    <cellStyle name="Comma 18 5 4 6" xfId="43976"/>
    <cellStyle name="Comma 18 5 5" xfId="43977"/>
    <cellStyle name="Comma 18 5 5 2" xfId="43978"/>
    <cellStyle name="Comma 18 5 5 2 2" xfId="43979"/>
    <cellStyle name="Comma 18 5 5 2 3" xfId="43980"/>
    <cellStyle name="Comma 18 5 5 3" xfId="43981"/>
    <cellStyle name="Comma 18 5 5 3 2" xfId="43982"/>
    <cellStyle name="Comma 18 5 5 4" xfId="43983"/>
    <cellStyle name="Comma 18 5 5 5" xfId="43984"/>
    <cellStyle name="Comma 18 5 6" xfId="43985"/>
    <cellStyle name="Comma 18 5 6 2" xfId="43986"/>
    <cellStyle name="Comma 18 5 6 3" xfId="43987"/>
    <cellStyle name="Comma 18 5 7" xfId="43988"/>
    <cellStyle name="Comma 18 5 7 2" xfId="43989"/>
    <cellStyle name="Comma 18 5 7 3" xfId="43990"/>
    <cellStyle name="Comma 18 5 8" xfId="43991"/>
    <cellStyle name="Comma 18 5 8 2" xfId="43992"/>
    <cellStyle name="Comma 18 5 9" xfId="43993"/>
    <cellStyle name="Comma 18 6" xfId="43994"/>
    <cellStyle name="Comma 18 6 2" xfId="43995"/>
    <cellStyle name="Comma 18 6 2 2" xfId="43996"/>
    <cellStyle name="Comma 18 6 2 2 2" xfId="43997"/>
    <cellStyle name="Comma 18 6 2 2 3" xfId="43998"/>
    <cellStyle name="Comma 18 6 2 3" xfId="43999"/>
    <cellStyle name="Comma 18 6 2 3 2" xfId="44000"/>
    <cellStyle name="Comma 18 6 2 3 3" xfId="44001"/>
    <cellStyle name="Comma 18 6 2 4" xfId="44002"/>
    <cellStyle name="Comma 18 6 2 4 2" xfId="44003"/>
    <cellStyle name="Comma 18 6 2 5" xfId="44004"/>
    <cellStyle name="Comma 18 6 2 6" xfId="44005"/>
    <cellStyle name="Comma 18 6 3" xfId="44006"/>
    <cellStyle name="Comma 18 6 3 2" xfId="44007"/>
    <cellStyle name="Comma 18 6 3 2 2" xfId="44008"/>
    <cellStyle name="Comma 18 6 3 2 3" xfId="44009"/>
    <cellStyle name="Comma 18 6 3 3" xfId="44010"/>
    <cellStyle name="Comma 18 6 3 3 2" xfId="44011"/>
    <cellStyle name="Comma 18 6 3 3 3" xfId="44012"/>
    <cellStyle name="Comma 18 6 3 4" xfId="44013"/>
    <cellStyle name="Comma 18 6 3 4 2" xfId="44014"/>
    <cellStyle name="Comma 18 6 3 5" xfId="44015"/>
    <cellStyle name="Comma 18 6 3 6" xfId="44016"/>
    <cellStyle name="Comma 18 6 4" xfId="44017"/>
    <cellStyle name="Comma 18 6 4 2" xfId="44018"/>
    <cellStyle name="Comma 18 6 4 2 2" xfId="44019"/>
    <cellStyle name="Comma 18 6 4 2 3" xfId="44020"/>
    <cellStyle name="Comma 18 6 4 3" xfId="44021"/>
    <cellStyle name="Comma 18 6 4 3 2" xfId="44022"/>
    <cellStyle name="Comma 18 6 4 4" xfId="44023"/>
    <cellStyle name="Comma 18 6 4 5" xfId="44024"/>
    <cellStyle name="Comma 18 6 5" xfId="44025"/>
    <cellStyle name="Comma 18 6 5 2" xfId="44026"/>
    <cellStyle name="Comma 18 6 5 3" xfId="44027"/>
    <cellStyle name="Comma 18 6 6" xfId="44028"/>
    <cellStyle name="Comma 18 6 6 2" xfId="44029"/>
    <cellStyle name="Comma 18 6 6 3" xfId="44030"/>
    <cellStyle name="Comma 18 6 7" xfId="44031"/>
    <cellStyle name="Comma 18 6 7 2" xfId="44032"/>
    <cellStyle name="Comma 18 6 8" xfId="44033"/>
    <cellStyle name="Comma 18 6 9" xfId="44034"/>
    <cellStyle name="Comma 18 7" xfId="44035"/>
    <cellStyle name="Comma 18 7 2" xfId="44036"/>
    <cellStyle name="Comma 18 7 2 2" xfId="44037"/>
    <cellStyle name="Comma 18 7 2 2 2" xfId="44038"/>
    <cellStyle name="Comma 18 7 2 2 3" xfId="44039"/>
    <cellStyle name="Comma 18 7 2 3" xfId="44040"/>
    <cellStyle name="Comma 18 7 2 3 2" xfId="44041"/>
    <cellStyle name="Comma 18 7 2 3 3" xfId="44042"/>
    <cellStyle name="Comma 18 7 2 4" xfId="44043"/>
    <cellStyle name="Comma 18 7 2 4 2" xfId="44044"/>
    <cellStyle name="Comma 18 7 2 5" xfId="44045"/>
    <cellStyle name="Comma 18 7 2 6" xfId="44046"/>
    <cellStyle name="Comma 18 7 3" xfId="44047"/>
    <cellStyle name="Comma 18 7 3 2" xfId="44048"/>
    <cellStyle name="Comma 18 7 3 2 2" xfId="44049"/>
    <cellStyle name="Comma 18 7 3 2 3" xfId="44050"/>
    <cellStyle name="Comma 18 7 3 3" xfId="44051"/>
    <cellStyle name="Comma 18 7 3 3 2" xfId="44052"/>
    <cellStyle name="Comma 18 7 3 3 3" xfId="44053"/>
    <cellStyle name="Comma 18 7 3 4" xfId="44054"/>
    <cellStyle name="Comma 18 7 3 4 2" xfId="44055"/>
    <cellStyle name="Comma 18 7 3 5" xfId="44056"/>
    <cellStyle name="Comma 18 7 3 6" xfId="44057"/>
    <cellStyle name="Comma 18 7 4" xfId="44058"/>
    <cellStyle name="Comma 18 7 4 2" xfId="44059"/>
    <cellStyle name="Comma 18 7 4 2 2" xfId="44060"/>
    <cellStyle name="Comma 18 7 4 2 3" xfId="44061"/>
    <cellStyle name="Comma 18 7 4 3" xfId="44062"/>
    <cellStyle name="Comma 18 7 4 3 2" xfId="44063"/>
    <cellStyle name="Comma 18 7 4 4" xfId="44064"/>
    <cellStyle name="Comma 18 7 4 5" xfId="44065"/>
    <cellStyle name="Comma 18 7 5" xfId="44066"/>
    <cellStyle name="Comma 18 7 5 2" xfId="44067"/>
    <cellStyle name="Comma 18 7 5 3" xfId="44068"/>
    <cellStyle name="Comma 18 7 6" xfId="44069"/>
    <cellStyle name="Comma 18 7 6 2" xfId="44070"/>
    <cellStyle name="Comma 18 7 6 3" xfId="44071"/>
    <cellStyle name="Comma 18 7 7" xfId="44072"/>
    <cellStyle name="Comma 18 7 7 2" xfId="44073"/>
    <cellStyle name="Comma 18 7 8" xfId="44074"/>
    <cellStyle name="Comma 18 7 9" xfId="44075"/>
    <cellStyle name="Comma 18 8" xfId="44076"/>
    <cellStyle name="Comma 18 8 2" xfId="44077"/>
    <cellStyle name="Comma 18 8 2 2" xfId="44078"/>
    <cellStyle name="Comma 18 8 2 3" xfId="44079"/>
    <cellStyle name="Comma 18 8 3" xfId="44080"/>
    <cellStyle name="Comma 18 8 3 2" xfId="44081"/>
    <cellStyle name="Comma 18 8 3 3" xfId="44082"/>
    <cellStyle name="Comma 18 8 4" xfId="44083"/>
    <cellStyle name="Comma 18 8 4 2" xfId="44084"/>
    <cellStyle name="Comma 18 8 5" xfId="44085"/>
    <cellStyle name="Comma 18 8 6" xfId="44086"/>
    <cellStyle name="Comma 18 9" xfId="44087"/>
    <cellStyle name="Comma 18 9 2" xfId="44088"/>
    <cellStyle name="Comma 18 9 2 2" xfId="44089"/>
    <cellStyle name="Comma 18 9 2 3" xfId="44090"/>
    <cellStyle name="Comma 18 9 3" xfId="44091"/>
    <cellStyle name="Comma 18 9 3 2" xfId="44092"/>
    <cellStyle name="Comma 18 9 3 3" xfId="44093"/>
    <cellStyle name="Comma 18 9 4" xfId="44094"/>
    <cellStyle name="Comma 18 9 4 2" xfId="44095"/>
    <cellStyle name="Comma 18 9 5" xfId="44096"/>
    <cellStyle name="Comma 18 9 6" xfId="44097"/>
    <cellStyle name="Comma 19" xfId="3249"/>
    <cellStyle name="Comma 19 2" xfId="3250"/>
    <cellStyle name="Comma 19 2 2" xfId="44098"/>
    <cellStyle name="Comma 19 2 2 2" xfId="44099"/>
    <cellStyle name="Comma 19 2 3" xfId="44100"/>
    <cellStyle name="Comma 19 3" xfId="44101"/>
    <cellStyle name="Comma 19 3 2" xfId="44102"/>
    <cellStyle name="Comma 19 4" xfId="44103"/>
    <cellStyle name="Comma 19 4 2" xfId="44104"/>
    <cellStyle name="Comma 19 5" xfId="44105"/>
    <cellStyle name="Comma 19 6" xfId="44106"/>
    <cellStyle name="Comma 2" xfId="3251"/>
    <cellStyle name="Comma 2 10" xfId="3252"/>
    <cellStyle name="Comma 2 10 2" xfId="3253"/>
    <cellStyle name="Comma 2 10 2 2" xfId="3254"/>
    <cellStyle name="Comma 2 10 2 2 2" xfId="58472"/>
    <cellStyle name="Comma 2 10 2 3" xfId="58473"/>
    <cellStyle name="Comma 2 10 2 4" xfId="58474"/>
    <cellStyle name="Comma 2 10 2 5" xfId="58475"/>
    <cellStyle name="Comma 2 10 3" xfId="3255"/>
    <cellStyle name="Comma 2 10 3 2" xfId="58476"/>
    <cellStyle name="Comma 2 10 3 2 2" xfId="58477"/>
    <cellStyle name="Comma 2 10 3 3" xfId="58478"/>
    <cellStyle name="Comma 2 10 3 4" xfId="58479"/>
    <cellStyle name="Comma 2 10 3 5" xfId="58480"/>
    <cellStyle name="Comma 2 10 4" xfId="58481"/>
    <cellStyle name="Comma 2 11" xfId="3256"/>
    <cellStyle name="Comma 2 11 2" xfId="3257"/>
    <cellStyle name="Comma 2 11 2 2" xfId="58482"/>
    <cellStyle name="Comma 2 11 2 2 2" xfId="58483"/>
    <cellStyle name="Comma 2 11 2 3" xfId="58484"/>
    <cellStyle name="Comma 2 11 2 4" xfId="58485"/>
    <cellStyle name="Comma 2 11 2 5" xfId="58486"/>
    <cellStyle name="Comma 2 11 2 6" xfId="58487"/>
    <cellStyle name="Comma 2 11 3" xfId="58488"/>
    <cellStyle name="Comma 2 12" xfId="3258"/>
    <cellStyle name="Comma 2 12 2" xfId="3259"/>
    <cellStyle name="Comma 2 12 3" xfId="58489"/>
    <cellStyle name="Comma 2 13" xfId="3260"/>
    <cellStyle name="Comma 2 13 2" xfId="58490"/>
    <cellStyle name="Comma 2 14" xfId="3261"/>
    <cellStyle name="Comma 2 14 2" xfId="58491"/>
    <cellStyle name="Comma 2 15" xfId="3262"/>
    <cellStyle name="Comma 2 15 2" xfId="58492"/>
    <cellStyle name="Comma 2 2" xfId="2"/>
    <cellStyle name="Comma 2 2 2" xfId="3263"/>
    <cellStyle name="Comma 2 2 2 2" xfId="3264"/>
    <cellStyle name="Comma 2 2 2 2 2" xfId="3265"/>
    <cellStyle name="Comma 2 2 2 2 2 2" xfId="58493"/>
    <cellStyle name="Comma 2 2 2 2 2 2 2" xfId="58494"/>
    <cellStyle name="Comma 2 2 2 2 2 3" xfId="58495"/>
    <cellStyle name="Comma 2 2 2 2 2 4" xfId="58496"/>
    <cellStyle name="Comma 2 2 2 2 3" xfId="44107"/>
    <cellStyle name="Comma 2 2 2 2 3 2" xfId="58497"/>
    <cellStyle name="Comma 2 2 2 2 4" xfId="58498"/>
    <cellStyle name="Comma 2 2 2 2 5" xfId="58499"/>
    <cellStyle name="Comma 2 2 2 2 6" xfId="58500"/>
    <cellStyle name="Comma 2 2 2 3" xfId="3266"/>
    <cellStyle name="Comma 2 2 2 3 2" xfId="44108"/>
    <cellStyle name="Comma 2 2 2 3 2 2" xfId="58501"/>
    <cellStyle name="Comma 2 2 2 3 3" xfId="58502"/>
    <cellStyle name="Comma 2 2 2 3 4" xfId="58503"/>
    <cellStyle name="Comma 2 2 2 4" xfId="3267"/>
    <cellStyle name="Comma 2 2 2 4 2" xfId="58504"/>
    <cellStyle name="Comma 2 2 2 5" xfId="44109"/>
    <cellStyle name="Comma 2 2 2 5 2" xfId="58505"/>
    <cellStyle name="Comma 2 2 2 6" xfId="58506"/>
    <cellStyle name="Comma 2 2 2 7" xfId="58507"/>
    <cellStyle name="Comma 2 2 2 8" xfId="58508"/>
    <cellStyle name="Comma 2 2 3" xfId="3268"/>
    <cellStyle name="Comma 2 2 3 2" xfId="8229"/>
    <cellStyle name="Comma 2 2 3 2 2" xfId="44110"/>
    <cellStyle name="Comma 2 2 3 3" xfId="44111"/>
    <cellStyle name="Comma 2 2 3 3 2" xfId="44112"/>
    <cellStyle name="Comma 2 2 4" xfId="9607"/>
    <cellStyle name="Comma 2 2 4 2" xfId="44113"/>
    <cellStyle name="Comma 2 2 4 2 2" xfId="44114"/>
    <cellStyle name="Comma 2 2 4 3" xfId="44115"/>
    <cellStyle name="Comma 2 2 5" xfId="44116"/>
    <cellStyle name="Comma 2 2 5 2" xfId="44117"/>
    <cellStyle name="Comma 2 2 6" xfId="44118"/>
    <cellStyle name="Comma 2 2 6 2" xfId="44119"/>
    <cellStyle name="Comma 2 3" xfId="3269"/>
    <cellStyle name="Comma 2 3 2" xfId="3270"/>
    <cellStyle name="Comma 2 3 2 2" xfId="3271"/>
    <cellStyle name="Comma 2 3 2 2 2" xfId="3272"/>
    <cellStyle name="Comma 2 3 2 2 2 2" xfId="3273"/>
    <cellStyle name="Comma 2 3 2 2 2 2 2" xfId="3274"/>
    <cellStyle name="Comma 2 3 2 2 2 3" xfId="3275"/>
    <cellStyle name="Comma 2 3 2 2 3" xfId="3276"/>
    <cellStyle name="Comma 2 3 2 2 3 2" xfId="3277"/>
    <cellStyle name="Comma 2 3 2 2 4" xfId="3278"/>
    <cellStyle name="Comma 2 3 2 2 5" xfId="3279"/>
    <cellStyle name="Comma 2 3 2 2 6" xfId="58509"/>
    <cellStyle name="Comma 2 3 2 3" xfId="3280"/>
    <cellStyle name="Comma 2 3 2 3 2" xfId="3281"/>
    <cellStyle name="Comma 2 3 2 3 2 2" xfId="3282"/>
    <cellStyle name="Comma 2 3 2 3 3" xfId="3283"/>
    <cellStyle name="Comma 2 3 2 3 4" xfId="3284"/>
    <cellStyle name="Comma 2 3 2 4" xfId="3285"/>
    <cellStyle name="Comma 2 3 2 4 2" xfId="3286"/>
    <cellStyle name="Comma 2 3 2 5" xfId="3287"/>
    <cellStyle name="Comma 2 3 2 5 2" xfId="58510"/>
    <cellStyle name="Comma 2 3 2 6" xfId="3288"/>
    <cellStyle name="Comma 2 3 2 7" xfId="58511"/>
    <cellStyle name="Comma 2 3 2 8" xfId="58512"/>
    <cellStyle name="Comma 2 3 3" xfId="3289"/>
    <cellStyle name="Comma 2 3 3 2" xfId="3290"/>
    <cellStyle name="Comma 2 3 3 2 2" xfId="3291"/>
    <cellStyle name="Comma 2 3 3 2 2 2" xfId="3292"/>
    <cellStyle name="Comma 2 3 3 2 3" xfId="3293"/>
    <cellStyle name="Comma 2 3 3 3" xfId="3294"/>
    <cellStyle name="Comma 2 3 3 3 2" xfId="3295"/>
    <cellStyle name="Comma 2 3 3 4" xfId="3296"/>
    <cellStyle name="Comma 2 3 3 5" xfId="3297"/>
    <cellStyle name="Comma 2 3 3 6" xfId="58513"/>
    <cellStyle name="Comma 2 3 4" xfId="3298"/>
    <cellStyle name="Comma 2 3 4 2" xfId="3299"/>
    <cellStyle name="Comma 2 3 4 2 2" xfId="3300"/>
    <cellStyle name="Comma 2 3 4 3" xfId="3301"/>
    <cellStyle name="Comma 2 3 4 4" xfId="3302"/>
    <cellStyle name="Comma 2 3 5" xfId="3303"/>
    <cellStyle name="Comma 2 3 5 2" xfId="3304"/>
    <cellStyle name="Comma 2 3 6" xfId="3305"/>
    <cellStyle name="Comma 2 3 7" xfId="3306"/>
    <cellStyle name="Comma 2 3 8" xfId="9050"/>
    <cellStyle name="Comma 2 4" xfId="3307"/>
    <cellStyle name="Comma 2 4 2" xfId="3308"/>
    <cellStyle name="Comma 2 4 2 10" xfId="58514"/>
    <cellStyle name="Comma 2 4 2 2" xfId="3309"/>
    <cellStyle name="Comma 2 4 2 2 2" xfId="3310"/>
    <cellStyle name="Comma 2 4 2 2 2 2" xfId="3311"/>
    <cellStyle name="Comma 2 4 2 2 2 2 2" xfId="3312"/>
    <cellStyle name="Comma 2 4 2 2 2 2 2 2" xfId="8230"/>
    <cellStyle name="Comma 2 4 2 2 2 2 2 3" xfId="58515"/>
    <cellStyle name="Comma 2 4 2 2 2 2 3" xfId="8231"/>
    <cellStyle name="Comma 2 4 2 2 2 2 3 2" xfId="58516"/>
    <cellStyle name="Comma 2 4 2 2 2 2 4" xfId="58517"/>
    <cellStyle name="Comma 2 4 2 2 2 2 5" xfId="58518"/>
    <cellStyle name="Comma 2 4 2 2 2 3" xfId="3313"/>
    <cellStyle name="Comma 2 4 2 2 2 3 2" xfId="8232"/>
    <cellStyle name="Comma 2 4 2 2 2 3 3" xfId="58519"/>
    <cellStyle name="Comma 2 4 2 2 2 4" xfId="8233"/>
    <cellStyle name="Comma 2 4 2 2 2 4 2" xfId="58520"/>
    <cellStyle name="Comma 2 4 2 2 2 5" xfId="58521"/>
    <cellStyle name="Comma 2 4 2 2 2 6" xfId="58522"/>
    <cellStyle name="Comma 2 4 2 2 3" xfId="3314"/>
    <cellStyle name="Comma 2 4 2 2 3 2" xfId="3315"/>
    <cellStyle name="Comma 2 4 2 2 3 2 2" xfId="8234"/>
    <cellStyle name="Comma 2 4 2 2 3 2 2 2" xfId="58523"/>
    <cellStyle name="Comma 2 4 2 2 3 2 3" xfId="58524"/>
    <cellStyle name="Comma 2 4 2 2 3 2 4" xfId="58525"/>
    <cellStyle name="Comma 2 4 2 2 3 2 5" xfId="58526"/>
    <cellStyle name="Comma 2 4 2 2 3 3" xfId="8235"/>
    <cellStyle name="Comma 2 4 2 2 3 3 2" xfId="58527"/>
    <cellStyle name="Comma 2 4 2 2 3 4" xfId="58528"/>
    <cellStyle name="Comma 2 4 2 2 3 5" xfId="58529"/>
    <cellStyle name="Comma 2 4 2 2 3 6" xfId="58530"/>
    <cellStyle name="Comma 2 4 2 2 4" xfId="3316"/>
    <cellStyle name="Comma 2 4 2 2 4 2" xfId="8236"/>
    <cellStyle name="Comma 2 4 2 2 4 2 2" xfId="58531"/>
    <cellStyle name="Comma 2 4 2 2 4 3" xfId="58532"/>
    <cellStyle name="Comma 2 4 2 2 4 4" xfId="58533"/>
    <cellStyle name="Comma 2 4 2 2 4 5" xfId="58534"/>
    <cellStyle name="Comma 2 4 2 2 5" xfId="8237"/>
    <cellStyle name="Comma 2 4 2 2 5 2" xfId="8238"/>
    <cellStyle name="Comma 2 4 2 2 5 2 2" xfId="58535"/>
    <cellStyle name="Comma 2 4 2 2 5 3" xfId="58536"/>
    <cellStyle name="Comma 2 4 2 2 5 4" xfId="58537"/>
    <cellStyle name="Comma 2 4 2 2 5 5" xfId="58538"/>
    <cellStyle name="Comma 2 4 2 2 6" xfId="8239"/>
    <cellStyle name="Comma 2 4 2 2 6 2" xfId="58539"/>
    <cellStyle name="Comma 2 4 2 2 7" xfId="58540"/>
    <cellStyle name="Comma 2 4 2 2 8" xfId="58541"/>
    <cellStyle name="Comma 2 4 2 2 9" xfId="58542"/>
    <cellStyle name="Comma 2 4 2 3" xfId="3317"/>
    <cellStyle name="Comma 2 4 2 3 2" xfId="3318"/>
    <cellStyle name="Comma 2 4 2 3 2 2" xfId="3319"/>
    <cellStyle name="Comma 2 4 2 3 2 2 2" xfId="8240"/>
    <cellStyle name="Comma 2 4 2 3 2 2 3" xfId="58543"/>
    <cellStyle name="Comma 2 4 2 3 2 3" xfId="8241"/>
    <cellStyle name="Comma 2 4 2 3 2 3 2" xfId="58544"/>
    <cellStyle name="Comma 2 4 2 3 2 4" xfId="58545"/>
    <cellStyle name="Comma 2 4 2 3 2 5" xfId="58546"/>
    <cellStyle name="Comma 2 4 2 3 3" xfId="3320"/>
    <cellStyle name="Comma 2 4 2 3 3 2" xfId="8242"/>
    <cellStyle name="Comma 2 4 2 3 3 3" xfId="58547"/>
    <cellStyle name="Comma 2 4 2 3 4" xfId="8243"/>
    <cellStyle name="Comma 2 4 2 3 4 2" xfId="58548"/>
    <cellStyle name="Comma 2 4 2 3 5" xfId="58549"/>
    <cellStyle name="Comma 2 4 2 3 6" xfId="58550"/>
    <cellStyle name="Comma 2 4 2 4" xfId="3321"/>
    <cellStyle name="Comma 2 4 2 4 2" xfId="3322"/>
    <cellStyle name="Comma 2 4 2 4 2 2" xfId="8244"/>
    <cellStyle name="Comma 2 4 2 4 2 2 2" xfId="58551"/>
    <cellStyle name="Comma 2 4 2 4 2 3" xfId="58552"/>
    <cellStyle name="Comma 2 4 2 4 2 4" xfId="58553"/>
    <cellStyle name="Comma 2 4 2 4 2 5" xfId="58554"/>
    <cellStyle name="Comma 2 4 2 4 3" xfId="8245"/>
    <cellStyle name="Comma 2 4 2 4 3 2" xfId="58555"/>
    <cellStyle name="Comma 2 4 2 4 4" xfId="58556"/>
    <cellStyle name="Comma 2 4 2 4 5" xfId="58557"/>
    <cellStyle name="Comma 2 4 2 4 6" xfId="58558"/>
    <cellStyle name="Comma 2 4 2 5" xfId="3323"/>
    <cellStyle name="Comma 2 4 2 5 2" xfId="8246"/>
    <cellStyle name="Comma 2 4 2 5 2 2" xfId="58559"/>
    <cellStyle name="Comma 2 4 2 5 3" xfId="58560"/>
    <cellStyle name="Comma 2 4 2 5 4" xfId="58561"/>
    <cellStyle name="Comma 2 4 2 5 5" xfId="58562"/>
    <cellStyle name="Comma 2 4 2 6" xfId="8247"/>
    <cellStyle name="Comma 2 4 2 6 2" xfId="8248"/>
    <cellStyle name="Comma 2 4 2 6 2 2" xfId="58563"/>
    <cellStyle name="Comma 2 4 2 6 3" xfId="58564"/>
    <cellStyle name="Comma 2 4 2 6 4" xfId="58565"/>
    <cellStyle name="Comma 2 4 2 6 5" xfId="58566"/>
    <cellStyle name="Comma 2 4 2 7" xfId="8249"/>
    <cellStyle name="Comma 2 4 2 7 2" xfId="58567"/>
    <cellStyle name="Comma 2 4 2 8" xfId="44120"/>
    <cellStyle name="Comma 2 4 2 9" xfId="58568"/>
    <cellStyle name="Comma 2 4 3" xfId="3324"/>
    <cellStyle name="Comma 2 4 3 2" xfId="3325"/>
    <cellStyle name="Comma 2 4 3 2 2" xfId="3326"/>
    <cellStyle name="Comma 2 4 3 2 2 2" xfId="3327"/>
    <cellStyle name="Comma 2 4 3 2 2 2 2" xfId="8250"/>
    <cellStyle name="Comma 2 4 3 2 2 2 3" xfId="58569"/>
    <cellStyle name="Comma 2 4 3 2 2 3" xfId="8251"/>
    <cellStyle name="Comma 2 4 3 2 2 3 2" xfId="58570"/>
    <cellStyle name="Comma 2 4 3 2 2 4" xfId="58571"/>
    <cellStyle name="Comma 2 4 3 2 2 5" xfId="58572"/>
    <cellStyle name="Comma 2 4 3 2 3" xfId="3328"/>
    <cellStyle name="Comma 2 4 3 2 3 2" xfId="8252"/>
    <cellStyle name="Comma 2 4 3 2 3 3" xfId="58573"/>
    <cellStyle name="Comma 2 4 3 2 4" xfId="8253"/>
    <cellStyle name="Comma 2 4 3 2 4 2" xfId="58574"/>
    <cellStyle name="Comma 2 4 3 2 5" xfId="58575"/>
    <cellStyle name="Comma 2 4 3 2 6" xfId="58576"/>
    <cellStyle name="Comma 2 4 3 3" xfId="3329"/>
    <cellStyle name="Comma 2 4 3 3 2" xfId="3330"/>
    <cellStyle name="Comma 2 4 3 3 2 2" xfId="8254"/>
    <cellStyle name="Comma 2 4 3 3 2 2 2" xfId="58577"/>
    <cellStyle name="Comma 2 4 3 3 2 3" xfId="58578"/>
    <cellStyle name="Comma 2 4 3 3 2 4" xfId="58579"/>
    <cellStyle name="Comma 2 4 3 3 2 5" xfId="58580"/>
    <cellStyle name="Comma 2 4 3 3 3" xfId="8255"/>
    <cellStyle name="Comma 2 4 3 3 3 2" xfId="58581"/>
    <cellStyle name="Comma 2 4 3 3 4" xfId="58582"/>
    <cellStyle name="Comma 2 4 3 3 5" xfId="58583"/>
    <cellStyle name="Comma 2 4 3 3 6" xfId="58584"/>
    <cellStyle name="Comma 2 4 3 4" xfId="3331"/>
    <cellStyle name="Comma 2 4 3 4 2" xfId="8256"/>
    <cellStyle name="Comma 2 4 3 4 2 2" xfId="58585"/>
    <cellStyle name="Comma 2 4 3 4 3" xfId="58586"/>
    <cellStyle name="Comma 2 4 3 4 4" xfId="58587"/>
    <cellStyle name="Comma 2 4 3 4 5" xfId="58588"/>
    <cellStyle name="Comma 2 4 3 5" xfId="8257"/>
    <cellStyle name="Comma 2 4 3 5 2" xfId="8258"/>
    <cellStyle name="Comma 2 4 3 5 2 2" xfId="58589"/>
    <cellStyle name="Comma 2 4 3 5 3" xfId="58590"/>
    <cellStyle name="Comma 2 4 3 5 4" xfId="58591"/>
    <cellStyle name="Comma 2 4 3 5 5" xfId="58592"/>
    <cellStyle name="Comma 2 4 3 6" xfId="8259"/>
    <cellStyle name="Comma 2 4 3 6 2" xfId="58593"/>
    <cellStyle name="Comma 2 4 3 7" xfId="44121"/>
    <cellStyle name="Comma 2 4 3 8" xfId="58594"/>
    <cellStyle name="Comma 2 4 3 9" xfId="58595"/>
    <cellStyle name="Comma 2 4 4" xfId="3332"/>
    <cellStyle name="Comma 2 4 4 2" xfId="3333"/>
    <cellStyle name="Comma 2 4 4 2 2" xfId="3334"/>
    <cellStyle name="Comma 2 4 4 2 2 2" xfId="8260"/>
    <cellStyle name="Comma 2 4 4 2 2 3" xfId="58596"/>
    <cellStyle name="Comma 2 4 4 2 3" xfId="8261"/>
    <cellStyle name="Comma 2 4 4 2 3 2" xfId="58597"/>
    <cellStyle name="Comma 2 4 4 2 4" xfId="58598"/>
    <cellStyle name="Comma 2 4 4 2 5" xfId="58599"/>
    <cellStyle name="Comma 2 4 4 3" xfId="3335"/>
    <cellStyle name="Comma 2 4 4 3 2" xfId="8262"/>
    <cellStyle name="Comma 2 4 4 3 3" xfId="58600"/>
    <cellStyle name="Comma 2 4 4 4" xfId="8263"/>
    <cellStyle name="Comma 2 4 4 4 2" xfId="58601"/>
    <cellStyle name="Comma 2 4 4 5" xfId="58602"/>
    <cellStyle name="Comma 2 4 4 6" xfId="58603"/>
    <cellStyle name="Comma 2 4 5" xfId="3336"/>
    <cellStyle name="Comma 2 4 5 2" xfId="3337"/>
    <cellStyle name="Comma 2 4 5 2 2" xfId="8264"/>
    <cellStyle name="Comma 2 4 5 2 2 2" xfId="58604"/>
    <cellStyle name="Comma 2 4 5 2 3" xfId="58605"/>
    <cellStyle name="Comma 2 4 5 2 4" xfId="58606"/>
    <cellStyle name="Comma 2 4 5 2 5" xfId="58607"/>
    <cellStyle name="Comma 2 4 5 3" xfId="8265"/>
    <cellStyle name="Comma 2 4 5 3 2" xfId="58608"/>
    <cellStyle name="Comma 2 4 5 4" xfId="58609"/>
    <cellStyle name="Comma 2 4 5 5" xfId="58610"/>
    <cellStyle name="Comma 2 4 5 6" xfId="58611"/>
    <cellStyle name="Comma 2 4 6" xfId="3338"/>
    <cellStyle name="Comma 2 4 6 2" xfId="8266"/>
    <cellStyle name="Comma 2 4 6 2 2" xfId="58612"/>
    <cellStyle name="Comma 2 4 6 3" xfId="58613"/>
    <cellStyle name="Comma 2 4 6 4" xfId="58614"/>
    <cellStyle name="Comma 2 4 6 5" xfId="58615"/>
    <cellStyle name="Comma 2 4 7" xfId="8267"/>
    <cellStyle name="Comma 2 4 7 2" xfId="8268"/>
    <cellStyle name="Comma 2 4 7 2 2" xfId="58616"/>
    <cellStyle name="Comma 2 4 7 3" xfId="58617"/>
    <cellStyle name="Comma 2 4 7 4" xfId="58618"/>
    <cellStyle name="Comma 2 4 7 5" xfId="58619"/>
    <cellStyle name="Comma 2 4 8" xfId="8269"/>
    <cellStyle name="Comma 2 4 8 2" xfId="58620"/>
    <cellStyle name="Comma 2 4 8 2 2" xfId="58621"/>
    <cellStyle name="Comma 2 4 8 3" xfId="58622"/>
    <cellStyle name="Comma 2 4 8 4" xfId="58623"/>
    <cellStyle name="Comma 2 4 8 5" xfId="58624"/>
    <cellStyle name="Comma 2 4 9" xfId="58625"/>
    <cellStyle name="Comma 2 5" xfId="3339"/>
    <cellStyle name="Comma 2 5 2" xfId="3340"/>
    <cellStyle name="Comma 2 5 2 10" xfId="58626"/>
    <cellStyle name="Comma 2 5 2 2" xfId="3341"/>
    <cellStyle name="Comma 2 5 2 2 2" xfId="3342"/>
    <cellStyle name="Comma 2 5 2 2 2 2" xfId="3343"/>
    <cellStyle name="Comma 2 5 2 2 2 2 2" xfId="8270"/>
    <cellStyle name="Comma 2 5 2 2 2 2 2 2" xfId="8271"/>
    <cellStyle name="Comma 2 5 2 2 2 2 2 3" xfId="58627"/>
    <cellStyle name="Comma 2 5 2 2 2 2 3" xfId="8272"/>
    <cellStyle name="Comma 2 5 2 2 2 2 3 2" xfId="58628"/>
    <cellStyle name="Comma 2 5 2 2 2 2 4" xfId="58629"/>
    <cellStyle name="Comma 2 5 2 2 2 2 5" xfId="58630"/>
    <cellStyle name="Comma 2 5 2 2 2 3" xfId="8273"/>
    <cellStyle name="Comma 2 5 2 2 2 3 2" xfId="8274"/>
    <cellStyle name="Comma 2 5 2 2 2 3 3" xfId="58631"/>
    <cellStyle name="Comma 2 5 2 2 2 4" xfId="8275"/>
    <cellStyle name="Comma 2 5 2 2 2 4 2" xfId="58632"/>
    <cellStyle name="Comma 2 5 2 2 2 5" xfId="58633"/>
    <cellStyle name="Comma 2 5 2 2 2 6" xfId="58634"/>
    <cellStyle name="Comma 2 5 2 2 3" xfId="3344"/>
    <cellStyle name="Comma 2 5 2 2 3 2" xfId="8276"/>
    <cellStyle name="Comma 2 5 2 2 3 2 2" xfId="8277"/>
    <cellStyle name="Comma 2 5 2 2 3 2 2 2" xfId="58635"/>
    <cellStyle name="Comma 2 5 2 2 3 2 3" xfId="58636"/>
    <cellStyle name="Comma 2 5 2 2 3 2 4" xfId="58637"/>
    <cellStyle name="Comma 2 5 2 2 3 2 5" xfId="58638"/>
    <cellStyle name="Comma 2 5 2 2 3 3" xfId="8278"/>
    <cellStyle name="Comma 2 5 2 2 3 3 2" xfId="58639"/>
    <cellStyle name="Comma 2 5 2 2 3 4" xfId="58640"/>
    <cellStyle name="Comma 2 5 2 2 3 5" xfId="58641"/>
    <cellStyle name="Comma 2 5 2 2 3 6" xfId="58642"/>
    <cellStyle name="Comma 2 5 2 2 4" xfId="8279"/>
    <cellStyle name="Comma 2 5 2 2 4 2" xfId="8280"/>
    <cellStyle name="Comma 2 5 2 2 4 2 2" xfId="58643"/>
    <cellStyle name="Comma 2 5 2 2 4 3" xfId="58644"/>
    <cellStyle name="Comma 2 5 2 2 4 4" xfId="58645"/>
    <cellStyle name="Comma 2 5 2 2 4 5" xfId="58646"/>
    <cellStyle name="Comma 2 5 2 2 5" xfId="8281"/>
    <cellStyle name="Comma 2 5 2 2 5 2" xfId="8282"/>
    <cellStyle name="Comma 2 5 2 2 5 2 2" xfId="58647"/>
    <cellStyle name="Comma 2 5 2 2 5 3" xfId="58648"/>
    <cellStyle name="Comma 2 5 2 2 5 4" xfId="58649"/>
    <cellStyle name="Comma 2 5 2 2 5 5" xfId="58650"/>
    <cellStyle name="Comma 2 5 2 2 6" xfId="8283"/>
    <cellStyle name="Comma 2 5 2 2 6 2" xfId="58651"/>
    <cellStyle name="Comma 2 5 2 2 7" xfId="58652"/>
    <cellStyle name="Comma 2 5 2 2 8" xfId="58653"/>
    <cellStyle name="Comma 2 5 2 2 9" xfId="58654"/>
    <cellStyle name="Comma 2 5 2 3" xfId="3345"/>
    <cellStyle name="Comma 2 5 2 3 2" xfId="3346"/>
    <cellStyle name="Comma 2 5 2 3 2 2" xfId="8284"/>
    <cellStyle name="Comma 2 5 2 3 2 2 2" xfId="8285"/>
    <cellStyle name="Comma 2 5 2 3 2 2 3" xfId="58655"/>
    <cellStyle name="Comma 2 5 2 3 2 3" xfId="8286"/>
    <cellStyle name="Comma 2 5 2 3 2 3 2" xfId="58656"/>
    <cellStyle name="Comma 2 5 2 3 2 4" xfId="58657"/>
    <cellStyle name="Comma 2 5 2 3 2 5" xfId="58658"/>
    <cellStyle name="Comma 2 5 2 3 3" xfId="8287"/>
    <cellStyle name="Comma 2 5 2 3 3 2" xfId="8288"/>
    <cellStyle name="Comma 2 5 2 3 3 3" xfId="58659"/>
    <cellStyle name="Comma 2 5 2 3 4" xfId="8289"/>
    <cellStyle name="Comma 2 5 2 3 4 2" xfId="58660"/>
    <cellStyle name="Comma 2 5 2 3 5" xfId="58661"/>
    <cellStyle name="Comma 2 5 2 3 6" xfId="58662"/>
    <cellStyle name="Comma 2 5 2 4" xfId="3347"/>
    <cellStyle name="Comma 2 5 2 4 2" xfId="8290"/>
    <cellStyle name="Comma 2 5 2 4 2 2" xfId="8291"/>
    <cellStyle name="Comma 2 5 2 4 2 2 2" xfId="58663"/>
    <cellStyle name="Comma 2 5 2 4 2 3" xfId="58664"/>
    <cellStyle name="Comma 2 5 2 4 2 4" xfId="58665"/>
    <cellStyle name="Comma 2 5 2 4 2 5" xfId="58666"/>
    <cellStyle name="Comma 2 5 2 4 3" xfId="8292"/>
    <cellStyle name="Comma 2 5 2 4 3 2" xfId="58667"/>
    <cellStyle name="Comma 2 5 2 4 4" xfId="58668"/>
    <cellStyle name="Comma 2 5 2 4 5" xfId="58669"/>
    <cellStyle name="Comma 2 5 2 4 6" xfId="58670"/>
    <cellStyle name="Comma 2 5 2 5" xfId="8293"/>
    <cellStyle name="Comma 2 5 2 5 2" xfId="8294"/>
    <cellStyle name="Comma 2 5 2 5 2 2" xfId="58671"/>
    <cellStyle name="Comma 2 5 2 5 3" xfId="58672"/>
    <cellStyle name="Comma 2 5 2 5 4" xfId="58673"/>
    <cellStyle name="Comma 2 5 2 5 5" xfId="58674"/>
    <cellStyle name="Comma 2 5 2 6" xfId="8295"/>
    <cellStyle name="Comma 2 5 2 6 2" xfId="8296"/>
    <cellStyle name="Comma 2 5 2 6 2 2" xfId="58675"/>
    <cellStyle name="Comma 2 5 2 6 3" xfId="58676"/>
    <cellStyle name="Comma 2 5 2 6 4" xfId="58677"/>
    <cellStyle name="Comma 2 5 2 6 5" xfId="58678"/>
    <cellStyle name="Comma 2 5 2 7" xfId="8297"/>
    <cellStyle name="Comma 2 5 2 7 2" xfId="58679"/>
    <cellStyle name="Comma 2 5 2 8" xfId="44122"/>
    <cellStyle name="Comma 2 5 2 9" xfId="58680"/>
    <cellStyle name="Comma 2 5 3" xfId="3348"/>
    <cellStyle name="Comma 2 5 3 2" xfId="3349"/>
    <cellStyle name="Comma 2 5 3 2 2" xfId="3350"/>
    <cellStyle name="Comma 2 5 3 2 2 2" xfId="8298"/>
    <cellStyle name="Comma 2 5 3 2 2 2 2" xfId="8299"/>
    <cellStyle name="Comma 2 5 3 2 2 2 3" xfId="58681"/>
    <cellStyle name="Comma 2 5 3 2 2 3" xfId="8300"/>
    <cellStyle name="Comma 2 5 3 2 2 3 2" xfId="58682"/>
    <cellStyle name="Comma 2 5 3 2 2 4" xfId="58683"/>
    <cellStyle name="Comma 2 5 3 2 2 5" xfId="58684"/>
    <cellStyle name="Comma 2 5 3 2 3" xfId="8301"/>
    <cellStyle name="Comma 2 5 3 2 3 2" xfId="8302"/>
    <cellStyle name="Comma 2 5 3 2 3 3" xfId="58685"/>
    <cellStyle name="Comma 2 5 3 2 4" xfId="8303"/>
    <cellStyle name="Comma 2 5 3 2 4 2" xfId="58686"/>
    <cellStyle name="Comma 2 5 3 2 5" xfId="58687"/>
    <cellStyle name="Comma 2 5 3 2 6" xfId="58688"/>
    <cellStyle name="Comma 2 5 3 3" xfId="3351"/>
    <cellStyle name="Comma 2 5 3 3 2" xfId="8304"/>
    <cellStyle name="Comma 2 5 3 3 2 2" xfId="8305"/>
    <cellStyle name="Comma 2 5 3 3 2 2 2" xfId="58689"/>
    <cellStyle name="Comma 2 5 3 3 2 3" xfId="58690"/>
    <cellStyle name="Comma 2 5 3 3 2 4" xfId="58691"/>
    <cellStyle name="Comma 2 5 3 3 2 5" xfId="58692"/>
    <cellStyle name="Comma 2 5 3 3 3" xfId="8306"/>
    <cellStyle name="Comma 2 5 3 3 3 2" xfId="58693"/>
    <cellStyle name="Comma 2 5 3 3 4" xfId="58694"/>
    <cellStyle name="Comma 2 5 3 3 5" xfId="58695"/>
    <cellStyle name="Comma 2 5 3 3 6" xfId="58696"/>
    <cellStyle name="Comma 2 5 3 4" xfId="8307"/>
    <cellStyle name="Comma 2 5 3 4 2" xfId="8308"/>
    <cellStyle name="Comma 2 5 3 4 2 2" xfId="58697"/>
    <cellStyle name="Comma 2 5 3 4 3" xfId="58698"/>
    <cellStyle name="Comma 2 5 3 4 4" xfId="58699"/>
    <cellStyle name="Comma 2 5 3 4 5" xfId="58700"/>
    <cellStyle name="Comma 2 5 3 5" xfId="8309"/>
    <cellStyle name="Comma 2 5 3 5 2" xfId="8310"/>
    <cellStyle name="Comma 2 5 3 5 2 2" xfId="58701"/>
    <cellStyle name="Comma 2 5 3 5 3" xfId="58702"/>
    <cellStyle name="Comma 2 5 3 5 4" xfId="58703"/>
    <cellStyle name="Comma 2 5 3 5 5" xfId="58704"/>
    <cellStyle name="Comma 2 5 3 6" xfId="8311"/>
    <cellStyle name="Comma 2 5 3 6 2" xfId="58705"/>
    <cellStyle name="Comma 2 5 3 7" xfId="58706"/>
    <cellStyle name="Comma 2 5 3 8" xfId="58707"/>
    <cellStyle name="Comma 2 5 3 9" xfId="58708"/>
    <cellStyle name="Comma 2 5 4" xfId="3352"/>
    <cellStyle name="Comma 2 5 4 2" xfId="3353"/>
    <cellStyle name="Comma 2 5 4 2 2" xfId="8312"/>
    <cellStyle name="Comma 2 5 4 2 2 2" xfId="8313"/>
    <cellStyle name="Comma 2 5 4 2 2 3" xfId="58709"/>
    <cellStyle name="Comma 2 5 4 2 3" xfId="8314"/>
    <cellStyle name="Comma 2 5 4 2 3 2" xfId="58710"/>
    <cellStyle name="Comma 2 5 4 2 4" xfId="58711"/>
    <cellStyle name="Comma 2 5 4 2 5" xfId="58712"/>
    <cellStyle name="Comma 2 5 4 3" xfId="8315"/>
    <cellStyle name="Comma 2 5 4 3 2" xfId="8316"/>
    <cellStyle name="Comma 2 5 4 3 3" xfId="58713"/>
    <cellStyle name="Comma 2 5 4 4" xfId="8317"/>
    <cellStyle name="Comma 2 5 4 4 2" xfId="58714"/>
    <cellStyle name="Comma 2 5 4 5" xfId="58715"/>
    <cellStyle name="Comma 2 5 4 6" xfId="58716"/>
    <cellStyle name="Comma 2 5 5" xfId="3354"/>
    <cellStyle name="Comma 2 5 5 2" xfId="8318"/>
    <cellStyle name="Comma 2 5 5 2 2" xfId="8319"/>
    <cellStyle name="Comma 2 5 5 2 2 2" xfId="58717"/>
    <cellStyle name="Comma 2 5 5 2 3" xfId="58718"/>
    <cellStyle name="Comma 2 5 5 2 4" xfId="58719"/>
    <cellStyle name="Comma 2 5 5 2 5" xfId="58720"/>
    <cellStyle name="Comma 2 5 5 3" xfId="8320"/>
    <cellStyle name="Comma 2 5 5 3 2" xfId="58721"/>
    <cellStyle name="Comma 2 5 5 4" xfId="58722"/>
    <cellStyle name="Comma 2 5 5 5" xfId="58723"/>
    <cellStyle name="Comma 2 5 5 6" xfId="58724"/>
    <cellStyle name="Comma 2 5 6" xfId="8321"/>
    <cellStyle name="Comma 2 5 6 2" xfId="8322"/>
    <cellStyle name="Comma 2 5 6 2 2" xfId="58725"/>
    <cellStyle name="Comma 2 5 6 3" xfId="58726"/>
    <cellStyle name="Comma 2 5 6 4" xfId="58727"/>
    <cellStyle name="Comma 2 5 6 5" xfId="58728"/>
    <cellStyle name="Comma 2 5 7" xfId="8323"/>
    <cellStyle name="Comma 2 5 7 2" xfId="8324"/>
    <cellStyle name="Comma 2 5 7 2 2" xfId="58729"/>
    <cellStyle name="Comma 2 5 7 3" xfId="58730"/>
    <cellStyle name="Comma 2 5 7 4" xfId="58731"/>
    <cellStyle name="Comma 2 5 7 5" xfId="58732"/>
    <cellStyle name="Comma 2 5 8" xfId="8325"/>
    <cellStyle name="Comma 2 5 8 2" xfId="58733"/>
    <cellStyle name="Comma 2 5 8 2 2" xfId="58734"/>
    <cellStyle name="Comma 2 5 8 3" xfId="58735"/>
    <cellStyle name="Comma 2 5 8 4" xfId="58736"/>
    <cellStyle name="Comma 2 5 8 5" xfId="58737"/>
    <cellStyle name="Comma 2 5 9" xfId="44123"/>
    <cellStyle name="Comma 2 6" xfId="3355"/>
    <cellStyle name="Comma 2 6 2" xfId="3356"/>
    <cellStyle name="Comma 2 6 2 2" xfId="3357"/>
    <cellStyle name="Comma 2 6 2 2 2" xfId="3358"/>
    <cellStyle name="Comma 2 6 2 2 2 2" xfId="8326"/>
    <cellStyle name="Comma 2 6 2 2 2 2 2" xfId="8327"/>
    <cellStyle name="Comma 2 6 2 2 2 2 3" xfId="58738"/>
    <cellStyle name="Comma 2 6 2 2 2 3" xfId="8328"/>
    <cellStyle name="Comma 2 6 2 2 2 3 2" xfId="58739"/>
    <cellStyle name="Comma 2 6 2 2 2 4" xfId="58740"/>
    <cellStyle name="Comma 2 6 2 2 2 5" xfId="58741"/>
    <cellStyle name="Comma 2 6 2 2 3" xfId="8329"/>
    <cellStyle name="Comma 2 6 2 2 3 2" xfId="8330"/>
    <cellStyle name="Comma 2 6 2 2 3 3" xfId="58742"/>
    <cellStyle name="Comma 2 6 2 2 4" xfId="8331"/>
    <cellStyle name="Comma 2 6 2 2 4 2" xfId="58743"/>
    <cellStyle name="Comma 2 6 2 2 5" xfId="58744"/>
    <cellStyle name="Comma 2 6 2 2 6" xfId="58745"/>
    <cellStyle name="Comma 2 6 2 3" xfId="3359"/>
    <cellStyle name="Comma 2 6 2 3 2" xfId="8332"/>
    <cellStyle name="Comma 2 6 2 3 2 2" xfId="8333"/>
    <cellStyle name="Comma 2 6 2 3 2 2 2" xfId="58746"/>
    <cellStyle name="Comma 2 6 2 3 2 3" xfId="58747"/>
    <cellStyle name="Comma 2 6 2 3 2 4" xfId="58748"/>
    <cellStyle name="Comma 2 6 2 3 2 5" xfId="58749"/>
    <cellStyle name="Comma 2 6 2 3 3" xfId="8334"/>
    <cellStyle name="Comma 2 6 2 3 3 2" xfId="58750"/>
    <cellStyle name="Comma 2 6 2 3 4" xfId="58751"/>
    <cellStyle name="Comma 2 6 2 3 5" xfId="58752"/>
    <cellStyle name="Comma 2 6 2 3 6" xfId="58753"/>
    <cellStyle name="Comma 2 6 2 4" xfId="8335"/>
    <cellStyle name="Comma 2 6 2 4 2" xfId="8336"/>
    <cellStyle name="Comma 2 6 2 4 2 2" xfId="58754"/>
    <cellStyle name="Comma 2 6 2 4 3" xfId="58755"/>
    <cellStyle name="Comma 2 6 2 4 4" xfId="58756"/>
    <cellStyle name="Comma 2 6 2 4 5" xfId="58757"/>
    <cellStyle name="Comma 2 6 2 5" xfId="8337"/>
    <cellStyle name="Comma 2 6 2 5 2" xfId="8338"/>
    <cellStyle name="Comma 2 6 2 5 2 2" xfId="58758"/>
    <cellStyle name="Comma 2 6 2 5 3" xfId="58759"/>
    <cellStyle name="Comma 2 6 2 5 4" xfId="58760"/>
    <cellStyle name="Comma 2 6 2 5 5" xfId="58761"/>
    <cellStyle name="Comma 2 6 2 6" xfId="8339"/>
    <cellStyle name="Comma 2 6 2 6 2" xfId="58762"/>
    <cellStyle name="Comma 2 6 2 7" xfId="44124"/>
    <cellStyle name="Comma 2 6 2 8" xfId="58763"/>
    <cellStyle name="Comma 2 6 2 9" xfId="58764"/>
    <cellStyle name="Comma 2 6 3" xfId="3360"/>
    <cellStyle name="Comma 2 6 3 2" xfId="3361"/>
    <cellStyle name="Comma 2 6 3 2 2" xfId="8340"/>
    <cellStyle name="Comma 2 6 3 2 2 2" xfId="8341"/>
    <cellStyle name="Comma 2 6 3 2 2 3" xfId="58765"/>
    <cellStyle name="Comma 2 6 3 2 3" xfId="8342"/>
    <cellStyle name="Comma 2 6 3 2 3 2" xfId="58766"/>
    <cellStyle name="Comma 2 6 3 2 4" xfId="58767"/>
    <cellStyle name="Comma 2 6 3 2 5" xfId="58768"/>
    <cellStyle name="Comma 2 6 3 3" xfId="8343"/>
    <cellStyle name="Comma 2 6 3 3 2" xfId="8344"/>
    <cellStyle name="Comma 2 6 3 3 3" xfId="58769"/>
    <cellStyle name="Comma 2 6 3 4" xfId="8345"/>
    <cellStyle name="Comma 2 6 3 4 2" xfId="58770"/>
    <cellStyle name="Comma 2 6 3 5" xfId="58771"/>
    <cellStyle name="Comma 2 6 3 6" xfId="58772"/>
    <cellStyle name="Comma 2 6 4" xfId="3362"/>
    <cellStyle name="Comma 2 6 4 2" xfId="8346"/>
    <cellStyle name="Comma 2 6 4 2 2" xfId="8347"/>
    <cellStyle name="Comma 2 6 4 2 2 2" xfId="58773"/>
    <cellStyle name="Comma 2 6 4 2 3" xfId="58774"/>
    <cellStyle name="Comma 2 6 4 2 4" xfId="58775"/>
    <cellStyle name="Comma 2 6 4 2 5" xfId="58776"/>
    <cellStyle name="Comma 2 6 4 3" xfId="8348"/>
    <cellStyle name="Comma 2 6 4 3 2" xfId="58777"/>
    <cellStyle name="Comma 2 6 4 4" xfId="58778"/>
    <cellStyle name="Comma 2 6 4 5" xfId="58779"/>
    <cellStyle name="Comma 2 6 4 6" xfId="58780"/>
    <cellStyle name="Comma 2 6 5" xfId="8349"/>
    <cellStyle name="Comma 2 6 5 2" xfId="8350"/>
    <cellStyle name="Comma 2 6 5 2 2" xfId="58781"/>
    <cellStyle name="Comma 2 6 5 3" xfId="58782"/>
    <cellStyle name="Comma 2 6 5 4" xfId="58783"/>
    <cellStyle name="Comma 2 6 5 5" xfId="58784"/>
    <cellStyle name="Comma 2 6 6" xfId="8351"/>
    <cellStyle name="Comma 2 6 6 2" xfId="8352"/>
    <cellStyle name="Comma 2 6 6 2 2" xfId="58785"/>
    <cellStyle name="Comma 2 6 6 3" xfId="58786"/>
    <cellStyle name="Comma 2 6 6 4" xfId="58787"/>
    <cellStyle name="Comma 2 6 6 5" xfId="58788"/>
    <cellStyle name="Comma 2 6 7" xfId="8353"/>
    <cellStyle name="Comma 2 6 7 2" xfId="58789"/>
    <cellStyle name="Comma 2 6 7 2 2" xfId="58790"/>
    <cellStyle name="Comma 2 6 7 3" xfId="58791"/>
    <cellStyle name="Comma 2 6 7 4" xfId="58792"/>
    <cellStyle name="Comma 2 6 7 5" xfId="58793"/>
    <cellStyle name="Comma 2 6 8" xfId="44125"/>
    <cellStyle name="Comma 2 7" xfId="3363"/>
    <cellStyle name="Comma 2 7 2" xfId="3364"/>
    <cellStyle name="Comma 2 7 2 2" xfId="3365"/>
    <cellStyle name="Comma 2 7 2 2 2" xfId="3366"/>
    <cellStyle name="Comma 2 7 2 2 2 2" xfId="8354"/>
    <cellStyle name="Comma 2 7 2 2 2 3" xfId="58794"/>
    <cellStyle name="Comma 2 7 2 2 3" xfId="8355"/>
    <cellStyle name="Comma 2 7 2 2 3 2" xfId="58795"/>
    <cellStyle name="Comma 2 7 2 2 4" xfId="58796"/>
    <cellStyle name="Comma 2 7 2 2 5" xfId="58797"/>
    <cellStyle name="Comma 2 7 2 3" xfId="3367"/>
    <cellStyle name="Comma 2 7 2 3 2" xfId="8356"/>
    <cellStyle name="Comma 2 7 2 3 3" xfId="58798"/>
    <cellStyle name="Comma 2 7 2 4" xfId="8357"/>
    <cellStyle name="Comma 2 7 2 4 2" xfId="58799"/>
    <cellStyle name="Comma 2 7 2 5" xfId="58800"/>
    <cellStyle name="Comma 2 7 2 6" xfId="58801"/>
    <cellStyle name="Comma 2 7 3" xfId="3368"/>
    <cellStyle name="Comma 2 7 3 2" xfId="3369"/>
    <cellStyle name="Comma 2 7 3 2 2" xfId="8358"/>
    <cellStyle name="Comma 2 7 3 2 2 2" xfId="58802"/>
    <cellStyle name="Comma 2 7 3 2 3" xfId="58803"/>
    <cellStyle name="Comma 2 7 3 2 4" xfId="58804"/>
    <cellStyle name="Comma 2 7 3 2 5" xfId="58805"/>
    <cellStyle name="Comma 2 7 3 3" xfId="8359"/>
    <cellStyle name="Comma 2 7 3 3 2" xfId="58806"/>
    <cellStyle name="Comma 2 7 3 4" xfId="58807"/>
    <cellStyle name="Comma 2 7 3 5" xfId="58808"/>
    <cellStyle name="Comma 2 7 3 6" xfId="58809"/>
    <cellStyle name="Comma 2 7 4" xfId="3370"/>
    <cellStyle name="Comma 2 7 4 2" xfId="8360"/>
    <cellStyle name="Comma 2 7 4 2 2" xfId="58810"/>
    <cellStyle name="Comma 2 7 4 3" xfId="58811"/>
    <cellStyle name="Comma 2 7 4 4" xfId="58812"/>
    <cellStyle name="Comma 2 7 4 5" xfId="58813"/>
    <cellStyle name="Comma 2 7 5" xfId="8361"/>
    <cellStyle name="Comma 2 7 5 2" xfId="8362"/>
    <cellStyle name="Comma 2 7 5 2 2" xfId="58814"/>
    <cellStyle name="Comma 2 7 5 3" xfId="58815"/>
    <cellStyle name="Comma 2 7 5 4" xfId="58816"/>
    <cellStyle name="Comma 2 7 5 5" xfId="58817"/>
    <cellStyle name="Comma 2 7 6" xfId="8363"/>
    <cellStyle name="Comma 2 7 6 2" xfId="58818"/>
    <cellStyle name="Comma 2 7 6 2 2" xfId="58819"/>
    <cellStyle name="Comma 2 7 6 3" xfId="58820"/>
    <cellStyle name="Comma 2 7 6 4" xfId="58821"/>
    <cellStyle name="Comma 2 7 6 5" xfId="58822"/>
    <cellStyle name="Comma 2 7 7" xfId="44126"/>
    <cellStyle name="Comma 2 8" xfId="3371"/>
    <cellStyle name="Comma 2 8 2" xfId="3372"/>
    <cellStyle name="Comma 2 8 2 2" xfId="3373"/>
    <cellStyle name="Comma 2 8 2 2 2" xfId="3374"/>
    <cellStyle name="Comma 2 8 2 2 3" xfId="58823"/>
    <cellStyle name="Comma 2 8 2 3" xfId="3375"/>
    <cellStyle name="Comma 2 8 2 3 2" xfId="58824"/>
    <cellStyle name="Comma 2 8 2 4" xfId="58825"/>
    <cellStyle name="Comma 2 8 2 5" xfId="58826"/>
    <cellStyle name="Comma 2 8 3" xfId="3376"/>
    <cellStyle name="Comma 2 8 3 2" xfId="3377"/>
    <cellStyle name="Comma 2 8 3 2 2" xfId="58827"/>
    <cellStyle name="Comma 2 8 3 3" xfId="58828"/>
    <cellStyle name="Comma 2 8 3 4" xfId="58829"/>
    <cellStyle name="Comma 2 8 3 5" xfId="58830"/>
    <cellStyle name="Comma 2 8 4" xfId="3378"/>
    <cellStyle name="Comma 2 8 4 2" xfId="58831"/>
    <cellStyle name="Comma 2 8 4 2 2" xfId="58832"/>
    <cellStyle name="Comma 2 8 4 3" xfId="58833"/>
    <cellStyle name="Comma 2 8 4 4" xfId="58834"/>
    <cellStyle name="Comma 2 8 4 5" xfId="58835"/>
    <cellStyle name="Comma 2 8 5" xfId="44127"/>
    <cellStyle name="Comma 2 9" xfId="3379"/>
    <cellStyle name="Comma 2 9 2" xfId="3380"/>
    <cellStyle name="Comma 2 9 2 2" xfId="3381"/>
    <cellStyle name="Comma 2 9 2 2 2" xfId="58836"/>
    <cellStyle name="Comma 2 9 2 3" xfId="58837"/>
    <cellStyle name="Comma 2 9 2 4" xfId="58838"/>
    <cellStyle name="Comma 2 9 2 5" xfId="58839"/>
    <cellStyle name="Comma 2 9 3" xfId="3382"/>
    <cellStyle name="Comma 2 9 3 2" xfId="58840"/>
    <cellStyle name="Comma 2 9 3 2 2" xfId="58841"/>
    <cellStyle name="Comma 2 9 3 3" xfId="58842"/>
    <cellStyle name="Comma 2 9 3 4" xfId="58843"/>
    <cellStyle name="Comma 2 9 3 5" xfId="58844"/>
    <cellStyle name="Comma 2 9 4" xfId="58845"/>
    <cellStyle name="Comma 20" xfId="3383"/>
    <cellStyle name="Comma 20 2" xfId="44128"/>
    <cellStyle name="Comma 20 2 2" xfId="44129"/>
    <cellStyle name="Comma 20 3" xfId="44130"/>
    <cellStyle name="Comma 20 3 2" xfId="44131"/>
    <cellStyle name="Comma 20 4" xfId="44132"/>
    <cellStyle name="Comma 20 4 2" xfId="44133"/>
    <cellStyle name="Comma 20 5" xfId="44134"/>
    <cellStyle name="Comma 20 6" xfId="44135"/>
    <cellStyle name="Comma 20 7" xfId="44136"/>
    <cellStyle name="Comma 21" xfId="3384"/>
    <cellStyle name="Comma 21 2" xfId="44137"/>
    <cellStyle name="Comma 21 2 2" xfId="44138"/>
    <cellStyle name="Comma 21 2 3" xfId="44139"/>
    <cellStyle name="Comma 21 3" xfId="44140"/>
    <cellStyle name="Comma 21 3 2" xfId="44141"/>
    <cellStyle name="Comma 21 4" xfId="44142"/>
    <cellStyle name="Comma 21 5" xfId="44143"/>
    <cellStyle name="Comma 22" xfId="3385"/>
    <cellStyle name="Comma 22 2" xfId="44144"/>
    <cellStyle name="Comma 22 2 2" xfId="44145"/>
    <cellStyle name="Comma 22 3" xfId="44146"/>
    <cellStyle name="Comma 22 4" xfId="44147"/>
    <cellStyle name="Comma 23" xfId="3386"/>
    <cellStyle name="Comma 23 2" xfId="44148"/>
    <cellStyle name="Comma 23 3" xfId="44149"/>
    <cellStyle name="Comma 24" xfId="3387"/>
    <cellStyle name="Comma 24 10" xfId="44150"/>
    <cellStyle name="Comma 24 10 2" xfId="44151"/>
    <cellStyle name="Comma 24 11" xfId="44152"/>
    <cellStyle name="Comma 24 12" xfId="44153"/>
    <cellStyle name="Comma 24 13" xfId="44154"/>
    <cellStyle name="Comma 24 2" xfId="44155"/>
    <cellStyle name="Comma 24 2 10" xfId="44156"/>
    <cellStyle name="Comma 24 2 2" xfId="44157"/>
    <cellStyle name="Comma 24 2 2 2" xfId="44158"/>
    <cellStyle name="Comma 24 2 2 2 2" xfId="44159"/>
    <cellStyle name="Comma 24 2 2 2 2 2" xfId="44160"/>
    <cellStyle name="Comma 24 2 2 2 2 3" xfId="44161"/>
    <cellStyle name="Comma 24 2 2 2 3" xfId="44162"/>
    <cellStyle name="Comma 24 2 2 2 3 2" xfId="44163"/>
    <cellStyle name="Comma 24 2 2 2 3 3" xfId="44164"/>
    <cellStyle name="Comma 24 2 2 2 4" xfId="44165"/>
    <cellStyle name="Comma 24 2 2 2 4 2" xfId="44166"/>
    <cellStyle name="Comma 24 2 2 2 5" xfId="44167"/>
    <cellStyle name="Comma 24 2 2 2 6" xfId="44168"/>
    <cellStyle name="Comma 24 2 2 3" xfId="44169"/>
    <cellStyle name="Comma 24 2 2 3 2" xfId="44170"/>
    <cellStyle name="Comma 24 2 2 3 2 2" xfId="44171"/>
    <cellStyle name="Comma 24 2 2 3 2 3" xfId="44172"/>
    <cellStyle name="Comma 24 2 2 3 3" xfId="44173"/>
    <cellStyle name="Comma 24 2 2 3 3 2" xfId="44174"/>
    <cellStyle name="Comma 24 2 2 3 3 3" xfId="44175"/>
    <cellStyle name="Comma 24 2 2 3 4" xfId="44176"/>
    <cellStyle name="Comma 24 2 2 3 4 2" xfId="44177"/>
    <cellStyle name="Comma 24 2 2 3 5" xfId="44178"/>
    <cellStyle name="Comma 24 2 2 3 6" xfId="44179"/>
    <cellStyle name="Comma 24 2 2 4" xfId="44180"/>
    <cellStyle name="Comma 24 2 2 4 2" xfId="44181"/>
    <cellStyle name="Comma 24 2 2 4 2 2" xfId="44182"/>
    <cellStyle name="Comma 24 2 2 4 2 3" xfId="44183"/>
    <cellStyle name="Comma 24 2 2 4 3" xfId="44184"/>
    <cellStyle name="Comma 24 2 2 4 3 2" xfId="44185"/>
    <cellStyle name="Comma 24 2 2 4 4" xfId="44186"/>
    <cellStyle name="Comma 24 2 2 4 5" xfId="44187"/>
    <cellStyle name="Comma 24 2 2 5" xfId="44188"/>
    <cellStyle name="Comma 24 2 2 5 2" xfId="44189"/>
    <cellStyle name="Comma 24 2 2 5 3" xfId="44190"/>
    <cellStyle name="Comma 24 2 2 6" xfId="44191"/>
    <cellStyle name="Comma 24 2 2 6 2" xfId="44192"/>
    <cellStyle name="Comma 24 2 2 6 3" xfId="44193"/>
    <cellStyle name="Comma 24 2 2 7" xfId="44194"/>
    <cellStyle name="Comma 24 2 2 7 2" xfId="44195"/>
    <cellStyle name="Comma 24 2 2 8" xfId="44196"/>
    <cellStyle name="Comma 24 2 2 9" xfId="44197"/>
    <cellStyle name="Comma 24 2 3" xfId="44198"/>
    <cellStyle name="Comma 24 2 3 2" xfId="44199"/>
    <cellStyle name="Comma 24 2 3 2 2" xfId="44200"/>
    <cellStyle name="Comma 24 2 3 2 3" xfId="44201"/>
    <cellStyle name="Comma 24 2 3 3" xfId="44202"/>
    <cellStyle name="Comma 24 2 3 3 2" xfId="44203"/>
    <cellStyle name="Comma 24 2 3 3 3" xfId="44204"/>
    <cellStyle name="Comma 24 2 3 4" xfId="44205"/>
    <cellStyle name="Comma 24 2 3 4 2" xfId="44206"/>
    <cellStyle name="Comma 24 2 3 5" xfId="44207"/>
    <cellStyle name="Comma 24 2 3 6" xfId="44208"/>
    <cellStyle name="Comma 24 2 4" xfId="44209"/>
    <cellStyle name="Comma 24 2 4 2" xfId="44210"/>
    <cellStyle name="Comma 24 2 4 2 2" xfId="44211"/>
    <cellStyle name="Comma 24 2 4 2 3" xfId="44212"/>
    <cellStyle name="Comma 24 2 4 3" xfId="44213"/>
    <cellStyle name="Comma 24 2 4 3 2" xfId="44214"/>
    <cellStyle name="Comma 24 2 4 3 3" xfId="44215"/>
    <cellStyle name="Comma 24 2 4 4" xfId="44216"/>
    <cellStyle name="Comma 24 2 4 4 2" xfId="44217"/>
    <cellStyle name="Comma 24 2 4 5" xfId="44218"/>
    <cellStyle name="Comma 24 2 4 6" xfId="44219"/>
    <cellStyle name="Comma 24 2 5" xfId="44220"/>
    <cellStyle name="Comma 24 2 5 2" xfId="44221"/>
    <cellStyle name="Comma 24 2 5 2 2" xfId="44222"/>
    <cellStyle name="Comma 24 2 5 2 3" xfId="44223"/>
    <cellStyle name="Comma 24 2 5 3" xfId="44224"/>
    <cellStyle name="Comma 24 2 5 3 2" xfId="44225"/>
    <cellStyle name="Comma 24 2 5 4" xfId="44226"/>
    <cellStyle name="Comma 24 2 5 5" xfId="44227"/>
    <cellStyle name="Comma 24 2 6" xfId="44228"/>
    <cellStyle name="Comma 24 2 6 2" xfId="44229"/>
    <cellStyle name="Comma 24 2 6 3" xfId="44230"/>
    <cellStyle name="Comma 24 2 7" xfId="44231"/>
    <cellStyle name="Comma 24 2 7 2" xfId="44232"/>
    <cellStyle name="Comma 24 2 7 3" xfId="44233"/>
    <cellStyle name="Comma 24 2 8" xfId="44234"/>
    <cellStyle name="Comma 24 2 8 2" xfId="44235"/>
    <cellStyle name="Comma 24 2 9" xfId="44236"/>
    <cellStyle name="Comma 24 3" xfId="44237"/>
    <cellStyle name="Comma 24 3 2" xfId="44238"/>
    <cellStyle name="Comma 24 3 2 2" xfId="44239"/>
    <cellStyle name="Comma 24 3 2 2 2" xfId="44240"/>
    <cellStyle name="Comma 24 3 2 2 3" xfId="44241"/>
    <cellStyle name="Comma 24 3 2 3" xfId="44242"/>
    <cellStyle name="Comma 24 3 2 3 2" xfId="44243"/>
    <cellStyle name="Comma 24 3 2 3 3" xfId="44244"/>
    <cellStyle name="Comma 24 3 2 4" xfId="44245"/>
    <cellStyle name="Comma 24 3 2 4 2" xfId="44246"/>
    <cellStyle name="Comma 24 3 2 5" xfId="44247"/>
    <cellStyle name="Comma 24 3 2 6" xfId="44248"/>
    <cellStyle name="Comma 24 3 3" xfId="44249"/>
    <cellStyle name="Comma 24 3 3 2" xfId="44250"/>
    <cellStyle name="Comma 24 3 3 2 2" xfId="44251"/>
    <cellStyle name="Comma 24 3 3 2 3" xfId="44252"/>
    <cellStyle name="Comma 24 3 3 3" xfId="44253"/>
    <cellStyle name="Comma 24 3 3 3 2" xfId="44254"/>
    <cellStyle name="Comma 24 3 3 3 3" xfId="44255"/>
    <cellStyle name="Comma 24 3 3 4" xfId="44256"/>
    <cellStyle name="Comma 24 3 3 4 2" xfId="44257"/>
    <cellStyle name="Comma 24 3 3 5" xfId="44258"/>
    <cellStyle name="Comma 24 3 3 6" xfId="44259"/>
    <cellStyle name="Comma 24 3 4" xfId="44260"/>
    <cellStyle name="Comma 24 3 4 2" xfId="44261"/>
    <cellStyle name="Comma 24 3 4 2 2" xfId="44262"/>
    <cellStyle name="Comma 24 3 4 2 3" xfId="44263"/>
    <cellStyle name="Comma 24 3 4 3" xfId="44264"/>
    <cellStyle name="Comma 24 3 4 3 2" xfId="44265"/>
    <cellStyle name="Comma 24 3 4 4" xfId="44266"/>
    <cellStyle name="Comma 24 3 4 5" xfId="44267"/>
    <cellStyle name="Comma 24 3 5" xfId="44268"/>
    <cellStyle name="Comma 24 3 5 2" xfId="44269"/>
    <cellStyle name="Comma 24 3 5 3" xfId="44270"/>
    <cellStyle name="Comma 24 3 6" xfId="44271"/>
    <cellStyle name="Comma 24 3 6 2" xfId="44272"/>
    <cellStyle name="Comma 24 3 6 3" xfId="44273"/>
    <cellStyle name="Comma 24 3 7" xfId="44274"/>
    <cellStyle name="Comma 24 3 7 2" xfId="44275"/>
    <cellStyle name="Comma 24 3 8" xfId="44276"/>
    <cellStyle name="Comma 24 3 9" xfId="44277"/>
    <cellStyle name="Comma 24 4" xfId="44278"/>
    <cellStyle name="Comma 24 4 2" xfId="44279"/>
    <cellStyle name="Comma 24 4 2 2" xfId="44280"/>
    <cellStyle name="Comma 24 4 2 2 2" xfId="44281"/>
    <cellStyle name="Comma 24 4 2 2 3" xfId="44282"/>
    <cellStyle name="Comma 24 4 2 3" xfId="44283"/>
    <cellStyle name="Comma 24 4 2 3 2" xfId="44284"/>
    <cellStyle name="Comma 24 4 2 3 3" xfId="44285"/>
    <cellStyle name="Comma 24 4 2 4" xfId="44286"/>
    <cellStyle name="Comma 24 4 2 4 2" xfId="44287"/>
    <cellStyle name="Comma 24 4 2 5" xfId="44288"/>
    <cellStyle name="Comma 24 4 2 6" xfId="44289"/>
    <cellStyle name="Comma 24 4 3" xfId="44290"/>
    <cellStyle name="Comma 24 4 3 2" xfId="44291"/>
    <cellStyle name="Comma 24 4 3 2 2" xfId="44292"/>
    <cellStyle name="Comma 24 4 3 2 3" xfId="44293"/>
    <cellStyle name="Comma 24 4 3 3" xfId="44294"/>
    <cellStyle name="Comma 24 4 3 3 2" xfId="44295"/>
    <cellStyle name="Comma 24 4 3 3 3" xfId="44296"/>
    <cellStyle name="Comma 24 4 3 4" xfId="44297"/>
    <cellStyle name="Comma 24 4 3 4 2" xfId="44298"/>
    <cellStyle name="Comma 24 4 3 5" xfId="44299"/>
    <cellStyle name="Comma 24 4 3 6" xfId="44300"/>
    <cellStyle name="Comma 24 4 4" xfId="44301"/>
    <cellStyle name="Comma 24 4 4 2" xfId="44302"/>
    <cellStyle name="Comma 24 4 4 2 2" xfId="44303"/>
    <cellStyle name="Comma 24 4 4 2 3" xfId="44304"/>
    <cellStyle name="Comma 24 4 4 3" xfId="44305"/>
    <cellStyle name="Comma 24 4 4 3 2" xfId="44306"/>
    <cellStyle name="Comma 24 4 4 4" xfId="44307"/>
    <cellStyle name="Comma 24 4 4 5" xfId="44308"/>
    <cellStyle name="Comma 24 4 5" xfId="44309"/>
    <cellStyle name="Comma 24 4 5 2" xfId="44310"/>
    <cellStyle name="Comma 24 4 5 3" xfId="44311"/>
    <cellStyle name="Comma 24 4 6" xfId="44312"/>
    <cellStyle name="Comma 24 4 6 2" xfId="44313"/>
    <cellStyle name="Comma 24 4 6 3" xfId="44314"/>
    <cellStyle name="Comma 24 4 7" xfId="44315"/>
    <cellStyle name="Comma 24 4 7 2" xfId="44316"/>
    <cellStyle name="Comma 24 4 8" xfId="44317"/>
    <cellStyle name="Comma 24 4 9" xfId="44318"/>
    <cellStyle name="Comma 24 5" xfId="44319"/>
    <cellStyle name="Comma 24 5 2" xfId="44320"/>
    <cellStyle name="Comma 24 5 2 2" xfId="44321"/>
    <cellStyle name="Comma 24 5 2 3" xfId="44322"/>
    <cellStyle name="Comma 24 5 3" xfId="44323"/>
    <cellStyle name="Comma 24 5 3 2" xfId="44324"/>
    <cellStyle name="Comma 24 5 3 3" xfId="44325"/>
    <cellStyle name="Comma 24 5 4" xfId="44326"/>
    <cellStyle name="Comma 24 5 4 2" xfId="44327"/>
    <cellStyle name="Comma 24 5 5" xfId="44328"/>
    <cellStyle name="Comma 24 5 6" xfId="44329"/>
    <cellStyle name="Comma 24 6" xfId="44330"/>
    <cellStyle name="Comma 24 6 2" xfId="44331"/>
    <cellStyle name="Comma 24 6 2 2" xfId="44332"/>
    <cellStyle name="Comma 24 6 2 3" xfId="44333"/>
    <cellStyle name="Comma 24 6 3" xfId="44334"/>
    <cellStyle name="Comma 24 6 3 2" xfId="44335"/>
    <cellStyle name="Comma 24 6 3 3" xfId="44336"/>
    <cellStyle name="Comma 24 6 4" xfId="44337"/>
    <cellStyle name="Comma 24 6 4 2" xfId="44338"/>
    <cellStyle name="Comma 24 6 5" xfId="44339"/>
    <cellStyle name="Comma 24 6 6" xfId="44340"/>
    <cellStyle name="Comma 24 7" xfId="44341"/>
    <cellStyle name="Comma 24 7 2" xfId="44342"/>
    <cellStyle name="Comma 24 7 2 2" xfId="44343"/>
    <cellStyle name="Comma 24 7 2 3" xfId="44344"/>
    <cellStyle name="Comma 24 7 3" xfId="44345"/>
    <cellStyle name="Comma 24 7 3 2" xfId="44346"/>
    <cellStyle name="Comma 24 7 4" xfId="44347"/>
    <cellStyle name="Comma 24 7 5" xfId="44348"/>
    <cellStyle name="Comma 24 8" xfId="44349"/>
    <cellStyle name="Comma 24 8 2" xfId="44350"/>
    <cellStyle name="Comma 24 8 3" xfId="44351"/>
    <cellStyle name="Comma 24 9" xfId="44352"/>
    <cellStyle name="Comma 24 9 2" xfId="44353"/>
    <cellStyle name="Comma 24 9 3" xfId="44354"/>
    <cellStyle name="Comma 25" xfId="3388"/>
    <cellStyle name="Comma 25 2" xfId="44355"/>
    <cellStyle name="Comma 25 3" xfId="44356"/>
    <cellStyle name="Comma 26" xfId="3389"/>
    <cellStyle name="Comma 26 10" xfId="44357"/>
    <cellStyle name="Comma 26 10 2" xfId="44358"/>
    <cellStyle name="Comma 26 11" xfId="44359"/>
    <cellStyle name="Comma 26 12" xfId="44360"/>
    <cellStyle name="Comma 26 13" xfId="44361"/>
    <cellStyle name="Comma 26 2" xfId="44362"/>
    <cellStyle name="Comma 26 2 10" xfId="44363"/>
    <cellStyle name="Comma 26 2 2" xfId="44364"/>
    <cellStyle name="Comma 26 2 2 2" xfId="44365"/>
    <cellStyle name="Comma 26 2 2 2 2" xfId="44366"/>
    <cellStyle name="Comma 26 2 2 2 2 2" xfId="44367"/>
    <cellStyle name="Comma 26 2 2 2 2 3" xfId="44368"/>
    <cellStyle name="Comma 26 2 2 2 3" xfId="44369"/>
    <cellStyle name="Comma 26 2 2 2 3 2" xfId="44370"/>
    <cellStyle name="Comma 26 2 2 2 3 3" xfId="44371"/>
    <cellStyle name="Comma 26 2 2 2 4" xfId="44372"/>
    <cellStyle name="Comma 26 2 2 2 4 2" xfId="44373"/>
    <cellStyle name="Comma 26 2 2 2 5" xfId="44374"/>
    <cellStyle name="Comma 26 2 2 2 6" xfId="44375"/>
    <cellStyle name="Comma 26 2 2 3" xfId="44376"/>
    <cellStyle name="Comma 26 2 2 3 2" xfId="44377"/>
    <cellStyle name="Comma 26 2 2 3 2 2" xfId="44378"/>
    <cellStyle name="Comma 26 2 2 3 2 3" xfId="44379"/>
    <cellStyle name="Comma 26 2 2 3 3" xfId="44380"/>
    <cellStyle name="Comma 26 2 2 3 3 2" xfId="44381"/>
    <cellStyle name="Comma 26 2 2 3 3 3" xfId="44382"/>
    <cellStyle name="Comma 26 2 2 3 4" xfId="44383"/>
    <cellStyle name="Comma 26 2 2 3 4 2" xfId="44384"/>
    <cellStyle name="Comma 26 2 2 3 5" xfId="44385"/>
    <cellStyle name="Comma 26 2 2 3 6" xfId="44386"/>
    <cellStyle name="Comma 26 2 2 4" xfId="44387"/>
    <cellStyle name="Comma 26 2 2 4 2" xfId="44388"/>
    <cellStyle name="Comma 26 2 2 4 2 2" xfId="44389"/>
    <cellStyle name="Comma 26 2 2 4 2 3" xfId="44390"/>
    <cellStyle name="Comma 26 2 2 4 3" xfId="44391"/>
    <cellStyle name="Comma 26 2 2 4 3 2" xfId="44392"/>
    <cellStyle name="Comma 26 2 2 4 4" xfId="44393"/>
    <cellStyle name="Comma 26 2 2 4 5" xfId="44394"/>
    <cellStyle name="Comma 26 2 2 5" xfId="44395"/>
    <cellStyle name="Comma 26 2 2 5 2" xfId="44396"/>
    <cellStyle name="Comma 26 2 2 5 3" xfId="44397"/>
    <cellStyle name="Comma 26 2 2 6" xfId="44398"/>
    <cellStyle name="Comma 26 2 2 6 2" xfId="44399"/>
    <cellStyle name="Comma 26 2 2 6 3" xfId="44400"/>
    <cellStyle name="Comma 26 2 2 7" xfId="44401"/>
    <cellStyle name="Comma 26 2 2 7 2" xfId="44402"/>
    <cellStyle name="Comma 26 2 2 8" xfId="44403"/>
    <cellStyle name="Comma 26 2 2 9" xfId="44404"/>
    <cellStyle name="Comma 26 2 3" xfId="44405"/>
    <cellStyle name="Comma 26 2 3 2" xfId="44406"/>
    <cellStyle name="Comma 26 2 3 2 2" xfId="44407"/>
    <cellStyle name="Comma 26 2 3 2 3" xfId="44408"/>
    <cellStyle name="Comma 26 2 3 3" xfId="44409"/>
    <cellStyle name="Comma 26 2 3 3 2" xfId="44410"/>
    <cellStyle name="Comma 26 2 3 3 3" xfId="44411"/>
    <cellStyle name="Comma 26 2 3 4" xfId="44412"/>
    <cellStyle name="Comma 26 2 3 4 2" xfId="44413"/>
    <cellStyle name="Comma 26 2 3 5" xfId="44414"/>
    <cellStyle name="Comma 26 2 3 6" xfId="44415"/>
    <cellStyle name="Comma 26 2 4" xfId="44416"/>
    <cellStyle name="Comma 26 2 4 2" xfId="44417"/>
    <cellStyle name="Comma 26 2 4 2 2" xfId="44418"/>
    <cellStyle name="Comma 26 2 4 2 3" xfId="44419"/>
    <cellStyle name="Comma 26 2 4 3" xfId="44420"/>
    <cellStyle name="Comma 26 2 4 3 2" xfId="44421"/>
    <cellStyle name="Comma 26 2 4 3 3" xfId="44422"/>
    <cellStyle name="Comma 26 2 4 4" xfId="44423"/>
    <cellStyle name="Comma 26 2 4 4 2" xfId="44424"/>
    <cellStyle name="Comma 26 2 4 5" xfId="44425"/>
    <cellStyle name="Comma 26 2 4 6" xfId="44426"/>
    <cellStyle name="Comma 26 2 5" xfId="44427"/>
    <cellStyle name="Comma 26 2 5 2" xfId="44428"/>
    <cellStyle name="Comma 26 2 5 2 2" xfId="44429"/>
    <cellStyle name="Comma 26 2 5 2 3" xfId="44430"/>
    <cellStyle name="Comma 26 2 5 3" xfId="44431"/>
    <cellStyle name="Comma 26 2 5 3 2" xfId="44432"/>
    <cellStyle name="Comma 26 2 5 4" xfId="44433"/>
    <cellStyle name="Comma 26 2 5 5" xfId="44434"/>
    <cellStyle name="Comma 26 2 6" xfId="44435"/>
    <cellStyle name="Comma 26 2 6 2" xfId="44436"/>
    <cellStyle name="Comma 26 2 6 3" xfId="44437"/>
    <cellStyle name="Comma 26 2 7" xfId="44438"/>
    <cellStyle name="Comma 26 2 7 2" xfId="44439"/>
    <cellStyle name="Comma 26 2 7 3" xfId="44440"/>
    <cellStyle name="Comma 26 2 8" xfId="44441"/>
    <cellStyle name="Comma 26 2 8 2" xfId="44442"/>
    <cellStyle name="Comma 26 2 9" xfId="44443"/>
    <cellStyle name="Comma 26 3" xfId="44444"/>
    <cellStyle name="Comma 26 3 2" xfId="44445"/>
    <cellStyle name="Comma 26 3 2 2" xfId="44446"/>
    <cellStyle name="Comma 26 3 2 2 2" xfId="44447"/>
    <cellStyle name="Comma 26 3 2 2 3" xfId="44448"/>
    <cellStyle name="Comma 26 3 2 3" xfId="44449"/>
    <cellStyle name="Comma 26 3 2 3 2" xfId="44450"/>
    <cellStyle name="Comma 26 3 2 3 3" xfId="44451"/>
    <cellStyle name="Comma 26 3 2 4" xfId="44452"/>
    <cellStyle name="Comma 26 3 2 4 2" xfId="44453"/>
    <cellStyle name="Comma 26 3 2 5" xfId="44454"/>
    <cellStyle name="Comma 26 3 2 6" xfId="44455"/>
    <cellStyle name="Comma 26 3 3" xfId="44456"/>
    <cellStyle name="Comma 26 3 3 2" xfId="44457"/>
    <cellStyle name="Comma 26 3 3 2 2" xfId="44458"/>
    <cellStyle name="Comma 26 3 3 2 3" xfId="44459"/>
    <cellStyle name="Comma 26 3 3 3" xfId="44460"/>
    <cellStyle name="Comma 26 3 3 3 2" xfId="44461"/>
    <cellStyle name="Comma 26 3 3 3 3" xfId="44462"/>
    <cellStyle name="Comma 26 3 3 4" xfId="44463"/>
    <cellStyle name="Comma 26 3 3 4 2" xfId="44464"/>
    <cellStyle name="Comma 26 3 3 5" xfId="44465"/>
    <cellStyle name="Comma 26 3 3 6" xfId="44466"/>
    <cellStyle name="Comma 26 3 4" xfId="44467"/>
    <cellStyle name="Comma 26 3 4 2" xfId="44468"/>
    <cellStyle name="Comma 26 3 4 2 2" xfId="44469"/>
    <cellStyle name="Comma 26 3 4 2 3" xfId="44470"/>
    <cellStyle name="Comma 26 3 4 3" xfId="44471"/>
    <cellStyle name="Comma 26 3 4 3 2" xfId="44472"/>
    <cellStyle name="Comma 26 3 4 4" xfId="44473"/>
    <cellStyle name="Comma 26 3 4 5" xfId="44474"/>
    <cellStyle name="Comma 26 3 5" xfId="44475"/>
    <cellStyle name="Comma 26 3 5 2" xfId="44476"/>
    <cellStyle name="Comma 26 3 5 3" xfId="44477"/>
    <cellStyle name="Comma 26 3 6" xfId="44478"/>
    <cellStyle name="Comma 26 3 6 2" xfId="44479"/>
    <cellStyle name="Comma 26 3 6 3" xfId="44480"/>
    <cellStyle name="Comma 26 3 7" xfId="44481"/>
    <cellStyle name="Comma 26 3 7 2" xfId="44482"/>
    <cellStyle name="Comma 26 3 8" xfId="44483"/>
    <cellStyle name="Comma 26 3 9" xfId="44484"/>
    <cellStyle name="Comma 26 4" xfId="44485"/>
    <cellStyle name="Comma 26 4 2" xfId="44486"/>
    <cellStyle name="Comma 26 4 2 2" xfId="44487"/>
    <cellStyle name="Comma 26 4 2 2 2" xfId="44488"/>
    <cellStyle name="Comma 26 4 2 2 3" xfId="44489"/>
    <cellStyle name="Comma 26 4 2 3" xfId="44490"/>
    <cellStyle name="Comma 26 4 2 3 2" xfId="44491"/>
    <cellStyle name="Comma 26 4 2 3 3" xfId="44492"/>
    <cellStyle name="Comma 26 4 2 4" xfId="44493"/>
    <cellStyle name="Comma 26 4 2 4 2" xfId="44494"/>
    <cellStyle name="Comma 26 4 2 5" xfId="44495"/>
    <cellStyle name="Comma 26 4 2 6" xfId="44496"/>
    <cellStyle name="Comma 26 4 3" xfId="44497"/>
    <cellStyle name="Comma 26 4 3 2" xfId="44498"/>
    <cellStyle name="Comma 26 4 3 2 2" xfId="44499"/>
    <cellStyle name="Comma 26 4 3 2 3" xfId="44500"/>
    <cellStyle name="Comma 26 4 3 3" xfId="44501"/>
    <cellStyle name="Comma 26 4 3 3 2" xfId="44502"/>
    <cellStyle name="Comma 26 4 3 3 3" xfId="44503"/>
    <cellStyle name="Comma 26 4 3 4" xfId="44504"/>
    <cellStyle name="Comma 26 4 3 4 2" xfId="44505"/>
    <cellStyle name="Comma 26 4 3 5" xfId="44506"/>
    <cellStyle name="Comma 26 4 3 6" xfId="44507"/>
    <cellStyle name="Comma 26 4 4" xfId="44508"/>
    <cellStyle name="Comma 26 4 4 2" xfId="44509"/>
    <cellStyle name="Comma 26 4 4 2 2" xfId="44510"/>
    <cellStyle name="Comma 26 4 4 2 3" xfId="44511"/>
    <cellStyle name="Comma 26 4 4 3" xfId="44512"/>
    <cellStyle name="Comma 26 4 4 3 2" xfId="44513"/>
    <cellStyle name="Comma 26 4 4 4" xfId="44514"/>
    <cellStyle name="Comma 26 4 4 5" xfId="44515"/>
    <cellStyle name="Comma 26 4 5" xfId="44516"/>
    <cellStyle name="Comma 26 4 5 2" xfId="44517"/>
    <cellStyle name="Comma 26 4 5 3" xfId="44518"/>
    <cellStyle name="Comma 26 4 6" xfId="44519"/>
    <cellStyle name="Comma 26 4 6 2" xfId="44520"/>
    <cellStyle name="Comma 26 4 6 3" xfId="44521"/>
    <cellStyle name="Comma 26 4 7" xfId="44522"/>
    <cellStyle name="Comma 26 4 7 2" xfId="44523"/>
    <cellStyle name="Comma 26 4 8" xfId="44524"/>
    <cellStyle name="Comma 26 4 9" xfId="44525"/>
    <cellStyle name="Comma 26 5" xfId="44526"/>
    <cellStyle name="Comma 26 5 2" xfId="44527"/>
    <cellStyle name="Comma 26 5 2 2" xfId="44528"/>
    <cellStyle name="Comma 26 5 2 3" xfId="44529"/>
    <cellStyle name="Comma 26 5 3" xfId="44530"/>
    <cellStyle name="Comma 26 5 3 2" xfId="44531"/>
    <cellStyle name="Comma 26 5 3 3" xfId="44532"/>
    <cellStyle name="Comma 26 5 4" xfId="44533"/>
    <cellStyle name="Comma 26 5 4 2" xfId="44534"/>
    <cellStyle name="Comma 26 5 5" xfId="44535"/>
    <cellStyle name="Comma 26 5 6" xfId="44536"/>
    <cellStyle name="Comma 26 6" xfId="44537"/>
    <cellStyle name="Comma 26 6 2" xfId="44538"/>
    <cellStyle name="Comma 26 6 2 2" xfId="44539"/>
    <cellStyle name="Comma 26 6 2 3" xfId="44540"/>
    <cellStyle name="Comma 26 6 3" xfId="44541"/>
    <cellStyle name="Comma 26 6 3 2" xfId="44542"/>
    <cellStyle name="Comma 26 6 3 3" xfId="44543"/>
    <cellStyle name="Comma 26 6 4" xfId="44544"/>
    <cellStyle name="Comma 26 6 4 2" xfId="44545"/>
    <cellStyle name="Comma 26 6 5" xfId="44546"/>
    <cellStyle name="Comma 26 6 6" xfId="44547"/>
    <cellStyle name="Comma 26 7" xfId="44548"/>
    <cellStyle name="Comma 26 7 2" xfId="44549"/>
    <cellStyle name="Comma 26 7 2 2" xfId="44550"/>
    <cellStyle name="Comma 26 7 2 3" xfId="44551"/>
    <cellStyle name="Comma 26 7 3" xfId="44552"/>
    <cellStyle name="Comma 26 7 3 2" xfId="44553"/>
    <cellStyle name="Comma 26 7 4" xfId="44554"/>
    <cellStyle name="Comma 26 7 5" xfId="44555"/>
    <cellStyle name="Comma 26 8" xfId="44556"/>
    <cellStyle name="Comma 26 8 2" xfId="44557"/>
    <cellStyle name="Comma 26 8 3" xfId="44558"/>
    <cellStyle name="Comma 26 9" xfId="44559"/>
    <cellStyle name="Comma 26 9 2" xfId="44560"/>
    <cellStyle name="Comma 26 9 3" xfId="44561"/>
    <cellStyle name="Comma 27" xfId="3390"/>
    <cellStyle name="Comma 27 10" xfId="44562"/>
    <cellStyle name="Comma 27 10 2" xfId="44563"/>
    <cellStyle name="Comma 27 11" xfId="44564"/>
    <cellStyle name="Comma 27 12" xfId="44565"/>
    <cellStyle name="Comma 27 13" xfId="44566"/>
    <cellStyle name="Comma 27 2" xfId="44567"/>
    <cellStyle name="Comma 27 2 10" xfId="44568"/>
    <cellStyle name="Comma 27 2 2" xfId="44569"/>
    <cellStyle name="Comma 27 2 2 2" xfId="44570"/>
    <cellStyle name="Comma 27 2 2 2 2" xfId="44571"/>
    <cellStyle name="Comma 27 2 2 2 2 2" xfId="44572"/>
    <cellStyle name="Comma 27 2 2 2 2 3" xfId="44573"/>
    <cellStyle name="Comma 27 2 2 2 3" xfId="44574"/>
    <cellStyle name="Comma 27 2 2 2 3 2" xfId="44575"/>
    <cellStyle name="Comma 27 2 2 2 3 3" xfId="44576"/>
    <cellStyle name="Comma 27 2 2 2 4" xfId="44577"/>
    <cellStyle name="Comma 27 2 2 2 4 2" xfId="44578"/>
    <cellStyle name="Comma 27 2 2 2 5" xfId="44579"/>
    <cellStyle name="Comma 27 2 2 2 6" xfId="44580"/>
    <cellStyle name="Comma 27 2 2 3" xfId="44581"/>
    <cellStyle name="Comma 27 2 2 3 2" xfId="44582"/>
    <cellStyle name="Comma 27 2 2 3 2 2" xfId="44583"/>
    <cellStyle name="Comma 27 2 2 3 2 3" xfId="44584"/>
    <cellStyle name="Comma 27 2 2 3 3" xfId="44585"/>
    <cellStyle name="Comma 27 2 2 3 3 2" xfId="44586"/>
    <cellStyle name="Comma 27 2 2 3 3 3" xfId="44587"/>
    <cellStyle name="Comma 27 2 2 3 4" xfId="44588"/>
    <cellStyle name="Comma 27 2 2 3 4 2" xfId="44589"/>
    <cellStyle name="Comma 27 2 2 3 5" xfId="44590"/>
    <cellStyle name="Comma 27 2 2 3 6" xfId="44591"/>
    <cellStyle name="Comma 27 2 2 4" xfId="44592"/>
    <cellStyle name="Comma 27 2 2 4 2" xfId="44593"/>
    <cellStyle name="Comma 27 2 2 4 2 2" xfId="44594"/>
    <cellStyle name="Comma 27 2 2 4 2 3" xfId="44595"/>
    <cellStyle name="Comma 27 2 2 4 3" xfId="44596"/>
    <cellStyle name="Comma 27 2 2 4 3 2" xfId="44597"/>
    <cellStyle name="Comma 27 2 2 4 4" xfId="44598"/>
    <cellStyle name="Comma 27 2 2 4 5" xfId="44599"/>
    <cellStyle name="Comma 27 2 2 5" xfId="44600"/>
    <cellStyle name="Comma 27 2 2 5 2" xfId="44601"/>
    <cellStyle name="Comma 27 2 2 5 3" xfId="44602"/>
    <cellStyle name="Comma 27 2 2 6" xfId="44603"/>
    <cellStyle name="Comma 27 2 2 6 2" xfId="44604"/>
    <cellStyle name="Comma 27 2 2 6 3" xfId="44605"/>
    <cellStyle name="Comma 27 2 2 7" xfId="44606"/>
    <cellStyle name="Comma 27 2 2 7 2" xfId="44607"/>
    <cellStyle name="Comma 27 2 2 8" xfId="44608"/>
    <cellStyle name="Comma 27 2 2 9" xfId="44609"/>
    <cellStyle name="Comma 27 2 3" xfId="44610"/>
    <cellStyle name="Comma 27 2 3 2" xfId="44611"/>
    <cellStyle name="Comma 27 2 3 2 2" xfId="44612"/>
    <cellStyle name="Comma 27 2 3 2 3" xfId="44613"/>
    <cellStyle name="Comma 27 2 3 3" xfId="44614"/>
    <cellStyle name="Comma 27 2 3 3 2" xfId="44615"/>
    <cellStyle name="Comma 27 2 3 3 3" xfId="44616"/>
    <cellStyle name="Comma 27 2 3 4" xfId="44617"/>
    <cellStyle name="Comma 27 2 3 4 2" xfId="44618"/>
    <cellStyle name="Comma 27 2 3 5" xfId="44619"/>
    <cellStyle name="Comma 27 2 3 6" xfId="44620"/>
    <cellStyle name="Comma 27 2 4" xfId="44621"/>
    <cellStyle name="Comma 27 2 4 2" xfId="44622"/>
    <cellStyle name="Comma 27 2 4 2 2" xfId="44623"/>
    <cellStyle name="Comma 27 2 4 2 3" xfId="44624"/>
    <cellStyle name="Comma 27 2 4 3" xfId="44625"/>
    <cellStyle name="Comma 27 2 4 3 2" xfId="44626"/>
    <cellStyle name="Comma 27 2 4 3 3" xfId="44627"/>
    <cellStyle name="Comma 27 2 4 4" xfId="44628"/>
    <cellStyle name="Comma 27 2 4 4 2" xfId="44629"/>
    <cellStyle name="Comma 27 2 4 5" xfId="44630"/>
    <cellStyle name="Comma 27 2 4 6" xfId="44631"/>
    <cellStyle name="Comma 27 2 5" xfId="44632"/>
    <cellStyle name="Comma 27 2 5 2" xfId="44633"/>
    <cellStyle name="Comma 27 2 5 2 2" xfId="44634"/>
    <cellStyle name="Comma 27 2 5 2 3" xfId="44635"/>
    <cellStyle name="Comma 27 2 5 3" xfId="44636"/>
    <cellStyle name="Comma 27 2 5 3 2" xfId="44637"/>
    <cellStyle name="Comma 27 2 5 4" xfId="44638"/>
    <cellStyle name="Comma 27 2 5 5" xfId="44639"/>
    <cellStyle name="Comma 27 2 6" xfId="44640"/>
    <cellStyle name="Comma 27 2 6 2" xfId="44641"/>
    <cellStyle name="Comma 27 2 6 3" xfId="44642"/>
    <cellStyle name="Comma 27 2 7" xfId="44643"/>
    <cellStyle name="Comma 27 2 7 2" xfId="44644"/>
    <cellStyle name="Comma 27 2 7 3" xfId="44645"/>
    <cellStyle name="Comma 27 2 8" xfId="44646"/>
    <cellStyle name="Comma 27 2 8 2" xfId="44647"/>
    <cellStyle name="Comma 27 2 9" xfId="44648"/>
    <cellStyle name="Comma 27 3" xfId="44649"/>
    <cellStyle name="Comma 27 3 2" xfId="44650"/>
    <cellStyle name="Comma 27 3 2 2" xfId="44651"/>
    <cellStyle name="Comma 27 3 2 2 2" xfId="44652"/>
    <cellStyle name="Comma 27 3 2 2 3" xfId="44653"/>
    <cellStyle name="Comma 27 3 2 3" xfId="44654"/>
    <cellStyle name="Comma 27 3 2 3 2" xfId="44655"/>
    <cellStyle name="Comma 27 3 2 3 3" xfId="44656"/>
    <cellStyle name="Comma 27 3 2 4" xfId="44657"/>
    <cellStyle name="Comma 27 3 2 4 2" xfId="44658"/>
    <cellStyle name="Comma 27 3 2 5" xfId="44659"/>
    <cellStyle name="Comma 27 3 2 6" xfId="44660"/>
    <cellStyle name="Comma 27 3 3" xfId="44661"/>
    <cellStyle name="Comma 27 3 3 2" xfId="44662"/>
    <cellStyle name="Comma 27 3 3 2 2" xfId="44663"/>
    <cellStyle name="Comma 27 3 3 2 3" xfId="44664"/>
    <cellStyle name="Comma 27 3 3 3" xfId="44665"/>
    <cellStyle name="Comma 27 3 3 3 2" xfId="44666"/>
    <cellStyle name="Comma 27 3 3 3 3" xfId="44667"/>
    <cellStyle name="Comma 27 3 3 4" xfId="44668"/>
    <cellStyle name="Comma 27 3 3 4 2" xfId="44669"/>
    <cellStyle name="Comma 27 3 3 5" xfId="44670"/>
    <cellStyle name="Comma 27 3 3 6" xfId="44671"/>
    <cellStyle name="Comma 27 3 4" xfId="44672"/>
    <cellStyle name="Comma 27 3 4 2" xfId="44673"/>
    <cellStyle name="Comma 27 3 4 2 2" xfId="44674"/>
    <cellStyle name="Comma 27 3 4 2 3" xfId="44675"/>
    <cellStyle name="Comma 27 3 4 3" xfId="44676"/>
    <cellStyle name="Comma 27 3 4 3 2" xfId="44677"/>
    <cellStyle name="Comma 27 3 4 4" xfId="44678"/>
    <cellStyle name="Comma 27 3 4 5" xfId="44679"/>
    <cellStyle name="Comma 27 3 5" xfId="44680"/>
    <cellStyle name="Comma 27 3 5 2" xfId="44681"/>
    <cellStyle name="Comma 27 3 5 3" xfId="44682"/>
    <cellStyle name="Comma 27 3 6" xfId="44683"/>
    <cellStyle name="Comma 27 3 6 2" xfId="44684"/>
    <cellStyle name="Comma 27 3 6 3" xfId="44685"/>
    <cellStyle name="Comma 27 3 7" xfId="44686"/>
    <cellStyle name="Comma 27 3 7 2" xfId="44687"/>
    <cellStyle name="Comma 27 3 8" xfId="44688"/>
    <cellStyle name="Comma 27 3 9" xfId="44689"/>
    <cellStyle name="Comma 27 4" xfId="44690"/>
    <cellStyle name="Comma 27 4 2" xfId="44691"/>
    <cellStyle name="Comma 27 4 2 2" xfId="44692"/>
    <cellStyle name="Comma 27 4 2 2 2" xfId="44693"/>
    <cellStyle name="Comma 27 4 2 2 3" xfId="44694"/>
    <cellStyle name="Comma 27 4 2 3" xfId="44695"/>
    <cellStyle name="Comma 27 4 2 3 2" xfId="44696"/>
    <cellStyle name="Comma 27 4 2 3 3" xfId="44697"/>
    <cellStyle name="Comma 27 4 2 4" xfId="44698"/>
    <cellStyle name="Comma 27 4 2 4 2" xfId="44699"/>
    <cellStyle name="Comma 27 4 2 5" xfId="44700"/>
    <cellStyle name="Comma 27 4 2 6" xfId="44701"/>
    <cellStyle name="Comma 27 4 3" xfId="44702"/>
    <cellStyle name="Comma 27 4 3 2" xfId="44703"/>
    <cellStyle name="Comma 27 4 3 2 2" xfId="44704"/>
    <cellStyle name="Comma 27 4 3 2 3" xfId="44705"/>
    <cellStyle name="Comma 27 4 3 3" xfId="44706"/>
    <cellStyle name="Comma 27 4 3 3 2" xfId="44707"/>
    <cellStyle name="Comma 27 4 3 3 3" xfId="44708"/>
    <cellStyle name="Comma 27 4 3 4" xfId="44709"/>
    <cellStyle name="Comma 27 4 3 4 2" xfId="44710"/>
    <cellStyle name="Comma 27 4 3 5" xfId="44711"/>
    <cellStyle name="Comma 27 4 3 6" xfId="44712"/>
    <cellStyle name="Comma 27 4 4" xfId="44713"/>
    <cellStyle name="Comma 27 4 4 2" xfId="44714"/>
    <cellStyle name="Comma 27 4 4 2 2" xfId="44715"/>
    <cellStyle name="Comma 27 4 4 2 3" xfId="44716"/>
    <cellStyle name="Comma 27 4 4 3" xfId="44717"/>
    <cellStyle name="Comma 27 4 4 3 2" xfId="44718"/>
    <cellStyle name="Comma 27 4 4 4" xfId="44719"/>
    <cellStyle name="Comma 27 4 4 5" xfId="44720"/>
    <cellStyle name="Comma 27 4 5" xfId="44721"/>
    <cellStyle name="Comma 27 4 5 2" xfId="44722"/>
    <cellStyle name="Comma 27 4 5 3" xfId="44723"/>
    <cellStyle name="Comma 27 4 6" xfId="44724"/>
    <cellStyle name="Comma 27 4 6 2" xfId="44725"/>
    <cellStyle name="Comma 27 4 6 3" xfId="44726"/>
    <cellStyle name="Comma 27 4 7" xfId="44727"/>
    <cellStyle name="Comma 27 4 7 2" xfId="44728"/>
    <cellStyle name="Comma 27 4 8" xfId="44729"/>
    <cellStyle name="Comma 27 4 9" xfId="44730"/>
    <cellStyle name="Comma 27 5" xfId="44731"/>
    <cellStyle name="Comma 27 5 2" xfId="44732"/>
    <cellStyle name="Comma 27 5 2 2" xfId="44733"/>
    <cellStyle name="Comma 27 5 2 3" xfId="44734"/>
    <cellStyle name="Comma 27 5 3" xfId="44735"/>
    <cellStyle name="Comma 27 5 3 2" xfId="44736"/>
    <cellStyle name="Comma 27 5 3 3" xfId="44737"/>
    <cellStyle name="Comma 27 5 4" xfId="44738"/>
    <cellStyle name="Comma 27 5 4 2" xfId="44739"/>
    <cellStyle name="Comma 27 5 5" xfId="44740"/>
    <cellStyle name="Comma 27 5 6" xfId="44741"/>
    <cellStyle name="Comma 27 6" xfId="44742"/>
    <cellStyle name="Comma 27 6 2" xfId="44743"/>
    <cellStyle name="Comma 27 6 2 2" xfId="44744"/>
    <cellStyle name="Comma 27 6 2 3" xfId="44745"/>
    <cellStyle name="Comma 27 6 3" xfId="44746"/>
    <cellStyle name="Comma 27 6 3 2" xfId="44747"/>
    <cellStyle name="Comma 27 6 3 3" xfId="44748"/>
    <cellStyle name="Comma 27 6 4" xfId="44749"/>
    <cellStyle name="Comma 27 6 4 2" xfId="44750"/>
    <cellStyle name="Comma 27 6 5" xfId="44751"/>
    <cellStyle name="Comma 27 6 6" xfId="44752"/>
    <cellStyle name="Comma 27 7" xfId="44753"/>
    <cellStyle name="Comma 27 7 2" xfId="44754"/>
    <cellStyle name="Comma 27 7 2 2" xfId="44755"/>
    <cellStyle name="Comma 27 7 2 3" xfId="44756"/>
    <cellStyle name="Comma 27 7 3" xfId="44757"/>
    <cellStyle name="Comma 27 7 3 2" xfId="44758"/>
    <cellStyle name="Comma 27 7 4" xfId="44759"/>
    <cellStyle name="Comma 27 7 5" xfId="44760"/>
    <cellStyle name="Comma 27 8" xfId="44761"/>
    <cellStyle name="Comma 27 8 2" xfId="44762"/>
    <cellStyle name="Comma 27 8 3" xfId="44763"/>
    <cellStyle name="Comma 27 9" xfId="44764"/>
    <cellStyle name="Comma 27 9 2" xfId="44765"/>
    <cellStyle name="Comma 27 9 3" xfId="44766"/>
    <cellStyle name="Comma 28" xfId="3391"/>
    <cellStyle name="Comma 28 2" xfId="44767"/>
    <cellStyle name="Comma 28 3" xfId="44768"/>
    <cellStyle name="Comma 29" xfId="3392"/>
    <cellStyle name="Comma 29 2" xfId="9608"/>
    <cellStyle name="Comma 3" xfId="5"/>
    <cellStyle name="Comma 3 10" xfId="3393"/>
    <cellStyle name="Comma 3 11" xfId="3394"/>
    <cellStyle name="Comma 3 12" xfId="8766"/>
    <cellStyle name="Comma 3 2" xfId="3395"/>
    <cellStyle name="Comma 3 2 2" xfId="3396"/>
    <cellStyle name="Comma 3 2 2 2" xfId="3397"/>
    <cellStyle name="Comma 3 2 2 2 2" xfId="3398"/>
    <cellStyle name="Comma 3 2 2 2 2 2" xfId="3399"/>
    <cellStyle name="Comma 3 2 2 2 2 2 2" xfId="3400"/>
    <cellStyle name="Comma 3 2 2 2 2 2 2 2" xfId="3401"/>
    <cellStyle name="Comma 3 2 2 2 2 2 3" xfId="3402"/>
    <cellStyle name="Comma 3 2 2 2 2 3" xfId="3403"/>
    <cellStyle name="Comma 3 2 2 2 2 3 2" xfId="3404"/>
    <cellStyle name="Comma 3 2 2 2 2 4" xfId="3405"/>
    <cellStyle name="Comma 3 2 2 2 2 5" xfId="9051"/>
    <cellStyle name="Comma 3 2 2 2 3" xfId="3406"/>
    <cellStyle name="Comma 3 2 2 2 3 2" xfId="3407"/>
    <cellStyle name="Comma 3 2 2 2 3 2 2" xfId="3408"/>
    <cellStyle name="Comma 3 2 2 2 3 3" xfId="3409"/>
    <cellStyle name="Comma 3 2 2 2 4" xfId="3410"/>
    <cellStyle name="Comma 3 2 2 2 4 2" xfId="3411"/>
    <cellStyle name="Comma 3 2 2 2 5" xfId="3412"/>
    <cellStyle name="Comma 3 2 2 2 6" xfId="3413"/>
    <cellStyle name="Comma 3 2 2 2 7" xfId="9052"/>
    <cellStyle name="Comma 3 2 2 3" xfId="3414"/>
    <cellStyle name="Comma 3 2 2 3 2" xfId="3415"/>
    <cellStyle name="Comma 3 2 2 3 2 2" xfId="3416"/>
    <cellStyle name="Comma 3 2 2 3 2 2 2" xfId="3417"/>
    <cellStyle name="Comma 3 2 2 3 2 3" xfId="3418"/>
    <cellStyle name="Comma 3 2 2 3 3" xfId="3419"/>
    <cellStyle name="Comma 3 2 2 3 3 2" xfId="3420"/>
    <cellStyle name="Comma 3 2 2 3 4" xfId="3421"/>
    <cellStyle name="Comma 3 2 2 3 5" xfId="9053"/>
    <cellStyle name="Comma 3 2 2 4" xfId="3422"/>
    <cellStyle name="Comma 3 2 2 4 2" xfId="3423"/>
    <cellStyle name="Comma 3 2 2 4 2 2" xfId="3424"/>
    <cellStyle name="Comma 3 2 2 4 3" xfId="3425"/>
    <cellStyle name="Comma 3 2 2 5" xfId="3426"/>
    <cellStyle name="Comma 3 2 2 5 2" xfId="3427"/>
    <cellStyle name="Comma 3 2 2 6" xfId="3428"/>
    <cellStyle name="Comma 3 2 2 7" xfId="3429"/>
    <cellStyle name="Comma 3 2 2 8" xfId="9054"/>
    <cellStyle name="Comma 3 2 3" xfId="3430"/>
    <cellStyle name="Comma 3 2 3 2" xfId="3431"/>
    <cellStyle name="Comma 3 2 3 2 2" xfId="3432"/>
    <cellStyle name="Comma 3 2 3 2 2 2" xfId="3433"/>
    <cellStyle name="Comma 3 2 3 2 2 2 2" xfId="3434"/>
    <cellStyle name="Comma 3 2 3 2 2 3" xfId="3435"/>
    <cellStyle name="Comma 3 2 3 2 3" xfId="3436"/>
    <cellStyle name="Comma 3 2 3 2 3 2" xfId="3437"/>
    <cellStyle name="Comma 3 2 3 2 4" xfId="3438"/>
    <cellStyle name="Comma 3 2 3 2 5" xfId="9055"/>
    <cellStyle name="Comma 3 2 3 3" xfId="3439"/>
    <cellStyle name="Comma 3 2 3 3 2" xfId="3440"/>
    <cellStyle name="Comma 3 2 3 3 2 2" xfId="3441"/>
    <cellStyle name="Comma 3 2 3 3 3" xfId="3442"/>
    <cellStyle name="Comma 3 2 3 4" xfId="3443"/>
    <cellStyle name="Comma 3 2 3 4 2" xfId="3444"/>
    <cellStyle name="Comma 3 2 3 5" xfId="3445"/>
    <cellStyle name="Comma 3 2 3 6" xfId="3446"/>
    <cellStyle name="Comma 3 2 3 7" xfId="9056"/>
    <cellStyle name="Comma 3 2 4" xfId="3447"/>
    <cellStyle name="Comma 3 2 4 2" xfId="3448"/>
    <cellStyle name="Comma 3 2 4 2 2" xfId="3449"/>
    <cellStyle name="Comma 3 2 4 2 2 2" xfId="3450"/>
    <cellStyle name="Comma 3 2 4 2 2 2 2" xfId="3451"/>
    <cellStyle name="Comma 3 2 4 2 2 3" xfId="3452"/>
    <cellStyle name="Comma 3 2 4 2 3" xfId="3453"/>
    <cellStyle name="Comma 3 2 4 2 3 2" xfId="3454"/>
    <cellStyle name="Comma 3 2 4 2 4" xfId="3455"/>
    <cellStyle name="Comma 3 2 4 3" xfId="3456"/>
    <cellStyle name="Comma 3 2 4 3 2" xfId="3457"/>
    <cellStyle name="Comma 3 2 4 3 2 2" xfId="3458"/>
    <cellStyle name="Comma 3 2 4 3 3" xfId="3459"/>
    <cellStyle name="Comma 3 2 4 4" xfId="3460"/>
    <cellStyle name="Comma 3 2 4 4 2" xfId="3461"/>
    <cellStyle name="Comma 3 2 4 5" xfId="3462"/>
    <cellStyle name="Comma 3 2 4 6" xfId="9057"/>
    <cellStyle name="Comma 3 2 5" xfId="3463"/>
    <cellStyle name="Comma 3 2 5 2" xfId="3464"/>
    <cellStyle name="Comma 3 2 5 2 2" xfId="3465"/>
    <cellStyle name="Comma 3 2 5 2 2 2" xfId="3466"/>
    <cellStyle name="Comma 3 2 5 2 3" xfId="3467"/>
    <cellStyle name="Comma 3 2 5 3" xfId="3468"/>
    <cellStyle name="Comma 3 2 5 3 2" xfId="3469"/>
    <cellStyle name="Comma 3 2 5 4" xfId="3470"/>
    <cellStyle name="Comma 3 2 6" xfId="3471"/>
    <cellStyle name="Comma 3 2 6 2" xfId="3472"/>
    <cellStyle name="Comma 3 2 6 2 2" xfId="3473"/>
    <cellStyle name="Comma 3 2 6 3" xfId="3474"/>
    <cellStyle name="Comma 3 2 7" xfId="3475"/>
    <cellStyle name="Comma 3 2 7 2" xfId="3476"/>
    <cellStyle name="Comma 3 2 8" xfId="3477"/>
    <cellStyle name="Comma 3 2 9" xfId="8778"/>
    <cellStyle name="Comma 3 3" xfId="3478"/>
    <cellStyle name="Comma 3 3 2" xfId="3479"/>
    <cellStyle name="Comma 3 3 2 2" xfId="3480"/>
    <cellStyle name="Comma 3 3 2 2 2" xfId="3481"/>
    <cellStyle name="Comma 3 3 2 2 2 2" xfId="3482"/>
    <cellStyle name="Comma 3 3 2 2 2 2 2" xfId="3483"/>
    <cellStyle name="Comma 3 3 2 2 2 3" xfId="3484"/>
    <cellStyle name="Comma 3 3 2 2 2 4" xfId="9058"/>
    <cellStyle name="Comma 3 3 2 2 3" xfId="3485"/>
    <cellStyle name="Comma 3 3 2 2 3 2" xfId="3486"/>
    <cellStyle name="Comma 3 3 2 2 4" xfId="3487"/>
    <cellStyle name="Comma 3 3 2 2 5" xfId="3488"/>
    <cellStyle name="Comma 3 3 2 2 6" xfId="9059"/>
    <cellStyle name="Comma 3 3 2 3" xfId="3489"/>
    <cellStyle name="Comma 3 3 2 3 2" xfId="3490"/>
    <cellStyle name="Comma 3 3 2 3 2 2" xfId="3491"/>
    <cellStyle name="Comma 3 3 2 3 3" xfId="3492"/>
    <cellStyle name="Comma 3 3 2 3 4" xfId="9060"/>
    <cellStyle name="Comma 3 3 2 4" xfId="3493"/>
    <cellStyle name="Comma 3 3 2 4 2" xfId="3494"/>
    <cellStyle name="Comma 3 3 2 5" xfId="3495"/>
    <cellStyle name="Comma 3 3 2 6" xfId="3496"/>
    <cellStyle name="Comma 3 3 2 7" xfId="9061"/>
    <cellStyle name="Comma 3 3 3" xfId="3497"/>
    <cellStyle name="Comma 3 3 3 2" xfId="3498"/>
    <cellStyle name="Comma 3 3 3 2 2" xfId="3499"/>
    <cellStyle name="Comma 3 3 3 2 2 2" xfId="3500"/>
    <cellStyle name="Comma 3 3 3 2 3" xfId="3501"/>
    <cellStyle name="Comma 3 3 3 2 4" xfId="9062"/>
    <cellStyle name="Comma 3 3 3 3" xfId="3502"/>
    <cellStyle name="Comma 3 3 3 3 2" xfId="3503"/>
    <cellStyle name="Comma 3 3 3 4" xfId="3504"/>
    <cellStyle name="Comma 3 3 3 5" xfId="3505"/>
    <cellStyle name="Comma 3 3 3 6" xfId="9063"/>
    <cellStyle name="Comma 3 3 4" xfId="3506"/>
    <cellStyle name="Comma 3 3 4 2" xfId="3507"/>
    <cellStyle name="Comma 3 3 4 2 2" xfId="3508"/>
    <cellStyle name="Comma 3 3 4 3" xfId="3509"/>
    <cellStyle name="Comma 3 3 4 4" xfId="9064"/>
    <cellStyle name="Comma 3 3 5" xfId="3510"/>
    <cellStyle name="Comma 3 3 5 2" xfId="3511"/>
    <cellStyle name="Comma 3 3 6" xfId="3512"/>
    <cellStyle name="Comma 3 3 7" xfId="3513"/>
    <cellStyle name="Comma 3 3 8" xfId="8777"/>
    <cellStyle name="Comma 3 4" xfId="3514"/>
    <cellStyle name="Comma 3 4 2" xfId="3515"/>
    <cellStyle name="Comma 3 4 2 2" xfId="3516"/>
    <cellStyle name="Comma 3 4 2 2 2" xfId="3517"/>
    <cellStyle name="Comma 3 4 2 2 2 2" xfId="3518"/>
    <cellStyle name="Comma 3 4 2 2 2 3" xfId="9065"/>
    <cellStyle name="Comma 3 4 2 2 3" xfId="3519"/>
    <cellStyle name="Comma 3 4 2 2 4" xfId="3520"/>
    <cellStyle name="Comma 3 4 2 2 5" xfId="9066"/>
    <cellStyle name="Comma 3 4 2 3" xfId="3521"/>
    <cellStyle name="Comma 3 4 2 3 2" xfId="3522"/>
    <cellStyle name="Comma 3 4 2 3 3" xfId="9067"/>
    <cellStyle name="Comma 3 4 2 4" xfId="3523"/>
    <cellStyle name="Comma 3 4 2 5" xfId="3524"/>
    <cellStyle name="Comma 3 4 2 6" xfId="9068"/>
    <cellStyle name="Comma 3 4 3" xfId="3525"/>
    <cellStyle name="Comma 3 4 3 2" xfId="3526"/>
    <cellStyle name="Comma 3 4 3 2 2" xfId="3527"/>
    <cellStyle name="Comma 3 4 3 2 3" xfId="9069"/>
    <cellStyle name="Comma 3 4 3 3" xfId="3528"/>
    <cellStyle name="Comma 3 4 3 4" xfId="3529"/>
    <cellStyle name="Comma 3 4 3 5" xfId="9070"/>
    <cellStyle name="Comma 3 4 4" xfId="3530"/>
    <cellStyle name="Comma 3 4 4 2" xfId="3531"/>
    <cellStyle name="Comma 3 4 4 3" xfId="9071"/>
    <cellStyle name="Comma 3 4 5" xfId="3532"/>
    <cellStyle name="Comma 3 4 5 2" xfId="58846"/>
    <cellStyle name="Comma 3 4 6" xfId="3533"/>
    <cellStyle name="Comma 3 4 7" xfId="9072"/>
    <cellStyle name="Comma 3 4 8" xfId="58847"/>
    <cellStyle name="Comma 3 5" xfId="3534"/>
    <cellStyle name="Comma 3 5 2" xfId="3535"/>
    <cellStyle name="Comma 3 5 2 2" xfId="3536"/>
    <cellStyle name="Comma 3 5 2 2 2" xfId="3537"/>
    <cellStyle name="Comma 3 5 2 2 2 2" xfId="3538"/>
    <cellStyle name="Comma 3 5 2 2 3" xfId="3539"/>
    <cellStyle name="Comma 3 5 2 2 4" xfId="9073"/>
    <cellStyle name="Comma 3 5 2 3" xfId="3540"/>
    <cellStyle name="Comma 3 5 2 3 2" xfId="3541"/>
    <cellStyle name="Comma 3 5 2 4" xfId="3542"/>
    <cellStyle name="Comma 3 5 2 5" xfId="3543"/>
    <cellStyle name="Comma 3 5 2 6" xfId="9074"/>
    <cellStyle name="Comma 3 5 3" xfId="3544"/>
    <cellStyle name="Comma 3 5 3 2" xfId="3545"/>
    <cellStyle name="Comma 3 5 3 2 2" xfId="3546"/>
    <cellStyle name="Comma 3 5 3 3" xfId="3547"/>
    <cellStyle name="Comma 3 5 3 4" xfId="9075"/>
    <cellStyle name="Comma 3 5 4" xfId="3548"/>
    <cellStyle name="Comma 3 5 4 2" xfId="3549"/>
    <cellStyle name="Comma 3 5 5" xfId="3550"/>
    <cellStyle name="Comma 3 5 6" xfId="3551"/>
    <cellStyle name="Comma 3 5 7" xfId="9076"/>
    <cellStyle name="Comma 3 6" xfId="3552"/>
    <cellStyle name="Comma 3 6 2" xfId="3553"/>
    <cellStyle name="Comma 3 6 2 2" xfId="3554"/>
    <cellStyle name="Comma 3 6 2 2 2" xfId="3555"/>
    <cellStyle name="Comma 3 6 2 3" xfId="3556"/>
    <cellStyle name="Comma 3 6 2 4" xfId="3557"/>
    <cellStyle name="Comma 3 6 2 5" xfId="9077"/>
    <cellStyle name="Comma 3 6 3" xfId="3558"/>
    <cellStyle name="Comma 3 6 3 2" xfId="3559"/>
    <cellStyle name="Comma 3 6 4" xfId="3560"/>
    <cellStyle name="Comma 3 6 5" xfId="3561"/>
    <cellStyle name="Comma 3 6 6" xfId="9078"/>
    <cellStyle name="Comma 3 7" xfId="3562"/>
    <cellStyle name="Comma 3 7 2" xfId="3563"/>
    <cellStyle name="Comma 3 7 2 2" xfId="3564"/>
    <cellStyle name="Comma 3 7 3" xfId="3565"/>
    <cellStyle name="Comma 3 7 4" xfId="3566"/>
    <cellStyle name="Comma 3 7 5" xfId="9079"/>
    <cellStyle name="Comma 3 8" xfId="3567"/>
    <cellStyle name="Comma 3 8 2" xfId="3568"/>
    <cellStyle name="Comma 3 8 2 2" xfId="3569"/>
    <cellStyle name="Comma 3 8 3" xfId="3570"/>
    <cellStyle name="Comma 3 9" xfId="3571"/>
    <cellStyle name="Comma 3 9 2" xfId="3572"/>
    <cellStyle name="Comma 30" xfId="3573"/>
    <cellStyle name="Comma 30 2" xfId="3574"/>
    <cellStyle name="Comma 30 2 2" xfId="3575"/>
    <cellStyle name="Comma 30 2 2 2" xfId="3576"/>
    <cellStyle name="Comma 30 2 3" xfId="3577"/>
    <cellStyle name="Comma 30 3" xfId="3578"/>
    <cellStyle name="Comma 30 3 2" xfId="3579"/>
    <cellStyle name="Comma 30 4" xfId="3580"/>
    <cellStyle name="Comma 30 5" xfId="58848"/>
    <cellStyle name="Comma 31" xfId="3581"/>
    <cellStyle name="Comma 31 2" xfId="9609"/>
    <cellStyle name="Comma 32" xfId="3582"/>
    <cellStyle name="Comma 33" xfId="3583"/>
    <cellStyle name="Comma 33 2" xfId="58849"/>
    <cellStyle name="Comma 34" xfId="3584"/>
    <cellStyle name="Comma 34 2" xfId="58850"/>
    <cellStyle name="Comma 35" xfId="3585"/>
    <cellStyle name="Comma 35 2" xfId="58851"/>
    <cellStyle name="Comma 36" xfId="3586"/>
    <cellStyle name="Comma 36 2" xfId="58852"/>
    <cellStyle name="Comma 37" xfId="3587"/>
    <cellStyle name="Comma 37 2" xfId="58853"/>
    <cellStyle name="Comma 38" xfId="3588"/>
    <cellStyle name="Comma 39" xfId="3589"/>
    <cellStyle name="Comma 4" xfId="3590"/>
    <cellStyle name="Comma 4 10" xfId="9080"/>
    <cellStyle name="Comma 4 2" xfId="3591"/>
    <cellStyle name="Comma 4 2 2" xfId="3592"/>
    <cellStyle name="Comma 4 2 2 2" xfId="3593"/>
    <cellStyle name="Comma 4 2 2 2 2" xfId="9081"/>
    <cellStyle name="Comma 4 2 2 2 2 2" xfId="58854"/>
    <cellStyle name="Comma 4 2 2 2 3" xfId="9082"/>
    <cellStyle name="Comma 4 2 2 2 4" xfId="58855"/>
    <cellStyle name="Comma 4 2 2 2 5" xfId="58856"/>
    <cellStyle name="Comma 4 2 2 3" xfId="9083"/>
    <cellStyle name="Comma 4 2 2 3 2" xfId="58857"/>
    <cellStyle name="Comma 4 2 2 4" xfId="9084"/>
    <cellStyle name="Comma 4 2 2 4 2" xfId="58858"/>
    <cellStyle name="Comma 4 2 2 5" xfId="58859"/>
    <cellStyle name="Comma 4 2 2 6" xfId="58860"/>
    <cellStyle name="Comma 4 2 3" xfId="3594"/>
    <cellStyle name="Comma 4 2 3 2" xfId="9085"/>
    <cellStyle name="Comma 4 2 3 2 2" xfId="58861"/>
    <cellStyle name="Comma 4 2 3 3" xfId="9086"/>
    <cellStyle name="Comma 4 2 3 3 2" xfId="58862"/>
    <cellStyle name="Comma 4 2 3 4" xfId="58863"/>
    <cellStyle name="Comma 4 2 3 5" xfId="58864"/>
    <cellStyle name="Comma 4 2 4" xfId="3595"/>
    <cellStyle name="Comma 4 2 4 2" xfId="9087"/>
    <cellStyle name="Comma 4 2 4 3" xfId="58865"/>
    <cellStyle name="Comma 4 2 4 4" xfId="58866"/>
    <cellStyle name="Comma 4 2 5" xfId="8780"/>
    <cellStyle name="Comma 4 2 5 2" xfId="58867"/>
    <cellStyle name="Comma 4 2 6" xfId="58868"/>
    <cellStyle name="Comma 4 2 7" xfId="58869"/>
    <cellStyle name="Comma 4 2 8" xfId="58870"/>
    <cellStyle name="Comma 4 2 9" xfId="58871"/>
    <cellStyle name="Comma 4 3" xfId="3596"/>
    <cellStyle name="Comma 4 3 2" xfId="3597"/>
    <cellStyle name="Comma 4 3 2 2" xfId="3598"/>
    <cellStyle name="Comma 4 3 2 2 2" xfId="3599"/>
    <cellStyle name="Comma 4 3 2 2 2 2" xfId="3600"/>
    <cellStyle name="Comma 4 3 2 2 2 2 2" xfId="3601"/>
    <cellStyle name="Comma 4 3 2 2 2 3" xfId="3602"/>
    <cellStyle name="Comma 4 3 2 2 3" xfId="3603"/>
    <cellStyle name="Comma 4 3 2 2 3 2" xfId="3604"/>
    <cellStyle name="Comma 4 3 2 2 4" xfId="3605"/>
    <cellStyle name="Comma 4 3 2 2 5" xfId="58872"/>
    <cellStyle name="Comma 4 3 2 3" xfId="3606"/>
    <cellStyle name="Comma 4 3 2 3 2" xfId="3607"/>
    <cellStyle name="Comma 4 3 2 3 2 2" xfId="3608"/>
    <cellStyle name="Comma 4 3 2 3 3" xfId="3609"/>
    <cellStyle name="Comma 4 3 2 4" xfId="3610"/>
    <cellStyle name="Comma 4 3 2 4 2" xfId="3611"/>
    <cellStyle name="Comma 4 3 2 5" xfId="3612"/>
    <cellStyle name="Comma 4 3 2 6" xfId="3613"/>
    <cellStyle name="Comma 4 3 2 7" xfId="58873"/>
    <cellStyle name="Comma 4 3 3" xfId="3614"/>
    <cellStyle name="Comma 4 3 3 2" xfId="3615"/>
    <cellStyle name="Comma 4 3 3 2 2" xfId="3616"/>
    <cellStyle name="Comma 4 3 3 2 2 2" xfId="3617"/>
    <cellStyle name="Comma 4 3 3 2 3" xfId="3618"/>
    <cellStyle name="Comma 4 3 3 3" xfId="3619"/>
    <cellStyle name="Comma 4 3 3 3 2" xfId="3620"/>
    <cellStyle name="Comma 4 3 3 4" xfId="3621"/>
    <cellStyle name="Comma 4 3 3 5" xfId="58874"/>
    <cellStyle name="Comma 4 3 4" xfId="3622"/>
    <cellStyle name="Comma 4 3 4 2" xfId="3623"/>
    <cellStyle name="Comma 4 3 4 2 2" xfId="3624"/>
    <cellStyle name="Comma 4 3 4 3" xfId="3625"/>
    <cellStyle name="Comma 4 3 5" xfId="3626"/>
    <cellStyle name="Comma 4 3 5 2" xfId="3627"/>
    <cellStyle name="Comma 4 3 6" xfId="3628"/>
    <cellStyle name="Comma 4 3 7" xfId="3629"/>
    <cellStyle name="Comma 4 3 8" xfId="9088"/>
    <cellStyle name="Comma 4 4" xfId="3630"/>
    <cellStyle name="Comma 4 4 2" xfId="3631"/>
    <cellStyle name="Comma 4 4 2 2" xfId="3632"/>
    <cellStyle name="Comma 4 4 2 2 2" xfId="3633"/>
    <cellStyle name="Comma 4 4 2 2 2 2" xfId="3634"/>
    <cellStyle name="Comma 4 4 2 2 3" xfId="3635"/>
    <cellStyle name="Comma 4 4 2 2 4" xfId="9089"/>
    <cellStyle name="Comma 4 4 2 3" xfId="3636"/>
    <cellStyle name="Comma 4 4 2 3 2" xfId="3637"/>
    <cellStyle name="Comma 4 4 2 4" xfId="3638"/>
    <cellStyle name="Comma 4 4 2 5" xfId="9090"/>
    <cellStyle name="Comma 4 4 3" xfId="3639"/>
    <cellStyle name="Comma 4 4 3 2" xfId="3640"/>
    <cellStyle name="Comma 4 4 3 2 2" xfId="3641"/>
    <cellStyle name="Comma 4 4 3 3" xfId="3642"/>
    <cellStyle name="Comma 4 4 3 4" xfId="9091"/>
    <cellStyle name="Comma 4 4 4" xfId="3643"/>
    <cellStyle name="Comma 4 4 4 2" xfId="3644"/>
    <cellStyle name="Comma 4 4 5" xfId="3645"/>
    <cellStyle name="Comma 4 4 6" xfId="3646"/>
    <cellStyle name="Comma 4 4 7" xfId="9092"/>
    <cellStyle name="Comma 4 5" xfId="3647"/>
    <cellStyle name="Comma 4 5 2" xfId="3648"/>
    <cellStyle name="Comma 4 5 2 2" xfId="3649"/>
    <cellStyle name="Comma 4 5 2 2 2" xfId="3650"/>
    <cellStyle name="Comma 4 5 2 3" xfId="3651"/>
    <cellStyle name="Comma 4 5 2 4" xfId="9093"/>
    <cellStyle name="Comma 4 5 3" xfId="3652"/>
    <cellStyle name="Comma 4 5 3 2" xfId="3653"/>
    <cellStyle name="Comma 4 5 4" xfId="3654"/>
    <cellStyle name="Comma 4 5 5" xfId="9094"/>
    <cellStyle name="Comma 4 6" xfId="3655"/>
    <cellStyle name="Comma 4 6 2" xfId="3656"/>
    <cellStyle name="Comma 4 6 2 2" xfId="3657"/>
    <cellStyle name="Comma 4 6 3" xfId="3658"/>
    <cellStyle name="Comma 4 6 4" xfId="9095"/>
    <cellStyle name="Comma 4 7" xfId="3659"/>
    <cellStyle name="Comma 4 7 2" xfId="3660"/>
    <cellStyle name="Comma 4 8" xfId="3661"/>
    <cellStyle name="Comma 4 9" xfId="3662"/>
    <cellStyle name="Comma 4_183302" xfId="8769"/>
    <cellStyle name="Comma 40" xfId="3663"/>
    <cellStyle name="Comma 41" xfId="3664"/>
    <cellStyle name="Comma 42" xfId="3665"/>
    <cellStyle name="Comma 43" xfId="3666"/>
    <cellStyle name="Comma 44" xfId="3667"/>
    <cellStyle name="Comma 45" xfId="3668"/>
    <cellStyle name="Comma 46" xfId="3669"/>
    <cellStyle name="Comma 47" xfId="3670"/>
    <cellStyle name="Comma 48" xfId="3671"/>
    <cellStyle name="Comma 49" xfId="3672"/>
    <cellStyle name="Comma 5" xfId="3673"/>
    <cellStyle name="Comma 5 2" xfId="3674"/>
    <cellStyle name="Comma 5 2 2" xfId="3675"/>
    <cellStyle name="Comma 5 2 3" xfId="3676"/>
    <cellStyle name="Comma 5 3" xfId="9610"/>
    <cellStyle name="Comma 5 3 2" xfId="44769"/>
    <cellStyle name="Comma 50" xfId="3677"/>
    <cellStyle name="Comma 50 2" xfId="58875"/>
    <cellStyle name="Comma 51" xfId="3678"/>
    <cellStyle name="Comma 52" xfId="3679"/>
    <cellStyle name="Comma 53" xfId="3680"/>
    <cellStyle name="Comma 54" xfId="3681"/>
    <cellStyle name="Comma 55" xfId="3682"/>
    <cellStyle name="Comma 56" xfId="3683"/>
    <cellStyle name="Comma 57" xfId="3684"/>
    <cellStyle name="Comma 58" xfId="3685"/>
    <cellStyle name="Comma 59" xfId="3686"/>
    <cellStyle name="Comma 6" xfId="3687"/>
    <cellStyle name="Comma 6 10" xfId="44770"/>
    <cellStyle name="Comma 6 10 2" xfId="44771"/>
    <cellStyle name="Comma 6 10 2 2" xfId="44772"/>
    <cellStyle name="Comma 6 10 2 3" xfId="44773"/>
    <cellStyle name="Comma 6 10 3" xfId="44774"/>
    <cellStyle name="Comma 6 10 3 2" xfId="44775"/>
    <cellStyle name="Comma 6 10 4" xfId="44776"/>
    <cellStyle name="Comma 6 10 5" xfId="44777"/>
    <cellStyle name="Comma 6 11" xfId="44778"/>
    <cellStyle name="Comma 6 11 2" xfId="44779"/>
    <cellStyle name="Comma 6 11 3" xfId="44780"/>
    <cellStyle name="Comma 6 12" xfId="44781"/>
    <cellStyle name="Comma 6 12 2" xfId="44782"/>
    <cellStyle name="Comma 6 12 3" xfId="44783"/>
    <cellStyle name="Comma 6 13" xfId="44784"/>
    <cellStyle name="Comma 6 13 2" xfId="44785"/>
    <cellStyle name="Comma 6 14" xfId="44786"/>
    <cellStyle name="Comma 6 15" xfId="44787"/>
    <cellStyle name="Comma 6 16" xfId="44788"/>
    <cellStyle name="Comma 6 2" xfId="3688"/>
    <cellStyle name="Comma 6 2 10" xfId="44789"/>
    <cellStyle name="Comma 6 2 10 2" xfId="44790"/>
    <cellStyle name="Comma 6 2 10 3" xfId="44791"/>
    <cellStyle name="Comma 6 2 11" xfId="44792"/>
    <cellStyle name="Comma 6 2 11 2" xfId="44793"/>
    <cellStyle name="Comma 6 2 11 3" xfId="44794"/>
    <cellStyle name="Comma 6 2 12" xfId="44795"/>
    <cellStyle name="Comma 6 2 12 2" xfId="44796"/>
    <cellStyle name="Comma 6 2 13" xfId="44797"/>
    <cellStyle name="Comma 6 2 14" xfId="44798"/>
    <cellStyle name="Comma 6 2 15" xfId="44799"/>
    <cellStyle name="Comma 6 2 2" xfId="8364"/>
    <cellStyle name="Comma 6 2 2 10" xfId="44800"/>
    <cellStyle name="Comma 6 2 2 10 2" xfId="44801"/>
    <cellStyle name="Comma 6 2 2 10 3" xfId="44802"/>
    <cellStyle name="Comma 6 2 2 11" xfId="44803"/>
    <cellStyle name="Comma 6 2 2 11 2" xfId="44804"/>
    <cellStyle name="Comma 6 2 2 12" xfId="44805"/>
    <cellStyle name="Comma 6 2 2 13" xfId="44806"/>
    <cellStyle name="Comma 6 2 2 14" xfId="44807"/>
    <cellStyle name="Comma 6 2 2 2" xfId="9611"/>
    <cellStyle name="Comma 6 2 2 2 10" xfId="44808"/>
    <cellStyle name="Comma 6 2 2 2 10 2" xfId="44809"/>
    <cellStyle name="Comma 6 2 2 2 11" xfId="44810"/>
    <cellStyle name="Comma 6 2 2 2 12" xfId="44811"/>
    <cellStyle name="Comma 6 2 2 2 13" xfId="44812"/>
    <cellStyle name="Comma 6 2 2 2 2" xfId="44813"/>
    <cellStyle name="Comma 6 2 2 2 2 10" xfId="44814"/>
    <cellStyle name="Comma 6 2 2 2 2 2" xfId="44815"/>
    <cellStyle name="Comma 6 2 2 2 2 2 2" xfId="44816"/>
    <cellStyle name="Comma 6 2 2 2 2 2 2 2" xfId="44817"/>
    <cellStyle name="Comma 6 2 2 2 2 2 2 2 2" xfId="44818"/>
    <cellStyle name="Comma 6 2 2 2 2 2 2 2 3" xfId="44819"/>
    <cellStyle name="Comma 6 2 2 2 2 2 2 3" xfId="44820"/>
    <cellStyle name="Comma 6 2 2 2 2 2 2 3 2" xfId="44821"/>
    <cellStyle name="Comma 6 2 2 2 2 2 2 3 3" xfId="44822"/>
    <cellStyle name="Comma 6 2 2 2 2 2 2 4" xfId="44823"/>
    <cellStyle name="Comma 6 2 2 2 2 2 2 4 2" xfId="44824"/>
    <cellStyle name="Comma 6 2 2 2 2 2 2 5" xfId="44825"/>
    <cellStyle name="Comma 6 2 2 2 2 2 2 6" xfId="44826"/>
    <cellStyle name="Comma 6 2 2 2 2 2 3" xfId="44827"/>
    <cellStyle name="Comma 6 2 2 2 2 2 3 2" xfId="44828"/>
    <cellStyle name="Comma 6 2 2 2 2 2 3 2 2" xfId="44829"/>
    <cellStyle name="Comma 6 2 2 2 2 2 3 2 3" xfId="44830"/>
    <cellStyle name="Comma 6 2 2 2 2 2 3 3" xfId="44831"/>
    <cellStyle name="Comma 6 2 2 2 2 2 3 3 2" xfId="44832"/>
    <cellStyle name="Comma 6 2 2 2 2 2 3 3 3" xfId="44833"/>
    <cellStyle name="Comma 6 2 2 2 2 2 3 4" xfId="44834"/>
    <cellStyle name="Comma 6 2 2 2 2 2 3 4 2" xfId="44835"/>
    <cellStyle name="Comma 6 2 2 2 2 2 3 5" xfId="44836"/>
    <cellStyle name="Comma 6 2 2 2 2 2 3 6" xfId="44837"/>
    <cellStyle name="Comma 6 2 2 2 2 2 4" xfId="44838"/>
    <cellStyle name="Comma 6 2 2 2 2 2 4 2" xfId="44839"/>
    <cellStyle name="Comma 6 2 2 2 2 2 4 2 2" xfId="44840"/>
    <cellStyle name="Comma 6 2 2 2 2 2 4 2 3" xfId="44841"/>
    <cellStyle name="Comma 6 2 2 2 2 2 4 3" xfId="44842"/>
    <cellStyle name="Comma 6 2 2 2 2 2 4 3 2" xfId="44843"/>
    <cellStyle name="Comma 6 2 2 2 2 2 4 4" xfId="44844"/>
    <cellStyle name="Comma 6 2 2 2 2 2 4 5" xfId="44845"/>
    <cellStyle name="Comma 6 2 2 2 2 2 5" xfId="44846"/>
    <cellStyle name="Comma 6 2 2 2 2 2 5 2" xfId="44847"/>
    <cellStyle name="Comma 6 2 2 2 2 2 5 3" xfId="44848"/>
    <cellStyle name="Comma 6 2 2 2 2 2 6" xfId="44849"/>
    <cellStyle name="Comma 6 2 2 2 2 2 6 2" xfId="44850"/>
    <cellStyle name="Comma 6 2 2 2 2 2 6 3" xfId="44851"/>
    <cellStyle name="Comma 6 2 2 2 2 2 7" xfId="44852"/>
    <cellStyle name="Comma 6 2 2 2 2 2 7 2" xfId="44853"/>
    <cellStyle name="Comma 6 2 2 2 2 2 8" xfId="44854"/>
    <cellStyle name="Comma 6 2 2 2 2 2 9" xfId="44855"/>
    <cellStyle name="Comma 6 2 2 2 2 3" xfId="44856"/>
    <cellStyle name="Comma 6 2 2 2 2 3 2" xfId="44857"/>
    <cellStyle name="Comma 6 2 2 2 2 3 2 2" xfId="44858"/>
    <cellStyle name="Comma 6 2 2 2 2 3 2 3" xfId="44859"/>
    <cellStyle name="Comma 6 2 2 2 2 3 3" xfId="44860"/>
    <cellStyle name="Comma 6 2 2 2 2 3 3 2" xfId="44861"/>
    <cellStyle name="Comma 6 2 2 2 2 3 3 3" xfId="44862"/>
    <cellStyle name="Comma 6 2 2 2 2 3 4" xfId="44863"/>
    <cellStyle name="Comma 6 2 2 2 2 3 4 2" xfId="44864"/>
    <cellStyle name="Comma 6 2 2 2 2 3 5" xfId="44865"/>
    <cellStyle name="Comma 6 2 2 2 2 3 6" xfId="44866"/>
    <cellStyle name="Comma 6 2 2 2 2 4" xfId="44867"/>
    <cellStyle name="Comma 6 2 2 2 2 4 2" xfId="44868"/>
    <cellStyle name="Comma 6 2 2 2 2 4 2 2" xfId="44869"/>
    <cellStyle name="Comma 6 2 2 2 2 4 2 3" xfId="44870"/>
    <cellStyle name="Comma 6 2 2 2 2 4 3" xfId="44871"/>
    <cellStyle name="Comma 6 2 2 2 2 4 3 2" xfId="44872"/>
    <cellStyle name="Comma 6 2 2 2 2 4 3 3" xfId="44873"/>
    <cellStyle name="Comma 6 2 2 2 2 4 4" xfId="44874"/>
    <cellStyle name="Comma 6 2 2 2 2 4 4 2" xfId="44875"/>
    <cellStyle name="Comma 6 2 2 2 2 4 5" xfId="44876"/>
    <cellStyle name="Comma 6 2 2 2 2 4 6" xfId="44877"/>
    <cellStyle name="Comma 6 2 2 2 2 5" xfId="44878"/>
    <cellStyle name="Comma 6 2 2 2 2 5 2" xfId="44879"/>
    <cellStyle name="Comma 6 2 2 2 2 5 2 2" xfId="44880"/>
    <cellStyle name="Comma 6 2 2 2 2 5 2 3" xfId="44881"/>
    <cellStyle name="Comma 6 2 2 2 2 5 3" xfId="44882"/>
    <cellStyle name="Comma 6 2 2 2 2 5 3 2" xfId="44883"/>
    <cellStyle name="Comma 6 2 2 2 2 5 4" xfId="44884"/>
    <cellStyle name="Comma 6 2 2 2 2 5 5" xfId="44885"/>
    <cellStyle name="Comma 6 2 2 2 2 6" xfId="44886"/>
    <cellStyle name="Comma 6 2 2 2 2 6 2" xfId="44887"/>
    <cellStyle name="Comma 6 2 2 2 2 6 3" xfId="44888"/>
    <cellStyle name="Comma 6 2 2 2 2 7" xfId="44889"/>
    <cellStyle name="Comma 6 2 2 2 2 7 2" xfId="44890"/>
    <cellStyle name="Comma 6 2 2 2 2 7 3" xfId="44891"/>
    <cellStyle name="Comma 6 2 2 2 2 8" xfId="44892"/>
    <cellStyle name="Comma 6 2 2 2 2 8 2" xfId="44893"/>
    <cellStyle name="Comma 6 2 2 2 2 9" xfId="44894"/>
    <cellStyle name="Comma 6 2 2 2 3" xfId="44895"/>
    <cellStyle name="Comma 6 2 2 2 3 2" xfId="44896"/>
    <cellStyle name="Comma 6 2 2 2 3 2 2" xfId="44897"/>
    <cellStyle name="Comma 6 2 2 2 3 2 2 2" xfId="44898"/>
    <cellStyle name="Comma 6 2 2 2 3 2 2 3" xfId="44899"/>
    <cellStyle name="Comma 6 2 2 2 3 2 3" xfId="44900"/>
    <cellStyle name="Comma 6 2 2 2 3 2 3 2" xfId="44901"/>
    <cellStyle name="Comma 6 2 2 2 3 2 3 3" xfId="44902"/>
    <cellStyle name="Comma 6 2 2 2 3 2 4" xfId="44903"/>
    <cellStyle name="Comma 6 2 2 2 3 2 4 2" xfId="44904"/>
    <cellStyle name="Comma 6 2 2 2 3 2 5" xfId="44905"/>
    <cellStyle name="Comma 6 2 2 2 3 2 6" xfId="44906"/>
    <cellStyle name="Comma 6 2 2 2 3 3" xfId="44907"/>
    <cellStyle name="Comma 6 2 2 2 3 3 2" xfId="44908"/>
    <cellStyle name="Comma 6 2 2 2 3 3 2 2" xfId="44909"/>
    <cellStyle name="Comma 6 2 2 2 3 3 2 3" xfId="44910"/>
    <cellStyle name="Comma 6 2 2 2 3 3 3" xfId="44911"/>
    <cellStyle name="Comma 6 2 2 2 3 3 3 2" xfId="44912"/>
    <cellStyle name="Comma 6 2 2 2 3 3 3 3" xfId="44913"/>
    <cellStyle name="Comma 6 2 2 2 3 3 4" xfId="44914"/>
    <cellStyle name="Comma 6 2 2 2 3 3 4 2" xfId="44915"/>
    <cellStyle name="Comma 6 2 2 2 3 3 5" xfId="44916"/>
    <cellStyle name="Comma 6 2 2 2 3 3 6" xfId="44917"/>
    <cellStyle name="Comma 6 2 2 2 3 4" xfId="44918"/>
    <cellStyle name="Comma 6 2 2 2 3 4 2" xfId="44919"/>
    <cellStyle name="Comma 6 2 2 2 3 4 2 2" xfId="44920"/>
    <cellStyle name="Comma 6 2 2 2 3 4 2 3" xfId="44921"/>
    <cellStyle name="Comma 6 2 2 2 3 4 3" xfId="44922"/>
    <cellStyle name="Comma 6 2 2 2 3 4 3 2" xfId="44923"/>
    <cellStyle name="Comma 6 2 2 2 3 4 4" xfId="44924"/>
    <cellStyle name="Comma 6 2 2 2 3 4 5" xfId="44925"/>
    <cellStyle name="Comma 6 2 2 2 3 5" xfId="44926"/>
    <cellStyle name="Comma 6 2 2 2 3 5 2" xfId="44927"/>
    <cellStyle name="Comma 6 2 2 2 3 5 3" xfId="44928"/>
    <cellStyle name="Comma 6 2 2 2 3 6" xfId="44929"/>
    <cellStyle name="Comma 6 2 2 2 3 6 2" xfId="44930"/>
    <cellStyle name="Comma 6 2 2 2 3 6 3" xfId="44931"/>
    <cellStyle name="Comma 6 2 2 2 3 7" xfId="44932"/>
    <cellStyle name="Comma 6 2 2 2 3 7 2" xfId="44933"/>
    <cellStyle name="Comma 6 2 2 2 3 8" xfId="44934"/>
    <cellStyle name="Comma 6 2 2 2 3 9" xfId="44935"/>
    <cellStyle name="Comma 6 2 2 2 4" xfId="44936"/>
    <cellStyle name="Comma 6 2 2 2 4 2" xfId="44937"/>
    <cellStyle name="Comma 6 2 2 2 4 2 2" xfId="44938"/>
    <cellStyle name="Comma 6 2 2 2 4 2 2 2" xfId="44939"/>
    <cellStyle name="Comma 6 2 2 2 4 2 2 3" xfId="44940"/>
    <cellStyle name="Comma 6 2 2 2 4 2 3" xfId="44941"/>
    <cellStyle name="Comma 6 2 2 2 4 2 3 2" xfId="44942"/>
    <cellStyle name="Comma 6 2 2 2 4 2 3 3" xfId="44943"/>
    <cellStyle name="Comma 6 2 2 2 4 2 4" xfId="44944"/>
    <cellStyle name="Comma 6 2 2 2 4 2 4 2" xfId="44945"/>
    <cellStyle name="Comma 6 2 2 2 4 2 5" xfId="44946"/>
    <cellStyle name="Comma 6 2 2 2 4 2 6" xfId="44947"/>
    <cellStyle name="Comma 6 2 2 2 4 3" xfId="44948"/>
    <cellStyle name="Comma 6 2 2 2 4 3 2" xfId="44949"/>
    <cellStyle name="Comma 6 2 2 2 4 3 2 2" xfId="44950"/>
    <cellStyle name="Comma 6 2 2 2 4 3 2 3" xfId="44951"/>
    <cellStyle name="Comma 6 2 2 2 4 3 3" xfId="44952"/>
    <cellStyle name="Comma 6 2 2 2 4 3 3 2" xfId="44953"/>
    <cellStyle name="Comma 6 2 2 2 4 3 3 3" xfId="44954"/>
    <cellStyle name="Comma 6 2 2 2 4 3 4" xfId="44955"/>
    <cellStyle name="Comma 6 2 2 2 4 3 4 2" xfId="44956"/>
    <cellStyle name="Comma 6 2 2 2 4 3 5" xfId="44957"/>
    <cellStyle name="Comma 6 2 2 2 4 3 6" xfId="44958"/>
    <cellStyle name="Comma 6 2 2 2 4 4" xfId="44959"/>
    <cellStyle name="Comma 6 2 2 2 4 4 2" xfId="44960"/>
    <cellStyle name="Comma 6 2 2 2 4 4 2 2" xfId="44961"/>
    <cellStyle name="Comma 6 2 2 2 4 4 2 3" xfId="44962"/>
    <cellStyle name="Comma 6 2 2 2 4 4 3" xfId="44963"/>
    <cellStyle name="Comma 6 2 2 2 4 4 3 2" xfId="44964"/>
    <cellStyle name="Comma 6 2 2 2 4 4 4" xfId="44965"/>
    <cellStyle name="Comma 6 2 2 2 4 4 5" xfId="44966"/>
    <cellStyle name="Comma 6 2 2 2 4 5" xfId="44967"/>
    <cellStyle name="Comma 6 2 2 2 4 5 2" xfId="44968"/>
    <cellStyle name="Comma 6 2 2 2 4 5 3" xfId="44969"/>
    <cellStyle name="Comma 6 2 2 2 4 6" xfId="44970"/>
    <cellStyle name="Comma 6 2 2 2 4 6 2" xfId="44971"/>
    <cellStyle name="Comma 6 2 2 2 4 6 3" xfId="44972"/>
    <cellStyle name="Comma 6 2 2 2 4 7" xfId="44973"/>
    <cellStyle name="Comma 6 2 2 2 4 7 2" xfId="44974"/>
    <cellStyle name="Comma 6 2 2 2 4 8" xfId="44975"/>
    <cellStyle name="Comma 6 2 2 2 4 9" xfId="44976"/>
    <cellStyle name="Comma 6 2 2 2 5" xfId="44977"/>
    <cellStyle name="Comma 6 2 2 2 5 2" xfId="44978"/>
    <cellStyle name="Comma 6 2 2 2 5 2 2" xfId="44979"/>
    <cellStyle name="Comma 6 2 2 2 5 2 3" xfId="44980"/>
    <cellStyle name="Comma 6 2 2 2 5 3" xfId="44981"/>
    <cellStyle name="Comma 6 2 2 2 5 3 2" xfId="44982"/>
    <cellStyle name="Comma 6 2 2 2 5 3 3" xfId="44983"/>
    <cellStyle name="Comma 6 2 2 2 5 4" xfId="44984"/>
    <cellStyle name="Comma 6 2 2 2 5 4 2" xfId="44985"/>
    <cellStyle name="Comma 6 2 2 2 5 5" xfId="44986"/>
    <cellStyle name="Comma 6 2 2 2 5 6" xfId="44987"/>
    <cellStyle name="Comma 6 2 2 2 6" xfId="44988"/>
    <cellStyle name="Comma 6 2 2 2 6 2" xfId="44989"/>
    <cellStyle name="Comma 6 2 2 2 6 2 2" xfId="44990"/>
    <cellStyle name="Comma 6 2 2 2 6 2 3" xfId="44991"/>
    <cellStyle name="Comma 6 2 2 2 6 3" xfId="44992"/>
    <cellStyle name="Comma 6 2 2 2 6 3 2" xfId="44993"/>
    <cellStyle name="Comma 6 2 2 2 6 3 3" xfId="44994"/>
    <cellStyle name="Comma 6 2 2 2 6 4" xfId="44995"/>
    <cellStyle name="Comma 6 2 2 2 6 4 2" xfId="44996"/>
    <cellStyle name="Comma 6 2 2 2 6 5" xfId="44997"/>
    <cellStyle name="Comma 6 2 2 2 6 6" xfId="44998"/>
    <cellStyle name="Comma 6 2 2 2 7" xfId="44999"/>
    <cellStyle name="Comma 6 2 2 2 7 2" xfId="45000"/>
    <cellStyle name="Comma 6 2 2 2 7 2 2" xfId="45001"/>
    <cellStyle name="Comma 6 2 2 2 7 2 3" xfId="45002"/>
    <cellStyle name="Comma 6 2 2 2 7 3" xfId="45003"/>
    <cellStyle name="Comma 6 2 2 2 7 3 2" xfId="45004"/>
    <cellStyle name="Comma 6 2 2 2 7 4" xfId="45005"/>
    <cellStyle name="Comma 6 2 2 2 7 5" xfId="45006"/>
    <cellStyle name="Comma 6 2 2 2 8" xfId="45007"/>
    <cellStyle name="Comma 6 2 2 2 8 2" xfId="45008"/>
    <cellStyle name="Comma 6 2 2 2 8 3" xfId="45009"/>
    <cellStyle name="Comma 6 2 2 2 9" xfId="45010"/>
    <cellStyle name="Comma 6 2 2 2 9 2" xfId="45011"/>
    <cellStyle name="Comma 6 2 2 2 9 3" xfId="45012"/>
    <cellStyle name="Comma 6 2 2 3" xfId="45013"/>
    <cellStyle name="Comma 6 2 2 3 10" xfId="45014"/>
    <cellStyle name="Comma 6 2 2 3 2" xfId="45015"/>
    <cellStyle name="Comma 6 2 2 3 2 2" xfId="45016"/>
    <cellStyle name="Comma 6 2 2 3 2 2 2" xfId="45017"/>
    <cellStyle name="Comma 6 2 2 3 2 2 2 2" xfId="45018"/>
    <cellStyle name="Comma 6 2 2 3 2 2 2 3" xfId="45019"/>
    <cellStyle name="Comma 6 2 2 3 2 2 3" xfId="45020"/>
    <cellStyle name="Comma 6 2 2 3 2 2 3 2" xfId="45021"/>
    <cellStyle name="Comma 6 2 2 3 2 2 3 3" xfId="45022"/>
    <cellStyle name="Comma 6 2 2 3 2 2 4" xfId="45023"/>
    <cellStyle name="Comma 6 2 2 3 2 2 4 2" xfId="45024"/>
    <cellStyle name="Comma 6 2 2 3 2 2 5" xfId="45025"/>
    <cellStyle name="Comma 6 2 2 3 2 2 6" xfId="45026"/>
    <cellStyle name="Comma 6 2 2 3 2 3" xfId="45027"/>
    <cellStyle name="Comma 6 2 2 3 2 3 2" xfId="45028"/>
    <cellStyle name="Comma 6 2 2 3 2 3 2 2" xfId="45029"/>
    <cellStyle name="Comma 6 2 2 3 2 3 2 3" xfId="45030"/>
    <cellStyle name="Comma 6 2 2 3 2 3 3" xfId="45031"/>
    <cellStyle name="Comma 6 2 2 3 2 3 3 2" xfId="45032"/>
    <cellStyle name="Comma 6 2 2 3 2 3 3 3" xfId="45033"/>
    <cellStyle name="Comma 6 2 2 3 2 3 4" xfId="45034"/>
    <cellStyle name="Comma 6 2 2 3 2 3 4 2" xfId="45035"/>
    <cellStyle name="Comma 6 2 2 3 2 3 5" xfId="45036"/>
    <cellStyle name="Comma 6 2 2 3 2 3 6" xfId="45037"/>
    <cellStyle name="Comma 6 2 2 3 2 4" xfId="45038"/>
    <cellStyle name="Comma 6 2 2 3 2 4 2" xfId="45039"/>
    <cellStyle name="Comma 6 2 2 3 2 4 2 2" xfId="45040"/>
    <cellStyle name="Comma 6 2 2 3 2 4 2 3" xfId="45041"/>
    <cellStyle name="Comma 6 2 2 3 2 4 3" xfId="45042"/>
    <cellStyle name="Comma 6 2 2 3 2 4 3 2" xfId="45043"/>
    <cellStyle name="Comma 6 2 2 3 2 4 4" xfId="45044"/>
    <cellStyle name="Comma 6 2 2 3 2 4 5" xfId="45045"/>
    <cellStyle name="Comma 6 2 2 3 2 5" xfId="45046"/>
    <cellStyle name="Comma 6 2 2 3 2 5 2" xfId="45047"/>
    <cellStyle name="Comma 6 2 2 3 2 5 3" xfId="45048"/>
    <cellStyle name="Comma 6 2 2 3 2 6" xfId="45049"/>
    <cellStyle name="Comma 6 2 2 3 2 6 2" xfId="45050"/>
    <cellStyle name="Comma 6 2 2 3 2 6 3" xfId="45051"/>
    <cellStyle name="Comma 6 2 2 3 2 7" xfId="45052"/>
    <cellStyle name="Comma 6 2 2 3 2 7 2" xfId="45053"/>
    <cellStyle name="Comma 6 2 2 3 2 8" xfId="45054"/>
    <cellStyle name="Comma 6 2 2 3 2 9" xfId="45055"/>
    <cellStyle name="Comma 6 2 2 3 3" xfId="45056"/>
    <cellStyle name="Comma 6 2 2 3 3 2" xfId="45057"/>
    <cellStyle name="Comma 6 2 2 3 3 2 2" xfId="45058"/>
    <cellStyle name="Comma 6 2 2 3 3 2 3" xfId="45059"/>
    <cellStyle name="Comma 6 2 2 3 3 3" xfId="45060"/>
    <cellStyle name="Comma 6 2 2 3 3 3 2" xfId="45061"/>
    <cellStyle name="Comma 6 2 2 3 3 3 3" xfId="45062"/>
    <cellStyle name="Comma 6 2 2 3 3 4" xfId="45063"/>
    <cellStyle name="Comma 6 2 2 3 3 4 2" xfId="45064"/>
    <cellStyle name="Comma 6 2 2 3 3 5" xfId="45065"/>
    <cellStyle name="Comma 6 2 2 3 3 6" xfId="45066"/>
    <cellStyle name="Comma 6 2 2 3 4" xfId="45067"/>
    <cellStyle name="Comma 6 2 2 3 4 2" xfId="45068"/>
    <cellStyle name="Comma 6 2 2 3 4 2 2" xfId="45069"/>
    <cellStyle name="Comma 6 2 2 3 4 2 3" xfId="45070"/>
    <cellStyle name="Comma 6 2 2 3 4 3" xfId="45071"/>
    <cellStyle name="Comma 6 2 2 3 4 3 2" xfId="45072"/>
    <cellStyle name="Comma 6 2 2 3 4 3 3" xfId="45073"/>
    <cellStyle name="Comma 6 2 2 3 4 4" xfId="45074"/>
    <cellStyle name="Comma 6 2 2 3 4 4 2" xfId="45075"/>
    <cellStyle name="Comma 6 2 2 3 4 5" xfId="45076"/>
    <cellStyle name="Comma 6 2 2 3 4 6" xfId="45077"/>
    <cellStyle name="Comma 6 2 2 3 5" xfId="45078"/>
    <cellStyle name="Comma 6 2 2 3 5 2" xfId="45079"/>
    <cellStyle name="Comma 6 2 2 3 5 2 2" xfId="45080"/>
    <cellStyle name="Comma 6 2 2 3 5 2 3" xfId="45081"/>
    <cellStyle name="Comma 6 2 2 3 5 3" xfId="45082"/>
    <cellStyle name="Comma 6 2 2 3 5 3 2" xfId="45083"/>
    <cellStyle name="Comma 6 2 2 3 5 4" xfId="45084"/>
    <cellStyle name="Comma 6 2 2 3 5 5" xfId="45085"/>
    <cellStyle name="Comma 6 2 2 3 6" xfId="45086"/>
    <cellStyle name="Comma 6 2 2 3 6 2" xfId="45087"/>
    <cellStyle name="Comma 6 2 2 3 6 3" xfId="45088"/>
    <cellStyle name="Comma 6 2 2 3 7" xfId="45089"/>
    <cellStyle name="Comma 6 2 2 3 7 2" xfId="45090"/>
    <cellStyle name="Comma 6 2 2 3 7 3" xfId="45091"/>
    <cellStyle name="Comma 6 2 2 3 8" xfId="45092"/>
    <cellStyle name="Comma 6 2 2 3 8 2" xfId="45093"/>
    <cellStyle name="Comma 6 2 2 3 9" xfId="45094"/>
    <cellStyle name="Comma 6 2 2 4" xfId="45095"/>
    <cellStyle name="Comma 6 2 2 4 2" xfId="45096"/>
    <cellStyle name="Comma 6 2 2 4 2 2" xfId="45097"/>
    <cellStyle name="Comma 6 2 2 4 2 2 2" xfId="45098"/>
    <cellStyle name="Comma 6 2 2 4 2 2 3" xfId="45099"/>
    <cellStyle name="Comma 6 2 2 4 2 3" xfId="45100"/>
    <cellStyle name="Comma 6 2 2 4 2 3 2" xfId="45101"/>
    <cellStyle name="Comma 6 2 2 4 2 3 3" xfId="45102"/>
    <cellStyle name="Comma 6 2 2 4 2 4" xfId="45103"/>
    <cellStyle name="Comma 6 2 2 4 2 4 2" xfId="45104"/>
    <cellStyle name="Comma 6 2 2 4 2 5" xfId="45105"/>
    <cellStyle name="Comma 6 2 2 4 2 6" xfId="45106"/>
    <cellStyle name="Comma 6 2 2 4 3" xfId="45107"/>
    <cellStyle name="Comma 6 2 2 4 3 2" xfId="45108"/>
    <cellStyle name="Comma 6 2 2 4 3 2 2" xfId="45109"/>
    <cellStyle name="Comma 6 2 2 4 3 2 3" xfId="45110"/>
    <cellStyle name="Comma 6 2 2 4 3 3" xfId="45111"/>
    <cellStyle name="Comma 6 2 2 4 3 3 2" xfId="45112"/>
    <cellStyle name="Comma 6 2 2 4 3 3 3" xfId="45113"/>
    <cellStyle name="Comma 6 2 2 4 3 4" xfId="45114"/>
    <cellStyle name="Comma 6 2 2 4 3 4 2" xfId="45115"/>
    <cellStyle name="Comma 6 2 2 4 3 5" xfId="45116"/>
    <cellStyle name="Comma 6 2 2 4 3 6" xfId="45117"/>
    <cellStyle name="Comma 6 2 2 4 4" xfId="45118"/>
    <cellStyle name="Comma 6 2 2 4 4 2" xfId="45119"/>
    <cellStyle name="Comma 6 2 2 4 4 2 2" xfId="45120"/>
    <cellStyle name="Comma 6 2 2 4 4 2 3" xfId="45121"/>
    <cellStyle name="Comma 6 2 2 4 4 3" xfId="45122"/>
    <cellStyle name="Comma 6 2 2 4 4 3 2" xfId="45123"/>
    <cellStyle name="Comma 6 2 2 4 4 4" xfId="45124"/>
    <cellStyle name="Comma 6 2 2 4 4 5" xfId="45125"/>
    <cellStyle name="Comma 6 2 2 4 5" xfId="45126"/>
    <cellStyle name="Comma 6 2 2 4 5 2" xfId="45127"/>
    <cellStyle name="Comma 6 2 2 4 5 3" xfId="45128"/>
    <cellStyle name="Comma 6 2 2 4 6" xfId="45129"/>
    <cellStyle name="Comma 6 2 2 4 6 2" xfId="45130"/>
    <cellStyle name="Comma 6 2 2 4 6 3" xfId="45131"/>
    <cellStyle name="Comma 6 2 2 4 7" xfId="45132"/>
    <cellStyle name="Comma 6 2 2 4 7 2" xfId="45133"/>
    <cellStyle name="Comma 6 2 2 4 8" xfId="45134"/>
    <cellStyle name="Comma 6 2 2 4 9" xfId="45135"/>
    <cellStyle name="Comma 6 2 2 5" xfId="45136"/>
    <cellStyle name="Comma 6 2 2 5 2" xfId="45137"/>
    <cellStyle name="Comma 6 2 2 5 2 2" xfId="45138"/>
    <cellStyle name="Comma 6 2 2 5 2 2 2" xfId="45139"/>
    <cellStyle name="Comma 6 2 2 5 2 2 3" xfId="45140"/>
    <cellStyle name="Comma 6 2 2 5 2 3" xfId="45141"/>
    <cellStyle name="Comma 6 2 2 5 2 3 2" xfId="45142"/>
    <cellStyle name="Comma 6 2 2 5 2 3 3" xfId="45143"/>
    <cellStyle name="Comma 6 2 2 5 2 4" xfId="45144"/>
    <cellStyle name="Comma 6 2 2 5 2 4 2" xfId="45145"/>
    <cellStyle name="Comma 6 2 2 5 2 5" xfId="45146"/>
    <cellStyle name="Comma 6 2 2 5 2 6" xfId="45147"/>
    <cellStyle name="Comma 6 2 2 5 3" xfId="45148"/>
    <cellStyle name="Comma 6 2 2 5 3 2" xfId="45149"/>
    <cellStyle name="Comma 6 2 2 5 3 2 2" xfId="45150"/>
    <cellStyle name="Comma 6 2 2 5 3 2 3" xfId="45151"/>
    <cellStyle name="Comma 6 2 2 5 3 3" xfId="45152"/>
    <cellStyle name="Comma 6 2 2 5 3 3 2" xfId="45153"/>
    <cellStyle name="Comma 6 2 2 5 3 3 3" xfId="45154"/>
    <cellStyle name="Comma 6 2 2 5 3 4" xfId="45155"/>
    <cellStyle name="Comma 6 2 2 5 3 4 2" xfId="45156"/>
    <cellStyle name="Comma 6 2 2 5 3 5" xfId="45157"/>
    <cellStyle name="Comma 6 2 2 5 3 6" xfId="45158"/>
    <cellStyle name="Comma 6 2 2 5 4" xfId="45159"/>
    <cellStyle name="Comma 6 2 2 5 4 2" xfId="45160"/>
    <cellStyle name="Comma 6 2 2 5 4 2 2" xfId="45161"/>
    <cellStyle name="Comma 6 2 2 5 4 2 3" xfId="45162"/>
    <cellStyle name="Comma 6 2 2 5 4 3" xfId="45163"/>
    <cellStyle name="Comma 6 2 2 5 4 3 2" xfId="45164"/>
    <cellStyle name="Comma 6 2 2 5 4 4" xfId="45165"/>
    <cellStyle name="Comma 6 2 2 5 4 5" xfId="45166"/>
    <cellStyle name="Comma 6 2 2 5 5" xfId="45167"/>
    <cellStyle name="Comma 6 2 2 5 5 2" xfId="45168"/>
    <cellStyle name="Comma 6 2 2 5 5 3" xfId="45169"/>
    <cellStyle name="Comma 6 2 2 5 6" xfId="45170"/>
    <cellStyle name="Comma 6 2 2 5 6 2" xfId="45171"/>
    <cellStyle name="Comma 6 2 2 5 6 3" xfId="45172"/>
    <cellStyle name="Comma 6 2 2 5 7" xfId="45173"/>
    <cellStyle name="Comma 6 2 2 5 7 2" xfId="45174"/>
    <cellStyle name="Comma 6 2 2 5 8" xfId="45175"/>
    <cellStyle name="Comma 6 2 2 5 9" xfId="45176"/>
    <cellStyle name="Comma 6 2 2 6" xfId="45177"/>
    <cellStyle name="Comma 6 2 2 6 2" xfId="45178"/>
    <cellStyle name="Comma 6 2 2 6 2 2" xfId="45179"/>
    <cellStyle name="Comma 6 2 2 6 2 3" xfId="45180"/>
    <cellStyle name="Comma 6 2 2 6 3" xfId="45181"/>
    <cellStyle name="Comma 6 2 2 6 3 2" xfId="45182"/>
    <cellStyle name="Comma 6 2 2 6 3 3" xfId="45183"/>
    <cellStyle name="Comma 6 2 2 6 4" xfId="45184"/>
    <cellStyle name="Comma 6 2 2 6 4 2" xfId="45185"/>
    <cellStyle name="Comma 6 2 2 6 5" xfId="45186"/>
    <cellStyle name="Comma 6 2 2 6 6" xfId="45187"/>
    <cellStyle name="Comma 6 2 2 7" xfId="45188"/>
    <cellStyle name="Comma 6 2 2 7 2" xfId="45189"/>
    <cellStyle name="Comma 6 2 2 7 2 2" xfId="45190"/>
    <cellStyle name="Comma 6 2 2 7 2 3" xfId="45191"/>
    <cellStyle name="Comma 6 2 2 7 3" xfId="45192"/>
    <cellStyle name="Comma 6 2 2 7 3 2" xfId="45193"/>
    <cellStyle name="Comma 6 2 2 7 3 3" xfId="45194"/>
    <cellStyle name="Comma 6 2 2 7 4" xfId="45195"/>
    <cellStyle name="Comma 6 2 2 7 4 2" xfId="45196"/>
    <cellStyle name="Comma 6 2 2 7 5" xfId="45197"/>
    <cellStyle name="Comma 6 2 2 7 6" xfId="45198"/>
    <cellStyle name="Comma 6 2 2 8" xfId="45199"/>
    <cellStyle name="Comma 6 2 2 8 2" xfId="45200"/>
    <cellStyle name="Comma 6 2 2 8 2 2" xfId="45201"/>
    <cellStyle name="Comma 6 2 2 8 2 3" xfId="45202"/>
    <cellStyle name="Comma 6 2 2 8 3" xfId="45203"/>
    <cellStyle name="Comma 6 2 2 8 3 2" xfId="45204"/>
    <cellStyle name="Comma 6 2 2 8 4" xfId="45205"/>
    <cellStyle name="Comma 6 2 2 8 5" xfId="45206"/>
    <cellStyle name="Comma 6 2 2 9" xfId="45207"/>
    <cellStyle name="Comma 6 2 2 9 2" xfId="45208"/>
    <cellStyle name="Comma 6 2 2 9 3" xfId="45209"/>
    <cellStyle name="Comma 6 2 3" xfId="9612"/>
    <cellStyle name="Comma 6 2 3 10" xfId="45210"/>
    <cellStyle name="Comma 6 2 3 10 2" xfId="45211"/>
    <cellStyle name="Comma 6 2 3 11" xfId="45212"/>
    <cellStyle name="Comma 6 2 3 12" xfId="45213"/>
    <cellStyle name="Comma 6 2 3 13" xfId="45214"/>
    <cellStyle name="Comma 6 2 3 2" xfId="45215"/>
    <cellStyle name="Comma 6 2 3 2 10" xfId="45216"/>
    <cellStyle name="Comma 6 2 3 2 2" xfId="45217"/>
    <cellStyle name="Comma 6 2 3 2 2 2" xfId="45218"/>
    <cellStyle name="Comma 6 2 3 2 2 2 2" xfId="45219"/>
    <cellStyle name="Comma 6 2 3 2 2 2 2 2" xfId="45220"/>
    <cellStyle name="Comma 6 2 3 2 2 2 2 3" xfId="45221"/>
    <cellStyle name="Comma 6 2 3 2 2 2 3" xfId="45222"/>
    <cellStyle name="Comma 6 2 3 2 2 2 3 2" xfId="45223"/>
    <cellStyle name="Comma 6 2 3 2 2 2 3 3" xfId="45224"/>
    <cellStyle name="Comma 6 2 3 2 2 2 4" xfId="45225"/>
    <cellStyle name="Comma 6 2 3 2 2 2 4 2" xfId="45226"/>
    <cellStyle name="Comma 6 2 3 2 2 2 5" xfId="45227"/>
    <cellStyle name="Comma 6 2 3 2 2 2 6" xfId="45228"/>
    <cellStyle name="Comma 6 2 3 2 2 3" xfId="45229"/>
    <cellStyle name="Comma 6 2 3 2 2 3 2" xfId="45230"/>
    <cellStyle name="Comma 6 2 3 2 2 3 2 2" xfId="45231"/>
    <cellStyle name="Comma 6 2 3 2 2 3 2 3" xfId="45232"/>
    <cellStyle name="Comma 6 2 3 2 2 3 3" xfId="45233"/>
    <cellStyle name="Comma 6 2 3 2 2 3 3 2" xfId="45234"/>
    <cellStyle name="Comma 6 2 3 2 2 3 3 3" xfId="45235"/>
    <cellStyle name="Comma 6 2 3 2 2 3 4" xfId="45236"/>
    <cellStyle name="Comma 6 2 3 2 2 3 4 2" xfId="45237"/>
    <cellStyle name="Comma 6 2 3 2 2 3 5" xfId="45238"/>
    <cellStyle name="Comma 6 2 3 2 2 3 6" xfId="45239"/>
    <cellStyle name="Comma 6 2 3 2 2 4" xfId="45240"/>
    <cellStyle name="Comma 6 2 3 2 2 4 2" xfId="45241"/>
    <cellStyle name="Comma 6 2 3 2 2 4 2 2" xfId="45242"/>
    <cellStyle name="Comma 6 2 3 2 2 4 2 3" xfId="45243"/>
    <cellStyle name="Comma 6 2 3 2 2 4 3" xfId="45244"/>
    <cellStyle name="Comma 6 2 3 2 2 4 3 2" xfId="45245"/>
    <cellStyle name="Comma 6 2 3 2 2 4 4" xfId="45246"/>
    <cellStyle name="Comma 6 2 3 2 2 4 5" xfId="45247"/>
    <cellStyle name="Comma 6 2 3 2 2 5" xfId="45248"/>
    <cellStyle name="Comma 6 2 3 2 2 5 2" xfId="45249"/>
    <cellStyle name="Comma 6 2 3 2 2 5 3" xfId="45250"/>
    <cellStyle name="Comma 6 2 3 2 2 6" xfId="45251"/>
    <cellStyle name="Comma 6 2 3 2 2 6 2" xfId="45252"/>
    <cellStyle name="Comma 6 2 3 2 2 6 3" xfId="45253"/>
    <cellStyle name="Comma 6 2 3 2 2 7" xfId="45254"/>
    <cellStyle name="Comma 6 2 3 2 2 7 2" xfId="45255"/>
    <cellStyle name="Comma 6 2 3 2 2 8" xfId="45256"/>
    <cellStyle name="Comma 6 2 3 2 2 9" xfId="45257"/>
    <cellStyle name="Comma 6 2 3 2 3" xfId="45258"/>
    <cellStyle name="Comma 6 2 3 2 3 2" xfId="45259"/>
    <cellStyle name="Comma 6 2 3 2 3 2 2" xfId="45260"/>
    <cellStyle name="Comma 6 2 3 2 3 2 3" xfId="45261"/>
    <cellStyle name="Comma 6 2 3 2 3 3" xfId="45262"/>
    <cellStyle name="Comma 6 2 3 2 3 3 2" xfId="45263"/>
    <cellStyle name="Comma 6 2 3 2 3 3 3" xfId="45264"/>
    <cellStyle name="Comma 6 2 3 2 3 4" xfId="45265"/>
    <cellStyle name="Comma 6 2 3 2 3 4 2" xfId="45266"/>
    <cellStyle name="Comma 6 2 3 2 3 5" xfId="45267"/>
    <cellStyle name="Comma 6 2 3 2 3 6" xfId="45268"/>
    <cellStyle name="Comma 6 2 3 2 4" xfId="45269"/>
    <cellStyle name="Comma 6 2 3 2 4 2" xfId="45270"/>
    <cellStyle name="Comma 6 2 3 2 4 2 2" xfId="45271"/>
    <cellStyle name="Comma 6 2 3 2 4 2 3" xfId="45272"/>
    <cellStyle name="Comma 6 2 3 2 4 3" xfId="45273"/>
    <cellStyle name="Comma 6 2 3 2 4 3 2" xfId="45274"/>
    <cellStyle name="Comma 6 2 3 2 4 3 3" xfId="45275"/>
    <cellStyle name="Comma 6 2 3 2 4 4" xfId="45276"/>
    <cellStyle name="Comma 6 2 3 2 4 4 2" xfId="45277"/>
    <cellStyle name="Comma 6 2 3 2 4 5" xfId="45278"/>
    <cellStyle name="Comma 6 2 3 2 4 6" xfId="45279"/>
    <cellStyle name="Comma 6 2 3 2 5" xfId="45280"/>
    <cellStyle name="Comma 6 2 3 2 5 2" xfId="45281"/>
    <cellStyle name="Comma 6 2 3 2 5 2 2" xfId="45282"/>
    <cellStyle name="Comma 6 2 3 2 5 2 3" xfId="45283"/>
    <cellStyle name="Comma 6 2 3 2 5 3" xfId="45284"/>
    <cellStyle name="Comma 6 2 3 2 5 3 2" xfId="45285"/>
    <cellStyle name="Comma 6 2 3 2 5 4" xfId="45286"/>
    <cellStyle name="Comma 6 2 3 2 5 5" xfId="45287"/>
    <cellStyle name="Comma 6 2 3 2 6" xfId="45288"/>
    <cellStyle name="Comma 6 2 3 2 6 2" xfId="45289"/>
    <cellStyle name="Comma 6 2 3 2 6 3" xfId="45290"/>
    <cellStyle name="Comma 6 2 3 2 7" xfId="45291"/>
    <cellStyle name="Comma 6 2 3 2 7 2" xfId="45292"/>
    <cellStyle name="Comma 6 2 3 2 7 3" xfId="45293"/>
    <cellStyle name="Comma 6 2 3 2 8" xfId="45294"/>
    <cellStyle name="Comma 6 2 3 2 8 2" xfId="45295"/>
    <cellStyle name="Comma 6 2 3 2 9" xfId="45296"/>
    <cellStyle name="Comma 6 2 3 3" xfId="45297"/>
    <cellStyle name="Comma 6 2 3 3 2" xfId="45298"/>
    <cellStyle name="Comma 6 2 3 3 2 2" xfId="45299"/>
    <cellStyle name="Comma 6 2 3 3 2 2 2" xfId="45300"/>
    <cellStyle name="Comma 6 2 3 3 2 2 3" xfId="45301"/>
    <cellStyle name="Comma 6 2 3 3 2 3" xfId="45302"/>
    <cellStyle name="Comma 6 2 3 3 2 3 2" xfId="45303"/>
    <cellStyle name="Comma 6 2 3 3 2 3 3" xfId="45304"/>
    <cellStyle name="Comma 6 2 3 3 2 4" xfId="45305"/>
    <cellStyle name="Comma 6 2 3 3 2 4 2" xfId="45306"/>
    <cellStyle name="Comma 6 2 3 3 2 5" xfId="45307"/>
    <cellStyle name="Comma 6 2 3 3 2 6" xfId="45308"/>
    <cellStyle name="Comma 6 2 3 3 3" xfId="45309"/>
    <cellStyle name="Comma 6 2 3 3 3 2" xfId="45310"/>
    <cellStyle name="Comma 6 2 3 3 3 2 2" xfId="45311"/>
    <cellStyle name="Comma 6 2 3 3 3 2 3" xfId="45312"/>
    <cellStyle name="Comma 6 2 3 3 3 3" xfId="45313"/>
    <cellStyle name="Comma 6 2 3 3 3 3 2" xfId="45314"/>
    <cellStyle name="Comma 6 2 3 3 3 3 3" xfId="45315"/>
    <cellStyle name="Comma 6 2 3 3 3 4" xfId="45316"/>
    <cellStyle name="Comma 6 2 3 3 3 4 2" xfId="45317"/>
    <cellStyle name="Comma 6 2 3 3 3 5" xfId="45318"/>
    <cellStyle name="Comma 6 2 3 3 3 6" xfId="45319"/>
    <cellStyle name="Comma 6 2 3 3 4" xfId="45320"/>
    <cellStyle name="Comma 6 2 3 3 4 2" xfId="45321"/>
    <cellStyle name="Comma 6 2 3 3 4 2 2" xfId="45322"/>
    <cellStyle name="Comma 6 2 3 3 4 2 3" xfId="45323"/>
    <cellStyle name="Comma 6 2 3 3 4 3" xfId="45324"/>
    <cellStyle name="Comma 6 2 3 3 4 3 2" xfId="45325"/>
    <cellStyle name="Comma 6 2 3 3 4 4" xfId="45326"/>
    <cellStyle name="Comma 6 2 3 3 4 5" xfId="45327"/>
    <cellStyle name="Comma 6 2 3 3 5" xfId="45328"/>
    <cellStyle name="Comma 6 2 3 3 5 2" xfId="45329"/>
    <cellStyle name="Comma 6 2 3 3 5 3" xfId="45330"/>
    <cellStyle name="Comma 6 2 3 3 6" xfId="45331"/>
    <cellStyle name="Comma 6 2 3 3 6 2" xfId="45332"/>
    <cellStyle name="Comma 6 2 3 3 6 3" xfId="45333"/>
    <cellStyle name="Comma 6 2 3 3 7" xfId="45334"/>
    <cellStyle name="Comma 6 2 3 3 7 2" xfId="45335"/>
    <cellStyle name="Comma 6 2 3 3 8" xfId="45336"/>
    <cellStyle name="Comma 6 2 3 3 9" xfId="45337"/>
    <cellStyle name="Comma 6 2 3 4" xfId="45338"/>
    <cellStyle name="Comma 6 2 3 4 2" xfId="45339"/>
    <cellStyle name="Comma 6 2 3 4 2 2" xfId="45340"/>
    <cellStyle name="Comma 6 2 3 4 2 2 2" xfId="45341"/>
    <cellStyle name="Comma 6 2 3 4 2 2 3" xfId="45342"/>
    <cellStyle name="Comma 6 2 3 4 2 3" xfId="45343"/>
    <cellStyle name="Comma 6 2 3 4 2 3 2" xfId="45344"/>
    <cellStyle name="Comma 6 2 3 4 2 3 3" xfId="45345"/>
    <cellStyle name="Comma 6 2 3 4 2 4" xfId="45346"/>
    <cellStyle name="Comma 6 2 3 4 2 4 2" xfId="45347"/>
    <cellStyle name="Comma 6 2 3 4 2 5" xfId="45348"/>
    <cellStyle name="Comma 6 2 3 4 2 6" xfId="45349"/>
    <cellStyle name="Comma 6 2 3 4 3" xfId="45350"/>
    <cellStyle name="Comma 6 2 3 4 3 2" xfId="45351"/>
    <cellStyle name="Comma 6 2 3 4 3 2 2" xfId="45352"/>
    <cellStyle name="Comma 6 2 3 4 3 2 3" xfId="45353"/>
    <cellStyle name="Comma 6 2 3 4 3 3" xfId="45354"/>
    <cellStyle name="Comma 6 2 3 4 3 3 2" xfId="45355"/>
    <cellStyle name="Comma 6 2 3 4 3 3 3" xfId="45356"/>
    <cellStyle name="Comma 6 2 3 4 3 4" xfId="45357"/>
    <cellStyle name="Comma 6 2 3 4 3 4 2" xfId="45358"/>
    <cellStyle name="Comma 6 2 3 4 3 5" xfId="45359"/>
    <cellStyle name="Comma 6 2 3 4 3 6" xfId="45360"/>
    <cellStyle name="Comma 6 2 3 4 4" xfId="45361"/>
    <cellStyle name="Comma 6 2 3 4 4 2" xfId="45362"/>
    <cellStyle name="Comma 6 2 3 4 4 2 2" xfId="45363"/>
    <cellStyle name="Comma 6 2 3 4 4 2 3" xfId="45364"/>
    <cellStyle name="Comma 6 2 3 4 4 3" xfId="45365"/>
    <cellStyle name="Comma 6 2 3 4 4 3 2" xfId="45366"/>
    <cellStyle name="Comma 6 2 3 4 4 4" xfId="45367"/>
    <cellStyle name="Comma 6 2 3 4 4 5" xfId="45368"/>
    <cellStyle name="Comma 6 2 3 4 5" xfId="45369"/>
    <cellStyle name="Comma 6 2 3 4 5 2" xfId="45370"/>
    <cellStyle name="Comma 6 2 3 4 5 3" xfId="45371"/>
    <cellStyle name="Comma 6 2 3 4 6" xfId="45372"/>
    <cellStyle name="Comma 6 2 3 4 6 2" xfId="45373"/>
    <cellStyle name="Comma 6 2 3 4 6 3" xfId="45374"/>
    <cellStyle name="Comma 6 2 3 4 7" xfId="45375"/>
    <cellStyle name="Comma 6 2 3 4 7 2" xfId="45376"/>
    <cellStyle name="Comma 6 2 3 4 8" xfId="45377"/>
    <cellStyle name="Comma 6 2 3 4 9" xfId="45378"/>
    <cellStyle name="Comma 6 2 3 5" xfId="45379"/>
    <cellStyle name="Comma 6 2 3 5 2" xfId="45380"/>
    <cellStyle name="Comma 6 2 3 5 2 2" xfId="45381"/>
    <cellStyle name="Comma 6 2 3 5 2 3" xfId="45382"/>
    <cellStyle name="Comma 6 2 3 5 3" xfId="45383"/>
    <cellStyle name="Comma 6 2 3 5 3 2" xfId="45384"/>
    <cellStyle name="Comma 6 2 3 5 3 3" xfId="45385"/>
    <cellStyle name="Comma 6 2 3 5 4" xfId="45386"/>
    <cellStyle name="Comma 6 2 3 5 4 2" xfId="45387"/>
    <cellStyle name="Comma 6 2 3 5 5" xfId="45388"/>
    <cellStyle name="Comma 6 2 3 5 6" xfId="45389"/>
    <cellStyle name="Comma 6 2 3 6" xfId="45390"/>
    <cellStyle name="Comma 6 2 3 6 2" xfId="45391"/>
    <cellStyle name="Comma 6 2 3 6 2 2" xfId="45392"/>
    <cellStyle name="Comma 6 2 3 6 2 3" xfId="45393"/>
    <cellStyle name="Comma 6 2 3 6 3" xfId="45394"/>
    <cellStyle name="Comma 6 2 3 6 3 2" xfId="45395"/>
    <cellStyle name="Comma 6 2 3 6 3 3" xfId="45396"/>
    <cellStyle name="Comma 6 2 3 6 4" xfId="45397"/>
    <cellStyle name="Comma 6 2 3 6 4 2" xfId="45398"/>
    <cellStyle name="Comma 6 2 3 6 5" xfId="45399"/>
    <cellStyle name="Comma 6 2 3 6 6" xfId="45400"/>
    <cellStyle name="Comma 6 2 3 7" xfId="45401"/>
    <cellStyle name="Comma 6 2 3 7 2" xfId="45402"/>
    <cellStyle name="Comma 6 2 3 7 2 2" xfId="45403"/>
    <cellStyle name="Comma 6 2 3 7 2 3" xfId="45404"/>
    <cellStyle name="Comma 6 2 3 7 3" xfId="45405"/>
    <cellStyle name="Comma 6 2 3 7 3 2" xfId="45406"/>
    <cellStyle name="Comma 6 2 3 7 4" xfId="45407"/>
    <cellStyle name="Comma 6 2 3 7 5" xfId="45408"/>
    <cellStyle name="Comma 6 2 3 8" xfId="45409"/>
    <cellStyle name="Comma 6 2 3 8 2" xfId="45410"/>
    <cellStyle name="Comma 6 2 3 8 3" xfId="45411"/>
    <cellStyle name="Comma 6 2 3 9" xfId="45412"/>
    <cellStyle name="Comma 6 2 3 9 2" xfId="45413"/>
    <cellStyle name="Comma 6 2 3 9 3" xfId="45414"/>
    <cellStyle name="Comma 6 2 4" xfId="45415"/>
    <cellStyle name="Comma 6 2 4 10" xfId="45416"/>
    <cellStyle name="Comma 6 2 4 2" xfId="45417"/>
    <cellStyle name="Comma 6 2 4 2 2" xfId="45418"/>
    <cellStyle name="Comma 6 2 4 2 2 2" xfId="45419"/>
    <cellStyle name="Comma 6 2 4 2 2 2 2" xfId="45420"/>
    <cellStyle name="Comma 6 2 4 2 2 2 3" xfId="45421"/>
    <cellStyle name="Comma 6 2 4 2 2 3" xfId="45422"/>
    <cellStyle name="Comma 6 2 4 2 2 3 2" xfId="45423"/>
    <cellStyle name="Comma 6 2 4 2 2 3 3" xfId="45424"/>
    <cellStyle name="Comma 6 2 4 2 2 4" xfId="45425"/>
    <cellStyle name="Comma 6 2 4 2 2 4 2" xfId="45426"/>
    <cellStyle name="Comma 6 2 4 2 2 5" xfId="45427"/>
    <cellStyle name="Comma 6 2 4 2 2 6" xfId="45428"/>
    <cellStyle name="Comma 6 2 4 2 3" xfId="45429"/>
    <cellStyle name="Comma 6 2 4 2 3 2" xfId="45430"/>
    <cellStyle name="Comma 6 2 4 2 3 2 2" xfId="45431"/>
    <cellStyle name="Comma 6 2 4 2 3 2 3" xfId="45432"/>
    <cellStyle name="Comma 6 2 4 2 3 3" xfId="45433"/>
    <cellStyle name="Comma 6 2 4 2 3 3 2" xfId="45434"/>
    <cellStyle name="Comma 6 2 4 2 3 3 3" xfId="45435"/>
    <cellStyle name="Comma 6 2 4 2 3 4" xfId="45436"/>
    <cellStyle name="Comma 6 2 4 2 3 4 2" xfId="45437"/>
    <cellStyle name="Comma 6 2 4 2 3 5" xfId="45438"/>
    <cellStyle name="Comma 6 2 4 2 3 6" xfId="45439"/>
    <cellStyle name="Comma 6 2 4 2 4" xfId="45440"/>
    <cellStyle name="Comma 6 2 4 2 4 2" xfId="45441"/>
    <cellStyle name="Comma 6 2 4 2 4 2 2" xfId="45442"/>
    <cellStyle name="Comma 6 2 4 2 4 2 3" xfId="45443"/>
    <cellStyle name="Comma 6 2 4 2 4 3" xfId="45444"/>
    <cellStyle name="Comma 6 2 4 2 4 3 2" xfId="45445"/>
    <cellStyle name="Comma 6 2 4 2 4 4" xfId="45446"/>
    <cellStyle name="Comma 6 2 4 2 4 5" xfId="45447"/>
    <cellStyle name="Comma 6 2 4 2 5" xfId="45448"/>
    <cellStyle name="Comma 6 2 4 2 5 2" xfId="45449"/>
    <cellStyle name="Comma 6 2 4 2 5 3" xfId="45450"/>
    <cellStyle name="Comma 6 2 4 2 6" xfId="45451"/>
    <cellStyle name="Comma 6 2 4 2 6 2" xfId="45452"/>
    <cellStyle name="Comma 6 2 4 2 6 3" xfId="45453"/>
    <cellStyle name="Comma 6 2 4 2 7" xfId="45454"/>
    <cellStyle name="Comma 6 2 4 2 7 2" xfId="45455"/>
    <cellStyle name="Comma 6 2 4 2 8" xfId="45456"/>
    <cellStyle name="Comma 6 2 4 2 9" xfId="45457"/>
    <cellStyle name="Comma 6 2 4 3" xfId="45458"/>
    <cellStyle name="Comma 6 2 4 3 2" xfId="45459"/>
    <cellStyle name="Comma 6 2 4 3 2 2" xfId="45460"/>
    <cellStyle name="Comma 6 2 4 3 2 3" xfId="45461"/>
    <cellStyle name="Comma 6 2 4 3 3" xfId="45462"/>
    <cellStyle name="Comma 6 2 4 3 3 2" xfId="45463"/>
    <cellStyle name="Comma 6 2 4 3 3 3" xfId="45464"/>
    <cellStyle name="Comma 6 2 4 3 4" xfId="45465"/>
    <cellStyle name="Comma 6 2 4 3 4 2" xfId="45466"/>
    <cellStyle name="Comma 6 2 4 3 5" xfId="45467"/>
    <cellStyle name="Comma 6 2 4 3 6" xfId="45468"/>
    <cellStyle name="Comma 6 2 4 4" xfId="45469"/>
    <cellStyle name="Comma 6 2 4 4 2" xfId="45470"/>
    <cellStyle name="Comma 6 2 4 4 2 2" xfId="45471"/>
    <cellStyle name="Comma 6 2 4 4 2 3" xfId="45472"/>
    <cellStyle name="Comma 6 2 4 4 3" xfId="45473"/>
    <cellStyle name="Comma 6 2 4 4 3 2" xfId="45474"/>
    <cellStyle name="Comma 6 2 4 4 3 3" xfId="45475"/>
    <cellStyle name="Comma 6 2 4 4 4" xfId="45476"/>
    <cellStyle name="Comma 6 2 4 4 4 2" xfId="45477"/>
    <cellStyle name="Comma 6 2 4 4 5" xfId="45478"/>
    <cellStyle name="Comma 6 2 4 4 6" xfId="45479"/>
    <cellStyle name="Comma 6 2 4 5" xfId="45480"/>
    <cellStyle name="Comma 6 2 4 5 2" xfId="45481"/>
    <cellStyle name="Comma 6 2 4 5 2 2" xfId="45482"/>
    <cellStyle name="Comma 6 2 4 5 2 3" xfId="45483"/>
    <cellStyle name="Comma 6 2 4 5 3" xfId="45484"/>
    <cellStyle name="Comma 6 2 4 5 3 2" xfId="45485"/>
    <cellStyle name="Comma 6 2 4 5 4" xfId="45486"/>
    <cellStyle name="Comma 6 2 4 5 5" xfId="45487"/>
    <cellStyle name="Comma 6 2 4 6" xfId="45488"/>
    <cellStyle name="Comma 6 2 4 6 2" xfId="45489"/>
    <cellStyle name="Comma 6 2 4 6 3" xfId="45490"/>
    <cellStyle name="Comma 6 2 4 7" xfId="45491"/>
    <cellStyle name="Comma 6 2 4 7 2" xfId="45492"/>
    <cellStyle name="Comma 6 2 4 7 3" xfId="45493"/>
    <cellStyle name="Comma 6 2 4 8" xfId="45494"/>
    <cellStyle name="Comma 6 2 4 8 2" xfId="45495"/>
    <cellStyle name="Comma 6 2 4 9" xfId="45496"/>
    <cellStyle name="Comma 6 2 5" xfId="45497"/>
    <cellStyle name="Comma 6 2 5 2" xfId="45498"/>
    <cellStyle name="Comma 6 2 5 2 2" xfId="45499"/>
    <cellStyle name="Comma 6 2 5 2 2 2" xfId="45500"/>
    <cellStyle name="Comma 6 2 5 2 2 3" xfId="45501"/>
    <cellStyle name="Comma 6 2 5 2 3" xfId="45502"/>
    <cellStyle name="Comma 6 2 5 2 3 2" xfId="45503"/>
    <cellStyle name="Comma 6 2 5 2 3 3" xfId="45504"/>
    <cellStyle name="Comma 6 2 5 2 4" xfId="45505"/>
    <cellStyle name="Comma 6 2 5 2 4 2" xfId="45506"/>
    <cellStyle name="Comma 6 2 5 2 5" xfId="45507"/>
    <cellStyle name="Comma 6 2 5 2 6" xfId="45508"/>
    <cellStyle name="Comma 6 2 5 3" xfId="45509"/>
    <cellStyle name="Comma 6 2 5 3 2" xfId="45510"/>
    <cellStyle name="Comma 6 2 5 3 2 2" xfId="45511"/>
    <cellStyle name="Comma 6 2 5 3 2 3" xfId="45512"/>
    <cellStyle name="Comma 6 2 5 3 3" xfId="45513"/>
    <cellStyle name="Comma 6 2 5 3 3 2" xfId="45514"/>
    <cellStyle name="Comma 6 2 5 3 3 3" xfId="45515"/>
    <cellStyle name="Comma 6 2 5 3 4" xfId="45516"/>
    <cellStyle name="Comma 6 2 5 3 4 2" xfId="45517"/>
    <cellStyle name="Comma 6 2 5 3 5" xfId="45518"/>
    <cellStyle name="Comma 6 2 5 3 6" xfId="45519"/>
    <cellStyle name="Comma 6 2 5 4" xfId="45520"/>
    <cellStyle name="Comma 6 2 5 4 2" xfId="45521"/>
    <cellStyle name="Comma 6 2 5 4 2 2" xfId="45522"/>
    <cellStyle name="Comma 6 2 5 4 2 3" xfId="45523"/>
    <cellStyle name="Comma 6 2 5 4 3" xfId="45524"/>
    <cellStyle name="Comma 6 2 5 4 3 2" xfId="45525"/>
    <cellStyle name="Comma 6 2 5 4 4" xfId="45526"/>
    <cellStyle name="Comma 6 2 5 4 5" xfId="45527"/>
    <cellStyle name="Comma 6 2 5 5" xfId="45528"/>
    <cellStyle name="Comma 6 2 5 5 2" xfId="45529"/>
    <cellStyle name="Comma 6 2 5 5 3" xfId="45530"/>
    <cellStyle name="Comma 6 2 5 6" xfId="45531"/>
    <cellStyle name="Comma 6 2 5 6 2" xfId="45532"/>
    <cellStyle name="Comma 6 2 5 6 3" xfId="45533"/>
    <cellStyle name="Comma 6 2 5 7" xfId="45534"/>
    <cellStyle name="Comma 6 2 5 7 2" xfId="45535"/>
    <cellStyle name="Comma 6 2 5 8" xfId="45536"/>
    <cellStyle name="Comma 6 2 5 9" xfId="45537"/>
    <cellStyle name="Comma 6 2 6" xfId="45538"/>
    <cellStyle name="Comma 6 2 6 2" xfId="45539"/>
    <cellStyle name="Comma 6 2 6 2 2" xfId="45540"/>
    <cellStyle name="Comma 6 2 6 2 2 2" xfId="45541"/>
    <cellStyle name="Comma 6 2 6 2 2 3" xfId="45542"/>
    <cellStyle name="Comma 6 2 6 2 3" xfId="45543"/>
    <cellStyle name="Comma 6 2 6 2 3 2" xfId="45544"/>
    <cellStyle name="Comma 6 2 6 2 3 3" xfId="45545"/>
    <cellStyle name="Comma 6 2 6 2 4" xfId="45546"/>
    <cellStyle name="Comma 6 2 6 2 4 2" xfId="45547"/>
    <cellStyle name="Comma 6 2 6 2 5" xfId="45548"/>
    <cellStyle name="Comma 6 2 6 2 6" xfId="45549"/>
    <cellStyle name="Comma 6 2 6 3" xfId="45550"/>
    <cellStyle name="Comma 6 2 6 3 2" xfId="45551"/>
    <cellStyle name="Comma 6 2 6 3 2 2" xfId="45552"/>
    <cellStyle name="Comma 6 2 6 3 2 3" xfId="45553"/>
    <cellStyle name="Comma 6 2 6 3 3" xfId="45554"/>
    <cellStyle name="Comma 6 2 6 3 3 2" xfId="45555"/>
    <cellStyle name="Comma 6 2 6 3 3 3" xfId="45556"/>
    <cellStyle name="Comma 6 2 6 3 4" xfId="45557"/>
    <cellStyle name="Comma 6 2 6 3 4 2" xfId="45558"/>
    <cellStyle name="Comma 6 2 6 3 5" xfId="45559"/>
    <cellStyle name="Comma 6 2 6 3 6" xfId="45560"/>
    <cellStyle name="Comma 6 2 6 4" xfId="45561"/>
    <cellStyle name="Comma 6 2 6 4 2" xfId="45562"/>
    <cellStyle name="Comma 6 2 6 4 2 2" xfId="45563"/>
    <cellStyle name="Comma 6 2 6 4 2 3" xfId="45564"/>
    <cellStyle name="Comma 6 2 6 4 3" xfId="45565"/>
    <cellStyle name="Comma 6 2 6 4 3 2" xfId="45566"/>
    <cellStyle name="Comma 6 2 6 4 4" xfId="45567"/>
    <cellStyle name="Comma 6 2 6 4 5" xfId="45568"/>
    <cellStyle name="Comma 6 2 6 5" xfId="45569"/>
    <cellStyle name="Comma 6 2 6 5 2" xfId="45570"/>
    <cellStyle name="Comma 6 2 6 5 3" xfId="45571"/>
    <cellStyle name="Comma 6 2 6 6" xfId="45572"/>
    <cellStyle name="Comma 6 2 6 6 2" xfId="45573"/>
    <cellStyle name="Comma 6 2 6 6 3" xfId="45574"/>
    <cellStyle name="Comma 6 2 6 7" xfId="45575"/>
    <cellStyle name="Comma 6 2 6 7 2" xfId="45576"/>
    <cellStyle name="Comma 6 2 6 8" xfId="45577"/>
    <cellStyle name="Comma 6 2 6 9" xfId="45578"/>
    <cellStyle name="Comma 6 2 7" xfId="45579"/>
    <cellStyle name="Comma 6 2 7 2" xfId="45580"/>
    <cellStyle name="Comma 6 2 7 2 2" xfId="45581"/>
    <cellStyle name="Comma 6 2 7 2 3" xfId="45582"/>
    <cellStyle name="Comma 6 2 7 3" xfId="45583"/>
    <cellStyle name="Comma 6 2 7 3 2" xfId="45584"/>
    <cellStyle name="Comma 6 2 7 3 3" xfId="45585"/>
    <cellStyle name="Comma 6 2 7 4" xfId="45586"/>
    <cellStyle name="Comma 6 2 7 4 2" xfId="45587"/>
    <cellStyle name="Comma 6 2 7 5" xfId="45588"/>
    <cellStyle name="Comma 6 2 7 6" xfId="45589"/>
    <cellStyle name="Comma 6 2 8" xfId="45590"/>
    <cellStyle name="Comma 6 2 8 2" xfId="45591"/>
    <cellStyle name="Comma 6 2 8 2 2" xfId="45592"/>
    <cellStyle name="Comma 6 2 8 2 3" xfId="45593"/>
    <cellStyle name="Comma 6 2 8 3" xfId="45594"/>
    <cellStyle name="Comma 6 2 8 3 2" xfId="45595"/>
    <cellStyle name="Comma 6 2 8 3 3" xfId="45596"/>
    <cellStyle name="Comma 6 2 8 4" xfId="45597"/>
    <cellStyle name="Comma 6 2 8 4 2" xfId="45598"/>
    <cellStyle name="Comma 6 2 8 5" xfId="45599"/>
    <cellStyle name="Comma 6 2 8 6" xfId="45600"/>
    <cellStyle name="Comma 6 2 9" xfId="45601"/>
    <cellStyle name="Comma 6 2 9 2" xfId="45602"/>
    <cellStyle name="Comma 6 2 9 2 2" xfId="45603"/>
    <cellStyle name="Comma 6 2 9 2 3" xfId="45604"/>
    <cellStyle name="Comma 6 2 9 3" xfId="45605"/>
    <cellStyle name="Comma 6 2 9 3 2" xfId="45606"/>
    <cellStyle name="Comma 6 2 9 4" xfId="45607"/>
    <cellStyle name="Comma 6 2 9 5" xfId="45608"/>
    <cellStyle name="Comma 6 3" xfId="8365"/>
    <cellStyle name="Comma 6 3 10" xfId="45609"/>
    <cellStyle name="Comma 6 3 10 2" xfId="45610"/>
    <cellStyle name="Comma 6 3 10 3" xfId="45611"/>
    <cellStyle name="Comma 6 3 11" xfId="45612"/>
    <cellStyle name="Comma 6 3 11 2" xfId="45613"/>
    <cellStyle name="Comma 6 3 12" xfId="45614"/>
    <cellStyle name="Comma 6 3 13" xfId="45615"/>
    <cellStyle name="Comma 6 3 14" xfId="45616"/>
    <cellStyle name="Comma 6 3 2" xfId="8366"/>
    <cellStyle name="Comma 6 3 2 10" xfId="45617"/>
    <cellStyle name="Comma 6 3 2 10 2" xfId="45618"/>
    <cellStyle name="Comma 6 3 2 11" xfId="45619"/>
    <cellStyle name="Comma 6 3 2 12" xfId="45620"/>
    <cellStyle name="Comma 6 3 2 13" xfId="45621"/>
    <cellStyle name="Comma 6 3 2 2" xfId="8367"/>
    <cellStyle name="Comma 6 3 2 2 10" xfId="45622"/>
    <cellStyle name="Comma 6 3 2 2 11" xfId="45623"/>
    <cellStyle name="Comma 6 3 2 2 2" xfId="8368"/>
    <cellStyle name="Comma 6 3 2 2 2 10" xfId="45624"/>
    <cellStyle name="Comma 6 3 2 2 2 2" xfId="8369"/>
    <cellStyle name="Comma 6 3 2 2 2 2 2" xfId="45625"/>
    <cellStyle name="Comma 6 3 2 2 2 2 2 2" xfId="45626"/>
    <cellStyle name="Comma 6 3 2 2 2 2 2 3" xfId="45627"/>
    <cellStyle name="Comma 6 3 2 2 2 2 3" xfId="45628"/>
    <cellStyle name="Comma 6 3 2 2 2 2 3 2" xfId="45629"/>
    <cellStyle name="Comma 6 3 2 2 2 2 3 3" xfId="45630"/>
    <cellStyle name="Comma 6 3 2 2 2 2 4" xfId="45631"/>
    <cellStyle name="Comma 6 3 2 2 2 2 4 2" xfId="45632"/>
    <cellStyle name="Comma 6 3 2 2 2 2 5" xfId="45633"/>
    <cellStyle name="Comma 6 3 2 2 2 2 6" xfId="45634"/>
    <cellStyle name="Comma 6 3 2 2 2 3" xfId="45635"/>
    <cellStyle name="Comma 6 3 2 2 2 3 2" xfId="45636"/>
    <cellStyle name="Comma 6 3 2 2 2 3 2 2" xfId="45637"/>
    <cellStyle name="Comma 6 3 2 2 2 3 2 3" xfId="45638"/>
    <cellStyle name="Comma 6 3 2 2 2 3 3" xfId="45639"/>
    <cellStyle name="Comma 6 3 2 2 2 3 3 2" xfId="45640"/>
    <cellStyle name="Comma 6 3 2 2 2 3 3 3" xfId="45641"/>
    <cellStyle name="Comma 6 3 2 2 2 3 4" xfId="45642"/>
    <cellStyle name="Comma 6 3 2 2 2 3 4 2" xfId="45643"/>
    <cellStyle name="Comma 6 3 2 2 2 3 5" xfId="45644"/>
    <cellStyle name="Comma 6 3 2 2 2 3 6" xfId="45645"/>
    <cellStyle name="Comma 6 3 2 2 2 4" xfId="45646"/>
    <cellStyle name="Comma 6 3 2 2 2 4 2" xfId="45647"/>
    <cellStyle name="Comma 6 3 2 2 2 4 2 2" xfId="45648"/>
    <cellStyle name="Comma 6 3 2 2 2 4 2 3" xfId="45649"/>
    <cellStyle name="Comma 6 3 2 2 2 4 3" xfId="45650"/>
    <cellStyle name="Comma 6 3 2 2 2 4 3 2" xfId="45651"/>
    <cellStyle name="Comma 6 3 2 2 2 4 4" xfId="45652"/>
    <cellStyle name="Comma 6 3 2 2 2 4 5" xfId="45653"/>
    <cellStyle name="Comma 6 3 2 2 2 5" xfId="45654"/>
    <cellStyle name="Comma 6 3 2 2 2 5 2" xfId="45655"/>
    <cellStyle name="Comma 6 3 2 2 2 5 3" xfId="45656"/>
    <cellStyle name="Comma 6 3 2 2 2 6" xfId="45657"/>
    <cellStyle name="Comma 6 3 2 2 2 6 2" xfId="45658"/>
    <cellStyle name="Comma 6 3 2 2 2 6 3" xfId="45659"/>
    <cellStyle name="Comma 6 3 2 2 2 7" xfId="45660"/>
    <cellStyle name="Comma 6 3 2 2 2 7 2" xfId="45661"/>
    <cellStyle name="Comma 6 3 2 2 2 8" xfId="45662"/>
    <cellStyle name="Comma 6 3 2 2 2 9" xfId="45663"/>
    <cellStyle name="Comma 6 3 2 2 3" xfId="8370"/>
    <cellStyle name="Comma 6 3 2 2 3 2" xfId="45664"/>
    <cellStyle name="Comma 6 3 2 2 3 2 2" xfId="45665"/>
    <cellStyle name="Comma 6 3 2 2 3 2 3" xfId="45666"/>
    <cellStyle name="Comma 6 3 2 2 3 3" xfId="45667"/>
    <cellStyle name="Comma 6 3 2 2 3 3 2" xfId="45668"/>
    <cellStyle name="Comma 6 3 2 2 3 3 3" xfId="45669"/>
    <cellStyle name="Comma 6 3 2 2 3 4" xfId="45670"/>
    <cellStyle name="Comma 6 3 2 2 3 4 2" xfId="45671"/>
    <cellStyle name="Comma 6 3 2 2 3 5" xfId="45672"/>
    <cellStyle name="Comma 6 3 2 2 3 6" xfId="45673"/>
    <cellStyle name="Comma 6 3 2 2 3 7" xfId="45674"/>
    <cellStyle name="Comma 6 3 2 2 4" xfId="45675"/>
    <cellStyle name="Comma 6 3 2 2 4 2" xfId="45676"/>
    <cellStyle name="Comma 6 3 2 2 4 2 2" xfId="45677"/>
    <cellStyle name="Comma 6 3 2 2 4 2 3" xfId="45678"/>
    <cellStyle name="Comma 6 3 2 2 4 3" xfId="45679"/>
    <cellStyle name="Comma 6 3 2 2 4 3 2" xfId="45680"/>
    <cellStyle name="Comma 6 3 2 2 4 3 3" xfId="45681"/>
    <cellStyle name="Comma 6 3 2 2 4 4" xfId="45682"/>
    <cellStyle name="Comma 6 3 2 2 4 4 2" xfId="45683"/>
    <cellStyle name="Comma 6 3 2 2 4 5" xfId="45684"/>
    <cellStyle name="Comma 6 3 2 2 4 6" xfId="45685"/>
    <cellStyle name="Comma 6 3 2 2 5" xfId="45686"/>
    <cellStyle name="Comma 6 3 2 2 5 2" xfId="45687"/>
    <cellStyle name="Comma 6 3 2 2 5 2 2" xfId="45688"/>
    <cellStyle name="Comma 6 3 2 2 5 2 3" xfId="45689"/>
    <cellStyle name="Comma 6 3 2 2 5 3" xfId="45690"/>
    <cellStyle name="Comma 6 3 2 2 5 3 2" xfId="45691"/>
    <cellStyle name="Comma 6 3 2 2 5 4" xfId="45692"/>
    <cellStyle name="Comma 6 3 2 2 5 5" xfId="45693"/>
    <cellStyle name="Comma 6 3 2 2 6" xfId="45694"/>
    <cellStyle name="Comma 6 3 2 2 6 2" xfId="45695"/>
    <cellStyle name="Comma 6 3 2 2 6 3" xfId="45696"/>
    <cellStyle name="Comma 6 3 2 2 7" xfId="45697"/>
    <cellStyle name="Comma 6 3 2 2 7 2" xfId="45698"/>
    <cellStyle name="Comma 6 3 2 2 7 3" xfId="45699"/>
    <cellStyle name="Comma 6 3 2 2 8" xfId="45700"/>
    <cellStyle name="Comma 6 3 2 2 8 2" xfId="45701"/>
    <cellStyle name="Comma 6 3 2 2 9" xfId="45702"/>
    <cellStyle name="Comma 6 3 2 3" xfId="8371"/>
    <cellStyle name="Comma 6 3 2 3 10" xfId="45703"/>
    <cellStyle name="Comma 6 3 2 3 2" xfId="8372"/>
    <cellStyle name="Comma 6 3 2 3 2 2" xfId="45704"/>
    <cellStyle name="Comma 6 3 2 3 2 2 2" xfId="45705"/>
    <cellStyle name="Comma 6 3 2 3 2 2 3" xfId="45706"/>
    <cellStyle name="Comma 6 3 2 3 2 3" xfId="45707"/>
    <cellStyle name="Comma 6 3 2 3 2 3 2" xfId="45708"/>
    <cellStyle name="Comma 6 3 2 3 2 3 3" xfId="45709"/>
    <cellStyle name="Comma 6 3 2 3 2 4" xfId="45710"/>
    <cellStyle name="Comma 6 3 2 3 2 4 2" xfId="45711"/>
    <cellStyle name="Comma 6 3 2 3 2 5" xfId="45712"/>
    <cellStyle name="Comma 6 3 2 3 2 6" xfId="45713"/>
    <cellStyle name="Comma 6 3 2 3 3" xfId="45714"/>
    <cellStyle name="Comma 6 3 2 3 3 2" xfId="45715"/>
    <cellStyle name="Comma 6 3 2 3 3 2 2" xfId="45716"/>
    <cellStyle name="Comma 6 3 2 3 3 2 3" xfId="45717"/>
    <cellStyle name="Comma 6 3 2 3 3 3" xfId="45718"/>
    <cellStyle name="Comma 6 3 2 3 3 3 2" xfId="45719"/>
    <cellStyle name="Comma 6 3 2 3 3 3 3" xfId="45720"/>
    <cellStyle name="Comma 6 3 2 3 3 4" xfId="45721"/>
    <cellStyle name="Comma 6 3 2 3 3 4 2" xfId="45722"/>
    <cellStyle name="Comma 6 3 2 3 3 5" xfId="45723"/>
    <cellStyle name="Comma 6 3 2 3 3 6" xfId="45724"/>
    <cellStyle name="Comma 6 3 2 3 4" xfId="45725"/>
    <cellStyle name="Comma 6 3 2 3 4 2" xfId="45726"/>
    <cellStyle name="Comma 6 3 2 3 4 2 2" xfId="45727"/>
    <cellStyle name="Comma 6 3 2 3 4 2 3" xfId="45728"/>
    <cellStyle name="Comma 6 3 2 3 4 3" xfId="45729"/>
    <cellStyle name="Comma 6 3 2 3 4 3 2" xfId="45730"/>
    <cellStyle name="Comma 6 3 2 3 4 4" xfId="45731"/>
    <cellStyle name="Comma 6 3 2 3 4 5" xfId="45732"/>
    <cellStyle name="Comma 6 3 2 3 5" xfId="45733"/>
    <cellStyle name="Comma 6 3 2 3 5 2" xfId="45734"/>
    <cellStyle name="Comma 6 3 2 3 5 3" xfId="45735"/>
    <cellStyle name="Comma 6 3 2 3 6" xfId="45736"/>
    <cellStyle name="Comma 6 3 2 3 6 2" xfId="45737"/>
    <cellStyle name="Comma 6 3 2 3 6 3" xfId="45738"/>
    <cellStyle name="Comma 6 3 2 3 7" xfId="45739"/>
    <cellStyle name="Comma 6 3 2 3 7 2" xfId="45740"/>
    <cellStyle name="Comma 6 3 2 3 8" xfId="45741"/>
    <cellStyle name="Comma 6 3 2 3 9" xfId="45742"/>
    <cellStyle name="Comma 6 3 2 4" xfId="8373"/>
    <cellStyle name="Comma 6 3 2 4 10" xfId="45743"/>
    <cellStyle name="Comma 6 3 2 4 2" xfId="45744"/>
    <cellStyle name="Comma 6 3 2 4 2 2" xfId="45745"/>
    <cellStyle name="Comma 6 3 2 4 2 2 2" xfId="45746"/>
    <cellStyle name="Comma 6 3 2 4 2 2 3" xfId="45747"/>
    <cellStyle name="Comma 6 3 2 4 2 3" xfId="45748"/>
    <cellStyle name="Comma 6 3 2 4 2 3 2" xfId="45749"/>
    <cellStyle name="Comma 6 3 2 4 2 3 3" xfId="45750"/>
    <cellStyle name="Comma 6 3 2 4 2 4" xfId="45751"/>
    <cellStyle name="Comma 6 3 2 4 2 4 2" xfId="45752"/>
    <cellStyle name="Comma 6 3 2 4 2 5" xfId="45753"/>
    <cellStyle name="Comma 6 3 2 4 2 6" xfId="45754"/>
    <cellStyle name="Comma 6 3 2 4 3" xfId="45755"/>
    <cellStyle name="Comma 6 3 2 4 3 2" xfId="45756"/>
    <cellStyle name="Comma 6 3 2 4 3 2 2" xfId="45757"/>
    <cellStyle name="Comma 6 3 2 4 3 2 3" xfId="45758"/>
    <cellStyle name="Comma 6 3 2 4 3 3" xfId="45759"/>
    <cellStyle name="Comma 6 3 2 4 3 3 2" xfId="45760"/>
    <cellStyle name="Comma 6 3 2 4 3 3 3" xfId="45761"/>
    <cellStyle name="Comma 6 3 2 4 3 4" xfId="45762"/>
    <cellStyle name="Comma 6 3 2 4 3 4 2" xfId="45763"/>
    <cellStyle name="Comma 6 3 2 4 3 5" xfId="45764"/>
    <cellStyle name="Comma 6 3 2 4 3 6" xfId="45765"/>
    <cellStyle name="Comma 6 3 2 4 4" xfId="45766"/>
    <cellStyle name="Comma 6 3 2 4 4 2" xfId="45767"/>
    <cellStyle name="Comma 6 3 2 4 4 2 2" xfId="45768"/>
    <cellStyle name="Comma 6 3 2 4 4 2 3" xfId="45769"/>
    <cellStyle name="Comma 6 3 2 4 4 3" xfId="45770"/>
    <cellStyle name="Comma 6 3 2 4 4 3 2" xfId="45771"/>
    <cellStyle name="Comma 6 3 2 4 4 4" xfId="45772"/>
    <cellStyle name="Comma 6 3 2 4 4 5" xfId="45773"/>
    <cellStyle name="Comma 6 3 2 4 5" xfId="45774"/>
    <cellStyle name="Comma 6 3 2 4 5 2" xfId="45775"/>
    <cellStyle name="Comma 6 3 2 4 5 3" xfId="45776"/>
    <cellStyle name="Comma 6 3 2 4 6" xfId="45777"/>
    <cellStyle name="Comma 6 3 2 4 6 2" xfId="45778"/>
    <cellStyle name="Comma 6 3 2 4 6 3" xfId="45779"/>
    <cellStyle name="Comma 6 3 2 4 7" xfId="45780"/>
    <cellStyle name="Comma 6 3 2 4 7 2" xfId="45781"/>
    <cellStyle name="Comma 6 3 2 4 8" xfId="45782"/>
    <cellStyle name="Comma 6 3 2 4 9" xfId="45783"/>
    <cellStyle name="Comma 6 3 2 5" xfId="45784"/>
    <cellStyle name="Comma 6 3 2 5 2" xfId="45785"/>
    <cellStyle name="Comma 6 3 2 5 2 2" xfId="45786"/>
    <cellStyle name="Comma 6 3 2 5 2 3" xfId="45787"/>
    <cellStyle name="Comma 6 3 2 5 3" xfId="45788"/>
    <cellStyle name="Comma 6 3 2 5 3 2" xfId="45789"/>
    <cellStyle name="Comma 6 3 2 5 3 3" xfId="45790"/>
    <cellStyle name="Comma 6 3 2 5 4" xfId="45791"/>
    <cellStyle name="Comma 6 3 2 5 4 2" xfId="45792"/>
    <cellStyle name="Comma 6 3 2 5 5" xfId="45793"/>
    <cellStyle name="Comma 6 3 2 5 6" xfId="45794"/>
    <cellStyle name="Comma 6 3 2 6" xfId="45795"/>
    <cellStyle name="Comma 6 3 2 6 2" xfId="45796"/>
    <cellStyle name="Comma 6 3 2 6 2 2" xfId="45797"/>
    <cellStyle name="Comma 6 3 2 6 2 3" xfId="45798"/>
    <cellStyle name="Comma 6 3 2 6 3" xfId="45799"/>
    <cellStyle name="Comma 6 3 2 6 3 2" xfId="45800"/>
    <cellStyle name="Comma 6 3 2 6 3 3" xfId="45801"/>
    <cellStyle name="Comma 6 3 2 6 4" xfId="45802"/>
    <cellStyle name="Comma 6 3 2 6 4 2" xfId="45803"/>
    <cellStyle name="Comma 6 3 2 6 5" xfId="45804"/>
    <cellStyle name="Comma 6 3 2 6 6" xfId="45805"/>
    <cellStyle name="Comma 6 3 2 7" xfId="45806"/>
    <cellStyle name="Comma 6 3 2 7 2" xfId="45807"/>
    <cellStyle name="Comma 6 3 2 7 2 2" xfId="45808"/>
    <cellStyle name="Comma 6 3 2 7 2 3" xfId="45809"/>
    <cellStyle name="Comma 6 3 2 7 3" xfId="45810"/>
    <cellStyle name="Comma 6 3 2 7 3 2" xfId="45811"/>
    <cellStyle name="Comma 6 3 2 7 4" xfId="45812"/>
    <cellStyle name="Comma 6 3 2 7 5" xfId="45813"/>
    <cellStyle name="Comma 6 3 2 8" xfId="45814"/>
    <cellStyle name="Comma 6 3 2 8 2" xfId="45815"/>
    <cellStyle name="Comma 6 3 2 8 3" xfId="45816"/>
    <cellStyle name="Comma 6 3 2 9" xfId="45817"/>
    <cellStyle name="Comma 6 3 2 9 2" xfId="45818"/>
    <cellStyle name="Comma 6 3 2 9 3" xfId="45819"/>
    <cellStyle name="Comma 6 3 3" xfId="8374"/>
    <cellStyle name="Comma 6 3 3 10" xfId="45820"/>
    <cellStyle name="Comma 6 3 3 11" xfId="45821"/>
    <cellStyle name="Comma 6 3 3 2" xfId="8375"/>
    <cellStyle name="Comma 6 3 3 2 10" xfId="45822"/>
    <cellStyle name="Comma 6 3 3 2 2" xfId="8376"/>
    <cellStyle name="Comma 6 3 3 2 2 2" xfId="45823"/>
    <cellStyle name="Comma 6 3 3 2 2 2 2" xfId="45824"/>
    <cellStyle name="Comma 6 3 3 2 2 2 3" xfId="45825"/>
    <cellStyle name="Comma 6 3 3 2 2 3" xfId="45826"/>
    <cellStyle name="Comma 6 3 3 2 2 3 2" xfId="45827"/>
    <cellStyle name="Comma 6 3 3 2 2 3 3" xfId="45828"/>
    <cellStyle name="Comma 6 3 3 2 2 4" xfId="45829"/>
    <cellStyle name="Comma 6 3 3 2 2 4 2" xfId="45830"/>
    <cellStyle name="Comma 6 3 3 2 2 5" xfId="45831"/>
    <cellStyle name="Comma 6 3 3 2 2 6" xfId="45832"/>
    <cellStyle name="Comma 6 3 3 2 2 7" xfId="45833"/>
    <cellStyle name="Comma 6 3 3 2 3" xfId="45834"/>
    <cellStyle name="Comma 6 3 3 2 3 2" xfId="45835"/>
    <cellStyle name="Comma 6 3 3 2 3 2 2" xfId="45836"/>
    <cellStyle name="Comma 6 3 3 2 3 2 3" xfId="45837"/>
    <cellStyle name="Comma 6 3 3 2 3 3" xfId="45838"/>
    <cellStyle name="Comma 6 3 3 2 3 3 2" xfId="45839"/>
    <cellStyle name="Comma 6 3 3 2 3 3 3" xfId="45840"/>
    <cellStyle name="Comma 6 3 3 2 3 4" xfId="45841"/>
    <cellStyle name="Comma 6 3 3 2 3 4 2" xfId="45842"/>
    <cellStyle name="Comma 6 3 3 2 3 5" xfId="45843"/>
    <cellStyle name="Comma 6 3 3 2 3 6" xfId="45844"/>
    <cellStyle name="Comma 6 3 3 2 4" xfId="45845"/>
    <cellStyle name="Comma 6 3 3 2 4 2" xfId="45846"/>
    <cellStyle name="Comma 6 3 3 2 4 2 2" xfId="45847"/>
    <cellStyle name="Comma 6 3 3 2 4 2 3" xfId="45848"/>
    <cellStyle name="Comma 6 3 3 2 4 3" xfId="45849"/>
    <cellStyle name="Comma 6 3 3 2 4 3 2" xfId="45850"/>
    <cellStyle name="Comma 6 3 3 2 4 4" xfId="45851"/>
    <cellStyle name="Comma 6 3 3 2 4 5" xfId="45852"/>
    <cellStyle name="Comma 6 3 3 2 5" xfId="45853"/>
    <cellStyle name="Comma 6 3 3 2 5 2" xfId="45854"/>
    <cellStyle name="Comma 6 3 3 2 5 3" xfId="45855"/>
    <cellStyle name="Comma 6 3 3 2 6" xfId="45856"/>
    <cellStyle name="Comma 6 3 3 2 6 2" xfId="45857"/>
    <cellStyle name="Comma 6 3 3 2 6 3" xfId="45858"/>
    <cellStyle name="Comma 6 3 3 2 7" xfId="45859"/>
    <cellStyle name="Comma 6 3 3 2 7 2" xfId="45860"/>
    <cellStyle name="Comma 6 3 3 2 8" xfId="45861"/>
    <cellStyle name="Comma 6 3 3 2 9" xfId="45862"/>
    <cellStyle name="Comma 6 3 3 3" xfId="8377"/>
    <cellStyle name="Comma 6 3 3 3 2" xfId="45863"/>
    <cellStyle name="Comma 6 3 3 3 2 2" xfId="45864"/>
    <cellStyle name="Comma 6 3 3 3 2 3" xfId="45865"/>
    <cellStyle name="Comma 6 3 3 3 3" xfId="45866"/>
    <cellStyle name="Comma 6 3 3 3 3 2" xfId="45867"/>
    <cellStyle name="Comma 6 3 3 3 3 3" xfId="45868"/>
    <cellStyle name="Comma 6 3 3 3 4" xfId="45869"/>
    <cellStyle name="Comma 6 3 3 3 4 2" xfId="45870"/>
    <cellStyle name="Comma 6 3 3 3 5" xfId="45871"/>
    <cellStyle name="Comma 6 3 3 3 6" xfId="45872"/>
    <cellStyle name="Comma 6 3 3 3 7" xfId="45873"/>
    <cellStyle name="Comma 6 3 3 4" xfId="45874"/>
    <cellStyle name="Comma 6 3 3 4 2" xfId="45875"/>
    <cellStyle name="Comma 6 3 3 4 2 2" xfId="45876"/>
    <cellStyle name="Comma 6 3 3 4 2 3" xfId="45877"/>
    <cellStyle name="Comma 6 3 3 4 3" xfId="45878"/>
    <cellStyle name="Comma 6 3 3 4 3 2" xfId="45879"/>
    <cellStyle name="Comma 6 3 3 4 3 3" xfId="45880"/>
    <cellStyle name="Comma 6 3 3 4 4" xfId="45881"/>
    <cellStyle name="Comma 6 3 3 4 4 2" xfId="45882"/>
    <cellStyle name="Comma 6 3 3 4 5" xfId="45883"/>
    <cellStyle name="Comma 6 3 3 4 6" xfId="45884"/>
    <cellStyle name="Comma 6 3 3 5" xfId="45885"/>
    <cellStyle name="Comma 6 3 3 5 2" xfId="45886"/>
    <cellStyle name="Comma 6 3 3 5 2 2" xfId="45887"/>
    <cellStyle name="Comma 6 3 3 5 2 3" xfId="45888"/>
    <cellStyle name="Comma 6 3 3 5 3" xfId="45889"/>
    <cellStyle name="Comma 6 3 3 5 3 2" xfId="45890"/>
    <cellStyle name="Comma 6 3 3 5 4" xfId="45891"/>
    <cellStyle name="Comma 6 3 3 5 5" xfId="45892"/>
    <cellStyle name="Comma 6 3 3 6" xfId="45893"/>
    <cellStyle name="Comma 6 3 3 6 2" xfId="45894"/>
    <cellStyle name="Comma 6 3 3 6 3" xfId="45895"/>
    <cellStyle name="Comma 6 3 3 7" xfId="45896"/>
    <cellStyle name="Comma 6 3 3 7 2" xfId="45897"/>
    <cellStyle name="Comma 6 3 3 7 3" xfId="45898"/>
    <cellStyle name="Comma 6 3 3 8" xfId="45899"/>
    <cellStyle name="Comma 6 3 3 8 2" xfId="45900"/>
    <cellStyle name="Comma 6 3 3 9" xfId="45901"/>
    <cellStyle name="Comma 6 3 4" xfId="8378"/>
    <cellStyle name="Comma 6 3 4 10" xfId="45902"/>
    <cellStyle name="Comma 6 3 4 2" xfId="8379"/>
    <cellStyle name="Comma 6 3 4 2 2" xfId="45903"/>
    <cellStyle name="Comma 6 3 4 2 2 2" xfId="45904"/>
    <cellStyle name="Comma 6 3 4 2 2 3" xfId="45905"/>
    <cellStyle name="Comma 6 3 4 2 3" xfId="45906"/>
    <cellStyle name="Comma 6 3 4 2 3 2" xfId="45907"/>
    <cellStyle name="Comma 6 3 4 2 3 3" xfId="45908"/>
    <cellStyle name="Comma 6 3 4 2 4" xfId="45909"/>
    <cellStyle name="Comma 6 3 4 2 4 2" xfId="45910"/>
    <cellStyle name="Comma 6 3 4 2 5" xfId="45911"/>
    <cellStyle name="Comma 6 3 4 2 6" xfId="45912"/>
    <cellStyle name="Comma 6 3 4 2 7" xfId="45913"/>
    <cellStyle name="Comma 6 3 4 3" xfId="45914"/>
    <cellStyle name="Comma 6 3 4 3 2" xfId="45915"/>
    <cellStyle name="Comma 6 3 4 3 2 2" xfId="45916"/>
    <cellStyle name="Comma 6 3 4 3 2 3" xfId="45917"/>
    <cellStyle name="Comma 6 3 4 3 3" xfId="45918"/>
    <cellStyle name="Comma 6 3 4 3 3 2" xfId="45919"/>
    <cellStyle name="Comma 6 3 4 3 3 3" xfId="45920"/>
    <cellStyle name="Comma 6 3 4 3 4" xfId="45921"/>
    <cellStyle name="Comma 6 3 4 3 4 2" xfId="45922"/>
    <cellStyle name="Comma 6 3 4 3 5" xfId="45923"/>
    <cellStyle name="Comma 6 3 4 3 6" xfId="45924"/>
    <cellStyle name="Comma 6 3 4 4" xfId="45925"/>
    <cellStyle name="Comma 6 3 4 4 2" xfId="45926"/>
    <cellStyle name="Comma 6 3 4 4 2 2" xfId="45927"/>
    <cellStyle name="Comma 6 3 4 4 2 3" xfId="45928"/>
    <cellStyle name="Comma 6 3 4 4 3" xfId="45929"/>
    <cellStyle name="Comma 6 3 4 4 3 2" xfId="45930"/>
    <cellStyle name="Comma 6 3 4 4 4" xfId="45931"/>
    <cellStyle name="Comma 6 3 4 4 5" xfId="45932"/>
    <cellStyle name="Comma 6 3 4 5" xfId="45933"/>
    <cellStyle name="Comma 6 3 4 5 2" xfId="45934"/>
    <cellStyle name="Comma 6 3 4 5 3" xfId="45935"/>
    <cellStyle name="Comma 6 3 4 6" xfId="45936"/>
    <cellStyle name="Comma 6 3 4 6 2" xfId="45937"/>
    <cellStyle name="Comma 6 3 4 6 3" xfId="45938"/>
    <cellStyle name="Comma 6 3 4 7" xfId="45939"/>
    <cellStyle name="Comma 6 3 4 7 2" xfId="45940"/>
    <cellStyle name="Comma 6 3 4 8" xfId="45941"/>
    <cellStyle name="Comma 6 3 4 9" xfId="45942"/>
    <cellStyle name="Comma 6 3 5" xfId="8380"/>
    <cellStyle name="Comma 6 3 5 10" xfId="45943"/>
    <cellStyle name="Comma 6 3 5 2" xfId="8381"/>
    <cellStyle name="Comma 6 3 5 2 2" xfId="45944"/>
    <cellStyle name="Comma 6 3 5 2 2 2" xfId="45945"/>
    <cellStyle name="Comma 6 3 5 2 2 3" xfId="45946"/>
    <cellStyle name="Comma 6 3 5 2 3" xfId="45947"/>
    <cellStyle name="Comma 6 3 5 2 3 2" xfId="45948"/>
    <cellStyle name="Comma 6 3 5 2 3 3" xfId="45949"/>
    <cellStyle name="Comma 6 3 5 2 4" xfId="45950"/>
    <cellStyle name="Comma 6 3 5 2 4 2" xfId="45951"/>
    <cellStyle name="Comma 6 3 5 2 5" xfId="45952"/>
    <cellStyle name="Comma 6 3 5 2 6" xfId="45953"/>
    <cellStyle name="Comma 6 3 5 2 7" xfId="45954"/>
    <cellStyle name="Comma 6 3 5 3" xfId="45955"/>
    <cellStyle name="Comma 6 3 5 3 2" xfId="45956"/>
    <cellStyle name="Comma 6 3 5 3 2 2" xfId="45957"/>
    <cellStyle name="Comma 6 3 5 3 2 3" xfId="45958"/>
    <cellStyle name="Comma 6 3 5 3 3" xfId="45959"/>
    <cellStyle name="Comma 6 3 5 3 3 2" xfId="45960"/>
    <cellStyle name="Comma 6 3 5 3 3 3" xfId="45961"/>
    <cellStyle name="Comma 6 3 5 3 4" xfId="45962"/>
    <cellStyle name="Comma 6 3 5 3 4 2" xfId="45963"/>
    <cellStyle name="Comma 6 3 5 3 5" xfId="45964"/>
    <cellStyle name="Comma 6 3 5 3 6" xfId="45965"/>
    <cellStyle name="Comma 6 3 5 4" xfId="45966"/>
    <cellStyle name="Comma 6 3 5 4 2" xfId="45967"/>
    <cellStyle name="Comma 6 3 5 4 2 2" xfId="45968"/>
    <cellStyle name="Comma 6 3 5 4 2 3" xfId="45969"/>
    <cellStyle name="Comma 6 3 5 4 3" xfId="45970"/>
    <cellStyle name="Comma 6 3 5 4 3 2" xfId="45971"/>
    <cellStyle name="Comma 6 3 5 4 4" xfId="45972"/>
    <cellStyle name="Comma 6 3 5 4 5" xfId="45973"/>
    <cellStyle name="Comma 6 3 5 5" xfId="45974"/>
    <cellStyle name="Comma 6 3 5 5 2" xfId="45975"/>
    <cellStyle name="Comma 6 3 5 5 3" xfId="45976"/>
    <cellStyle name="Comma 6 3 5 6" xfId="45977"/>
    <cellStyle name="Comma 6 3 5 6 2" xfId="45978"/>
    <cellStyle name="Comma 6 3 5 6 3" xfId="45979"/>
    <cellStyle name="Comma 6 3 5 7" xfId="45980"/>
    <cellStyle name="Comma 6 3 5 7 2" xfId="45981"/>
    <cellStyle name="Comma 6 3 5 8" xfId="45982"/>
    <cellStyle name="Comma 6 3 5 9" xfId="45983"/>
    <cellStyle name="Comma 6 3 6" xfId="8382"/>
    <cellStyle name="Comma 6 3 6 2" xfId="45984"/>
    <cellStyle name="Comma 6 3 6 2 2" xfId="45985"/>
    <cellStyle name="Comma 6 3 6 2 3" xfId="45986"/>
    <cellStyle name="Comma 6 3 6 3" xfId="45987"/>
    <cellStyle name="Comma 6 3 6 3 2" xfId="45988"/>
    <cellStyle name="Comma 6 3 6 3 3" xfId="45989"/>
    <cellStyle name="Comma 6 3 6 4" xfId="45990"/>
    <cellStyle name="Comma 6 3 6 4 2" xfId="45991"/>
    <cellStyle name="Comma 6 3 6 5" xfId="45992"/>
    <cellStyle name="Comma 6 3 6 6" xfId="45993"/>
    <cellStyle name="Comma 6 3 6 7" xfId="45994"/>
    <cellStyle name="Comma 6 3 7" xfId="45995"/>
    <cellStyle name="Comma 6 3 7 2" xfId="45996"/>
    <cellStyle name="Comma 6 3 7 2 2" xfId="45997"/>
    <cellStyle name="Comma 6 3 7 2 3" xfId="45998"/>
    <cellStyle name="Comma 6 3 7 3" xfId="45999"/>
    <cellStyle name="Comma 6 3 7 3 2" xfId="46000"/>
    <cellStyle name="Comma 6 3 7 3 3" xfId="46001"/>
    <cellStyle name="Comma 6 3 7 4" xfId="46002"/>
    <cellStyle name="Comma 6 3 7 4 2" xfId="46003"/>
    <cellStyle name="Comma 6 3 7 5" xfId="46004"/>
    <cellStyle name="Comma 6 3 7 6" xfId="46005"/>
    <cellStyle name="Comma 6 3 8" xfId="46006"/>
    <cellStyle name="Comma 6 3 8 2" xfId="46007"/>
    <cellStyle name="Comma 6 3 8 2 2" xfId="46008"/>
    <cellStyle name="Comma 6 3 8 2 3" xfId="46009"/>
    <cellStyle name="Comma 6 3 8 3" xfId="46010"/>
    <cellStyle name="Comma 6 3 8 3 2" xfId="46011"/>
    <cellStyle name="Comma 6 3 8 4" xfId="46012"/>
    <cellStyle name="Comma 6 3 8 5" xfId="46013"/>
    <cellStyle name="Comma 6 3 9" xfId="46014"/>
    <cellStyle name="Comma 6 3 9 2" xfId="46015"/>
    <cellStyle name="Comma 6 3 9 3" xfId="46016"/>
    <cellStyle name="Comma 6 4" xfId="8383"/>
    <cellStyle name="Comma 6 4 10" xfId="46017"/>
    <cellStyle name="Comma 6 4 10 2" xfId="46018"/>
    <cellStyle name="Comma 6 4 11" xfId="46019"/>
    <cellStyle name="Comma 6 4 12" xfId="46020"/>
    <cellStyle name="Comma 6 4 13" xfId="46021"/>
    <cellStyle name="Comma 6 4 2" xfId="8384"/>
    <cellStyle name="Comma 6 4 2 10" xfId="46022"/>
    <cellStyle name="Comma 6 4 2 11" xfId="46023"/>
    <cellStyle name="Comma 6 4 2 2" xfId="8385"/>
    <cellStyle name="Comma 6 4 2 2 10" xfId="46024"/>
    <cellStyle name="Comma 6 4 2 2 2" xfId="8386"/>
    <cellStyle name="Comma 6 4 2 2 2 2" xfId="46025"/>
    <cellStyle name="Comma 6 4 2 2 2 2 2" xfId="46026"/>
    <cellStyle name="Comma 6 4 2 2 2 2 3" xfId="46027"/>
    <cellStyle name="Comma 6 4 2 2 2 3" xfId="46028"/>
    <cellStyle name="Comma 6 4 2 2 2 3 2" xfId="46029"/>
    <cellStyle name="Comma 6 4 2 2 2 3 3" xfId="46030"/>
    <cellStyle name="Comma 6 4 2 2 2 4" xfId="46031"/>
    <cellStyle name="Comma 6 4 2 2 2 4 2" xfId="46032"/>
    <cellStyle name="Comma 6 4 2 2 2 5" xfId="46033"/>
    <cellStyle name="Comma 6 4 2 2 2 6" xfId="46034"/>
    <cellStyle name="Comma 6 4 2 2 3" xfId="46035"/>
    <cellStyle name="Comma 6 4 2 2 3 2" xfId="46036"/>
    <cellStyle name="Comma 6 4 2 2 3 2 2" xfId="46037"/>
    <cellStyle name="Comma 6 4 2 2 3 2 3" xfId="46038"/>
    <cellStyle name="Comma 6 4 2 2 3 3" xfId="46039"/>
    <cellStyle name="Comma 6 4 2 2 3 3 2" xfId="46040"/>
    <cellStyle name="Comma 6 4 2 2 3 3 3" xfId="46041"/>
    <cellStyle name="Comma 6 4 2 2 3 4" xfId="46042"/>
    <cellStyle name="Comma 6 4 2 2 3 4 2" xfId="46043"/>
    <cellStyle name="Comma 6 4 2 2 3 5" xfId="46044"/>
    <cellStyle name="Comma 6 4 2 2 3 6" xfId="46045"/>
    <cellStyle name="Comma 6 4 2 2 4" xfId="46046"/>
    <cellStyle name="Comma 6 4 2 2 4 2" xfId="46047"/>
    <cellStyle name="Comma 6 4 2 2 4 2 2" xfId="46048"/>
    <cellStyle name="Comma 6 4 2 2 4 2 3" xfId="46049"/>
    <cellStyle name="Comma 6 4 2 2 4 3" xfId="46050"/>
    <cellStyle name="Comma 6 4 2 2 4 3 2" xfId="46051"/>
    <cellStyle name="Comma 6 4 2 2 4 4" xfId="46052"/>
    <cellStyle name="Comma 6 4 2 2 4 5" xfId="46053"/>
    <cellStyle name="Comma 6 4 2 2 5" xfId="46054"/>
    <cellStyle name="Comma 6 4 2 2 5 2" xfId="46055"/>
    <cellStyle name="Comma 6 4 2 2 5 3" xfId="46056"/>
    <cellStyle name="Comma 6 4 2 2 6" xfId="46057"/>
    <cellStyle name="Comma 6 4 2 2 6 2" xfId="46058"/>
    <cellStyle name="Comma 6 4 2 2 6 3" xfId="46059"/>
    <cellStyle name="Comma 6 4 2 2 7" xfId="46060"/>
    <cellStyle name="Comma 6 4 2 2 7 2" xfId="46061"/>
    <cellStyle name="Comma 6 4 2 2 8" xfId="46062"/>
    <cellStyle name="Comma 6 4 2 2 9" xfId="46063"/>
    <cellStyle name="Comma 6 4 2 3" xfId="8387"/>
    <cellStyle name="Comma 6 4 2 3 2" xfId="46064"/>
    <cellStyle name="Comma 6 4 2 3 2 2" xfId="46065"/>
    <cellStyle name="Comma 6 4 2 3 2 3" xfId="46066"/>
    <cellStyle name="Comma 6 4 2 3 3" xfId="46067"/>
    <cellStyle name="Comma 6 4 2 3 3 2" xfId="46068"/>
    <cellStyle name="Comma 6 4 2 3 3 3" xfId="46069"/>
    <cellStyle name="Comma 6 4 2 3 4" xfId="46070"/>
    <cellStyle name="Comma 6 4 2 3 4 2" xfId="46071"/>
    <cellStyle name="Comma 6 4 2 3 5" xfId="46072"/>
    <cellStyle name="Comma 6 4 2 3 6" xfId="46073"/>
    <cellStyle name="Comma 6 4 2 3 7" xfId="46074"/>
    <cellStyle name="Comma 6 4 2 4" xfId="46075"/>
    <cellStyle name="Comma 6 4 2 4 2" xfId="46076"/>
    <cellStyle name="Comma 6 4 2 4 2 2" xfId="46077"/>
    <cellStyle name="Comma 6 4 2 4 2 3" xfId="46078"/>
    <cellStyle name="Comma 6 4 2 4 3" xfId="46079"/>
    <cellStyle name="Comma 6 4 2 4 3 2" xfId="46080"/>
    <cellStyle name="Comma 6 4 2 4 3 3" xfId="46081"/>
    <cellStyle name="Comma 6 4 2 4 4" xfId="46082"/>
    <cellStyle name="Comma 6 4 2 4 4 2" xfId="46083"/>
    <cellStyle name="Comma 6 4 2 4 5" xfId="46084"/>
    <cellStyle name="Comma 6 4 2 4 6" xfId="46085"/>
    <cellStyle name="Comma 6 4 2 5" xfId="46086"/>
    <cellStyle name="Comma 6 4 2 5 2" xfId="46087"/>
    <cellStyle name="Comma 6 4 2 5 2 2" xfId="46088"/>
    <cellStyle name="Comma 6 4 2 5 2 3" xfId="46089"/>
    <cellStyle name="Comma 6 4 2 5 3" xfId="46090"/>
    <cellStyle name="Comma 6 4 2 5 3 2" xfId="46091"/>
    <cellStyle name="Comma 6 4 2 5 4" xfId="46092"/>
    <cellStyle name="Comma 6 4 2 5 5" xfId="46093"/>
    <cellStyle name="Comma 6 4 2 6" xfId="46094"/>
    <cellStyle name="Comma 6 4 2 6 2" xfId="46095"/>
    <cellStyle name="Comma 6 4 2 6 3" xfId="46096"/>
    <cellStyle name="Comma 6 4 2 7" xfId="46097"/>
    <cellStyle name="Comma 6 4 2 7 2" xfId="46098"/>
    <cellStyle name="Comma 6 4 2 7 3" xfId="46099"/>
    <cellStyle name="Comma 6 4 2 8" xfId="46100"/>
    <cellStyle name="Comma 6 4 2 8 2" xfId="46101"/>
    <cellStyle name="Comma 6 4 2 9" xfId="46102"/>
    <cellStyle name="Comma 6 4 3" xfId="8388"/>
    <cellStyle name="Comma 6 4 3 10" xfId="46103"/>
    <cellStyle name="Comma 6 4 3 2" xfId="8389"/>
    <cellStyle name="Comma 6 4 3 2 2" xfId="46104"/>
    <cellStyle name="Comma 6 4 3 2 2 2" xfId="46105"/>
    <cellStyle name="Comma 6 4 3 2 2 3" xfId="46106"/>
    <cellStyle name="Comma 6 4 3 2 3" xfId="46107"/>
    <cellStyle name="Comma 6 4 3 2 3 2" xfId="46108"/>
    <cellStyle name="Comma 6 4 3 2 3 3" xfId="46109"/>
    <cellStyle name="Comma 6 4 3 2 4" xfId="46110"/>
    <cellStyle name="Comma 6 4 3 2 4 2" xfId="46111"/>
    <cellStyle name="Comma 6 4 3 2 5" xfId="46112"/>
    <cellStyle name="Comma 6 4 3 2 6" xfId="46113"/>
    <cellStyle name="Comma 6 4 3 3" xfId="46114"/>
    <cellStyle name="Comma 6 4 3 3 2" xfId="46115"/>
    <cellStyle name="Comma 6 4 3 3 2 2" xfId="46116"/>
    <cellStyle name="Comma 6 4 3 3 2 3" xfId="46117"/>
    <cellStyle name="Comma 6 4 3 3 3" xfId="46118"/>
    <cellStyle name="Comma 6 4 3 3 3 2" xfId="46119"/>
    <cellStyle name="Comma 6 4 3 3 3 3" xfId="46120"/>
    <cellStyle name="Comma 6 4 3 3 4" xfId="46121"/>
    <cellStyle name="Comma 6 4 3 3 4 2" xfId="46122"/>
    <cellStyle name="Comma 6 4 3 3 5" xfId="46123"/>
    <cellStyle name="Comma 6 4 3 3 6" xfId="46124"/>
    <cellStyle name="Comma 6 4 3 4" xfId="46125"/>
    <cellStyle name="Comma 6 4 3 4 2" xfId="46126"/>
    <cellStyle name="Comma 6 4 3 4 2 2" xfId="46127"/>
    <cellStyle name="Comma 6 4 3 4 2 3" xfId="46128"/>
    <cellStyle name="Comma 6 4 3 4 3" xfId="46129"/>
    <cellStyle name="Comma 6 4 3 4 3 2" xfId="46130"/>
    <cellStyle name="Comma 6 4 3 4 4" xfId="46131"/>
    <cellStyle name="Comma 6 4 3 4 5" xfId="46132"/>
    <cellStyle name="Comma 6 4 3 5" xfId="46133"/>
    <cellStyle name="Comma 6 4 3 5 2" xfId="46134"/>
    <cellStyle name="Comma 6 4 3 5 3" xfId="46135"/>
    <cellStyle name="Comma 6 4 3 6" xfId="46136"/>
    <cellStyle name="Comma 6 4 3 6 2" xfId="46137"/>
    <cellStyle name="Comma 6 4 3 6 3" xfId="46138"/>
    <cellStyle name="Comma 6 4 3 7" xfId="46139"/>
    <cellStyle name="Comma 6 4 3 7 2" xfId="46140"/>
    <cellStyle name="Comma 6 4 3 8" xfId="46141"/>
    <cellStyle name="Comma 6 4 3 9" xfId="46142"/>
    <cellStyle name="Comma 6 4 4" xfId="8390"/>
    <cellStyle name="Comma 6 4 4 10" xfId="46143"/>
    <cellStyle name="Comma 6 4 4 2" xfId="46144"/>
    <cellStyle name="Comma 6 4 4 2 2" xfId="46145"/>
    <cellStyle name="Comma 6 4 4 2 2 2" xfId="46146"/>
    <cellStyle name="Comma 6 4 4 2 2 3" xfId="46147"/>
    <cellStyle name="Comma 6 4 4 2 3" xfId="46148"/>
    <cellStyle name="Comma 6 4 4 2 3 2" xfId="46149"/>
    <cellStyle name="Comma 6 4 4 2 3 3" xfId="46150"/>
    <cellStyle name="Comma 6 4 4 2 4" xfId="46151"/>
    <cellStyle name="Comma 6 4 4 2 4 2" xfId="46152"/>
    <cellStyle name="Comma 6 4 4 2 5" xfId="46153"/>
    <cellStyle name="Comma 6 4 4 2 6" xfId="46154"/>
    <cellStyle name="Comma 6 4 4 3" xfId="46155"/>
    <cellStyle name="Comma 6 4 4 3 2" xfId="46156"/>
    <cellStyle name="Comma 6 4 4 3 2 2" xfId="46157"/>
    <cellStyle name="Comma 6 4 4 3 2 3" xfId="46158"/>
    <cellStyle name="Comma 6 4 4 3 3" xfId="46159"/>
    <cellStyle name="Comma 6 4 4 3 3 2" xfId="46160"/>
    <cellStyle name="Comma 6 4 4 3 3 3" xfId="46161"/>
    <cellStyle name="Comma 6 4 4 3 4" xfId="46162"/>
    <cellStyle name="Comma 6 4 4 3 4 2" xfId="46163"/>
    <cellStyle name="Comma 6 4 4 3 5" xfId="46164"/>
    <cellStyle name="Comma 6 4 4 3 6" xfId="46165"/>
    <cellStyle name="Comma 6 4 4 4" xfId="46166"/>
    <cellStyle name="Comma 6 4 4 4 2" xfId="46167"/>
    <cellStyle name="Comma 6 4 4 4 2 2" xfId="46168"/>
    <cellStyle name="Comma 6 4 4 4 2 3" xfId="46169"/>
    <cellStyle name="Comma 6 4 4 4 3" xfId="46170"/>
    <cellStyle name="Comma 6 4 4 4 3 2" xfId="46171"/>
    <cellStyle name="Comma 6 4 4 4 4" xfId="46172"/>
    <cellStyle name="Comma 6 4 4 4 5" xfId="46173"/>
    <cellStyle name="Comma 6 4 4 5" xfId="46174"/>
    <cellStyle name="Comma 6 4 4 5 2" xfId="46175"/>
    <cellStyle name="Comma 6 4 4 5 3" xfId="46176"/>
    <cellStyle name="Comma 6 4 4 6" xfId="46177"/>
    <cellStyle name="Comma 6 4 4 6 2" xfId="46178"/>
    <cellStyle name="Comma 6 4 4 6 3" xfId="46179"/>
    <cellStyle name="Comma 6 4 4 7" xfId="46180"/>
    <cellStyle name="Comma 6 4 4 7 2" xfId="46181"/>
    <cellStyle name="Comma 6 4 4 8" xfId="46182"/>
    <cellStyle name="Comma 6 4 4 9" xfId="46183"/>
    <cellStyle name="Comma 6 4 5" xfId="46184"/>
    <cellStyle name="Comma 6 4 5 2" xfId="46185"/>
    <cellStyle name="Comma 6 4 5 2 2" xfId="46186"/>
    <cellStyle name="Comma 6 4 5 2 3" xfId="46187"/>
    <cellStyle name="Comma 6 4 5 3" xfId="46188"/>
    <cellStyle name="Comma 6 4 5 3 2" xfId="46189"/>
    <cellStyle name="Comma 6 4 5 3 3" xfId="46190"/>
    <cellStyle name="Comma 6 4 5 4" xfId="46191"/>
    <cellStyle name="Comma 6 4 5 4 2" xfId="46192"/>
    <cellStyle name="Comma 6 4 5 5" xfId="46193"/>
    <cellStyle name="Comma 6 4 5 6" xfId="46194"/>
    <cellStyle name="Comma 6 4 6" xfId="46195"/>
    <cellStyle name="Comma 6 4 6 2" xfId="46196"/>
    <cellStyle name="Comma 6 4 6 2 2" xfId="46197"/>
    <cellStyle name="Comma 6 4 6 2 3" xfId="46198"/>
    <cellStyle name="Comma 6 4 6 3" xfId="46199"/>
    <cellStyle name="Comma 6 4 6 3 2" xfId="46200"/>
    <cellStyle name="Comma 6 4 6 3 3" xfId="46201"/>
    <cellStyle name="Comma 6 4 6 4" xfId="46202"/>
    <cellStyle name="Comma 6 4 6 4 2" xfId="46203"/>
    <cellStyle name="Comma 6 4 6 5" xfId="46204"/>
    <cellStyle name="Comma 6 4 6 6" xfId="46205"/>
    <cellStyle name="Comma 6 4 7" xfId="46206"/>
    <cellStyle name="Comma 6 4 7 2" xfId="46207"/>
    <cellStyle name="Comma 6 4 7 2 2" xfId="46208"/>
    <cellStyle name="Comma 6 4 7 2 3" xfId="46209"/>
    <cellStyle name="Comma 6 4 7 3" xfId="46210"/>
    <cellStyle name="Comma 6 4 7 3 2" xfId="46211"/>
    <cellStyle name="Comma 6 4 7 4" xfId="46212"/>
    <cellStyle name="Comma 6 4 7 5" xfId="46213"/>
    <cellStyle name="Comma 6 4 8" xfId="46214"/>
    <cellStyle name="Comma 6 4 8 2" xfId="46215"/>
    <cellStyle name="Comma 6 4 8 3" xfId="46216"/>
    <cellStyle name="Comma 6 4 9" xfId="46217"/>
    <cellStyle name="Comma 6 4 9 2" xfId="46218"/>
    <cellStyle name="Comma 6 4 9 3" xfId="46219"/>
    <cellStyle name="Comma 6 5" xfId="8391"/>
    <cellStyle name="Comma 6 5 10" xfId="46220"/>
    <cellStyle name="Comma 6 5 11" xfId="46221"/>
    <cellStyle name="Comma 6 5 2" xfId="8392"/>
    <cellStyle name="Comma 6 5 2 10" xfId="46222"/>
    <cellStyle name="Comma 6 5 2 2" xfId="8393"/>
    <cellStyle name="Comma 6 5 2 2 2" xfId="46223"/>
    <cellStyle name="Comma 6 5 2 2 2 2" xfId="46224"/>
    <cellStyle name="Comma 6 5 2 2 2 3" xfId="46225"/>
    <cellStyle name="Comma 6 5 2 2 3" xfId="46226"/>
    <cellStyle name="Comma 6 5 2 2 3 2" xfId="46227"/>
    <cellStyle name="Comma 6 5 2 2 3 3" xfId="46228"/>
    <cellStyle name="Comma 6 5 2 2 4" xfId="46229"/>
    <cellStyle name="Comma 6 5 2 2 4 2" xfId="46230"/>
    <cellStyle name="Comma 6 5 2 2 5" xfId="46231"/>
    <cellStyle name="Comma 6 5 2 2 6" xfId="46232"/>
    <cellStyle name="Comma 6 5 2 2 7" xfId="46233"/>
    <cellStyle name="Comma 6 5 2 3" xfId="46234"/>
    <cellStyle name="Comma 6 5 2 3 2" xfId="46235"/>
    <cellStyle name="Comma 6 5 2 3 2 2" xfId="46236"/>
    <cellStyle name="Comma 6 5 2 3 2 3" xfId="46237"/>
    <cellStyle name="Comma 6 5 2 3 3" xfId="46238"/>
    <cellStyle name="Comma 6 5 2 3 3 2" xfId="46239"/>
    <cellStyle name="Comma 6 5 2 3 3 3" xfId="46240"/>
    <cellStyle name="Comma 6 5 2 3 4" xfId="46241"/>
    <cellStyle name="Comma 6 5 2 3 4 2" xfId="46242"/>
    <cellStyle name="Comma 6 5 2 3 5" xfId="46243"/>
    <cellStyle name="Comma 6 5 2 3 6" xfId="46244"/>
    <cellStyle name="Comma 6 5 2 4" xfId="46245"/>
    <cellStyle name="Comma 6 5 2 4 2" xfId="46246"/>
    <cellStyle name="Comma 6 5 2 4 2 2" xfId="46247"/>
    <cellStyle name="Comma 6 5 2 4 2 3" xfId="46248"/>
    <cellStyle name="Comma 6 5 2 4 3" xfId="46249"/>
    <cellStyle name="Comma 6 5 2 4 3 2" xfId="46250"/>
    <cellStyle name="Comma 6 5 2 4 4" xfId="46251"/>
    <cellStyle name="Comma 6 5 2 4 5" xfId="46252"/>
    <cellStyle name="Comma 6 5 2 5" xfId="46253"/>
    <cellStyle name="Comma 6 5 2 5 2" xfId="46254"/>
    <cellStyle name="Comma 6 5 2 5 3" xfId="46255"/>
    <cellStyle name="Comma 6 5 2 6" xfId="46256"/>
    <cellStyle name="Comma 6 5 2 6 2" xfId="46257"/>
    <cellStyle name="Comma 6 5 2 6 3" xfId="46258"/>
    <cellStyle name="Comma 6 5 2 7" xfId="46259"/>
    <cellStyle name="Comma 6 5 2 7 2" xfId="46260"/>
    <cellStyle name="Comma 6 5 2 8" xfId="46261"/>
    <cellStyle name="Comma 6 5 2 9" xfId="46262"/>
    <cellStyle name="Comma 6 5 3" xfId="8394"/>
    <cellStyle name="Comma 6 5 3 2" xfId="46263"/>
    <cellStyle name="Comma 6 5 3 2 2" xfId="46264"/>
    <cellStyle name="Comma 6 5 3 2 3" xfId="46265"/>
    <cellStyle name="Comma 6 5 3 3" xfId="46266"/>
    <cellStyle name="Comma 6 5 3 3 2" xfId="46267"/>
    <cellStyle name="Comma 6 5 3 3 3" xfId="46268"/>
    <cellStyle name="Comma 6 5 3 4" xfId="46269"/>
    <cellStyle name="Comma 6 5 3 4 2" xfId="46270"/>
    <cellStyle name="Comma 6 5 3 5" xfId="46271"/>
    <cellStyle name="Comma 6 5 3 6" xfId="46272"/>
    <cellStyle name="Comma 6 5 3 7" xfId="46273"/>
    <cellStyle name="Comma 6 5 4" xfId="46274"/>
    <cellStyle name="Comma 6 5 4 2" xfId="46275"/>
    <cellStyle name="Comma 6 5 4 2 2" xfId="46276"/>
    <cellStyle name="Comma 6 5 4 2 3" xfId="46277"/>
    <cellStyle name="Comma 6 5 4 3" xfId="46278"/>
    <cellStyle name="Comma 6 5 4 3 2" xfId="46279"/>
    <cellStyle name="Comma 6 5 4 3 3" xfId="46280"/>
    <cellStyle name="Comma 6 5 4 4" xfId="46281"/>
    <cellStyle name="Comma 6 5 4 4 2" xfId="46282"/>
    <cellStyle name="Comma 6 5 4 5" xfId="46283"/>
    <cellStyle name="Comma 6 5 4 6" xfId="46284"/>
    <cellStyle name="Comma 6 5 5" xfId="46285"/>
    <cellStyle name="Comma 6 5 5 2" xfId="46286"/>
    <cellStyle name="Comma 6 5 5 2 2" xfId="46287"/>
    <cellStyle name="Comma 6 5 5 2 3" xfId="46288"/>
    <cellStyle name="Comma 6 5 5 3" xfId="46289"/>
    <cellStyle name="Comma 6 5 5 3 2" xfId="46290"/>
    <cellStyle name="Comma 6 5 5 4" xfId="46291"/>
    <cellStyle name="Comma 6 5 5 5" xfId="46292"/>
    <cellStyle name="Comma 6 5 6" xfId="46293"/>
    <cellStyle name="Comma 6 5 6 2" xfId="46294"/>
    <cellStyle name="Comma 6 5 6 3" xfId="46295"/>
    <cellStyle name="Comma 6 5 7" xfId="46296"/>
    <cellStyle name="Comma 6 5 7 2" xfId="46297"/>
    <cellStyle name="Comma 6 5 7 3" xfId="46298"/>
    <cellStyle name="Comma 6 5 8" xfId="46299"/>
    <cellStyle name="Comma 6 5 8 2" xfId="46300"/>
    <cellStyle name="Comma 6 5 9" xfId="46301"/>
    <cellStyle name="Comma 6 6" xfId="8395"/>
    <cellStyle name="Comma 6 6 10" xfId="46302"/>
    <cellStyle name="Comma 6 6 2" xfId="8396"/>
    <cellStyle name="Comma 6 6 2 2" xfId="46303"/>
    <cellStyle name="Comma 6 6 2 2 2" xfId="46304"/>
    <cellStyle name="Comma 6 6 2 2 3" xfId="46305"/>
    <cellStyle name="Comma 6 6 2 3" xfId="46306"/>
    <cellStyle name="Comma 6 6 2 3 2" xfId="46307"/>
    <cellStyle name="Comma 6 6 2 3 3" xfId="46308"/>
    <cellStyle name="Comma 6 6 2 4" xfId="46309"/>
    <cellStyle name="Comma 6 6 2 4 2" xfId="46310"/>
    <cellStyle name="Comma 6 6 2 5" xfId="46311"/>
    <cellStyle name="Comma 6 6 2 6" xfId="46312"/>
    <cellStyle name="Comma 6 6 2 7" xfId="46313"/>
    <cellStyle name="Comma 6 6 3" xfId="46314"/>
    <cellStyle name="Comma 6 6 3 2" xfId="46315"/>
    <cellStyle name="Comma 6 6 3 2 2" xfId="46316"/>
    <cellStyle name="Comma 6 6 3 2 3" xfId="46317"/>
    <cellStyle name="Comma 6 6 3 3" xfId="46318"/>
    <cellStyle name="Comma 6 6 3 3 2" xfId="46319"/>
    <cellStyle name="Comma 6 6 3 3 3" xfId="46320"/>
    <cellStyle name="Comma 6 6 3 4" xfId="46321"/>
    <cellStyle name="Comma 6 6 3 4 2" xfId="46322"/>
    <cellStyle name="Comma 6 6 3 5" xfId="46323"/>
    <cellStyle name="Comma 6 6 3 6" xfId="46324"/>
    <cellStyle name="Comma 6 6 4" xfId="46325"/>
    <cellStyle name="Comma 6 6 4 2" xfId="46326"/>
    <cellStyle name="Comma 6 6 4 2 2" xfId="46327"/>
    <cellStyle name="Comma 6 6 4 2 3" xfId="46328"/>
    <cellStyle name="Comma 6 6 4 3" xfId="46329"/>
    <cellStyle name="Comma 6 6 4 3 2" xfId="46330"/>
    <cellStyle name="Comma 6 6 4 4" xfId="46331"/>
    <cellStyle name="Comma 6 6 4 5" xfId="46332"/>
    <cellStyle name="Comma 6 6 5" xfId="46333"/>
    <cellStyle name="Comma 6 6 5 2" xfId="46334"/>
    <cellStyle name="Comma 6 6 5 3" xfId="46335"/>
    <cellStyle name="Comma 6 6 6" xfId="46336"/>
    <cellStyle name="Comma 6 6 6 2" xfId="46337"/>
    <cellStyle name="Comma 6 6 6 3" xfId="46338"/>
    <cellStyle name="Comma 6 6 7" xfId="46339"/>
    <cellStyle name="Comma 6 6 7 2" xfId="46340"/>
    <cellStyle name="Comma 6 6 8" xfId="46341"/>
    <cellStyle name="Comma 6 6 9" xfId="46342"/>
    <cellStyle name="Comma 6 7" xfId="8397"/>
    <cellStyle name="Comma 6 7 10" xfId="46343"/>
    <cellStyle name="Comma 6 7 2" xfId="8398"/>
    <cellStyle name="Comma 6 7 2 2" xfId="46344"/>
    <cellStyle name="Comma 6 7 2 2 2" xfId="46345"/>
    <cellStyle name="Comma 6 7 2 2 3" xfId="46346"/>
    <cellStyle name="Comma 6 7 2 3" xfId="46347"/>
    <cellStyle name="Comma 6 7 2 3 2" xfId="46348"/>
    <cellStyle name="Comma 6 7 2 3 3" xfId="46349"/>
    <cellStyle name="Comma 6 7 2 4" xfId="46350"/>
    <cellStyle name="Comma 6 7 2 4 2" xfId="46351"/>
    <cellStyle name="Comma 6 7 2 5" xfId="46352"/>
    <cellStyle name="Comma 6 7 2 6" xfId="46353"/>
    <cellStyle name="Comma 6 7 2 7" xfId="46354"/>
    <cellStyle name="Comma 6 7 3" xfId="46355"/>
    <cellStyle name="Comma 6 7 3 2" xfId="46356"/>
    <cellStyle name="Comma 6 7 3 2 2" xfId="46357"/>
    <cellStyle name="Comma 6 7 3 2 3" xfId="46358"/>
    <cellStyle name="Comma 6 7 3 3" xfId="46359"/>
    <cellStyle name="Comma 6 7 3 3 2" xfId="46360"/>
    <cellStyle name="Comma 6 7 3 3 3" xfId="46361"/>
    <cellStyle name="Comma 6 7 3 4" xfId="46362"/>
    <cellStyle name="Comma 6 7 3 4 2" xfId="46363"/>
    <cellStyle name="Comma 6 7 3 5" xfId="46364"/>
    <cellStyle name="Comma 6 7 3 6" xfId="46365"/>
    <cellStyle name="Comma 6 7 4" xfId="46366"/>
    <cellStyle name="Comma 6 7 4 2" xfId="46367"/>
    <cellStyle name="Comma 6 7 4 2 2" xfId="46368"/>
    <cellStyle name="Comma 6 7 4 2 3" xfId="46369"/>
    <cellStyle name="Comma 6 7 4 3" xfId="46370"/>
    <cellStyle name="Comma 6 7 4 3 2" xfId="46371"/>
    <cellStyle name="Comma 6 7 4 4" xfId="46372"/>
    <cellStyle name="Comma 6 7 4 5" xfId="46373"/>
    <cellStyle name="Comma 6 7 5" xfId="46374"/>
    <cellStyle name="Comma 6 7 5 2" xfId="46375"/>
    <cellStyle name="Comma 6 7 5 3" xfId="46376"/>
    <cellStyle name="Comma 6 7 6" xfId="46377"/>
    <cellStyle name="Comma 6 7 6 2" xfId="46378"/>
    <cellStyle name="Comma 6 7 6 3" xfId="46379"/>
    <cellStyle name="Comma 6 7 7" xfId="46380"/>
    <cellStyle name="Comma 6 7 7 2" xfId="46381"/>
    <cellStyle name="Comma 6 7 8" xfId="46382"/>
    <cellStyle name="Comma 6 7 9" xfId="46383"/>
    <cellStyle name="Comma 6 8" xfId="8399"/>
    <cellStyle name="Comma 6 8 2" xfId="46384"/>
    <cellStyle name="Comma 6 8 2 2" xfId="46385"/>
    <cellStyle name="Comma 6 8 2 3" xfId="46386"/>
    <cellStyle name="Comma 6 8 3" xfId="46387"/>
    <cellStyle name="Comma 6 8 3 2" xfId="46388"/>
    <cellStyle name="Comma 6 8 3 3" xfId="46389"/>
    <cellStyle name="Comma 6 8 4" xfId="46390"/>
    <cellStyle name="Comma 6 8 4 2" xfId="46391"/>
    <cellStyle name="Comma 6 8 5" xfId="46392"/>
    <cellStyle name="Comma 6 8 6" xfId="46393"/>
    <cellStyle name="Comma 6 8 7" xfId="46394"/>
    <cellStyle name="Comma 6 9" xfId="46395"/>
    <cellStyle name="Comma 6 9 2" xfId="46396"/>
    <cellStyle name="Comma 6 9 2 2" xfId="46397"/>
    <cellStyle name="Comma 6 9 2 3" xfId="46398"/>
    <cellStyle name="Comma 6 9 3" xfId="46399"/>
    <cellStyle name="Comma 6 9 3 2" xfId="46400"/>
    <cellStyle name="Comma 6 9 3 3" xfId="46401"/>
    <cellStyle name="Comma 6 9 4" xfId="46402"/>
    <cellStyle name="Comma 6 9 4 2" xfId="46403"/>
    <cellStyle name="Comma 6 9 5" xfId="46404"/>
    <cellStyle name="Comma 6 9 6" xfId="46405"/>
    <cellStyle name="Comma 60" xfId="3689"/>
    <cellStyle name="Comma 61" xfId="3690"/>
    <cellStyle name="Comma 62" xfId="3691"/>
    <cellStyle name="Comma 62 2" xfId="3692"/>
    <cellStyle name="Comma 62 2 2" xfId="3693"/>
    <cellStyle name="Comma 62 3" xfId="3694"/>
    <cellStyle name="Comma 63" xfId="3695"/>
    <cellStyle name="Comma 63 2" xfId="3696"/>
    <cellStyle name="Comma 63 2 2" xfId="3697"/>
    <cellStyle name="Comma 63 3" xfId="3698"/>
    <cellStyle name="Comma 64" xfId="3699"/>
    <cellStyle name="Comma 64 2" xfId="3700"/>
    <cellStyle name="Comma 64 2 2" xfId="3701"/>
    <cellStyle name="Comma 64 3" xfId="3702"/>
    <cellStyle name="Comma 65" xfId="3703"/>
    <cellStyle name="Comma 65 2" xfId="3704"/>
    <cellStyle name="Comma 66" xfId="3705"/>
    <cellStyle name="Comma 66 2" xfId="3706"/>
    <cellStyle name="Comma 67" xfId="3707"/>
    <cellStyle name="Comma 68" xfId="3708"/>
    <cellStyle name="Comma 69" xfId="3709"/>
    <cellStyle name="Comma 7" xfId="3710"/>
    <cellStyle name="Comma 7 10" xfId="9096"/>
    <cellStyle name="Comma 7 10 2" xfId="46406"/>
    <cellStyle name="Comma 7 10 2 2" xfId="46407"/>
    <cellStyle name="Comma 7 10 2 3" xfId="46408"/>
    <cellStyle name="Comma 7 10 3" xfId="46409"/>
    <cellStyle name="Comma 7 10 3 2" xfId="46410"/>
    <cellStyle name="Comma 7 10 4" xfId="46411"/>
    <cellStyle name="Comma 7 10 5" xfId="46412"/>
    <cellStyle name="Comma 7 11" xfId="46413"/>
    <cellStyle name="Comma 7 11 2" xfId="46414"/>
    <cellStyle name="Comma 7 11 3" xfId="46415"/>
    <cellStyle name="Comma 7 12" xfId="46416"/>
    <cellStyle name="Comma 7 12 2" xfId="46417"/>
    <cellStyle name="Comma 7 12 3" xfId="46418"/>
    <cellStyle name="Comma 7 13" xfId="46419"/>
    <cellStyle name="Comma 7 13 2" xfId="46420"/>
    <cellStyle name="Comma 7 14" xfId="46421"/>
    <cellStyle name="Comma 7 15" xfId="46422"/>
    <cellStyle name="Comma 7 16" xfId="46423"/>
    <cellStyle name="Comma 7 2" xfId="3711"/>
    <cellStyle name="Comma 7 2 10" xfId="46424"/>
    <cellStyle name="Comma 7 2 10 2" xfId="46425"/>
    <cellStyle name="Comma 7 2 10 3" xfId="46426"/>
    <cellStyle name="Comma 7 2 11" xfId="46427"/>
    <cellStyle name="Comma 7 2 11 2" xfId="46428"/>
    <cellStyle name="Comma 7 2 11 3" xfId="46429"/>
    <cellStyle name="Comma 7 2 12" xfId="46430"/>
    <cellStyle name="Comma 7 2 12 2" xfId="46431"/>
    <cellStyle name="Comma 7 2 13" xfId="46432"/>
    <cellStyle name="Comma 7 2 14" xfId="46433"/>
    <cellStyle name="Comma 7 2 15" xfId="46434"/>
    <cellStyle name="Comma 7 2 2" xfId="3712"/>
    <cellStyle name="Comma 7 2 2 10" xfId="46435"/>
    <cellStyle name="Comma 7 2 2 10 2" xfId="46436"/>
    <cellStyle name="Comma 7 2 2 10 3" xfId="46437"/>
    <cellStyle name="Comma 7 2 2 11" xfId="46438"/>
    <cellStyle name="Comma 7 2 2 11 2" xfId="46439"/>
    <cellStyle name="Comma 7 2 2 12" xfId="46440"/>
    <cellStyle name="Comma 7 2 2 13" xfId="46441"/>
    <cellStyle name="Comma 7 2 2 14" xfId="46442"/>
    <cellStyle name="Comma 7 2 2 2" xfId="3713"/>
    <cellStyle name="Comma 7 2 2 2 10" xfId="46443"/>
    <cellStyle name="Comma 7 2 2 2 10 2" xfId="46444"/>
    <cellStyle name="Comma 7 2 2 2 11" xfId="46445"/>
    <cellStyle name="Comma 7 2 2 2 12" xfId="46446"/>
    <cellStyle name="Comma 7 2 2 2 13" xfId="46447"/>
    <cellStyle name="Comma 7 2 2 2 2" xfId="9097"/>
    <cellStyle name="Comma 7 2 2 2 2 10" xfId="46448"/>
    <cellStyle name="Comma 7 2 2 2 2 2" xfId="46449"/>
    <cellStyle name="Comma 7 2 2 2 2 2 2" xfId="46450"/>
    <cellStyle name="Comma 7 2 2 2 2 2 2 2" xfId="46451"/>
    <cellStyle name="Comma 7 2 2 2 2 2 2 2 2" xfId="46452"/>
    <cellStyle name="Comma 7 2 2 2 2 2 2 2 3" xfId="46453"/>
    <cellStyle name="Comma 7 2 2 2 2 2 2 3" xfId="46454"/>
    <cellStyle name="Comma 7 2 2 2 2 2 2 3 2" xfId="46455"/>
    <cellStyle name="Comma 7 2 2 2 2 2 2 3 3" xfId="46456"/>
    <cellStyle name="Comma 7 2 2 2 2 2 2 4" xfId="46457"/>
    <cellStyle name="Comma 7 2 2 2 2 2 2 4 2" xfId="46458"/>
    <cellStyle name="Comma 7 2 2 2 2 2 2 5" xfId="46459"/>
    <cellStyle name="Comma 7 2 2 2 2 2 2 6" xfId="46460"/>
    <cellStyle name="Comma 7 2 2 2 2 2 3" xfId="46461"/>
    <cellStyle name="Comma 7 2 2 2 2 2 3 2" xfId="46462"/>
    <cellStyle name="Comma 7 2 2 2 2 2 3 2 2" xfId="46463"/>
    <cellStyle name="Comma 7 2 2 2 2 2 3 2 3" xfId="46464"/>
    <cellStyle name="Comma 7 2 2 2 2 2 3 3" xfId="46465"/>
    <cellStyle name="Comma 7 2 2 2 2 2 3 3 2" xfId="46466"/>
    <cellStyle name="Comma 7 2 2 2 2 2 3 3 3" xfId="46467"/>
    <cellStyle name="Comma 7 2 2 2 2 2 3 4" xfId="46468"/>
    <cellStyle name="Comma 7 2 2 2 2 2 3 4 2" xfId="46469"/>
    <cellStyle name="Comma 7 2 2 2 2 2 3 5" xfId="46470"/>
    <cellStyle name="Comma 7 2 2 2 2 2 3 6" xfId="46471"/>
    <cellStyle name="Comma 7 2 2 2 2 2 4" xfId="46472"/>
    <cellStyle name="Comma 7 2 2 2 2 2 4 2" xfId="46473"/>
    <cellStyle name="Comma 7 2 2 2 2 2 4 2 2" xfId="46474"/>
    <cellStyle name="Comma 7 2 2 2 2 2 4 2 3" xfId="46475"/>
    <cellStyle name="Comma 7 2 2 2 2 2 4 3" xfId="46476"/>
    <cellStyle name="Comma 7 2 2 2 2 2 4 3 2" xfId="46477"/>
    <cellStyle name="Comma 7 2 2 2 2 2 4 4" xfId="46478"/>
    <cellStyle name="Comma 7 2 2 2 2 2 4 5" xfId="46479"/>
    <cellStyle name="Comma 7 2 2 2 2 2 5" xfId="46480"/>
    <cellStyle name="Comma 7 2 2 2 2 2 5 2" xfId="46481"/>
    <cellStyle name="Comma 7 2 2 2 2 2 5 3" xfId="46482"/>
    <cellStyle name="Comma 7 2 2 2 2 2 6" xfId="46483"/>
    <cellStyle name="Comma 7 2 2 2 2 2 6 2" xfId="46484"/>
    <cellStyle name="Comma 7 2 2 2 2 2 6 3" xfId="46485"/>
    <cellStyle name="Comma 7 2 2 2 2 2 7" xfId="46486"/>
    <cellStyle name="Comma 7 2 2 2 2 2 7 2" xfId="46487"/>
    <cellStyle name="Comma 7 2 2 2 2 2 8" xfId="46488"/>
    <cellStyle name="Comma 7 2 2 2 2 2 9" xfId="46489"/>
    <cellStyle name="Comma 7 2 2 2 2 3" xfId="46490"/>
    <cellStyle name="Comma 7 2 2 2 2 3 2" xfId="46491"/>
    <cellStyle name="Comma 7 2 2 2 2 3 2 2" xfId="46492"/>
    <cellStyle name="Comma 7 2 2 2 2 3 2 3" xfId="46493"/>
    <cellStyle name="Comma 7 2 2 2 2 3 3" xfId="46494"/>
    <cellStyle name="Comma 7 2 2 2 2 3 3 2" xfId="46495"/>
    <cellStyle name="Comma 7 2 2 2 2 3 3 3" xfId="46496"/>
    <cellStyle name="Comma 7 2 2 2 2 3 4" xfId="46497"/>
    <cellStyle name="Comma 7 2 2 2 2 3 4 2" xfId="46498"/>
    <cellStyle name="Comma 7 2 2 2 2 3 5" xfId="46499"/>
    <cellStyle name="Comma 7 2 2 2 2 3 6" xfId="46500"/>
    <cellStyle name="Comma 7 2 2 2 2 4" xfId="46501"/>
    <cellStyle name="Comma 7 2 2 2 2 4 2" xfId="46502"/>
    <cellStyle name="Comma 7 2 2 2 2 4 2 2" xfId="46503"/>
    <cellStyle name="Comma 7 2 2 2 2 4 2 3" xfId="46504"/>
    <cellStyle name="Comma 7 2 2 2 2 4 3" xfId="46505"/>
    <cellStyle name="Comma 7 2 2 2 2 4 3 2" xfId="46506"/>
    <cellStyle name="Comma 7 2 2 2 2 4 3 3" xfId="46507"/>
    <cellStyle name="Comma 7 2 2 2 2 4 4" xfId="46508"/>
    <cellStyle name="Comma 7 2 2 2 2 4 4 2" xfId="46509"/>
    <cellStyle name="Comma 7 2 2 2 2 4 5" xfId="46510"/>
    <cellStyle name="Comma 7 2 2 2 2 4 6" xfId="46511"/>
    <cellStyle name="Comma 7 2 2 2 2 5" xfId="46512"/>
    <cellStyle name="Comma 7 2 2 2 2 5 2" xfId="46513"/>
    <cellStyle name="Comma 7 2 2 2 2 5 2 2" xfId="46514"/>
    <cellStyle name="Comma 7 2 2 2 2 5 2 3" xfId="46515"/>
    <cellStyle name="Comma 7 2 2 2 2 5 3" xfId="46516"/>
    <cellStyle name="Comma 7 2 2 2 2 5 3 2" xfId="46517"/>
    <cellStyle name="Comma 7 2 2 2 2 5 4" xfId="46518"/>
    <cellStyle name="Comma 7 2 2 2 2 5 5" xfId="46519"/>
    <cellStyle name="Comma 7 2 2 2 2 6" xfId="46520"/>
    <cellStyle name="Comma 7 2 2 2 2 6 2" xfId="46521"/>
    <cellStyle name="Comma 7 2 2 2 2 6 3" xfId="46522"/>
    <cellStyle name="Comma 7 2 2 2 2 7" xfId="46523"/>
    <cellStyle name="Comma 7 2 2 2 2 7 2" xfId="46524"/>
    <cellStyle name="Comma 7 2 2 2 2 7 3" xfId="46525"/>
    <cellStyle name="Comma 7 2 2 2 2 8" xfId="46526"/>
    <cellStyle name="Comma 7 2 2 2 2 8 2" xfId="46527"/>
    <cellStyle name="Comma 7 2 2 2 2 9" xfId="46528"/>
    <cellStyle name="Comma 7 2 2 2 3" xfId="9098"/>
    <cellStyle name="Comma 7 2 2 2 3 2" xfId="46529"/>
    <cellStyle name="Comma 7 2 2 2 3 2 2" xfId="46530"/>
    <cellStyle name="Comma 7 2 2 2 3 2 2 2" xfId="46531"/>
    <cellStyle name="Comma 7 2 2 2 3 2 2 3" xfId="46532"/>
    <cellStyle name="Comma 7 2 2 2 3 2 3" xfId="46533"/>
    <cellStyle name="Comma 7 2 2 2 3 2 3 2" xfId="46534"/>
    <cellStyle name="Comma 7 2 2 2 3 2 3 3" xfId="46535"/>
    <cellStyle name="Comma 7 2 2 2 3 2 4" xfId="46536"/>
    <cellStyle name="Comma 7 2 2 2 3 2 4 2" xfId="46537"/>
    <cellStyle name="Comma 7 2 2 2 3 2 5" xfId="46538"/>
    <cellStyle name="Comma 7 2 2 2 3 2 6" xfId="46539"/>
    <cellStyle name="Comma 7 2 2 2 3 3" xfId="46540"/>
    <cellStyle name="Comma 7 2 2 2 3 3 2" xfId="46541"/>
    <cellStyle name="Comma 7 2 2 2 3 3 2 2" xfId="46542"/>
    <cellStyle name="Comma 7 2 2 2 3 3 2 3" xfId="46543"/>
    <cellStyle name="Comma 7 2 2 2 3 3 3" xfId="46544"/>
    <cellStyle name="Comma 7 2 2 2 3 3 3 2" xfId="46545"/>
    <cellStyle name="Comma 7 2 2 2 3 3 3 3" xfId="46546"/>
    <cellStyle name="Comma 7 2 2 2 3 3 4" xfId="46547"/>
    <cellStyle name="Comma 7 2 2 2 3 3 4 2" xfId="46548"/>
    <cellStyle name="Comma 7 2 2 2 3 3 5" xfId="46549"/>
    <cellStyle name="Comma 7 2 2 2 3 3 6" xfId="46550"/>
    <cellStyle name="Comma 7 2 2 2 3 4" xfId="46551"/>
    <cellStyle name="Comma 7 2 2 2 3 4 2" xfId="46552"/>
    <cellStyle name="Comma 7 2 2 2 3 4 2 2" xfId="46553"/>
    <cellStyle name="Comma 7 2 2 2 3 4 2 3" xfId="46554"/>
    <cellStyle name="Comma 7 2 2 2 3 4 3" xfId="46555"/>
    <cellStyle name="Comma 7 2 2 2 3 4 3 2" xfId="46556"/>
    <cellStyle name="Comma 7 2 2 2 3 4 4" xfId="46557"/>
    <cellStyle name="Comma 7 2 2 2 3 4 5" xfId="46558"/>
    <cellStyle name="Comma 7 2 2 2 3 5" xfId="46559"/>
    <cellStyle name="Comma 7 2 2 2 3 5 2" xfId="46560"/>
    <cellStyle name="Comma 7 2 2 2 3 5 3" xfId="46561"/>
    <cellStyle name="Comma 7 2 2 2 3 6" xfId="46562"/>
    <cellStyle name="Comma 7 2 2 2 3 6 2" xfId="46563"/>
    <cellStyle name="Comma 7 2 2 2 3 6 3" xfId="46564"/>
    <cellStyle name="Comma 7 2 2 2 3 7" xfId="46565"/>
    <cellStyle name="Comma 7 2 2 2 3 7 2" xfId="46566"/>
    <cellStyle name="Comma 7 2 2 2 3 8" xfId="46567"/>
    <cellStyle name="Comma 7 2 2 2 3 9" xfId="46568"/>
    <cellStyle name="Comma 7 2 2 2 4" xfId="46569"/>
    <cellStyle name="Comma 7 2 2 2 4 2" xfId="46570"/>
    <cellStyle name="Comma 7 2 2 2 4 2 2" xfId="46571"/>
    <cellStyle name="Comma 7 2 2 2 4 2 2 2" xfId="46572"/>
    <cellStyle name="Comma 7 2 2 2 4 2 2 3" xfId="46573"/>
    <cellStyle name="Comma 7 2 2 2 4 2 3" xfId="46574"/>
    <cellStyle name="Comma 7 2 2 2 4 2 3 2" xfId="46575"/>
    <cellStyle name="Comma 7 2 2 2 4 2 3 3" xfId="46576"/>
    <cellStyle name="Comma 7 2 2 2 4 2 4" xfId="46577"/>
    <cellStyle name="Comma 7 2 2 2 4 2 4 2" xfId="46578"/>
    <cellStyle name="Comma 7 2 2 2 4 2 5" xfId="46579"/>
    <cellStyle name="Comma 7 2 2 2 4 2 6" xfId="46580"/>
    <cellStyle name="Comma 7 2 2 2 4 3" xfId="46581"/>
    <cellStyle name="Comma 7 2 2 2 4 3 2" xfId="46582"/>
    <cellStyle name="Comma 7 2 2 2 4 3 2 2" xfId="46583"/>
    <cellStyle name="Comma 7 2 2 2 4 3 2 3" xfId="46584"/>
    <cellStyle name="Comma 7 2 2 2 4 3 3" xfId="46585"/>
    <cellStyle name="Comma 7 2 2 2 4 3 3 2" xfId="46586"/>
    <cellStyle name="Comma 7 2 2 2 4 3 3 3" xfId="46587"/>
    <cellStyle name="Comma 7 2 2 2 4 3 4" xfId="46588"/>
    <cellStyle name="Comma 7 2 2 2 4 3 4 2" xfId="46589"/>
    <cellStyle name="Comma 7 2 2 2 4 3 5" xfId="46590"/>
    <cellStyle name="Comma 7 2 2 2 4 3 6" xfId="46591"/>
    <cellStyle name="Comma 7 2 2 2 4 4" xfId="46592"/>
    <cellStyle name="Comma 7 2 2 2 4 4 2" xfId="46593"/>
    <cellStyle name="Comma 7 2 2 2 4 4 2 2" xfId="46594"/>
    <cellStyle name="Comma 7 2 2 2 4 4 2 3" xfId="46595"/>
    <cellStyle name="Comma 7 2 2 2 4 4 3" xfId="46596"/>
    <cellStyle name="Comma 7 2 2 2 4 4 3 2" xfId="46597"/>
    <cellStyle name="Comma 7 2 2 2 4 4 4" xfId="46598"/>
    <cellStyle name="Comma 7 2 2 2 4 4 5" xfId="46599"/>
    <cellStyle name="Comma 7 2 2 2 4 5" xfId="46600"/>
    <cellStyle name="Comma 7 2 2 2 4 5 2" xfId="46601"/>
    <cellStyle name="Comma 7 2 2 2 4 5 3" xfId="46602"/>
    <cellStyle name="Comma 7 2 2 2 4 6" xfId="46603"/>
    <cellStyle name="Comma 7 2 2 2 4 6 2" xfId="46604"/>
    <cellStyle name="Comma 7 2 2 2 4 6 3" xfId="46605"/>
    <cellStyle name="Comma 7 2 2 2 4 7" xfId="46606"/>
    <cellStyle name="Comma 7 2 2 2 4 7 2" xfId="46607"/>
    <cellStyle name="Comma 7 2 2 2 4 8" xfId="46608"/>
    <cellStyle name="Comma 7 2 2 2 4 9" xfId="46609"/>
    <cellStyle name="Comma 7 2 2 2 5" xfId="46610"/>
    <cellStyle name="Comma 7 2 2 2 5 2" xfId="46611"/>
    <cellStyle name="Comma 7 2 2 2 5 2 2" xfId="46612"/>
    <cellStyle name="Comma 7 2 2 2 5 2 3" xfId="46613"/>
    <cellStyle name="Comma 7 2 2 2 5 3" xfId="46614"/>
    <cellStyle name="Comma 7 2 2 2 5 3 2" xfId="46615"/>
    <cellStyle name="Comma 7 2 2 2 5 3 3" xfId="46616"/>
    <cellStyle name="Comma 7 2 2 2 5 4" xfId="46617"/>
    <cellStyle name="Comma 7 2 2 2 5 4 2" xfId="46618"/>
    <cellStyle name="Comma 7 2 2 2 5 5" xfId="46619"/>
    <cellStyle name="Comma 7 2 2 2 5 6" xfId="46620"/>
    <cellStyle name="Comma 7 2 2 2 6" xfId="46621"/>
    <cellStyle name="Comma 7 2 2 2 6 2" xfId="46622"/>
    <cellStyle name="Comma 7 2 2 2 6 2 2" xfId="46623"/>
    <cellStyle name="Comma 7 2 2 2 6 2 3" xfId="46624"/>
    <cellStyle name="Comma 7 2 2 2 6 3" xfId="46625"/>
    <cellStyle name="Comma 7 2 2 2 6 3 2" xfId="46626"/>
    <cellStyle name="Comma 7 2 2 2 6 3 3" xfId="46627"/>
    <cellStyle name="Comma 7 2 2 2 6 4" xfId="46628"/>
    <cellStyle name="Comma 7 2 2 2 6 4 2" xfId="46629"/>
    <cellStyle name="Comma 7 2 2 2 6 5" xfId="46630"/>
    <cellStyle name="Comma 7 2 2 2 6 6" xfId="46631"/>
    <cellStyle name="Comma 7 2 2 2 7" xfId="46632"/>
    <cellStyle name="Comma 7 2 2 2 7 2" xfId="46633"/>
    <cellStyle name="Comma 7 2 2 2 7 2 2" xfId="46634"/>
    <cellStyle name="Comma 7 2 2 2 7 2 3" xfId="46635"/>
    <cellStyle name="Comma 7 2 2 2 7 3" xfId="46636"/>
    <cellStyle name="Comma 7 2 2 2 7 3 2" xfId="46637"/>
    <cellStyle name="Comma 7 2 2 2 7 4" xfId="46638"/>
    <cellStyle name="Comma 7 2 2 2 7 5" xfId="46639"/>
    <cellStyle name="Comma 7 2 2 2 8" xfId="46640"/>
    <cellStyle name="Comma 7 2 2 2 8 2" xfId="46641"/>
    <cellStyle name="Comma 7 2 2 2 8 3" xfId="46642"/>
    <cellStyle name="Comma 7 2 2 2 9" xfId="46643"/>
    <cellStyle name="Comma 7 2 2 2 9 2" xfId="46644"/>
    <cellStyle name="Comma 7 2 2 2 9 3" xfId="46645"/>
    <cellStyle name="Comma 7 2 2 3" xfId="9099"/>
    <cellStyle name="Comma 7 2 2 3 10" xfId="46646"/>
    <cellStyle name="Comma 7 2 2 3 2" xfId="46647"/>
    <cellStyle name="Comma 7 2 2 3 2 2" xfId="46648"/>
    <cellStyle name="Comma 7 2 2 3 2 2 2" xfId="46649"/>
    <cellStyle name="Comma 7 2 2 3 2 2 2 2" xfId="46650"/>
    <cellStyle name="Comma 7 2 2 3 2 2 2 3" xfId="46651"/>
    <cellStyle name="Comma 7 2 2 3 2 2 3" xfId="46652"/>
    <cellStyle name="Comma 7 2 2 3 2 2 3 2" xfId="46653"/>
    <cellStyle name="Comma 7 2 2 3 2 2 3 3" xfId="46654"/>
    <cellStyle name="Comma 7 2 2 3 2 2 4" xfId="46655"/>
    <cellStyle name="Comma 7 2 2 3 2 2 4 2" xfId="46656"/>
    <cellStyle name="Comma 7 2 2 3 2 2 5" xfId="46657"/>
    <cellStyle name="Comma 7 2 2 3 2 2 6" xfId="46658"/>
    <cellStyle name="Comma 7 2 2 3 2 3" xfId="46659"/>
    <cellStyle name="Comma 7 2 2 3 2 3 2" xfId="46660"/>
    <cellStyle name="Comma 7 2 2 3 2 3 2 2" xfId="46661"/>
    <cellStyle name="Comma 7 2 2 3 2 3 2 3" xfId="46662"/>
    <cellStyle name="Comma 7 2 2 3 2 3 3" xfId="46663"/>
    <cellStyle name="Comma 7 2 2 3 2 3 3 2" xfId="46664"/>
    <cellStyle name="Comma 7 2 2 3 2 3 3 3" xfId="46665"/>
    <cellStyle name="Comma 7 2 2 3 2 3 4" xfId="46666"/>
    <cellStyle name="Comma 7 2 2 3 2 3 4 2" xfId="46667"/>
    <cellStyle name="Comma 7 2 2 3 2 3 5" xfId="46668"/>
    <cellStyle name="Comma 7 2 2 3 2 3 6" xfId="46669"/>
    <cellStyle name="Comma 7 2 2 3 2 4" xfId="46670"/>
    <cellStyle name="Comma 7 2 2 3 2 4 2" xfId="46671"/>
    <cellStyle name="Comma 7 2 2 3 2 4 2 2" xfId="46672"/>
    <cellStyle name="Comma 7 2 2 3 2 4 2 3" xfId="46673"/>
    <cellStyle name="Comma 7 2 2 3 2 4 3" xfId="46674"/>
    <cellStyle name="Comma 7 2 2 3 2 4 3 2" xfId="46675"/>
    <cellStyle name="Comma 7 2 2 3 2 4 4" xfId="46676"/>
    <cellStyle name="Comma 7 2 2 3 2 4 5" xfId="46677"/>
    <cellStyle name="Comma 7 2 2 3 2 5" xfId="46678"/>
    <cellStyle name="Comma 7 2 2 3 2 5 2" xfId="46679"/>
    <cellStyle name="Comma 7 2 2 3 2 5 3" xfId="46680"/>
    <cellStyle name="Comma 7 2 2 3 2 6" xfId="46681"/>
    <cellStyle name="Comma 7 2 2 3 2 6 2" xfId="46682"/>
    <cellStyle name="Comma 7 2 2 3 2 6 3" xfId="46683"/>
    <cellStyle name="Comma 7 2 2 3 2 7" xfId="46684"/>
    <cellStyle name="Comma 7 2 2 3 2 7 2" xfId="46685"/>
    <cellStyle name="Comma 7 2 2 3 2 8" xfId="46686"/>
    <cellStyle name="Comma 7 2 2 3 2 9" xfId="46687"/>
    <cellStyle name="Comma 7 2 2 3 3" xfId="46688"/>
    <cellStyle name="Comma 7 2 2 3 3 2" xfId="46689"/>
    <cellStyle name="Comma 7 2 2 3 3 2 2" xfId="46690"/>
    <cellStyle name="Comma 7 2 2 3 3 2 3" xfId="46691"/>
    <cellStyle name="Comma 7 2 2 3 3 3" xfId="46692"/>
    <cellStyle name="Comma 7 2 2 3 3 3 2" xfId="46693"/>
    <cellStyle name="Comma 7 2 2 3 3 3 3" xfId="46694"/>
    <cellStyle name="Comma 7 2 2 3 3 4" xfId="46695"/>
    <cellStyle name="Comma 7 2 2 3 3 4 2" xfId="46696"/>
    <cellStyle name="Comma 7 2 2 3 3 5" xfId="46697"/>
    <cellStyle name="Comma 7 2 2 3 3 6" xfId="46698"/>
    <cellStyle name="Comma 7 2 2 3 4" xfId="46699"/>
    <cellStyle name="Comma 7 2 2 3 4 2" xfId="46700"/>
    <cellStyle name="Comma 7 2 2 3 4 2 2" xfId="46701"/>
    <cellStyle name="Comma 7 2 2 3 4 2 3" xfId="46702"/>
    <cellStyle name="Comma 7 2 2 3 4 3" xfId="46703"/>
    <cellStyle name="Comma 7 2 2 3 4 3 2" xfId="46704"/>
    <cellStyle name="Comma 7 2 2 3 4 3 3" xfId="46705"/>
    <cellStyle name="Comma 7 2 2 3 4 4" xfId="46706"/>
    <cellStyle name="Comma 7 2 2 3 4 4 2" xfId="46707"/>
    <cellStyle name="Comma 7 2 2 3 4 5" xfId="46708"/>
    <cellStyle name="Comma 7 2 2 3 4 6" xfId="46709"/>
    <cellStyle name="Comma 7 2 2 3 5" xfId="46710"/>
    <cellStyle name="Comma 7 2 2 3 5 2" xfId="46711"/>
    <cellStyle name="Comma 7 2 2 3 5 2 2" xfId="46712"/>
    <cellStyle name="Comma 7 2 2 3 5 2 3" xfId="46713"/>
    <cellStyle name="Comma 7 2 2 3 5 3" xfId="46714"/>
    <cellStyle name="Comma 7 2 2 3 5 3 2" xfId="46715"/>
    <cellStyle name="Comma 7 2 2 3 5 4" xfId="46716"/>
    <cellStyle name="Comma 7 2 2 3 5 5" xfId="46717"/>
    <cellStyle name="Comma 7 2 2 3 6" xfId="46718"/>
    <cellStyle name="Comma 7 2 2 3 6 2" xfId="46719"/>
    <cellStyle name="Comma 7 2 2 3 6 3" xfId="46720"/>
    <cellStyle name="Comma 7 2 2 3 7" xfId="46721"/>
    <cellStyle name="Comma 7 2 2 3 7 2" xfId="46722"/>
    <cellStyle name="Comma 7 2 2 3 7 3" xfId="46723"/>
    <cellStyle name="Comma 7 2 2 3 8" xfId="46724"/>
    <cellStyle name="Comma 7 2 2 3 8 2" xfId="46725"/>
    <cellStyle name="Comma 7 2 2 3 9" xfId="46726"/>
    <cellStyle name="Comma 7 2 2 4" xfId="9100"/>
    <cellStyle name="Comma 7 2 2 4 2" xfId="46727"/>
    <cellStyle name="Comma 7 2 2 4 2 2" xfId="46728"/>
    <cellStyle name="Comma 7 2 2 4 2 2 2" xfId="46729"/>
    <cellStyle name="Comma 7 2 2 4 2 2 3" xfId="46730"/>
    <cellStyle name="Comma 7 2 2 4 2 3" xfId="46731"/>
    <cellStyle name="Comma 7 2 2 4 2 3 2" xfId="46732"/>
    <cellStyle name="Comma 7 2 2 4 2 3 3" xfId="46733"/>
    <cellStyle name="Comma 7 2 2 4 2 4" xfId="46734"/>
    <cellStyle name="Comma 7 2 2 4 2 4 2" xfId="46735"/>
    <cellStyle name="Comma 7 2 2 4 2 5" xfId="46736"/>
    <cellStyle name="Comma 7 2 2 4 2 6" xfId="46737"/>
    <cellStyle name="Comma 7 2 2 4 3" xfId="46738"/>
    <cellStyle name="Comma 7 2 2 4 3 2" xfId="46739"/>
    <cellStyle name="Comma 7 2 2 4 3 2 2" xfId="46740"/>
    <cellStyle name="Comma 7 2 2 4 3 2 3" xfId="46741"/>
    <cellStyle name="Comma 7 2 2 4 3 3" xfId="46742"/>
    <cellStyle name="Comma 7 2 2 4 3 3 2" xfId="46743"/>
    <cellStyle name="Comma 7 2 2 4 3 3 3" xfId="46744"/>
    <cellStyle name="Comma 7 2 2 4 3 4" xfId="46745"/>
    <cellStyle name="Comma 7 2 2 4 3 4 2" xfId="46746"/>
    <cellStyle name="Comma 7 2 2 4 3 5" xfId="46747"/>
    <cellStyle name="Comma 7 2 2 4 3 6" xfId="46748"/>
    <cellStyle name="Comma 7 2 2 4 4" xfId="46749"/>
    <cellStyle name="Comma 7 2 2 4 4 2" xfId="46750"/>
    <cellStyle name="Comma 7 2 2 4 4 2 2" xfId="46751"/>
    <cellStyle name="Comma 7 2 2 4 4 2 3" xfId="46752"/>
    <cellStyle name="Comma 7 2 2 4 4 3" xfId="46753"/>
    <cellStyle name="Comma 7 2 2 4 4 3 2" xfId="46754"/>
    <cellStyle name="Comma 7 2 2 4 4 4" xfId="46755"/>
    <cellStyle name="Comma 7 2 2 4 4 5" xfId="46756"/>
    <cellStyle name="Comma 7 2 2 4 5" xfId="46757"/>
    <cellStyle name="Comma 7 2 2 4 5 2" xfId="46758"/>
    <cellStyle name="Comma 7 2 2 4 5 3" xfId="46759"/>
    <cellStyle name="Comma 7 2 2 4 6" xfId="46760"/>
    <cellStyle name="Comma 7 2 2 4 6 2" xfId="46761"/>
    <cellStyle name="Comma 7 2 2 4 6 3" xfId="46762"/>
    <cellStyle name="Comma 7 2 2 4 7" xfId="46763"/>
    <cellStyle name="Comma 7 2 2 4 7 2" xfId="46764"/>
    <cellStyle name="Comma 7 2 2 4 8" xfId="46765"/>
    <cellStyle name="Comma 7 2 2 4 9" xfId="46766"/>
    <cellStyle name="Comma 7 2 2 5" xfId="46767"/>
    <cellStyle name="Comma 7 2 2 5 2" xfId="46768"/>
    <cellStyle name="Comma 7 2 2 5 2 2" xfId="46769"/>
    <cellStyle name="Comma 7 2 2 5 2 2 2" xfId="46770"/>
    <cellStyle name="Comma 7 2 2 5 2 2 3" xfId="46771"/>
    <cellStyle name="Comma 7 2 2 5 2 3" xfId="46772"/>
    <cellStyle name="Comma 7 2 2 5 2 3 2" xfId="46773"/>
    <cellStyle name="Comma 7 2 2 5 2 3 3" xfId="46774"/>
    <cellStyle name="Comma 7 2 2 5 2 4" xfId="46775"/>
    <cellStyle name="Comma 7 2 2 5 2 4 2" xfId="46776"/>
    <cellStyle name="Comma 7 2 2 5 2 5" xfId="46777"/>
    <cellStyle name="Comma 7 2 2 5 2 6" xfId="46778"/>
    <cellStyle name="Comma 7 2 2 5 3" xfId="46779"/>
    <cellStyle name="Comma 7 2 2 5 3 2" xfId="46780"/>
    <cellStyle name="Comma 7 2 2 5 3 2 2" xfId="46781"/>
    <cellStyle name="Comma 7 2 2 5 3 2 3" xfId="46782"/>
    <cellStyle name="Comma 7 2 2 5 3 3" xfId="46783"/>
    <cellStyle name="Comma 7 2 2 5 3 3 2" xfId="46784"/>
    <cellStyle name="Comma 7 2 2 5 3 3 3" xfId="46785"/>
    <cellStyle name="Comma 7 2 2 5 3 4" xfId="46786"/>
    <cellStyle name="Comma 7 2 2 5 3 4 2" xfId="46787"/>
    <cellStyle name="Comma 7 2 2 5 3 5" xfId="46788"/>
    <cellStyle name="Comma 7 2 2 5 3 6" xfId="46789"/>
    <cellStyle name="Comma 7 2 2 5 4" xfId="46790"/>
    <cellStyle name="Comma 7 2 2 5 4 2" xfId="46791"/>
    <cellStyle name="Comma 7 2 2 5 4 2 2" xfId="46792"/>
    <cellStyle name="Comma 7 2 2 5 4 2 3" xfId="46793"/>
    <cellStyle name="Comma 7 2 2 5 4 3" xfId="46794"/>
    <cellStyle name="Comma 7 2 2 5 4 3 2" xfId="46795"/>
    <cellStyle name="Comma 7 2 2 5 4 4" xfId="46796"/>
    <cellStyle name="Comma 7 2 2 5 4 5" xfId="46797"/>
    <cellStyle name="Comma 7 2 2 5 5" xfId="46798"/>
    <cellStyle name="Comma 7 2 2 5 5 2" xfId="46799"/>
    <cellStyle name="Comma 7 2 2 5 5 3" xfId="46800"/>
    <cellStyle name="Comma 7 2 2 5 6" xfId="46801"/>
    <cellStyle name="Comma 7 2 2 5 6 2" xfId="46802"/>
    <cellStyle name="Comma 7 2 2 5 6 3" xfId="46803"/>
    <cellStyle name="Comma 7 2 2 5 7" xfId="46804"/>
    <cellStyle name="Comma 7 2 2 5 7 2" xfId="46805"/>
    <cellStyle name="Comma 7 2 2 5 8" xfId="46806"/>
    <cellStyle name="Comma 7 2 2 5 9" xfId="46807"/>
    <cellStyle name="Comma 7 2 2 6" xfId="46808"/>
    <cellStyle name="Comma 7 2 2 6 2" xfId="46809"/>
    <cellStyle name="Comma 7 2 2 6 2 2" xfId="46810"/>
    <cellStyle name="Comma 7 2 2 6 2 3" xfId="46811"/>
    <cellStyle name="Comma 7 2 2 6 3" xfId="46812"/>
    <cellStyle name="Comma 7 2 2 6 3 2" xfId="46813"/>
    <cellStyle name="Comma 7 2 2 6 3 3" xfId="46814"/>
    <cellStyle name="Comma 7 2 2 6 4" xfId="46815"/>
    <cellStyle name="Comma 7 2 2 6 4 2" xfId="46816"/>
    <cellStyle name="Comma 7 2 2 6 5" xfId="46817"/>
    <cellStyle name="Comma 7 2 2 6 6" xfId="46818"/>
    <cellStyle name="Comma 7 2 2 7" xfId="46819"/>
    <cellStyle name="Comma 7 2 2 7 2" xfId="46820"/>
    <cellStyle name="Comma 7 2 2 7 2 2" xfId="46821"/>
    <cellStyle name="Comma 7 2 2 7 2 3" xfId="46822"/>
    <cellStyle name="Comma 7 2 2 7 3" xfId="46823"/>
    <cellStyle name="Comma 7 2 2 7 3 2" xfId="46824"/>
    <cellStyle name="Comma 7 2 2 7 3 3" xfId="46825"/>
    <cellStyle name="Comma 7 2 2 7 4" xfId="46826"/>
    <cellStyle name="Comma 7 2 2 7 4 2" xfId="46827"/>
    <cellStyle name="Comma 7 2 2 7 5" xfId="46828"/>
    <cellStyle name="Comma 7 2 2 7 6" xfId="46829"/>
    <cellStyle name="Comma 7 2 2 8" xfId="46830"/>
    <cellStyle name="Comma 7 2 2 8 2" xfId="46831"/>
    <cellStyle name="Comma 7 2 2 8 2 2" xfId="46832"/>
    <cellStyle name="Comma 7 2 2 8 2 3" xfId="46833"/>
    <cellStyle name="Comma 7 2 2 8 3" xfId="46834"/>
    <cellStyle name="Comma 7 2 2 8 3 2" xfId="46835"/>
    <cellStyle name="Comma 7 2 2 8 4" xfId="46836"/>
    <cellStyle name="Comma 7 2 2 8 5" xfId="46837"/>
    <cellStyle name="Comma 7 2 2 9" xfId="46838"/>
    <cellStyle name="Comma 7 2 2 9 2" xfId="46839"/>
    <cellStyle name="Comma 7 2 2 9 3" xfId="46840"/>
    <cellStyle name="Comma 7 2 3" xfId="3714"/>
    <cellStyle name="Comma 7 2 3 10" xfId="46841"/>
    <cellStyle name="Comma 7 2 3 10 2" xfId="46842"/>
    <cellStyle name="Comma 7 2 3 11" xfId="46843"/>
    <cellStyle name="Comma 7 2 3 12" xfId="46844"/>
    <cellStyle name="Comma 7 2 3 13" xfId="46845"/>
    <cellStyle name="Comma 7 2 3 2" xfId="9101"/>
    <cellStyle name="Comma 7 2 3 2 10" xfId="46846"/>
    <cellStyle name="Comma 7 2 3 2 2" xfId="46847"/>
    <cellStyle name="Comma 7 2 3 2 2 2" xfId="46848"/>
    <cellStyle name="Comma 7 2 3 2 2 2 2" xfId="46849"/>
    <cellStyle name="Comma 7 2 3 2 2 2 2 2" xfId="46850"/>
    <cellStyle name="Comma 7 2 3 2 2 2 2 3" xfId="46851"/>
    <cellStyle name="Comma 7 2 3 2 2 2 3" xfId="46852"/>
    <cellStyle name="Comma 7 2 3 2 2 2 3 2" xfId="46853"/>
    <cellStyle name="Comma 7 2 3 2 2 2 3 3" xfId="46854"/>
    <cellStyle name="Comma 7 2 3 2 2 2 4" xfId="46855"/>
    <cellStyle name="Comma 7 2 3 2 2 2 4 2" xfId="46856"/>
    <cellStyle name="Comma 7 2 3 2 2 2 5" xfId="46857"/>
    <cellStyle name="Comma 7 2 3 2 2 2 6" xfId="46858"/>
    <cellStyle name="Comma 7 2 3 2 2 3" xfId="46859"/>
    <cellStyle name="Comma 7 2 3 2 2 3 2" xfId="46860"/>
    <cellStyle name="Comma 7 2 3 2 2 3 2 2" xfId="46861"/>
    <cellStyle name="Comma 7 2 3 2 2 3 2 3" xfId="46862"/>
    <cellStyle name="Comma 7 2 3 2 2 3 3" xfId="46863"/>
    <cellStyle name="Comma 7 2 3 2 2 3 3 2" xfId="46864"/>
    <cellStyle name="Comma 7 2 3 2 2 3 3 3" xfId="46865"/>
    <cellStyle name="Comma 7 2 3 2 2 3 4" xfId="46866"/>
    <cellStyle name="Comma 7 2 3 2 2 3 4 2" xfId="46867"/>
    <cellStyle name="Comma 7 2 3 2 2 3 5" xfId="46868"/>
    <cellStyle name="Comma 7 2 3 2 2 3 6" xfId="46869"/>
    <cellStyle name="Comma 7 2 3 2 2 4" xfId="46870"/>
    <cellStyle name="Comma 7 2 3 2 2 4 2" xfId="46871"/>
    <cellStyle name="Comma 7 2 3 2 2 4 2 2" xfId="46872"/>
    <cellStyle name="Comma 7 2 3 2 2 4 2 3" xfId="46873"/>
    <cellStyle name="Comma 7 2 3 2 2 4 3" xfId="46874"/>
    <cellStyle name="Comma 7 2 3 2 2 4 3 2" xfId="46875"/>
    <cellStyle name="Comma 7 2 3 2 2 4 4" xfId="46876"/>
    <cellStyle name="Comma 7 2 3 2 2 4 5" xfId="46877"/>
    <cellStyle name="Comma 7 2 3 2 2 5" xfId="46878"/>
    <cellStyle name="Comma 7 2 3 2 2 5 2" xfId="46879"/>
    <cellStyle name="Comma 7 2 3 2 2 5 3" xfId="46880"/>
    <cellStyle name="Comma 7 2 3 2 2 6" xfId="46881"/>
    <cellStyle name="Comma 7 2 3 2 2 6 2" xfId="46882"/>
    <cellStyle name="Comma 7 2 3 2 2 6 3" xfId="46883"/>
    <cellStyle name="Comma 7 2 3 2 2 7" xfId="46884"/>
    <cellStyle name="Comma 7 2 3 2 2 7 2" xfId="46885"/>
    <cellStyle name="Comma 7 2 3 2 2 8" xfId="46886"/>
    <cellStyle name="Comma 7 2 3 2 2 9" xfId="46887"/>
    <cellStyle name="Comma 7 2 3 2 3" xfId="46888"/>
    <cellStyle name="Comma 7 2 3 2 3 2" xfId="46889"/>
    <cellStyle name="Comma 7 2 3 2 3 2 2" xfId="46890"/>
    <cellStyle name="Comma 7 2 3 2 3 2 3" xfId="46891"/>
    <cellStyle name="Comma 7 2 3 2 3 3" xfId="46892"/>
    <cellStyle name="Comma 7 2 3 2 3 3 2" xfId="46893"/>
    <cellStyle name="Comma 7 2 3 2 3 3 3" xfId="46894"/>
    <cellStyle name="Comma 7 2 3 2 3 4" xfId="46895"/>
    <cellStyle name="Comma 7 2 3 2 3 4 2" xfId="46896"/>
    <cellStyle name="Comma 7 2 3 2 3 5" xfId="46897"/>
    <cellStyle name="Comma 7 2 3 2 3 6" xfId="46898"/>
    <cellStyle name="Comma 7 2 3 2 4" xfId="46899"/>
    <cellStyle name="Comma 7 2 3 2 4 2" xfId="46900"/>
    <cellStyle name="Comma 7 2 3 2 4 2 2" xfId="46901"/>
    <cellStyle name="Comma 7 2 3 2 4 2 3" xfId="46902"/>
    <cellStyle name="Comma 7 2 3 2 4 3" xfId="46903"/>
    <cellStyle name="Comma 7 2 3 2 4 3 2" xfId="46904"/>
    <cellStyle name="Comma 7 2 3 2 4 3 3" xfId="46905"/>
    <cellStyle name="Comma 7 2 3 2 4 4" xfId="46906"/>
    <cellStyle name="Comma 7 2 3 2 4 4 2" xfId="46907"/>
    <cellStyle name="Comma 7 2 3 2 4 5" xfId="46908"/>
    <cellStyle name="Comma 7 2 3 2 4 6" xfId="46909"/>
    <cellStyle name="Comma 7 2 3 2 5" xfId="46910"/>
    <cellStyle name="Comma 7 2 3 2 5 2" xfId="46911"/>
    <cellStyle name="Comma 7 2 3 2 5 2 2" xfId="46912"/>
    <cellStyle name="Comma 7 2 3 2 5 2 3" xfId="46913"/>
    <cellStyle name="Comma 7 2 3 2 5 3" xfId="46914"/>
    <cellStyle name="Comma 7 2 3 2 5 3 2" xfId="46915"/>
    <cellStyle name="Comma 7 2 3 2 5 4" xfId="46916"/>
    <cellStyle name="Comma 7 2 3 2 5 5" xfId="46917"/>
    <cellStyle name="Comma 7 2 3 2 6" xfId="46918"/>
    <cellStyle name="Comma 7 2 3 2 6 2" xfId="46919"/>
    <cellStyle name="Comma 7 2 3 2 6 3" xfId="46920"/>
    <cellStyle name="Comma 7 2 3 2 7" xfId="46921"/>
    <cellStyle name="Comma 7 2 3 2 7 2" xfId="46922"/>
    <cellStyle name="Comma 7 2 3 2 7 3" xfId="46923"/>
    <cellStyle name="Comma 7 2 3 2 8" xfId="46924"/>
    <cellStyle name="Comma 7 2 3 2 8 2" xfId="46925"/>
    <cellStyle name="Comma 7 2 3 2 9" xfId="46926"/>
    <cellStyle name="Comma 7 2 3 3" xfId="9102"/>
    <cellStyle name="Comma 7 2 3 3 2" xfId="46927"/>
    <cellStyle name="Comma 7 2 3 3 2 2" xfId="46928"/>
    <cellStyle name="Comma 7 2 3 3 2 2 2" xfId="46929"/>
    <cellStyle name="Comma 7 2 3 3 2 2 3" xfId="46930"/>
    <cellStyle name="Comma 7 2 3 3 2 3" xfId="46931"/>
    <cellStyle name="Comma 7 2 3 3 2 3 2" xfId="46932"/>
    <cellStyle name="Comma 7 2 3 3 2 3 3" xfId="46933"/>
    <cellStyle name="Comma 7 2 3 3 2 4" xfId="46934"/>
    <cellStyle name="Comma 7 2 3 3 2 4 2" xfId="46935"/>
    <cellStyle name="Comma 7 2 3 3 2 5" xfId="46936"/>
    <cellStyle name="Comma 7 2 3 3 2 6" xfId="46937"/>
    <cellStyle name="Comma 7 2 3 3 3" xfId="46938"/>
    <cellStyle name="Comma 7 2 3 3 3 2" xfId="46939"/>
    <cellStyle name="Comma 7 2 3 3 3 2 2" xfId="46940"/>
    <cellStyle name="Comma 7 2 3 3 3 2 3" xfId="46941"/>
    <cellStyle name="Comma 7 2 3 3 3 3" xfId="46942"/>
    <cellStyle name="Comma 7 2 3 3 3 3 2" xfId="46943"/>
    <cellStyle name="Comma 7 2 3 3 3 3 3" xfId="46944"/>
    <cellStyle name="Comma 7 2 3 3 3 4" xfId="46945"/>
    <cellStyle name="Comma 7 2 3 3 3 4 2" xfId="46946"/>
    <cellStyle name="Comma 7 2 3 3 3 5" xfId="46947"/>
    <cellStyle name="Comma 7 2 3 3 3 6" xfId="46948"/>
    <cellStyle name="Comma 7 2 3 3 4" xfId="46949"/>
    <cellStyle name="Comma 7 2 3 3 4 2" xfId="46950"/>
    <cellStyle name="Comma 7 2 3 3 4 2 2" xfId="46951"/>
    <cellStyle name="Comma 7 2 3 3 4 2 3" xfId="46952"/>
    <cellStyle name="Comma 7 2 3 3 4 3" xfId="46953"/>
    <cellStyle name="Comma 7 2 3 3 4 3 2" xfId="46954"/>
    <cellStyle name="Comma 7 2 3 3 4 4" xfId="46955"/>
    <cellStyle name="Comma 7 2 3 3 4 5" xfId="46956"/>
    <cellStyle name="Comma 7 2 3 3 5" xfId="46957"/>
    <cellStyle name="Comma 7 2 3 3 5 2" xfId="46958"/>
    <cellStyle name="Comma 7 2 3 3 5 3" xfId="46959"/>
    <cellStyle name="Comma 7 2 3 3 6" xfId="46960"/>
    <cellStyle name="Comma 7 2 3 3 6 2" xfId="46961"/>
    <cellStyle name="Comma 7 2 3 3 6 3" xfId="46962"/>
    <cellStyle name="Comma 7 2 3 3 7" xfId="46963"/>
    <cellStyle name="Comma 7 2 3 3 7 2" xfId="46964"/>
    <cellStyle name="Comma 7 2 3 3 8" xfId="46965"/>
    <cellStyle name="Comma 7 2 3 3 9" xfId="46966"/>
    <cellStyle name="Comma 7 2 3 4" xfId="46967"/>
    <cellStyle name="Comma 7 2 3 4 2" xfId="46968"/>
    <cellStyle name="Comma 7 2 3 4 2 2" xfId="46969"/>
    <cellStyle name="Comma 7 2 3 4 2 2 2" xfId="46970"/>
    <cellStyle name="Comma 7 2 3 4 2 2 3" xfId="46971"/>
    <cellStyle name="Comma 7 2 3 4 2 3" xfId="46972"/>
    <cellStyle name="Comma 7 2 3 4 2 3 2" xfId="46973"/>
    <cellStyle name="Comma 7 2 3 4 2 3 3" xfId="46974"/>
    <cellStyle name="Comma 7 2 3 4 2 4" xfId="46975"/>
    <cellStyle name="Comma 7 2 3 4 2 4 2" xfId="46976"/>
    <cellStyle name="Comma 7 2 3 4 2 5" xfId="46977"/>
    <cellStyle name="Comma 7 2 3 4 2 6" xfId="46978"/>
    <cellStyle name="Comma 7 2 3 4 3" xfId="46979"/>
    <cellStyle name="Comma 7 2 3 4 3 2" xfId="46980"/>
    <cellStyle name="Comma 7 2 3 4 3 2 2" xfId="46981"/>
    <cellStyle name="Comma 7 2 3 4 3 2 3" xfId="46982"/>
    <cellStyle name="Comma 7 2 3 4 3 3" xfId="46983"/>
    <cellStyle name="Comma 7 2 3 4 3 3 2" xfId="46984"/>
    <cellStyle name="Comma 7 2 3 4 3 3 3" xfId="46985"/>
    <cellStyle name="Comma 7 2 3 4 3 4" xfId="46986"/>
    <cellStyle name="Comma 7 2 3 4 3 4 2" xfId="46987"/>
    <cellStyle name="Comma 7 2 3 4 3 5" xfId="46988"/>
    <cellStyle name="Comma 7 2 3 4 3 6" xfId="46989"/>
    <cellStyle name="Comma 7 2 3 4 4" xfId="46990"/>
    <cellStyle name="Comma 7 2 3 4 4 2" xfId="46991"/>
    <cellStyle name="Comma 7 2 3 4 4 2 2" xfId="46992"/>
    <cellStyle name="Comma 7 2 3 4 4 2 3" xfId="46993"/>
    <cellStyle name="Comma 7 2 3 4 4 3" xfId="46994"/>
    <cellStyle name="Comma 7 2 3 4 4 3 2" xfId="46995"/>
    <cellStyle name="Comma 7 2 3 4 4 4" xfId="46996"/>
    <cellStyle name="Comma 7 2 3 4 4 5" xfId="46997"/>
    <cellStyle name="Comma 7 2 3 4 5" xfId="46998"/>
    <cellStyle name="Comma 7 2 3 4 5 2" xfId="46999"/>
    <cellStyle name="Comma 7 2 3 4 5 3" xfId="47000"/>
    <cellStyle name="Comma 7 2 3 4 6" xfId="47001"/>
    <cellStyle name="Comma 7 2 3 4 6 2" xfId="47002"/>
    <cellStyle name="Comma 7 2 3 4 6 3" xfId="47003"/>
    <cellStyle name="Comma 7 2 3 4 7" xfId="47004"/>
    <cellStyle name="Comma 7 2 3 4 7 2" xfId="47005"/>
    <cellStyle name="Comma 7 2 3 4 8" xfId="47006"/>
    <cellStyle name="Comma 7 2 3 4 9" xfId="47007"/>
    <cellStyle name="Comma 7 2 3 5" xfId="47008"/>
    <cellStyle name="Comma 7 2 3 5 2" xfId="47009"/>
    <cellStyle name="Comma 7 2 3 5 2 2" xfId="47010"/>
    <cellStyle name="Comma 7 2 3 5 2 3" xfId="47011"/>
    <cellStyle name="Comma 7 2 3 5 3" xfId="47012"/>
    <cellStyle name="Comma 7 2 3 5 3 2" xfId="47013"/>
    <cellStyle name="Comma 7 2 3 5 3 3" xfId="47014"/>
    <cellStyle name="Comma 7 2 3 5 4" xfId="47015"/>
    <cellStyle name="Comma 7 2 3 5 4 2" xfId="47016"/>
    <cellStyle name="Comma 7 2 3 5 5" xfId="47017"/>
    <cellStyle name="Comma 7 2 3 5 6" xfId="47018"/>
    <cellStyle name="Comma 7 2 3 6" xfId="47019"/>
    <cellStyle name="Comma 7 2 3 6 2" xfId="47020"/>
    <cellStyle name="Comma 7 2 3 6 2 2" xfId="47021"/>
    <cellStyle name="Comma 7 2 3 6 2 3" xfId="47022"/>
    <cellStyle name="Comma 7 2 3 6 3" xfId="47023"/>
    <cellStyle name="Comma 7 2 3 6 3 2" xfId="47024"/>
    <cellStyle name="Comma 7 2 3 6 3 3" xfId="47025"/>
    <cellStyle name="Comma 7 2 3 6 4" xfId="47026"/>
    <cellStyle name="Comma 7 2 3 6 4 2" xfId="47027"/>
    <cellStyle name="Comma 7 2 3 6 5" xfId="47028"/>
    <cellStyle name="Comma 7 2 3 6 6" xfId="47029"/>
    <cellStyle name="Comma 7 2 3 7" xfId="47030"/>
    <cellStyle name="Comma 7 2 3 7 2" xfId="47031"/>
    <cellStyle name="Comma 7 2 3 7 2 2" xfId="47032"/>
    <cellStyle name="Comma 7 2 3 7 2 3" xfId="47033"/>
    <cellStyle name="Comma 7 2 3 7 3" xfId="47034"/>
    <cellStyle name="Comma 7 2 3 7 3 2" xfId="47035"/>
    <cellStyle name="Comma 7 2 3 7 4" xfId="47036"/>
    <cellStyle name="Comma 7 2 3 7 5" xfId="47037"/>
    <cellStyle name="Comma 7 2 3 8" xfId="47038"/>
    <cellStyle name="Comma 7 2 3 8 2" xfId="47039"/>
    <cellStyle name="Comma 7 2 3 8 3" xfId="47040"/>
    <cellStyle name="Comma 7 2 3 9" xfId="47041"/>
    <cellStyle name="Comma 7 2 3 9 2" xfId="47042"/>
    <cellStyle name="Comma 7 2 3 9 3" xfId="47043"/>
    <cellStyle name="Comma 7 2 4" xfId="9103"/>
    <cellStyle name="Comma 7 2 4 10" xfId="47044"/>
    <cellStyle name="Comma 7 2 4 2" xfId="47045"/>
    <cellStyle name="Comma 7 2 4 2 2" xfId="47046"/>
    <cellStyle name="Comma 7 2 4 2 2 2" xfId="47047"/>
    <cellStyle name="Comma 7 2 4 2 2 2 2" xfId="47048"/>
    <cellStyle name="Comma 7 2 4 2 2 2 3" xfId="47049"/>
    <cellStyle name="Comma 7 2 4 2 2 3" xfId="47050"/>
    <cellStyle name="Comma 7 2 4 2 2 3 2" xfId="47051"/>
    <cellStyle name="Comma 7 2 4 2 2 3 3" xfId="47052"/>
    <cellStyle name="Comma 7 2 4 2 2 4" xfId="47053"/>
    <cellStyle name="Comma 7 2 4 2 2 4 2" xfId="47054"/>
    <cellStyle name="Comma 7 2 4 2 2 5" xfId="47055"/>
    <cellStyle name="Comma 7 2 4 2 2 6" xfId="47056"/>
    <cellStyle name="Comma 7 2 4 2 3" xfId="47057"/>
    <cellStyle name="Comma 7 2 4 2 3 2" xfId="47058"/>
    <cellStyle name="Comma 7 2 4 2 3 2 2" xfId="47059"/>
    <cellStyle name="Comma 7 2 4 2 3 2 3" xfId="47060"/>
    <cellStyle name="Comma 7 2 4 2 3 3" xfId="47061"/>
    <cellStyle name="Comma 7 2 4 2 3 3 2" xfId="47062"/>
    <cellStyle name="Comma 7 2 4 2 3 3 3" xfId="47063"/>
    <cellStyle name="Comma 7 2 4 2 3 4" xfId="47064"/>
    <cellStyle name="Comma 7 2 4 2 3 4 2" xfId="47065"/>
    <cellStyle name="Comma 7 2 4 2 3 5" xfId="47066"/>
    <cellStyle name="Comma 7 2 4 2 3 6" xfId="47067"/>
    <cellStyle name="Comma 7 2 4 2 4" xfId="47068"/>
    <cellStyle name="Comma 7 2 4 2 4 2" xfId="47069"/>
    <cellStyle name="Comma 7 2 4 2 4 2 2" xfId="47070"/>
    <cellStyle name="Comma 7 2 4 2 4 2 3" xfId="47071"/>
    <cellStyle name="Comma 7 2 4 2 4 3" xfId="47072"/>
    <cellStyle name="Comma 7 2 4 2 4 3 2" xfId="47073"/>
    <cellStyle name="Comma 7 2 4 2 4 4" xfId="47074"/>
    <cellStyle name="Comma 7 2 4 2 4 5" xfId="47075"/>
    <cellStyle name="Comma 7 2 4 2 5" xfId="47076"/>
    <cellStyle name="Comma 7 2 4 2 5 2" xfId="47077"/>
    <cellStyle name="Comma 7 2 4 2 5 3" xfId="47078"/>
    <cellStyle name="Comma 7 2 4 2 6" xfId="47079"/>
    <cellStyle name="Comma 7 2 4 2 6 2" xfId="47080"/>
    <cellStyle name="Comma 7 2 4 2 6 3" xfId="47081"/>
    <cellStyle name="Comma 7 2 4 2 7" xfId="47082"/>
    <cellStyle name="Comma 7 2 4 2 7 2" xfId="47083"/>
    <cellStyle name="Comma 7 2 4 2 8" xfId="47084"/>
    <cellStyle name="Comma 7 2 4 2 9" xfId="47085"/>
    <cellStyle name="Comma 7 2 4 3" xfId="47086"/>
    <cellStyle name="Comma 7 2 4 3 2" xfId="47087"/>
    <cellStyle name="Comma 7 2 4 3 2 2" xfId="47088"/>
    <cellStyle name="Comma 7 2 4 3 2 3" xfId="47089"/>
    <cellStyle name="Comma 7 2 4 3 3" xfId="47090"/>
    <cellStyle name="Comma 7 2 4 3 3 2" xfId="47091"/>
    <cellStyle name="Comma 7 2 4 3 3 3" xfId="47092"/>
    <cellStyle name="Comma 7 2 4 3 4" xfId="47093"/>
    <cellStyle name="Comma 7 2 4 3 4 2" xfId="47094"/>
    <cellStyle name="Comma 7 2 4 3 5" xfId="47095"/>
    <cellStyle name="Comma 7 2 4 3 6" xfId="47096"/>
    <cellStyle name="Comma 7 2 4 4" xfId="47097"/>
    <cellStyle name="Comma 7 2 4 4 2" xfId="47098"/>
    <cellStyle name="Comma 7 2 4 4 2 2" xfId="47099"/>
    <cellStyle name="Comma 7 2 4 4 2 3" xfId="47100"/>
    <cellStyle name="Comma 7 2 4 4 3" xfId="47101"/>
    <cellStyle name="Comma 7 2 4 4 3 2" xfId="47102"/>
    <cellStyle name="Comma 7 2 4 4 3 3" xfId="47103"/>
    <cellStyle name="Comma 7 2 4 4 4" xfId="47104"/>
    <cellStyle name="Comma 7 2 4 4 4 2" xfId="47105"/>
    <cellStyle name="Comma 7 2 4 4 5" xfId="47106"/>
    <cellStyle name="Comma 7 2 4 4 6" xfId="47107"/>
    <cellStyle name="Comma 7 2 4 5" xfId="47108"/>
    <cellStyle name="Comma 7 2 4 5 2" xfId="47109"/>
    <cellStyle name="Comma 7 2 4 5 2 2" xfId="47110"/>
    <cellStyle name="Comma 7 2 4 5 2 3" xfId="47111"/>
    <cellStyle name="Comma 7 2 4 5 3" xfId="47112"/>
    <cellStyle name="Comma 7 2 4 5 3 2" xfId="47113"/>
    <cellStyle name="Comma 7 2 4 5 4" xfId="47114"/>
    <cellStyle name="Comma 7 2 4 5 5" xfId="47115"/>
    <cellStyle name="Comma 7 2 4 6" xfId="47116"/>
    <cellStyle name="Comma 7 2 4 6 2" xfId="47117"/>
    <cellStyle name="Comma 7 2 4 6 3" xfId="47118"/>
    <cellStyle name="Comma 7 2 4 7" xfId="47119"/>
    <cellStyle name="Comma 7 2 4 7 2" xfId="47120"/>
    <cellStyle name="Comma 7 2 4 7 3" xfId="47121"/>
    <cellStyle name="Comma 7 2 4 8" xfId="47122"/>
    <cellStyle name="Comma 7 2 4 8 2" xfId="47123"/>
    <cellStyle name="Comma 7 2 4 9" xfId="47124"/>
    <cellStyle name="Comma 7 2 5" xfId="9104"/>
    <cellStyle name="Comma 7 2 5 2" xfId="47125"/>
    <cellStyle name="Comma 7 2 5 2 2" xfId="47126"/>
    <cellStyle name="Comma 7 2 5 2 2 2" xfId="47127"/>
    <cellStyle name="Comma 7 2 5 2 2 3" xfId="47128"/>
    <cellStyle name="Comma 7 2 5 2 3" xfId="47129"/>
    <cellStyle name="Comma 7 2 5 2 3 2" xfId="47130"/>
    <cellStyle name="Comma 7 2 5 2 3 3" xfId="47131"/>
    <cellStyle name="Comma 7 2 5 2 4" xfId="47132"/>
    <cellStyle name="Comma 7 2 5 2 4 2" xfId="47133"/>
    <cellStyle name="Comma 7 2 5 2 5" xfId="47134"/>
    <cellStyle name="Comma 7 2 5 2 6" xfId="47135"/>
    <cellStyle name="Comma 7 2 5 3" xfId="47136"/>
    <cellStyle name="Comma 7 2 5 3 2" xfId="47137"/>
    <cellStyle name="Comma 7 2 5 3 2 2" xfId="47138"/>
    <cellStyle name="Comma 7 2 5 3 2 3" xfId="47139"/>
    <cellStyle name="Comma 7 2 5 3 3" xfId="47140"/>
    <cellStyle name="Comma 7 2 5 3 3 2" xfId="47141"/>
    <cellStyle name="Comma 7 2 5 3 3 3" xfId="47142"/>
    <cellStyle name="Comma 7 2 5 3 4" xfId="47143"/>
    <cellStyle name="Comma 7 2 5 3 4 2" xfId="47144"/>
    <cellStyle name="Comma 7 2 5 3 5" xfId="47145"/>
    <cellStyle name="Comma 7 2 5 3 6" xfId="47146"/>
    <cellStyle name="Comma 7 2 5 4" xfId="47147"/>
    <cellStyle name="Comma 7 2 5 4 2" xfId="47148"/>
    <cellStyle name="Comma 7 2 5 4 2 2" xfId="47149"/>
    <cellStyle name="Comma 7 2 5 4 2 3" xfId="47150"/>
    <cellStyle name="Comma 7 2 5 4 3" xfId="47151"/>
    <cellStyle name="Comma 7 2 5 4 3 2" xfId="47152"/>
    <cellStyle name="Comma 7 2 5 4 4" xfId="47153"/>
    <cellStyle name="Comma 7 2 5 4 5" xfId="47154"/>
    <cellStyle name="Comma 7 2 5 5" xfId="47155"/>
    <cellStyle name="Comma 7 2 5 5 2" xfId="47156"/>
    <cellStyle name="Comma 7 2 5 5 3" xfId="47157"/>
    <cellStyle name="Comma 7 2 5 6" xfId="47158"/>
    <cellStyle name="Comma 7 2 5 6 2" xfId="47159"/>
    <cellStyle name="Comma 7 2 5 6 3" xfId="47160"/>
    <cellStyle name="Comma 7 2 5 7" xfId="47161"/>
    <cellStyle name="Comma 7 2 5 7 2" xfId="47162"/>
    <cellStyle name="Comma 7 2 5 8" xfId="47163"/>
    <cellStyle name="Comma 7 2 5 9" xfId="47164"/>
    <cellStyle name="Comma 7 2 6" xfId="47165"/>
    <cellStyle name="Comma 7 2 6 2" xfId="47166"/>
    <cellStyle name="Comma 7 2 6 2 2" xfId="47167"/>
    <cellStyle name="Comma 7 2 6 2 2 2" xfId="47168"/>
    <cellStyle name="Comma 7 2 6 2 2 3" xfId="47169"/>
    <cellStyle name="Comma 7 2 6 2 3" xfId="47170"/>
    <cellStyle name="Comma 7 2 6 2 3 2" xfId="47171"/>
    <cellStyle name="Comma 7 2 6 2 3 3" xfId="47172"/>
    <cellStyle name="Comma 7 2 6 2 4" xfId="47173"/>
    <cellStyle name="Comma 7 2 6 2 4 2" xfId="47174"/>
    <cellStyle name="Comma 7 2 6 2 5" xfId="47175"/>
    <cellStyle name="Comma 7 2 6 2 6" xfId="47176"/>
    <cellStyle name="Comma 7 2 6 3" xfId="47177"/>
    <cellStyle name="Comma 7 2 6 3 2" xfId="47178"/>
    <cellStyle name="Comma 7 2 6 3 2 2" xfId="47179"/>
    <cellStyle name="Comma 7 2 6 3 2 3" xfId="47180"/>
    <cellStyle name="Comma 7 2 6 3 3" xfId="47181"/>
    <cellStyle name="Comma 7 2 6 3 3 2" xfId="47182"/>
    <cellStyle name="Comma 7 2 6 3 3 3" xfId="47183"/>
    <cellStyle name="Comma 7 2 6 3 4" xfId="47184"/>
    <cellStyle name="Comma 7 2 6 3 4 2" xfId="47185"/>
    <cellStyle name="Comma 7 2 6 3 5" xfId="47186"/>
    <cellStyle name="Comma 7 2 6 3 6" xfId="47187"/>
    <cellStyle name="Comma 7 2 6 4" xfId="47188"/>
    <cellStyle name="Comma 7 2 6 4 2" xfId="47189"/>
    <cellStyle name="Comma 7 2 6 4 2 2" xfId="47190"/>
    <cellStyle name="Comma 7 2 6 4 2 3" xfId="47191"/>
    <cellStyle name="Comma 7 2 6 4 3" xfId="47192"/>
    <cellStyle name="Comma 7 2 6 4 3 2" xfId="47193"/>
    <cellStyle name="Comma 7 2 6 4 4" xfId="47194"/>
    <cellStyle name="Comma 7 2 6 4 5" xfId="47195"/>
    <cellStyle name="Comma 7 2 6 5" xfId="47196"/>
    <cellStyle name="Comma 7 2 6 5 2" xfId="47197"/>
    <cellStyle name="Comma 7 2 6 5 3" xfId="47198"/>
    <cellStyle name="Comma 7 2 6 6" xfId="47199"/>
    <cellStyle name="Comma 7 2 6 6 2" xfId="47200"/>
    <cellStyle name="Comma 7 2 6 6 3" xfId="47201"/>
    <cellStyle name="Comma 7 2 6 7" xfId="47202"/>
    <cellStyle name="Comma 7 2 6 7 2" xfId="47203"/>
    <cellStyle name="Comma 7 2 6 8" xfId="47204"/>
    <cellStyle name="Comma 7 2 6 9" xfId="47205"/>
    <cellStyle name="Comma 7 2 7" xfId="47206"/>
    <cellStyle name="Comma 7 2 7 2" xfId="47207"/>
    <cellStyle name="Comma 7 2 7 2 2" xfId="47208"/>
    <cellStyle name="Comma 7 2 7 2 3" xfId="47209"/>
    <cellStyle name="Comma 7 2 7 3" xfId="47210"/>
    <cellStyle name="Comma 7 2 7 3 2" xfId="47211"/>
    <cellStyle name="Comma 7 2 7 3 3" xfId="47212"/>
    <cellStyle name="Comma 7 2 7 4" xfId="47213"/>
    <cellStyle name="Comma 7 2 7 4 2" xfId="47214"/>
    <cellStyle name="Comma 7 2 7 5" xfId="47215"/>
    <cellStyle name="Comma 7 2 7 6" xfId="47216"/>
    <cellStyle name="Comma 7 2 8" xfId="47217"/>
    <cellStyle name="Comma 7 2 8 2" xfId="47218"/>
    <cellStyle name="Comma 7 2 8 2 2" xfId="47219"/>
    <cellStyle name="Comma 7 2 8 2 3" xfId="47220"/>
    <cellStyle name="Comma 7 2 8 3" xfId="47221"/>
    <cellStyle name="Comma 7 2 8 3 2" xfId="47222"/>
    <cellStyle name="Comma 7 2 8 3 3" xfId="47223"/>
    <cellStyle name="Comma 7 2 8 4" xfId="47224"/>
    <cellStyle name="Comma 7 2 8 4 2" xfId="47225"/>
    <cellStyle name="Comma 7 2 8 5" xfId="47226"/>
    <cellStyle name="Comma 7 2 8 6" xfId="47227"/>
    <cellStyle name="Comma 7 2 9" xfId="47228"/>
    <cellStyle name="Comma 7 2 9 2" xfId="47229"/>
    <cellStyle name="Comma 7 2 9 2 2" xfId="47230"/>
    <cellStyle name="Comma 7 2 9 2 3" xfId="47231"/>
    <cellStyle name="Comma 7 2 9 3" xfId="47232"/>
    <cellStyle name="Comma 7 2 9 3 2" xfId="47233"/>
    <cellStyle name="Comma 7 2 9 4" xfId="47234"/>
    <cellStyle name="Comma 7 2 9 5" xfId="47235"/>
    <cellStyle name="Comma 7 3" xfId="3715"/>
    <cellStyle name="Comma 7 3 10" xfId="47236"/>
    <cellStyle name="Comma 7 3 10 2" xfId="47237"/>
    <cellStyle name="Comma 7 3 10 3" xfId="47238"/>
    <cellStyle name="Comma 7 3 11" xfId="47239"/>
    <cellStyle name="Comma 7 3 11 2" xfId="47240"/>
    <cellStyle name="Comma 7 3 12" xfId="47241"/>
    <cellStyle name="Comma 7 3 13" xfId="47242"/>
    <cellStyle name="Comma 7 3 14" xfId="47243"/>
    <cellStyle name="Comma 7 3 2" xfId="3716"/>
    <cellStyle name="Comma 7 3 2 10" xfId="47244"/>
    <cellStyle name="Comma 7 3 2 10 2" xfId="47245"/>
    <cellStyle name="Comma 7 3 2 11" xfId="47246"/>
    <cellStyle name="Comma 7 3 2 12" xfId="47247"/>
    <cellStyle name="Comma 7 3 2 2" xfId="9105"/>
    <cellStyle name="Comma 7 3 2 2 10" xfId="47248"/>
    <cellStyle name="Comma 7 3 2 2 2" xfId="9106"/>
    <cellStyle name="Comma 7 3 2 2 2 2" xfId="47249"/>
    <cellStyle name="Comma 7 3 2 2 2 2 2" xfId="47250"/>
    <cellStyle name="Comma 7 3 2 2 2 2 2 2" xfId="47251"/>
    <cellStyle name="Comma 7 3 2 2 2 2 2 3" xfId="47252"/>
    <cellStyle name="Comma 7 3 2 2 2 2 3" xfId="47253"/>
    <cellStyle name="Comma 7 3 2 2 2 2 3 2" xfId="47254"/>
    <cellStyle name="Comma 7 3 2 2 2 2 3 3" xfId="47255"/>
    <cellStyle name="Comma 7 3 2 2 2 2 4" xfId="47256"/>
    <cellStyle name="Comma 7 3 2 2 2 2 4 2" xfId="47257"/>
    <cellStyle name="Comma 7 3 2 2 2 2 5" xfId="47258"/>
    <cellStyle name="Comma 7 3 2 2 2 2 6" xfId="47259"/>
    <cellStyle name="Comma 7 3 2 2 2 3" xfId="47260"/>
    <cellStyle name="Comma 7 3 2 2 2 3 2" xfId="47261"/>
    <cellStyle name="Comma 7 3 2 2 2 3 2 2" xfId="47262"/>
    <cellStyle name="Comma 7 3 2 2 2 3 2 3" xfId="47263"/>
    <cellStyle name="Comma 7 3 2 2 2 3 3" xfId="47264"/>
    <cellStyle name="Comma 7 3 2 2 2 3 3 2" xfId="47265"/>
    <cellStyle name="Comma 7 3 2 2 2 3 3 3" xfId="47266"/>
    <cellStyle name="Comma 7 3 2 2 2 3 4" xfId="47267"/>
    <cellStyle name="Comma 7 3 2 2 2 3 4 2" xfId="47268"/>
    <cellStyle name="Comma 7 3 2 2 2 3 5" xfId="47269"/>
    <cellStyle name="Comma 7 3 2 2 2 3 6" xfId="47270"/>
    <cellStyle name="Comma 7 3 2 2 2 4" xfId="47271"/>
    <cellStyle name="Comma 7 3 2 2 2 4 2" xfId="47272"/>
    <cellStyle name="Comma 7 3 2 2 2 4 2 2" xfId="47273"/>
    <cellStyle name="Comma 7 3 2 2 2 4 2 3" xfId="47274"/>
    <cellStyle name="Comma 7 3 2 2 2 4 3" xfId="47275"/>
    <cellStyle name="Comma 7 3 2 2 2 4 3 2" xfId="47276"/>
    <cellStyle name="Comma 7 3 2 2 2 4 4" xfId="47277"/>
    <cellStyle name="Comma 7 3 2 2 2 4 5" xfId="47278"/>
    <cellStyle name="Comma 7 3 2 2 2 5" xfId="47279"/>
    <cellStyle name="Comma 7 3 2 2 2 5 2" xfId="47280"/>
    <cellStyle name="Comma 7 3 2 2 2 5 3" xfId="47281"/>
    <cellStyle name="Comma 7 3 2 2 2 6" xfId="47282"/>
    <cellStyle name="Comma 7 3 2 2 2 6 2" xfId="47283"/>
    <cellStyle name="Comma 7 3 2 2 2 6 3" xfId="47284"/>
    <cellStyle name="Comma 7 3 2 2 2 7" xfId="47285"/>
    <cellStyle name="Comma 7 3 2 2 2 7 2" xfId="47286"/>
    <cellStyle name="Comma 7 3 2 2 2 8" xfId="47287"/>
    <cellStyle name="Comma 7 3 2 2 2 9" xfId="47288"/>
    <cellStyle name="Comma 7 3 2 2 3" xfId="47289"/>
    <cellStyle name="Comma 7 3 2 2 3 2" xfId="47290"/>
    <cellStyle name="Comma 7 3 2 2 3 2 2" xfId="47291"/>
    <cellStyle name="Comma 7 3 2 2 3 2 3" xfId="47292"/>
    <cellStyle name="Comma 7 3 2 2 3 3" xfId="47293"/>
    <cellStyle name="Comma 7 3 2 2 3 3 2" xfId="47294"/>
    <cellStyle name="Comma 7 3 2 2 3 3 3" xfId="47295"/>
    <cellStyle name="Comma 7 3 2 2 3 4" xfId="47296"/>
    <cellStyle name="Comma 7 3 2 2 3 4 2" xfId="47297"/>
    <cellStyle name="Comma 7 3 2 2 3 5" xfId="47298"/>
    <cellStyle name="Comma 7 3 2 2 3 6" xfId="47299"/>
    <cellStyle name="Comma 7 3 2 2 4" xfId="47300"/>
    <cellStyle name="Comma 7 3 2 2 4 2" xfId="47301"/>
    <cellStyle name="Comma 7 3 2 2 4 2 2" xfId="47302"/>
    <cellStyle name="Comma 7 3 2 2 4 2 3" xfId="47303"/>
    <cellStyle name="Comma 7 3 2 2 4 3" xfId="47304"/>
    <cellStyle name="Comma 7 3 2 2 4 3 2" xfId="47305"/>
    <cellStyle name="Comma 7 3 2 2 4 3 3" xfId="47306"/>
    <cellStyle name="Comma 7 3 2 2 4 4" xfId="47307"/>
    <cellStyle name="Comma 7 3 2 2 4 4 2" xfId="47308"/>
    <cellStyle name="Comma 7 3 2 2 4 5" xfId="47309"/>
    <cellStyle name="Comma 7 3 2 2 4 6" xfId="47310"/>
    <cellStyle name="Comma 7 3 2 2 5" xfId="47311"/>
    <cellStyle name="Comma 7 3 2 2 5 2" xfId="47312"/>
    <cellStyle name="Comma 7 3 2 2 5 2 2" xfId="47313"/>
    <cellStyle name="Comma 7 3 2 2 5 2 3" xfId="47314"/>
    <cellStyle name="Comma 7 3 2 2 5 3" xfId="47315"/>
    <cellStyle name="Comma 7 3 2 2 5 3 2" xfId="47316"/>
    <cellStyle name="Comma 7 3 2 2 5 4" xfId="47317"/>
    <cellStyle name="Comma 7 3 2 2 5 5" xfId="47318"/>
    <cellStyle name="Comma 7 3 2 2 6" xfId="47319"/>
    <cellStyle name="Comma 7 3 2 2 6 2" xfId="47320"/>
    <cellStyle name="Comma 7 3 2 2 6 3" xfId="47321"/>
    <cellStyle name="Comma 7 3 2 2 7" xfId="47322"/>
    <cellStyle name="Comma 7 3 2 2 7 2" xfId="47323"/>
    <cellStyle name="Comma 7 3 2 2 7 3" xfId="47324"/>
    <cellStyle name="Comma 7 3 2 2 8" xfId="47325"/>
    <cellStyle name="Comma 7 3 2 2 8 2" xfId="47326"/>
    <cellStyle name="Comma 7 3 2 2 9" xfId="47327"/>
    <cellStyle name="Comma 7 3 2 3" xfId="9107"/>
    <cellStyle name="Comma 7 3 2 3 2" xfId="47328"/>
    <cellStyle name="Comma 7 3 2 3 2 2" xfId="47329"/>
    <cellStyle name="Comma 7 3 2 3 2 2 2" xfId="47330"/>
    <cellStyle name="Comma 7 3 2 3 2 2 3" xfId="47331"/>
    <cellStyle name="Comma 7 3 2 3 2 3" xfId="47332"/>
    <cellStyle name="Comma 7 3 2 3 2 3 2" xfId="47333"/>
    <cellStyle name="Comma 7 3 2 3 2 3 3" xfId="47334"/>
    <cellStyle name="Comma 7 3 2 3 2 4" xfId="47335"/>
    <cellStyle name="Comma 7 3 2 3 2 4 2" xfId="47336"/>
    <cellStyle name="Comma 7 3 2 3 2 5" xfId="47337"/>
    <cellStyle name="Comma 7 3 2 3 2 6" xfId="47338"/>
    <cellStyle name="Comma 7 3 2 3 3" xfId="47339"/>
    <cellStyle name="Comma 7 3 2 3 3 2" xfId="47340"/>
    <cellStyle name="Comma 7 3 2 3 3 2 2" xfId="47341"/>
    <cellStyle name="Comma 7 3 2 3 3 2 3" xfId="47342"/>
    <cellStyle name="Comma 7 3 2 3 3 3" xfId="47343"/>
    <cellStyle name="Comma 7 3 2 3 3 3 2" xfId="47344"/>
    <cellStyle name="Comma 7 3 2 3 3 3 3" xfId="47345"/>
    <cellStyle name="Comma 7 3 2 3 3 4" xfId="47346"/>
    <cellStyle name="Comma 7 3 2 3 3 4 2" xfId="47347"/>
    <cellStyle name="Comma 7 3 2 3 3 5" xfId="47348"/>
    <cellStyle name="Comma 7 3 2 3 3 6" xfId="47349"/>
    <cellStyle name="Comma 7 3 2 3 4" xfId="47350"/>
    <cellStyle name="Comma 7 3 2 3 4 2" xfId="47351"/>
    <cellStyle name="Comma 7 3 2 3 4 2 2" xfId="47352"/>
    <cellStyle name="Comma 7 3 2 3 4 2 3" xfId="47353"/>
    <cellStyle name="Comma 7 3 2 3 4 3" xfId="47354"/>
    <cellStyle name="Comma 7 3 2 3 4 3 2" xfId="47355"/>
    <cellStyle name="Comma 7 3 2 3 4 4" xfId="47356"/>
    <cellStyle name="Comma 7 3 2 3 4 5" xfId="47357"/>
    <cellStyle name="Comma 7 3 2 3 5" xfId="47358"/>
    <cellStyle name="Comma 7 3 2 3 5 2" xfId="47359"/>
    <cellStyle name="Comma 7 3 2 3 5 3" xfId="47360"/>
    <cellStyle name="Comma 7 3 2 3 6" xfId="47361"/>
    <cellStyle name="Comma 7 3 2 3 6 2" xfId="47362"/>
    <cellStyle name="Comma 7 3 2 3 6 3" xfId="47363"/>
    <cellStyle name="Comma 7 3 2 3 7" xfId="47364"/>
    <cellStyle name="Comma 7 3 2 3 7 2" xfId="47365"/>
    <cellStyle name="Comma 7 3 2 3 8" xfId="47366"/>
    <cellStyle name="Comma 7 3 2 3 9" xfId="47367"/>
    <cellStyle name="Comma 7 3 2 4" xfId="9108"/>
    <cellStyle name="Comma 7 3 2 4 2" xfId="47368"/>
    <cellStyle name="Comma 7 3 2 4 2 2" xfId="47369"/>
    <cellStyle name="Comma 7 3 2 4 2 2 2" xfId="47370"/>
    <cellStyle name="Comma 7 3 2 4 2 2 3" xfId="47371"/>
    <cellStyle name="Comma 7 3 2 4 2 3" xfId="47372"/>
    <cellStyle name="Comma 7 3 2 4 2 3 2" xfId="47373"/>
    <cellStyle name="Comma 7 3 2 4 2 3 3" xfId="47374"/>
    <cellStyle name="Comma 7 3 2 4 2 4" xfId="47375"/>
    <cellStyle name="Comma 7 3 2 4 2 4 2" xfId="47376"/>
    <cellStyle name="Comma 7 3 2 4 2 5" xfId="47377"/>
    <cellStyle name="Comma 7 3 2 4 2 6" xfId="47378"/>
    <cellStyle name="Comma 7 3 2 4 3" xfId="47379"/>
    <cellStyle name="Comma 7 3 2 4 3 2" xfId="47380"/>
    <cellStyle name="Comma 7 3 2 4 3 2 2" xfId="47381"/>
    <cellStyle name="Comma 7 3 2 4 3 2 3" xfId="47382"/>
    <cellStyle name="Comma 7 3 2 4 3 3" xfId="47383"/>
    <cellStyle name="Comma 7 3 2 4 3 3 2" xfId="47384"/>
    <cellStyle name="Comma 7 3 2 4 3 3 3" xfId="47385"/>
    <cellStyle name="Comma 7 3 2 4 3 4" xfId="47386"/>
    <cellStyle name="Comma 7 3 2 4 3 4 2" xfId="47387"/>
    <cellStyle name="Comma 7 3 2 4 3 5" xfId="47388"/>
    <cellStyle name="Comma 7 3 2 4 3 6" xfId="47389"/>
    <cellStyle name="Comma 7 3 2 4 4" xfId="47390"/>
    <cellStyle name="Comma 7 3 2 4 4 2" xfId="47391"/>
    <cellStyle name="Comma 7 3 2 4 4 2 2" xfId="47392"/>
    <cellStyle name="Comma 7 3 2 4 4 2 3" xfId="47393"/>
    <cellStyle name="Comma 7 3 2 4 4 3" xfId="47394"/>
    <cellStyle name="Comma 7 3 2 4 4 3 2" xfId="47395"/>
    <cellStyle name="Comma 7 3 2 4 4 4" xfId="47396"/>
    <cellStyle name="Comma 7 3 2 4 4 5" xfId="47397"/>
    <cellStyle name="Comma 7 3 2 4 5" xfId="47398"/>
    <cellStyle name="Comma 7 3 2 4 5 2" xfId="47399"/>
    <cellStyle name="Comma 7 3 2 4 5 3" xfId="47400"/>
    <cellStyle name="Comma 7 3 2 4 6" xfId="47401"/>
    <cellStyle name="Comma 7 3 2 4 6 2" xfId="47402"/>
    <cellStyle name="Comma 7 3 2 4 6 3" xfId="47403"/>
    <cellStyle name="Comma 7 3 2 4 7" xfId="47404"/>
    <cellStyle name="Comma 7 3 2 4 7 2" xfId="47405"/>
    <cellStyle name="Comma 7 3 2 4 8" xfId="47406"/>
    <cellStyle name="Comma 7 3 2 4 9" xfId="47407"/>
    <cellStyle name="Comma 7 3 2 5" xfId="47408"/>
    <cellStyle name="Comma 7 3 2 5 2" xfId="47409"/>
    <cellStyle name="Comma 7 3 2 5 2 2" xfId="47410"/>
    <cellStyle name="Comma 7 3 2 5 2 3" xfId="47411"/>
    <cellStyle name="Comma 7 3 2 5 3" xfId="47412"/>
    <cellStyle name="Comma 7 3 2 5 3 2" xfId="47413"/>
    <cellStyle name="Comma 7 3 2 5 3 3" xfId="47414"/>
    <cellStyle name="Comma 7 3 2 5 4" xfId="47415"/>
    <cellStyle name="Comma 7 3 2 5 4 2" xfId="47416"/>
    <cellStyle name="Comma 7 3 2 5 5" xfId="47417"/>
    <cellStyle name="Comma 7 3 2 5 6" xfId="47418"/>
    <cellStyle name="Comma 7 3 2 6" xfId="47419"/>
    <cellStyle name="Comma 7 3 2 6 2" xfId="47420"/>
    <cellStyle name="Comma 7 3 2 6 2 2" xfId="47421"/>
    <cellStyle name="Comma 7 3 2 6 2 3" xfId="47422"/>
    <cellStyle name="Comma 7 3 2 6 3" xfId="47423"/>
    <cellStyle name="Comma 7 3 2 6 3 2" xfId="47424"/>
    <cellStyle name="Comma 7 3 2 6 3 3" xfId="47425"/>
    <cellStyle name="Comma 7 3 2 6 4" xfId="47426"/>
    <cellStyle name="Comma 7 3 2 6 4 2" xfId="47427"/>
    <cellStyle name="Comma 7 3 2 6 5" xfId="47428"/>
    <cellStyle name="Comma 7 3 2 6 6" xfId="47429"/>
    <cellStyle name="Comma 7 3 2 7" xfId="47430"/>
    <cellStyle name="Comma 7 3 2 7 2" xfId="47431"/>
    <cellStyle name="Comma 7 3 2 7 2 2" xfId="47432"/>
    <cellStyle name="Comma 7 3 2 7 2 3" xfId="47433"/>
    <cellStyle name="Comma 7 3 2 7 3" xfId="47434"/>
    <cellStyle name="Comma 7 3 2 7 3 2" xfId="47435"/>
    <cellStyle name="Comma 7 3 2 7 4" xfId="47436"/>
    <cellStyle name="Comma 7 3 2 7 5" xfId="47437"/>
    <cellStyle name="Comma 7 3 2 8" xfId="47438"/>
    <cellStyle name="Comma 7 3 2 8 2" xfId="47439"/>
    <cellStyle name="Comma 7 3 2 8 3" xfId="47440"/>
    <cellStyle name="Comma 7 3 2 9" xfId="47441"/>
    <cellStyle name="Comma 7 3 2 9 2" xfId="47442"/>
    <cellStyle name="Comma 7 3 2 9 3" xfId="47443"/>
    <cellStyle name="Comma 7 3 3" xfId="9109"/>
    <cellStyle name="Comma 7 3 3 10" xfId="47444"/>
    <cellStyle name="Comma 7 3 3 2" xfId="9110"/>
    <cellStyle name="Comma 7 3 3 2 2" xfId="47445"/>
    <cellStyle name="Comma 7 3 3 2 2 2" xfId="47446"/>
    <cellStyle name="Comma 7 3 3 2 2 2 2" xfId="47447"/>
    <cellStyle name="Comma 7 3 3 2 2 2 3" xfId="47448"/>
    <cellStyle name="Comma 7 3 3 2 2 3" xfId="47449"/>
    <cellStyle name="Comma 7 3 3 2 2 3 2" xfId="47450"/>
    <cellStyle name="Comma 7 3 3 2 2 3 3" xfId="47451"/>
    <cellStyle name="Comma 7 3 3 2 2 4" xfId="47452"/>
    <cellStyle name="Comma 7 3 3 2 2 4 2" xfId="47453"/>
    <cellStyle name="Comma 7 3 3 2 2 5" xfId="47454"/>
    <cellStyle name="Comma 7 3 3 2 2 6" xfId="47455"/>
    <cellStyle name="Comma 7 3 3 2 3" xfId="47456"/>
    <cellStyle name="Comma 7 3 3 2 3 2" xfId="47457"/>
    <cellStyle name="Comma 7 3 3 2 3 2 2" xfId="47458"/>
    <cellStyle name="Comma 7 3 3 2 3 2 3" xfId="47459"/>
    <cellStyle name="Comma 7 3 3 2 3 3" xfId="47460"/>
    <cellStyle name="Comma 7 3 3 2 3 3 2" xfId="47461"/>
    <cellStyle name="Comma 7 3 3 2 3 3 3" xfId="47462"/>
    <cellStyle name="Comma 7 3 3 2 3 4" xfId="47463"/>
    <cellStyle name="Comma 7 3 3 2 3 4 2" xfId="47464"/>
    <cellStyle name="Comma 7 3 3 2 3 5" xfId="47465"/>
    <cellStyle name="Comma 7 3 3 2 3 6" xfId="47466"/>
    <cellStyle name="Comma 7 3 3 2 4" xfId="47467"/>
    <cellStyle name="Comma 7 3 3 2 4 2" xfId="47468"/>
    <cellStyle name="Comma 7 3 3 2 4 2 2" xfId="47469"/>
    <cellStyle name="Comma 7 3 3 2 4 2 3" xfId="47470"/>
    <cellStyle name="Comma 7 3 3 2 4 3" xfId="47471"/>
    <cellStyle name="Comma 7 3 3 2 4 3 2" xfId="47472"/>
    <cellStyle name="Comma 7 3 3 2 4 4" xfId="47473"/>
    <cellStyle name="Comma 7 3 3 2 4 5" xfId="47474"/>
    <cellStyle name="Comma 7 3 3 2 5" xfId="47475"/>
    <cellStyle name="Comma 7 3 3 2 5 2" xfId="47476"/>
    <cellStyle name="Comma 7 3 3 2 5 3" xfId="47477"/>
    <cellStyle name="Comma 7 3 3 2 6" xfId="47478"/>
    <cellStyle name="Comma 7 3 3 2 6 2" xfId="47479"/>
    <cellStyle name="Comma 7 3 3 2 6 3" xfId="47480"/>
    <cellStyle name="Comma 7 3 3 2 7" xfId="47481"/>
    <cellStyle name="Comma 7 3 3 2 7 2" xfId="47482"/>
    <cellStyle name="Comma 7 3 3 2 8" xfId="47483"/>
    <cellStyle name="Comma 7 3 3 2 9" xfId="47484"/>
    <cellStyle name="Comma 7 3 3 3" xfId="47485"/>
    <cellStyle name="Comma 7 3 3 3 2" xfId="47486"/>
    <cellStyle name="Comma 7 3 3 3 2 2" xfId="47487"/>
    <cellStyle name="Comma 7 3 3 3 2 3" xfId="47488"/>
    <cellStyle name="Comma 7 3 3 3 3" xfId="47489"/>
    <cellStyle name="Comma 7 3 3 3 3 2" xfId="47490"/>
    <cellStyle name="Comma 7 3 3 3 3 3" xfId="47491"/>
    <cellStyle name="Comma 7 3 3 3 4" xfId="47492"/>
    <cellStyle name="Comma 7 3 3 3 4 2" xfId="47493"/>
    <cellStyle name="Comma 7 3 3 3 5" xfId="47494"/>
    <cellStyle name="Comma 7 3 3 3 6" xfId="47495"/>
    <cellStyle name="Comma 7 3 3 4" xfId="47496"/>
    <cellStyle name="Comma 7 3 3 4 2" xfId="47497"/>
    <cellStyle name="Comma 7 3 3 4 2 2" xfId="47498"/>
    <cellStyle name="Comma 7 3 3 4 2 3" xfId="47499"/>
    <cellStyle name="Comma 7 3 3 4 3" xfId="47500"/>
    <cellStyle name="Comma 7 3 3 4 3 2" xfId="47501"/>
    <cellStyle name="Comma 7 3 3 4 3 3" xfId="47502"/>
    <cellStyle name="Comma 7 3 3 4 4" xfId="47503"/>
    <cellStyle name="Comma 7 3 3 4 4 2" xfId="47504"/>
    <cellStyle name="Comma 7 3 3 4 5" xfId="47505"/>
    <cellStyle name="Comma 7 3 3 4 6" xfId="47506"/>
    <cellStyle name="Comma 7 3 3 5" xfId="47507"/>
    <cellStyle name="Comma 7 3 3 5 2" xfId="47508"/>
    <cellStyle name="Comma 7 3 3 5 2 2" xfId="47509"/>
    <cellStyle name="Comma 7 3 3 5 2 3" xfId="47510"/>
    <cellStyle name="Comma 7 3 3 5 3" xfId="47511"/>
    <cellStyle name="Comma 7 3 3 5 3 2" xfId="47512"/>
    <cellStyle name="Comma 7 3 3 5 4" xfId="47513"/>
    <cellStyle name="Comma 7 3 3 5 5" xfId="47514"/>
    <cellStyle name="Comma 7 3 3 6" xfId="47515"/>
    <cellStyle name="Comma 7 3 3 6 2" xfId="47516"/>
    <cellStyle name="Comma 7 3 3 6 3" xfId="47517"/>
    <cellStyle name="Comma 7 3 3 7" xfId="47518"/>
    <cellStyle name="Comma 7 3 3 7 2" xfId="47519"/>
    <cellStyle name="Comma 7 3 3 7 3" xfId="47520"/>
    <cellStyle name="Comma 7 3 3 8" xfId="47521"/>
    <cellStyle name="Comma 7 3 3 8 2" xfId="47522"/>
    <cellStyle name="Comma 7 3 3 9" xfId="47523"/>
    <cellStyle name="Comma 7 3 4" xfId="9111"/>
    <cellStyle name="Comma 7 3 4 2" xfId="47524"/>
    <cellStyle name="Comma 7 3 4 2 2" xfId="47525"/>
    <cellStyle name="Comma 7 3 4 2 2 2" xfId="47526"/>
    <cellStyle name="Comma 7 3 4 2 2 3" xfId="47527"/>
    <cellStyle name="Comma 7 3 4 2 3" xfId="47528"/>
    <cellStyle name="Comma 7 3 4 2 3 2" xfId="47529"/>
    <cellStyle name="Comma 7 3 4 2 3 3" xfId="47530"/>
    <cellStyle name="Comma 7 3 4 2 4" xfId="47531"/>
    <cellStyle name="Comma 7 3 4 2 4 2" xfId="47532"/>
    <cellStyle name="Comma 7 3 4 2 5" xfId="47533"/>
    <cellStyle name="Comma 7 3 4 2 6" xfId="47534"/>
    <cellStyle name="Comma 7 3 4 3" xfId="47535"/>
    <cellStyle name="Comma 7 3 4 3 2" xfId="47536"/>
    <cellStyle name="Comma 7 3 4 3 2 2" xfId="47537"/>
    <cellStyle name="Comma 7 3 4 3 2 3" xfId="47538"/>
    <cellStyle name="Comma 7 3 4 3 3" xfId="47539"/>
    <cellStyle name="Comma 7 3 4 3 3 2" xfId="47540"/>
    <cellStyle name="Comma 7 3 4 3 3 3" xfId="47541"/>
    <cellStyle name="Comma 7 3 4 3 4" xfId="47542"/>
    <cellStyle name="Comma 7 3 4 3 4 2" xfId="47543"/>
    <cellStyle name="Comma 7 3 4 3 5" xfId="47544"/>
    <cellStyle name="Comma 7 3 4 3 6" xfId="47545"/>
    <cellStyle name="Comma 7 3 4 4" xfId="47546"/>
    <cellStyle name="Comma 7 3 4 4 2" xfId="47547"/>
    <cellStyle name="Comma 7 3 4 4 2 2" xfId="47548"/>
    <cellStyle name="Comma 7 3 4 4 2 3" xfId="47549"/>
    <cellStyle name="Comma 7 3 4 4 3" xfId="47550"/>
    <cellStyle name="Comma 7 3 4 4 3 2" xfId="47551"/>
    <cellStyle name="Comma 7 3 4 4 4" xfId="47552"/>
    <cellStyle name="Comma 7 3 4 4 5" xfId="47553"/>
    <cellStyle name="Comma 7 3 4 5" xfId="47554"/>
    <cellStyle name="Comma 7 3 4 5 2" xfId="47555"/>
    <cellStyle name="Comma 7 3 4 5 3" xfId="47556"/>
    <cellStyle name="Comma 7 3 4 6" xfId="47557"/>
    <cellStyle name="Comma 7 3 4 6 2" xfId="47558"/>
    <cellStyle name="Comma 7 3 4 6 3" xfId="47559"/>
    <cellStyle name="Comma 7 3 4 7" xfId="47560"/>
    <cellStyle name="Comma 7 3 4 7 2" xfId="47561"/>
    <cellStyle name="Comma 7 3 4 8" xfId="47562"/>
    <cellStyle name="Comma 7 3 4 9" xfId="47563"/>
    <cellStyle name="Comma 7 3 5" xfId="9112"/>
    <cellStyle name="Comma 7 3 5 2" xfId="47564"/>
    <cellStyle name="Comma 7 3 5 2 2" xfId="47565"/>
    <cellStyle name="Comma 7 3 5 2 2 2" xfId="47566"/>
    <cellStyle name="Comma 7 3 5 2 2 3" xfId="47567"/>
    <cellStyle name="Comma 7 3 5 2 3" xfId="47568"/>
    <cellStyle name="Comma 7 3 5 2 3 2" xfId="47569"/>
    <cellStyle name="Comma 7 3 5 2 3 3" xfId="47570"/>
    <cellStyle name="Comma 7 3 5 2 4" xfId="47571"/>
    <cellStyle name="Comma 7 3 5 2 4 2" xfId="47572"/>
    <cellStyle name="Comma 7 3 5 2 5" xfId="47573"/>
    <cellStyle name="Comma 7 3 5 2 6" xfId="47574"/>
    <cellStyle name="Comma 7 3 5 3" xfId="47575"/>
    <cellStyle name="Comma 7 3 5 3 2" xfId="47576"/>
    <cellStyle name="Comma 7 3 5 3 2 2" xfId="47577"/>
    <cellStyle name="Comma 7 3 5 3 2 3" xfId="47578"/>
    <cellStyle name="Comma 7 3 5 3 3" xfId="47579"/>
    <cellStyle name="Comma 7 3 5 3 3 2" xfId="47580"/>
    <cellStyle name="Comma 7 3 5 3 3 3" xfId="47581"/>
    <cellStyle name="Comma 7 3 5 3 4" xfId="47582"/>
    <cellStyle name="Comma 7 3 5 3 4 2" xfId="47583"/>
    <cellStyle name="Comma 7 3 5 3 5" xfId="47584"/>
    <cellStyle name="Comma 7 3 5 3 6" xfId="47585"/>
    <cellStyle name="Comma 7 3 5 4" xfId="47586"/>
    <cellStyle name="Comma 7 3 5 4 2" xfId="47587"/>
    <cellStyle name="Comma 7 3 5 4 2 2" xfId="47588"/>
    <cellStyle name="Comma 7 3 5 4 2 3" xfId="47589"/>
    <cellStyle name="Comma 7 3 5 4 3" xfId="47590"/>
    <cellStyle name="Comma 7 3 5 4 3 2" xfId="47591"/>
    <cellStyle name="Comma 7 3 5 4 4" xfId="47592"/>
    <cellStyle name="Comma 7 3 5 4 5" xfId="47593"/>
    <cellStyle name="Comma 7 3 5 5" xfId="47594"/>
    <cellStyle name="Comma 7 3 5 5 2" xfId="47595"/>
    <cellStyle name="Comma 7 3 5 5 3" xfId="47596"/>
    <cellStyle name="Comma 7 3 5 6" xfId="47597"/>
    <cellStyle name="Comma 7 3 5 6 2" xfId="47598"/>
    <cellStyle name="Comma 7 3 5 6 3" xfId="47599"/>
    <cellStyle name="Comma 7 3 5 7" xfId="47600"/>
    <cellStyle name="Comma 7 3 5 7 2" xfId="47601"/>
    <cellStyle name="Comma 7 3 5 8" xfId="47602"/>
    <cellStyle name="Comma 7 3 5 9" xfId="47603"/>
    <cellStyle name="Comma 7 3 6" xfId="47604"/>
    <cellStyle name="Comma 7 3 6 2" xfId="47605"/>
    <cellStyle name="Comma 7 3 6 2 2" xfId="47606"/>
    <cellStyle name="Comma 7 3 6 2 3" xfId="47607"/>
    <cellStyle name="Comma 7 3 6 3" xfId="47608"/>
    <cellStyle name="Comma 7 3 6 3 2" xfId="47609"/>
    <cellStyle name="Comma 7 3 6 3 3" xfId="47610"/>
    <cellStyle name="Comma 7 3 6 4" xfId="47611"/>
    <cellStyle name="Comma 7 3 6 4 2" xfId="47612"/>
    <cellStyle name="Comma 7 3 6 5" xfId="47613"/>
    <cellStyle name="Comma 7 3 6 6" xfId="47614"/>
    <cellStyle name="Comma 7 3 7" xfId="47615"/>
    <cellStyle name="Comma 7 3 7 2" xfId="47616"/>
    <cellStyle name="Comma 7 3 7 2 2" xfId="47617"/>
    <cellStyle name="Comma 7 3 7 2 3" xfId="47618"/>
    <cellStyle name="Comma 7 3 7 3" xfId="47619"/>
    <cellStyle name="Comma 7 3 7 3 2" xfId="47620"/>
    <cellStyle name="Comma 7 3 7 3 3" xfId="47621"/>
    <cellStyle name="Comma 7 3 7 4" xfId="47622"/>
    <cellStyle name="Comma 7 3 7 4 2" xfId="47623"/>
    <cellStyle name="Comma 7 3 7 5" xfId="47624"/>
    <cellStyle name="Comma 7 3 7 6" xfId="47625"/>
    <cellStyle name="Comma 7 3 8" xfId="47626"/>
    <cellStyle name="Comma 7 3 8 2" xfId="47627"/>
    <cellStyle name="Comma 7 3 8 2 2" xfId="47628"/>
    <cellStyle name="Comma 7 3 8 2 3" xfId="47629"/>
    <cellStyle name="Comma 7 3 8 3" xfId="47630"/>
    <cellStyle name="Comma 7 3 8 3 2" xfId="47631"/>
    <cellStyle name="Comma 7 3 8 4" xfId="47632"/>
    <cellStyle name="Comma 7 3 8 5" xfId="47633"/>
    <cellStyle name="Comma 7 3 9" xfId="47634"/>
    <cellStyle name="Comma 7 3 9 2" xfId="47635"/>
    <cellStyle name="Comma 7 3 9 3" xfId="47636"/>
    <cellStyle name="Comma 7 4" xfId="3717"/>
    <cellStyle name="Comma 7 4 10" xfId="47637"/>
    <cellStyle name="Comma 7 4 10 2" xfId="47638"/>
    <cellStyle name="Comma 7 4 11" xfId="47639"/>
    <cellStyle name="Comma 7 4 12" xfId="47640"/>
    <cellStyle name="Comma 7 4 2" xfId="3718"/>
    <cellStyle name="Comma 7 4 2 10" xfId="47641"/>
    <cellStyle name="Comma 7 4 2 2" xfId="9113"/>
    <cellStyle name="Comma 7 4 2 2 2" xfId="9114"/>
    <cellStyle name="Comma 7 4 2 2 2 2" xfId="47642"/>
    <cellStyle name="Comma 7 4 2 2 2 2 2" xfId="47643"/>
    <cellStyle name="Comma 7 4 2 2 2 2 3" xfId="47644"/>
    <cellStyle name="Comma 7 4 2 2 2 3" xfId="47645"/>
    <cellStyle name="Comma 7 4 2 2 2 3 2" xfId="47646"/>
    <cellStyle name="Comma 7 4 2 2 2 3 3" xfId="47647"/>
    <cellStyle name="Comma 7 4 2 2 2 4" xfId="47648"/>
    <cellStyle name="Comma 7 4 2 2 2 4 2" xfId="47649"/>
    <cellStyle name="Comma 7 4 2 2 2 5" xfId="47650"/>
    <cellStyle name="Comma 7 4 2 2 2 6" xfId="47651"/>
    <cellStyle name="Comma 7 4 2 2 3" xfId="47652"/>
    <cellStyle name="Comma 7 4 2 2 3 2" xfId="47653"/>
    <cellStyle name="Comma 7 4 2 2 3 2 2" xfId="47654"/>
    <cellStyle name="Comma 7 4 2 2 3 2 3" xfId="47655"/>
    <cellStyle name="Comma 7 4 2 2 3 3" xfId="47656"/>
    <cellStyle name="Comma 7 4 2 2 3 3 2" xfId="47657"/>
    <cellStyle name="Comma 7 4 2 2 3 3 3" xfId="47658"/>
    <cellStyle name="Comma 7 4 2 2 3 4" xfId="47659"/>
    <cellStyle name="Comma 7 4 2 2 3 4 2" xfId="47660"/>
    <cellStyle name="Comma 7 4 2 2 3 5" xfId="47661"/>
    <cellStyle name="Comma 7 4 2 2 3 6" xfId="47662"/>
    <cellStyle name="Comma 7 4 2 2 4" xfId="47663"/>
    <cellStyle name="Comma 7 4 2 2 4 2" xfId="47664"/>
    <cellStyle name="Comma 7 4 2 2 4 2 2" xfId="47665"/>
    <cellStyle name="Comma 7 4 2 2 4 2 3" xfId="47666"/>
    <cellStyle name="Comma 7 4 2 2 4 3" xfId="47667"/>
    <cellStyle name="Comma 7 4 2 2 4 3 2" xfId="47668"/>
    <cellStyle name="Comma 7 4 2 2 4 4" xfId="47669"/>
    <cellStyle name="Comma 7 4 2 2 4 5" xfId="47670"/>
    <cellStyle name="Comma 7 4 2 2 5" xfId="47671"/>
    <cellStyle name="Comma 7 4 2 2 5 2" xfId="47672"/>
    <cellStyle name="Comma 7 4 2 2 5 3" xfId="47673"/>
    <cellStyle name="Comma 7 4 2 2 6" xfId="47674"/>
    <cellStyle name="Comma 7 4 2 2 6 2" xfId="47675"/>
    <cellStyle name="Comma 7 4 2 2 6 3" xfId="47676"/>
    <cellStyle name="Comma 7 4 2 2 7" xfId="47677"/>
    <cellStyle name="Comma 7 4 2 2 7 2" xfId="47678"/>
    <cellStyle name="Comma 7 4 2 2 8" xfId="47679"/>
    <cellStyle name="Comma 7 4 2 2 9" xfId="47680"/>
    <cellStyle name="Comma 7 4 2 3" xfId="9115"/>
    <cellStyle name="Comma 7 4 2 3 2" xfId="47681"/>
    <cellStyle name="Comma 7 4 2 3 2 2" xfId="47682"/>
    <cellStyle name="Comma 7 4 2 3 2 3" xfId="47683"/>
    <cellStyle name="Comma 7 4 2 3 3" xfId="47684"/>
    <cellStyle name="Comma 7 4 2 3 3 2" xfId="47685"/>
    <cellStyle name="Comma 7 4 2 3 3 3" xfId="47686"/>
    <cellStyle name="Comma 7 4 2 3 4" xfId="47687"/>
    <cellStyle name="Comma 7 4 2 3 4 2" xfId="47688"/>
    <cellStyle name="Comma 7 4 2 3 5" xfId="47689"/>
    <cellStyle name="Comma 7 4 2 3 6" xfId="47690"/>
    <cellStyle name="Comma 7 4 2 4" xfId="9116"/>
    <cellStyle name="Comma 7 4 2 4 2" xfId="47691"/>
    <cellStyle name="Comma 7 4 2 4 2 2" xfId="47692"/>
    <cellStyle name="Comma 7 4 2 4 2 3" xfId="47693"/>
    <cellStyle name="Comma 7 4 2 4 3" xfId="47694"/>
    <cellStyle name="Comma 7 4 2 4 3 2" xfId="47695"/>
    <cellStyle name="Comma 7 4 2 4 3 3" xfId="47696"/>
    <cellStyle name="Comma 7 4 2 4 4" xfId="47697"/>
    <cellStyle name="Comma 7 4 2 4 4 2" xfId="47698"/>
    <cellStyle name="Comma 7 4 2 4 5" xfId="47699"/>
    <cellStyle name="Comma 7 4 2 4 6" xfId="47700"/>
    <cellStyle name="Comma 7 4 2 5" xfId="47701"/>
    <cellStyle name="Comma 7 4 2 5 2" xfId="47702"/>
    <cellStyle name="Comma 7 4 2 5 2 2" xfId="47703"/>
    <cellStyle name="Comma 7 4 2 5 2 3" xfId="47704"/>
    <cellStyle name="Comma 7 4 2 5 3" xfId="47705"/>
    <cellStyle name="Comma 7 4 2 5 3 2" xfId="47706"/>
    <cellStyle name="Comma 7 4 2 5 4" xfId="47707"/>
    <cellStyle name="Comma 7 4 2 5 5" xfId="47708"/>
    <cellStyle name="Comma 7 4 2 6" xfId="47709"/>
    <cellStyle name="Comma 7 4 2 6 2" xfId="47710"/>
    <cellStyle name="Comma 7 4 2 6 3" xfId="47711"/>
    <cellStyle name="Comma 7 4 2 7" xfId="47712"/>
    <cellStyle name="Comma 7 4 2 7 2" xfId="47713"/>
    <cellStyle name="Comma 7 4 2 7 3" xfId="47714"/>
    <cellStyle name="Comma 7 4 2 8" xfId="47715"/>
    <cellStyle name="Comma 7 4 2 8 2" xfId="47716"/>
    <cellStyle name="Comma 7 4 2 9" xfId="47717"/>
    <cellStyle name="Comma 7 4 3" xfId="9117"/>
    <cellStyle name="Comma 7 4 3 2" xfId="9118"/>
    <cellStyle name="Comma 7 4 3 2 2" xfId="47718"/>
    <cellStyle name="Comma 7 4 3 2 2 2" xfId="47719"/>
    <cellStyle name="Comma 7 4 3 2 2 3" xfId="47720"/>
    <cellStyle name="Comma 7 4 3 2 3" xfId="47721"/>
    <cellStyle name="Comma 7 4 3 2 3 2" xfId="47722"/>
    <cellStyle name="Comma 7 4 3 2 3 3" xfId="47723"/>
    <cellStyle name="Comma 7 4 3 2 4" xfId="47724"/>
    <cellStyle name="Comma 7 4 3 2 4 2" xfId="47725"/>
    <cellStyle name="Comma 7 4 3 2 5" xfId="47726"/>
    <cellStyle name="Comma 7 4 3 2 6" xfId="47727"/>
    <cellStyle name="Comma 7 4 3 3" xfId="47728"/>
    <cellStyle name="Comma 7 4 3 3 2" xfId="47729"/>
    <cellStyle name="Comma 7 4 3 3 2 2" xfId="47730"/>
    <cellStyle name="Comma 7 4 3 3 2 3" xfId="47731"/>
    <cellStyle name="Comma 7 4 3 3 3" xfId="47732"/>
    <cellStyle name="Comma 7 4 3 3 3 2" xfId="47733"/>
    <cellStyle name="Comma 7 4 3 3 3 3" xfId="47734"/>
    <cellStyle name="Comma 7 4 3 3 4" xfId="47735"/>
    <cellStyle name="Comma 7 4 3 3 4 2" xfId="47736"/>
    <cellStyle name="Comma 7 4 3 3 5" xfId="47737"/>
    <cellStyle name="Comma 7 4 3 3 6" xfId="47738"/>
    <cellStyle name="Comma 7 4 3 4" xfId="47739"/>
    <cellStyle name="Comma 7 4 3 4 2" xfId="47740"/>
    <cellStyle name="Comma 7 4 3 4 2 2" xfId="47741"/>
    <cellStyle name="Comma 7 4 3 4 2 3" xfId="47742"/>
    <cellStyle name="Comma 7 4 3 4 3" xfId="47743"/>
    <cellStyle name="Comma 7 4 3 4 3 2" xfId="47744"/>
    <cellStyle name="Comma 7 4 3 4 4" xfId="47745"/>
    <cellStyle name="Comma 7 4 3 4 5" xfId="47746"/>
    <cellStyle name="Comma 7 4 3 5" xfId="47747"/>
    <cellStyle name="Comma 7 4 3 5 2" xfId="47748"/>
    <cellStyle name="Comma 7 4 3 5 3" xfId="47749"/>
    <cellStyle name="Comma 7 4 3 6" xfId="47750"/>
    <cellStyle name="Comma 7 4 3 6 2" xfId="47751"/>
    <cellStyle name="Comma 7 4 3 6 3" xfId="47752"/>
    <cellStyle name="Comma 7 4 3 7" xfId="47753"/>
    <cellStyle name="Comma 7 4 3 7 2" xfId="47754"/>
    <cellStyle name="Comma 7 4 3 8" xfId="47755"/>
    <cellStyle name="Comma 7 4 3 9" xfId="47756"/>
    <cellStyle name="Comma 7 4 4" xfId="9119"/>
    <cellStyle name="Comma 7 4 4 2" xfId="47757"/>
    <cellStyle name="Comma 7 4 4 2 2" xfId="47758"/>
    <cellStyle name="Comma 7 4 4 2 2 2" xfId="47759"/>
    <cellStyle name="Comma 7 4 4 2 2 3" xfId="47760"/>
    <cellStyle name="Comma 7 4 4 2 3" xfId="47761"/>
    <cellStyle name="Comma 7 4 4 2 3 2" xfId="47762"/>
    <cellStyle name="Comma 7 4 4 2 3 3" xfId="47763"/>
    <cellStyle name="Comma 7 4 4 2 4" xfId="47764"/>
    <cellStyle name="Comma 7 4 4 2 4 2" xfId="47765"/>
    <cellStyle name="Comma 7 4 4 2 5" xfId="47766"/>
    <cellStyle name="Comma 7 4 4 2 6" xfId="47767"/>
    <cellStyle name="Comma 7 4 4 3" xfId="47768"/>
    <cellStyle name="Comma 7 4 4 3 2" xfId="47769"/>
    <cellStyle name="Comma 7 4 4 3 2 2" xfId="47770"/>
    <cellStyle name="Comma 7 4 4 3 2 3" xfId="47771"/>
    <cellStyle name="Comma 7 4 4 3 3" xfId="47772"/>
    <cellStyle name="Comma 7 4 4 3 3 2" xfId="47773"/>
    <cellStyle name="Comma 7 4 4 3 3 3" xfId="47774"/>
    <cellStyle name="Comma 7 4 4 3 4" xfId="47775"/>
    <cellStyle name="Comma 7 4 4 3 4 2" xfId="47776"/>
    <cellStyle name="Comma 7 4 4 3 5" xfId="47777"/>
    <cellStyle name="Comma 7 4 4 3 6" xfId="47778"/>
    <cellStyle name="Comma 7 4 4 4" xfId="47779"/>
    <cellStyle name="Comma 7 4 4 4 2" xfId="47780"/>
    <cellStyle name="Comma 7 4 4 4 2 2" xfId="47781"/>
    <cellStyle name="Comma 7 4 4 4 2 3" xfId="47782"/>
    <cellStyle name="Comma 7 4 4 4 3" xfId="47783"/>
    <cellStyle name="Comma 7 4 4 4 3 2" xfId="47784"/>
    <cellStyle name="Comma 7 4 4 4 4" xfId="47785"/>
    <cellStyle name="Comma 7 4 4 4 5" xfId="47786"/>
    <cellStyle name="Comma 7 4 4 5" xfId="47787"/>
    <cellStyle name="Comma 7 4 4 5 2" xfId="47788"/>
    <cellStyle name="Comma 7 4 4 5 3" xfId="47789"/>
    <cellStyle name="Comma 7 4 4 6" xfId="47790"/>
    <cellStyle name="Comma 7 4 4 6 2" xfId="47791"/>
    <cellStyle name="Comma 7 4 4 6 3" xfId="47792"/>
    <cellStyle name="Comma 7 4 4 7" xfId="47793"/>
    <cellStyle name="Comma 7 4 4 7 2" xfId="47794"/>
    <cellStyle name="Comma 7 4 4 8" xfId="47795"/>
    <cellStyle name="Comma 7 4 4 9" xfId="47796"/>
    <cellStyle name="Comma 7 4 5" xfId="9120"/>
    <cellStyle name="Comma 7 4 5 2" xfId="47797"/>
    <cellStyle name="Comma 7 4 5 2 2" xfId="47798"/>
    <cellStyle name="Comma 7 4 5 2 3" xfId="47799"/>
    <cellStyle name="Comma 7 4 5 3" xfId="47800"/>
    <cellStyle name="Comma 7 4 5 3 2" xfId="47801"/>
    <cellStyle name="Comma 7 4 5 3 3" xfId="47802"/>
    <cellStyle name="Comma 7 4 5 4" xfId="47803"/>
    <cellStyle name="Comma 7 4 5 4 2" xfId="47804"/>
    <cellStyle name="Comma 7 4 5 5" xfId="47805"/>
    <cellStyle name="Comma 7 4 5 6" xfId="47806"/>
    <cellStyle name="Comma 7 4 6" xfId="47807"/>
    <cellStyle name="Comma 7 4 6 2" xfId="47808"/>
    <cellStyle name="Comma 7 4 6 2 2" xfId="47809"/>
    <cellStyle name="Comma 7 4 6 2 3" xfId="47810"/>
    <cellStyle name="Comma 7 4 6 3" xfId="47811"/>
    <cellStyle name="Comma 7 4 6 3 2" xfId="47812"/>
    <cellStyle name="Comma 7 4 6 3 3" xfId="47813"/>
    <cellStyle name="Comma 7 4 6 4" xfId="47814"/>
    <cellStyle name="Comma 7 4 6 4 2" xfId="47815"/>
    <cellStyle name="Comma 7 4 6 5" xfId="47816"/>
    <cellStyle name="Comma 7 4 6 6" xfId="47817"/>
    <cellStyle name="Comma 7 4 7" xfId="47818"/>
    <cellStyle name="Comma 7 4 7 2" xfId="47819"/>
    <cellStyle name="Comma 7 4 7 2 2" xfId="47820"/>
    <cellStyle name="Comma 7 4 7 2 3" xfId="47821"/>
    <cellStyle name="Comma 7 4 7 3" xfId="47822"/>
    <cellStyle name="Comma 7 4 7 3 2" xfId="47823"/>
    <cellStyle name="Comma 7 4 7 4" xfId="47824"/>
    <cellStyle name="Comma 7 4 7 5" xfId="47825"/>
    <cellStyle name="Comma 7 4 8" xfId="47826"/>
    <cellStyle name="Comma 7 4 8 2" xfId="47827"/>
    <cellStyle name="Comma 7 4 8 3" xfId="47828"/>
    <cellStyle name="Comma 7 4 9" xfId="47829"/>
    <cellStyle name="Comma 7 4 9 2" xfId="47830"/>
    <cellStyle name="Comma 7 4 9 3" xfId="47831"/>
    <cellStyle name="Comma 7 5" xfId="3719"/>
    <cellStyle name="Comma 7 5 10" xfId="47832"/>
    <cellStyle name="Comma 7 5 2" xfId="3720"/>
    <cellStyle name="Comma 7 5 2 2" xfId="9121"/>
    <cellStyle name="Comma 7 5 2 2 2" xfId="9122"/>
    <cellStyle name="Comma 7 5 2 2 2 2" xfId="47833"/>
    <cellStyle name="Comma 7 5 2 2 2 3" xfId="47834"/>
    <cellStyle name="Comma 7 5 2 2 3" xfId="47835"/>
    <cellStyle name="Comma 7 5 2 2 3 2" xfId="47836"/>
    <cellStyle name="Comma 7 5 2 2 3 3" xfId="47837"/>
    <cellStyle name="Comma 7 5 2 2 4" xfId="47838"/>
    <cellStyle name="Comma 7 5 2 2 4 2" xfId="47839"/>
    <cellStyle name="Comma 7 5 2 2 5" xfId="47840"/>
    <cellStyle name="Comma 7 5 2 2 6" xfId="47841"/>
    <cellStyle name="Comma 7 5 2 3" xfId="9123"/>
    <cellStyle name="Comma 7 5 2 3 2" xfId="47842"/>
    <cellStyle name="Comma 7 5 2 3 2 2" xfId="47843"/>
    <cellStyle name="Comma 7 5 2 3 2 3" xfId="47844"/>
    <cellStyle name="Comma 7 5 2 3 3" xfId="47845"/>
    <cellStyle name="Comma 7 5 2 3 3 2" xfId="47846"/>
    <cellStyle name="Comma 7 5 2 3 3 3" xfId="47847"/>
    <cellStyle name="Comma 7 5 2 3 4" xfId="47848"/>
    <cellStyle name="Comma 7 5 2 3 4 2" xfId="47849"/>
    <cellStyle name="Comma 7 5 2 3 5" xfId="47850"/>
    <cellStyle name="Comma 7 5 2 3 6" xfId="47851"/>
    <cellStyle name="Comma 7 5 2 4" xfId="9124"/>
    <cellStyle name="Comma 7 5 2 4 2" xfId="47852"/>
    <cellStyle name="Comma 7 5 2 4 2 2" xfId="47853"/>
    <cellStyle name="Comma 7 5 2 4 2 3" xfId="47854"/>
    <cellStyle name="Comma 7 5 2 4 3" xfId="47855"/>
    <cellStyle name="Comma 7 5 2 4 3 2" xfId="47856"/>
    <cellStyle name="Comma 7 5 2 4 4" xfId="47857"/>
    <cellStyle name="Comma 7 5 2 4 5" xfId="47858"/>
    <cellStyle name="Comma 7 5 2 5" xfId="47859"/>
    <cellStyle name="Comma 7 5 2 5 2" xfId="47860"/>
    <cellStyle name="Comma 7 5 2 5 3" xfId="47861"/>
    <cellStyle name="Comma 7 5 2 6" xfId="47862"/>
    <cellStyle name="Comma 7 5 2 6 2" xfId="47863"/>
    <cellStyle name="Comma 7 5 2 6 3" xfId="47864"/>
    <cellStyle name="Comma 7 5 2 7" xfId="47865"/>
    <cellStyle name="Comma 7 5 2 7 2" xfId="47866"/>
    <cellStyle name="Comma 7 5 2 8" xfId="47867"/>
    <cellStyle name="Comma 7 5 2 9" xfId="47868"/>
    <cellStyle name="Comma 7 5 3" xfId="9125"/>
    <cellStyle name="Comma 7 5 3 2" xfId="9126"/>
    <cellStyle name="Comma 7 5 3 2 2" xfId="47869"/>
    <cellStyle name="Comma 7 5 3 2 3" xfId="47870"/>
    <cellStyle name="Comma 7 5 3 3" xfId="47871"/>
    <cellStyle name="Comma 7 5 3 3 2" xfId="47872"/>
    <cellStyle name="Comma 7 5 3 3 3" xfId="47873"/>
    <cellStyle name="Comma 7 5 3 4" xfId="47874"/>
    <cellStyle name="Comma 7 5 3 4 2" xfId="47875"/>
    <cellStyle name="Comma 7 5 3 5" xfId="47876"/>
    <cellStyle name="Comma 7 5 3 6" xfId="47877"/>
    <cellStyle name="Comma 7 5 4" xfId="9127"/>
    <cellStyle name="Comma 7 5 4 2" xfId="47878"/>
    <cellStyle name="Comma 7 5 4 2 2" xfId="47879"/>
    <cellStyle name="Comma 7 5 4 2 3" xfId="47880"/>
    <cellStyle name="Comma 7 5 4 3" xfId="47881"/>
    <cellStyle name="Comma 7 5 4 3 2" xfId="47882"/>
    <cellStyle name="Comma 7 5 4 3 3" xfId="47883"/>
    <cellStyle name="Comma 7 5 4 4" xfId="47884"/>
    <cellStyle name="Comma 7 5 4 4 2" xfId="47885"/>
    <cellStyle name="Comma 7 5 4 5" xfId="47886"/>
    <cellStyle name="Comma 7 5 4 6" xfId="47887"/>
    <cellStyle name="Comma 7 5 5" xfId="9128"/>
    <cellStyle name="Comma 7 5 5 2" xfId="47888"/>
    <cellStyle name="Comma 7 5 5 2 2" xfId="47889"/>
    <cellStyle name="Comma 7 5 5 2 3" xfId="47890"/>
    <cellStyle name="Comma 7 5 5 3" xfId="47891"/>
    <cellStyle name="Comma 7 5 5 3 2" xfId="47892"/>
    <cellStyle name="Comma 7 5 5 4" xfId="47893"/>
    <cellStyle name="Comma 7 5 5 5" xfId="47894"/>
    <cellStyle name="Comma 7 5 6" xfId="47895"/>
    <cellStyle name="Comma 7 5 6 2" xfId="47896"/>
    <cellStyle name="Comma 7 5 6 3" xfId="47897"/>
    <cellStyle name="Comma 7 5 7" xfId="47898"/>
    <cellStyle name="Comma 7 5 7 2" xfId="47899"/>
    <cellStyle name="Comma 7 5 7 3" xfId="47900"/>
    <cellStyle name="Comma 7 5 8" xfId="47901"/>
    <cellStyle name="Comma 7 5 8 2" xfId="47902"/>
    <cellStyle name="Comma 7 5 9" xfId="47903"/>
    <cellStyle name="Comma 7 6" xfId="3721"/>
    <cellStyle name="Comma 7 6 2" xfId="3722"/>
    <cellStyle name="Comma 7 6 2 2" xfId="9129"/>
    <cellStyle name="Comma 7 6 2 2 2" xfId="9130"/>
    <cellStyle name="Comma 7 6 2 2 3" xfId="47904"/>
    <cellStyle name="Comma 7 6 2 3" xfId="9131"/>
    <cellStyle name="Comma 7 6 2 3 2" xfId="47905"/>
    <cellStyle name="Comma 7 6 2 3 3" xfId="47906"/>
    <cellStyle name="Comma 7 6 2 4" xfId="9132"/>
    <cellStyle name="Comma 7 6 2 4 2" xfId="47907"/>
    <cellStyle name="Comma 7 6 2 5" xfId="47908"/>
    <cellStyle name="Comma 7 6 2 6" xfId="47909"/>
    <cellStyle name="Comma 7 6 3" xfId="9133"/>
    <cellStyle name="Comma 7 6 3 2" xfId="9134"/>
    <cellStyle name="Comma 7 6 3 2 2" xfId="47910"/>
    <cellStyle name="Comma 7 6 3 2 3" xfId="47911"/>
    <cellStyle name="Comma 7 6 3 3" xfId="47912"/>
    <cellStyle name="Comma 7 6 3 3 2" xfId="47913"/>
    <cellStyle name="Comma 7 6 3 3 3" xfId="47914"/>
    <cellStyle name="Comma 7 6 3 4" xfId="47915"/>
    <cellStyle name="Comma 7 6 3 4 2" xfId="47916"/>
    <cellStyle name="Comma 7 6 3 5" xfId="47917"/>
    <cellStyle name="Comma 7 6 3 6" xfId="47918"/>
    <cellStyle name="Comma 7 6 4" xfId="9135"/>
    <cellStyle name="Comma 7 6 4 2" xfId="47919"/>
    <cellStyle name="Comma 7 6 4 2 2" xfId="47920"/>
    <cellStyle name="Comma 7 6 4 2 3" xfId="47921"/>
    <cellStyle name="Comma 7 6 4 3" xfId="47922"/>
    <cellStyle name="Comma 7 6 4 3 2" xfId="47923"/>
    <cellStyle name="Comma 7 6 4 4" xfId="47924"/>
    <cellStyle name="Comma 7 6 4 5" xfId="47925"/>
    <cellStyle name="Comma 7 6 5" xfId="9136"/>
    <cellStyle name="Comma 7 6 5 2" xfId="47926"/>
    <cellStyle name="Comma 7 6 5 3" xfId="47927"/>
    <cellStyle name="Comma 7 6 6" xfId="47928"/>
    <cellStyle name="Comma 7 6 6 2" xfId="47929"/>
    <cellStyle name="Comma 7 6 6 3" xfId="47930"/>
    <cellStyle name="Comma 7 6 7" xfId="47931"/>
    <cellStyle name="Comma 7 6 7 2" xfId="47932"/>
    <cellStyle name="Comma 7 6 8" xfId="47933"/>
    <cellStyle name="Comma 7 6 9" xfId="47934"/>
    <cellStyle name="Comma 7 7" xfId="3723"/>
    <cellStyle name="Comma 7 7 2" xfId="9137"/>
    <cellStyle name="Comma 7 7 2 2" xfId="9138"/>
    <cellStyle name="Comma 7 7 2 2 2" xfId="47935"/>
    <cellStyle name="Comma 7 7 2 2 3" xfId="47936"/>
    <cellStyle name="Comma 7 7 2 3" xfId="47937"/>
    <cellStyle name="Comma 7 7 2 3 2" xfId="47938"/>
    <cellStyle name="Comma 7 7 2 3 3" xfId="47939"/>
    <cellStyle name="Comma 7 7 2 4" xfId="47940"/>
    <cellStyle name="Comma 7 7 2 4 2" xfId="47941"/>
    <cellStyle name="Comma 7 7 2 5" xfId="47942"/>
    <cellStyle name="Comma 7 7 2 6" xfId="47943"/>
    <cellStyle name="Comma 7 7 3" xfId="9139"/>
    <cellStyle name="Comma 7 7 3 2" xfId="47944"/>
    <cellStyle name="Comma 7 7 3 2 2" xfId="47945"/>
    <cellStyle name="Comma 7 7 3 2 3" xfId="47946"/>
    <cellStyle name="Comma 7 7 3 3" xfId="47947"/>
    <cellStyle name="Comma 7 7 3 3 2" xfId="47948"/>
    <cellStyle name="Comma 7 7 3 3 3" xfId="47949"/>
    <cellStyle name="Comma 7 7 3 4" xfId="47950"/>
    <cellStyle name="Comma 7 7 3 4 2" xfId="47951"/>
    <cellStyle name="Comma 7 7 3 5" xfId="47952"/>
    <cellStyle name="Comma 7 7 3 6" xfId="47953"/>
    <cellStyle name="Comma 7 7 4" xfId="9140"/>
    <cellStyle name="Comma 7 7 4 2" xfId="47954"/>
    <cellStyle name="Comma 7 7 4 2 2" xfId="47955"/>
    <cellStyle name="Comma 7 7 4 2 3" xfId="47956"/>
    <cellStyle name="Comma 7 7 4 3" xfId="47957"/>
    <cellStyle name="Comma 7 7 4 3 2" xfId="47958"/>
    <cellStyle name="Comma 7 7 4 4" xfId="47959"/>
    <cellStyle name="Comma 7 7 4 5" xfId="47960"/>
    <cellStyle name="Comma 7 7 5" xfId="47961"/>
    <cellStyle name="Comma 7 7 5 2" xfId="47962"/>
    <cellStyle name="Comma 7 7 5 3" xfId="47963"/>
    <cellStyle name="Comma 7 7 6" xfId="47964"/>
    <cellStyle name="Comma 7 7 6 2" xfId="47965"/>
    <cellStyle name="Comma 7 7 6 3" xfId="47966"/>
    <cellStyle name="Comma 7 7 7" xfId="47967"/>
    <cellStyle name="Comma 7 7 7 2" xfId="47968"/>
    <cellStyle name="Comma 7 7 8" xfId="47969"/>
    <cellStyle name="Comma 7 7 9" xfId="47970"/>
    <cellStyle name="Comma 7 8" xfId="3724"/>
    <cellStyle name="Comma 7 8 2" xfId="9141"/>
    <cellStyle name="Comma 7 8 2 2" xfId="47971"/>
    <cellStyle name="Comma 7 8 2 3" xfId="47972"/>
    <cellStyle name="Comma 7 8 3" xfId="9142"/>
    <cellStyle name="Comma 7 8 3 2" xfId="47973"/>
    <cellStyle name="Comma 7 8 3 3" xfId="47974"/>
    <cellStyle name="Comma 7 8 4" xfId="47975"/>
    <cellStyle name="Comma 7 8 4 2" xfId="47976"/>
    <cellStyle name="Comma 7 8 5" xfId="47977"/>
    <cellStyle name="Comma 7 8 6" xfId="47978"/>
    <cellStyle name="Comma 7 9" xfId="9143"/>
    <cellStyle name="Comma 7 9 2" xfId="47979"/>
    <cellStyle name="Comma 7 9 2 2" xfId="47980"/>
    <cellStyle name="Comma 7 9 2 3" xfId="47981"/>
    <cellStyle name="Comma 7 9 3" xfId="47982"/>
    <cellStyle name="Comma 7 9 3 2" xfId="47983"/>
    <cellStyle name="Comma 7 9 3 3" xfId="47984"/>
    <cellStyle name="Comma 7 9 4" xfId="47985"/>
    <cellStyle name="Comma 7 9 4 2" xfId="47986"/>
    <cellStyle name="Comma 7 9 5" xfId="47987"/>
    <cellStyle name="Comma 7 9 6" xfId="47988"/>
    <cellStyle name="Comma 70" xfId="3725"/>
    <cellStyle name="Comma 71" xfId="3726"/>
    <cellStyle name="Comma 71 2" xfId="3727"/>
    <cellStyle name="Comma 72" xfId="3728"/>
    <cellStyle name="Comma 73" xfId="3729"/>
    <cellStyle name="Comma 73 2" xfId="3730"/>
    <cellStyle name="Comma 73 3" xfId="3731"/>
    <cellStyle name="Comma 74" xfId="3732"/>
    <cellStyle name="Comma 74 2" xfId="3733"/>
    <cellStyle name="Comma 74 3" xfId="3734"/>
    <cellStyle name="Comma 75" xfId="3735"/>
    <cellStyle name="Comma 76" xfId="3736"/>
    <cellStyle name="Comma 77" xfId="3737"/>
    <cellStyle name="Comma 78" xfId="3738"/>
    <cellStyle name="Comma 79" xfId="3739"/>
    <cellStyle name="Comma 8" xfId="3740"/>
    <cellStyle name="Comma 8 10" xfId="47989"/>
    <cellStyle name="Comma 8 10 2" xfId="47990"/>
    <cellStyle name="Comma 8 10 2 2" xfId="47991"/>
    <cellStyle name="Comma 8 10 2 3" xfId="47992"/>
    <cellStyle name="Comma 8 10 3" xfId="47993"/>
    <cellStyle name="Comma 8 10 3 2" xfId="47994"/>
    <cellStyle name="Comma 8 10 4" xfId="47995"/>
    <cellStyle name="Comma 8 10 5" xfId="47996"/>
    <cellStyle name="Comma 8 11" xfId="47997"/>
    <cellStyle name="Comma 8 11 2" xfId="47998"/>
    <cellStyle name="Comma 8 11 3" xfId="47999"/>
    <cellStyle name="Comma 8 12" xfId="48000"/>
    <cellStyle name="Comma 8 12 2" xfId="48001"/>
    <cellStyle name="Comma 8 12 3" xfId="48002"/>
    <cellStyle name="Comma 8 13" xfId="48003"/>
    <cellStyle name="Comma 8 13 2" xfId="48004"/>
    <cellStyle name="Comma 8 14" xfId="48005"/>
    <cellStyle name="Comma 8 15" xfId="48006"/>
    <cellStyle name="Comma 8 16" xfId="48007"/>
    <cellStyle name="Comma 8 2" xfId="3741"/>
    <cellStyle name="Comma 8 2 10" xfId="48008"/>
    <cellStyle name="Comma 8 2 10 2" xfId="48009"/>
    <cellStyle name="Comma 8 2 10 3" xfId="48010"/>
    <cellStyle name="Comma 8 2 11" xfId="48011"/>
    <cellStyle name="Comma 8 2 11 2" xfId="48012"/>
    <cellStyle name="Comma 8 2 11 3" xfId="48013"/>
    <cellStyle name="Comma 8 2 12" xfId="48014"/>
    <cellStyle name="Comma 8 2 12 2" xfId="48015"/>
    <cellStyle name="Comma 8 2 13" xfId="48016"/>
    <cellStyle name="Comma 8 2 14" xfId="48017"/>
    <cellStyle name="Comma 8 2 15" xfId="48018"/>
    <cellStyle name="Comma 8 2 2" xfId="3742"/>
    <cellStyle name="Comma 8 2 2 10" xfId="48019"/>
    <cellStyle name="Comma 8 2 2 10 2" xfId="48020"/>
    <cellStyle name="Comma 8 2 2 10 3" xfId="48021"/>
    <cellStyle name="Comma 8 2 2 11" xfId="48022"/>
    <cellStyle name="Comma 8 2 2 11 2" xfId="48023"/>
    <cellStyle name="Comma 8 2 2 12" xfId="48024"/>
    <cellStyle name="Comma 8 2 2 13" xfId="48025"/>
    <cellStyle name="Comma 8 2 2 14" xfId="48026"/>
    <cellStyle name="Comma 8 2 2 2" xfId="9144"/>
    <cellStyle name="Comma 8 2 2 2 10" xfId="48027"/>
    <cellStyle name="Comma 8 2 2 2 10 2" xfId="48028"/>
    <cellStyle name="Comma 8 2 2 2 11" xfId="48029"/>
    <cellStyle name="Comma 8 2 2 2 12" xfId="48030"/>
    <cellStyle name="Comma 8 2 2 2 13" xfId="48031"/>
    <cellStyle name="Comma 8 2 2 2 2" xfId="48032"/>
    <cellStyle name="Comma 8 2 2 2 2 10" xfId="48033"/>
    <cellStyle name="Comma 8 2 2 2 2 2" xfId="48034"/>
    <cellStyle name="Comma 8 2 2 2 2 2 2" xfId="48035"/>
    <cellStyle name="Comma 8 2 2 2 2 2 2 2" xfId="48036"/>
    <cellStyle name="Comma 8 2 2 2 2 2 2 2 2" xfId="48037"/>
    <cellStyle name="Comma 8 2 2 2 2 2 2 2 3" xfId="48038"/>
    <cellStyle name="Comma 8 2 2 2 2 2 2 3" xfId="48039"/>
    <cellStyle name="Comma 8 2 2 2 2 2 2 3 2" xfId="48040"/>
    <cellStyle name="Comma 8 2 2 2 2 2 2 3 3" xfId="48041"/>
    <cellStyle name="Comma 8 2 2 2 2 2 2 4" xfId="48042"/>
    <cellStyle name="Comma 8 2 2 2 2 2 2 4 2" xfId="48043"/>
    <cellStyle name="Comma 8 2 2 2 2 2 2 5" xfId="48044"/>
    <cellStyle name="Comma 8 2 2 2 2 2 2 6" xfId="48045"/>
    <cellStyle name="Comma 8 2 2 2 2 2 3" xfId="48046"/>
    <cellStyle name="Comma 8 2 2 2 2 2 3 2" xfId="48047"/>
    <cellStyle name="Comma 8 2 2 2 2 2 3 2 2" xfId="48048"/>
    <cellStyle name="Comma 8 2 2 2 2 2 3 2 3" xfId="48049"/>
    <cellStyle name="Comma 8 2 2 2 2 2 3 3" xfId="48050"/>
    <cellStyle name="Comma 8 2 2 2 2 2 3 3 2" xfId="48051"/>
    <cellStyle name="Comma 8 2 2 2 2 2 3 3 3" xfId="48052"/>
    <cellStyle name="Comma 8 2 2 2 2 2 3 4" xfId="48053"/>
    <cellStyle name="Comma 8 2 2 2 2 2 3 4 2" xfId="48054"/>
    <cellStyle name="Comma 8 2 2 2 2 2 3 5" xfId="48055"/>
    <cellStyle name="Comma 8 2 2 2 2 2 3 6" xfId="48056"/>
    <cellStyle name="Comma 8 2 2 2 2 2 4" xfId="48057"/>
    <cellStyle name="Comma 8 2 2 2 2 2 4 2" xfId="48058"/>
    <cellStyle name="Comma 8 2 2 2 2 2 4 2 2" xfId="48059"/>
    <cellStyle name="Comma 8 2 2 2 2 2 4 2 3" xfId="48060"/>
    <cellStyle name="Comma 8 2 2 2 2 2 4 3" xfId="48061"/>
    <cellStyle name="Comma 8 2 2 2 2 2 4 3 2" xfId="48062"/>
    <cellStyle name="Comma 8 2 2 2 2 2 4 4" xfId="48063"/>
    <cellStyle name="Comma 8 2 2 2 2 2 4 5" xfId="48064"/>
    <cellStyle name="Comma 8 2 2 2 2 2 5" xfId="48065"/>
    <cellStyle name="Comma 8 2 2 2 2 2 5 2" xfId="48066"/>
    <cellStyle name="Comma 8 2 2 2 2 2 5 3" xfId="48067"/>
    <cellStyle name="Comma 8 2 2 2 2 2 6" xfId="48068"/>
    <cellStyle name="Comma 8 2 2 2 2 2 6 2" xfId="48069"/>
    <cellStyle name="Comma 8 2 2 2 2 2 6 3" xfId="48070"/>
    <cellStyle name="Comma 8 2 2 2 2 2 7" xfId="48071"/>
    <cellStyle name="Comma 8 2 2 2 2 2 7 2" xfId="48072"/>
    <cellStyle name="Comma 8 2 2 2 2 2 8" xfId="48073"/>
    <cellStyle name="Comma 8 2 2 2 2 2 9" xfId="48074"/>
    <cellStyle name="Comma 8 2 2 2 2 3" xfId="48075"/>
    <cellStyle name="Comma 8 2 2 2 2 3 2" xfId="48076"/>
    <cellStyle name="Comma 8 2 2 2 2 3 2 2" xfId="48077"/>
    <cellStyle name="Comma 8 2 2 2 2 3 2 3" xfId="48078"/>
    <cellStyle name="Comma 8 2 2 2 2 3 3" xfId="48079"/>
    <cellStyle name="Comma 8 2 2 2 2 3 3 2" xfId="48080"/>
    <cellStyle name="Comma 8 2 2 2 2 3 3 3" xfId="48081"/>
    <cellStyle name="Comma 8 2 2 2 2 3 4" xfId="48082"/>
    <cellStyle name="Comma 8 2 2 2 2 3 4 2" xfId="48083"/>
    <cellStyle name="Comma 8 2 2 2 2 3 5" xfId="48084"/>
    <cellStyle name="Comma 8 2 2 2 2 3 6" xfId="48085"/>
    <cellStyle name="Comma 8 2 2 2 2 4" xfId="48086"/>
    <cellStyle name="Comma 8 2 2 2 2 4 2" xfId="48087"/>
    <cellStyle name="Comma 8 2 2 2 2 4 2 2" xfId="48088"/>
    <cellStyle name="Comma 8 2 2 2 2 4 2 3" xfId="48089"/>
    <cellStyle name="Comma 8 2 2 2 2 4 3" xfId="48090"/>
    <cellStyle name="Comma 8 2 2 2 2 4 3 2" xfId="48091"/>
    <cellStyle name="Comma 8 2 2 2 2 4 3 3" xfId="48092"/>
    <cellStyle name="Comma 8 2 2 2 2 4 4" xfId="48093"/>
    <cellStyle name="Comma 8 2 2 2 2 4 4 2" xfId="48094"/>
    <cellStyle name="Comma 8 2 2 2 2 4 5" xfId="48095"/>
    <cellStyle name="Comma 8 2 2 2 2 4 6" xfId="48096"/>
    <cellStyle name="Comma 8 2 2 2 2 5" xfId="48097"/>
    <cellStyle name="Comma 8 2 2 2 2 5 2" xfId="48098"/>
    <cellStyle name="Comma 8 2 2 2 2 5 2 2" xfId="48099"/>
    <cellStyle name="Comma 8 2 2 2 2 5 2 3" xfId="48100"/>
    <cellStyle name="Comma 8 2 2 2 2 5 3" xfId="48101"/>
    <cellStyle name="Comma 8 2 2 2 2 5 3 2" xfId="48102"/>
    <cellStyle name="Comma 8 2 2 2 2 5 4" xfId="48103"/>
    <cellStyle name="Comma 8 2 2 2 2 5 5" xfId="48104"/>
    <cellStyle name="Comma 8 2 2 2 2 6" xfId="48105"/>
    <cellStyle name="Comma 8 2 2 2 2 6 2" xfId="48106"/>
    <cellStyle name="Comma 8 2 2 2 2 6 3" xfId="48107"/>
    <cellStyle name="Comma 8 2 2 2 2 7" xfId="48108"/>
    <cellStyle name="Comma 8 2 2 2 2 7 2" xfId="48109"/>
    <cellStyle name="Comma 8 2 2 2 2 7 3" xfId="48110"/>
    <cellStyle name="Comma 8 2 2 2 2 8" xfId="48111"/>
    <cellStyle name="Comma 8 2 2 2 2 8 2" xfId="48112"/>
    <cellStyle name="Comma 8 2 2 2 2 9" xfId="48113"/>
    <cellStyle name="Comma 8 2 2 2 3" xfId="48114"/>
    <cellStyle name="Comma 8 2 2 2 3 2" xfId="48115"/>
    <cellStyle name="Comma 8 2 2 2 3 2 2" xfId="48116"/>
    <cellStyle name="Comma 8 2 2 2 3 2 2 2" xfId="48117"/>
    <cellStyle name="Comma 8 2 2 2 3 2 2 3" xfId="48118"/>
    <cellStyle name="Comma 8 2 2 2 3 2 3" xfId="48119"/>
    <cellStyle name="Comma 8 2 2 2 3 2 3 2" xfId="48120"/>
    <cellStyle name="Comma 8 2 2 2 3 2 3 3" xfId="48121"/>
    <cellStyle name="Comma 8 2 2 2 3 2 4" xfId="48122"/>
    <cellStyle name="Comma 8 2 2 2 3 2 4 2" xfId="48123"/>
    <cellStyle name="Comma 8 2 2 2 3 2 5" xfId="48124"/>
    <cellStyle name="Comma 8 2 2 2 3 2 6" xfId="48125"/>
    <cellStyle name="Comma 8 2 2 2 3 3" xfId="48126"/>
    <cellStyle name="Comma 8 2 2 2 3 3 2" xfId="48127"/>
    <cellStyle name="Comma 8 2 2 2 3 3 2 2" xfId="48128"/>
    <cellStyle name="Comma 8 2 2 2 3 3 2 3" xfId="48129"/>
    <cellStyle name="Comma 8 2 2 2 3 3 3" xfId="48130"/>
    <cellStyle name="Comma 8 2 2 2 3 3 3 2" xfId="48131"/>
    <cellStyle name="Comma 8 2 2 2 3 3 3 3" xfId="48132"/>
    <cellStyle name="Comma 8 2 2 2 3 3 4" xfId="48133"/>
    <cellStyle name="Comma 8 2 2 2 3 3 4 2" xfId="48134"/>
    <cellStyle name="Comma 8 2 2 2 3 3 5" xfId="48135"/>
    <cellStyle name="Comma 8 2 2 2 3 3 6" xfId="48136"/>
    <cellStyle name="Comma 8 2 2 2 3 4" xfId="48137"/>
    <cellStyle name="Comma 8 2 2 2 3 4 2" xfId="48138"/>
    <cellStyle name="Comma 8 2 2 2 3 4 2 2" xfId="48139"/>
    <cellStyle name="Comma 8 2 2 2 3 4 2 3" xfId="48140"/>
    <cellStyle name="Comma 8 2 2 2 3 4 3" xfId="48141"/>
    <cellStyle name="Comma 8 2 2 2 3 4 3 2" xfId="48142"/>
    <cellStyle name="Comma 8 2 2 2 3 4 4" xfId="48143"/>
    <cellStyle name="Comma 8 2 2 2 3 4 5" xfId="48144"/>
    <cellStyle name="Comma 8 2 2 2 3 5" xfId="48145"/>
    <cellStyle name="Comma 8 2 2 2 3 5 2" xfId="48146"/>
    <cellStyle name="Comma 8 2 2 2 3 5 3" xfId="48147"/>
    <cellStyle name="Comma 8 2 2 2 3 6" xfId="48148"/>
    <cellStyle name="Comma 8 2 2 2 3 6 2" xfId="48149"/>
    <cellStyle name="Comma 8 2 2 2 3 6 3" xfId="48150"/>
    <cellStyle name="Comma 8 2 2 2 3 7" xfId="48151"/>
    <cellStyle name="Comma 8 2 2 2 3 7 2" xfId="48152"/>
    <cellStyle name="Comma 8 2 2 2 3 8" xfId="48153"/>
    <cellStyle name="Comma 8 2 2 2 3 9" xfId="48154"/>
    <cellStyle name="Comma 8 2 2 2 4" xfId="48155"/>
    <cellStyle name="Comma 8 2 2 2 4 2" xfId="48156"/>
    <cellStyle name="Comma 8 2 2 2 4 2 2" xfId="48157"/>
    <cellStyle name="Comma 8 2 2 2 4 2 2 2" xfId="48158"/>
    <cellStyle name="Comma 8 2 2 2 4 2 2 3" xfId="48159"/>
    <cellStyle name="Comma 8 2 2 2 4 2 3" xfId="48160"/>
    <cellStyle name="Comma 8 2 2 2 4 2 3 2" xfId="48161"/>
    <cellStyle name="Comma 8 2 2 2 4 2 3 3" xfId="48162"/>
    <cellStyle name="Comma 8 2 2 2 4 2 4" xfId="48163"/>
    <cellStyle name="Comma 8 2 2 2 4 2 4 2" xfId="48164"/>
    <cellStyle name="Comma 8 2 2 2 4 2 5" xfId="48165"/>
    <cellStyle name="Comma 8 2 2 2 4 2 6" xfId="48166"/>
    <cellStyle name="Comma 8 2 2 2 4 3" xfId="48167"/>
    <cellStyle name="Comma 8 2 2 2 4 3 2" xfId="48168"/>
    <cellStyle name="Comma 8 2 2 2 4 3 2 2" xfId="48169"/>
    <cellStyle name="Comma 8 2 2 2 4 3 2 3" xfId="48170"/>
    <cellStyle name="Comma 8 2 2 2 4 3 3" xfId="48171"/>
    <cellStyle name="Comma 8 2 2 2 4 3 3 2" xfId="48172"/>
    <cellStyle name="Comma 8 2 2 2 4 3 3 3" xfId="48173"/>
    <cellStyle name="Comma 8 2 2 2 4 3 4" xfId="48174"/>
    <cellStyle name="Comma 8 2 2 2 4 3 4 2" xfId="48175"/>
    <cellStyle name="Comma 8 2 2 2 4 3 5" xfId="48176"/>
    <cellStyle name="Comma 8 2 2 2 4 3 6" xfId="48177"/>
    <cellStyle name="Comma 8 2 2 2 4 4" xfId="48178"/>
    <cellStyle name="Comma 8 2 2 2 4 4 2" xfId="48179"/>
    <cellStyle name="Comma 8 2 2 2 4 4 2 2" xfId="48180"/>
    <cellStyle name="Comma 8 2 2 2 4 4 2 3" xfId="48181"/>
    <cellStyle name="Comma 8 2 2 2 4 4 3" xfId="48182"/>
    <cellStyle name="Comma 8 2 2 2 4 4 3 2" xfId="48183"/>
    <cellStyle name="Comma 8 2 2 2 4 4 4" xfId="48184"/>
    <cellStyle name="Comma 8 2 2 2 4 4 5" xfId="48185"/>
    <cellStyle name="Comma 8 2 2 2 4 5" xfId="48186"/>
    <cellStyle name="Comma 8 2 2 2 4 5 2" xfId="48187"/>
    <cellStyle name="Comma 8 2 2 2 4 5 3" xfId="48188"/>
    <cellStyle name="Comma 8 2 2 2 4 6" xfId="48189"/>
    <cellStyle name="Comma 8 2 2 2 4 6 2" xfId="48190"/>
    <cellStyle name="Comma 8 2 2 2 4 6 3" xfId="48191"/>
    <cellStyle name="Comma 8 2 2 2 4 7" xfId="48192"/>
    <cellStyle name="Comma 8 2 2 2 4 7 2" xfId="48193"/>
    <cellStyle name="Comma 8 2 2 2 4 8" xfId="48194"/>
    <cellStyle name="Comma 8 2 2 2 4 9" xfId="48195"/>
    <cellStyle name="Comma 8 2 2 2 5" xfId="48196"/>
    <cellStyle name="Comma 8 2 2 2 5 2" xfId="48197"/>
    <cellStyle name="Comma 8 2 2 2 5 2 2" xfId="48198"/>
    <cellStyle name="Comma 8 2 2 2 5 2 3" xfId="48199"/>
    <cellStyle name="Comma 8 2 2 2 5 3" xfId="48200"/>
    <cellStyle name="Comma 8 2 2 2 5 3 2" xfId="48201"/>
    <cellStyle name="Comma 8 2 2 2 5 3 3" xfId="48202"/>
    <cellStyle name="Comma 8 2 2 2 5 4" xfId="48203"/>
    <cellStyle name="Comma 8 2 2 2 5 4 2" xfId="48204"/>
    <cellStyle name="Comma 8 2 2 2 5 5" xfId="48205"/>
    <cellStyle name="Comma 8 2 2 2 5 6" xfId="48206"/>
    <cellStyle name="Comma 8 2 2 2 6" xfId="48207"/>
    <cellStyle name="Comma 8 2 2 2 6 2" xfId="48208"/>
    <cellStyle name="Comma 8 2 2 2 6 2 2" xfId="48209"/>
    <cellStyle name="Comma 8 2 2 2 6 2 3" xfId="48210"/>
    <cellStyle name="Comma 8 2 2 2 6 3" xfId="48211"/>
    <cellStyle name="Comma 8 2 2 2 6 3 2" xfId="48212"/>
    <cellStyle name="Comma 8 2 2 2 6 3 3" xfId="48213"/>
    <cellStyle name="Comma 8 2 2 2 6 4" xfId="48214"/>
    <cellStyle name="Comma 8 2 2 2 6 4 2" xfId="48215"/>
    <cellStyle name="Comma 8 2 2 2 6 5" xfId="48216"/>
    <cellStyle name="Comma 8 2 2 2 6 6" xfId="48217"/>
    <cellStyle name="Comma 8 2 2 2 7" xfId="48218"/>
    <cellStyle name="Comma 8 2 2 2 7 2" xfId="48219"/>
    <cellStyle name="Comma 8 2 2 2 7 2 2" xfId="48220"/>
    <cellStyle name="Comma 8 2 2 2 7 2 3" xfId="48221"/>
    <cellStyle name="Comma 8 2 2 2 7 3" xfId="48222"/>
    <cellStyle name="Comma 8 2 2 2 7 3 2" xfId="48223"/>
    <cellStyle name="Comma 8 2 2 2 7 4" xfId="48224"/>
    <cellStyle name="Comma 8 2 2 2 7 5" xfId="48225"/>
    <cellStyle name="Comma 8 2 2 2 8" xfId="48226"/>
    <cellStyle name="Comma 8 2 2 2 8 2" xfId="48227"/>
    <cellStyle name="Comma 8 2 2 2 8 3" xfId="48228"/>
    <cellStyle name="Comma 8 2 2 2 9" xfId="48229"/>
    <cellStyle name="Comma 8 2 2 2 9 2" xfId="48230"/>
    <cellStyle name="Comma 8 2 2 2 9 3" xfId="48231"/>
    <cellStyle name="Comma 8 2 2 3" xfId="9145"/>
    <cellStyle name="Comma 8 2 2 3 10" xfId="48232"/>
    <cellStyle name="Comma 8 2 2 3 2" xfId="48233"/>
    <cellStyle name="Comma 8 2 2 3 2 2" xfId="48234"/>
    <cellStyle name="Comma 8 2 2 3 2 2 2" xfId="48235"/>
    <cellStyle name="Comma 8 2 2 3 2 2 2 2" xfId="48236"/>
    <cellStyle name="Comma 8 2 2 3 2 2 2 3" xfId="48237"/>
    <cellStyle name="Comma 8 2 2 3 2 2 3" xfId="48238"/>
    <cellStyle name="Comma 8 2 2 3 2 2 3 2" xfId="48239"/>
    <cellStyle name="Comma 8 2 2 3 2 2 3 3" xfId="48240"/>
    <cellStyle name="Comma 8 2 2 3 2 2 4" xfId="48241"/>
    <cellStyle name="Comma 8 2 2 3 2 2 4 2" xfId="48242"/>
    <cellStyle name="Comma 8 2 2 3 2 2 5" xfId="48243"/>
    <cellStyle name="Comma 8 2 2 3 2 2 6" xfId="48244"/>
    <cellStyle name="Comma 8 2 2 3 2 3" xfId="48245"/>
    <cellStyle name="Comma 8 2 2 3 2 3 2" xfId="48246"/>
    <cellStyle name="Comma 8 2 2 3 2 3 2 2" xfId="48247"/>
    <cellStyle name="Comma 8 2 2 3 2 3 2 3" xfId="48248"/>
    <cellStyle name="Comma 8 2 2 3 2 3 3" xfId="48249"/>
    <cellStyle name="Comma 8 2 2 3 2 3 3 2" xfId="48250"/>
    <cellStyle name="Comma 8 2 2 3 2 3 3 3" xfId="48251"/>
    <cellStyle name="Comma 8 2 2 3 2 3 4" xfId="48252"/>
    <cellStyle name="Comma 8 2 2 3 2 3 4 2" xfId="48253"/>
    <cellStyle name="Comma 8 2 2 3 2 3 5" xfId="48254"/>
    <cellStyle name="Comma 8 2 2 3 2 3 6" xfId="48255"/>
    <cellStyle name="Comma 8 2 2 3 2 4" xfId="48256"/>
    <cellStyle name="Comma 8 2 2 3 2 4 2" xfId="48257"/>
    <cellStyle name="Comma 8 2 2 3 2 4 2 2" xfId="48258"/>
    <cellStyle name="Comma 8 2 2 3 2 4 2 3" xfId="48259"/>
    <cellStyle name="Comma 8 2 2 3 2 4 3" xfId="48260"/>
    <cellStyle name="Comma 8 2 2 3 2 4 3 2" xfId="48261"/>
    <cellStyle name="Comma 8 2 2 3 2 4 4" xfId="48262"/>
    <cellStyle name="Comma 8 2 2 3 2 4 5" xfId="48263"/>
    <cellStyle name="Comma 8 2 2 3 2 5" xfId="48264"/>
    <cellStyle name="Comma 8 2 2 3 2 5 2" xfId="48265"/>
    <cellStyle name="Comma 8 2 2 3 2 5 3" xfId="48266"/>
    <cellStyle name="Comma 8 2 2 3 2 6" xfId="48267"/>
    <cellStyle name="Comma 8 2 2 3 2 6 2" xfId="48268"/>
    <cellStyle name="Comma 8 2 2 3 2 6 3" xfId="48269"/>
    <cellStyle name="Comma 8 2 2 3 2 7" xfId="48270"/>
    <cellStyle name="Comma 8 2 2 3 2 7 2" xfId="48271"/>
    <cellStyle name="Comma 8 2 2 3 2 8" xfId="48272"/>
    <cellStyle name="Comma 8 2 2 3 2 9" xfId="48273"/>
    <cellStyle name="Comma 8 2 2 3 3" xfId="48274"/>
    <cellStyle name="Comma 8 2 2 3 3 2" xfId="48275"/>
    <cellStyle name="Comma 8 2 2 3 3 2 2" xfId="48276"/>
    <cellStyle name="Comma 8 2 2 3 3 2 3" xfId="48277"/>
    <cellStyle name="Comma 8 2 2 3 3 3" xfId="48278"/>
    <cellStyle name="Comma 8 2 2 3 3 3 2" xfId="48279"/>
    <cellStyle name="Comma 8 2 2 3 3 3 3" xfId="48280"/>
    <cellStyle name="Comma 8 2 2 3 3 4" xfId="48281"/>
    <cellStyle name="Comma 8 2 2 3 3 4 2" xfId="48282"/>
    <cellStyle name="Comma 8 2 2 3 3 5" xfId="48283"/>
    <cellStyle name="Comma 8 2 2 3 3 6" xfId="48284"/>
    <cellStyle name="Comma 8 2 2 3 4" xfId="48285"/>
    <cellStyle name="Comma 8 2 2 3 4 2" xfId="48286"/>
    <cellStyle name="Comma 8 2 2 3 4 2 2" xfId="48287"/>
    <cellStyle name="Comma 8 2 2 3 4 2 3" xfId="48288"/>
    <cellStyle name="Comma 8 2 2 3 4 3" xfId="48289"/>
    <cellStyle name="Comma 8 2 2 3 4 3 2" xfId="48290"/>
    <cellStyle name="Comma 8 2 2 3 4 3 3" xfId="48291"/>
    <cellStyle name="Comma 8 2 2 3 4 4" xfId="48292"/>
    <cellStyle name="Comma 8 2 2 3 4 4 2" xfId="48293"/>
    <cellStyle name="Comma 8 2 2 3 4 5" xfId="48294"/>
    <cellStyle name="Comma 8 2 2 3 4 6" xfId="48295"/>
    <cellStyle name="Comma 8 2 2 3 5" xfId="48296"/>
    <cellStyle name="Comma 8 2 2 3 5 2" xfId="48297"/>
    <cellStyle name="Comma 8 2 2 3 5 2 2" xfId="48298"/>
    <cellStyle name="Comma 8 2 2 3 5 2 3" xfId="48299"/>
    <cellStyle name="Comma 8 2 2 3 5 3" xfId="48300"/>
    <cellStyle name="Comma 8 2 2 3 5 3 2" xfId="48301"/>
    <cellStyle name="Comma 8 2 2 3 5 4" xfId="48302"/>
    <cellStyle name="Comma 8 2 2 3 5 5" xfId="48303"/>
    <cellStyle name="Comma 8 2 2 3 6" xfId="48304"/>
    <cellStyle name="Comma 8 2 2 3 6 2" xfId="48305"/>
    <cellStyle name="Comma 8 2 2 3 6 3" xfId="48306"/>
    <cellStyle name="Comma 8 2 2 3 7" xfId="48307"/>
    <cellStyle name="Comma 8 2 2 3 7 2" xfId="48308"/>
    <cellStyle name="Comma 8 2 2 3 7 3" xfId="48309"/>
    <cellStyle name="Comma 8 2 2 3 8" xfId="48310"/>
    <cellStyle name="Comma 8 2 2 3 8 2" xfId="48311"/>
    <cellStyle name="Comma 8 2 2 3 9" xfId="48312"/>
    <cellStyle name="Comma 8 2 2 4" xfId="48313"/>
    <cellStyle name="Comma 8 2 2 4 2" xfId="48314"/>
    <cellStyle name="Comma 8 2 2 4 2 2" xfId="48315"/>
    <cellStyle name="Comma 8 2 2 4 2 2 2" xfId="48316"/>
    <cellStyle name="Comma 8 2 2 4 2 2 3" xfId="48317"/>
    <cellStyle name="Comma 8 2 2 4 2 3" xfId="48318"/>
    <cellStyle name="Comma 8 2 2 4 2 3 2" xfId="48319"/>
    <cellStyle name="Comma 8 2 2 4 2 3 3" xfId="48320"/>
    <cellStyle name="Comma 8 2 2 4 2 4" xfId="48321"/>
    <cellStyle name="Comma 8 2 2 4 2 4 2" xfId="48322"/>
    <cellStyle name="Comma 8 2 2 4 2 5" xfId="48323"/>
    <cellStyle name="Comma 8 2 2 4 2 6" xfId="48324"/>
    <cellStyle name="Comma 8 2 2 4 3" xfId="48325"/>
    <cellStyle name="Comma 8 2 2 4 3 2" xfId="48326"/>
    <cellStyle name="Comma 8 2 2 4 3 2 2" xfId="48327"/>
    <cellStyle name="Comma 8 2 2 4 3 2 3" xfId="48328"/>
    <cellStyle name="Comma 8 2 2 4 3 3" xfId="48329"/>
    <cellStyle name="Comma 8 2 2 4 3 3 2" xfId="48330"/>
    <cellStyle name="Comma 8 2 2 4 3 3 3" xfId="48331"/>
    <cellStyle name="Comma 8 2 2 4 3 4" xfId="48332"/>
    <cellStyle name="Comma 8 2 2 4 3 4 2" xfId="48333"/>
    <cellStyle name="Comma 8 2 2 4 3 5" xfId="48334"/>
    <cellStyle name="Comma 8 2 2 4 3 6" xfId="48335"/>
    <cellStyle name="Comma 8 2 2 4 4" xfId="48336"/>
    <cellStyle name="Comma 8 2 2 4 4 2" xfId="48337"/>
    <cellStyle name="Comma 8 2 2 4 4 2 2" xfId="48338"/>
    <cellStyle name="Comma 8 2 2 4 4 2 3" xfId="48339"/>
    <cellStyle name="Comma 8 2 2 4 4 3" xfId="48340"/>
    <cellStyle name="Comma 8 2 2 4 4 3 2" xfId="48341"/>
    <cellStyle name="Comma 8 2 2 4 4 4" xfId="48342"/>
    <cellStyle name="Comma 8 2 2 4 4 5" xfId="48343"/>
    <cellStyle name="Comma 8 2 2 4 5" xfId="48344"/>
    <cellStyle name="Comma 8 2 2 4 5 2" xfId="48345"/>
    <cellStyle name="Comma 8 2 2 4 5 3" xfId="48346"/>
    <cellStyle name="Comma 8 2 2 4 6" xfId="48347"/>
    <cellStyle name="Comma 8 2 2 4 6 2" xfId="48348"/>
    <cellStyle name="Comma 8 2 2 4 6 3" xfId="48349"/>
    <cellStyle name="Comma 8 2 2 4 7" xfId="48350"/>
    <cellStyle name="Comma 8 2 2 4 7 2" xfId="48351"/>
    <cellStyle name="Comma 8 2 2 4 8" xfId="48352"/>
    <cellStyle name="Comma 8 2 2 4 9" xfId="48353"/>
    <cellStyle name="Comma 8 2 2 5" xfId="48354"/>
    <cellStyle name="Comma 8 2 2 5 2" xfId="48355"/>
    <cellStyle name="Comma 8 2 2 5 2 2" xfId="48356"/>
    <cellStyle name="Comma 8 2 2 5 2 2 2" xfId="48357"/>
    <cellStyle name="Comma 8 2 2 5 2 2 3" xfId="48358"/>
    <cellStyle name="Comma 8 2 2 5 2 3" xfId="48359"/>
    <cellStyle name="Comma 8 2 2 5 2 3 2" xfId="48360"/>
    <cellStyle name="Comma 8 2 2 5 2 3 3" xfId="48361"/>
    <cellStyle name="Comma 8 2 2 5 2 4" xfId="48362"/>
    <cellStyle name="Comma 8 2 2 5 2 4 2" xfId="48363"/>
    <cellStyle name="Comma 8 2 2 5 2 5" xfId="48364"/>
    <cellStyle name="Comma 8 2 2 5 2 6" xfId="48365"/>
    <cellStyle name="Comma 8 2 2 5 3" xfId="48366"/>
    <cellStyle name="Comma 8 2 2 5 3 2" xfId="48367"/>
    <cellStyle name="Comma 8 2 2 5 3 2 2" xfId="48368"/>
    <cellStyle name="Comma 8 2 2 5 3 2 3" xfId="48369"/>
    <cellStyle name="Comma 8 2 2 5 3 3" xfId="48370"/>
    <cellStyle name="Comma 8 2 2 5 3 3 2" xfId="48371"/>
    <cellStyle name="Comma 8 2 2 5 3 3 3" xfId="48372"/>
    <cellStyle name="Comma 8 2 2 5 3 4" xfId="48373"/>
    <cellStyle name="Comma 8 2 2 5 3 4 2" xfId="48374"/>
    <cellStyle name="Comma 8 2 2 5 3 5" xfId="48375"/>
    <cellStyle name="Comma 8 2 2 5 3 6" xfId="48376"/>
    <cellStyle name="Comma 8 2 2 5 4" xfId="48377"/>
    <cellStyle name="Comma 8 2 2 5 4 2" xfId="48378"/>
    <cellStyle name="Comma 8 2 2 5 4 2 2" xfId="48379"/>
    <cellStyle name="Comma 8 2 2 5 4 2 3" xfId="48380"/>
    <cellStyle name="Comma 8 2 2 5 4 3" xfId="48381"/>
    <cellStyle name="Comma 8 2 2 5 4 3 2" xfId="48382"/>
    <cellStyle name="Comma 8 2 2 5 4 4" xfId="48383"/>
    <cellStyle name="Comma 8 2 2 5 4 5" xfId="48384"/>
    <cellStyle name="Comma 8 2 2 5 5" xfId="48385"/>
    <cellStyle name="Comma 8 2 2 5 5 2" xfId="48386"/>
    <cellStyle name="Comma 8 2 2 5 5 3" xfId="48387"/>
    <cellStyle name="Comma 8 2 2 5 6" xfId="48388"/>
    <cellStyle name="Comma 8 2 2 5 6 2" xfId="48389"/>
    <cellStyle name="Comma 8 2 2 5 6 3" xfId="48390"/>
    <cellStyle name="Comma 8 2 2 5 7" xfId="48391"/>
    <cellStyle name="Comma 8 2 2 5 7 2" xfId="48392"/>
    <cellStyle name="Comma 8 2 2 5 8" xfId="48393"/>
    <cellStyle name="Comma 8 2 2 5 9" xfId="48394"/>
    <cellStyle name="Comma 8 2 2 6" xfId="48395"/>
    <cellStyle name="Comma 8 2 2 6 2" xfId="48396"/>
    <cellStyle name="Comma 8 2 2 6 2 2" xfId="48397"/>
    <cellStyle name="Comma 8 2 2 6 2 3" xfId="48398"/>
    <cellStyle name="Comma 8 2 2 6 3" xfId="48399"/>
    <cellStyle name="Comma 8 2 2 6 3 2" xfId="48400"/>
    <cellStyle name="Comma 8 2 2 6 3 3" xfId="48401"/>
    <cellStyle name="Comma 8 2 2 6 4" xfId="48402"/>
    <cellStyle name="Comma 8 2 2 6 4 2" xfId="48403"/>
    <cellStyle name="Comma 8 2 2 6 5" xfId="48404"/>
    <cellStyle name="Comma 8 2 2 6 6" xfId="48405"/>
    <cellStyle name="Comma 8 2 2 7" xfId="48406"/>
    <cellStyle name="Comma 8 2 2 7 2" xfId="48407"/>
    <cellStyle name="Comma 8 2 2 7 2 2" xfId="48408"/>
    <cellStyle name="Comma 8 2 2 7 2 3" xfId="48409"/>
    <cellStyle name="Comma 8 2 2 7 3" xfId="48410"/>
    <cellStyle name="Comma 8 2 2 7 3 2" xfId="48411"/>
    <cellStyle name="Comma 8 2 2 7 3 3" xfId="48412"/>
    <cellStyle name="Comma 8 2 2 7 4" xfId="48413"/>
    <cellStyle name="Comma 8 2 2 7 4 2" xfId="48414"/>
    <cellStyle name="Comma 8 2 2 7 5" xfId="48415"/>
    <cellStyle name="Comma 8 2 2 7 6" xfId="48416"/>
    <cellStyle name="Comma 8 2 2 8" xfId="48417"/>
    <cellStyle name="Comma 8 2 2 8 2" xfId="48418"/>
    <cellStyle name="Comma 8 2 2 8 2 2" xfId="48419"/>
    <cellStyle name="Comma 8 2 2 8 2 3" xfId="48420"/>
    <cellStyle name="Comma 8 2 2 8 3" xfId="48421"/>
    <cellStyle name="Comma 8 2 2 8 3 2" xfId="48422"/>
    <cellStyle name="Comma 8 2 2 8 4" xfId="48423"/>
    <cellStyle name="Comma 8 2 2 8 5" xfId="48424"/>
    <cellStyle name="Comma 8 2 2 9" xfId="48425"/>
    <cellStyle name="Comma 8 2 2 9 2" xfId="48426"/>
    <cellStyle name="Comma 8 2 2 9 3" xfId="48427"/>
    <cellStyle name="Comma 8 2 3" xfId="9146"/>
    <cellStyle name="Comma 8 2 3 10" xfId="48428"/>
    <cellStyle name="Comma 8 2 3 10 2" xfId="48429"/>
    <cellStyle name="Comma 8 2 3 11" xfId="48430"/>
    <cellStyle name="Comma 8 2 3 12" xfId="48431"/>
    <cellStyle name="Comma 8 2 3 13" xfId="48432"/>
    <cellStyle name="Comma 8 2 3 2" xfId="48433"/>
    <cellStyle name="Comma 8 2 3 2 10" xfId="48434"/>
    <cellStyle name="Comma 8 2 3 2 2" xfId="48435"/>
    <cellStyle name="Comma 8 2 3 2 2 2" xfId="48436"/>
    <cellStyle name="Comma 8 2 3 2 2 2 2" xfId="48437"/>
    <cellStyle name="Comma 8 2 3 2 2 2 2 2" xfId="48438"/>
    <cellStyle name="Comma 8 2 3 2 2 2 2 3" xfId="48439"/>
    <cellStyle name="Comma 8 2 3 2 2 2 3" xfId="48440"/>
    <cellStyle name="Comma 8 2 3 2 2 2 3 2" xfId="48441"/>
    <cellStyle name="Comma 8 2 3 2 2 2 3 3" xfId="48442"/>
    <cellStyle name="Comma 8 2 3 2 2 2 4" xfId="48443"/>
    <cellStyle name="Comma 8 2 3 2 2 2 4 2" xfId="48444"/>
    <cellStyle name="Comma 8 2 3 2 2 2 5" xfId="48445"/>
    <cellStyle name="Comma 8 2 3 2 2 2 6" xfId="48446"/>
    <cellStyle name="Comma 8 2 3 2 2 3" xfId="48447"/>
    <cellStyle name="Comma 8 2 3 2 2 3 2" xfId="48448"/>
    <cellStyle name="Comma 8 2 3 2 2 3 2 2" xfId="48449"/>
    <cellStyle name="Comma 8 2 3 2 2 3 2 3" xfId="48450"/>
    <cellStyle name="Comma 8 2 3 2 2 3 3" xfId="48451"/>
    <cellStyle name="Comma 8 2 3 2 2 3 3 2" xfId="48452"/>
    <cellStyle name="Comma 8 2 3 2 2 3 3 3" xfId="48453"/>
    <cellStyle name="Comma 8 2 3 2 2 3 4" xfId="48454"/>
    <cellStyle name="Comma 8 2 3 2 2 3 4 2" xfId="48455"/>
    <cellStyle name="Comma 8 2 3 2 2 3 5" xfId="48456"/>
    <cellStyle name="Comma 8 2 3 2 2 3 6" xfId="48457"/>
    <cellStyle name="Comma 8 2 3 2 2 4" xfId="48458"/>
    <cellStyle name="Comma 8 2 3 2 2 4 2" xfId="48459"/>
    <cellStyle name="Comma 8 2 3 2 2 4 2 2" xfId="48460"/>
    <cellStyle name="Comma 8 2 3 2 2 4 2 3" xfId="48461"/>
    <cellStyle name="Comma 8 2 3 2 2 4 3" xfId="48462"/>
    <cellStyle name="Comma 8 2 3 2 2 4 3 2" xfId="48463"/>
    <cellStyle name="Comma 8 2 3 2 2 4 4" xfId="48464"/>
    <cellStyle name="Comma 8 2 3 2 2 4 5" xfId="48465"/>
    <cellStyle name="Comma 8 2 3 2 2 5" xfId="48466"/>
    <cellStyle name="Comma 8 2 3 2 2 5 2" xfId="48467"/>
    <cellStyle name="Comma 8 2 3 2 2 5 3" xfId="48468"/>
    <cellStyle name="Comma 8 2 3 2 2 6" xfId="48469"/>
    <cellStyle name="Comma 8 2 3 2 2 6 2" xfId="48470"/>
    <cellStyle name="Comma 8 2 3 2 2 6 3" xfId="48471"/>
    <cellStyle name="Comma 8 2 3 2 2 7" xfId="48472"/>
    <cellStyle name="Comma 8 2 3 2 2 7 2" xfId="48473"/>
    <cellStyle name="Comma 8 2 3 2 2 8" xfId="48474"/>
    <cellStyle name="Comma 8 2 3 2 2 9" xfId="48475"/>
    <cellStyle name="Comma 8 2 3 2 3" xfId="48476"/>
    <cellStyle name="Comma 8 2 3 2 3 2" xfId="48477"/>
    <cellStyle name="Comma 8 2 3 2 3 2 2" xfId="48478"/>
    <cellStyle name="Comma 8 2 3 2 3 2 3" xfId="48479"/>
    <cellStyle name="Comma 8 2 3 2 3 3" xfId="48480"/>
    <cellStyle name="Comma 8 2 3 2 3 3 2" xfId="48481"/>
    <cellStyle name="Comma 8 2 3 2 3 3 3" xfId="48482"/>
    <cellStyle name="Comma 8 2 3 2 3 4" xfId="48483"/>
    <cellStyle name="Comma 8 2 3 2 3 4 2" xfId="48484"/>
    <cellStyle name="Comma 8 2 3 2 3 5" xfId="48485"/>
    <cellStyle name="Comma 8 2 3 2 3 6" xfId="48486"/>
    <cellStyle name="Comma 8 2 3 2 4" xfId="48487"/>
    <cellStyle name="Comma 8 2 3 2 4 2" xfId="48488"/>
    <cellStyle name="Comma 8 2 3 2 4 2 2" xfId="48489"/>
    <cellStyle name="Comma 8 2 3 2 4 2 3" xfId="48490"/>
    <cellStyle name="Comma 8 2 3 2 4 3" xfId="48491"/>
    <cellStyle name="Comma 8 2 3 2 4 3 2" xfId="48492"/>
    <cellStyle name="Comma 8 2 3 2 4 3 3" xfId="48493"/>
    <cellStyle name="Comma 8 2 3 2 4 4" xfId="48494"/>
    <cellStyle name="Comma 8 2 3 2 4 4 2" xfId="48495"/>
    <cellStyle name="Comma 8 2 3 2 4 5" xfId="48496"/>
    <cellStyle name="Comma 8 2 3 2 4 6" xfId="48497"/>
    <cellStyle name="Comma 8 2 3 2 5" xfId="48498"/>
    <cellStyle name="Comma 8 2 3 2 5 2" xfId="48499"/>
    <cellStyle name="Comma 8 2 3 2 5 2 2" xfId="48500"/>
    <cellStyle name="Comma 8 2 3 2 5 2 3" xfId="48501"/>
    <cellStyle name="Comma 8 2 3 2 5 3" xfId="48502"/>
    <cellStyle name="Comma 8 2 3 2 5 3 2" xfId="48503"/>
    <cellStyle name="Comma 8 2 3 2 5 4" xfId="48504"/>
    <cellStyle name="Comma 8 2 3 2 5 5" xfId="48505"/>
    <cellStyle name="Comma 8 2 3 2 6" xfId="48506"/>
    <cellStyle name="Comma 8 2 3 2 6 2" xfId="48507"/>
    <cellStyle name="Comma 8 2 3 2 6 3" xfId="48508"/>
    <cellStyle name="Comma 8 2 3 2 7" xfId="48509"/>
    <cellStyle name="Comma 8 2 3 2 7 2" xfId="48510"/>
    <cellStyle name="Comma 8 2 3 2 7 3" xfId="48511"/>
    <cellStyle name="Comma 8 2 3 2 8" xfId="48512"/>
    <cellStyle name="Comma 8 2 3 2 8 2" xfId="48513"/>
    <cellStyle name="Comma 8 2 3 2 9" xfId="48514"/>
    <cellStyle name="Comma 8 2 3 3" xfId="48515"/>
    <cellStyle name="Comma 8 2 3 3 2" xfId="48516"/>
    <cellStyle name="Comma 8 2 3 3 2 2" xfId="48517"/>
    <cellStyle name="Comma 8 2 3 3 2 2 2" xfId="48518"/>
    <cellStyle name="Comma 8 2 3 3 2 2 3" xfId="48519"/>
    <cellStyle name="Comma 8 2 3 3 2 3" xfId="48520"/>
    <cellStyle name="Comma 8 2 3 3 2 3 2" xfId="48521"/>
    <cellStyle name="Comma 8 2 3 3 2 3 3" xfId="48522"/>
    <cellStyle name="Comma 8 2 3 3 2 4" xfId="48523"/>
    <cellStyle name="Comma 8 2 3 3 2 4 2" xfId="48524"/>
    <cellStyle name="Comma 8 2 3 3 2 5" xfId="48525"/>
    <cellStyle name="Comma 8 2 3 3 2 6" xfId="48526"/>
    <cellStyle name="Comma 8 2 3 3 3" xfId="48527"/>
    <cellStyle name="Comma 8 2 3 3 3 2" xfId="48528"/>
    <cellStyle name="Comma 8 2 3 3 3 2 2" xfId="48529"/>
    <cellStyle name="Comma 8 2 3 3 3 2 3" xfId="48530"/>
    <cellStyle name="Comma 8 2 3 3 3 3" xfId="48531"/>
    <cellStyle name="Comma 8 2 3 3 3 3 2" xfId="48532"/>
    <cellStyle name="Comma 8 2 3 3 3 3 3" xfId="48533"/>
    <cellStyle name="Comma 8 2 3 3 3 4" xfId="48534"/>
    <cellStyle name="Comma 8 2 3 3 3 4 2" xfId="48535"/>
    <cellStyle name="Comma 8 2 3 3 3 5" xfId="48536"/>
    <cellStyle name="Comma 8 2 3 3 3 6" xfId="48537"/>
    <cellStyle name="Comma 8 2 3 3 4" xfId="48538"/>
    <cellStyle name="Comma 8 2 3 3 4 2" xfId="48539"/>
    <cellStyle name="Comma 8 2 3 3 4 2 2" xfId="48540"/>
    <cellStyle name="Comma 8 2 3 3 4 2 3" xfId="48541"/>
    <cellStyle name="Comma 8 2 3 3 4 3" xfId="48542"/>
    <cellStyle name="Comma 8 2 3 3 4 3 2" xfId="48543"/>
    <cellStyle name="Comma 8 2 3 3 4 4" xfId="48544"/>
    <cellStyle name="Comma 8 2 3 3 4 5" xfId="48545"/>
    <cellStyle name="Comma 8 2 3 3 5" xfId="48546"/>
    <cellStyle name="Comma 8 2 3 3 5 2" xfId="48547"/>
    <cellStyle name="Comma 8 2 3 3 5 3" xfId="48548"/>
    <cellStyle name="Comma 8 2 3 3 6" xfId="48549"/>
    <cellStyle name="Comma 8 2 3 3 6 2" xfId="48550"/>
    <cellStyle name="Comma 8 2 3 3 6 3" xfId="48551"/>
    <cellStyle name="Comma 8 2 3 3 7" xfId="48552"/>
    <cellStyle name="Comma 8 2 3 3 7 2" xfId="48553"/>
    <cellStyle name="Comma 8 2 3 3 8" xfId="48554"/>
    <cellStyle name="Comma 8 2 3 3 9" xfId="48555"/>
    <cellStyle name="Comma 8 2 3 4" xfId="48556"/>
    <cellStyle name="Comma 8 2 3 4 2" xfId="48557"/>
    <cellStyle name="Comma 8 2 3 4 2 2" xfId="48558"/>
    <cellStyle name="Comma 8 2 3 4 2 2 2" xfId="48559"/>
    <cellStyle name="Comma 8 2 3 4 2 2 3" xfId="48560"/>
    <cellStyle name="Comma 8 2 3 4 2 3" xfId="48561"/>
    <cellStyle name="Comma 8 2 3 4 2 3 2" xfId="48562"/>
    <cellStyle name="Comma 8 2 3 4 2 3 3" xfId="48563"/>
    <cellStyle name="Comma 8 2 3 4 2 4" xfId="48564"/>
    <cellStyle name="Comma 8 2 3 4 2 4 2" xfId="48565"/>
    <cellStyle name="Comma 8 2 3 4 2 5" xfId="48566"/>
    <cellStyle name="Comma 8 2 3 4 2 6" xfId="48567"/>
    <cellStyle name="Comma 8 2 3 4 3" xfId="48568"/>
    <cellStyle name="Comma 8 2 3 4 3 2" xfId="48569"/>
    <cellStyle name="Comma 8 2 3 4 3 2 2" xfId="48570"/>
    <cellStyle name="Comma 8 2 3 4 3 2 3" xfId="48571"/>
    <cellStyle name="Comma 8 2 3 4 3 3" xfId="48572"/>
    <cellStyle name="Comma 8 2 3 4 3 3 2" xfId="48573"/>
    <cellStyle name="Comma 8 2 3 4 3 3 3" xfId="48574"/>
    <cellStyle name="Comma 8 2 3 4 3 4" xfId="48575"/>
    <cellStyle name="Comma 8 2 3 4 3 4 2" xfId="48576"/>
    <cellStyle name="Comma 8 2 3 4 3 5" xfId="48577"/>
    <cellStyle name="Comma 8 2 3 4 3 6" xfId="48578"/>
    <cellStyle name="Comma 8 2 3 4 4" xfId="48579"/>
    <cellStyle name="Comma 8 2 3 4 4 2" xfId="48580"/>
    <cellStyle name="Comma 8 2 3 4 4 2 2" xfId="48581"/>
    <cellStyle name="Comma 8 2 3 4 4 2 3" xfId="48582"/>
    <cellStyle name="Comma 8 2 3 4 4 3" xfId="48583"/>
    <cellStyle name="Comma 8 2 3 4 4 3 2" xfId="48584"/>
    <cellStyle name="Comma 8 2 3 4 4 4" xfId="48585"/>
    <cellStyle name="Comma 8 2 3 4 4 5" xfId="48586"/>
    <cellStyle name="Comma 8 2 3 4 5" xfId="48587"/>
    <cellStyle name="Comma 8 2 3 4 5 2" xfId="48588"/>
    <cellStyle name="Comma 8 2 3 4 5 3" xfId="48589"/>
    <cellStyle name="Comma 8 2 3 4 6" xfId="48590"/>
    <cellStyle name="Comma 8 2 3 4 6 2" xfId="48591"/>
    <cellStyle name="Comma 8 2 3 4 6 3" xfId="48592"/>
    <cellStyle name="Comma 8 2 3 4 7" xfId="48593"/>
    <cellStyle name="Comma 8 2 3 4 7 2" xfId="48594"/>
    <cellStyle name="Comma 8 2 3 4 8" xfId="48595"/>
    <cellStyle name="Comma 8 2 3 4 9" xfId="48596"/>
    <cellStyle name="Comma 8 2 3 5" xfId="48597"/>
    <cellStyle name="Comma 8 2 3 5 2" xfId="48598"/>
    <cellStyle name="Comma 8 2 3 5 2 2" xfId="48599"/>
    <cellStyle name="Comma 8 2 3 5 2 3" xfId="48600"/>
    <cellStyle name="Comma 8 2 3 5 3" xfId="48601"/>
    <cellStyle name="Comma 8 2 3 5 3 2" xfId="48602"/>
    <cellStyle name="Comma 8 2 3 5 3 3" xfId="48603"/>
    <cellStyle name="Comma 8 2 3 5 4" xfId="48604"/>
    <cellStyle name="Comma 8 2 3 5 4 2" xfId="48605"/>
    <cellStyle name="Comma 8 2 3 5 5" xfId="48606"/>
    <cellStyle name="Comma 8 2 3 5 6" xfId="48607"/>
    <cellStyle name="Comma 8 2 3 6" xfId="48608"/>
    <cellStyle name="Comma 8 2 3 6 2" xfId="48609"/>
    <cellStyle name="Comma 8 2 3 6 2 2" xfId="48610"/>
    <cellStyle name="Comma 8 2 3 6 2 3" xfId="48611"/>
    <cellStyle name="Comma 8 2 3 6 3" xfId="48612"/>
    <cellStyle name="Comma 8 2 3 6 3 2" xfId="48613"/>
    <cellStyle name="Comma 8 2 3 6 3 3" xfId="48614"/>
    <cellStyle name="Comma 8 2 3 6 4" xfId="48615"/>
    <cellStyle name="Comma 8 2 3 6 4 2" xfId="48616"/>
    <cellStyle name="Comma 8 2 3 6 5" xfId="48617"/>
    <cellStyle name="Comma 8 2 3 6 6" xfId="48618"/>
    <cellStyle name="Comma 8 2 3 7" xfId="48619"/>
    <cellStyle name="Comma 8 2 3 7 2" xfId="48620"/>
    <cellStyle name="Comma 8 2 3 7 2 2" xfId="48621"/>
    <cellStyle name="Comma 8 2 3 7 2 3" xfId="48622"/>
    <cellStyle name="Comma 8 2 3 7 3" xfId="48623"/>
    <cellStyle name="Comma 8 2 3 7 3 2" xfId="48624"/>
    <cellStyle name="Comma 8 2 3 7 4" xfId="48625"/>
    <cellStyle name="Comma 8 2 3 7 5" xfId="48626"/>
    <cellStyle name="Comma 8 2 3 8" xfId="48627"/>
    <cellStyle name="Comma 8 2 3 8 2" xfId="48628"/>
    <cellStyle name="Comma 8 2 3 8 3" xfId="48629"/>
    <cellStyle name="Comma 8 2 3 9" xfId="48630"/>
    <cellStyle name="Comma 8 2 3 9 2" xfId="48631"/>
    <cellStyle name="Comma 8 2 3 9 3" xfId="48632"/>
    <cellStyle name="Comma 8 2 4" xfId="9147"/>
    <cellStyle name="Comma 8 2 4 10" xfId="48633"/>
    <cellStyle name="Comma 8 2 4 2" xfId="48634"/>
    <cellStyle name="Comma 8 2 4 2 2" xfId="48635"/>
    <cellStyle name="Comma 8 2 4 2 2 2" xfId="48636"/>
    <cellStyle name="Comma 8 2 4 2 2 2 2" xfId="48637"/>
    <cellStyle name="Comma 8 2 4 2 2 2 3" xfId="48638"/>
    <cellStyle name="Comma 8 2 4 2 2 3" xfId="48639"/>
    <cellStyle name="Comma 8 2 4 2 2 3 2" xfId="48640"/>
    <cellStyle name="Comma 8 2 4 2 2 3 3" xfId="48641"/>
    <cellStyle name="Comma 8 2 4 2 2 4" xfId="48642"/>
    <cellStyle name="Comma 8 2 4 2 2 4 2" xfId="48643"/>
    <cellStyle name="Comma 8 2 4 2 2 5" xfId="48644"/>
    <cellStyle name="Comma 8 2 4 2 2 6" xfId="48645"/>
    <cellStyle name="Comma 8 2 4 2 3" xfId="48646"/>
    <cellStyle name="Comma 8 2 4 2 3 2" xfId="48647"/>
    <cellStyle name="Comma 8 2 4 2 3 2 2" xfId="48648"/>
    <cellStyle name="Comma 8 2 4 2 3 2 3" xfId="48649"/>
    <cellStyle name="Comma 8 2 4 2 3 3" xfId="48650"/>
    <cellStyle name="Comma 8 2 4 2 3 3 2" xfId="48651"/>
    <cellStyle name="Comma 8 2 4 2 3 3 3" xfId="48652"/>
    <cellStyle name="Comma 8 2 4 2 3 4" xfId="48653"/>
    <cellStyle name="Comma 8 2 4 2 3 4 2" xfId="48654"/>
    <cellStyle name="Comma 8 2 4 2 3 5" xfId="48655"/>
    <cellStyle name="Comma 8 2 4 2 3 6" xfId="48656"/>
    <cellStyle name="Comma 8 2 4 2 4" xfId="48657"/>
    <cellStyle name="Comma 8 2 4 2 4 2" xfId="48658"/>
    <cellStyle name="Comma 8 2 4 2 4 2 2" xfId="48659"/>
    <cellStyle name="Comma 8 2 4 2 4 2 3" xfId="48660"/>
    <cellStyle name="Comma 8 2 4 2 4 3" xfId="48661"/>
    <cellStyle name="Comma 8 2 4 2 4 3 2" xfId="48662"/>
    <cellStyle name="Comma 8 2 4 2 4 4" xfId="48663"/>
    <cellStyle name="Comma 8 2 4 2 4 5" xfId="48664"/>
    <cellStyle name="Comma 8 2 4 2 5" xfId="48665"/>
    <cellStyle name="Comma 8 2 4 2 5 2" xfId="48666"/>
    <cellStyle name="Comma 8 2 4 2 5 3" xfId="48667"/>
    <cellStyle name="Comma 8 2 4 2 6" xfId="48668"/>
    <cellStyle name="Comma 8 2 4 2 6 2" xfId="48669"/>
    <cellStyle name="Comma 8 2 4 2 6 3" xfId="48670"/>
    <cellStyle name="Comma 8 2 4 2 7" xfId="48671"/>
    <cellStyle name="Comma 8 2 4 2 7 2" xfId="48672"/>
    <cellStyle name="Comma 8 2 4 2 8" xfId="48673"/>
    <cellStyle name="Comma 8 2 4 2 9" xfId="48674"/>
    <cellStyle name="Comma 8 2 4 3" xfId="48675"/>
    <cellStyle name="Comma 8 2 4 3 2" xfId="48676"/>
    <cellStyle name="Comma 8 2 4 3 2 2" xfId="48677"/>
    <cellStyle name="Comma 8 2 4 3 2 3" xfId="48678"/>
    <cellStyle name="Comma 8 2 4 3 3" xfId="48679"/>
    <cellStyle name="Comma 8 2 4 3 3 2" xfId="48680"/>
    <cellStyle name="Comma 8 2 4 3 3 3" xfId="48681"/>
    <cellStyle name="Comma 8 2 4 3 4" xfId="48682"/>
    <cellStyle name="Comma 8 2 4 3 4 2" xfId="48683"/>
    <cellStyle name="Comma 8 2 4 3 5" xfId="48684"/>
    <cellStyle name="Comma 8 2 4 3 6" xfId="48685"/>
    <cellStyle name="Comma 8 2 4 4" xfId="48686"/>
    <cellStyle name="Comma 8 2 4 4 2" xfId="48687"/>
    <cellStyle name="Comma 8 2 4 4 2 2" xfId="48688"/>
    <cellStyle name="Comma 8 2 4 4 2 3" xfId="48689"/>
    <cellStyle name="Comma 8 2 4 4 3" xfId="48690"/>
    <cellStyle name="Comma 8 2 4 4 3 2" xfId="48691"/>
    <cellStyle name="Comma 8 2 4 4 3 3" xfId="48692"/>
    <cellStyle name="Comma 8 2 4 4 4" xfId="48693"/>
    <cellStyle name="Comma 8 2 4 4 4 2" xfId="48694"/>
    <cellStyle name="Comma 8 2 4 4 5" xfId="48695"/>
    <cellStyle name="Comma 8 2 4 4 6" xfId="48696"/>
    <cellStyle name="Comma 8 2 4 5" xfId="48697"/>
    <cellStyle name="Comma 8 2 4 5 2" xfId="48698"/>
    <cellStyle name="Comma 8 2 4 5 2 2" xfId="48699"/>
    <cellStyle name="Comma 8 2 4 5 2 3" xfId="48700"/>
    <cellStyle name="Comma 8 2 4 5 3" xfId="48701"/>
    <cellStyle name="Comma 8 2 4 5 3 2" xfId="48702"/>
    <cellStyle name="Comma 8 2 4 5 4" xfId="48703"/>
    <cellStyle name="Comma 8 2 4 5 5" xfId="48704"/>
    <cellStyle name="Comma 8 2 4 6" xfId="48705"/>
    <cellStyle name="Comma 8 2 4 6 2" xfId="48706"/>
    <cellStyle name="Comma 8 2 4 6 3" xfId="48707"/>
    <cellStyle name="Comma 8 2 4 7" xfId="48708"/>
    <cellStyle name="Comma 8 2 4 7 2" xfId="48709"/>
    <cellStyle name="Comma 8 2 4 7 3" xfId="48710"/>
    <cellStyle name="Comma 8 2 4 8" xfId="48711"/>
    <cellStyle name="Comma 8 2 4 8 2" xfId="48712"/>
    <cellStyle name="Comma 8 2 4 9" xfId="48713"/>
    <cellStyle name="Comma 8 2 5" xfId="48714"/>
    <cellStyle name="Comma 8 2 5 2" xfId="48715"/>
    <cellStyle name="Comma 8 2 5 2 2" xfId="48716"/>
    <cellStyle name="Comma 8 2 5 2 2 2" xfId="48717"/>
    <cellStyle name="Comma 8 2 5 2 2 3" xfId="48718"/>
    <cellStyle name="Comma 8 2 5 2 3" xfId="48719"/>
    <cellStyle name="Comma 8 2 5 2 3 2" xfId="48720"/>
    <cellStyle name="Comma 8 2 5 2 3 3" xfId="48721"/>
    <cellStyle name="Comma 8 2 5 2 4" xfId="48722"/>
    <cellStyle name="Comma 8 2 5 2 4 2" xfId="48723"/>
    <cellStyle name="Comma 8 2 5 2 5" xfId="48724"/>
    <cellStyle name="Comma 8 2 5 2 6" xfId="48725"/>
    <cellStyle name="Comma 8 2 5 3" xfId="48726"/>
    <cellStyle name="Comma 8 2 5 3 2" xfId="48727"/>
    <cellStyle name="Comma 8 2 5 3 2 2" xfId="48728"/>
    <cellStyle name="Comma 8 2 5 3 2 3" xfId="48729"/>
    <cellStyle name="Comma 8 2 5 3 3" xfId="48730"/>
    <cellStyle name="Comma 8 2 5 3 3 2" xfId="48731"/>
    <cellStyle name="Comma 8 2 5 3 3 3" xfId="48732"/>
    <cellStyle name="Comma 8 2 5 3 4" xfId="48733"/>
    <cellStyle name="Comma 8 2 5 3 4 2" xfId="48734"/>
    <cellStyle name="Comma 8 2 5 3 5" xfId="48735"/>
    <cellStyle name="Comma 8 2 5 3 6" xfId="48736"/>
    <cellStyle name="Comma 8 2 5 4" xfId="48737"/>
    <cellStyle name="Comma 8 2 5 4 2" xfId="48738"/>
    <cellStyle name="Comma 8 2 5 4 2 2" xfId="48739"/>
    <cellStyle name="Comma 8 2 5 4 2 3" xfId="48740"/>
    <cellStyle name="Comma 8 2 5 4 3" xfId="48741"/>
    <cellStyle name="Comma 8 2 5 4 3 2" xfId="48742"/>
    <cellStyle name="Comma 8 2 5 4 4" xfId="48743"/>
    <cellStyle name="Comma 8 2 5 4 5" xfId="48744"/>
    <cellStyle name="Comma 8 2 5 5" xfId="48745"/>
    <cellStyle name="Comma 8 2 5 5 2" xfId="48746"/>
    <cellStyle name="Comma 8 2 5 5 3" xfId="48747"/>
    <cellStyle name="Comma 8 2 5 6" xfId="48748"/>
    <cellStyle name="Comma 8 2 5 6 2" xfId="48749"/>
    <cellStyle name="Comma 8 2 5 6 3" xfId="48750"/>
    <cellStyle name="Comma 8 2 5 7" xfId="48751"/>
    <cellStyle name="Comma 8 2 5 7 2" xfId="48752"/>
    <cellStyle name="Comma 8 2 5 8" xfId="48753"/>
    <cellStyle name="Comma 8 2 5 9" xfId="48754"/>
    <cellStyle name="Comma 8 2 6" xfId="48755"/>
    <cellStyle name="Comma 8 2 6 2" xfId="48756"/>
    <cellStyle name="Comma 8 2 6 2 2" xfId="48757"/>
    <cellStyle name="Comma 8 2 6 2 2 2" xfId="48758"/>
    <cellStyle name="Comma 8 2 6 2 2 3" xfId="48759"/>
    <cellStyle name="Comma 8 2 6 2 3" xfId="48760"/>
    <cellStyle name="Comma 8 2 6 2 3 2" xfId="48761"/>
    <cellStyle name="Comma 8 2 6 2 3 3" xfId="48762"/>
    <cellStyle name="Comma 8 2 6 2 4" xfId="48763"/>
    <cellStyle name="Comma 8 2 6 2 4 2" xfId="48764"/>
    <cellStyle name="Comma 8 2 6 2 5" xfId="48765"/>
    <cellStyle name="Comma 8 2 6 2 6" xfId="48766"/>
    <cellStyle name="Comma 8 2 6 3" xfId="48767"/>
    <cellStyle name="Comma 8 2 6 3 2" xfId="48768"/>
    <cellStyle name="Comma 8 2 6 3 2 2" xfId="48769"/>
    <cellStyle name="Comma 8 2 6 3 2 3" xfId="48770"/>
    <cellStyle name="Comma 8 2 6 3 3" xfId="48771"/>
    <cellStyle name="Comma 8 2 6 3 3 2" xfId="48772"/>
    <cellStyle name="Comma 8 2 6 3 3 3" xfId="48773"/>
    <cellStyle name="Comma 8 2 6 3 4" xfId="48774"/>
    <cellStyle name="Comma 8 2 6 3 4 2" xfId="48775"/>
    <cellStyle name="Comma 8 2 6 3 5" xfId="48776"/>
    <cellStyle name="Comma 8 2 6 3 6" xfId="48777"/>
    <cellStyle name="Comma 8 2 6 4" xfId="48778"/>
    <cellStyle name="Comma 8 2 6 4 2" xfId="48779"/>
    <cellStyle name="Comma 8 2 6 4 2 2" xfId="48780"/>
    <cellStyle name="Comma 8 2 6 4 2 3" xfId="48781"/>
    <cellStyle name="Comma 8 2 6 4 3" xfId="48782"/>
    <cellStyle name="Comma 8 2 6 4 3 2" xfId="48783"/>
    <cellStyle name="Comma 8 2 6 4 4" xfId="48784"/>
    <cellStyle name="Comma 8 2 6 4 5" xfId="48785"/>
    <cellStyle name="Comma 8 2 6 5" xfId="48786"/>
    <cellStyle name="Comma 8 2 6 5 2" xfId="48787"/>
    <cellStyle name="Comma 8 2 6 5 3" xfId="48788"/>
    <cellStyle name="Comma 8 2 6 6" xfId="48789"/>
    <cellStyle name="Comma 8 2 6 6 2" xfId="48790"/>
    <cellStyle name="Comma 8 2 6 6 3" xfId="48791"/>
    <cellStyle name="Comma 8 2 6 7" xfId="48792"/>
    <cellStyle name="Comma 8 2 6 7 2" xfId="48793"/>
    <cellStyle name="Comma 8 2 6 8" xfId="48794"/>
    <cellStyle name="Comma 8 2 6 9" xfId="48795"/>
    <cellStyle name="Comma 8 2 7" xfId="48796"/>
    <cellStyle name="Comma 8 2 7 2" xfId="48797"/>
    <cellStyle name="Comma 8 2 7 2 2" xfId="48798"/>
    <cellStyle name="Comma 8 2 7 2 3" xfId="48799"/>
    <cellStyle name="Comma 8 2 7 3" xfId="48800"/>
    <cellStyle name="Comma 8 2 7 3 2" xfId="48801"/>
    <cellStyle name="Comma 8 2 7 3 3" xfId="48802"/>
    <cellStyle name="Comma 8 2 7 4" xfId="48803"/>
    <cellStyle name="Comma 8 2 7 4 2" xfId="48804"/>
    <cellStyle name="Comma 8 2 7 5" xfId="48805"/>
    <cellStyle name="Comma 8 2 7 6" xfId="48806"/>
    <cellStyle name="Comma 8 2 8" xfId="48807"/>
    <cellStyle name="Comma 8 2 8 2" xfId="48808"/>
    <cellStyle name="Comma 8 2 8 2 2" xfId="48809"/>
    <cellStyle name="Comma 8 2 8 2 3" xfId="48810"/>
    <cellStyle name="Comma 8 2 8 3" xfId="48811"/>
    <cellStyle name="Comma 8 2 8 3 2" xfId="48812"/>
    <cellStyle name="Comma 8 2 8 3 3" xfId="48813"/>
    <cellStyle name="Comma 8 2 8 4" xfId="48814"/>
    <cellStyle name="Comma 8 2 8 4 2" xfId="48815"/>
    <cellStyle name="Comma 8 2 8 5" xfId="48816"/>
    <cellStyle name="Comma 8 2 8 6" xfId="48817"/>
    <cellStyle name="Comma 8 2 9" xfId="48818"/>
    <cellStyle name="Comma 8 2 9 2" xfId="48819"/>
    <cellStyle name="Comma 8 2 9 2 2" xfId="48820"/>
    <cellStyle name="Comma 8 2 9 2 3" xfId="48821"/>
    <cellStyle name="Comma 8 2 9 3" xfId="48822"/>
    <cellStyle name="Comma 8 2 9 3 2" xfId="48823"/>
    <cellStyle name="Comma 8 2 9 4" xfId="48824"/>
    <cellStyle name="Comma 8 2 9 5" xfId="48825"/>
    <cellStyle name="Comma 8 3" xfId="3743"/>
    <cellStyle name="Comma 8 3 10" xfId="48826"/>
    <cellStyle name="Comma 8 3 10 2" xfId="48827"/>
    <cellStyle name="Comma 8 3 10 3" xfId="48828"/>
    <cellStyle name="Comma 8 3 11" xfId="48829"/>
    <cellStyle name="Comma 8 3 11 2" xfId="48830"/>
    <cellStyle name="Comma 8 3 12" xfId="48831"/>
    <cellStyle name="Comma 8 3 13" xfId="48832"/>
    <cellStyle name="Comma 8 3 14" xfId="48833"/>
    <cellStyle name="Comma 8 3 2" xfId="9148"/>
    <cellStyle name="Comma 8 3 2 10" xfId="48834"/>
    <cellStyle name="Comma 8 3 2 10 2" xfId="48835"/>
    <cellStyle name="Comma 8 3 2 11" xfId="48836"/>
    <cellStyle name="Comma 8 3 2 12" xfId="48837"/>
    <cellStyle name="Comma 8 3 2 13" xfId="48838"/>
    <cellStyle name="Comma 8 3 2 2" xfId="48839"/>
    <cellStyle name="Comma 8 3 2 2 10" xfId="48840"/>
    <cellStyle name="Comma 8 3 2 2 2" xfId="48841"/>
    <cellStyle name="Comma 8 3 2 2 2 2" xfId="48842"/>
    <cellStyle name="Comma 8 3 2 2 2 2 2" xfId="48843"/>
    <cellStyle name="Comma 8 3 2 2 2 2 2 2" xfId="48844"/>
    <cellStyle name="Comma 8 3 2 2 2 2 2 3" xfId="48845"/>
    <cellStyle name="Comma 8 3 2 2 2 2 3" xfId="48846"/>
    <cellStyle name="Comma 8 3 2 2 2 2 3 2" xfId="48847"/>
    <cellStyle name="Comma 8 3 2 2 2 2 3 3" xfId="48848"/>
    <cellStyle name="Comma 8 3 2 2 2 2 4" xfId="48849"/>
    <cellStyle name="Comma 8 3 2 2 2 2 4 2" xfId="48850"/>
    <cellStyle name="Comma 8 3 2 2 2 2 5" xfId="48851"/>
    <cellStyle name="Comma 8 3 2 2 2 2 6" xfId="48852"/>
    <cellStyle name="Comma 8 3 2 2 2 3" xfId="48853"/>
    <cellStyle name="Comma 8 3 2 2 2 3 2" xfId="48854"/>
    <cellStyle name="Comma 8 3 2 2 2 3 2 2" xfId="48855"/>
    <cellStyle name="Comma 8 3 2 2 2 3 2 3" xfId="48856"/>
    <cellStyle name="Comma 8 3 2 2 2 3 3" xfId="48857"/>
    <cellStyle name="Comma 8 3 2 2 2 3 3 2" xfId="48858"/>
    <cellStyle name="Comma 8 3 2 2 2 3 3 3" xfId="48859"/>
    <cellStyle name="Comma 8 3 2 2 2 3 4" xfId="48860"/>
    <cellStyle name="Comma 8 3 2 2 2 3 4 2" xfId="48861"/>
    <cellStyle name="Comma 8 3 2 2 2 3 5" xfId="48862"/>
    <cellStyle name="Comma 8 3 2 2 2 3 6" xfId="48863"/>
    <cellStyle name="Comma 8 3 2 2 2 4" xfId="48864"/>
    <cellStyle name="Comma 8 3 2 2 2 4 2" xfId="48865"/>
    <cellStyle name="Comma 8 3 2 2 2 4 2 2" xfId="48866"/>
    <cellStyle name="Comma 8 3 2 2 2 4 2 3" xfId="48867"/>
    <cellStyle name="Comma 8 3 2 2 2 4 3" xfId="48868"/>
    <cellStyle name="Comma 8 3 2 2 2 4 3 2" xfId="48869"/>
    <cellStyle name="Comma 8 3 2 2 2 4 4" xfId="48870"/>
    <cellStyle name="Comma 8 3 2 2 2 4 5" xfId="48871"/>
    <cellStyle name="Comma 8 3 2 2 2 5" xfId="48872"/>
    <cellStyle name="Comma 8 3 2 2 2 5 2" xfId="48873"/>
    <cellStyle name="Comma 8 3 2 2 2 5 3" xfId="48874"/>
    <cellStyle name="Comma 8 3 2 2 2 6" xfId="48875"/>
    <cellStyle name="Comma 8 3 2 2 2 6 2" xfId="48876"/>
    <cellStyle name="Comma 8 3 2 2 2 6 3" xfId="48877"/>
    <cellStyle name="Comma 8 3 2 2 2 7" xfId="48878"/>
    <cellStyle name="Comma 8 3 2 2 2 7 2" xfId="48879"/>
    <cellStyle name="Comma 8 3 2 2 2 8" xfId="48880"/>
    <cellStyle name="Comma 8 3 2 2 2 9" xfId="48881"/>
    <cellStyle name="Comma 8 3 2 2 3" xfId="48882"/>
    <cellStyle name="Comma 8 3 2 2 3 2" xfId="48883"/>
    <cellStyle name="Comma 8 3 2 2 3 2 2" xfId="48884"/>
    <cellStyle name="Comma 8 3 2 2 3 2 3" xfId="48885"/>
    <cellStyle name="Comma 8 3 2 2 3 3" xfId="48886"/>
    <cellStyle name="Comma 8 3 2 2 3 3 2" xfId="48887"/>
    <cellStyle name="Comma 8 3 2 2 3 3 3" xfId="48888"/>
    <cellStyle name="Comma 8 3 2 2 3 4" xfId="48889"/>
    <cellStyle name="Comma 8 3 2 2 3 4 2" xfId="48890"/>
    <cellStyle name="Comma 8 3 2 2 3 5" xfId="48891"/>
    <cellStyle name="Comma 8 3 2 2 3 6" xfId="48892"/>
    <cellStyle name="Comma 8 3 2 2 4" xfId="48893"/>
    <cellStyle name="Comma 8 3 2 2 4 2" xfId="48894"/>
    <cellStyle name="Comma 8 3 2 2 4 2 2" xfId="48895"/>
    <cellStyle name="Comma 8 3 2 2 4 2 3" xfId="48896"/>
    <cellStyle name="Comma 8 3 2 2 4 3" xfId="48897"/>
    <cellStyle name="Comma 8 3 2 2 4 3 2" xfId="48898"/>
    <cellStyle name="Comma 8 3 2 2 4 3 3" xfId="48899"/>
    <cellStyle name="Comma 8 3 2 2 4 4" xfId="48900"/>
    <cellStyle name="Comma 8 3 2 2 4 4 2" xfId="48901"/>
    <cellStyle name="Comma 8 3 2 2 4 5" xfId="48902"/>
    <cellStyle name="Comma 8 3 2 2 4 6" xfId="48903"/>
    <cellStyle name="Comma 8 3 2 2 5" xfId="48904"/>
    <cellStyle name="Comma 8 3 2 2 5 2" xfId="48905"/>
    <cellStyle name="Comma 8 3 2 2 5 2 2" xfId="48906"/>
    <cellStyle name="Comma 8 3 2 2 5 2 3" xfId="48907"/>
    <cellStyle name="Comma 8 3 2 2 5 3" xfId="48908"/>
    <cellStyle name="Comma 8 3 2 2 5 3 2" xfId="48909"/>
    <cellStyle name="Comma 8 3 2 2 5 4" xfId="48910"/>
    <cellStyle name="Comma 8 3 2 2 5 5" xfId="48911"/>
    <cellStyle name="Comma 8 3 2 2 6" xfId="48912"/>
    <cellStyle name="Comma 8 3 2 2 6 2" xfId="48913"/>
    <cellStyle name="Comma 8 3 2 2 6 3" xfId="48914"/>
    <cellStyle name="Comma 8 3 2 2 7" xfId="48915"/>
    <cellStyle name="Comma 8 3 2 2 7 2" xfId="48916"/>
    <cellStyle name="Comma 8 3 2 2 7 3" xfId="48917"/>
    <cellStyle name="Comma 8 3 2 2 8" xfId="48918"/>
    <cellStyle name="Comma 8 3 2 2 8 2" xfId="48919"/>
    <cellStyle name="Comma 8 3 2 2 9" xfId="48920"/>
    <cellStyle name="Comma 8 3 2 3" xfId="48921"/>
    <cellStyle name="Comma 8 3 2 3 2" xfId="48922"/>
    <cellStyle name="Comma 8 3 2 3 2 2" xfId="48923"/>
    <cellStyle name="Comma 8 3 2 3 2 2 2" xfId="48924"/>
    <cellStyle name="Comma 8 3 2 3 2 2 3" xfId="48925"/>
    <cellStyle name="Comma 8 3 2 3 2 3" xfId="48926"/>
    <cellStyle name="Comma 8 3 2 3 2 3 2" xfId="48927"/>
    <cellStyle name="Comma 8 3 2 3 2 3 3" xfId="48928"/>
    <cellStyle name="Comma 8 3 2 3 2 4" xfId="48929"/>
    <cellStyle name="Comma 8 3 2 3 2 4 2" xfId="48930"/>
    <cellStyle name="Comma 8 3 2 3 2 5" xfId="48931"/>
    <cellStyle name="Comma 8 3 2 3 2 6" xfId="48932"/>
    <cellStyle name="Comma 8 3 2 3 3" xfId="48933"/>
    <cellStyle name="Comma 8 3 2 3 3 2" xfId="48934"/>
    <cellStyle name="Comma 8 3 2 3 3 2 2" xfId="48935"/>
    <cellStyle name="Comma 8 3 2 3 3 2 3" xfId="48936"/>
    <cellStyle name="Comma 8 3 2 3 3 3" xfId="48937"/>
    <cellStyle name="Comma 8 3 2 3 3 3 2" xfId="48938"/>
    <cellStyle name="Comma 8 3 2 3 3 3 3" xfId="48939"/>
    <cellStyle name="Comma 8 3 2 3 3 4" xfId="48940"/>
    <cellStyle name="Comma 8 3 2 3 3 4 2" xfId="48941"/>
    <cellStyle name="Comma 8 3 2 3 3 5" xfId="48942"/>
    <cellStyle name="Comma 8 3 2 3 3 6" xfId="48943"/>
    <cellStyle name="Comma 8 3 2 3 4" xfId="48944"/>
    <cellStyle name="Comma 8 3 2 3 4 2" xfId="48945"/>
    <cellStyle name="Comma 8 3 2 3 4 2 2" xfId="48946"/>
    <cellStyle name="Comma 8 3 2 3 4 2 3" xfId="48947"/>
    <cellStyle name="Comma 8 3 2 3 4 3" xfId="48948"/>
    <cellStyle name="Comma 8 3 2 3 4 3 2" xfId="48949"/>
    <cellStyle name="Comma 8 3 2 3 4 4" xfId="48950"/>
    <cellStyle name="Comma 8 3 2 3 4 5" xfId="48951"/>
    <cellStyle name="Comma 8 3 2 3 5" xfId="48952"/>
    <cellStyle name="Comma 8 3 2 3 5 2" xfId="48953"/>
    <cellStyle name="Comma 8 3 2 3 5 3" xfId="48954"/>
    <cellStyle name="Comma 8 3 2 3 6" xfId="48955"/>
    <cellStyle name="Comma 8 3 2 3 6 2" xfId="48956"/>
    <cellStyle name="Comma 8 3 2 3 6 3" xfId="48957"/>
    <cellStyle name="Comma 8 3 2 3 7" xfId="48958"/>
    <cellStyle name="Comma 8 3 2 3 7 2" xfId="48959"/>
    <cellStyle name="Comma 8 3 2 3 8" xfId="48960"/>
    <cellStyle name="Comma 8 3 2 3 9" xfId="48961"/>
    <cellStyle name="Comma 8 3 2 4" xfId="48962"/>
    <cellStyle name="Comma 8 3 2 4 2" xfId="48963"/>
    <cellStyle name="Comma 8 3 2 4 2 2" xfId="48964"/>
    <cellStyle name="Comma 8 3 2 4 2 2 2" xfId="48965"/>
    <cellStyle name="Comma 8 3 2 4 2 2 3" xfId="48966"/>
    <cellStyle name="Comma 8 3 2 4 2 3" xfId="48967"/>
    <cellStyle name="Comma 8 3 2 4 2 3 2" xfId="48968"/>
    <cellStyle name="Comma 8 3 2 4 2 3 3" xfId="48969"/>
    <cellStyle name="Comma 8 3 2 4 2 4" xfId="48970"/>
    <cellStyle name="Comma 8 3 2 4 2 4 2" xfId="48971"/>
    <cellStyle name="Comma 8 3 2 4 2 5" xfId="48972"/>
    <cellStyle name="Comma 8 3 2 4 2 6" xfId="48973"/>
    <cellStyle name="Comma 8 3 2 4 3" xfId="48974"/>
    <cellStyle name="Comma 8 3 2 4 3 2" xfId="48975"/>
    <cellStyle name="Comma 8 3 2 4 3 2 2" xfId="48976"/>
    <cellStyle name="Comma 8 3 2 4 3 2 3" xfId="48977"/>
    <cellStyle name="Comma 8 3 2 4 3 3" xfId="48978"/>
    <cellStyle name="Comma 8 3 2 4 3 3 2" xfId="48979"/>
    <cellStyle name="Comma 8 3 2 4 3 3 3" xfId="48980"/>
    <cellStyle name="Comma 8 3 2 4 3 4" xfId="48981"/>
    <cellStyle name="Comma 8 3 2 4 3 4 2" xfId="48982"/>
    <cellStyle name="Comma 8 3 2 4 3 5" xfId="48983"/>
    <cellStyle name="Comma 8 3 2 4 3 6" xfId="48984"/>
    <cellStyle name="Comma 8 3 2 4 4" xfId="48985"/>
    <cellStyle name="Comma 8 3 2 4 4 2" xfId="48986"/>
    <cellStyle name="Comma 8 3 2 4 4 2 2" xfId="48987"/>
    <cellStyle name="Comma 8 3 2 4 4 2 3" xfId="48988"/>
    <cellStyle name="Comma 8 3 2 4 4 3" xfId="48989"/>
    <cellStyle name="Comma 8 3 2 4 4 3 2" xfId="48990"/>
    <cellStyle name="Comma 8 3 2 4 4 4" xfId="48991"/>
    <cellStyle name="Comma 8 3 2 4 4 5" xfId="48992"/>
    <cellStyle name="Comma 8 3 2 4 5" xfId="48993"/>
    <cellStyle name="Comma 8 3 2 4 5 2" xfId="48994"/>
    <cellStyle name="Comma 8 3 2 4 5 3" xfId="48995"/>
    <cellStyle name="Comma 8 3 2 4 6" xfId="48996"/>
    <cellStyle name="Comma 8 3 2 4 6 2" xfId="48997"/>
    <cellStyle name="Comma 8 3 2 4 6 3" xfId="48998"/>
    <cellStyle name="Comma 8 3 2 4 7" xfId="48999"/>
    <cellStyle name="Comma 8 3 2 4 7 2" xfId="49000"/>
    <cellStyle name="Comma 8 3 2 4 8" xfId="49001"/>
    <cellStyle name="Comma 8 3 2 4 9" xfId="49002"/>
    <cellStyle name="Comma 8 3 2 5" xfId="49003"/>
    <cellStyle name="Comma 8 3 2 5 2" xfId="49004"/>
    <cellStyle name="Comma 8 3 2 5 2 2" xfId="49005"/>
    <cellStyle name="Comma 8 3 2 5 2 3" xfId="49006"/>
    <cellStyle name="Comma 8 3 2 5 3" xfId="49007"/>
    <cellStyle name="Comma 8 3 2 5 3 2" xfId="49008"/>
    <cellStyle name="Comma 8 3 2 5 3 3" xfId="49009"/>
    <cellStyle name="Comma 8 3 2 5 4" xfId="49010"/>
    <cellStyle name="Comma 8 3 2 5 4 2" xfId="49011"/>
    <cellStyle name="Comma 8 3 2 5 5" xfId="49012"/>
    <cellStyle name="Comma 8 3 2 5 6" xfId="49013"/>
    <cellStyle name="Comma 8 3 2 6" xfId="49014"/>
    <cellStyle name="Comma 8 3 2 6 2" xfId="49015"/>
    <cellStyle name="Comma 8 3 2 6 2 2" xfId="49016"/>
    <cellStyle name="Comma 8 3 2 6 2 3" xfId="49017"/>
    <cellStyle name="Comma 8 3 2 6 3" xfId="49018"/>
    <cellStyle name="Comma 8 3 2 6 3 2" xfId="49019"/>
    <cellStyle name="Comma 8 3 2 6 3 3" xfId="49020"/>
    <cellStyle name="Comma 8 3 2 6 4" xfId="49021"/>
    <cellStyle name="Comma 8 3 2 6 4 2" xfId="49022"/>
    <cellStyle name="Comma 8 3 2 6 5" xfId="49023"/>
    <cellStyle name="Comma 8 3 2 6 6" xfId="49024"/>
    <cellStyle name="Comma 8 3 2 7" xfId="49025"/>
    <cellStyle name="Comma 8 3 2 7 2" xfId="49026"/>
    <cellStyle name="Comma 8 3 2 7 2 2" xfId="49027"/>
    <cellStyle name="Comma 8 3 2 7 2 3" xfId="49028"/>
    <cellStyle name="Comma 8 3 2 7 3" xfId="49029"/>
    <cellStyle name="Comma 8 3 2 7 3 2" xfId="49030"/>
    <cellStyle name="Comma 8 3 2 7 4" xfId="49031"/>
    <cellStyle name="Comma 8 3 2 7 5" xfId="49032"/>
    <cellStyle name="Comma 8 3 2 8" xfId="49033"/>
    <cellStyle name="Comma 8 3 2 8 2" xfId="49034"/>
    <cellStyle name="Comma 8 3 2 8 3" xfId="49035"/>
    <cellStyle name="Comma 8 3 2 9" xfId="49036"/>
    <cellStyle name="Comma 8 3 2 9 2" xfId="49037"/>
    <cellStyle name="Comma 8 3 2 9 3" xfId="49038"/>
    <cellStyle name="Comma 8 3 3" xfId="9149"/>
    <cellStyle name="Comma 8 3 3 10" xfId="49039"/>
    <cellStyle name="Comma 8 3 3 2" xfId="49040"/>
    <cellStyle name="Comma 8 3 3 2 2" xfId="49041"/>
    <cellStyle name="Comma 8 3 3 2 2 2" xfId="49042"/>
    <cellStyle name="Comma 8 3 3 2 2 2 2" xfId="49043"/>
    <cellStyle name="Comma 8 3 3 2 2 2 3" xfId="49044"/>
    <cellStyle name="Comma 8 3 3 2 2 3" xfId="49045"/>
    <cellStyle name="Comma 8 3 3 2 2 3 2" xfId="49046"/>
    <cellStyle name="Comma 8 3 3 2 2 3 3" xfId="49047"/>
    <cellStyle name="Comma 8 3 3 2 2 4" xfId="49048"/>
    <cellStyle name="Comma 8 3 3 2 2 4 2" xfId="49049"/>
    <cellStyle name="Comma 8 3 3 2 2 5" xfId="49050"/>
    <cellStyle name="Comma 8 3 3 2 2 6" xfId="49051"/>
    <cellStyle name="Comma 8 3 3 2 3" xfId="49052"/>
    <cellStyle name="Comma 8 3 3 2 3 2" xfId="49053"/>
    <cellStyle name="Comma 8 3 3 2 3 2 2" xfId="49054"/>
    <cellStyle name="Comma 8 3 3 2 3 2 3" xfId="49055"/>
    <cellStyle name="Comma 8 3 3 2 3 3" xfId="49056"/>
    <cellStyle name="Comma 8 3 3 2 3 3 2" xfId="49057"/>
    <cellStyle name="Comma 8 3 3 2 3 3 3" xfId="49058"/>
    <cellStyle name="Comma 8 3 3 2 3 4" xfId="49059"/>
    <cellStyle name="Comma 8 3 3 2 3 4 2" xfId="49060"/>
    <cellStyle name="Comma 8 3 3 2 3 5" xfId="49061"/>
    <cellStyle name="Comma 8 3 3 2 3 6" xfId="49062"/>
    <cellStyle name="Comma 8 3 3 2 4" xfId="49063"/>
    <cellStyle name="Comma 8 3 3 2 4 2" xfId="49064"/>
    <cellStyle name="Comma 8 3 3 2 4 2 2" xfId="49065"/>
    <cellStyle name="Comma 8 3 3 2 4 2 3" xfId="49066"/>
    <cellStyle name="Comma 8 3 3 2 4 3" xfId="49067"/>
    <cellStyle name="Comma 8 3 3 2 4 3 2" xfId="49068"/>
    <cellStyle name="Comma 8 3 3 2 4 4" xfId="49069"/>
    <cellStyle name="Comma 8 3 3 2 4 5" xfId="49070"/>
    <cellStyle name="Comma 8 3 3 2 5" xfId="49071"/>
    <cellStyle name="Comma 8 3 3 2 5 2" xfId="49072"/>
    <cellStyle name="Comma 8 3 3 2 5 3" xfId="49073"/>
    <cellStyle name="Comma 8 3 3 2 6" xfId="49074"/>
    <cellStyle name="Comma 8 3 3 2 6 2" xfId="49075"/>
    <cellStyle name="Comma 8 3 3 2 6 3" xfId="49076"/>
    <cellStyle name="Comma 8 3 3 2 7" xfId="49077"/>
    <cellStyle name="Comma 8 3 3 2 7 2" xfId="49078"/>
    <cellStyle name="Comma 8 3 3 2 8" xfId="49079"/>
    <cellStyle name="Comma 8 3 3 2 9" xfId="49080"/>
    <cellStyle name="Comma 8 3 3 3" xfId="49081"/>
    <cellStyle name="Comma 8 3 3 3 2" xfId="49082"/>
    <cellStyle name="Comma 8 3 3 3 2 2" xfId="49083"/>
    <cellStyle name="Comma 8 3 3 3 2 3" xfId="49084"/>
    <cellStyle name="Comma 8 3 3 3 3" xfId="49085"/>
    <cellStyle name="Comma 8 3 3 3 3 2" xfId="49086"/>
    <cellStyle name="Comma 8 3 3 3 3 3" xfId="49087"/>
    <cellStyle name="Comma 8 3 3 3 4" xfId="49088"/>
    <cellStyle name="Comma 8 3 3 3 4 2" xfId="49089"/>
    <cellStyle name="Comma 8 3 3 3 5" xfId="49090"/>
    <cellStyle name="Comma 8 3 3 3 6" xfId="49091"/>
    <cellStyle name="Comma 8 3 3 4" xfId="49092"/>
    <cellStyle name="Comma 8 3 3 4 2" xfId="49093"/>
    <cellStyle name="Comma 8 3 3 4 2 2" xfId="49094"/>
    <cellStyle name="Comma 8 3 3 4 2 3" xfId="49095"/>
    <cellStyle name="Comma 8 3 3 4 3" xfId="49096"/>
    <cellStyle name="Comma 8 3 3 4 3 2" xfId="49097"/>
    <cellStyle name="Comma 8 3 3 4 3 3" xfId="49098"/>
    <cellStyle name="Comma 8 3 3 4 4" xfId="49099"/>
    <cellStyle name="Comma 8 3 3 4 4 2" xfId="49100"/>
    <cellStyle name="Comma 8 3 3 4 5" xfId="49101"/>
    <cellStyle name="Comma 8 3 3 4 6" xfId="49102"/>
    <cellStyle name="Comma 8 3 3 5" xfId="49103"/>
    <cellStyle name="Comma 8 3 3 5 2" xfId="49104"/>
    <cellStyle name="Comma 8 3 3 5 2 2" xfId="49105"/>
    <cellStyle name="Comma 8 3 3 5 2 3" xfId="49106"/>
    <cellStyle name="Comma 8 3 3 5 3" xfId="49107"/>
    <cellStyle name="Comma 8 3 3 5 3 2" xfId="49108"/>
    <cellStyle name="Comma 8 3 3 5 4" xfId="49109"/>
    <cellStyle name="Comma 8 3 3 5 5" xfId="49110"/>
    <cellStyle name="Comma 8 3 3 6" xfId="49111"/>
    <cellStyle name="Comma 8 3 3 6 2" xfId="49112"/>
    <cellStyle name="Comma 8 3 3 6 3" xfId="49113"/>
    <cellStyle name="Comma 8 3 3 7" xfId="49114"/>
    <cellStyle name="Comma 8 3 3 7 2" xfId="49115"/>
    <cellStyle name="Comma 8 3 3 7 3" xfId="49116"/>
    <cellStyle name="Comma 8 3 3 8" xfId="49117"/>
    <cellStyle name="Comma 8 3 3 8 2" xfId="49118"/>
    <cellStyle name="Comma 8 3 3 9" xfId="49119"/>
    <cellStyle name="Comma 8 3 4" xfId="49120"/>
    <cellStyle name="Comma 8 3 4 2" xfId="49121"/>
    <cellStyle name="Comma 8 3 4 2 2" xfId="49122"/>
    <cellStyle name="Comma 8 3 4 2 2 2" xfId="49123"/>
    <cellStyle name="Comma 8 3 4 2 2 3" xfId="49124"/>
    <cellStyle name="Comma 8 3 4 2 3" xfId="49125"/>
    <cellStyle name="Comma 8 3 4 2 3 2" xfId="49126"/>
    <cellStyle name="Comma 8 3 4 2 3 3" xfId="49127"/>
    <cellStyle name="Comma 8 3 4 2 4" xfId="49128"/>
    <cellStyle name="Comma 8 3 4 2 4 2" xfId="49129"/>
    <cellStyle name="Comma 8 3 4 2 5" xfId="49130"/>
    <cellStyle name="Comma 8 3 4 2 6" xfId="49131"/>
    <cellStyle name="Comma 8 3 4 3" xfId="49132"/>
    <cellStyle name="Comma 8 3 4 3 2" xfId="49133"/>
    <cellStyle name="Comma 8 3 4 3 2 2" xfId="49134"/>
    <cellStyle name="Comma 8 3 4 3 2 3" xfId="49135"/>
    <cellStyle name="Comma 8 3 4 3 3" xfId="49136"/>
    <cellStyle name="Comma 8 3 4 3 3 2" xfId="49137"/>
    <cellStyle name="Comma 8 3 4 3 3 3" xfId="49138"/>
    <cellStyle name="Comma 8 3 4 3 4" xfId="49139"/>
    <cellStyle name="Comma 8 3 4 3 4 2" xfId="49140"/>
    <cellStyle name="Comma 8 3 4 3 5" xfId="49141"/>
    <cellStyle name="Comma 8 3 4 3 6" xfId="49142"/>
    <cellStyle name="Comma 8 3 4 4" xfId="49143"/>
    <cellStyle name="Comma 8 3 4 4 2" xfId="49144"/>
    <cellStyle name="Comma 8 3 4 4 2 2" xfId="49145"/>
    <cellStyle name="Comma 8 3 4 4 2 3" xfId="49146"/>
    <cellStyle name="Comma 8 3 4 4 3" xfId="49147"/>
    <cellStyle name="Comma 8 3 4 4 3 2" xfId="49148"/>
    <cellStyle name="Comma 8 3 4 4 4" xfId="49149"/>
    <cellStyle name="Comma 8 3 4 4 5" xfId="49150"/>
    <cellStyle name="Comma 8 3 4 5" xfId="49151"/>
    <cellStyle name="Comma 8 3 4 5 2" xfId="49152"/>
    <cellStyle name="Comma 8 3 4 5 3" xfId="49153"/>
    <cellStyle name="Comma 8 3 4 6" xfId="49154"/>
    <cellStyle name="Comma 8 3 4 6 2" xfId="49155"/>
    <cellStyle name="Comma 8 3 4 6 3" xfId="49156"/>
    <cellStyle name="Comma 8 3 4 7" xfId="49157"/>
    <cellStyle name="Comma 8 3 4 7 2" xfId="49158"/>
    <cellStyle name="Comma 8 3 4 8" xfId="49159"/>
    <cellStyle name="Comma 8 3 4 9" xfId="49160"/>
    <cellStyle name="Comma 8 3 5" xfId="49161"/>
    <cellStyle name="Comma 8 3 5 2" xfId="49162"/>
    <cellStyle name="Comma 8 3 5 2 2" xfId="49163"/>
    <cellStyle name="Comma 8 3 5 2 2 2" xfId="49164"/>
    <cellStyle name="Comma 8 3 5 2 2 3" xfId="49165"/>
    <cellStyle name="Comma 8 3 5 2 3" xfId="49166"/>
    <cellStyle name="Comma 8 3 5 2 3 2" xfId="49167"/>
    <cellStyle name="Comma 8 3 5 2 3 3" xfId="49168"/>
    <cellStyle name="Comma 8 3 5 2 4" xfId="49169"/>
    <cellStyle name="Comma 8 3 5 2 4 2" xfId="49170"/>
    <cellStyle name="Comma 8 3 5 2 5" xfId="49171"/>
    <cellStyle name="Comma 8 3 5 2 6" xfId="49172"/>
    <cellStyle name="Comma 8 3 5 3" xfId="49173"/>
    <cellStyle name="Comma 8 3 5 3 2" xfId="49174"/>
    <cellStyle name="Comma 8 3 5 3 2 2" xfId="49175"/>
    <cellStyle name="Comma 8 3 5 3 2 3" xfId="49176"/>
    <cellStyle name="Comma 8 3 5 3 3" xfId="49177"/>
    <cellStyle name="Comma 8 3 5 3 3 2" xfId="49178"/>
    <cellStyle name="Comma 8 3 5 3 3 3" xfId="49179"/>
    <cellStyle name="Comma 8 3 5 3 4" xfId="49180"/>
    <cellStyle name="Comma 8 3 5 3 4 2" xfId="49181"/>
    <cellStyle name="Comma 8 3 5 3 5" xfId="49182"/>
    <cellStyle name="Comma 8 3 5 3 6" xfId="49183"/>
    <cellStyle name="Comma 8 3 5 4" xfId="49184"/>
    <cellStyle name="Comma 8 3 5 4 2" xfId="49185"/>
    <cellStyle name="Comma 8 3 5 4 2 2" xfId="49186"/>
    <cellStyle name="Comma 8 3 5 4 2 3" xfId="49187"/>
    <cellStyle name="Comma 8 3 5 4 3" xfId="49188"/>
    <cellStyle name="Comma 8 3 5 4 3 2" xfId="49189"/>
    <cellStyle name="Comma 8 3 5 4 4" xfId="49190"/>
    <cellStyle name="Comma 8 3 5 4 5" xfId="49191"/>
    <cellStyle name="Comma 8 3 5 5" xfId="49192"/>
    <cellStyle name="Comma 8 3 5 5 2" xfId="49193"/>
    <cellStyle name="Comma 8 3 5 5 3" xfId="49194"/>
    <cellStyle name="Comma 8 3 5 6" xfId="49195"/>
    <cellStyle name="Comma 8 3 5 6 2" xfId="49196"/>
    <cellStyle name="Comma 8 3 5 6 3" xfId="49197"/>
    <cellStyle name="Comma 8 3 5 7" xfId="49198"/>
    <cellStyle name="Comma 8 3 5 7 2" xfId="49199"/>
    <cellStyle name="Comma 8 3 5 8" xfId="49200"/>
    <cellStyle name="Comma 8 3 5 9" xfId="49201"/>
    <cellStyle name="Comma 8 3 6" xfId="49202"/>
    <cellStyle name="Comma 8 3 6 2" xfId="49203"/>
    <cellStyle name="Comma 8 3 6 2 2" xfId="49204"/>
    <cellStyle name="Comma 8 3 6 2 3" xfId="49205"/>
    <cellStyle name="Comma 8 3 6 3" xfId="49206"/>
    <cellStyle name="Comma 8 3 6 3 2" xfId="49207"/>
    <cellStyle name="Comma 8 3 6 3 3" xfId="49208"/>
    <cellStyle name="Comma 8 3 6 4" xfId="49209"/>
    <cellStyle name="Comma 8 3 6 4 2" xfId="49210"/>
    <cellStyle name="Comma 8 3 6 5" xfId="49211"/>
    <cellStyle name="Comma 8 3 6 6" xfId="49212"/>
    <cellStyle name="Comma 8 3 7" xfId="49213"/>
    <cellStyle name="Comma 8 3 7 2" xfId="49214"/>
    <cellStyle name="Comma 8 3 7 2 2" xfId="49215"/>
    <cellStyle name="Comma 8 3 7 2 3" xfId="49216"/>
    <cellStyle name="Comma 8 3 7 3" xfId="49217"/>
    <cellStyle name="Comma 8 3 7 3 2" xfId="49218"/>
    <cellStyle name="Comma 8 3 7 3 3" xfId="49219"/>
    <cellStyle name="Comma 8 3 7 4" xfId="49220"/>
    <cellStyle name="Comma 8 3 7 4 2" xfId="49221"/>
    <cellStyle name="Comma 8 3 7 5" xfId="49222"/>
    <cellStyle name="Comma 8 3 7 6" xfId="49223"/>
    <cellStyle name="Comma 8 3 8" xfId="49224"/>
    <cellStyle name="Comma 8 3 8 2" xfId="49225"/>
    <cellStyle name="Comma 8 3 8 2 2" xfId="49226"/>
    <cellStyle name="Comma 8 3 8 2 3" xfId="49227"/>
    <cellStyle name="Comma 8 3 8 3" xfId="49228"/>
    <cellStyle name="Comma 8 3 8 3 2" xfId="49229"/>
    <cellStyle name="Comma 8 3 8 4" xfId="49230"/>
    <cellStyle name="Comma 8 3 8 5" xfId="49231"/>
    <cellStyle name="Comma 8 3 9" xfId="49232"/>
    <cellStyle name="Comma 8 3 9 2" xfId="49233"/>
    <cellStyle name="Comma 8 3 9 3" xfId="49234"/>
    <cellStyle name="Comma 8 4" xfId="3744"/>
    <cellStyle name="Comma 8 4 10" xfId="49235"/>
    <cellStyle name="Comma 8 4 10 2" xfId="49236"/>
    <cellStyle name="Comma 8 4 11" xfId="49237"/>
    <cellStyle name="Comma 8 4 12" xfId="49238"/>
    <cellStyle name="Comma 8 4 13" xfId="49239"/>
    <cellStyle name="Comma 8 4 2" xfId="9150"/>
    <cellStyle name="Comma 8 4 2 10" xfId="49240"/>
    <cellStyle name="Comma 8 4 2 2" xfId="49241"/>
    <cellStyle name="Comma 8 4 2 2 2" xfId="49242"/>
    <cellStyle name="Comma 8 4 2 2 2 2" xfId="49243"/>
    <cellStyle name="Comma 8 4 2 2 2 2 2" xfId="49244"/>
    <cellStyle name="Comma 8 4 2 2 2 2 3" xfId="49245"/>
    <cellStyle name="Comma 8 4 2 2 2 3" xfId="49246"/>
    <cellStyle name="Comma 8 4 2 2 2 3 2" xfId="49247"/>
    <cellStyle name="Comma 8 4 2 2 2 3 3" xfId="49248"/>
    <cellStyle name="Comma 8 4 2 2 2 4" xfId="49249"/>
    <cellStyle name="Comma 8 4 2 2 2 4 2" xfId="49250"/>
    <cellStyle name="Comma 8 4 2 2 2 5" xfId="49251"/>
    <cellStyle name="Comma 8 4 2 2 2 6" xfId="49252"/>
    <cellStyle name="Comma 8 4 2 2 3" xfId="49253"/>
    <cellStyle name="Comma 8 4 2 2 3 2" xfId="49254"/>
    <cellStyle name="Comma 8 4 2 2 3 2 2" xfId="49255"/>
    <cellStyle name="Comma 8 4 2 2 3 2 3" xfId="49256"/>
    <cellStyle name="Comma 8 4 2 2 3 3" xfId="49257"/>
    <cellStyle name="Comma 8 4 2 2 3 3 2" xfId="49258"/>
    <cellStyle name="Comma 8 4 2 2 3 3 3" xfId="49259"/>
    <cellStyle name="Comma 8 4 2 2 3 4" xfId="49260"/>
    <cellStyle name="Comma 8 4 2 2 3 4 2" xfId="49261"/>
    <cellStyle name="Comma 8 4 2 2 3 5" xfId="49262"/>
    <cellStyle name="Comma 8 4 2 2 3 6" xfId="49263"/>
    <cellStyle name="Comma 8 4 2 2 4" xfId="49264"/>
    <cellStyle name="Comma 8 4 2 2 4 2" xfId="49265"/>
    <cellStyle name="Comma 8 4 2 2 4 2 2" xfId="49266"/>
    <cellStyle name="Comma 8 4 2 2 4 2 3" xfId="49267"/>
    <cellStyle name="Comma 8 4 2 2 4 3" xfId="49268"/>
    <cellStyle name="Comma 8 4 2 2 4 3 2" xfId="49269"/>
    <cellStyle name="Comma 8 4 2 2 4 4" xfId="49270"/>
    <cellStyle name="Comma 8 4 2 2 4 5" xfId="49271"/>
    <cellStyle name="Comma 8 4 2 2 5" xfId="49272"/>
    <cellStyle name="Comma 8 4 2 2 5 2" xfId="49273"/>
    <cellStyle name="Comma 8 4 2 2 5 3" xfId="49274"/>
    <cellStyle name="Comma 8 4 2 2 6" xfId="49275"/>
    <cellStyle name="Comma 8 4 2 2 6 2" xfId="49276"/>
    <cellStyle name="Comma 8 4 2 2 6 3" xfId="49277"/>
    <cellStyle name="Comma 8 4 2 2 7" xfId="49278"/>
    <cellStyle name="Comma 8 4 2 2 7 2" xfId="49279"/>
    <cellStyle name="Comma 8 4 2 2 8" xfId="49280"/>
    <cellStyle name="Comma 8 4 2 2 9" xfId="49281"/>
    <cellStyle name="Comma 8 4 2 3" xfId="49282"/>
    <cellStyle name="Comma 8 4 2 3 2" xfId="49283"/>
    <cellStyle name="Comma 8 4 2 3 2 2" xfId="49284"/>
    <cellStyle name="Comma 8 4 2 3 2 3" xfId="49285"/>
    <cellStyle name="Comma 8 4 2 3 3" xfId="49286"/>
    <cellStyle name="Comma 8 4 2 3 3 2" xfId="49287"/>
    <cellStyle name="Comma 8 4 2 3 3 3" xfId="49288"/>
    <cellStyle name="Comma 8 4 2 3 4" xfId="49289"/>
    <cellStyle name="Comma 8 4 2 3 4 2" xfId="49290"/>
    <cellStyle name="Comma 8 4 2 3 5" xfId="49291"/>
    <cellStyle name="Comma 8 4 2 3 6" xfId="49292"/>
    <cellStyle name="Comma 8 4 2 4" xfId="49293"/>
    <cellStyle name="Comma 8 4 2 4 2" xfId="49294"/>
    <cellStyle name="Comma 8 4 2 4 2 2" xfId="49295"/>
    <cellStyle name="Comma 8 4 2 4 2 3" xfId="49296"/>
    <cellStyle name="Comma 8 4 2 4 3" xfId="49297"/>
    <cellStyle name="Comma 8 4 2 4 3 2" xfId="49298"/>
    <cellStyle name="Comma 8 4 2 4 3 3" xfId="49299"/>
    <cellStyle name="Comma 8 4 2 4 4" xfId="49300"/>
    <cellStyle name="Comma 8 4 2 4 4 2" xfId="49301"/>
    <cellStyle name="Comma 8 4 2 4 5" xfId="49302"/>
    <cellStyle name="Comma 8 4 2 4 6" xfId="49303"/>
    <cellStyle name="Comma 8 4 2 5" xfId="49304"/>
    <cellStyle name="Comma 8 4 2 5 2" xfId="49305"/>
    <cellStyle name="Comma 8 4 2 5 2 2" xfId="49306"/>
    <cellStyle name="Comma 8 4 2 5 2 3" xfId="49307"/>
    <cellStyle name="Comma 8 4 2 5 3" xfId="49308"/>
    <cellStyle name="Comma 8 4 2 5 3 2" xfId="49309"/>
    <cellStyle name="Comma 8 4 2 5 4" xfId="49310"/>
    <cellStyle name="Comma 8 4 2 5 5" xfId="49311"/>
    <cellStyle name="Comma 8 4 2 6" xfId="49312"/>
    <cellStyle name="Comma 8 4 2 6 2" xfId="49313"/>
    <cellStyle name="Comma 8 4 2 6 3" xfId="49314"/>
    <cellStyle name="Comma 8 4 2 7" xfId="49315"/>
    <cellStyle name="Comma 8 4 2 7 2" xfId="49316"/>
    <cellStyle name="Comma 8 4 2 7 3" xfId="49317"/>
    <cellStyle name="Comma 8 4 2 8" xfId="49318"/>
    <cellStyle name="Comma 8 4 2 8 2" xfId="49319"/>
    <cellStyle name="Comma 8 4 2 9" xfId="49320"/>
    <cellStyle name="Comma 8 4 3" xfId="49321"/>
    <cellStyle name="Comma 8 4 3 2" xfId="49322"/>
    <cellStyle name="Comma 8 4 3 2 2" xfId="49323"/>
    <cellStyle name="Comma 8 4 3 2 2 2" xfId="49324"/>
    <cellStyle name="Comma 8 4 3 2 2 3" xfId="49325"/>
    <cellStyle name="Comma 8 4 3 2 3" xfId="49326"/>
    <cellStyle name="Comma 8 4 3 2 3 2" xfId="49327"/>
    <cellStyle name="Comma 8 4 3 2 3 3" xfId="49328"/>
    <cellStyle name="Comma 8 4 3 2 4" xfId="49329"/>
    <cellStyle name="Comma 8 4 3 2 4 2" xfId="49330"/>
    <cellStyle name="Comma 8 4 3 2 5" xfId="49331"/>
    <cellStyle name="Comma 8 4 3 2 6" xfId="49332"/>
    <cellStyle name="Comma 8 4 3 3" xfId="49333"/>
    <cellStyle name="Comma 8 4 3 3 2" xfId="49334"/>
    <cellStyle name="Comma 8 4 3 3 2 2" xfId="49335"/>
    <cellStyle name="Comma 8 4 3 3 2 3" xfId="49336"/>
    <cellStyle name="Comma 8 4 3 3 3" xfId="49337"/>
    <cellStyle name="Comma 8 4 3 3 3 2" xfId="49338"/>
    <cellStyle name="Comma 8 4 3 3 3 3" xfId="49339"/>
    <cellStyle name="Comma 8 4 3 3 4" xfId="49340"/>
    <cellStyle name="Comma 8 4 3 3 4 2" xfId="49341"/>
    <cellStyle name="Comma 8 4 3 3 5" xfId="49342"/>
    <cellStyle name="Comma 8 4 3 3 6" xfId="49343"/>
    <cellStyle name="Comma 8 4 3 4" xfId="49344"/>
    <cellStyle name="Comma 8 4 3 4 2" xfId="49345"/>
    <cellStyle name="Comma 8 4 3 4 2 2" xfId="49346"/>
    <cellStyle name="Comma 8 4 3 4 2 3" xfId="49347"/>
    <cellStyle name="Comma 8 4 3 4 3" xfId="49348"/>
    <cellStyle name="Comma 8 4 3 4 3 2" xfId="49349"/>
    <cellStyle name="Comma 8 4 3 4 4" xfId="49350"/>
    <cellStyle name="Comma 8 4 3 4 5" xfId="49351"/>
    <cellStyle name="Comma 8 4 3 5" xfId="49352"/>
    <cellStyle name="Comma 8 4 3 5 2" xfId="49353"/>
    <cellStyle name="Comma 8 4 3 5 3" xfId="49354"/>
    <cellStyle name="Comma 8 4 3 6" xfId="49355"/>
    <cellStyle name="Comma 8 4 3 6 2" xfId="49356"/>
    <cellStyle name="Comma 8 4 3 6 3" xfId="49357"/>
    <cellStyle name="Comma 8 4 3 7" xfId="49358"/>
    <cellStyle name="Comma 8 4 3 7 2" xfId="49359"/>
    <cellStyle name="Comma 8 4 3 8" xfId="49360"/>
    <cellStyle name="Comma 8 4 3 9" xfId="49361"/>
    <cellStyle name="Comma 8 4 4" xfId="49362"/>
    <cellStyle name="Comma 8 4 4 2" xfId="49363"/>
    <cellStyle name="Comma 8 4 4 2 2" xfId="49364"/>
    <cellStyle name="Comma 8 4 4 2 2 2" xfId="49365"/>
    <cellStyle name="Comma 8 4 4 2 2 3" xfId="49366"/>
    <cellStyle name="Comma 8 4 4 2 3" xfId="49367"/>
    <cellStyle name="Comma 8 4 4 2 3 2" xfId="49368"/>
    <cellStyle name="Comma 8 4 4 2 3 3" xfId="49369"/>
    <cellStyle name="Comma 8 4 4 2 4" xfId="49370"/>
    <cellStyle name="Comma 8 4 4 2 4 2" xfId="49371"/>
    <cellStyle name="Comma 8 4 4 2 5" xfId="49372"/>
    <cellStyle name="Comma 8 4 4 2 6" xfId="49373"/>
    <cellStyle name="Comma 8 4 4 3" xfId="49374"/>
    <cellStyle name="Comma 8 4 4 3 2" xfId="49375"/>
    <cellStyle name="Comma 8 4 4 3 2 2" xfId="49376"/>
    <cellStyle name="Comma 8 4 4 3 2 3" xfId="49377"/>
    <cellStyle name="Comma 8 4 4 3 3" xfId="49378"/>
    <cellStyle name="Comma 8 4 4 3 3 2" xfId="49379"/>
    <cellStyle name="Comma 8 4 4 3 3 3" xfId="49380"/>
    <cellStyle name="Comma 8 4 4 3 4" xfId="49381"/>
    <cellStyle name="Comma 8 4 4 3 4 2" xfId="49382"/>
    <cellStyle name="Comma 8 4 4 3 5" xfId="49383"/>
    <cellStyle name="Comma 8 4 4 3 6" xfId="49384"/>
    <cellStyle name="Comma 8 4 4 4" xfId="49385"/>
    <cellStyle name="Comma 8 4 4 4 2" xfId="49386"/>
    <cellStyle name="Comma 8 4 4 4 2 2" xfId="49387"/>
    <cellStyle name="Comma 8 4 4 4 2 3" xfId="49388"/>
    <cellStyle name="Comma 8 4 4 4 3" xfId="49389"/>
    <cellStyle name="Comma 8 4 4 4 3 2" xfId="49390"/>
    <cellStyle name="Comma 8 4 4 4 4" xfId="49391"/>
    <cellStyle name="Comma 8 4 4 4 5" xfId="49392"/>
    <cellStyle name="Comma 8 4 4 5" xfId="49393"/>
    <cellStyle name="Comma 8 4 4 5 2" xfId="49394"/>
    <cellStyle name="Comma 8 4 4 5 3" xfId="49395"/>
    <cellStyle name="Comma 8 4 4 6" xfId="49396"/>
    <cellStyle name="Comma 8 4 4 6 2" xfId="49397"/>
    <cellStyle name="Comma 8 4 4 6 3" xfId="49398"/>
    <cellStyle name="Comma 8 4 4 7" xfId="49399"/>
    <cellStyle name="Comma 8 4 4 7 2" xfId="49400"/>
    <cellStyle name="Comma 8 4 4 8" xfId="49401"/>
    <cellStyle name="Comma 8 4 4 9" xfId="49402"/>
    <cellStyle name="Comma 8 4 5" xfId="49403"/>
    <cellStyle name="Comma 8 4 5 2" xfId="49404"/>
    <cellStyle name="Comma 8 4 5 2 2" xfId="49405"/>
    <cellStyle name="Comma 8 4 5 2 3" xfId="49406"/>
    <cellStyle name="Comma 8 4 5 3" xfId="49407"/>
    <cellStyle name="Comma 8 4 5 3 2" xfId="49408"/>
    <cellStyle name="Comma 8 4 5 3 3" xfId="49409"/>
    <cellStyle name="Comma 8 4 5 4" xfId="49410"/>
    <cellStyle name="Comma 8 4 5 4 2" xfId="49411"/>
    <cellStyle name="Comma 8 4 5 5" xfId="49412"/>
    <cellStyle name="Comma 8 4 5 6" xfId="49413"/>
    <cellStyle name="Comma 8 4 6" xfId="49414"/>
    <cellStyle name="Comma 8 4 6 2" xfId="49415"/>
    <cellStyle name="Comma 8 4 6 2 2" xfId="49416"/>
    <cellStyle name="Comma 8 4 6 2 3" xfId="49417"/>
    <cellStyle name="Comma 8 4 6 3" xfId="49418"/>
    <cellStyle name="Comma 8 4 6 3 2" xfId="49419"/>
    <cellStyle name="Comma 8 4 6 3 3" xfId="49420"/>
    <cellStyle name="Comma 8 4 6 4" xfId="49421"/>
    <cellStyle name="Comma 8 4 6 4 2" xfId="49422"/>
    <cellStyle name="Comma 8 4 6 5" xfId="49423"/>
    <cellStyle name="Comma 8 4 6 6" xfId="49424"/>
    <cellStyle name="Comma 8 4 7" xfId="49425"/>
    <cellStyle name="Comma 8 4 7 2" xfId="49426"/>
    <cellStyle name="Comma 8 4 7 2 2" xfId="49427"/>
    <cellStyle name="Comma 8 4 7 2 3" xfId="49428"/>
    <cellStyle name="Comma 8 4 7 3" xfId="49429"/>
    <cellStyle name="Comma 8 4 7 3 2" xfId="49430"/>
    <cellStyle name="Comma 8 4 7 4" xfId="49431"/>
    <cellStyle name="Comma 8 4 7 5" xfId="49432"/>
    <cellStyle name="Comma 8 4 8" xfId="49433"/>
    <cellStyle name="Comma 8 4 8 2" xfId="49434"/>
    <cellStyle name="Comma 8 4 8 3" xfId="49435"/>
    <cellStyle name="Comma 8 4 9" xfId="49436"/>
    <cellStyle name="Comma 8 4 9 2" xfId="49437"/>
    <cellStyle name="Comma 8 4 9 3" xfId="49438"/>
    <cellStyle name="Comma 8 5" xfId="3745"/>
    <cellStyle name="Comma 8 5 10" xfId="49439"/>
    <cellStyle name="Comma 8 5 2" xfId="49440"/>
    <cellStyle name="Comma 8 5 2 2" xfId="49441"/>
    <cellStyle name="Comma 8 5 2 2 2" xfId="49442"/>
    <cellStyle name="Comma 8 5 2 2 2 2" xfId="49443"/>
    <cellStyle name="Comma 8 5 2 2 2 3" xfId="49444"/>
    <cellStyle name="Comma 8 5 2 2 3" xfId="49445"/>
    <cellStyle name="Comma 8 5 2 2 3 2" xfId="49446"/>
    <cellStyle name="Comma 8 5 2 2 3 3" xfId="49447"/>
    <cellStyle name="Comma 8 5 2 2 4" xfId="49448"/>
    <cellStyle name="Comma 8 5 2 2 4 2" xfId="49449"/>
    <cellStyle name="Comma 8 5 2 2 5" xfId="49450"/>
    <cellStyle name="Comma 8 5 2 2 6" xfId="49451"/>
    <cellStyle name="Comma 8 5 2 3" xfId="49452"/>
    <cellStyle name="Comma 8 5 2 3 2" xfId="49453"/>
    <cellStyle name="Comma 8 5 2 3 2 2" xfId="49454"/>
    <cellStyle name="Comma 8 5 2 3 2 3" xfId="49455"/>
    <cellStyle name="Comma 8 5 2 3 3" xfId="49456"/>
    <cellStyle name="Comma 8 5 2 3 3 2" xfId="49457"/>
    <cellStyle name="Comma 8 5 2 3 3 3" xfId="49458"/>
    <cellStyle name="Comma 8 5 2 3 4" xfId="49459"/>
    <cellStyle name="Comma 8 5 2 3 4 2" xfId="49460"/>
    <cellStyle name="Comma 8 5 2 3 5" xfId="49461"/>
    <cellStyle name="Comma 8 5 2 3 6" xfId="49462"/>
    <cellStyle name="Comma 8 5 2 4" xfId="49463"/>
    <cellStyle name="Comma 8 5 2 4 2" xfId="49464"/>
    <cellStyle name="Comma 8 5 2 4 2 2" xfId="49465"/>
    <cellStyle name="Comma 8 5 2 4 2 3" xfId="49466"/>
    <cellStyle name="Comma 8 5 2 4 3" xfId="49467"/>
    <cellStyle name="Comma 8 5 2 4 3 2" xfId="49468"/>
    <cellStyle name="Comma 8 5 2 4 4" xfId="49469"/>
    <cellStyle name="Comma 8 5 2 4 5" xfId="49470"/>
    <cellStyle name="Comma 8 5 2 5" xfId="49471"/>
    <cellStyle name="Comma 8 5 2 5 2" xfId="49472"/>
    <cellStyle name="Comma 8 5 2 5 3" xfId="49473"/>
    <cellStyle name="Comma 8 5 2 6" xfId="49474"/>
    <cellStyle name="Comma 8 5 2 6 2" xfId="49475"/>
    <cellStyle name="Comma 8 5 2 6 3" xfId="49476"/>
    <cellStyle name="Comma 8 5 2 7" xfId="49477"/>
    <cellStyle name="Comma 8 5 2 7 2" xfId="49478"/>
    <cellStyle name="Comma 8 5 2 8" xfId="49479"/>
    <cellStyle name="Comma 8 5 2 9" xfId="49480"/>
    <cellStyle name="Comma 8 5 3" xfId="49481"/>
    <cellStyle name="Comma 8 5 3 2" xfId="49482"/>
    <cellStyle name="Comma 8 5 3 2 2" xfId="49483"/>
    <cellStyle name="Comma 8 5 3 2 3" xfId="49484"/>
    <cellStyle name="Comma 8 5 3 3" xfId="49485"/>
    <cellStyle name="Comma 8 5 3 3 2" xfId="49486"/>
    <cellStyle name="Comma 8 5 3 3 3" xfId="49487"/>
    <cellStyle name="Comma 8 5 3 4" xfId="49488"/>
    <cellStyle name="Comma 8 5 3 4 2" xfId="49489"/>
    <cellStyle name="Comma 8 5 3 5" xfId="49490"/>
    <cellStyle name="Comma 8 5 3 6" xfId="49491"/>
    <cellStyle name="Comma 8 5 4" xfId="49492"/>
    <cellStyle name="Comma 8 5 4 2" xfId="49493"/>
    <cellStyle name="Comma 8 5 4 2 2" xfId="49494"/>
    <cellStyle name="Comma 8 5 4 2 3" xfId="49495"/>
    <cellStyle name="Comma 8 5 4 3" xfId="49496"/>
    <cellStyle name="Comma 8 5 4 3 2" xfId="49497"/>
    <cellStyle name="Comma 8 5 4 3 3" xfId="49498"/>
    <cellStyle name="Comma 8 5 4 4" xfId="49499"/>
    <cellStyle name="Comma 8 5 4 4 2" xfId="49500"/>
    <cellStyle name="Comma 8 5 4 5" xfId="49501"/>
    <cellStyle name="Comma 8 5 4 6" xfId="49502"/>
    <cellStyle name="Comma 8 5 5" xfId="49503"/>
    <cellStyle name="Comma 8 5 5 2" xfId="49504"/>
    <cellStyle name="Comma 8 5 5 2 2" xfId="49505"/>
    <cellStyle name="Comma 8 5 5 2 3" xfId="49506"/>
    <cellStyle name="Comma 8 5 5 3" xfId="49507"/>
    <cellStyle name="Comma 8 5 5 3 2" xfId="49508"/>
    <cellStyle name="Comma 8 5 5 4" xfId="49509"/>
    <cellStyle name="Comma 8 5 5 5" xfId="49510"/>
    <cellStyle name="Comma 8 5 6" xfId="49511"/>
    <cellStyle name="Comma 8 5 6 2" xfId="49512"/>
    <cellStyle name="Comma 8 5 6 3" xfId="49513"/>
    <cellStyle name="Comma 8 5 7" xfId="49514"/>
    <cellStyle name="Comma 8 5 7 2" xfId="49515"/>
    <cellStyle name="Comma 8 5 7 3" xfId="49516"/>
    <cellStyle name="Comma 8 5 8" xfId="49517"/>
    <cellStyle name="Comma 8 5 8 2" xfId="49518"/>
    <cellStyle name="Comma 8 5 9" xfId="49519"/>
    <cellStyle name="Comma 8 6" xfId="9151"/>
    <cellStyle name="Comma 8 6 2" xfId="49520"/>
    <cellStyle name="Comma 8 6 2 2" xfId="49521"/>
    <cellStyle name="Comma 8 6 2 2 2" xfId="49522"/>
    <cellStyle name="Comma 8 6 2 2 3" xfId="49523"/>
    <cellStyle name="Comma 8 6 2 3" xfId="49524"/>
    <cellStyle name="Comma 8 6 2 3 2" xfId="49525"/>
    <cellStyle name="Comma 8 6 2 3 3" xfId="49526"/>
    <cellStyle name="Comma 8 6 2 4" xfId="49527"/>
    <cellStyle name="Comma 8 6 2 4 2" xfId="49528"/>
    <cellStyle name="Comma 8 6 2 5" xfId="49529"/>
    <cellStyle name="Comma 8 6 2 6" xfId="49530"/>
    <cellStyle name="Comma 8 6 3" xfId="49531"/>
    <cellStyle name="Comma 8 6 3 2" xfId="49532"/>
    <cellStyle name="Comma 8 6 3 2 2" xfId="49533"/>
    <cellStyle name="Comma 8 6 3 2 3" xfId="49534"/>
    <cellStyle name="Comma 8 6 3 3" xfId="49535"/>
    <cellStyle name="Comma 8 6 3 3 2" xfId="49536"/>
    <cellStyle name="Comma 8 6 3 3 3" xfId="49537"/>
    <cellStyle name="Comma 8 6 3 4" xfId="49538"/>
    <cellStyle name="Comma 8 6 3 4 2" xfId="49539"/>
    <cellStyle name="Comma 8 6 3 5" xfId="49540"/>
    <cellStyle name="Comma 8 6 3 6" xfId="49541"/>
    <cellStyle name="Comma 8 6 4" xfId="49542"/>
    <cellStyle name="Comma 8 6 4 2" xfId="49543"/>
    <cellStyle name="Comma 8 6 4 2 2" xfId="49544"/>
    <cellStyle name="Comma 8 6 4 2 3" xfId="49545"/>
    <cellStyle name="Comma 8 6 4 3" xfId="49546"/>
    <cellStyle name="Comma 8 6 4 3 2" xfId="49547"/>
    <cellStyle name="Comma 8 6 4 4" xfId="49548"/>
    <cellStyle name="Comma 8 6 4 5" xfId="49549"/>
    <cellStyle name="Comma 8 6 5" xfId="49550"/>
    <cellStyle name="Comma 8 6 5 2" xfId="49551"/>
    <cellStyle name="Comma 8 6 5 3" xfId="49552"/>
    <cellStyle name="Comma 8 6 6" xfId="49553"/>
    <cellStyle name="Comma 8 6 6 2" xfId="49554"/>
    <cellStyle name="Comma 8 6 6 3" xfId="49555"/>
    <cellStyle name="Comma 8 6 7" xfId="49556"/>
    <cellStyle name="Comma 8 6 7 2" xfId="49557"/>
    <cellStyle name="Comma 8 6 8" xfId="49558"/>
    <cellStyle name="Comma 8 6 9" xfId="49559"/>
    <cellStyle name="Comma 8 7" xfId="49560"/>
    <cellStyle name="Comma 8 7 2" xfId="49561"/>
    <cellStyle name="Comma 8 7 2 2" xfId="49562"/>
    <cellStyle name="Comma 8 7 2 2 2" xfId="49563"/>
    <cellStyle name="Comma 8 7 2 2 3" xfId="49564"/>
    <cellStyle name="Comma 8 7 2 3" xfId="49565"/>
    <cellStyle name="Comma 8 7 2 3 2" xfId="49566"/>
    <cellStyle name="Comma 8 7 2 3 3" xfId="49567"/>
    <cellStyle name="Comma 8 7 2 4" xfId="49568"/>
    <cellStyle name="Comma 8 7 2 4 2" xfId="49569"/>
    <cellStyle name="Comma 8 7 2 5" xfId="49570"/>
    <cellStyle name="Comma 8 7 2 6" xfId="49571"/>
    <cellStyle name="Comma 8 7 3" xfId="49572"/>
    <cellStyle name="Comma 8 7 3 2" xfId="49573"/>
    <cellStyle name="Comma 8 7 3 2 2" xfId="49574"/>
    <cellStyle name="Comma 8 7 3 2 3" xfId="49575"/>
    <cellStyle name="Comma 8 7 3 3" xfId="49576"/>
    <cellStyle name="Comma 8 7 3 3 2" xfId="49577"/>
    <cellStyle name="Comma 8 7 3 3 3" xfId="49578"/>
    <cellStyle name="Comma 8 7 3 4" xfId="49579"/>
    <cellStyle name="Comma 8 7 3 4 2" xfId="49580"/>
    <cellStyle name="Comma 8 7 3 5" xfId="49581"/>
    <cellStyle name="Comma 8 7 3 6" xfId="49582"/>
    <cellStyle name="Comma 8 7 4" xfId="49583"/>
    <cellStyle name="Comma 8 7 4 2" xfId="49584"/>
    <cellStyle name="Comma 8 7 4 2 2" xfId="49585"/>
    <cellStyle name="Comma 8 7 4 2 3" xfId="49586"/>
    <cellStyle name="Comma 8 7 4 3" xfId="49587"/>
    <cellStyle name="Comma 8 7 4 3 2" xfId="49588"/>
    <cellStyle name="Comma 8 7 4 4" xfId="49589"/>
    <cellStyle name="Comma 8 7 4 5" xfId="49590"/>
    <cellStyle name="Comma 8 7 5" xfId="49591"/>
    <cellStyle name="Comma 8 7 5 2" xfId="49592"/>
    <cellStyle name="Comma 8 7 5 3" xfId="49593"/>
    <cellStyle name="Comma 8 7 6" xfId="49594"/>
    <cellStyle name="Comma 8 7 6 2" xfId="49595"/>
    <cellStyle name="Comma 8 7 6 3" xfId="49596"/>
    <cellStyle name="Comma 8 7 7" xfId="49597"/>
    <cellStyle name="Comma 8 7 7 2" xfId="49598"/>
    <cellStyle name="Comma 8 7 8" xfId="49599"/>
    <cellStyle name="Comma 8 7 9" xfId="49600"/>
    <cellStyle name="Comma 8 8" xfId="49601"/>
    <cellStyle name="Comma 8 8 2" xfId="49602"/>
    <cellStyle name="Comma 8 8 2 2" xfId="49603"/>
    <cellStyle name="Comma 8 8 2 3" xfId="49604"/>
    <cellStyle name="Comma 8 8 3" xfId="49605"/>
    <cellStyle name="Comma 8 8 3 2" xfId="49606"/>
    <cellStyle name="Comma 8 8 3 3" xfId="49607"/>
    <cellStyle name="Comma 8 8 4" xfId="49608"/>
    <cellStyle name="Comma 8 8 4 2" xfId="49609"/>
    <cellStyle name="Comma 8 8 5" xfId="49610"/>
    <cellStyle name="Comma 8 8 6" xfId="49611"/>
    <cellStyle name="Comma 8 9" xfId="49612"/>
    <cellStyle name="Comma 8 9 2" xfId="49613"/>
    <cellStyle name="Comma 8 9 2 2" xfId="49614"/>
    <cellStyle name="Comma 8 9 2 3" xfId="49615"/>
    <cellStyle name="Comma 8 9 3" xfId="49616"/>
    <cellStyle name="Comma 8 9 3 2" xfId="49617"/>
    <cellStyle name="Comma 8 9 3 3" xfId="49618"/>
    <cellStyle name="Comma 8 9 4" xfId="49619"/>
    <cellStyle name="Comma 8 9 4 2" xfId="49620"/>
    <cellStyle name="Comma 8 9 5" xfId="49621"/>
    <cellStyle name="Comma 8 9 6" xfId="49622"/>
    <cellStyle name="Comma 80" xfId="3746"/>
    <cellStyle name="Comma 81" xfId="3747"/>
    <cellStyle name="Comma 82" xfId="3748"/>
    <cellStyle name="Comma 83" xfId="3749"/>
    <cellStyle name="Comma 84" xfId="3750"/>
    <cellStyle name="Comma 85" xfId="3751"/>
    <cellStyle name="Comma 86" xfId="8668"/>
    <cellStyle name="Comma 87" xfId="8722"/>
    <cellStyle name="Comma 88" xfId="8723"/>
    <cellStyle name="Comma 89" xfId="8724"/>
    <cellStyle name="Comma 9" xfId="3752"/>
    <cellStyle name="Comma 9 10" xfId="9152"/>
    <cellStyle name="Comma 9 10 2" xfId="49623"/>
    <cellStyle name="Comma 9 10 2 2" xfId="49624"/>
    <cellStyle name="Comma 9 10 2 3" xfId="49625"/>
    <cellStyle name="Comma 9 10 3" xfId="49626"/>
    <cellStyle name="Comma 9 10 3 2" xfId="49627"/>
    <cellStyle name="Comma 9 10 4" xfId="49628"/>
    <cellStyle name="Comma 9 10 5" xfId="49629"/>
    <cellStyle name="Comma 9 11" xfId="49630"/>
    <cellStyle name="Comma 9 11 2" xfId="49631"/>
    <cellStyle name="Comma 9 11 3" xfId="49632"/>
    <cellStyle name="Comma 9 12" xfId="49633"/>
    <cellStyle name="Comma 9 12 2" xfId="49634"/>
    <cellStyle name="Comma 9 12 3" xfId="49635"/>
    <cellStyle name="Comma 9 13" xfId="49636"/>
    <cellStyle name="Comma 9 13 2" xfId="49637"/>
    <cellStyle name="Comma 9 14" xfId="49638"/>
    <cellStyle name="Comma 9 15" xfId="49639"/>
    <cellStyle name="Comma 9 16" xfId="49640"/>
    <cellStyle name="Comma 9 2" xfId="3753"/>
    <cellStyle name="Comma 9 2 10" xfId="49641"/>
    <cellStyle name="Comma 9 2 10 2" xfId="49642"/>
    <cellStyle name="Comma 9 2 10 3" xfId="49643"/>
    <cellStyle name="Comma 9 2 11" xfId="49644"/>
    <cellStyle name="Comma 9 2 11 2" xfId="49645"/>
    <cellStyle name="Comma 9 2 11 3" xfId="49646"/>
    <cellStyle name="Comma 9 2 12" xfId="49647"/>
    <cellStyle name="Comma 9 2 12 2" xfId="49648"/>
    <cellStyle name="Comma 9 2 13" xfId="49649"/>
    <cellStyle name="Comma 9 2 14" xfId="49650"/>
    <cellStyle name="Comma 9 2 15" xfId="49651"/>
    <cellStyle name="Comma 9 2 2" xfId="3754"/>
    <cellStyle name="Comma 9 2 2 10" xfId="49652"/>
    <cellStyle name="Comma 9 2 2 10 2" xfId="49653"/>
    <cellStyle name="Comma 9 2 2 10 3" xfId="49654"/>
    <cellStyle name="Comma 9 2 2 11" xfId="49655"/>
    <cellStyle name="Comma 9 2 2 11 2" xfId="49656"/>
    <cellStyle name="Comma 9 2 2 12" xfId="49657"/>
    <cellStyle name="Comma 9 2 2 13" xfId="49658"/>
    <cellStyle name="Comma 9 2 2 14" xfId="49659"/>
    <cellStyle name="Comma 9 2 2 2" xfId="3755"/>
    <cellStyle name="Comma 9 2 2 2 10" xfId="49660"/>
    <cellStyle name="Comma 9 2 2 2 10 2" xfId="49661"/>
    <cellStyle name="Comma 9 2 2 2 11" xfId="49662"/>
    <cellStyle name="Comma 9 2 2 2 12" xfId="49663"/>
    <cellStyle name="Comma 9 2 2 2 2" xfId="3756"/>
    <cellStyle name="Comma 9 2 2 2 2 10" xfId="49664"/>
    <cellStyle name="Comma 9 2 2 2 2 2" xfId="3757"/>
    <cellStyle name="Comma 9 2 2 2 2 2 2" xfId="3758"/>
    <cellStyle name="Comma 9 2 2 2 2 2 2 2" xfId="49665"/>
    <cellStyle name="Comma 9 2 2 2 2 2 2 2 2" xfId="49666"/>
    <cellStyle name="Comma 9 2 2 2 2 2 2 2 3" xfId="49667"/>
    <cellStyle name="Comma 9 2 2 2 2 2 2 3" xfId="49668"/>
    <cellStyle name="Comma 9 2 2 2 2 2 2 3 2" xfId="49669"/>
    <cellStyle name="Comma 9 2 2 2 2 2 2 3 3" xfId="49670"/>
    <cellStyle name="Comma 9 2 2 2 2 2 2 4" xfId="49671"/>
    <cellStyle name="Comma 9 2 2 2 2 2 2 4 2" xfId="49672"/>
    <cellStyle name="Comma 9 2 2 2 2 2 2 5" xfId="49673"/>
    <cellStyle name="Comma 9 2 2 2 2 2 2 6" xfId="49674"/>
    <cellStyle name="Comma 9 2 2 2 2 2 3" xfId="49675"/>
    <cellStyle name="Comma 9 2 2 2 2 2 3 2" xfId="49676"/>
    <cellStyle name="Comma 9 2 2 2 2 2 3 2 2" xfId="49677"/>
    <cellStyle name="Comma 9 2 2 2 2 2 3 2 3" xfId="49678"/>
    <cellStyle name="Comma 9 2 2 2 2 2 3 3" xfId="49679"/>
    <cellStyle name="Comma 9 2 2 2 2 2 3 3 2" xfId="49680"/>
    <cellStyle name="Comma 9 2 2 2 2 2 3 3 3" xfId="49681"/>
    <cellStyle name="Comma 9 2 2 2 2 2 3 4" xfId="49682"/>
    <cellStyle name="Comma 9 2 2 2 2 2 3 4 2" xfId="49683"/>
    <cellStyle name="Comma 9 2 2 2 2 2 3 5" xfId="49684"/>
    <cellStyle name="Comma 9 2 2 2 2 2 3 6" xfId="49685"/>
    <cellStyle name="Comma 9 2 2 2 2 2 4" xfId="49686"/>
    <cellStyle name="Comma 9 2 2 2 2 2 4 2" xfId="49687"/>
    <cellStyle name="Comma 9 2 2 2 2 2 4 2 2" xfId="49688"/>
    <cellStyle name="Comma 9 2 2 2 2 2 4 2 3" xfId="49689"/>
    <cellStyle name="Comma 9 2 2 2 2 2 4 3" xfId="49690"/>
    <cellStyle name="Comma 9 2 2 2 2 2 4 3 2" xfId="49691"/>
    <cellStyle name="Comma 9 2 2 2 2 2 4 4" xfId="49692"/>
    <cellStyle name="Comma 9 2 2 2 2 2 4 5" xfId="49693"/>
    <cellStyle name="Comma 9 2 2 2 2 2 5" xfId="49694"/>
    <cellStyle name="Comma 9 2 2 2 2 2 5 2" xfId="49695"/>
    <cellStyle name="Comma 9 2 2 2 2 2 5 3" xfId="49696"/>
    <cellStyle name="Comma 9 2 2 2 2 2 6" xfId="49697"/>
    <cellStyle name="Comma 9 2 2 2 2 2 6 2" xfId="49698"/>
    <cellStyle name="Comma 9 2 2 2 2 2 6 3" xfId="49699"/>
    <cellStyle name="Comma 9 2 2 2 2 2 7" xfId="49700"/>
    <cellStyle name="Comma 9 2 2 2 2 2 7 2" xfId="49701"/>
    <cellStyle name="Comma 9 2 2 2 2 2 8" xfId="49702"/>
    <cellStyle name="Comma 9 2 2 2 2 2 9" xfId="49703"/>
    <cellStyle name="Comma 9 2 2 2 2 3" xfId="3759"/>
    <cellStyle name="Comma 9 2 2 2 2 3 2" xfId="49704"/>
    <cellStyle name="Comma 9 2 2 2 2 3 2 2" xfId="49705"/>
    <cellStyle name="Comma 9 2 2 2 2 3 2 3" xfId="49706"/>
    <cellStyle name="Comma 9 2 2 2 2 3 3" xfId="49707"/>
    <cellStyle name="Comma 9 2 2 2 2 3 3 2" xfId="49708"/>
    <cellStyle name="Comma 9 2 2 2 2 3 3 3" xfId="49709"/>
    <cellStyle name="Comma 9 2 2 2 2 3 4" xfId="49710"/>
    <cellStyle name="Comma 9 2 2 2 2 3 4 2" xfId="49711"/>
    <cellStyle name="Comma 9 2 2 2 2 3 5" xfId="49712"/>
    <cellStyle name="Comma 9 2 2 2 2 3 6" xfId="49713"/>
    <cellStyle name="Comma 9 2 2 2 2 4" xfId="49714"/>
    <cellStyle name="Comma 9 2 2 2 2 4 2" xfId="49715"/>
    <cellStyle name="Comma 9 2 2 2 2 4 2 2" xfId="49716"/>
    <cellStyle name="Comma 9 2 2 2 2 4 2 3" xfId="49717"/>
    <cellStyle name="Comma 9 2 2 2 2 4 3" xfId="49718"/>
    <cellStyle name="Comma 9 2 2 2 2 4 3 2" xfId="49719"/>
    <cellStyle name="Comma 9 2 2 2 2 4 3 3" xfId="49720"/>
    <cellStyle name="Comma 9 2 2 2 2 4 4" xfId="49721"/>
    <cellStyle name="Comma 9 2 2 2 2 4 4 2" xfId="49722"/>
    <cellStyle name="Comma 9 2 2 2 2 4 5" xfId="49723"/>
    <cellStyle name="Comma 9 2 2 2 2 4 6" xfId="49724"/>
    <cellStyle name="Comma 9 2 2 2 2 5" xfId="49725"/>
    <cellStyle name="Comma 9 2 2 2 2 5 2" xfId="49726"/>
    <cellStyle name="Comma 9 2 2 2 2 5 2 2" xfId="49727"/>
    <cellStyle name="Comma 9 2 2 2 2 5 2 3" xfId="49728"/>
    <cellStyle name="Comma 9 2 2 2 2 5 3" xfId="49729"/>
    <cellStyle name="Comma 9 2 2 2 2 5 3 2" xfId="49730"/>
    <cellStyle name="Comma 9 2 2 2 2 5 4" xfId="49731"/>
    <cellStyle name="Comma 9 2 2 2 2 5 5" xfId="49732"/>
    <cellStyle name="Comma 9 2 2 2 2 6" xfId="49733"/>
    <cellStyle name="Comma 9 2 2 2 2 6 2" xfId="49734"/>
    <cellStyle name="Comma 9 2 2 2 2 6 3" xfId="49735"/>
    <cellStyle name="Comma 9 2 2 2 2 7" xfId="49736"/>
    <cellStyle name="Comma 9 2 2 2 2 7 2" xfId="49737"/>
    <cellStyle name="Comma 9 2 2 2 2 7 3" xfId="49738"/>
    <cellStyle name="Comma 9 2 2 2 2 8" xfId="49739"/>
    <cellStyle name="Comma 9 2 2 2 2 8 2" xfId="49740"/>
    <cellStyle name="Comma 9 2 2 2 2 9" xfId="49741"/>
    <cellStyle name="Comma 9 2 2 2 3" xfId="3760"/>
    <cellStyle name="Comma 9 2 2 2 3 2" xfId="3761"/>
    <cellStyle name="Comma 9 2 2 2 3 2 2" xfId="49742"/>
    <cellStyle name="Comma 9 2 2 2 3 2 2 2" xfId="49743"/>
    <cellStyle name="Comma 9 2 2 2 3 2 2 3" xfId="49744"/>
    <cellStyle name="Comma 9 2 2 2 3 2 3" xfId="49745"/>
    <cellStyle name="Comma 9 2 2 2 3 2 3 2" xfId="49746"/>
    <cellStyle name="Comma 9 2 2 2 3 2 3 3" xfId="49747"/>
    <cellStyle name="Comma 9 2 2 2 3 2 4" xfId="49748"/>
    <cellStyle name="Comma 9 2 2 2 3 2 4 2" xfId="49749"/>
    <cellStyle name="Comma 9 2 2 2 3 2 5" xfId="49750"/>
    <cellStyle name="Comma 9 2 2 2 3 2 6" xfId="49751"/>
    <cellStyle name="Comma 9 2 2 2 3 3" xfId="49752"/>
    <cellStyle name="Comma 9 2 2 2 3 3 2" xfId="49753"/>
    <cellStyle name="Comma 9 2 2 2 3 3 2 2" xfId="49754"/>
    <cellStyle name="Comma 9 2 2 2 3 3 2 3" xfId="49755"/>
    <cellStyle name="Comma 9 2 2 2 3 3 3" xfId="49756"/>
    <cellStyle name="Comma 9 2 2 2 3 3 3 2" xfId="49757"/>
    <cellStyle name="Comma 9 2 2 2 3 3 3 3" xfId="49758"/>
    <cellStyle name="Comma 9 2 2 2 3 3 4" xfId="49759"/>
    <cellStyle name="Comma 9 2 2 2 3 3 4 2" xfId="49760"/>
    <cellStyle name="Comma 9 2 2 2 3 3 5" xfId="49761"/>
    <cellStyle name="Comma 9 2 2 2 3 3 6" xfId="49762"/>
    <cellStyle name="Comma 9 2 2 2 3 4" xfId="49763"/>
    <cellStyle name="Comma 9 2 2 2 3 4 2" xfId="49764"/>
    <cellStyle name="Comma 9 2 2 2 3 4 2 2" xfId="49765"/>
    <cellStyle name="Comma 9 2 2 2 3 4 2 3" xfId="49766"/>
    <cellStyle name="Comma 9 2 2 2 3 4 3" xfId="49767"/>
    <cellStyle name="Comma 9 2 2 2 3 4 3 2" xfId="49768"/>
    <cellStyle name="Comma 9 2 2 2 3 4 4" xfId="49769"/>
    <cellStyle name="Comma 9 2 2 2 3 4 5" xfId="49770"/>
    <cellStyle name="Comma 9 2 2 2 3 5" xfId="49771"/>
    <cellStyle name="Comma 9 2 2 2 3 5 2" xfId="49772"/>
    <cellStyle name="Comma 9 2 2 2 3 5 3" xfId="49773"/>
    <cellStyle name="Comma 9 2 2 2 3 6" xfId="49774"/>
    <cellStyle name="Comma 9 2 2 2 3 6 2" xfId="49775"/>
    <cellStyle name="Comma 9 2 2 2 3 6 3" xfId="49776"/>
    <cellStyle name="Comma 9 2 2 2 3 7" xfId="49777"/>
    <cellStyle name="Comma 9 2 2 2 3 7 2" xfId="49778"/>
    <cellStyle name="Comma 9 2 2 2 3 8" xfId="49779"/>
    <cellStyle name="Comma 9 2 2 2 3 9" xfId="49780"/>
    <cellStyle name="Comma 9 2 2 2 4" xfId="3762"/>
    <cellStyle name="Comma 9 2 2 2 4 2" xfId="49781"/>
    <cellStyle name="Comma 9 2 2 2 4 2 2" xfId="49782"/>
    <cellStyle name="Comma 9 2 2 2 4 2 2 2" xfId="49783"/>
    <cellStyle name="Comma 9 2 2 2 4 2 2 3" xfId="49784"/>
    <cellStyle name="Comma 9 2 2 2 4 2 3" xfId="49785"/>
    <cellStyle name="Comma 9 2 2 2 4 2 3 2" xfId="49786"/>
    <cellStyle name="Comma 9 2 2 2 4 2 3 3" xfId="49787"/>
    <cellStyle name="Comma 9 2 2 2 4 2 4" xfId="49788"/>
    <cellStyle name="Comma 9 2 2 2 4 2 4 2" xfId="49789"/>
    <cellStyle name="Comma 9 2 2 2 4 2 5" xfId="49790"/>
    <cellStyle name="Comma 9 2 2 2 4 2 6" xfId="49791"/>
    <cellStyle name="Comma 9 2 2 2 4 3" xfId="49792"/>
    <cellStyle name="Comma 9 2 2 2 4 3 2" xfId="49793"/>
    <cellStyle name="Comma 9 2 2 2 4 3 2 2" xfId="49794"/>
    <cellStyle name="Comma 9 2 2 2 4 3 2 3" xfId="49795"/>
    <cellStyle name="Comma 9 2 2 2 4 3 3" xfId="49796"/>
    <cellStyle name="Comma 9 2 2 2 4 3 3 2" xfId="49797"/>
    <cellStyle name="Comma 9 2 2 2 4 3 3 3" xfId="49798"/>
    <cellStyle name="Comma 9 2 2 2 4 3 4" xfId="49799"/>
    <cellStyle name="Comma 9 2 2 2 4 3 4 2" xfId="49800"/>
    <cellStyle name="Comma 9 2 2 2 4 3 5" xfId="49801"/>
    <cellStyle name="Comma 9 2 2 2 4 3 6" xfId="49802"/>
    <cellStyle name="Comma 9 2 2 2 4 4" xfId="49803"/>
    <cellStyle name="Comma 9 2 2 2 4 4 2" xfId="49804"/>
    <cellStyle name="Comma 9 2 2 2 4 4 2 2" xfId="49805"/>
    <cellStyle name="Comma 9 2 2 2 4 4 2 3" xfId="49806"/>
    <cellStyle name="Comma 9 2 2 2 4 4 3" xfId="49807"/>
    <cellStyle name="Comma 9 2 2 2 4 4 3 2" xfId="49808"/>
    <cellStyle name="Comma 9 2 2 2 4 4 4" xfId="49809"/>
    <cellStyle name="Comma 9 2 2 2 4 4 5" xfId="49810"/>
    <cellStyle name="Comma 9 2 2 2 4 5" xfId="49811"/>
    <cellStyle name="Comma 9 2 2 2 4 5 2" xfId="49812"/>
    <cellStyle name="Comma 9 2 2 2 4 5 3" xfId="49813"/>
    <cellStyle name="Comma 9 2 2 2 4 6" xfId="49814"/>
    <cellStyle name="Comma 9 2 2 2 4 6 2" xfId="49815"/>
    <cellStyle name="Comma 9 2 2 2 4 6 3" xfId="49816"/>
    <cellStyle name="Comma 9 2 2 2 4 7" xfId="49817"/>
    <cellStyle name="Comma 9 2 2 2 4 7 2" xfId="49818"/>
    <cellStyle name="Comma 9 2 2 2 4 8" xfId="49819"/>
    <cellStyle name="Comma 9 2 2 2 4 9" xfId="49820"/>
    <cellStyle name="Comma 9 2 2 2 5" xfId="49821"/>
    <cellStyle name="Comma 9 2 2 2 5 2" xfId="49822"/>
    <cellStyle name="Comma 9 2 2 2 5 2 2" xfId="49823"/>
    <cellStyle name="Comma 9 2 2 2 5 2 3" xfId="49824"/>
    <cellStyle name="Comma 9 2 2 2 5 3" xfId="49825"/>
    <cellStyle name="Comma 9 2 2 2 5 3 2" xfId="49826"/>
    <cellStyle name="Comma 9 2 2 2 5 3 3" xfId="49827"/>
    <cellStyle name="Comma 9 2 2 2 5 4" xfId="49828"/>
    <cellStyle name="Comma 9 2 2 2 5 4 2" xfId="49829"/>
    <cellStyle name="Comma 9 2 2 2 5 5" xfId="49830"/>
    <cellStyle name="Comma 9 2 2 2 5 6" xfId="49831"/>
    <cellStyle name="Comma 9 2 2 2 6" xfId="49832"/>
    <cellStyle name="Comma 9 2 2 2 6 2" xfId="49833"/>
    <cellStyle name="Comma 9 2 2 2 6 2 2" xfId="49834"/>
    <cellStyle name="Comma 9 2 2 2 6 2 3" xfId="49835"/>
    <cellStyle name="Comma 9 2 2 2 6 3" xfId="49836"/>
    <cellStyle name="Comma 9 2 2 2 6 3 2" xfId="49837"/>
    <cellStyle name="Comma 9 2 2 2 6 3 3" xfId="49838"/>
    <cellStyle name="Comma 9 2 2 2 6 4" xfId="49839"/>
    <cellStyle name="Comma 9 2 2 2 6 4 2" xfId="49840"/>
    <cellStyle name="Comma 9 2 2 2 6 5" xfId="49841"/>
    <cellStyle name="Comma 9 2 2 2 6 6" xfId="49842"/>
    <cellStyle name="Comma 9 2 2 2 7" xfId="49843"/>
    <cellStyle name="Comma 9 2 2 2 7 2" xfId="49844"/>
    <cellStyle name="Comma 9 2 2 2 7 2 2" xfId="49845"/>
    <cellStyle name="Comma 9 2 2 2 7 2 3" xfId="49846"/>
    <cellStyle name="Comma 9 2 2 2 7 3" xfId="49847"/>
    <cellStyle name="Comma 9 2 2 2 7 3 2" xfId="49848"/>
    <cellStyle name="Comma 9 2 2 2 7 4" xfId="49849"/>
    <cellStyle name="Comma 9 2 2 2 7 5" xfId="49850"/>
    <cellStyle name="Comma 9 2 2 2 8" xfId="49851"/>
    <cellStyle name="Comma 9 2 2 2 8 2" xfId="49852"/>
    <cellStyle name="Comma 9 2 2 2 8 3" xfId="49853"/>
    <cellStyle name="Comma 9 2 2 2 9" xfId="49854"/>
    <cellStyle name="Comma 9 2 2 2 9 2" xfId="49855"/>
    <cellStyle name="Comma 9 2 2 2 9 3" xfId="49856"/>
    <cellStyle name="Comma 9 2 2 3" xfId="3763"/>
    <cellStyle name="Comma 9 2 2 3 10" xfId="49857"/>
    <cellStyle name="Comma 9 2 2 3 2" xfId="3764"/>
    <cellStyle name="Comma 9 2 2 3 2 2" xfId="3765"/>
    <cellStyle name="Comma 9 2 2 3 2 2 2" xfId="49858"/>
    <cellStyle name="Comma 9 2 2 3 2 2 2 2" xfId="49859"/>
    <cellStyle name="Comma 9 2 2 3 2 2 2 3" xfId="49860"/>
    <cellStyle name="Comma 9 2 2 3 2 2 3" xfId="49861"/>
    <cellStyle name="Comma 9 2 2 3 2 2 3 2" xfId="49862"/>
    <cellStyle name="Comma 9 2 2 3 2 2 3 3" xfId="49863"/>
    <cellStyle name="Comma 9 2 2 3 2 2 4" xfId="49864"/>
    <cellStyle name="Comma 9 2 2 3 2 2 4 2" xfId="49865"/>
    <cellStyle name="Comma 9 2 2 3 2 2 5" xfId="49866"/>
    <cellStyle name="Comma 9 2 2 3 2 2 6" xfId="49867"/>
    <cellStyle name="Comma 9 2 2 3 2 3" xfId="49868"/>
    <cellStyle name="Comma 9 2 2 3 2 3 2" xfId="49869"/>
    <cellStyle name="Comma 9 2 2 3 2 3 2 2" xfId="49870"/>
    <cellStyle name="Comma 9 2 2 3 2 3 2 3" xfId="49871"/>
    <cellStyle name="Comma 9 2 2 3 2 3 3" xfId="49872"/>
    <cellStyle name="Comma 9 2 2 3 2 3 3 2" xfId="49873"/>
    <cellStyle name="Comma 9 2 2 3 2 3 3 3" xfId="49874"/>
    <cellStyle name="Comma 9 2 2 3 2 3 4" xfId="49875"/>
    <cellStyle name="Comma 9 2 2 3 2 3 4 2" xfId="49876"/>
    <cellStyle name="Comma 9 2 2 3 2 3 5" xfId="49877"/>
    <cellStyle name="Comma 9 2 2 3 2 3 6" xfId="49878"/>
    <cellStyle name="Comma 9 2 2 3 2 4" xfId="49879"/>
    <cellStyle name="Comma 9 2 2 3 2 4 2" xfId="49880"/>
    <cellStyle name="Comma 9 2 2 3 2 4 2 2" xfId="49881"/>
    <cellStyle name="Comma 9 2 2 3 2 4 2 3" xfId="49882"/>
    <cellStyle name="Comma 9 2 2 3 2 4 3" xfId="49883"/>
    <cellStyle name="Comma 9 2 2 3 2 4 3 2" xfId="49884"/>
    <cellStyle name="Comma 9 2 2 3 2 4 4" xfId="49885"/>
    <cellStyle name="Comma 9 2 2 3 2 4 5" xfId="49886"/>
    <cellStyle name="Comma 9 2 2 3 2 5" xfId="49887"/>
    <cellStyle name="Comma 9 2 2 3 2 5 2" xfId="49888"/>
    <cellStyle name="Comma 9 2 2 3 2 5 3" xfId="49889"/>
    <cellStyle name="Comma 9 2 2 3 2 6" xfId="49890"/>
    <cellStyle name="Comma 9 2 2 3 2 6 2" xfId="49891"/>
    <cellStyle name="Comma 9 2 2 3 2 6 3" xfId="49892"/>
    <cellStyle name="Comma 9 2 2 3 2 7" xfId="49893"/>
    <cellStyle name="Comma 9 2 2 3 2 7 2" xfId="49894"/>
    <cellStyle name="Comma 9 2 2 3 2 8" xfId="49895"/>
    <cellStyle name="Comma 9 2 2 3 2 9" xfId="49896"/>
    <cellStyle name="Comma 9 2 2 3 3" xfId="3766"/>
    <cellStyle name="Comma 9 2 2 3 3 2" xfId="49897"/>
    <cellStyle name="Comma 9 2 2 3 3 2 2" xfId="49898"/>
    <cellStyle name="Comma 9 2 2 3 3 2 3" xfId="49899"/>
    <cellStyle name="Comma 9 2 2 3 3 3" xfId="49900"/>
    <cellStyle name="Comma 9 2 2 3 3 3 2" xfId="49901"/>
    <cellStyle name="Comma 9 2 2 3 3 3 3" xfId="49902"/>
    <cellStyle name="Comma 9 2 2 3 3 4" xfId="49903"/>
    <cellStyle name="Comma 9 2 2 3 3 4 2" xfId="49904"/>
    <cellStyle name="Comma 9 2 2 3 3 5" xfId="49905"/>
    <cellStyle name="Comma 9 2 2 3 3 6" xfId="49906"/>
    <cellStyle name="Comma 9 2 2 3 4" xfId="49907"/>
    <cellStyle name="Comma 9 2 2 3 4 2" xfId="49908"/>
    <cellStyle name="Comma 9 2 2 3 4 2 2" xfId="49909"/>
    <cellStyle name="Comma 9 2 2 3 4 2 3" xfId="49910"/>
    <cellStyle name="Comma 9 2 2 3 4 3" xfId="49911"/>
    <cellStyle name="Comma 9 2 2 3 4 3 2" xfId="49912"/>
    <cellStyle name="Comma 9 2 2 3 4 3 3" xfId="49913"/>
    <cellStyle name="Comma 9 2 2 3 4 4" xfId="49914"/>
    <cellStyle name="Comma 9 2 2 3 4 4 2" xfId="49915"/>
    <cellStyle name="Comma 9 2 2 3 4 5" xfId="49916"/>
    <cellStyle name="Comma 9 2 2 3 4 6" xfId="49917"/>
    <cellStyle name="Comma 9 2 2 3 5" xfId="49918"/>
    <cellStyle name="Comma 9 2 2 3 5 2" xfId="49919"/>
    <cellStyle name="Comma 9 2 2 3 5 2 2" xfId="49920"/>
    <cellStyle name="Comma 9 2 2 3 5 2 3" xfId="49921"/>
    <cellStyle name="Comma 9 2 2 3 5 3" xfId="49922"/>
    <cellStyle name="Comma 9 2 2 3 5 3 2" xfId="49923"/>
    <cellStyle name="Comma 9 2 2 3 5 4" xfId="49924"/>
    <cellStyle name="Comma 9 2 2 3 5 5" xfId="49925"/>
    <cellStyle name="Comma 9 2 2 3 6" xfId="49926"/>
    <cellStyle name="Comma 9 2 2 3 6 2" xfId="49927"/>
    <cellStyle name="Comma 9 2 2 3 6 3" xfId="49928"/>
    <cellStyle name="Comma 9 2 2 3 7" xfId="49929"/>
    <cellStyle name="Comma 9 2 2 3 7 2" xfId="49930"/>
    <cellStyle name="Comma 9 2 2 3 7 3" xfId="49931"/>
    <cellStyle name="Comma 9 2 2 3 8" xfId="49932"/>
    <cellStyle name="Comma 9 2 2 3 8 2" xfId="49933"/>
    <cellStyle name="Comma 9 2 2 3 9" xfId="49934"/>
    <cellStyle name="Comma 9 2 2 4" xfId="3767"/>
    <cellStyle name="Comma 9 2 2 4 2" xfId="3768"/>
    <cellStyle name="Comma 9 2 2 4 2 2" xfId="49935"/>
    <cellStyle name="Comma 9 2 2 4 2 2 2" xfId="49936"/>
    <cellStyle name="Comma 9 2 2 4 2 2 3" xfId="49937"/>
    <cellStyle name="Comma 9 2 2 4 2 3" xfId="49938"/>
    <cellStyle name="Comma 9 2 2 4 2 3 2" xfId="49939"/>
    <cellStyle name="Comma 9 2 2 4 2 3 3" xfId="49940"/>
    <cellStyle name="Comma 9 2 2 4 2 4" xfId="49941"/>
    <cellStyle name="Comma 9 2 2 4 2 4 2" xfId="49942"/>
    <cellStyle name="Comma 9 2 2 4 2 5" xfId="49943"/>
    <cellStyle name="Comma 9 2 2 4 2 6" xfId="49944"/>
    <cellStyle name="Comma 9 2 2 4 3" xfId="49945"/>
    <cellStyle name="Comma 9 2 2 4 3 2" xfId="49946"/>
    <cellStyle name="Comma 9 2 2 4 3 2 2" xfId="49947"/>
    <cellStyle name="Comma 9 2 2 4 3 2 3" xfId="49948"/>
    <cellStyle name="Comma 9 2 2 4 3 3" xfId="49949"/>
    <cellStyle name="Comma 9 2 2 4 3 3 2" xfId="49950"/>
    <cellStyle name="Comma 9 2 2 4 3 3 3" xfId="49951"/>
    <cellStyle name="Comma 9 2 2 4 3 4" xfId="49952"/>
    <cellStyle name="Comma 9 2 2 4 3 4 2" xfId="49953"/>
    <cellStyle name="Comma 9 2 2 4 3 5" xfId="49954"/>
    <cellStyle name="Comma 9 2 2 4 3 6" xfId="49955"/>
    <cellStyle name="Comma 9 2 2 4 4" xfId="49956"/>
    <cellStyle name="Comma 9 2 2 4 4 2" xfId="49957"/>
    <cellStyle name="Comma 9 2 2 4 4 2 2" xfId="49958"/>
    <cellStyle name="Comma 9 2 2 4 4 2 3" xfId="49959"/>
    <cellStyle name="Comma 9 2 2 4 4 3" xfId="49960"/>
    <cellStyle name="Comma 9 2 2 4 4 3 2" xfId="49961"/>
    <cellStyle name="Comma 9 2 2 4 4 4" xfId="49962"/>
    <cellStyle name="Comma 9 2 2 4 4 5" xfId="49963"/>
    <cellStyle name="Comma 9 2 2 4 5" xfId="49964"/>
    <cellStyle name="Comma 9 2 2 4 5 2" xfId="49965"/>
    <cellStyle name="Comma 9 2 2 4 5 3" xfId="49966"/>
    <cellStyle name="Comma 9 2 2 4 6" xfId="49967"/>
    <cellStyle name="Comma 9 2 2 4 6 2" xfId="49968"/>
    <cellStyle name="Comma 9 2 2 4 6 3" xfId="49969"/>
    <cellStyle name="Comma 9 2 2 4 7" xfId="49970"/>
    <cellStyle name="Comma 9 2 2 4 7 2" xfId="49971"/>
    <cellStyle name="Comma 9 2 2 4 8" xfId="49972"/>
    <cellStyle name="Comma 9 2 2 4 9" xfId="49973"/>
    <cellStyle name="Comma 9 2 2 5" xfId="3769"/>
    <cellStyle name="Comma 9 2 2 5 2" xfId="49974"/>
    <cellStyle name="Comma 9 2 2 5 2 2" xfId="49975"/>
    <cellStyle name="Comma 9 2 2 5 2 2 2" xfId="49976"/>
    <cellStyle name="Comma 9 2 2 5 2 2 3" xfId="49977"/>
    <cellStyle name="Comma 9 2 2 5 2 3" xfId="49978"/>
    <cellStyle name="Comma 9 2 2 5 2 3 2" xfId="49979"/>
    <cellStyle name="Comma 9 2 2 5 2 3 3" xfId="49980"/>
    <cellStyle name="Comma 9 2 2 5 2 4" xfId="49981"/>
    <cellStyle name="Comma 9 2 2 5 2 4 2" xfId="49982"/>
    <cellStyle name="Comma 9 2 2 5 2 5" xfId="49983"/>
    <cellStyle name="Comma 9 2 2 5 2 6" xfId="49984"/>
    <cellStyle name="Comma 9 2 2 5 3" xfId="49985"/>
    <cellStyle name="Comma 9 2 2 5 3 2" xfId="49986"/>
    <cellStyle name="Comma 9 2 2 5 3 2 2" xfId="49987"/>
    <cellStyle name="Comma 9 2 2 5 3 2 3" xfId="49988"/>
    <cellStyle name="Comma 9 2 2 5 3 3" xfId="49989"/>
    <cellStyle name="Comma 9 2 2 5 3 3 2" xfId="49990"/>
    <cellStyle name="Comma 9 2 2 5 3 3 3" xfId="49991"/>
    <cellStyle name="Comma 9 2 2 5 3 4" xfId="49992"/>
    <cellStyle name="Comma 9 2 2 5 3 4 2" xfId="49993"/>
    <cellStyle name="Comma 9 2 2 5 3 5" xfId="49994"/>
    <cellStyle name="Comma 9 2 2 5 3 6" xfId="49995"/>
    <cellStyle name="Comma 9 2 2 5 4" xfId="49996"/>
    <cellStyle name="Comma 9 2 2 5 4 2" xfId="49997"/>
    <cellStyle name="Comma 9 2 2 5 4 2 2" xfId="49998"/>
    <cellStyle name="Comma 9 2 2 5 4 2 3" xfId="49999"/>
    <cellStyle name="Comma 9 2 2 5 4 3" xfId="50000"/>
    <cellStyle name="Comma 9 2 2 5 4 3 2" xfId="50001"/>
    <cellStyle name="Comma 9 2 2 5 4 4" xfId="50002"/>
    <cellStyle name="Comma 9 2 2 5 4 5" xfId="50003"/>
    <cellStyle name="Comma 9 2 2 5 5" xfId="50004"/>
    <cellStyle name="Comma 9 2 2 5 5 2" xfId="50005"/>
    <cellStyle name="Comma 9 2 2 5 5 3" xfId="50006"/>
    <cellStyle name="Comma 9 2 2 5 6" xfId="50007"/>
    <cellStyle name="Comma 9 2 2 5 6 2" xfId="50008"/>
    <cellStyle name="Comma 9 2 2 5 6 3" xfId="50009"/>
    <cellStyle name="Comma 9 2 2 5 7" xfId="50010"/>
    <cellStyle name="Comma 9 2 2 5 7 2" xfId="50011"/>
    <cellStyle name="Comma 9 2 2 5 8" xfId="50012"/>
    <cellStyle name="Comma 9 2 2 5 9" xfId="50013"/>
    <cellStyle name="Comma 9 2 2 6" xfId="50014"/>
    <cellStyle name="Comma 9 2 2 6 2" xfId="50015"/>
    <cellStyle name="Comma 9 2 2 6 2 2" xfId="50016"/>
    <cellStyle name="Comma 9 2 2 6 2 3" xfId="50017"/>
    <cellStyle name="Comma 9 2 2 6 3" xfId="50018"/>
    <cellStyle name="Comma 9 2 2 6 3 2" xfId="50019"/>
    <cellStyle name="Comma 9 2 2 6 3 3" xfId="50020"/>
    <cellStyle name="Comma 9 2 2 6 4" xfId="50021"/>
    <cellStyle name="Comma 9 2 2 6 4 2" xfId="50022"/>
    <cellStyle name="Comma 9 2 2 6 5" xfId="50023"/>
    <cellStyle name="Comma 9 2 2 6 6" xfId="50024"/>
    <cellStyle name="Comma 9 2 2 7" xfId="50025"/>
    <cellStyle name="Comma 9 2 2 7 2" xfId="50026"/>
    <cellStyle name="Comma 9 2 2 7 2 2" xfId="50027"/>
    <cellStyle name="Comma 9 2 2 7 2 3" xfId="50028"/>
    <cellStyle name="Comma 9 2 2 7 3" xfId="50029"/>
    <cellStyle name="Comma 9 2 2 7 3 2" xfId="50030"/>
    <cellStyle name="Comma 9 2 2 7 3 3" xfId="50031"/>
    <cellStyle name="Comma 9 2 2 7 4" xfId="50032"/>
    <cellStyle name="Comma 9 2 2 7 4 2" xfId="50033"/>
    <cellStyle name="Comma 9 2 2 7 5" xfId="50034"/>
    <cellStyle name="Comma 9 2 2 7 6" xfId="50035"/>
    <cellStyle name="Comma 9 2 2 8" xfId="50036"/>
    <cellStyle name="Comma 9 2 2 8 2" xfId="50037"/>
    <cellStyle name="Comma 9 2 2 8 2 2" xfId="50038"/>
    <cellStyle name="Comma 9 2 2 8 2 3" xfId="50039"/>
    <cellStyle name="Comma 9 2 2 8 3" xfId="50040"/>
    <cellStyle name="Comma 9 2 2 8 3 2" xfId="50041"/>
    <cellStyle name="Comma 9 2 2 8 4" xfId="50042"/>
    <cellStyle name="Comma 9 2 2 8 5" xfId="50043"/>
    <cellStyle name="Comma 9 2 2 9" xfId="50044"/>
    <cellStyle name="Comma 9 2 2 9 2" xfId="50045"/>
    <cellStyle name="Comma 9 2 2 9 3" xfId="50046"/>
    <cellStyle name="Comma 9 2 3" xfId="3770"/>
    <cellStyle name="Comma 9 2 3 10" xfId="50047"/>
    <cellStyle name="Comma 9 2 3 10 2" xfId="50048"/>
    <cellStyle name="Comma 9 2 3 11" xfId="50049"/>
    <cellStyle name="Comma 9 2 3 12" xfId="50050"/>
    <cellStyle name="Comma 9 2 3 2" xfId="3771"/>
    <cellStyle name="Comma 9 2 3 2 10" xfId="50051"/>
    <cellStyle name="Comma 9 2 3 2 2" xfId="3772"/>
    <cellStyle name="Comma 9 2 3 2 2 2" xfId="3773"/>
    <cellStyle name="Comma 9 2 3 2 2 2 2" xfId="50052"/>
    <cellStyle name="Comma 9 2 3 2 2 2 2 2" xfId="50053"/>
    <cellStyle name="Comma 9 2 3 2 2 2 2 3" xfId="50054"/>
    <cellStyle name="Comma 9 2 3 2 2 2 3" xfId="50055"/>
    <cellStyle name="Comma 9 2 3 2 2 2 3 2" xfId="50056"/>
    <cellStyle name="Comma 9 2 3 2 2 2 3 3" xfId="50057"/>
    <cellStyle name="Comma 9 2 3 2 2 2 4" xfId="50058"/>
    <cellStyle name="Comma 9 2 3 2 2 2 4 2" xfId="50059"/>
    <cellStyle name="Comma 9 2 3 2 2 2 5" xfId="50060"/>
    <cellStyle name="Comma 9 2 3 2 2 2 6" xfId="50061"/>
    <cellStyle name="Comma 9 2 3 2 2 3" xfId="50062"/>
    <cellStyle name="Comma 9 2 3 2 2 3 2" xfId="50063"/>
    <cellStyle name="Comma 9 2 3 2 2 3 2 2" xfId="50064"/>
    <cellStyle name="Comma 9 2 3 2 2 3 2 3" xfId="50065"/>
    <cellStyle name="Comma 9 2 3 2 2 3 3" xfId="50066"/>
    <cellStyle name="Comma 9 2 3 2 2 3 3 2" xfId="50067"/>
    <cellStyle name="Comma 9 2 3 2 2 3 3 3" xfId="50068"/>
    <cellStyle name="Comma 9 2 3 2 2 3 4" xfId="50069"/>
    <cellStyle name="Comma 9 2 3 2 2 3 4 2" xfId="50070"/>
    <cellStyle name="Comma 9 2 3 2 2 3 5" xfId="50071"/>
    <cellStyle name="Comma 9 2 3 2 2 3 6" xfId="50072"/>
    <cellStyle name="Comma 9 2 3 2 2 4" xfId="50073"/>
    <cellStyle name="Comma 9 2 3 2 2 4 2" xfId="50074"/>
    <cellStyle name="Comma 9 2 3 2 2 4 2 2" xfId="50075"/>
    <cellStyle name="Comma 9 2 3 2 2 4 2 3" xfId="50076"/>
    <cellStyle name="Comma 9 2 3 2 2 4 3" xfId="50077"/>
    <cellStyle name="Comma 9 2 3 2 2 4 3 2" xfId="50078"/>
    <cellStyle name="Comma 9 2 3 2 2 4 4" xfId="50079"/>
    <cellStyle name="Comma 9 2 3 2 2 4 5" xfId="50080"/>
    <cellStyle name="Comma 9 2 3 2 2 5" xfId="50081"/>
    <cellStyle name="Comma 9 2 3 2 2 5 2" xfId="50082"/>
    <cellStyle name="Comma 9 2 3 2 2 5 3" xfId="50083"/>
    <cellStyle name="Comma 9 2 3 2 2 6" xfId="50084"/>
    <cellStyle name="Comma 9 2 3 2 2 6 2" xfId="50085"/>
    <cellStyle name="Comma 9 2 3 2 2 6 3" xfId="50086"/>
    <cellStyle name="Comma 9 2 3 2 2 7" xfId="50087"/>
    <cellStyle name="Comma 9 2 3 2 2 7 2" xfId="50088"/>
    <cellStyle name="Comma 9 2 3 2 2 8" xfId="50089"/>
    <cellStyle name="Comma 9 2 3 2 2 9" xfId="50090"/>
    <cellStyle name="Comma 9 2 3 2 3" xfId="3774"/>
    <cellStyle name="Comma 9 2 3 2 3 2" xfId="50091"/>
    <cellStyle name="Comma 9 2 3 2 3 2 2" xfId="50092"/>
    <cellStyle name="Comma 9 2 3 2 3 2 3" xfId="50093"/>
    <cellStyle name="Comma 9 2 3 2 3 3" xfId="50094"/>
    <cellStyle name="Comma 9 2 3 2 3 3 2" xfId="50095"/>
    <cellStyle name="Comma 9 2 3 2 3 3 3" xfId="50096"/>
    <cellStyle name="Comma 9 2 3 2 3 4" xfId="50097"/>
    <cellStyle name="Comma 9 2 3 2 3 4 2" xfId="50098"/>
    <cellStyle name="Comma 9 2 3 2 3 5" xfId="50099"/>
    <cellStyle name="Comma 9 2 3 2 3 6" xfId="50100"/>
    <cellStyle name="Comma 9 2 3 2 4" xfId="50101"/>
    <cellStyle name="Comma 9 2 3 2 4 2" xfId="50102"/>
    <cellStyle name="Comma 9 2 3 2 4 2 2" xfId="50103"/>
    <cellStyle name="Comma 9 2 3 2 4 2 3" xfId="50104"/>
    <cellStyle name="Comma 9 2 3 2 4 3" xfId="50105"/>
    <cellStyle name="Comma 9 2 3 2 4 3 2" xfId="50106"/>
    <cellStyle name="Comma 9 2 3 2 4 3 3" xfId="50107"/>
    <cellStyle name="Comma 9 2 3 2 4 4" xfId="50108"/>
    <cellStyle name="Comma 9 2 3 2 4 4 2" xfId="50109"/>
    <cellStyle name="Comma 9 2 3 2 4 5" xfId="50110"/>
    <cellStyle name="Comma 9 2 3 2 4 6" xfId="50111"/>
    <cellStyle name="Comma 9 2 3 2 5" xfId="50112"/>
    <cellStyle name="Comma 9 2 3 2 5 2" xfId="50113"/>
    <cellStyle name="Comma 9 2 3 2 5 2 2" xfId="50114"/>
    <cellStyle name="Comma 9 2 3 2 5 2 3" xfId="50115"/>
    <cellStyle name="Comma 9 2 3 2 5 3" xfId="50116"/>
    <cellStyle name="Comma 9 2 3 2 5 3 2" xfId="50117"/>
    <cellStyle name="Comma 9 2 3 2 5 4" xfId="50118"/>
    <cellStyle name="Comma 9 2 3 2 5 5" xfId="50119"/>
    <cellStyle name="Comma 9 2 3 2 6" xfId="50120"/>
    <cellStyle name="Comma 9 2 3 2 6 2" xfId="50121"/>
    <cellStyle name="Comma 9 2 3 2 6 3" xfId="50122"/>
    <cellStyle name="Comma 9 2 3 2 7" xfId="50123"/>
    <cellStyle name="Comma 9 2 3 2 7 2" xfId="50124"/>
    <cellStyle name="Comma 9 2 3 2 7 3" xfId="50125"/>
    <cellStyle name="Comma 9 2 3 2 8" xfId="50126"/>
    <cellStyle name="Comma 9 2 3 2 8 2" xfId="50127"/>
    <cellStyle name="Comma 9 2 3 2 9" xfId="50128"/>
    <cellStyle name="Comma 9 2 3 3" xfId="3775"/>
    <cellStyle name="Comma 9 2 3 3 2" xfId="3776"/>
    <cellStyle name="Comma 9 2 3 3 2 2" xfId="50129"/>
    <cellStyle name="Comma 9 2 3 3 2 2 2" xfId="50130"/>
    <cellStyle name="Comma 9 2 3 3 2 2 3" xfId="50131"/>
    <cellStyle name="Comma 9 2 3 3 2 3" xfId="50132"/>
    <cellStyle name="Comma 9 2 3 3 2 3 2" xfId="50133"/>
    <cellStyle name="Comma 9 2 3 3 2 3 3" xfId="50134"/>
    <cellStyle name="Comma 9 2 3 3 2 4" xfId="50135"/>
    <cellStyle name="Comma 9 2 3 3 2 4 2" xfId="50136"/>
    <cellStyle name="Comma 9 2 3 3 2 5" xfId="50137"/>
    <cellStyle name="Comma 9 2 3 3 2 6" xfId="50138"/>
    <cellStyle name="Comma 9 2 3 3 3" xfId="50139"/>
    <cellStyle name="Comma 9 2 3 3 3 2" xfId="50140"/>
    <cellStyle name="Comma 9 2 3 3 3 2 2" xfId="50141"/>
    <cellStyle name="Comma 9 2 3 3 3 2 3" xfId="50142"/>
    <cellStyle name="Comma 9 2 3 3 3 3" xfId="50143"/>
    <cellStyle name="Comma 9 2 3 3 3 3 2" xfId="50144"/>
    <cellStyle name="Comma 9 2 3 3 3 3 3" xfId="50145"/>
    <cellStyle name="Comma 9 2 3 3 3 4" xfId="50146"/>
    <cellStyle name="Comma 9 2 3 3 3 4 2" xfId="50147"/>
    <cellStyle name="Comma 9 2 3 3 3 5" xfId="50148"/>
    <cellStyle name="Comma 9 2 3 3 3 6" xfId="50149"/>
    <cellStyle name="Comma 9 2 3 3 4" xfId="50150"/>
    <cellStyle name="Comma 9 2 3 3 4 2" xfId="50151"/>
    <cellStyle name="Comma 9 2 3 3 4 2 2" xfId="50152"/>
    <cellStyle name="Comma 9 2 3 3 4 2 3" xfId="50153"/>
    <cellStyle name="Comma 9 2 3 3 4 3" xfId="50154"/>
    <cellStyle name="Comma 9 2 3 3 4 3 2" xfId="50155"/>
    <cellStyle name="Comma 9 2 3 3 4 4" xfId="50156"/>
    <cellStyle name="Comma 9 2 3 3 4 5" xfId="50157"/>
    <cellStyle name="Comma 9 2 3 3 5" xfId="50158"/>
    <cellStyle name="Comma 9 2 3 3 5 2" xfId="50159"/>
    <cellStyle name="Comma 9 2 3 3 5 3" xfId="50160"/>
    <cellStyle name="Comma 9 2 3 3 6" xfId="50161"/>
    <cellStyle name="Comma 9 2 3 3 6 2" xfId="50162"/>
    <cellStyle name="Comma 9 2 3 3 6 3" xfId="50163"/>
    <cellStyle name="Comma 9 2 3 3 7" xfId="50164"/>
    <cellStyle name="Comma 9 2 3 3 7 2" xfId="50165"/>
    <cellStyle name="Comma 9 2 3 3 8" xfId="50166"/>
    <cellStyle name="Comma 9 2 3 3 9" xfId="50167"/>
    <cellStyle name="Comma 9 2 3 4" xfId="3777"/>
    <cellStyle name="Comma 9 2 3 4 2" xfId="50168"/>
    <cellStyle name="Comma 9 2 3 4 2 2" xfId="50169"/>
    <cellStyle name="Comma 9 2 3 4 2 2 2" xfId="50170"/>
    <cellStyle name="Comma 9 2 3 4 2 2 3" xfId="50171"/>
    <cellStyle name="Comma 9 2 3 4 2 3" xfId="50172"/>
    <cellStyle name="Comma 9 2 3 4 2 3 2" xfId="50173"/>
    <cellStyle name="Comma 9 2 3 4 2 3 3" xfId="50174"/>
    <cellStyle name="Comma 9 2 3 4 2 4" xfId="50175"/>
    <cellStyle name="Comma 9 2 3 4 2 4 2" xfId="50176"/>
    <cellStyle name="Comma 9 2 3 4 2 5" xfId="50177"/>
    <cellStyle name="Comma 9 2 3 4 2 6" xfId="50178"/>
    <cellStyle name="Comma 9 2 3 4 3" xfId="50179"/>
    <cellStyle name="Comma 9 2 3 4 3 2" xfId="50180"/>
    <cellStyle name="Comma 9 2 3 4 3 2 2" xfId="50181"/>
    <cellStyle name="Comma 9 2 3 4 3 2 3" xfId="50182"/>
    <cellStyle name="Comma 9 2 3 4 3 3" xfId="50183"/>
    <cellStyle name="Comma 9 2 3 4 3 3 2" xfId="50184"/>
    <cellStyle name="Comma 9 2 3 4 3 3 3" xfId="50185"/>
    <cellStyle name="Comma 9 2 3 4 3 4" xfId="50186"/>
    <cellStyle name="Comma 9 2 3 4 3 4 2" xfId="50187"/>
    <cellStyle name="Comma 9 2 3 4 3 5" xfId="50188"/>
    <cellStyle name="Comma 9 2 3 4 3 6" xfId="50189"/>
    <cellStyle name="Comma 9 2 3 4 4" xfId="50190"/>
    <cellStyle name="Comma 9 2 3 4 4 2" xfId="50191"/>
    <cellStyle name="Comma 9 2 3 4 4 2 2" xfId="50192"/>
    <cellStyle name="Comma 9 2 3 4 4 2 3" xfId="50193"/>
    <cellStyle name="Comma 9 2 3 4 4 3" xfId="50194"/>
    <cellStyle name="Comma 9 2 3 4 4 3 2" xfId="50195"/>
    <cellStyle name="Comma 9 2 3 4 4 4" xfId="50196"/>
    <cellStyle name="Comma 9 2 3 4 4 5" xfId="50197"/>
    <cellStyle name="Comma 9 2 3 4 5" xfId="50198"/>
    <cellStyle name="Comma 9 2 3 4 5 2" xfId="50199"/>
    <cellStyle name="Comma 9 2 3 4 5 3" xfId="50200"/>
    <cellStyle name="Comma 9 2 3 4 6" xfId="50201"/>
    <cellStyle name="Comma 9 2 3 4 6 2" xfId="50202"/>
    <cellStyle name="Comma 9 2 3 4 6 3" xfId="50203"/>
    <cellStyle name="Comma 9 2 3 4 7" xfId="50204"/>
    <cellStyle name="Comma 9 2 3 4 7 2" xfId="50205"/>
    <cellStyle name="Comma 9 2 3 4 8" xfId="50206"/>
    <cellStyle name="Comma 9 2 3 4 9" xfId="50207"/>
    <cellStyle name="Comma 9 2 3 5" xfId="50208"/>
    <cellStyle name="Comma 9 2 3 5 2" xfId="50209"/>
    <cellStyle name="Comma 9 2 3 5 2 2" xfId="50210"/>
    <cellStyle name="Comma 9 2 3 5 2 3" xfId="50211"/>
    <cellStyle name="Comma 9 2 3 5 3" xfId="50212"/>
    <cellStyle name="Comma 9 2 3 5 3 2" xfId="50213"/>
    <cellStyle name="Comma 9 2 3 5 3 3" xfId="50214"/>
    <cellStyle name="Comma 9 2 3 5 4" xfId="50215"/>
    <cellStyle name="Comma 9 2 3 5 4 2" xfId="50216"/>
    <cellStyle name="Comma 9 2 3 5 5" xfId="50217"/>
    <cellStyle name="Comma 9 2 3 5 6" xfId="50218"/>
    <cellStyle name="Comma 9 2 3 6" xfId="50219"/>
    <cellStyle name="Comma 9 2 3 6 2" xfId="50220"/>
    <cellStyle name="Comma 9 2 3 6 2 2" xfId="50221"/>
    <cellStyle name="Comma 9 2 3 6 2 3" xfId="50222"/>
    <cellStyle name="Comma 9 2 3 6 3" xfId="50223"/>
    <cellStyle name="Comma 9 2 3 6 3 2" xfId="50224"/>
    <cellStyle name="Comma 9 2 3 6 3 3" xfId="50225"/>
    <cellStyle name="Comma 9 2 3 6 4" xfId="50226"/>
    <cellStyle name="Comma 9 2 3 6 4 2" xfId="50227"/>
    <cellStyle name="Comma 9 2 3 6 5" xfId="50228"/>
    <cellStyle name="Comma 9 2 3 6 6" xfId="50229"/>
    <cellStyle name="Comma 9 2 3 7" xfId="50230"/>
    <cellStyle name="Comma 9 2 3 7 2" xfId="50231"/>
    <cellStyle name="Comma 9 2 3 7 2 2" xfId="50232"/>
    <cellStyle name="Comma 9 2 3 7 2 3" xfId="50233"/>
    <cellStyle name="Comma 9 2 3 7 3" xfId="50234"/>
    <cellStyle name="Comma 9 2 3 7 3 2" xfId="50235"/>
    <cellStyle name="Comma 9 2 3 7 4" xfId="50236"/>
    <cellStyle name="Comma 9 2 3 7 5" xfId="50237"/>
    <cellStyle name="Comma 9 2 3 8" xfId="50238"/>
    <cellStyle name="Comma 9 2 3 8 2" xfId="50239"/>
    <cellStyle name="Comma 9 2 3 8 3" xfId="50240"/>
    <cellStyle name="Comma 9 2 3 9" xfId="50241"/>
    <cellStyle name="Comma 9 2 3 9 2" xfId="50242"/>
    <cellStyle name="Comma 9 2 3 9 3" xfId="50243"/>
    <cellStyle name="Comma 9 2 4" xfId="3778"/>
    <cellStyle name="Comma 9 2 4 10" xfId="50244"/>
    <cellStyle name="Comma 9 2 4 2" xfId="3779"/>
    <cellStyle name="Comma 9 2 4 2 2" xfId="3780"/>
    <cellStyle name="Comma 9 2 4 2 2 2" xfId="50245"/>
    <cellStyle name="Comma 9 2 4 2 2 2 2" xfId="50246"/>
    <cellStyle name="Comma 9 2 4 2 2 2 3" xfId="50247"/>
    <cellStyle name="Comma 9 2 4 2 2 3" xfId="50248"/>
    <cellStyle name="Comma 9 2 4 2 2 3 2" xfId="50249"/>
    <cellStyle name="Comma 9 2 4 2 2 3 3" xfId="50250"/>
    <cellStyle name="Comma 9 2 4 2 2 4" xfId="50251"/>
    <cellStyle name="Comma 9 2 4 2 2 4 2" xfId="50252"/>
    <cellStyle name="Comma 9 2 4 2 2 5" xfId="50253"/>
    <cellStyle name="Comma 9 2 4 2 2 6" xfId="50254"/>
    <cellStyle name="Comma 9 2 4 2 3" xfId="50255"/>
    <cellStyle name="Comma 9 2 4 2 3 2" xfId="50256"/>
    <cellStyle name="Comma 9 2 4 2 3 2 2" xfId="50257"/>
    <cellStyle name="Comma 9 2 4 2 3 2 3" xfId="50258"/>
    <cellStyle name="Comma 9 2 4 2 3 3" xfId="50259"/>
    <cellStyle name="Comma 9 2 4 2 3 3 2" xfId="50260"/>
    <cellStyle name="Comma 9 2 4 2 3 3 3" xfId="50261"/>
    <cellStyle name="Comma 9 2 4 2 3 4" xfId="50262"/>
    <cellStyle name="Comma 9 2 4 2 3 4 2" xfId="50263"/>
    <cellStyle name="Comma 9 2 4 2 3 5" xfId="50264"/>
    <cellStyle name="Comma 9 2 4 2 3 6" xfId="50265"/>
    <cellStyle name="Comma 9 2 4 2 4" xfId="50266"/>
    <cellStyle name="Comma 9 2 4 2 4 2" xfId="50267"/>
    <cellStyle name="Comma 9 2 4 2 4 2 2" xfId="50268"/>
    <cellStyle name="Comma 9 2 4 2 4 2 3" xfId="50269"/>
    <cellStyle name="Comma 9 2 4 2 4 3" xfId="50270"/>
    <cellStyle name="Comma 9 2 4 2 4 3 2" xfId="50271"/>
    <cellStyle name="Comma 9 2 4 2 4 4" xfId="50272"/>
    <cellStyle name="Comma 9 2 4 2 4 5" xfId="50273"/>
    <cellStyle name="Comma 9 2 4 2 5" xfId="50274"/>
    <cellStyle name="Comma 9 2 4 2 5 2" xfId="50275"/>
    <cellStyle name="Comma 9 2 4 2 5 3" xfId="50276"/>
    <cellStyle name="Comma 9 2 4 2 6" xfId="50277"/>
    <cellStyle name="Comma 9 2 4 2 6 2" xfId="50278"/>
    <cellStyle name="Comma 9 2 4 2 6 3" xfId="50279"/>
    <cellStyle name="Comma 9 2 4 2 7" xfId="50280"/>
    <cellStyle name="Comma 9 2 4 2 7 2" xfId="50281"/>
    <cellStyle name="Comma 9 2 4 2 8" xfId="50282"/>
    <cellStyle name="Comma 9 2 4 2 9" xfId="50283"/>
    <cellStyle name="Comma 9 2 4 3" xfId="3781"/>
    <cellStyle name="Comma 9 2 4 3 2" xfId="50284"/>
    <cellStyle name="Comma 9 2 4 3 2 2" xfId="50285"/>
    <cellStyle name="Comma 9 2 4 3 2 3" xfId="50286"/>
    <cellStyle name="Comma 9 2 4 3 3" xfId="50287"/>
    <cellStyle name="Comma 9 2 4 3 3 2" xfId="50288"/>
    <cellStyle name="Comma 9 2 4 3 3 3" xfId="50289"/>
    <cellStyle name="Comma 9 2 4 3 4" xfId="50290"/>
    <cellStyle name="Comma 9 2 4 3 4 2" xfId="50291"/>
    <cellStyle name="Comma 9 2 4 3 5" xfId="50292"/>
    <cellStyle name="Comma 9 2 4 3 6" xfId="50293"/>
    <cellStyle name="Comma 9 2 4 4" xfId="50294"/>
    <cellStyle name="Comma 9 2 4 4 2" xfId="50295"/>
    <cellStyle name="Comma 9 2 4 4 2 2" xfId="50296"/>
    <cellStyle name="Comma 9 2 4 4 2 3" xfId="50297"/>
    <cellStyle name="Comma 9 2 4 4 3" xfId="50298"/>
    <cellStyle name="Comma 9 2 4 4 3 2" xfId="50299"/>
    <cellStyle name="Comma 9 2 4 4 3 3" xfId="50300"/>
    <cellStyle name="Comma 9 2 4 4 4" xfId="50301"/>
    <cellStyle name="Comma 9 2 4 4 4 2" xfId="50302"/>
    <cellStyle name="Comma 9 2 4 4 5" xfId="50303"/>
    <cellStyle name="Comma 9 2 4 4 6" xfId="50304"/>
    <cellStyle name="Comma 9 2 4 5" xfId="50305"/>
    <cellStyle name="Comma 9 2 4 5 2" xfId="50306"/>
    <cellStyle name="Comma 9 2 4 5 2 2" xfId="50307"/>
    <cellStyle name="Comma 9 2 4 5 2 3" xfId="50308"/>
    <cellStyle name="Comma 9 2 4 5 3" xfId="50309"/>
    <cellStyle name="Comma 9 2 4 5 3 2" xfId="50310"/>
    <cellStyle name="Comma 9 2 4 5 4" xfId="50311"/>
    <cellStyle name="Comma 9 2 4 5 5" xfId="50312"/>
    <cellStyle name="Comma 9 2 4 6" xfId="50313"/>
    <cellStyle name="Comma 9 2 4 6 2" xfId="50314"/>
    <cellStyle name="Comma 9 2 4 6 3" xfId="50315"/>
    <cellStyle name="Comma 9 2 4 7" xfId="50316"/>
    <cellStyle name="Comma 9 2 4 7 2" xfId="50317"/>
    <cellStyle name="Comma 9 2 4 7 3" xfId="50318"/>
    <cellStyle name="Comma 9 2 4 8" xfId="50319"/>
    <cellStyle name="Comma 9 2 4 8 2" xfId="50320"/>
    <cellStyle name="Comma 9 2 4 9" xfId="50321"/>
    <cellStyle name="Comma 9 2 5" xfId="3782"/>
    <cellStyle name="Comma 9 2 5 2" xfId="3783"/>
    <cellStyle name="Comma 9 2 5 2 2" xfId="50322"/>
    <cellStyle name="Comma 9 2 5 2 2 2" xfId="50323"/>
    <cellStyle name="Comma 9 2 5 2 2 3" xfId="50324"/>
    <cellStyle name="Comma 9 2 5 2 3" xfId="50325"/>
    <cellStyle name="Comma 9 2 5 2 3 2" xfId="50326"/>
    <cellStyle name="Comma 9 2 5 2 3 3" xfId="50327"/>
    <cellStyle name="Comma 9 2 5 2 4" xfId="50328"/>
    <cellStyle name="Comma 9 2 5 2 4 2" xfId="50329"/>
    <cellStyle name="Comma 9 2 5 2 5" xfId="50330"/>
    <cellStyle name="Comma 9 2 5 2 6" xfId="50331"/>
    <cellStyle name="Comma 9 2 5 3" xfId="50332"/>
    <cellStyle name="Comma 9 2 5 3 2" xfId="50333"/>
    <cellStyle name="Comma 9 2 5 3 2 2" xfId="50334"/>
    <cellStyle name="Comma 9 2 5 3 2 3" xfId="50335"/>
    <cellStyle name="Comma 9 2 5 3 3" xfId="50336"/>
    <cellStyle name="Comma 9 2 5 3 3 2" xfId="50337"/>
    <cellStyle name="Comma 9 2 5 3 3 3" xfId="50338"/>
    <cellStyle name="Comma 9 2 5 3 4" xfId="50339"/>
    <cellStyle name="Comma 9 2 5 3 4 2" xfId="50340"/>
    <cellStyle name="Comma 9 2 5 3 5" xfId="50341"/>
    <cellStyle name="Comma 9 2 5 3 6" xfId="50342"/>
    <cellStyle name="Comma 9 2 5 4" xfId="50343"/>
    <cellStyle name="Comma 9 2 5 4 2" xfId="50344"/>
    <cellStyle name="Comma 9 2 5 4 2 2" xfId="50345"/>
    <cellStyle name="Comma 9 2 5 4 2 3" xfId="50346"/>
    <cellStyle name="Comma 9 2 5 4 3" xfId="50347"/>
    <cellStyle name="Comma 9 2 5 4 3 2" xfId="50348"/>
    <cellStyle name="Comma 9 2 5 4 4" xfId="50349"/>
    <cellStyle name="Comma 9 2 5 4 5" xfId="50350"/>
    <cellStyle name="Comma 9 2 5 5" xfId="50351"/>
    <cellStyle name="Comma 9 2 5 5 2" xfId="50352"/>
    <cellStyle name="Comma 9 2 5 5 3" xfId="50353"/>
    <cellStyle name="Comma 9 2 5 6" xfId="50354"/>
    <cellStyle name="Comma 9 2 5 6 2" xfId="50355"/>
    <cellStyle name="Comma 9 2 5 6 3" xfId="50356"/>
    <cellStyle name="Comma 9 2 5 7" xfId="50357"/>
    <cellStyle name="Comma 9 2 5 7 2" xfId="50358"/>
    <cellStyle name="Comma 9 2 5 8" xfId="50359"/>
    <cellStyle name="Comma 9 2 5 9" xfId="50360"/>
    <cellStyle name="Comma 9 2 6" xfId="3784"/>
    <cellStyle name="Comma 9 2 6 2" xfId="50361"/>
    <cellStyle name="Comma 9 2 6 2 2" xfId="50362"/>
    <cellStyle name="Comma 9 2 6 2 2 2" xfId="50363"/>
    <cellStyle name="Comma 9 2 6 2 2 3" xfId="50364"/>
    <cellStyle name="Comma 9 2 6 2 3" xfId="50365"/>
    <cellStyle name="Comma 9 2 6 2 3 2" xfId="50366"/>
    <cellStyle name="Comma 9 2 6 2 3 3" xfId="50367"/>
    <cellStyle name="Comma 9 2 6 2 4" xfId="50368"/>
    <cellStyle name="Comma 9 2 6 2 4 2" xfId="50369"/>
    <cellStyle name="Comma 9 2 6 2 5" xfId="50370"/>
    <cellStyle name="Comma 9 2 6 2 6" xfId="50371"/>
    <cellStyle name="Comma 9 2 6 3" xfId="50372"/>
    <cellStyle name="Comma 9 2 6 3 2" xfId="50373"/>
    <cellStyle name="Comma 9 2 6 3 2 2" xfId="50374"/>
    <cellStyle name="Comma 9 2 6 3 2 3" xfId="50375"/>
    <cellStyle name="Comma 9 2 6 3 3" xfId="50376"/>
    <cellStyle name="Comma 9 2 6 3 3 2" xfId="50377"/>
    <cellStyle name="Comma 9 2 6 3 3 3" xfId="50378"/>
    <cellStyle name="Comma 9 2 6 3 4" xfId="50379"/>
    <cellStyle name="Comma 9 2 6 3 4 2" xfId="50380"/>
    <cellStyle name="Comma 9 2 6 3 5" xfId="50381"/>
    <cellStyle name="Comma 9 2 6 3 6" xfId="50382"/>
    <cellStyle name="Comma 9 2 6 4" xfId="50383"/>
    <cellStyle name="Comma 9 2 6 4 2" xfId="50384"/>
    <cellStyle name="Comma 9 2 6 4 2 2" xfId="50385"/>
    <cellStyle name="Comma 9 2 6 4 2 3" xfId="50386"/>
    <cellStyle name="Comma 9 2 6 4 3" xfId="50387"/>
    <cellStyle name="Comma 9 2 6 4 3 2" xfId="50388"/>
    <cellStyle name="Comma 9 2 6 4 4" xfId="50389"/>
    <cellStyle name="Comma 9 2 6 4 5" xfId="50390"/>
    <cellStyle name="Comma 9 2 6 5" xfId="50391"/>
    <cellStyle name="Comma 9 2 6 5 2" xfId="50392"/>
    <cellStyle name="Comma 9 2 6 5 3" xfId="50393"/>
    <cellStyle name="Comma 9 2 6 6" xfId="50394"/>
    <cellStyle name="Comma 9 2 6 6 2" xfId="50395"/>
    <cellStyle name="Comma 9 2 6 6 3" xfId="50396"/>
    <cellStyle name="Comma 9 2 6 7" xfId="50397"/>
    <cellStyle name="Comma 9 2 6 7 2" xfId="50398"/>
    <cellStyle name="Comma 9 2 6 8" xfId="50399"/>
    <cellStyle name="Comma 9 2 6 9" xfId="50400"/>
    <cellStyle name="Comma 9 2 7" xfId="3785"/>
    <cellStyle name="Comma 9 2 7 2" xfId="50401"/>
    <cellStyle name="Comma 9 2 7 2 2" xfId="50402"/>
    <cellStyle name="Comma 9 2 7 2 3" xfId="50403"/>
    <cellStyle name="Comma 9 2 7 3" xfId="50404"/>
    <cellStyle name="Comma 9 2 7 3 2" xfId="50405"/>
    <cellStyle name="Comma 9 2 7 3 3" xfId="50406"/>
    <cellStyle name="Comma 9 2 7 4" xfId="50407"/>
    <cellStyle name="Comma 9 2 7 4 2" xfId="50408"/>
    <cellStyle name="Comma 9 2 7 5" xfId="50409"/>
    <cellStyle name="Comma 9 2 7 6" xfId="50410"/>
    <cellStyle name="Comma 9 2 8" xfId="50411"/>
    <cellStyle name="Comma 9 2 8 2" xfId="50412"/>
    <cellStyle name="Comma 9 2 8 2 2" xfId="50413"/>
    <cellStyle name="Comma 9 2 8 2 3" xfId="50414"/>
    <cellStyle name="Comma 9 2 8 3" xfId="50415"/>
    <cellStyle name="Comma 9 2 8 3 2" xfId="50416"/>
    <cellStyle name="Comma 9 2 8 3 3" xfId="50417"/>
    <cellStyle name="Comma 9 2 8 4" xfId="50418"/>
    <cellStyle name="Comma 9 2 8 4 2" xfId="50419"/>
    <cellStyle name="Comma 9 2 8 5" xfId="50420"/>
    <cellStyle name="Comma 9 2 8 6" xfId="50421"/>
    <cellStyle name="Comma 9 2 9" xfId="50422"/>
    <cellStyle name="Comma 9 2 9 2" xfId="50423"/>
    <cellStyle name="Comma 9 2 9 2 2" xfId="50424"/>
    <cellStyle name="Comma 9 2 9 2 3" xfId="50425"/>
    <cellStyle name="Comma 9 2 9 3" xfId="50426"/>
    <cellStyle name="Comma 9 2 9 3 2" xfId="50427"/>
    <cellStyle name="Comma 9 2 9 4" xfId="50428"/>
    <cellStyle name="Comma 9 2 9 5" xfId="50429"/>
    <cellStyle name="Comma 9 3" xfId="3786"/>
    <cellStyle name="Comma 9 3 10" xfId="50430"/>
    <cellStyle name="Comma 9 3 10 2" xfId="50431"/>
    <cellStyle name="Comma 9 3 10 3" xfId="50432"/>
    <cellStyle name="Comma 9 3 11" xfId="50433"/>
    <cellStyle name="Comma 9 3 11 2" xfId="50434"/>
    <cellStyle name="Comma 9 3 12" xfId="50435"/>
    <cellStyle name="Comma 9 3 13" xfId="50436"/>
    <cellStyle name="Comma 9 3 14" xfId="50437"/>
    <cellStyle name="Comma 9 3 2" xfId="3787"/>
    <cellStyle name="Comma 9 3 2 10" xfId="50438"/>
    <cellStyle name="Comma 9 3 2 10 2" xfId="50439"/>
    <cellStyle name="Comma 9 3 2 11" xfId="50440"/>
    <cellStyle name="Comma 9 3 2 12" xfId="50441"/>
    <cellStyle name="Comma 9 3 2 2" xfId="3788"/>
    <cellStyle name="Comma 9 3 2 2 10" xfId="50442"/>
    <cellStyle name="Comma 9 3 2 2 2" xfId="3789"/>
    <cellStyle name="Comma 9 3 2 2 2 2" xfId="3790"/>
    <cellStyle name="Comma 9 3 2 2 2 2 2" xfId="50443"/>
    <cellStyle name="Comma 9 3 2 2 2 2 2 2" xfId="50444"/>
    <cellStyle name="Comma 9 3 2 2 2 2 2 3" xfId="50445"/>
    <cellStyle name="Comma 9 3 2 2 2 2 3" xfId="50446"/>
    <cellStyle name="Comma 9 3 2 2 2 2 3 2" xfId="50447"/>
    <cellStyle name="Comma 9 3 2 2 2 2 3 3" xfId="50448"/>
    <cellStyle name="Comma 9 3 2 2 2 2 4" xfId="50449"/>
    <cellStyle name="Comma 9 3 2 2 2 2 4 2" xfId="50450"/>
    <cellStyle name="Comma 9 3 2 2 2 2 5" xfId="50451"/>
    <cellStyle name="Comma 9 3 2 2 2 2 6" xfId="50452"/>
    <cellStyle name="Comma 9 3 2 2 2 3" xfId="50453"/>
    <cellStyle name="Comma 9 3 2 2 2 3 2" xfId="50454"/>
    <cellStyle name="Comma 9 3 2 2 2 3 2 2" xfId="50455"/>
    <cellStyle name="Comma 9 3 2 2 2 3 2 3" xfId="50456"/>
    <cellStyle name="Comma 9 3 2 2 2 3 3" xfId="50457"/>
    <cellStyle name="Comma 9 3 2 2 2 3 3 2" xfId="50458"/>
    <cellStyle name="Comma 9 3 2 2 2 3 3 3" xfId="50459"/>
    <cellStyle name="Comma 9 3 2 2 2 3 4" xfId="50460"/>
    <cellStyle name="Comma 9 3 2 2 2 3 4 2" xfId="50461"/>
    <cellStyle name="Comma 9 3 2 2 2 3 5" xfId="50462"/>
    <cellStyle name="Comma 9 3 2 2 2 3 6" xfId="50463"/>
    <cellStyle name="Comma 9 3 2 2 2 4" xfId="50464"/>
    <cellStyle name="Comma 9 3 2 2 2 4 2" xfId="50465"/>
    <cellStyle name="Comma 9 3 2 2 2 4 2 2" xfId="50466"/>
    <cellStyle name="Comma 9 3 2 2 2 4 2 3" xfId="50467"/>
    <cellStyle name="Comma 9 3 2 2 2 4 3" xfId="50468"/>
    <cellStyle name="Comma 9 3 2 2 2 4 3 2" xfId="50469"/>
    <cellStyle name="Comma 9 3 2 2 2 4 4" xfId="50470"/>
    <cellStyle name="Comma 9 3 2 2 2 4 5" xfId="50471"/>
    <cellStyle name="Comma 9 3 2 2 2 5" xfId="50472"/>
    <cellStyle name="Comma 9 3 2 2 2 5 2" xfId="50473"/>
    <cellStyle name="Comma 9 3 2 2 2 5 3" xfId="50474"/>
    <cellStyle name="Comma 9 3 2 2 2 6" xfId="50475"/>
    <cellStyle name="Comma 9 3 2 2 2 6 2" xfId="50476"/>
    <cellStyle name="Comma 9 3 2 2 2 6 3" xfId="50477"/>
    <cellStyle name="Comma 9 3 2 2 2 7" xfId="50478"/>
    <cellStyle name="Comma 9 3 2 2 2 7 2" xfId="50479"/>
    <cellStyle name="Comma 9 3 2 2 2 8" xfId="50480"/>
    <cellStyle name="Comma 9 3 2 2 2 9" xfId="50481"/>
    <cellStyle name="Comma 9 3 2 2 3" xfId="3791"/>
    <cellStyle name="Comma 9 3 2 2 3 2" xfId="50482"/>
    <cellStyle name="Comma 9 3 2 2 3 2 2" xfId="50483"/>
    <cellStyle name="Comma 9 3 2 2 3 2 3" xfId="50484"/>
    <cellStyle name="Comma 9 3 2 2 3 3" xfId="50485"/>
    <cellStyle name="Comma 9 3 2 2 3 3 2" xfId="50486"/>
    <cellStyle name="Comma 9 3 2 2 3 3 3" xfId="50487"/>
    <cellStyle name="Comma 9 3 2 2 3 4" xfId="50488"/>
    <cellStyle name="Comma 9 3 2 2 3 4 2" xfId="50489"/>
    <cellStyle name="Comma 9 3 2 2 3 5" xfId="50490"/>
    <cellStyle name="Comma 9 3 2 2 3 6" xfId="50491"/>
    <cellStyle name="Comma 9 3 2 2 4" xfId="50492"/>
    <cellStyle name="Comma 9 3 2 2 4 2" xfId="50493"/>
    <cellStyle name="Comma 9 3 2 2 4 2 2" xfId="50494"/>
    <cellStyle name="Comma 9 3 2 2 4 2 3" xfId="50495"/>
    <cellStyle name="Comma 9 3 2 2 4 3" xfId="50496"/>
    <cellStyle name="Comma 9 3 2 2 4 3 2" xfId="50497"/>
    <cellStyle name="Comma 9 3 2 2 4 3 3" xfId="50498"/>
    <cellStyle name="Comma 9 3 2 2 4 4" xfId="50499"/>
    <cellStyle name="Comma 9 3 2 2 4 4 2" xfId="50500"/>
    <cellStyle name="Comma 9 3 2 2 4 5" xfId="50501"/>
    <cellStyle name="Comma 9 3 2 2 4 6" xfId="50502"/>
    <cellStyle name="Comma 9 3 2 2 5" xfId="50503"/>
    <cellStyle name="Comma 9 3 2 2 5 2" xfId="50504"/>
    <cellStyle name="Comma 9 3 2 2 5 2 2" xfId="50505"/>
    <cellStyle name="Comma 9 3 2 2 5 2 3" xfId="50506"/>
    <cellStyle name="Comma 9 3 2 2 5 3" xfId="50507"/>
    <cellStyle name="Comma 9 3 2 2 5 3 2" xfId="50508"/>
    <cellStyle name="Comma 9 3 2 2 5 4" xfId="50509"/>
    <cellStyle name="Comma 9 3 2 2 5 5" xfId="50510"/>
    <cellStyle name="Comma 9 3 2 2 6" xfId="50511"/>
    <cellStyle name="Comma 9 3 2 2 6 2" xfId="50512"/>
    <cellStyle name="Comma 9 3 2 2 6 3" xfId="50513"/>
    <cellStyle name="Comma 9 3 2 2 7" xfId="50514"/>
    <cellStyle name="Comma 9 3 2 2 7 2" xfId="50515"/>
    <cellStyle name="Comma 9 3 2 2 7 3" xfId="50516"/>
    <cellStyle name="Comma 9 3 2 2 8" xfId="50517"/>
    <cellStyle name="Comma 9 3 2 2 8 2" xfId="50518"/>
    <cellStyle name="Comma 9 3 2 2 9" xfId="50519"/>
    <cellStyle name="Comma 9 3 2 3" xfId="3792"/>
    <cellStyle name="Comma 9 3 2 3 2" xfId="3793"/>
    <cellStyle name="Comma 9 3 2 3 2 2" xfId="50520"/>
    <cellStyle name="Comma 9 3 2 3 2 2 2" xfId="50521"/>
    <cellStyle name="Comma 9 3 2 3 2 2 3" xfId="50522"/>
    <cellStyle name="Comma 9 3 2 3 2 3" xfId="50523"/>
    <cellStyle name="Comma 9 3 2 3 2 3 2" xfId="50524"/>
    <cellStyle name="Comma 9 3 2 3 2 3 3" xfId="50525"/>
    <cellStyle name="Comma 9 3 2 3 2 4" xfId="50526"/>
    <cellStyle name="Comma 9 3 2 3 2 4 2" xfId="50527"/>
    <cellStyle name="Comma 9 3 2 3 2 5" xfId="50528"/>
    <cellStyle name="Comma 9 3 2 3 2 6" xfId="50529"/>
    <cellStyle name="Comma 9 3 2 3 3" xfId="50530"/>
    <cellStyle name="Comma 9 3 2 3 3 2" xfId="50531"/>
    <cellStyle name="Comma 9 3 2 3 3 2 2" xfId="50532"/>
    <cellStyle name="Comma 9 3 2 3 3 2 3" xfId="50533"/>
    <cellStyle name="Comma 9 3 2 3 3 3" xfId="50534"/>
    <cellStyle name="Comma 9 3 2 3 3 3 2" xfId="50535"/>
    <cellStyle name="Comma 9 3 2 3 3 3 3" xfId="50536"/>
    <cellStyle name="Comma 9 3 2 3 3 4" xfId="50537"/>
    <cellStyle name="Comma 9 3 2 3 3 4 2" xfId="50538"/>
    <cellStyle name="Comma 9 3 2 3 3 5" xfId="50539"/>
    <cellStyle name="Comma 9 3 2 3 3 6" xfId="50540"/>
    <cellStyle name="Comma 9 3 2 3 4" xfId="50541"/>
    <cellStyle name="Comma 9 3 2 3 4 2" xfId="50542"/>
    <cellStyle name="Comma 9 3 2 3 4 2 2" xfId="50543"/>
    <cellStyle name="Comma 9 3 2 3 4 2 3" xfId="50544"/>
    <cellStyle name="Comma 9 3 2 3 4 3" xfId="50545"/>
    <cellStyle name="Comma 9 3 2 3 4 3 2" xfId="50546"/>
    <cellStyle name="Comma 9 3 2 3 4 4" xfId="50547"/>
    <cellStyle name="Comma 9 3 2 3 4 5" xfId="50548"/>
    <cellStyle name="Comma 9 3 2 3 5" xfId="50549"/>
    <cellStyle name="Comma 9 3 2 3 5 2" xfId="50550"/>
    <cellStyle name="Comma 9 3 2 3 5 3" xfId="50551"/>
    <cellStyle name="Comma 9 3 2 3 6" xfId="50552"/>
    <cellStyle name="Comma 9 3 2 3 6 2" xfId="50553"/>
    <cellStyle name="Comma 9 3 2 3 6 3" xfId="50554"/>
    <cellStyle name="Comma 9 3 2 3 7" xfId="50555"/>
    <cellStyle name="Comma 9 3 2 3 7 2" xfId="50556"/>
    <cellStyle name="Comma 9 3 2 3 8" xfId="50557"/>
    <cellStyle name="Comma 9 3 2 3 9" xfId="50558"/>
    <cellStyle name="Comma 9 3 2 4" xfId="3794"/>
    <cellStyle name="Comma 9 3 2 4 2" xfId="50559"/>
    <cellStyle name="Comma 9 3 2 4 2 2" xfId="50560"/>
    <cellStyle name="Comma 9 3 2 4 2 2 2" xfId="50561"/>
    <cellStyle name="Comma 9 3 2 4 2 2 3" xfId="50562"/>
    <cellStyle name="Comma 9 3 2 4 2 3" xfId="50563"/>
    <cellStyle name="Comma 9 3 2 4 2 3 2" xfId="50564"/>
    <cellStyle name="Comma 9 3 2 4 2 3 3" xfId="50565"/>
    <cellStyle name="Comma 9 3 2 4 2 4" xfId="50566"/>
    <cellStyle name="Comma 9 3 2 4 2 4 2" xfId="50567"/>
    <cellStyle name="Comma 9 3 2 4 2 5" xfId="50568"/>
    <cellStyle name="Comma 9 3 2 4 2 6" xfId="50569"/>
    <cellStyle name="Comma 9 3 2 4 3" xfId="50570"/>
    <cellStyle name="Comma 9 3 2 4 3 2" xfId="50571"/>
    <cellStyle name="Comma 9 3 2 4 3 2 2" xfId="50572"/>
    <cellStyle name="Comma 9 3 2 4 3 2 3" xfId="50573"/>
    <cellStyle name="Comma 9 3 2 4 3 3" xfId="50574"/>
    <cellStyle name="Comma 9 3 2 4 3 3 2" xfId="50575"/>
    <cellStyle name="Comma 9 3 2 4 3 3 3" xfId="50576"/>
    <cellStyle name="Comma 9 3 2 4 3 4" xfId="50577"/>
    <cellStyle name="Comma 9 3 2 4 3 4 2" xfId="50578"/>
    <cellStyle name="Comma 9 3 2 4 3 5" xfId="50579"/>
    <cellStyle name="Comma 9 3 2 4 3 6" xfId="50580"/>
    <cellStyle name="Comma 9 3 2 4 4" xfId="50581"/>
    <cellStyle name="Comma 9 3 2 4 4 2" xfId="50582"/>
    <cellStyle name="Comma 9 3 2 4 4 2 2" xfId="50583"/>
    <cellStyle name="Comma 9 3 2 4 4 2 3" xfId="50584"/>
    <cellStyle name="Comma 9 3 2 4 4 3" xfId="50585"/>
    <cellStyle name="Comma 9 3 2 4 4 3 2" xfId="50586"/>
    <cellStyle name="Comma 9 3 2 4 4 4" xfId="50587"/>
    <cellStyle name="Comma 9 3 2 4 4 5" xfId="50588"/>
    <cellStyle name="Comma 9 3 2 4 5" xfId="50589"/>
    <cellStyle name="Comma 9 3 2 4 5 2" xfId="50590"/>
    <cellStyle name="Comma 9 3 2 4 5 3" xfId="50591"/>
    <cellStyle name="Comma 9 3 2 4 6" xfId="50592"/>
    <cellStyle name="Comma 9 3 2 4 6 2" xfId="50593"/>
    <cellStyle name="Comma 9 3 2 4 6 3" xfId="50594"/>
    <cellStyle name="Comma 9 3 2 4 7" xfId="50595"/>
    <cellStyle name="Comma 9 3 2 4 7 2" xfId="50596"/>
    <cellStyle name="Comma 9 3 2 4 8" xfId="50597"/>
    <cellStyle name="Comma 9 3 2 4 9" xfId="50598"/>
    <cellStyle name="Comma 9 3 2 5" xfId="50599"/>
    <cellStyle name="Comma 9 3 2 5 2" xfId="50600"/>
    <cellStyle name="Comma 9 3 2 5 2 2" xfId="50601"/>
    <cellStyle name="Comma 9 3 2 5 2 3" xfId="50602"/>
    <cellStyle name="Comma 9 3 2 5 3" xfId="50603"/>
    <cellStyle name="Comma 9 3 2 5 3 2" xfId="50604"/>
    <cellStyle name="Comma 9 3 2 5 3 3" xfId="50605"/>
    <cellStyle name="Comma 9 3 2 5 4" xfId="50606"/>
    <cellStyle name="Comma 9 3 2 5 4 2" xfId="50607"/>
    <cellStyle name="Comma 9 3 2 5 5" xfId="50608"/>
    <cellStyle name="Comma 9 3 2 5 6" xfId="50609"/>
    <cellStyle name="Comma 9 3 2 6" xfId="50610"/>
    <cellStyle name="Comma 9 3 2 6 2" xfId="50611"/>
    <cellStyle name="Comma 9 3 2 6 2 2" xfId="50612"/>
    <cellStyle name="Comma 9 3 2 6 2 3" xfId="50613"/>
    <cellStyle name="Comma 9 3 2 6 3" xfId="50614"/>
    <cellStyle name="Comma 9 3 2 6 3 2" xfId="50615"/>
    <cellStyle name="Comma 9 3 2 6 3 3" xfId="50616"/>
    <cellStyle name="Comma 9 3 2 6 4" xfId="50617"/>
    <cellStyle name="Comma 9 3 2 6 4 2" xfId="50618"/>
    <cellStyle name="Comma 9 3 2 6 5" xfId="50619"/>
    <cellStyle name="Comma 9 3 2 6 6" xfId="50620"/>
    <cellStyle name="Comma 9 3 2 7" xfId="50621"/>
    <cellStyle name="Comma 9 3 2 7 2" xfId="50622"/>
    <cellStyle name="Comma 9 3 2 7 2 2" xfId="50623"/>
    <cellStyle name="Comma 9 3 2 7 2 3" xfId="50624"/>
    <cellStyle name="Comma 9 3 2 7 3" xfId="50625"/>
    <cellStyle name="Comma 9 3 2 7 3 2" xfId="50626"/>
    <cellStyle name="Comma 9 3 2 7 4" xfId="50627"/>
    <cellStyle name="Comma 9 3 2 7 5" xfId="50628"/>
    <cellStyle name="Comma 9 3 2 8" xfId="50629"/>
    <cellStyle name="Comma 9 3 2 8 2" xfId="50630"/>
    <cellStyle name="Comma 9 3 2 8 3" xfId="50631"/>
    <cellStyle name="Comma 9 3 2 9" xfId="50632"/>
    <cellStyle name="Comma 9 3 2 9 2" xfId="50633"/>
    <cellStyle name="Comma 9 3 2 9 3" xfId="50634"/>
    <cellStyle name="Comma 9 3 3" xfId="3795"/>
    <cellStyle name="Comma 9 3 3 10" xfId="50635"/>
    <cellStyle name="Comma 9 3 3 2" xfId="3796"/>
    <cellStyle name="Comma 9 3 3 2 2" xfId="3797"/>
    <cellStyle name="Comma 9 3 3 2 2 2" xfId="50636"/>
    <cellStyle name="Comma 9 3 3 2 2 2 2" xfId="50637"/>
    <cellStyle name="Comma 9 3 3 2 2 2 3" xfId="50638"/>
    <cellStyle name="Comma 9 3 3 2 2 3" xfId="50639"/>
    <cellStyle name="Comma 9 3 3 2 2 3 2" xfId="50640"/>
    <cellStyle name="Comma 9 3 3 2 2 3 3" xfId="50641"/>
    <cellStyle name="Comma 9 3 3 2 2 4" xfId="50642"/>
    <cellStyle name="Comma 9 3 3 2 2 4 2" xfId="50643"/>
    <cellStyle name="Comma 9 3 3 2 2 5" xfId="50644"/>
    <cellStyle name="Comma 9 3 3 2 2 6" xfId="50645"/>
    <cellStyle name="Comma 9 3 3 2 3" xfId="50646"/>
    <cellStyle name="Comma 9 3 3 2 3 2" xfId="50647"/>
    <cellStyle name="Comma 9 3 3 2 3 2 2" xfId="50648"/>
    <cellStyle name="Comma 9 3 3 2 3 2 3" xfId="50649"/>
    <cellStyle name="Comma 9 3 3 2 3 3" xfId="50650"/>
    <cellStyle name="Comma 9 3 3 2 3 3 2" xfId="50651"/>
    <cellStyle name="Comma 9 3 3 2 3 3 3" xfId="50652"/>
    <cellStyle name="Comma 9 3 3 2 3 4" xfId="50653"/>
    <cellStyle name="Comma 9 3 3 2 3 4 2" xfId="50654"/>
    <cellStyle name="Comma 9 3 3 2 3 5" xfId="50655"/>
    <cellStyle name="Comma 9 3 3 2 3 6" xfId="50656"/>
    <cellStyle name="Comma 9 3 3 2 4" xfId="50657"/>
    <cellStyle name="Comma 9 3 3 2 4 2" xfId="50658"/>
    <cellStyle name="Comma 9 3 3 2 4 2 2" xfId="50659"/>
    <cellStyle name="Comma 9 3 3 2 4 2 3" xfId="50660"/>
    <cellStyle name="Comma 9 3 3 2 4 3" xfId="50661"/>
    <cellStyle name="Comma 9 3 3 2 4 3 2" xfId="50662"/>
    <cellStyle name="Comma 9 3 3 2 4 4" xfId="50663"/>
    <cellStyle name="Comma 9 3 3 2 4 5" xfId="50664"/>
    <cellStyle name="Comma 9 3 3 2 5" xfId="50665"/>
    <cellStyle name="Comma 9 3 3 2 5 2" xfId="50666"/>
    <cellStyle name="Comma 9 3 3 2 5 3" xfId="50667"/>
    <cellStyle name="Comma 9 3 3 2 6" xfId="50668"/>
    <cellStyle name="Comma 9 3 3 2 6 2" xfId="50669"/>
    <cellStyle name="Comma 9 3 3 2 6 3" xfId="50670"/>
    <cellStyle name="Comma 9 3 3 2 7" xfId="50671"/>
    <cellStyle name="Comma 9 3 3 2 7 2" xfId="50672"/>
    <cellStyle name="Comma 9 3 3 2 8" xfId="50673"/>
    <cellStyle name="Comma 9 3 3 2 9" xfId="50674"/>
    <cellStyle name="Comma 9 3 3 3" xfId="3798"/>
    <cellStyle name="Comma 9 3 3 3 2" xfId="50675"/>
    <cellStyle name="Comma 9 3 3 3 2 2" xfId="50676"/>
    <cellStyle name="Comma 9 3 3 3 2 3" xfId="50677"/>
    <cellStyle name="Comma 9 3 3 3 3" xfId="50678"/>
    <cellStyle name="Comma 9 3 3 3 3 2" xfId="50679"/>
    <cellStyle name="Comma 9 3 3 3 3 3" xfId="50680"/>
    <cellStyle name="Comma 9 3 3 3 4" xfId="50681"/>
    <cellStyle name="Comma 9 3 3 3 4 2" xfId="50682"/>
    <cellStyle name="Comma 9 3 3 3 5" xfId="50683"/>
    <cellStyle name="Comma 9 3 3 3 6" xfId="50684"/>
    <cellStyle name="Comma 9 3 3 4" xfId="50685"/>
    <cellStyle name="Comma 9 3 3 4 2" xfId="50686"/>
    <cellStyle name="Comma 9 3 3 4 2 2" xfId="50687"/>
    <cellStyle name="Comma 9 3 3 4 2 3" xfId="50688"/>
    <cellStyle name="Comma 9 3 3 4 3" xfId="50689"/>
    <cellStyle name="Comma 9 3 3 4 3 2" xfId="50690"/>
    <cellStyle name="Comma 9 3 3 4 3 3" xfId="50691"/>
    <cellStyle name="Comma 9 3 3 4 4" xfId="50692"/>
    <cellStyle name="Comma 9 3 3 4 4 2" xfId="50693"/>
    <cellStyle name="Comma 9 3 3 4 5" xfId="50694"/>
    <cellStyle name="Comma 9 3 3 4 6" xfId="50695"/>
    <cellStyle name="Comma 9 3 3 5" xfId="50696"/>
    <cellStyle name="Comma 9 3 3 5 2" xfId="50697"/>
    <cellStyle name="Comma 9 3 3 5 2 2" xfId="50698"/>
    <cellStyle name="Comma 9 3 3 5 2 3" xfId="50699"/>
    <cellStyle name="Comma 9 3 3 5 3" xfId="50700"/>
    <cellStyle name="Comma 9 3 3 5 3 2" xfId="50701"/>
    <cellStyle name="Comma 9 3 3 5 4" xfId="50702"/>
    <cellStyle name="Comma 9 3 3 5 5" xfId="50703"/>
    <cellStyle name="Comma 9 3 3 6" xfId="50704"/>
    <cellStyle name="Comma 9 3 3 6 2" xfId="50705"/>
    <cellStyle name="Comma 9 3 3 6 3" xfId="50706"/>
    <cellStyle name="Comma 9 3 3 7" xfId="50707"/>
    <cellStyle name="Comma 9 3 3 7 2" xfId="50708"/>
    <cellStyle name="Comma 9 3 3 7 3" xfId="50709"/>
    <cellStyle name="Comma 9 3 3 8" xfId="50710"/>
    <cellStyle name="Comma 9 3 3 8 2" xfId="50711"/>
    <cellStyle name="Comma 9 3 3 9" xfId="50712"/>
    <cellStyle name="Comma 9 3 4" xfId="3799"/>
    <cellStyle name="Comma 9 3 4 2" xfId="3800"/>
    <cellStyle name="Comma 9 3 4 2 2" xfId="50713"/>
    <cellStyle name="Comma 9 3 4 2 2 2" xfId="50714"/>
    <cellStyle name="Comma 9 3 4 2 2 3" xfId="50715"/>
    <cellStyle name="Comma 9 3 4 2 3" xfId="50716"/>
    <cellStyle name="Comma 9 3 4 2 3 2" xfId="50717"/>
    <cellStyle name="Comma 9 3 4 2 3 3" xfId="50718"/>
    <cellStyle name="Comma 9 3 4 2 4" xfId="50719"/>
    <cellStyle name="Comma 9 3 4 2 4 2" xfId="50720"/>
    <cellStyle name="Comma 9 3 4 2 5" xfId="50721"/>
    <cellStyle name="Comma 9 3 4 2 6" xfId="50722"/>
    <cellStyle name="Comma 9 3 4 3" xfId="50723"/>
    <cellStyle name="Comma 9 3 4 3 2" xfId="50724"/>
    <cellStyle name="Comma 9 3 4 3 2 2" xfId="50725"/>
    <cellStyle name="Comma 9 3 4 3 2 3" xfId="50726"/>
    <cellStyle name="Comma 9 3 4 3 3" xfId="50727"/>
    <cellStyle name="Comma 9 3 4 3 3 2" xfId="50728"/>
    <cellStyle name="Comma 9 3 4 3 3 3" xfId="50729"/>
    <cellStyle name="Comma 9 3 4 3 4" xfId="50730"/>
    <cellStyle name="Comma 9 3 4 3 4 2" xfId="50731"/>
    <cellStyle name="Comma 9 3 4 3 5" xfId="50732"/>
    <cellStyle name="Comma 9 3 4 3 6" xfId="50733"/>
    <cellStyle name="Comma 9 3 4 4" xfId="50734"/>
    <cellStyle name="Comma 9 3 4 4 2" xfId="50735"/>
    <cellStyle name="Comma 9 3 4 4 2 2" xfId="50736"/>
    <cellStyle name="Comma 9 3 4 4 2 3" xfId="50737"/>
    <cellStyle name="Comma 9 3 4 4 3" xfId="50738"/>
    <cellStyle name="Comma 9 3 4 4 3 2" xfId="50739"/>
    <cellStyle name="Comma 9 3 4 4 4" xfId="50740"/>
    <cellStyle name="Comma 9 3 4 4 5" xfId="50741"/>
    <cellStyle name="Comma 9 3 4 5" xfId="50742"/>
    <cellStyle name="Comma 9 3 4 5 2" xfId="50743"/>
    <cellStyle name="Comma 9 3 4 5 3" xfId="50744"/>
    <cellStyle name="Comma 9 3 4 6" xfId="50745"/>
    <cellStyle name="Comma 9 3 4 6 2" xfId="50746"/>
    <cellStyle name="Comma 9 3 4 6 3" xfId="50747"/>
    <cellStyle name="Comma 9 3 4 7" xfId="50748"/>
    <cellStyle name="Comma 9 3 4 7 2" xfId="50749"/>
    <cellStyle name="Comma 9 3 4 8" xfId="50750"/>
    <cellStyle name="Comma 9 3 4 9" xfId="50751"/>
    <cellStyle name="Comma 9 3 5" xfId="3801"/>
    <cellStyle name="Comma 9 3 5 2" xfId="50752"/>
    <cellStyle name="Comma 9 3 5 2 2" xfId="50753"/>
    <cellStyle name="Comma 9 3 5 2 2 2" xfId="50754"/>
    <cellStyle name="Comma 9 3 5 2 2 3" xfId="50755"/>
    <cellStyle name="Comma 9 3 5 2 3" xfId="50756"/>
    <cellStyle name="Comma 9 3 5 2 3 2" xfId="50757"/>
    <cellStyle name="Comma 9 3 5 2 3 3" xfId="50758"/>
    <cellStyle name="Comma 9 3 5 2 4" xfId="50759"/>
    <cellStyle name="Comma 9 3 5 2 4 2" xfId="50760"/>
    <cellStyle name="Comma 9 3 5 2 5" xfId="50761"/>
    <cellStyle name="Comma 9 3 5 2 6" xfId="50762"/>
    <cellStyle name="Comma 9 3 5 3" xfId="50763"/>
    <cellStyle name="Comma 9 3 5 3 2" xfId="50764"/>
    <cellStyle name="Comma 9 3 5 3 2 2" xfId="50765"/>
    <cellStyle name="Comma 9 3 5 3 2 3" xfId="50766"/>
    <cellStyle name="Comma 9 3 5 3 3" xfId="50767"/>
    <cellStyle name="Comma 9 3 5 3 3 2" xfId="50768"/>
    <cellStyle name="Comma 9 3 5 3 3 3" xfId="50769"/>
    <cellStyle name="Comma 9 3 5 3 4" xfId="50770"/>
    <cellStyle name="Comma 9 3 5 3 4 2" xfId="50771"/>
    <cellStyle name="Comma 9 3 5 3 5" xfId="50772"/>
    <cellStyle name="Comma 9 3 5 3 6" xfId="50773"/>
    <cellStyle name="Comma 9 3 5 4" xfId="50774"/>
    <cellStyle name="Comma 9 3 5 4 2" xfId="50775"/>
    <cellStyle name="Comma 9 3 5 4 2 2" xfId="50776"/>
    <cellStyle name="Comma 9 3 5 4 2 3" xfId="50777"/>
    <cellStyle name="Comma 9 3 5 4 3" xfId="50778"/>
    <cellStyle name="Comma 9 3 5 4 3 2" xfId="50779"/>
    <cellStyle name="Comma 9 3 5 4 4" xfId="50780"/>
    <cellStyle name="Comma 9 3 5 4 5" xfId="50781"/>
    <cellStyle name="Comma 9 3 5 5" xfId="50782"/>
    <cellStyle name="Comma 9 3 5 5 2" xfId="50783"/>
    <cellStyle name="Comma 9 3 5 5 3" xfId="50784"/>
    <cellStyle name="Comma 9 3 5 6" xfId="50785"/>
    <cellStyle name="Comma 9 3 5 6 2" xfId="50786"/>
    <cellStyle name="Comma 9 3 5 6 3" xfId="50787"/>
    <cellStyle name="Comma 9 3 5 7" xfId="50788"/>
    <cellStyle name="Comma 9 3 5 7 2" xfId="50789"/>
    <cellStyle name="Comma 9 3 5 8" xfId="50790"/>
    <cellStyle name="Comma 9 3 5 9" xfId="50791"/>
    <cellStyle name="Comma 9 3 6" xfId="50792"/>
    <cellStyle name="Comma 9 3 6 2" xfId="50793"/>
    <cellStyle name="Comma 9 3 6 2 2" xfId="50794"/>
    <cellStyle name="Comma 9 3 6 2 3" xfId="50795"/>
    <cellStyle name="Comma 9 3 6 3" xfId="50796"/>
    <cellStyle name="Comma 9 3 6 3 2" xfId="50797"/>
    <cellStyle name="Comma 9 3 6 3 3" xfId="50798"/>
    <cellStyle name="Comma 9 3 6 4" xfId="50799"/>
    <cellStyle name="Comma 9 3 6 4 2" xfId="50800"/>
    <cellStyle name="Comma 9 3 6 5" xfId="50801"/>
    <cellStyle name="Comma 9 3 6 6" xfId="50802"/>
    <cellStyle name="Comma 9 3 7" xfId="50803"/>
    <cellStyle name="Comma 9 3 7 2" xfId="50804"/>
    <cellStyle name="Comma 9 3 7 2 2" xfId="50805"/>
    <cellStyle name="Comma 9 3 7 2 3" xfId="50806"/>
    <cellStyle name="Comma 9 3 7 3" xfId="50807"/>
    <cellStyle name="Comma 9 3 7 3 2" xfId="50808"/>
    <cellStyle name="Comma 9 3 7 3 3" xfId="50809"/>
    <cellStyle name="Comma 9 3 7 4" xfId="50810"/>
    <cellStyle name="Comma 9 3 7 4 2" xfId="50811"/>
    <cellStyle name="Comma 9 3 7 5" xfId="50812"/>
    <cellStyle name="Comma 9 3 7 6" xfId="50813"/>
    <cellStyle name="Comma 9 3 8" xfId="50814"/>
    <cellStyle name="Comma 9 3 8 2" xfId="50815"/>
    <cellStyle name="Comma 9 3 8 2 2" xfId="50816"/>
    <cellStyle name="Comma 9 3 8 2 3" xfId="50817"/>
    <cellStyle name="Comma 9 3 8 3" xfId="50818"/>
    <cellStyle name="Comma 9 3 8 3 2" xfId="50819"/>
    <cellStyle name="Comma 9 3 8 4" xfId="50820"/>
    <cellStyle name="Comma 9 3 8 5" xfId="50821"/>
    <cellStyle name="Comma 9 3 9" xfId="50822"/>
    <cellStyle name="Comma 9 3 9 2" xfId="50823"/>
    <cellStyle name="Comma 9 3 9 3" xfId="50824"/>
    <cellStyle name="Comma 9 4" xfId="3802"/>
    <cellStyle name="Comma 9 4 10" xfId="50825"/>
    <cellStyle name="Comma 9 4 10 2" xfId="50826"/>
    <cellStyle name="Comma 9 4 11" xfId="50827"/>
    <cellStyle name="Comma 9 4 12" xfId="50828"/>
    <cellStyle name="Comma 9 4 2" xfId="3803"/>
    <cellStyle name="Comma 9 4 2 10" xfId="50829"/>
    <cellStyle name="Comma 9 4 2 2" xfId="3804"/>
    <cellStyle name="Comma 9 4 2 2 2" xfId="3805"/>
    <cellStyle name="Comma 9 4 2 2 2 2" xfId="50830"/>
    <cellStyle name="Comma 9 4 2 2 2 2 2" xfId="50831"/>
    <cellStyle name="Comma 9 4 2 2 2 2 3" xfId="50832"/>
    <cellStyle name="Comma 9 4 2 2 2 3" xfId="50833"/>
    <cellStyle name="Comma 9 4 2 2 2 3 2" xfId="50834"/>
    <cellStyle name="Comma 9 4 2 2 2 3 3" xfId="50835"/>
    <cellStyle name="Comma 9 4 2 2 2 4" xfId="50836"/>
    <cellStyle name="Comma 9 4 2 2 2 4 2" xfId="50837"/>
    <cellStyle name="Comma 9 4 2 2 2 5" xfId="50838"/>
    <cellStyle name="Comma 9 4 2 2 2 6" xfId="50839"/>
    <cellStyle name="Comma 9 4 2 2 3" xfId="50840"/>
    <cellStyle name="Comma 9 4 2 2 3 2" xfId="50841"/>
    <cellStyle name="Comma 9 4 2 2 3 2 2" xfId="50842"/>
    <cellStyle name="Comma 9 4 2 2 3 2 3" xfId="50843"/>
    <cellStyle name="Comma 9 4 2 2 3 3" xfId="50844"/>
    <cellStyle name="Comma 9 4 2 2 3 3 2" xfId="50845"/>
    <cellStyle name="Comma 9 4 2 2 3 3 3" xfId="50846"/>
    <cellStyle name="Comma 9 4 2 2 3 4" xfId="50847"/>
    <cellStyle name="Comma 9 4 2 2 3 4 2" xfId="50848"/>
    <cellStyle name="Comma 9 4 2 2 3 5" xfId="50849"/>
    <cellStyle name="Comma 9 4 2 2 3 6" xfId="50850"/>
    <cellStyle name="Comma 9 4 2 2 4" xfId="50851"/>
    <cellStyle name="Comma 9 4 2 2 4 2" xfId="50852"/>
    <cellStyle name="Comma 9 4 2 2 4 2 2" xfId="50853"/>
    <cellStyle name="Comma 9 4 2 2 4 2 3" xfId="50854"/>
    <cellStyle name="Comma 9 4 2 2 4 3" xfId="50855"/>
    <cellStyle name="Comma 9 4 2 2 4 3 2" xfId="50856"/>
    <cellStyle name="Comma 9 4 2 2 4 4" xfId="50857"/>
    <cellStyle name="Comma 9 4 2 2 4 5" xfId="50858"/>
    <cellStyle name="Comma 9 4 2 2 5" xfId="50859"/>
    <cellStyle name="Comma 9 4 2 2 5 2" xfId="50860"/>
    <cellStyle name="Comma 9 4 2 2 5 3" xfId="50861"/>
    <cellStyle name="Comma 9 4 2 2 6" xfId="50862"/>
    <cellStyle name="Comma 9 4 2 2 6 2" xfId="50863"/>
    <cellStyle name="Comma 9 4 2 2 6 3" xfId="50864"/>
    <cellStyle name="Comma 9 4 2 2 7" xfId="50865"/>
    <cellStyle name="Comma 9 4 2 2 7 2" xfId="50866"/>
    <cellStyle name="Comma 9 4 2 2 8" xfId="50867"/>
    <cellStyle name="Comma 9 4 2 2 9" xfId="50868"/>
    <cellStyle name="Comma 9 4 2 3" xfId="3806"/>
    <cellStyle name="Comma 9 4 2 3 2" xfId="50869"/>
    <cellStyle name="Comma 9 4 2 3 2 2" xfId="50870"/>
    <cellStyle name="Comma 9 4 2 3 2 3" xfId="50871"/>
    <cellStyle name="Comma 9 4 2 3 3" xfId="50872"/>
    <cellStyle name="Comma 9 4 2 3 3 2" xfId="50873"/>
    <cellStyle name="Comma 9 4 2 3 3 3" xfId="50874"/>
    <cellStyle name="Comma 9 4 2 3 4" xfId="50875"/>
    <cellStyle name="Comma 9 4 2 3 4 2" xfId="50876"/>
    <cellStyle name="Comma 9 4 2 3 5" xfId="50877"/>
    <cellStyle name="Comma 9 4 2 3 6" xfId="50878"/>
    <cellStyle name="Comma 9 4 2 4" xfId="50879"/>
    <cellStyle name="Comma 9 4 2 4 2" xfId="50880"/>
    <cellStyle name="Comma 9 4 2 4 2 2" xfId="50881"/>
    <cellStyle name="Comma 9 4 2 4 2 3" xfId="50882"/>
    <cellStyle name="Comma 9 4 2 4 3" xfId="50883"/>
    <cellStyle name="Comma 9 4 2 4 3 2" xfId="50884"/>
    <cellStyle name="Comma 9 4 2 4 3 3" xfId="50885"/>
    <cellStyle name="Comma 9 4 2 4 4" xfId="50886"/>
    <cellStyle name="Comma 9 4 2 4 4 2" xfId="50887"/>
    <cellStyle name="Comma 9 4 2 4 5" xfId="50888"/>
    <cellStyle name="Comma 9 4 2 4 6" xfId="50889"/>
    <cellStyle name="Comma 9 4 2 5" xfId="50890"/>
    <cellStyle name="Comma 9 4 2 5 2" xfId="50891"/>
    <cellStyle name="Comma 9 4 2 5 2 2" xfId="50892"/>
    <cellStyle name="Comma 9 4 2 5 2 3" xfId="50893"/>
    <cellStyle name="Comma 9 4 2 5 3" xfId="50894"/>
    <cellStyle name="Comma 9 4 2 5 3 2" xfId="50895"/>
    <cellStyle name="Comma 9 4 2 5 4" xfId="50896"/>
    <cellStyle name="Comma 9 4 2 5 5" xfId="50897"/>
    <cellStyle name="Comma 9 4 2 6" xfId="50898"/>
    <cellStyle name="Comma 9 4 2 6 2" xfId="50899"/>
    <cellStyle name="Comma 9 4 2 6 3" xfId="50900"/>
    <cellStyle name="Comma 9 4 2 7" xfId="50901"/>
    <cellStyle name="Comma 9 4 2 7 2" xfId="50902"/>
    <cellStyle name="Comma 9 4 2 7 3" xfId="50903"/>
    <cellStyle name="Comma 9 4 2 8" xfId="50904"/>
    <cellStyle name="Comma 9 4 2 8 2" xfId="50905"/>
    <cellStyle name="Comma 9 4 2 9" xfId="50906"/>
    <cellStyle name="Comma 9 4 3" xfId="3807"/>
    <cellStyle name="Comma 9 4 3 2" xfId="3808"/>
    <cellStyle name="Comma 9 4 3 2 2" xfId="50907"/>
    <cellStyle name="Comma 9 4 3 2 2 2" xfId="50908"/>
    <cellStyle name="Comma 9 4 3 2 2 3" xfId="50909"/>
    <cellStyle name="Comma 9 4 3 2 3" xfId="50910"/>
    <cellStyle name="Comma 9 4 3 2 3 2" xfId="50911"/>
    <cellStyle name="Comma 9 4 3 2 3 3" xfId="50912"/>
    <cellStyle name="Comma 9 4 3 2 4" xfId="50913"/>
    <cellStyle name="Comma 9 4 3 2 4 2" xfId="50914"/>
    <cellStyle name="Comma 9 4 3 2 5" xfId="50915"/>
    <cellStyle name="Comma 9 4 3 2 6" xfId="50916"/>
    <cellStyle name="Comma 9 4 3 3" xfId="50917"/>
    <cellStyle name="Comma 9 4 3 3 2" xfId="50918"/>
    <cellStyle name="Comma 9 4 3 3 2 2" xfId="50919"/>
    <cellStyle name="Comma 9 4 3 3 2 3" xfId="50920"/>
    <cellStyle name="Comma 9 4 3 3 3" xfId="50921"/>
    <cellStyle name="Comma 9 4 3 3 3 2" xfId="50922"/>
    <cellStyle name="Comma 9 4 3 3 3 3" xfId="50923"/>
    <cellStyle name="Comma 9 4 3 3 4" xfId="50924"/>
    <cellStyle name="Comma 9 4 3 3 4 2" xfId="50925"/>
    <cellStyle name="Comma 9 4 3 3 5" xfId="50926"/>
    <cellStyle name="Comma 9 4 3 3 6" xfId="50927"/>
    <cellStyle name="Comma 9 4 3 4" xfId="50928"/>
    <cellStyle name="Comma 9 4 3 4 2" xfId="50929"/>
    <cellStyle name="Comma 9 4 3 4 2 2" xfId="50930"/>
    <cellStyle name="Comma 9 4 3 4 2 3" xfId="50931"/>
    <cellStyle name="Comma 9 4 3 4 3" xfId="50932"/>
    <cellStyle name="Comma 9 4 3 4 3 2" xfId="50933"/>
    <cellStyle name="Comma 9 4 3 4 4" xfId="50934"/>
    <cellStyle name="Comma 9 4 3 4 5" xfId="50935"/>
    <cellStyle name="Comma 9 4 3 5" xfId="50936"/>
    <cellStyle name="Comma 9 4 3 5 2" xfId="50937"/>
    <cellStyle name="Comma 9 4 3 5 3" xfId="50938"/>
    <cellStyle name="Comma 9 4 3 6" xfId="50939"/>
    <cellStyle name="Comma 9 4 3 6 2" xfId="50940"/>
    <cellStyle name="Comma 9 4 3 6 3" xfId="50941"/>
    <cellStyle name="Comma 9 4 3 7" xfId="50942"/>
    <cellStyle name="Comma 9 4 3 7 2" xfId="50943"/>
    <cellStyle name="Comma 9 4 3 8" xfId="50944"/>
    <cellStyle name="Comma 9 4 3 9" xfId="50945"/>
    <cellStyle name="Comma 9 4 4" xfId="3809"/>
    <cellStyle name="Comma 9 4 4 2" xfId="50946"/>
    <cellStyle name="Comma 9 4 4 2 2" xfId="50947"/>
    <cellStyle name="Comma 9 4 4 2 2 2" xfId="50948"/>
    <cellStyle name="Comma 9 4 4 2 2 3" xfId="50949"/>
    <cellStyle name="Comma 9 4 4 2 3" xfId="50950"/>
    <cellStyle name="Comma 9 4 4 2 3 2" xfId="50951"/>
    <cellStyle name="Comma 9 4 4 2 3 3" xfId="50952"/>
    <cellStyle name="Comma 9 4 4 2 4" xfId="50953"/>
    <cellStyle name="Comma 9 4 4 2 4 2" xfId="50954"/>
    <cellStyle name="Comma 9 4 4 2 5" xfId="50955"/>
    <cellStyle name="Comma 9 4 4 2 6" xfId="50956"/>
    <cellStyle name="Comma 9 4 4 3" xfId="50957"/>
    <cellStyle name="Comma 9 4 4 3 2" xfId="50958"/>
    <cellStyle name="Comma 9 4 4 3 2 2" xfId="50959"/>
    <cellStyle name="Comma 9 4 4 3 2 3" xfId="50960"/>
    <cellStyle name="Comma 9 4 4 3 3" xfId="50961"/>
    <cellStyle name="Comma 9 4 4 3 3 2" xfId="50962"/>
    <cellStyle name="Comma 9 4 4 3 3 3" xfId="50963"/>
    <cellStyle name="Comma 9 4 4 3 4" xfId="50964"/>
    <cellStyle name="Comma 9 4 4 3 4 2" xfId="50965"/>
    <cellStyle name="Comma 9 4 4 3 5" xfId="50966"/>
    <cellStyle name="Comma 9 4 4 3 6" xfId="50967"/>
    <cellStyle name="Comma 9 4 4 4" xfId="50968"/>
    <cellStyle name="Comma 9 4 4 4 2" xfId="50969"/>
    <cellStyle name="Comma 9 4 4 4 2 2" xfId="50970"/>
    <cellStyle name="Comma 9 4 4 4 2 3" xfId="50971"/>
    <cellStyle name="Comma 9 4 4 4 3" xfId="50972"/>
    <cellStyle name="Comma 9 4 4 4 3 2" xfId="50973"/>
    <cellStyle name="Comma 9 4 4 4 4" xfId="50974"/>
    <cellStyle name="Comma 9 4 4 4 5" xfId="50975"/>
    <cellStyle name="Comma 9 4 4 5" xfId="50976"/>
    <cellStyle name="Comma 9 4 4 5 2" xfId="50977"/>
    <cellStyle name="Comma 9 4 4 5 3" xfId="50978"/>
    <cellStyle name="Comma 9 4 4 6" xfId="50979"/>
    <cellStyle name="Comma 9 4 4 6 2" xfId="50980"/>
    <cellStyle name="Comma 9 4 4 6 3" xfId="50981"/>
    <cellStyle name="Comma 9 4 4 7" xfId="50982"/>
    <cellStyle name="Comma 9 4 4 7 2" xfId="50983"/>
    <cellStyle name="Comma 9 4 4 8" xfId="50984"/>
    <cellStyle name="Comma 9 4 4 9" xfId="50985"/>
    <cellStyle name="Comma 9 4 5" xfId="50986"/>
    <cellStyle name="Comma 9 4 5 2" xfId="50987"/>
    <cellStyle name="Comma 9 4 5 2 2" xfId="50988"/>
    <cellStyle name="Comma 9 4 5 2 3" xfId="50989"/>
    <cellStyle name="Comma 9 4 5 3" xfId="50990"/>
    <cellStyle name="Comma 9 4 5 3 2" xfId="50991"/>
    <cellStyle name="Comma 9 4 5 3 3" xfId="50992"/>
    <cellStyle name="Comma 9 4 5 4" xfId="50993"/>
    <cellStyle name="Comma 9 4 5 4 2" xfId="50994"/>
    <cellStyle name="Comma 9 4 5 5" xfId="50995"/>
    <cellStyle name="Comma 9 4 5 6" xfId="50996"/>
    <cellStyle name="Comma 9 4 6" xfId="50997"/>
    <cellStyle name="Comma 9 4 6 2" xfId="50998"/>
    <cellStyle name="Comma 9 4 6 2 2" xfId="50999"/>
    <cellStyle name="Comma 9 4 6 2 3" xfId="51000"/>
    <cellStyle name="Comma 9 4 6 3" xfId="51001"/>
    <cellStyle name="Comma 9 4 6 3 2" xfId="51002"/>
    <cellStyle name="Comma 9 4 6 3 3" xfId="51003"/>
    <cellStyle name="Comma 9 4 6 4" xfId="51004"/>
    <cellStyle name="Comma 9 4 6 4 2" xfId="51005"/>
    <cellStyle name="Comma 9 4 6 5" xfId="51006"/>
    <cellStyle name="Comma 9 4 6 6" xfId="51007"/>
    <cellStyle name="Comma 9 4 7" xfId="51008"/>
    <cellStyle name="Comma 9 4 7 2" xfId="51009"/>
    <cellStyle name="Comma 9 4 7 2 2" xfId="51010"/>
    <cellStyle name="Comma 9 4 7 2 3" xfId="51011"/>
    <cellStyle name="Comma 9 4 7 3" xfId="51012"/>
    <cellStyle name="Comma 9 4 7 3 2" xfId="51013"/>
    <cellStyle name="Comma 9 4 7 4" xfId="51014"/>
    <cellStyle name="Comma 9 4 7 5" xfId="51015"/>
    <cellStyle name="Comma 9 4 8" xfId="51016"/>
    <cellStyle name="Comma 9 4 8 2" xfId="51017"/>
    <cellStyle name="Comma 9 4 8 3" xfId="51018"/>
    <cellStyle name="Comma 9 4 9" xfId="51019"/>
    <cellStyle name="Comma 9 4 9 2" xfId="51020"/>
    <cellStyle name="Comma 9 4 9 3" xfId="51021"/>
    <cellStyle name="Comma 9 5" xfId="3810"/>
    <cellStyle name="Comma 9 5 10" xfId="51022"/>
    <cellStyle name="Comma 9 5 2" xfId="3811"/>
    <cellStyle name="Comma 9 5 2 2" xfId="3812"/>
    <cellStyle name="Comma 9 5 2 2 2" xfId="51023"/>
    <cellStyle name="Comma 9 5 2 2 2 2" xfId="51024"/>
    <cellStyle name="Comma 9 5 2 2 2 3" xfId="51025"/>
    <cellStyle name="Comma 9 5 2 2 3" xfId="51026"/>
    <cellStyle name="Comma 9 5 2 2 3 2" xfId="51027"/>
    <cellStyle name="Comma 9 5 2 2 3 3" xfId="51028"/>
    <cellStyle name="Comma 9 5 2 2 4" xfId="51029"/>
    <cellStyle name="Comma 9 5 2 2 4 2" xfId="51030"/>
    <cellStyle name="Comma 9 5 2 2 5" xfId="51031"/>
    <cellStyle name="Comma 9 5 2 2 6" xfId="51032"/>
    <cellStyle name="Comma 9 5 2 3" xfId="51033"/>
    <cellStyle name="Comma 9 5 2 3 2" xfId="51034"/>
    <cellStyle name="Comma 9 5 2 3 2 2" xfId="51035"/>
    <cellStyle name="Comma 9 5 2 3 2 3" xfId="51036"/>
    <cellStyle name="Comma 9 5 2 3 3" xfId="51037"/>
    <cellStyle name="Comma 9 5 2 3 3 2" xfId="51038"/>
    <cellStyle name="Comma 9 5 2 3 3 3" xfId="51039"/>
    <cellStyle name="Comma 9 5 2 3 4" xfId="51040"/>
    <cellStyle name="Comma 9 5 2 3 4 2" xfId="51041"/>
    <cellStyle name="Comma 9 5 2 3 5" xfId="51042"/>
    <cellStyle name="Comma 9 5 2 3 6" xfId="51043"/>
    <cellStyle name="Comma 9 5 2 4" xfId="51044"/>
    <cellStyle name="Comma 9 5 2 4 2" xfId="51045"/>
    <cellStyle name="Comma 9 5 2 4 2 2" xfId="51046"/>
    <cellStyle name="Comma 9 5 2 4 2 3" xfId="51047"/>
    <cellStyle name="Comma 9 5 2 4 3" xfId="51048"/>
    <cellStyle name="Comma 9 5 2 4 3 2" xfId="51049"/>
    <cellStyle name="Comma 9 5 2 4 4" xfId="51050"/>
    <cellStyle name="Comma 9 5 2 4 5" xfId="51051"/>
    <cellStyle name="Comma 9 5 2 5" xfId="51052"/>
    <cellStyle name="Comma 9 5 2 5 2" xfId="51053"/>
    <cellStyle name="Comma 9 5 2 5 3" xfId="51054"/>
    <cellStyle name="Comma 9 5 2 6" xfId="51055"/>
    <cellStyle name="Comma 9 5 2 6 2" xfId="51056"/>
    <cellStyle name="Comma 9 5 2 6 3" xfId="51057"/>
    <cellStyle name="Comma 9 5 2 7" xfId="51058"/>
    <cellStyle name="Comma 9 5 2 7 2" xfId="51059"/>
    <cellStyle name="Comma 9 5 2 8" xfId="51060"/>
    <cellStyle name="Comma 9 5 2 9" xfId="51061"/>
    <cellStyle name="Comma 9 5 3" xfId="3813"/>
    <cellStyle name="Comma 9 5 3 2" xfId="51062"/>
    <cellStyle name="Comma 9 5 3 2 2" xfId="51063"/>
    <cellStyle name="Comma 9 5 3 2 3" xfId="51064"/>
    <cellStyle name="Comma 9 5 3 3" xfId="51065"/>
    <cellStyle name="Comma 9 5 3 3 2" xfId="51066"/>
    <cellStyle name="Comma 9 5 3 3 3" xfId="51067"/>
    <cellStyle name="Comma 9 5 3 4" xfId="51068"/>
    <cellStyle name="Comma 9 5 3 4 2" xfId="51069"/>
    <cellStyle name="Comma 9 5 3 5" xfId="51070"/>
    <cellStyle name="Comma 9 5 3 6" xfId="51071"/>
    <cellStyle name="Comma 9 5 4" xfId="51072"/>
    <cellStyle name="Comma 9 5 4 2" xfId="51073"/>
    <cellStyle name="Comma 9 5 4 2 2" xfId="51074"/>
    <cellStyle name="Comma 9 5 4 2 3" xfId="51075"/>
    <cellStyle name="Comma 9 5 4 3" xfId="51076"/>
    <cellStyle name="Comma 9 5 4 3 2" xfId="51077"/>
    <cellStyle name="Comma 9 5 4 3 3" xfId="51078"/>
    <cellStyle name="Comma 9 5 4 4" xfId="51079"/>
    <cellStyle name="Comma 9 5 4 4 2" xfId="51080"/>
    <cellStyle name="Comma 9 5 4 5" xfId="51081"/>
    <cellStyle name="Comma 9 5 4 6" xfId="51082"/>
    <cellStyle name="Comma 9 5 5" xfId="51083"/>
    <cellStyle name="Comma 9 5 5 2" xfId="51084"/>
    <cellStyle name="Comma 9 5 5 2 2" xfId="51085"/>
    <cellStyle name="Comma 9 5 5 2 3" xfId="51086"/>
    <cellStyle name="Comma 9 5 5 3" xfId="51087"/>
    <cellStyle name="Comma 9 5 5 3 2" xfId="51088"/>
    <cellStyle name="Comma 9 5 5 4" xfId="51089"/>
    <cellStyle name="Comma 9 5 5 5" xfId="51090"/>
    <cellStyle name="Comma 9 5 6" xfId="51091"/>
    <cellStyle name="Comma 9 5 6 2" xfId="51092"/>
    <cellStyle name="Comma 9 5 6 3" xfId="51093"/>
    <cellStyle name="Comma 9 5 7" xfId="51094"/>
    <cellStyle name="Comma 9 5 7 2" xfId="51095"/>
    <cellStyle name="Comma 9 5 7 3" xfId="51096"/>
    <cellStyle name="Comma 9 5 8" xfId="51097"/>
    <cellStyle name="Comma 9 5 8 2" xfId="51098"/>
    <cellStyle name="Comma 9 5 9" xfId="51099"/>
    <cellStyle name="Comma 9 6" xfId="3814"/>
    <cellStyle name="Comma 9 6 2" xfId="3815"/>
    <cellStyle name="Comma 9 6 2 2" xfId="51100"/>
    <cellStyle name="Comma 9 6 2 2 2" xfId="51101"/>
    <cellStyle name="Comma 9 6 2 2 3" xfId="51102"/>
    <cellStyle name="Comma 9 6 2 3" xfId="51103"/>
    <cellStyle name="Comma 9 6 2 3 2" xfId="51104"/>
    <cellStyle name="Comma 9 6 2 3 3" xfId="51105"/>
    <cellStyle name="Comma 9 6 2 4" xfId="51106"/>
    <cellStyle name="Comma 9 6 2 4 2" xfId="51107"/>
    <cellStyle name="Comma 9 6 2 5" xfId="51108"/>
    <cellStyle name="Comma 9 6 2 6" xfId="51109"/>
    <cellStyle name="Comma 9 6 3" xfId="51110"/>
    <cellStyle name="Comma 9 6 3 2" xfId="51111"/>
    <cellStyle name="Comma 9 6 3 2 2" xfId="51112"/>
    <cellStyle name="Comma 9 6 3 2 3" xfId="51113"/>
    <cellStyle name="Comma 9 6 3 3" xfId="51114"/>
    <cellStyle name="Comma 9 6 3 3 2" xfId="51115"/>
    <cellStyle name="Comma 9 6 3 3 3" xfId="51116"/>
    <cellStyle name="Comma 9 6 3 4" xfId="51117"/>
    <cellStyle name="Comma 9 6 3 4 2" xfId="51118"/>
    <cellStyle name="Comma 9 6 3 5" xfId="51119"/>
    <cellStyle name="Comma 9 6 3 6" xfId="51120"/>
    <cellStyle name="Comma 9 6 4" xfId="51121"/>
    <cellStyle name="Comma 9 6 4 2" xfId="51122"/>
    <cellStyle name="Comma 9 6 4 2 2" xfId="51123"/>
    <cellStyle name="Comma 9 6 4 2 3" xfId="51124"/>
    <cellStyle name="Comma 9 6 4 3" xfId="51125"/>
    <cellStyle name="Comma 9 6 4 3 2" xfId="51126"/>
    <cellStyle name="Comma 9 6 4 4" xfId="51127"/>
    <cellStyle name="Comma 9 6 4 5" xfId="51128"/>
    <cellStyle name="Comma 9 6 5" xfId="51129"/>
    <cellStyle name="Comma 9 6 5 2" xfId="51130"/>
    <cellStyle name="Comma 9 6 5 3" xfId="51131"/>
    <cellStyle name="Comma 9 6 6" xfId="51132"/>
    <cellStyle name="Comma 9 6 6 2" xfId="51133"/>
    <cellStyle name="Comma 9 6 6 3" xfId="51134"/>
    <cellStyle name="Comma 9 6 7" xfId="51135"/>
    <cellStyle name="Comma 9 6 7 2" xfId="51136"/>
    <cellStyle name="Comma 9 6 8" xfId="51137"/>
    <cellStyle name="Comma 9 6 9" xfId="51138"/>
    <cellStyle name="Comma 9 7" xfId="3816"/>
    <cellStyle name="Comma 9 7 2" xfId="51139"/>
    <cellStyle name="Comma 9 7 2 2" xfId="51140"/>
    <cellStyle name="Comma 9 7 2 2 2" xfId="51141"/>
    <cellStyle name="Comma 9 7 2 2 3" xfId="51142"/>
    <cellStyle name="Comma 9 7 2 3" xfId="51143"/>
    <cellStyle name="Comma 9 7 2 3 2" xfId="51144"/>
    <cellStyle name="Comma 9 7 2 3 3" xfId="51145"/>
    <cellStyle name="Comma 9 7 2 4" xfId="51146"/>
    <cellStyle name="Comma 9 7 2 4 2" xfId="51147"/>
    <cellStyle name="Comma 9 7 2 5" xfId="51148"/>
    <cellStyle name="Comma 9 7 2 6" xfId="51149"/>
    <cellStyle name="Comma 9 7 3" xfId="51150"/>
    <cellStyle name="Comma 9 7 3 2" xfId="51151"/>
    <cellStyle name="Comma 9 7 3 2 2" xfId="51152"/>
    <cellStyle name="Comma 9 7 3 2 3" xfId="51153"/>
    <cellStyle name="Comma 9 7 3 3" xfId="51154"/>
    <cellStyle name="Comma 9 7 3 3 2" xfId="51155"/>
    <cellStyle name="Comma 9 7 3 3 3" xfId="51156"/>
    <cellStyle name="Comma 9 7 3 4" xfId="51157"/>
    <cellStyle name="Comma 9 7 3 4 2" xfId="51158"/>
    <cellStyle name="Comma 9 7 3 5" xfId="51159"/>
    <cellStyle name="Comma 9 7 3 6" xfId="51160"/>
    <cellStyle name="Comma 9 7 4" xfId="51161"/>
    <cellStyle name="Comma 9 7 4 2" xfId="51162"/>
    <cellStyle name="Comma 9 7 4 2 2" xfId="51163"/>
    <cellStyle name="Comma 9 7 4 2 3" xfId="51164"/>
    <cellStyle name="Comma 9 7 4 3" xfId="51165"/>
    <cellStyle name="Comma 9 7 4 3 2" xfId="51166"/>
    <cellStyle name="Comma 9 7 4 4" xfId="51167"/>
    <cellStyle name="Comma 9 7 4 5" xfId="51168"/>
    <cellStyle name="Comma 9 7 5" xfId="51169"/>
    <cellStyle name="Comma 9 7 5 2" xfId="51170"/>
    <cellStyle name="Comma 9 7 5 3" xfId="51171"/>
    <cellStyle name="Comma 9 7 6" xfId="51172"/>
    <cellStyle name="Comma 9 7 6 2" xfId="51173"/>
    <cellStyle name="Comma 9 7 6 3" xfId="51174"/>
    <cellStyle name="Comma 9 7 7" xfId="51175"/>
    <cellStyle name="Comma 9 7 7 2" xfId="51176"/>
    <cellStyle name="Comma 9 7 8" xfId="51177"/>
    <cellStyle name="Comma 9 7 9" xfId="51178"/>
    <cellStyle name="Comma 9 8" xfId="3817"/>
    <cellStyle name="Comma 9 8 2" xfId="51179"/>
    <cellStyle name="Comma 9 8 2 2" xfId="51180"/>
    <cellStyle name="Comma 9 8 2 3" xfId="51181"/>
    <cellStyle name="Comma 9 8 3" xfId="51182"/>
    <cellStyle name="Comma 9 8 3 2" xfId="51183"/>
    <cellStyle name="Comma 9 8 3 3" xfId="51184"/>
    <cellStyle name="Comma 9 8 4" xfId="51185"/>
    <cellStyle name="Comma 9 8 4 2" xfId="51186"/>
    <cellStyle name="Comma 9 8 5" xfId="51187"/>
    <cellStyle name="Comma 9 8 6" xfId="51188"/>
    <cellStyle name="Comma 9 9" xfId="3818"/>
    <cellStyle name="Comma 9 9 2" xfId="51189"/>
    <cellStyle name="Comma 9 9 2 2" xfId="51190"/>
    <cellStyle name="Comma 9 9 2 3" xfId="51191"/>
    <cellStyle name="Comma 9 9 3" xfId="51192"/>
    <cellStyle name="Comma 9 9 3 2" xfId="51193"/>
    <cellStyle name="Comma 9 9 3 3" xfId="51194"/>
    <cellStyle name="Comma 9 9 4" xfId="51195"/>
    <cellStyle name="Comma 9 9 4 2" xfId="51196"/>
    <cellStyle name="Comma 9 9 5" xfId="51197"/>
    <cellStyle name="Comma 9 9 6" xfId="51198"/>
    <cellStyle name="Comma 90" xfId="9153"/>
    <cellStyle name="Comma 91" xfId="8725"/>
    <cellStyle name="Comma 92" xfId="8726"/>
    <cellStyle name="Comma 93" xfId="8727"/>
    <cellStyle name="Comma 94" xfId="8728"/>
    <cellStyle name="Comma 95" xfId="8729"/>
    <cellStyle name="Comma 96" xfId="8730"/>
    <cellStyle name="Comma 97" xfId="9373"/>
    <cellStyle name="Comma 98" xfId="8731"/>
    <cellStyle name="Comma 99" xfId="8732"/>
    <cellStyle name="Comma_KU COS Print File 2003q3" xfId="8672"/>
    <cellStyle name="Comma0" xfId="3819"/>
    <cellStyle name="Comma0 2" xfId="3820"/>
    <cellStyle name="Comma0 2 2" xfId="3821"/>
    <cellStyle name="Comma0 2 2 2" xfId="58876"/>
    <cellStyle name="Comma0 2 3" xfId="58877"/>
    <cellStyle name="Comma0 2 4" xfId="58878"/>
    <cellStyle name="Comma0 3" xfId="3822"/>
    <cellStyle name="Comma0 3 2" xfId="9613"/>
    <cellStyle name="Comma0 3 2 2" xfId="58879"/>
    <cellStyle name="Comma0 3 3" xfId="58880"/>
    <cellStyle name="Comma0 3 4" xfId="58881"/>
    <cellStyle name="Comma0 4" xfId="58882"/>
    <cellStyle name="Comma0_SCH11 Not Done" xfId="9614"/>
    <cellStyle name="Currency [0] 2" xfId="3823"/>
    <cellStyle name="Currency [0] 2 2" xfId="3824"/>
    <cellStyle name="Currency [0] 2 2 2" xfId="58883"/>
    <cellStyle name="Currency [0] 2 2 2 2" xfId="58884"/>
    <cellStyle name="Currency [0] 2 2 3" xfId="58885"/>
    <cellStyle name="Currency [0] 2 2 4" xfId="58886"/>
    <cellStyle name="Currency [0] 2 3" xfId="3825"/>
    <cellStyle name="Currency [0] 2 3 2" xfId="58887"/>
    <cellStyle name="Currency [0] 2 4" xfId="58888"/>
    <cellStyle name="Currency [0] 2 4 2" xfId="58889"/>
    <cellStyle name="Currency [0] 2 5" xfId="58890"/>
    <cellStyle name="Currency [0] 2 6" xfId="58891"/>
    <cellStyle name="Currency [0] 3" xfId="3826"/>
    <cellStyle name="Currency [0] 3 2" xfId="3827"/>
    <cellStyle name="Currency [0] 3 2 2" xfId="58892"/>
    <cellStyle name="Currency [0] 3 3" xfId="3828"/>
    <cellStyle name="Currency [0] 3 4" xfId="58893"/>
    <cellStyle name="Currency [0] 4" xfId="3829"/>
    <cellStyle name="Currency [0] 4 2" xfId="3830"/>
    <cellStyle name="Currency [0] 5" xfId="3831"/>
    <cellStyle name="Currency [0] 5 2" xfId="3832"/>
    <cellStyle name="Currency [0] 6" xfId="9154"/>
    <cellStyle name="Currency 10" xfId="3833"/>
    <cellStyle name="Currency 10 2" xfId="3834"/>
    <cellStyle name="Currency 10 2 2" xfId="58894"/>
    <cellStyle name="Currency 10 2 3" xfId="58895"/>
    <cellStyle name="Currency 10 3" xfId="58896"/>
    <cellStyle name="Currency 10 3 2" xfId="58897"/>
    <cellStyle name="Currency 10 4" xfId="58898"/>
    <cellStyle name="Currency 10 5" xfId="58899"/>
    <cellStyle name="Currency 10 6" xfId="58900"/>
    <cellStyle name="Currency 100" xfId="9615"/>
    <cellStyle name="Currency 101" xfId="9616"/>
    <cellStyle name="Currency 102" xfId="9617"/>
    <cellStyle name="Currency 103" xfId="9618"/>
    <cellStyle name="Currency 104" xfId="9619"/>
    <cellStyle name="Currency 105" xfId="9620"/>
    <cellStyle name="Currency 106" xfId="9621"/>
    <cellStyle name="Currency 107" xfId="9622"/>
    <cellStyle name="Currency 108" xfId="9623"/>
    <cellStyle name="Currency 109" xfId="9624"/>
    <cellStyle name="Currency 11" xfId="3835"/>
    <cellStyle name="Currency 11 2" xfId="3836"/>
    <cellStyle name="Currency 11 2 2" xfId="58901"/>
    <cellStyle name="Currency 11 3" xfId="3837"/>
    <cellStyle name="Currency 11 3 2" xfId="58902"/>
    <cellStyle name="Currency 11 4" xfId="58903"/>
    <cellStyle name="Currency 11 5" xfId="58904"/>
    <cellStyle name="Currency 110" xfId="9625"/>
    <cellStyle name="Currency 111" xfId="9626"/>
    <cellStyle name="Currency 112" xfId="9627"/>
    <cellStyle name="Currency 113" xfId="9628"/>
    <cellStyle name="Currency 114" xfId="9629"/>
    <cellStyle name="Currency 115" xfId="9630"/>
    <cellStyle name="Currency 116" xfId="9631"/>
    <cellStyle name="Currency 117" xfId="9632"/>
    <cellStyle name="Currency 118" xfId="9633"/>
    <cellStyle name="Currency 119" xfId="9634"/>
    <cellStyle name="Currency 12" xfId="3838"/>
    <cellStyle name="Currency 12 2" xfId="3839"/>
    <cellStyle name="Currency 12 2 2" xfId="58905"/>
    <cellStyle name="Currency 12 3" xfId="3840"/>
    <cellStyle name="Currency 12 3 2" xfId="58906"/>
    <cellStyle name="Currency 12 4" xfId="58907"/>
    <cellStyle name="Currency 12 5" xfId="58908"/>
    <cellStyle name="Currency 120" xfId="9635"/>
    <cellStyle name="Currency 120 2" xfId="9636"/>
    <cellStyle name="Currency 120 3" xfId="9637"/>
    <cellStyle name="Currency 121" xfId="9638"/>
    <cellStyle name="Currency 121 2" xfId="9639"/>
    <cellStyle name="Currency 121 3" xfId="9640"/>
    <cellStyle name="Currency 122" xfId="9641"/>
    <cellStyle name="Currency 122 2" xfId="58909"/>
    <cellStyle name="Currency 123" xfId="9642"/>
    <cellStyle name="Currency 123 2" xfId="58910"/>
    <cellStyle name="Currency 124" xfId="9643"/>
    <cellStyle name="Currency 124 2" xfId="58911"/>
    <cellStyle name="Currency 125" xfId="51199"/>
    <cellStyle name="Currency 126" xfId="58912"/>
    <cellStyle name="Currency 127" xfId="58913"/>
    <cellStyle name="Currency 128" xfId="58914"/>
    <cellStyle name="Currency 129" xfId="58915"/>
    <cellStyle name="Currency 13" xfId="3841"/>
    <cellStyle name="Currency 13 2" xfId="3842"/>
    <cellStyle name="Currency 13 2 2" xfId="58916"/>
    <cellStyle name="Currency 13 3" xfId="3843"/>
    <cellStyle name="Currency 13 3 2" xfId="58917"/>
    <cellStyle name="Currency 13 4" xfId="58918"/>
    <cellStyle name="Currency 13 5" xfId="58919"/>
    <cellStyle name="Currency 130" xfId="58920"/>
    <cellStyle name="Currency 131" xfId="58921"/>
    <cellStyle name="Currency 132" xfId="58922"/>
    <cellStyle name="Currency 133" xfId="58923"/>
    <cellStyle name="Currency 134" xfId="58924"/>
    <cellStyle name="Currency 135" xfId="58925"/>
    <cellStyle name="Currency 136" xfId="58926"/>
    <cellStyle name="Currency 136 2" xfId="58927"/>
    <cellStyle name="Currency 137" xfId="58928"/>
    <cellStyle name="Currency 138" xfId="58929"/>
    <cellStyle name="Currency 139" xfId="58930"/>
    <cellStyle name="Currency 14" xfId="3844"/>
    <cellStyle name="Currency 14 2" xfId="3845"/>
    <cellStyle name="Currency 14 2 2" xfId="58931"/>
    <cellStyle name="Currency 14 3" xfId="3846"/>
    <cellStyle name="Currency 14 3 2" xfId="58932"/>
    <cellStyle name="Currency 14 4" xfId="58933"/>
    <cellStyle name="Currency 14 5" xfId="58934"/>
    <cellStyle name="Currency 140" xfId="58935"/>
    <cellStyle name="Currency 141" xfId="58936"/>
    <cellStyle name="Currency 142" xfId="58937"/>
    <cellStyle name="Currency 143" xfId="58938"/>
    <cellStyle name="Currency 144" xfId="58939"/>
    <cellStyle name="Currency 145" xfId="58940"/>
    <cellStyle name="Currency 146" xfId="58941"/>
    <cellStyle name="Currency 147" xfId="58942"/>
    <cellStyle name="Currency 148" xfId="58943"/>
    <cellStyle name="Currency 149" xfId="58944"/>
    <cellStyle name="Currency 15" xfId="3847"/>
    <cellStyle name="Currency 15 2" xfId="3848"/>
    <cellStyle name="Currency 15 2 2" xfId="58945"/>
    <cellStyle name="Currency 15 3" xfId="58946"/>
    <cellStyle name="Currency 15 3 2" xfId="58947"/>
    <cellStyle name="Currency 15 4" xfId="58948"/>
    <cellStyle name="Currency 15 5" xfId="58949"/>
    <cellStyle name="Currency 150" xfId="58950"/>
    <cellStyle name="Currency 150 2" xfId="58951"/>
    <cellStyle name="Currency 151" xfId="58952"/>
    <cellStyle name="Currency 152" xfId="58953"/>
    <cellStyle name="Currency 153" xfId="58954"/>
    <cellStyle name="Currency 154" xfId="58955"/>
    <cellStyle name="Currency 155" xfId="58956"/>
    <cellStyle name="Currency 156" xfId="58957"/>
    <cellStyle name="Currency 157" xfId="58958"/>
    <cellStyle name="Currency 158" xfId="58959"/>
    <cellStyle name="Currency 159" xfId="58960"/>
    <cellStyle name="Currency 16" xfId="3849"/>
    <cellStyle name="Currency 16 2" xfId="3850"/>
    <cellStyle name="Currency 16 2 2" xfId="58961"/>
    <cellStyle name="Currency 16 3" xfId="58962"/>
    <cellStyle name="Currency 16 3 2" xfId="58963"/>
    <cellStyle name="Currency 16 4" xfId="58964"/>
    <cellStyle name="Currency 16 5" xfId="58965"/>
    <cellStyle name="Currency 160" xfId="58966"/>
    <cellStyle name="Currency 161" xfId="58967"/>
    <cellStyle name="Currency 162" xfId="58968"/>
    <cellStyle name="Currency 163" xfId="58969"/>
    <cellStyle name="Currency 164" xfId="58970"/>
    <cellStyle name="Currency 165" xfId="58971"/>
    <cellStyle name="Currency 166" xfId="58972"/>
    <cellStyle name="Currency 167" xfId="58973"/>
    <cellStyle name="Currency 168" xfId="58974"/>
    <cellStyle name="Currency 169" xfId="58975"/>
    <cellStyle name="Currency 17" xfId="3851"/>
    <cellStyle name="Currency 17 2" xfId="3852"/>
    <cellStyle name="Currency 17 2 2" xfId="58976"/>
    <cellStyle name="Currency 17 3" xfId="58977"/>
    <cellStyle name="Currency 17 3 2" xfId="58978"/>
    <cellStyle name="Currency 17 4" xfId="58979"/>
    <cellStyle name="Currency 17 5" xfId="58980"/>
    <cellStyle name="Currency 170" xfId="58981"/>
    <cellStyle name="Currency 171" xfId="58982"/>
    <cellStyle name="Currency 172" xfId="58983"/>
    <cellStyle name="Currency 173" xfId="58984"/>
    <cellStyle name="Currency 174" xfId="58985"/>
    <cellStyle name="Currency 175" xfId="58986"/>
    <cellStyle name="Currency 18" xfId="3853"/>
    <cellStyle name="Currency 18 2" xfId="3854"/>
    <cellStyle name="Currency 18 2 2" xfId="58987"/>
    <cellStyle name="Currency 18 3" xfId="58988"/>
    <cellStyle name="Currency 18 3 2" xfId="58989"/>
    <cellStyle name="Currency 18 4" xfId="58990"/>
    <cellStyle name="Currency 18 5" xfId="58991"/>
    <cellStyle name="Currency 19" xfId="3855"/>
    <cellStyle name="Currency 19 2" xfId="3856"/>
    <cellStyle name="Currency 19 2 2" xfId="58992"/>
    <cellStyle name="Currency 19 3" xfId="58993"/>
    <cellStyle name="Currency 19 3 2" xfId="58994"/>
    <cellStyle name="Currency 19 4" xfId="58995"/>
    <cellStyle name="Currency 19 5" xfId="58996"/>
    <cellStyle name="Currency 2" xfId="3"/>
    <cellStyle name="Currency 2 10" xfId="51200"/>
    <cellStyle name="Currency 2 10 2" xfId="51201"/>
    <cellStyle name="Currency 2 11" xfId="51202"/>
    <cellStyle name="Currency 2 2" xfId="3857"/>
    <cellStyle name="Currency 2 2 2" xfId="8400"/>
    <cellStyle name="Currency 2 2 2 2" xfId="9644"/>
    <cellStyle name="Currency 2 2 3" xfId="9645"/>
    <cellStyle name="Currency 2 2 3 2" xfId="51203"/>
    <cellStyle name="Currency 2 2 4" xfId="51204"/>
    <cellStyle name="Currency 2 2 4 2" xfId="51205"/>
    <cellStyle name="Currency 2 3" xfId="3858"/>
    <cellStyle name="Currency 2 3 2" xfId="9646"/>
    <cellStyle name="Currency 2 3 2 2" xfId="51206"/>
    <cellStyle name="Currency 2 3 3" xfId="51207"/>
    <cellStyle name="Currency 2 3 3 2" xfId="51208"/>
    <cellStyle name="Currency 2 4" xfId="9647"/>
    <cellStyle name="Currency 2 4 2" xfId="51209"/>
    <cellStyle name="Currency 2 4 2 2" xfId="51210"/>
    <cellStyle name="Currency 2 4 3" xfId="51211"/>
    <cellStyle name="Currency 2 5" xfId="51212"/>
    <cellStyle name="Currency 2 5 2" xfId="51213"/>
    <cellStyle name="Currency 2 6" xfId="51214"/>
    <cellStyle name="Currency 2 6 2" xfId="51215"/>
    <cellStyle name="Currency 2 7" xfId="51216"/>
    <cellStyle name="Currency 2 7 2" xfId="51217"/>
    <cellStyle name="Currency 2 8" xfId="51218"/>
    <cellStyle name="Currency 2 8 2" xfId="51219"/>
    <cellStyle name="Currency 2 9" xfId="51220"/>
    <cellStyle name="Currency 2 9 2" xfId="51221"/>
    <cellStyle name="Currency 20" xfId="3859"/>
    <cellStyle name="Currency 20 2" xfId="3860"/>
    <cellStyle name="Currency 20 2 2" xfId="58997"/>
    <cellStyle name="Currency 20 3" xfId="58998"/>
    <cellStyle name="Currency 20 3 2" xfId="58999"/>
    <cellStyle name="Currency 20 4" xfId="59000"/>
    <cellStyle name="Currency 20 5" xfId="59001"/>
    <cellStyle name="Currency 21" xfId="3861"/>
    <cellStyle name="Currency 21 2" xfId="3862"/>
    <cellStyle name="Currency 21 2 2" xfId="59002"/>
    <cellStyle name="Currency 21 3" xfId="59003"/>
    <cellStyle name="Currency 21 3 2" xfId="59004"/>
    <cellStyle name="Currency 21 4" xfId="59005"/>
    <cellStyle name="Currency 21 5" xfId="59006"/>
    <cellStyle name="Currency 22" xfId="3863"/>
    <cellStyle name="Currency 22 2" xfId="3864"/>
    <cellStyle name="Currency 22 2 2" xfId="59007"/>
    <cellStyle name="Currency 22 3" xfId="59008"/>
    <cellStyle name="Currency 22 3 2" xfId="59009"/>
    <cellStyle name="Currency 22 4" xfId="59010"/>
    <cellStyle name="Currency 22 5" xfId="59011"/>
    <cellStyle name="Currency 23" xfId="3865"/>
    <cellStyle name="Currency 23 2" xfId="3866"/>
    <cellStyle name="Currency 23 2 2" xfId="59012"/>
    <cellStyle name="Currency 23 3" xfId="59013"/>
    <cellStyle name="Currency 23 3 2" xfId="59014"/>
    <cellStyle name="Currency 23 4" xfId="59015"/>
    <cellStyle name="Currency 23 5" xfId="59016"/>
    <cellStyle name="Currency 24" xfId="3867"/>
    <cellStyle name="Currency 24 2" xfId="3868"/>
    <cellStyle name="Currency 24 2 2" xfId="59017"/>
    <cellStyle name="Currency 24 3" xfId="59018"/>
    <cellStyle name="Currency 24 3 2" xfId="59019"/>
    <cellStyle name="Currency 24 4" xfId="59020"/>
    <cellStyle name="Currency 24 5" xfId="59021"/>
    <cellStyle name="Currency 25" xfId="3869"/>
    <cellStyle name="Currency 25 2" xfId="3870"/>
    <cellStyle name="Currency 25 2 2" xfId="59022"/>
    <cellStyle name="Currency 25 3" xfId="59023"/>
    <cellStyle name="Currency 25 3 2" xfId="59024"/>
    <cellStyle name="Currency 25 4" xfId="59025"/>
    <cellStyle name="Currency 25 5" xfId="59026"/>
    <cellStyle name="Currency 26" xfId="3871"/>
    <cellStyle name="Currency 26 2" xfId="3872"/>
    <cellStyle name="Currency 26 2 2" xfId="59027"/>
    <cellStyle name="Currency 26 3" xfId="59028"/>
    <cellStyle name="Currency 26 3 2" xfId="59029"/>
    <cellStyle name="Currency 26 4" xfId="59030"/>
    <cellStyle name="Currency 26 5" xfId="59031"/>
    <cellStyle name="Currency 27" xfId="3873"/>
    <cellStyle name="Currency 27 2" xfId="3874"/>
    <cellStyle name="Currency 27 2 2" xfId="59032"/>
    <cellStyle name="Currency 27 2 2 2" xfId="59033"/>
    <cellStyle name="Currency 27 2 3" xfId="59034"/>
    <cellStyle name="Currency 27 2 4" xfId="59035"/>
    <cellStyle name="Currency 27 3" xfId="3875"/>
    <cellStyle name="Currency 27 3 2" xfId="59036"/>
    <cellStyle name="Currency 27 4" xfId="59037"/>
    <cellStyle name="Currency 27 4 2" xfId="59038"/>
    <cellStyle name="Currency 27 5" xfId="59039"/>
    <cellStyle name="Currency 27 6" xfId="59040"/>
    <cellStyle name="Currency 28" xfId="3876"/>
    <cellStyle name="Currency 28 2" xfId="3877"/>
    <cellStyle name="Currency 28 2 2" xfId="59041"/>
    <cellStyle name="Currency 28 3" xfId="59042"/>
    <cellStyle name="Currency 28 3 2" xfId="59043"/>
    <cellStyle name="Currency 28 4" xfId="59044"/>
    <cellStyle name="Currency 28 5" xfId="59045"/>
    <cellStyle name="Currency 29" xfId="3878"/>
    <cellStyle name="Currency 29 2" xfId="3879"/>
    <cellStyle name="Currency 29 2 2" xfId="59046"/>
    <cellStyle name="Currency 29 3" xfId="59047"/>
    <cellStyle name="Currency 29 3 2" xfId="59048"/>
    <cellStyle name="Currency 29 4" xfId="59049"/>
    <cellStyle name="Currency 29 5" xfId="59050"/>
    <cellStyle name="Currency 3" xfId="3880"/>
    <cellStyle name="Currency 3 2" xfId="3881"/>
    <cellStyle name="Currency 3 2 2" xfId="3882"/>
    <cellStyle name="Currency 3 2 2 2" xfId="9155"/>
    <cellStyle name="Currency 3 2 2 2 2" xfId="59051"/>
    <cellStyle name="Currency 3 2 2 3" xfId="9156"/>
    <cellStyle name="Currency 3 2 2 3 2" xfId="59052"/>
    <cellStyle name="Currency 3 2 2 4" xfId="59053"/>
    <cellStyle name="Currency 3 2 2 5" xfId="59054"/>
    <cellStyle name="Currency 3 2 2 6" xfId="59055"/>
    <cellStyle name="Currency 3 2 3" xfId="9157"/>
    <cellStyle name="Currency 3 2 3 2" xfId="59056"/>
    <cellStyle name="Currency 3 2 3 3" xfId="59057"/>
    <cellStyle name="Currency 3 2 3 4" xfId="59058"/>
    <cellStyle name="Currency 3 2 4" xfId="9158"/>
    <cellStyle name="Currency 3 2 5" xfId="59059"/>
    <cellStyle name="Currency 3 3" xfId="3883"/>
    <cellStyle name="Currency 3 3 2" xfId="9159"/>
    <cellStyle name="Currency 3 3 2 2" xfId="59060"/>
    <cellStyle name="Currency 3 3 3" xfId="9160"/>
    <cellStyle name="Currency 3 3 3 2" xfId="59061"/>
    <cellStyle name="Currency 3 3 4" xfId="59062"/>
    <cellStyle name="Currency 3 3 5" xfId="59063"/>
    <cellStyle name="Currency 3 4" xfId="3884"/>
    <cellStyle name="Currency 3 4 2" xfId="9161"/>
    <cellStyle name="Currency 3 4 3" xfId="59064"/>
    <cellStyle name="Currency 3 4 3 2" xfId="59065"/>
    <cellStyle name="Currency 3 4 4" xfId="59066"/>
    <cellStyle name="Currency 3 4 5" xfId="59067"/>
    <cellStyle name="Currency 3 5" xfId="9162"/>
    <cellStyle name="Currency 3 6" xfId="51222"/>
    <cellStyle name="Currency 30" xfId="3885"/>
    <cellStyle name="Currency 30 2" xfId="3886"/>
    <cellStyle name="Currency 30 2 2" xfId="59068"/>
    <cellStyle name="Currency 30 3" xfId="59069"/>
    <cellStyle name="Currency 30 3 2" xfId="59070"/>
    <cellStyle name="Currency 30 4" xfId="59071"/>
    <cellStyle name="Currency 30 5" xfId="59072"/>
    <cellStyle name="Currency 31" xfId="3887"/>
    <cellStyle name="Currency 31 2" xfId="3888"/>
    <cellStyle name="Currency 31 2 2" xfId="59073"/>
    <cellStyle name="Currency 31 3" xfId="59074"/>
    <cellStyle name="Currency 31 3 2" xfId="59075"/>
    <cellStyle name="Currency 31 4" xfId="59076"/>
    <cellStyle name="Currency 31 5" xfId="59077"/>
    <cellStyle name="Currency 32" xfId="3889"/>
    <cellStyle name="Currency 32 2" xfId="3890"/>
    <cellStyle name="Currency 32 2 2" xfId="59078"/>
    <cellStyle name="Currency 32 3" xfId="59079"/>
    <cellStyle name="Currency 32 3 2" xfId="59080"/>
    <cellStyle name="Currency 32 4" xfId="59081"/>
    <cellStyle name="Currency 32 5" xfId="59082"/>
    <cellStyle name="Currency 33" xfId="3891"/>
    <cellStyle name="Currency 34" xfId="3892"/>
    <cellStyle name="Currency 35" xfId="3893"/>
    <cellStyle name="Currency 36" xfId="3894"/>
    <cellStyle name="Currency 37" xfId="3895"/>
    <cellStyle name="Currency 38" xfId="3896"/>
    <cellStyle name="Currency 39" xfId="3897"/>
    <cellStyle name="Currency 4" xfId="3898"/>
    <cellStyle name="Currency 4 10" xfId="51223"/>
    <cellStyle name="Currency 4 10 2" xfId="51224"/>
    <cellStyle name="Currency 4 10 2 2" xfId="51225"/>
    <cellStyle name="Currency 4 10 2 3" xfId="51226"/>
    <cellStyle name="Currency 4 10 3" xfId="51227"/>
    <cellStyle name="Currency 4 10 3 2" xfId="51228"/>
    <cellStyle name="Currency 4 10 4" xfId="51229"/>
    <cellStyle name="Currency 4 10 5" xfId="51230"/>
    <cellStyle name="Currency 4 11" xfId="51231"/>
    <cellStyle name="Currency 4 11 2" xfId="51232"/>
    <cellStyle name="Currency 4 11 3" xfId="51233"/>
    <cellStyle name="Currency 4 12" xfId="51234"/>
    <cellStyle name="Currency 4 12 2" xfId="51235"/>
    <cellStyle name="Currency 4 12 3" xfId="51236"/>
    <cellStyle name="Currency 4 13" xfId="51237"/>
    <cellStyle name="Currency 4 13 2" xfId="51238"/>
    <cellStyle name="Currency 4 14" xfId="51239"/>
    <cellStyle name="Currency 4 15" xfId="51240"/>
    <cellStyle name="Currency 4 16" xfId="51241"/>
    <cellStyle name="Currency 4 2" xfId="3899"/>
    <cellStyle name="Currency 4 2 10" xfId="51242"/>
    <cellStyle name="Currency 4 2 10 2" xfId="51243"/>
    <cellStyle name="Currency 4 2 10 3" xfId="51244"/>
    <cellStyle name="Currency 4 2 11" xfId="51245"/>
    <cellStyle name="Currency 4 2 11 2" xfId="51246"/>
    <cellStyle name="Currency 4 2 11 3" xfId="51247"/>
    <cellStyle name="Currency 4 2 12" xfId="51248"/>
    <cellStyle name="Currency 4 2 12 2" xfId="51249"/>
    <cellStyle name="Currency 4 2 13" xfId="51250"/>
    <cellStyle name="Currency 4 2 14" xfId="51251"/>
    <cellStyle name="Currency 4 2 15" xfId="51252"/>
    <cellStyle name="Currency 4 2 2" xfId="3900"/>
    <cellStyle name="Currency 4 2 2 10" xfId="51253"/>
    <cellStyle name="Currency 4 2 2 10 2" xfId="51254"/>
    <cellStyle name="Currency 4 2 2 10 3" xfId="51255"/>
    <cellStyle name="Currency 4 2 2 11" xfId="51256"/>
    <cellStyle name="Currency 4 2 2 11 2" xfId="51257"/>
    <cellStyle name="Currency 4 2 2 12" xfId="51258"/>
    <cellStyle name="Currency 4 2 2 13" xfId="51259"/>
    <cellStyle name="Currency 4 2 2 2" xfId="9163"/>
    <cellStyle name="Currency 4 2 2 2 10" xfId="51260"/>
    <cellStyle name="Currency 4 2 2 2 10 2" xfId="51261"/>
    <cellStyle name="Currency 4 2 2 2 11" xfId="51262"/>
    <cellStyle name="Currency 4 2 2 2 12" xfId="51263"/>
    <cellStyle name="Currency 4 2 2 2 2" xfId="51264"/>
    <cellStyle name="Currency 4 2 2 2 2 10" xfId="51265"/>
    <cellStyle name="Currency 4 2 2 2 2 2" xfId="51266"/>
    <cellStyle name="Currency 4 2 2 2 2 2 2" xfId="51267"/>
    <cellStyle name="Currency 4 2 2 2 2 2 2 2" xfId="51268"/>
    <cellStyle name="Currency 4 2 2 2 2 2 2 2 2" xfId="51269"/>
    <cellStyle name="Currency 4 2 2 2 2 2 2 2 3" xfId="51270"/>
    <cellStyle name="Currency 4 2 2 2 2 2 2 3" xfId="51271"/>
    <cellStyle name="Currency 4 2 2 2 2 2 2 3 2" xfId="51272"/>
    <cellStyle name="Currency 4 2 2 2 2 2 2 3 3" xfId="51273"/>
    <cellStyle name="Currency 4 2 2 2 2 2 2 4" xfId="51274"/>
    <cellStyle name="Currency 4 2 2 2 2 2 2 4 2" xfId="51275"/>
    <cellStyle name="Currency 4 2 2 2 2 2 2 5" xfId="51276"/>
    <cellStyle name="Currency 4 2 2 2 2 2 2 6" xfId="51277"/>
    <cellStyle name="Currency 4 2 2 2 2 2 3" xfId="51278"/>
    <cellStyle name="Currency 4 2 2 2 2 2 3 2" xfId="51279"/>
    <cellStyle name="Currency 4 2 2 2 2 2 3 2 2" xfId="51280"/>
    <cellStyle name="Currency 4 2 2 2 2 2 3 2 3" xfId="51281"/>
    <cellStyle name="Currency 4 2 2 2 2 2 3 3" xfId="51282"/>
    <cellStyle name="Currency 4 2 2 2 2 2 3 3 2" xfId="51283"/>
    <cellStyle name="Currency 4 2 2 2 2 2 3 3 3" xfId="51284"/>
    <cellStyle name="Currency 4 2 2 2 2 2 3 4" xfId="51285"/>
    <cellStyle name="Currency 4 2 2 2 2 2 3 4 2" xfId="51286"/>
    <cellStyle name="Currency 4 2 2 2 2 2 3 5" xfId="51287"/>
    <cellStyle name="Currency 4 2 2 2 2 2 3 6" xfId="51288"/>
    <cellStyle name="Currency 4 2 2 2 2 2 4" xfId="51289"/>
    <cellStyle name="Currency 4 2 2 2 2 2 4 2" xfId="51290"/>
    <cellStyle name="Currency 4 2 2 2 2 2 4 2 2" xfId="51291"/>
    <cellStyle name="Currency 4 2 2 2 2 2 4 2 3" xfId="51292"/>
    <cellStyle name="Currency 4 2 2 2 2 2 4 3" xfId="51293"/>
    <cellStyle name="Currency 4 2 2 2 2 2 4 3 2" xfId="51294"/>
    <cellStyle name="Currency 4 2 2 2 2 2 4 4" xfId="51295"/>
    <cellStyle name="Currency 4 2 2 2 2 2 4 5" xfId="51296"/>
    <cellStyle name="Currency 4 2 2 2 2 2 5" xfId="51297"/>
    <cellStyle name="Currency 4 2 2 2 2 2 5 2" xfId="51298"/>
    <cellStyle name="Currency 4 2 2 2 2 2 5 3" xfId="51299"/>
    <cellStyle name="Currency 4 2 2 2 2 2 6" xfId="51300"/>
    <cellStyle name="Currency 4 2 2 2 2 2 6 2" xfId="51301"/>
    <cellStyle name="Currency 4 2 2 2 2 2 6 3" xfId="51302"/>
    <cellStyle name="Currency 4 2 2 2 2 2 7" xfId="51303"/>
    <cellStyle name="Currency 4 2 2 2 2 2 7 2" xfId="51304"/>
    <cellStyle name="Currency 4 2 2 2 2 2 8" xfId="51305"/>
    <cellStyle name="Currency 4 2 2 2 2 2 9" xfId="51306"/>
    <cellStyle name="Currency 4 2 2 2 2 3" xfId="51307"/>
    <cellStyle name="Currency 4 2 2 2 2 3 2" xfId="51308"/>
    <cellStyle name="Currency 4 2 2 2 2 3 2 2" xfId="51309"/>
    <cellStyle name="Currency 4 2 2 2 2 3 2 3" xfId="51310"/>
    <cellStyle name="Currency 4 2 2 2 2 3 3" xfId="51311"/>
    <cellStyle name="Currency 4 2 2 2 2 3 3 2" xfId="51312"/>
    <cellStyle name="Currency 4 2 2 2 2 3 3 3" xfId="51313"/>
    <cellStyle name="Currency 4 2 2 2 2 3 4" xfId="51314"/>
    <cellStyle name="Currency 4 2 2 2 2 3 4 2" xfId="51315"/>
    <cellStyle name="Currency 4 2 2 2 2 3 5" xfId="51316"/>
    <cellStyle name="Currency 4 2 2 2 2 3 6" xfId="51317"/>
    <cellStyle name="Currency 4 2 2 2 2 4" xfId="51318"/>
    <cellStyle name="Currency 4 2 2 2 2 4 2" xfId="51319"/>
    <cellStyle name="Currency 4 2 2 2 2 4 2 2" xfId="51320"/>
    <cellStyle name="Currency 4 2 2 2 2 4 2 3" xfId="51321"/>
    <cellStyle name="Currency 4 2 2 2 2 4 3" xfId="51322"/>
    <cellStyle name="Currency 4 2 2 2 2 4 3 2" xfId="51323"/>
    <cellStyle name="Currency 4 2 2 2 2 4 3 3" xfId="51324"/>
    <cellStyle name="Currency 4 2 2 2 2 4 4" xfId="51325"/>
    <cellStyle name="Currency 4 2 2 2 2 4 4 2" xfId="51326"/>
    <cellStyle name="Currency 4 2 2 2 2 4 5" xfId="51327"/>
    <cellStyle name="Currency 4 2 2 2 2 4 6" xfId="51328"/>
    <cellStyle name="Currency 4 2 2 2 2 5" xfId="51329"/>
    <cellStyle name="Currency 4 2 2 2 2 5 2" xfId="51330"/>
    <cellStyle name="Currency 4 2 2 2 2 5 2 2" xfId="51331"/>
    <cellStyle name="Currency 4 2 2 2 2 5 2 3" xfId="51332"/>
    <cellStyle name="Currency 4 2 2 2 2 5 3" xfId="51333"/>
    <cellStyle name="Currency 4 2 2 2 2 5 3 2" xfId="51334"/>
    <cellStyle name="Currency 4 2 2 2 2 5 4" xfId="51335"/>
    <cellStyle name="Currency 4 2 2 2 2 5 5" xfId="51336"/>
    <cellStyle name="Currency 4 2 2 2 2 6" xfId="51337"/>
    <cellStyle name="Currency 4 2 2 2 2 6 2" xfId="51338"/>
    <cellStyle name="Currency 4 2 2 2 2 6 3" xfId="51339"/>
    <cellStyle name="Currency 4 2 2 2 2 7" xfId="51340"/>
    <cellStyle name="Currency 4 2 2 2 2 7 2" xfId="51341"/>
    <cellStyle name="Currency 4 2 2 2 2 7 3" xfId="51342"/>
    <cellStyle name="Currency 4 2 2 2 2 8" xfId="51343"/>
    <cellStyle name="Currency 4 2 2 2 2 8 2" xfId="51344"/>
    <cellStyle name="Currency 4 2 2 2 2 9" xfId="51345"/>
    <cellStyle name="Currency 4 2 2 2 3" xfId="51346"/>
    <cellStyle name="Currency 4 2 2 2 3 2" xfId="51347"/>
    <cellStyle name="Currency 4 2 2 2 3 2 2" xfId="51348"/>
    <cellStyle name="Currency 4 2 2 2 3 2 2 2" xfId="51349"/>
    <cellStyle name="Currency 4 2 2 2 3 2 2 3" xfId="51350"/>
    <cellStyle name="Currency 4 2 2 2 3 2 3" xfId="51351"/>
    <cellStyle name="Currency 4 2 2 2 3 2 3 2" xfId="51352"/>
    <cellStyle name="Currency 4 2 2 2 3 2 3 3" xfId="51353"/>
    <cellStyle name="Currency 4 2 2 2 3 2 4" xfId="51354"/>
    <cellStyle name="Currency 4 2 2 2 3 2 4 2" xfId="51355"/>
    <cellStyle name="Currency 4 2 2 2 3 2 5" xfId="51356"/>
    <cellStyle name="Currency 4 2 2 2 3 2 6" xfId="51357"/>
    <cellStyle name="Currency 4 2 2 2 3 3" xfId="51358"/>
    <cellStyle name="Currency 4 2 2 2 3 3 2" xfId="51359"/>
    <cellStyle name="Currency 4 2 2 2 3 3 2 2" xfId="51360"/>
    <cellStyle name="Currency 4 2 2 2 3 3 2 3" xfId="51361"/>
    <cellStyle name="Currency 4 2 2 2 3 3 3" xfId="51362"/>
    <cellStyle name="Currency 4 2 2 2 3 3 3 2" xfId="51363"/>
    <cellStyle name="Currency 4 2 2 2 3 3 3 3" xfId="51364"/>
    <cellStyle name="Currency 4 2 2 2 3 3 4" xfId="51365"/>
    <cellStyle name="Currency 4 2 2 2 3 3 4 2" xfId="51366"/>
    <cellStyle name="Currency 4 2 2 2 3 3 5" xfId="51367"/>
    <cellStyle name="Currency 4 2 2 2 3 3 6" xfId="51368"/>
    <cellStyle name="Currency 4 2 2 2 3 4" xfId="51369"/>
    <cellStyle name="Currency 4 2 2 2 3 4 2" xfId="51370"/>
    <cellStyle name="Currency 4 2 2 2 3 4 2 2" xfId="51371"/>
    <cellStyle name="Currency 4 2 2 2 3 4 2 3" xfId="51372"/>
    <cellStyle name="Currency 4 2 2 2 3 4 3" xfId="51373"/>
    <cellStyle name="Currency 4 2 2 2 3 4 3 2" xfId="51374"/>
    <cellStyle name="Currency 4 2 2 2 3 4 4" xfId="51375"/>
    <cellStyle name="Currency 4 2 2 2 3 4 5" xfId="51376"/>
    <cellStyle name="Currency 4 2 2 2 3 5" xfId="51377"/>
    <cellStyle name="Currency 4 2 2 2 3 5 2" xfId="51378"/>
    <cellStyle name="Currency 4 2 2 2 3 5 3" xfId="51379"/>
    <cellStyle name="Currency 4 2 2 2 3 6" xfId="51380"/>
    <cellStyle name="Currency 4 2 2 2 3 6 2" xfId="51381"/>
    <cellStyle name="Currency 4 2 2 2 3 6 3" xfId="51382"/>
    <cellStyle name="Currency 4 2 2 2 3 7" xfId="51383"/>
    <cellStyle name="Currency 4 2 2 2 3 7 2" xfId="51384"/>
    <cellStyle name="Currency 4 2 2 2 3 8" xfId="51385"/>
    <cellStyle name="Currency 4 2 2 2 3 9" xfId="51386"/>
    <cellStyle name="Currency 4 2 2 2 4" xfId="51387"/>
    <cellStyle name="Currency 4 2 2 2 4 2" xfId="51388"/>
    <cellStyle name="Currency 4 2 2 2 4 2 2" xfId="51389"/>
    <cellStyle name="Currency 4 2 2 2 4 2 2 2" xfId="51390"/>
    <cellStyle name="Currency 4 2 2 2 4 2 2 3" xfId="51391"/>
    <cellStyle name="Currency 4 2 2 2 4 2 3" xfId="51392"/>
    <cellStyle name="Currency 4 2 2 2 4 2 3 2" xfId="51393"/>
    <cellStyle name="Currency 4 2 2 2 4 2 3 3" xfId="51394"/>
    <cellStyle name="Currency 4 2 2 2 4 2 4" xfId="51395"/>
    <cellStyle name="Currency 4 2 2 2 4 2 4 2" xfId="51396"/>
    <cellStyle name="Currency 4 2 2 2 4 2 5" xfId="51397"/>
    <cellStyle name="Currency 4 2 2 2 4 2 6" xfId="51398"/>
    <cellStyle name="Currency 4 2 2 2 4 3" xfId="51399"/>
    <cellStyle name="Currency 4 2 2 2 4 3 2" xfId="51400"/>
    <cellStyle name="Currency 4 2 2 2 4 3 2 2" xfId="51401"/>
    <cellStyle name="Currency 4 2 2 2 4 3 2 3" xfId="51402"/>
    <cellStyle name="Currency 4 2 2 2 4 3 3" xfId="51403"/>
    <cellStyle name="Currency 4 2 2 2 4 3 3 2" xfId="51404"/>
    <cellStyle name="Currency 4 2 2 2 4 3 3 3" xfId="51405"/>
    <cellStyle name="Currency 4 2 2 2 4 3 4" xfId="51406"/>
    <cellStyle name="Currency 4 2 2 2 4 3 4 2" xfId="51407"/>
    <cellStyle name="Currency 4 2 2 2 4 3 5" xfId="51408"/>
    <cellStyle name="Currency 4 2 2 2 4 3 6" xfId="51409"/>
    <cellStyle name="Currency 4 2 2 2 4 4" xfId="51410"/>
    <cellStyle name="Currency 4 2 2 2 4 4 2" xfId="51411"/>
    <cellStyle name="Currency 4 2 2 2 4 4 2 2" xfId="51412"/>
    <cellStyle name="Currency 4 2 2 2 4 4 2 3" xfId="51413"/>
    <cellStyle name="Currency 4 2 2 2 4 4 3" xfId="51414"/>
    <cellStyle name="Currency 4 2 2 2 4 4 3 2" xfId="51415"/>
    <cellStyle name="Currency 4 2 2 2 4 4 4" xfId="51416"/>
    <cellStyle name="Currency 4 2 2 2 4 4 5" xfId="51417"/>
    <cellStyle name="Currency 4 2 2 2 4 5" xfId="51418"/>
    <cellStyle name="Currency 4 2 2 2 4 5 2" xfId="51419"/>
    <cellStyle name="Currency 4 2 2 2 4 5 3" xfId="51420"/>
    <cellStyle name="Currency 4 2 2 2 4 6" xfId="51421"/>
    <cellStyle name="Currency 4 2 2 2 4 6 2" xfId="51422"/>
    <cellStyle name="Currency 4 2 2 2 4 6 3" xfId="51423"/>
    <cellStyle name="Currency 4 2 2 2 4 7" xfId="51424"/>
    <cellStyle name="Currency 4 2 2 2 4 7 2" xfId="51425"/>
    <cellStyle name="Currency 4 2 2 2 4 8" xfId="51426"/>
    <cellStyle name="Currency 4 2 2 2 4 9" xfId="51427"/>
    <cellStyle name="Currency 4 2 2 2 5" xfId="51428"/>
    <cellStyle name="Currency 4 2 2 2 5 2" xfId="51429"/>
    <cellStyle name="Currency 4 2 2 2 5 2 2" xfId="51430"/>
    <cellStyle name="Currency 4 2 2 2 5 2 3" xfId="51431"/>
    <cellStyle name="Currency 4 2 2 2 5 3" xfId="51432"/>
    <cellStyle name="Currency 4 2 2 2 5 3 2" xfId="51433"/>
    <cellStyle name="Currency 4 2 2 2 5 3 3" xfId="51434"/>
    <cellStyle name="Currency 4 2 2 2 5 4" xfId="51435"/>
    <cellStyle name="Currency 4 2 2 2 5 4 2" xfId="51436"/>
    <cellStyle name="Currency 4 2 2 2 5 5" xfId="51437"/>
    <cellStyle name="Currency 4 2 2 2 5 6" xfId="51438"/>
    <cellStyle name="Currency 4 2 2 2 6" xfId="51439"/>
    <cellStyle name="Currency 4 2 2 2 6 2" xfId="51440"/>
    <cellStyle name="Currency 4 2 2 2 6 2 2" xfId="51441"/>
    <cellStyle name="Currency 4 2 2 2 6 2 3" xfId="51442"/>
    <cellStyle name="Currency 4 2 2 2 6 3" xfId="51443"/>
    <cellStyle name="Currency 4 2 2 2 6 3 2" xfId="51444"/>
    <cellStyle name="Currency 4 2 2 2 6 3 3" xfId="51445"/>
    <cellStyle name="Currency 4 2 2 2 6 4" xfId="51446"/>
    <cellStyle name="Currency 4 2 2 2 6 4 2" xfId="51447"/>
    <cellStyle name="Currency 4 2 2 2 6 5" xfId="51448"/>
    <cellStyle name="Currency 4 2 2 2 6 6" xfId="51449"/>
    <cellStyle name="Currency 4 2 2 2 7" xfId="51450"/>
    <cellStyle name="Currency 4 2 2 2 7 2" xfId="51451"/>
    <cellStyle name="Currency 4 2 2 2 7 2 2" xfId="51452"/>
    <cellStyle name="Currency 4 2 2 2 7 2 3" xfId="51453"/>
    <cellStyle name="Currency 4 2 2 2 7 3" xfId="51454"/>
    <cellStyle name="Currency 4 2 2 2 7 3 2" xfId="51455"/>
    <cellStyle name="Currency 4 2 2 2 7 4" xfId="51456"/>
    <cellStyle name="Currency 4 2 2 2 7 5" xfId="51457"/>
    <cellStyle name="Currency 4 2 2 2 8" xfId="51458"/>
    <cellStyle name="Currency 4 2 2 2 8 2" xfId="51459"/>
    <cellStyle name="Currency 4 2 2 2 8 3" xfId="51460"/>
    <cellStyle name="Currency 4 2 2 2 9" xfId="51461"/>
    <cellStyle name="Currency 4 2 2 2 9 2" xfId="51462"/>
    <cellStyle name="Currency 4 2 2 2 9 3" xfId="51463"/>
    <cellStyle name="Currency 4 2 2 3" xfId="9164"/>
    <cellStyle name="Currency 4 2 2 3 10" xfId="51464"/>
    <cellStyle name="Currency 4 2 2 3 2" xfId="51465"/>
    <cellStyle name="Currency 4 2 2 3 2 2" xfId="51466"/>
    <cellStyle name="Currency 4 2 2 3 2 2 2" xfId="51467"/>
    <cellStyle name="Currency 4 2 2 3 2 2 2 2" xfId="51468"/>
    <cellStyle name="Currency 4 2 2 3 2 2 2 3" xfId="51469"/>
    <cellStyle name="Currency 4 2 2 3 2 2 3" xfId="51470"/>
    <cellStyle name="Currency 4 2 2 3 2 2 3 2" xfId="51471"/>
    <cellStyle name="Currency 4 2 2 3 2 2 3 3" xfId="51472"/>
    <cellStyle name="Currency 4 2 2 3 2 2 4" xfId="51473"/>
    <cellStyle name="Currency 4 2 2 3 2 2 4 2" xfId="51474"/>
    <cellStyle name="Currency 4 2 2 3 2 2 5" xfId="51475"/>
    <cellStyle name="Currency 4 2 2 3 2 2 6" xfId="51476"/>
    <cellStyle name="Currency 4 2 2 3 2 3" xfId="51477"/>
    <cellStyle name="Currency 4 2 2 3 2 3 2" xfId="51478"/>
    <cellStyle name="Currency 4 2 2 3 2 3 2 2" xfId="51479"/>
    <cellStyle name="Currency 4 2 2 3 2 3 2 3" xfId="51480"/>
    <cellStyle name="Currency 4 2 2 3 2 3 3" xfId="51481"/>
    <cellStyle name="Currency 4 2 2 3 2 3 3 2" xfId="51482"/>
    <cellStyle name="Currency 4 2 2 3 2 3 3 3" xfId="51483"/>
    <cellStyle name="Currency 4 2 2 3 2 3 4" xfId="51484"/>
    <cellStyle name="Currency 4 2 2 3 2 3 4 2" xfId="51485"/>
    <cellStyle name="Currency 4 2 2 3 2 3 5" xfId="51486"/>
    <cellStyle name="Currency 4 2 2 3 2 3 6" xfId="51487"/>
    <cellStyle name="Currency 4 2 2 3 2 4" xfId="51488"/>
    <cellStyle name="Currency 4 2 2 3 2 4 2" xfId="51489"/>
    <cellStyle name="Currency 4 2 2 3 2 4 2 2" xfId="51490"/>
    <cellStyle name="Currency 4 2 2 3 2 4 2 3" xfId="51491"/>
    <cellStyle name="Currency 4 2 2 3 2 4 3" xfId="51492"/>
    <cellStyle name="Currency 4 2 2 3 2 4 3 2" xfId="51493"/>
    <cellStyle name="Currency 4 2 2 3 2 4 4" xfId="51494"/>
    <cellStyle name="Currency 4 2 2 3 2 4 5" xfId="51495"/>
    <cellStyle name="Currency 4 2 2 3 2 5" xfId="51496"/>
    <cellStyle name="Currency 4 2 2 3 2 5 2" xfId="51497"/>
    <cellStyle name="Currency 4 2 2 3 2 5 3" xfId="51498"/>
    <cellStyle name="Currency 4 2 2 3 2 6" xfId="51499"/>
    <cellStyle name="Currency 4 2 2 3 2 6 2" xfId="51500"/>
    <cellStyle name="Currency 4 2 2 3 2 6 3" xfId="51501"/>
    <cellStyle name="Currency 4 2 2 3 2 7" xfId="51502"/>
    <cellStyle name="Currency 4 2 2 3 2 7 2" xfId="51503"/>
    <cellStyle name="Currency 4 2 2 3 2 8" xfId="51504"/>
    <cellStyle name="Currency 4 2 2 3 2 9" xfId="51505"/>
    <cellStyle name="Currency 4 2 2 3 3" xfId="51506"/>
    <cellStyle name="Currency 4 2 2 3 3 2" xfId="51507"/>
    <cellStyle name="Currency 4 2 2 3 3 2 2" xfId="51508"/>
    <cellStyle name="Currency 4 2 2 3 3 2 3" xfId="51509"/>
    <cellStyle name="Currency 4 2 2 3 3 3" xfId="51510"/>
    <cellStyle name="Currency 4 2 2 3 3 3 2" xfId="51511"/>
    <cellStyle name="Currency 4 2 2 3 3 3 3" xfId="51512"/>
    <cellStyle name="Currency 4 2 2 3 3 4" xfId="51513"/>
    <cellStyle name="Currency 4 2 2 3 3 4 2" xfId="51514"/>
    <cellStyle name="Currency 4 2 2 3 3 5" xfId="51515"/>
    <cellStyle name="Currency 4 2 2 3 3 6" xfId="51516"/>
    <cellStyle name="Currency 4 2 2 3 4" xfId="51517"/>
    <cellStyle name="Currency 4 2 2 3 4 2" xfId="51518"/>
    <cellStyle name="Currency 4 2 2 3 4 2 2" xfId="51519"/>
    <cellStyle name="Currency 4 2 2 3 4 2 3" xfId="51520"/>
    <cellStyle name="Currency 4 2 2 3 4 3" xfId="51521"/>
    <cellStyle name="Currency 4 2 2 3 4 3 2" xfId="51522"/>
    <cellStyle name="Currency 4 2 2 3 4 3 3" xfId="51523"/>
    <cellStyle name="Currency 4 2 2 3 4 4" xfId="51524"/>
    <cellStyle name="Currency 4 2 2 3 4 4 2" xfId="51525"/>
    <cellStyle name="Currency 4 2 2 3 4 5" xfId="51526"/>
    <cellStyle name="Currency 4 2 2 3 4 6" xfId="51527"/>
    <cellStyle name="Currency 4 2 2 3 5" xfId="51528"/>
    <cellStyle name="Currency 4 2 2 3 5 2" xfId="51529"/>
    <cellStyle name="Currency 4 2 2 3 5 2 2" xfId="51530"/>
    <cellStyle name="Currency 4 2 2 3 5 2 3" xfId="51531"/>
    <cellStyle name="Currency 4 2 2 3 5 3" xfId="51532"/>
    <cellStyle name="Currency 4 2 2 3 5 3 2" xfId="51533"/>
    <cellStyle name="Currency 4 2 2 3 5 4" xfId="51534"/>
    <cellStyle name="Currency 4 2 2 3 5 5" xfId="51535"/>
    <cellStyle name="Currency 4 2 2 3 6" xfId="51536"/>
    <cellStyle name="Currency 4 2 2 3 6 2" xfId="51537"/>
    <cellStyle name="Currency 4 2 2 3 6 3" xfId="51538"/>
    <cellStyle name="Currency 4 2 2 3 7" xfId="51539"/>
    <cellStyle name="Currency 4 2 2 3 7 2" xfId="51540"/>
    <cellStyle name="Currency 4 2 2 3 7 3" xfId="51541"/>
    <cellStyle name="Currency 4 2 2 3 8" xfId="51542"/>
    <cellStyle name="Currency 4 2 2 3 8 2" xfId="51543"/>
    <cellStyle name="Currency 4 2 2 3 9" xfId="51544"/>
    <cellStyle name="Currency 4 2 2 4" xfId="51545"/>
    <cellStyle name="Currency 4 2 2 4 2" xfId="51546"/>
    <cellStyle name="Currency 4 2 2 4 2 2" xfId="51547"/>
    <cellStyle name="Currency 4 2 2 4 2 2 2" xfId="51548"/>
    <cellStyle name="Currency 4 2 2 4 2 2 3" xfId="51549"/>
    <cellStyle name="Currency 4 2 2 4 2 3" xfId="51550"/>
    <cellStyle name="Currency 4 2 2 4 2 3 2" xfId="51551"/>
    <cellStyle name="Currency 4 2 2 4 2 3 3" xfId="51552"/>
    <cellStyle name="Currency 4 2 2 4 2 4" xfId="51553"/>
    <cellStyle name="Currency 4 2 2 4 2 4 2" xfId="51554"/>
    <cellStyle name="Currency 4 2 2 4 2 5" xfId="51555"/>
    <cellStyle name="Currency 4 2 2 4 2 6" xfId="51556"/>
    <cellStyle name="Currency 4 2 2 4 3" xfId="51557"/>
    <cellStyle name="Currency 4 2 2 4 3 2" xfId="51558"/>
    <cellStyle name="Currency 4 2 2 4 3 2 2" xfId="51559"/>
    <cellStyle name="Currency 4 2 2 4 3 2 3" xfId="51560"/>
    <cellStyle name="Currency 4 2 2 4 3 3" xfId="51561"/>
    <cellStyle name="Currency 4 2 2 4 3 3 2" xfId="51562"/>
    <cellStyle name="Currency 4 2 2 4 3 3 3" xfId="51563"/>
    <cellStyle name="Currency 4 2 2 4 3 4" xfId="51564"/>
    <cellStyle name="Currency 4 2 2 4 3 4 2" xfId="51565"/>
    <cellStyle name="Currency 4 2 2 4 3 5" xfId="51566"/>
    <cellStyle name="Currency 4 2 2 4 3 6" xfId="51567"/>
    <cellStyle name="Currency 4 2 2 4 4" xfId="51568"/>
    <cellStyle name="Currency 4 2 2 4 4 2" xfId="51569"/>
    <cellStyle name="Currency 4 2 2 4 4 2 2" xfId="51570"/>
    <cellStyle name="Currency 4 2 2 4 4 2 3" xfId="51571"/>
    <cellStyle name="Currency 4 2 2 4 4 3" xfId="51572"/>
    <cellStyle name="Currency 4 2 2 4 4 3 2" xfId="51573"/>
    <cellStyle name="Currency 4 2 2 4 4 4" xfId="51574"/>
    <cellStyle name="Currency 4 2 2 4 4 5" xfId="51575"/>
    <cellStyle name="Currency 4 2 2 4 5" xfId="51576"/>
    <cellStyle name="Currency 4 2 2 4 5 2" xfId="51577"/>
    <cellStyle name="Currency 4 2 2 4 5 3" xfId="51578"/>
    <cellStyle name="Currency 4 2 2 4 6" xfId="51579"/>
    <cellStyle name="Currency 4 2 2 4 6 2" xfId="51580"/>
    <cellStyle name="Currency 4 2 2 4 6 3" xfId="51581"/>
    <cellStyle name="Currency 4 2 2 4 7" xfId="51582"/>
    <cellStyle name="Currency 4 2 2 4 7 2" xfId="51583"/>
    <cellStyle name="Currency 4 2 2 4 8" xfId="51584"/>
    <cellStyle name="Currency 4 2 2 4 9" xfId="51585"/>
    <cellStyle name="Currency 4 2 2 5" xfId="51586"/>
    <cellStyle name="Currency 4 2 2 5 2" xfId="51587"/>
    <cellStyle name="Currency 4 2 2 5 2 2" xfId="51588"/>
    <cellStyle name="Currency 4 2 2 5 2 2 2" xfId="51589"/>
    <cellStyle name="Currency 4 2 2 5 2 2 3" xfId="51590"/>
    <cellStyle name="Currency 4 2 2 5 2 3" xfId="51591"/>
    <cellStyle name="Currency 4 2 2 5 2 3 2" xfId="51592"/>
    <cellStyle name="Currency 4 2 2 5 2 3 3" xfId="51593"/>
    <cellStyle name="Currency 4 2 2 5 2 4" xfId="51594"/>
    <cellStyle name="Currency 4 2 2 5 2 4 2" xfId="51595"/>
    <cellStyle name="Currency 4 2 2 5 2 5" xfId="51596"/>
    <cellStyle name="Currency 4 2 2 5 2 6" xfId="51597"/>
    <cellStyle name="Currency 4 2 2 5 3" xfId="51598"/>
    <cellStyle name="Currency 4 2 2 5 3 2" xfId="51599"/>
    <cellStyle name="Currency 4 2 2 5 3 2 2" xfId="51600"/>
    <cellStyle name="Currency 4 2 2 5 3 2 3" xfId="51601"/>
    <cellStyle name="Currency 4 2 2 5 3 3" xfId="51602"/>
    <cellStyle name="Currency 4 2 2 5 3 3 2" xfId="51603"/>
    <cellStyle name="Currency 4 2 2 5 3 3 3" xfId="51604"/>
    <cellStyle name="Currency 4 2 2 5 3 4" xfId="51605"/>
    <cellStyle name="Currency 4 2 2 5 3 4 2" xfId="51606"/>
    <cellStyle name="Currency 4 2 2 5 3 5" xfId="51607"/>
    <cellStyle name="Currency 4 2 2 5 3 6" xfId="51608"/>
    <cellStyle name="Currency 4 2 2 5 4" xfId="51609"/>
    <cellStyle name="Currency 4 2 2 5 4 2" xfId="51610"/>
    <cellStyle name="Currency 4 2 2 5 4 2 2" xfId="51611"/>
    <cellStyle name="Currency 4 2 2 5 4 2 3" xfId="51612"/>
    <cellStyle name="Currency 4 2 2 5 4 3" xfId="51613"/>
    <cellStyle name="Currency 4 2 2 5 4 3 2" xfId="51614"/>
    <cellStyle name="Currency 4 2 2 5 4 4" xfId="51615"/>
    <cellStyle name="Currency 4 2 2 5 4 5" xfId="51616"/>
    <cellStyle name="Currency 4 2 2 5 5" xfId="51617"/>
    <cellStyle name="Currency 4 2 2 5 5 2" xfId="51618"/>
    <cellStyle name="Currency 4 2 2 5 5 3" xfId="51619"/>
    <cellStyle name="Currency 4 2 2 5 6" xfId="51620"/>
    <cellStyle name="Currency 4 2 2 5 6 2" xfId="51621"/>
    <cellStyle name="Currency 4 2 2 5 6 3" xfId="51622"/>
    <cellStyle name="Currency 4 2 2 5 7" xfId="51623"/>
    <cellStyle name="Currency 4 2 2 5 7 2" xfId="51624"/>
    <cellStyle name="Currency 4 2 2 5 8" xfId="51625"/>
    <cellStyle name="Currency 4 2 2 5 9" xfId="51626"/>
    <cellStyle name="Currency 4 2 2 6" xfId="51627"/>
    <cellStyle name="Currency 4 2 2 6 2" xfId="51628"/>
    <cellStyle name="Currency 4 2 2 6 2 2" xfId="51629"/>
    <cellStyle name="Currency 4 2 2 6 2 3" xfId="51630"/>
    <cellStyle name="Currency 4 2 2 6 3" xfId="51631"/>
    <cellStyle name="Currency 4 2 2 6 3 2" xfId="51632"/>
    <cellStyle name="Currency 4 2 2 6 3 3" xfId="51633"/>
    <cellStyle name="Currency 4 2 2 6 4" xfId="51634"/>
    <cellStyle name="Currency 4 2 2 6 4 2" xfId="51635"/>
    <cellStyle name="Currency 4 2 2 6 5" xfId="51636"/>
    <cellStyle name="Currency 4 2 2 6 6" xfId="51637"/>
    <cellStyle name="Currency 4 2 2 7" xfId="51638"/>
    <cellStyle name="Currency 4 2 2 7 2" xfId="51639"/>
    <cellStyle name="Currency 4 2 2 7 2 2" xfId="51640"/>
    <cellStyle name="Currency 4 2 2 7 2 3" xfId="51641"/>
    <cellStyle name="Currency 4 2 2 7 3" xfId="51642"/>
    <cellStyle name="Currency 4 2 2 7 3 2" xfId="51643"/>
    <cellStyle name="Currency 4 2 2 7 3 3" xfId="51644"/>
    <cellStyle name="Currency 4 2 2 7 4" xfId="51645"/>
    <cellStyle name="Currency 4 2 2 7 4 2" xfId="51646"/>
    <cellStyle name="Currency 4 2 2 7 5" xfId="51647"/>
    <cellStyle name="Currency 4 2 2 7 6" xfId="51648"/>
    <cellStyle name="Currency 4 2 2 8" xfId="51649"/>
    <cellStyle name="Currency 4 2 2 8 2" xfId="51650"/>
    <cellStyle name="Currency 4 2 2 8 2 2" xfId="51651"/>
    <cellStyle name="Currency 4 2 2 8 2 3" xfId="51652"/>
    <cellStyle name="Currency 4 2 2 8 3" xfId="51653"/>
    <cellStyle name="Currency 4 2 2 8 3 2" xfId="51654"/>
    <cellStyle name="Currency 4 2 2 8 4" xfId="51655"/>
    <cellStyle name="Currency 4 2 2 8 5" xfId="51656"/>
    <cellStyle name="Currency 4 2 2 9" xfId="51657"/>
    <cellStyle name="Currency 4 2 2 9 2" xfId="51658"/>
    <cellStyle name="Currency 4 2 2 9 3" xfId="51659"/>
    <cellStyle name="Currency 4 2 3" xfId="3901"/>
    <cellStyle name="Currency 4 2 3 10" xfId="51660"/>
    <cellStyle name="Currency 4 2 3 10 2" xfId="51661"/>
    <cellStyle name="Currency 4 2 3 11" xfId="51662"/>
    <cellStyle name="Currency 4 2 3 12" xfId="51663"/>
    <cellStyle name="Currency 4 2 3 2" xfId="9165"/>
    <cellStyle name="Currency 4 2 3 2 10" xfId="51664"/>
    <cellStyle name="Currency 4 2 3 2 2" xfId="51665"/>
    <cellStyle name="Currency 4 2 3 2 2 2" xfId="51666"/>
    <cellStyle name="Currency 4 2 3 2 2 2 2" xfId="51667"/>
    <cellStyle name="Currency 4 2 3 2 2 2 2 2" xfId="51668"/>
    <cellStyle name="Currency 4 2 3 2 2 2 2 3" xfId="51669"/>
    <cellStyle name="Currency 4 2 3 2 2 2 3" xfId="51670"/>
    <cellStyle name="Currency 4 2 3 2 2 2 3 2" xfId="51671"/>
    <cellStyle name="Currency 4 2 3 2 2 2 3 3" xfId="51672"/>
    <cellStyle name="Currency 4 2 3 2 2 2 4" xfId="51673"/>
    <cellStyle name="Currency 4 2 3 2 2 2 4 2" xfId="51674"/>
    <cellStyle name="Currency 4 2 3 2 2 2 5" xfId="51675"/>
    <cellStyle name="Currency 4 2 3 2 2 2 6" xfId="51676"/>
    <cellStyle name="Currency 4 2 3 2 2 3" xfId="51677"/>
    <cellStyle name="Currency 4 2 3 2 2 3 2" xfId="51678"/>
    <cellStyle name="Currency 4 2 3 2 2 3 2 2" xfId="51679"/>
    <cellStyle name="Currency 4 2 3 2 2 3 2 3" xfId="51680"/>
    <cellStyle name="Currency 4 2 3 2 2 3 3" xfId="51681"/>
    <cellStyle name="Currency 4 2 3 2 2 3 3 2" xfId="51682"/>
    <cellStyle name="Currency 4 2 3 2 2 3 3 3" xfId="51683"/>
    <cellStyle name="Currency 4 2 3 2 2 3 4" xfId="51684"/>
    <cellStyle name="Currency 4 2 3 2 2 3 4 2" xfId="51685"/>
    <cellStyle name="Currency 4 2 3 2 2 3 5" xfId="51686"/>
    <cellStyle name="Currency 4 2 3 2 2 3 6" xfId="51687"/>
    <cellStyle name="Currency 4 2 3 2 2 4" xfId="51688"/>
    <cellStyle name="Currency 4 2 3 2 2 4 2" xfId="51689"/>
    <cellStyle name="Currency 4 2 3 2 2 4 2 2" xfId="51690"/>
    <cellStyle name="Currency 4 2 3 2 2 4 2 3" xfId="51691"/>
    <cellStyle name="Currency 4 2 3 2 2 4 3" xfId="51692"/>
    <cellStyle name="Currency 4 2 3 2 2 4 3 2" xfId="51693"/>
    <cellStyle name="Currency 4 2 3 2 2 4 4" xfId="51694"/>
    <cellStyle name="Currency 4 2 3 2 2 4 5" xfId="51695"/>
    <cellStyle name="Currency 4 2 3 2 2 5" xfId="51696"/>
    <cellStyle name="Currency 4 2 3 2 2 5 2" xfId="51697"/>
    <cellStyle name="Currency 4 2 3 2 2 5 3" xfId="51698"/>
    <cellStyle name="Currency 4 2 3 2 2 6" xfId="51699"/>
    <cellStyle name="Currency 4 2 3 2 2 6 2" xfId="51700"/>
    <cellStyle name="Currency 4 2 3 2 2 6 3" xfId="51701"/>
    <cellStyle name="Currency 4 2 3 2 2 7" xfId="51702"/>
    <cellStyle name="Currency 4 2 3 2 2 7 2" xfId="51703"/>
    <cellStyle name="Currency 4 2 3 2 2 8" xfId="51704"/>
    <cellStyle name="Currency 4 2 3 2 2 9" xfId="51705"/>
    <cellStyle name="Currency 4 2 3 2 3" xfId="51706"/>
    <cellStyle name="Currency 4 2 3 2 3 2" xfId="51707"/>
    <cellStyle name="Currency 4 2 3 2 3 2 2" xfId="51708"/>
    <cellStyle name="Currency 4 2 3 2 3 2 3" xfId="51709"/>
    <cellStyle name="Currency 4 2 3 2 3 3" xfId="51710"/>
    <cellStyle name="Currency 4 2 3 2 3 3 2" xfId="51711"/>
    <cellStyle name="Currency 4 2 3 2 3 3 3" xfId="51712"/>
    <cellStyle name="Currency 4 2 3 2 3 4" xfId="51713"/>
    <cellStyle name="Currency 4 2 3 2 3 4 2" xfId="51714"/>
    <cellStyle name="Currency 4 2 3 2 3 5" xfId="51715"/>
    <cellStyle name="Currency 4 2 3 2 3 6" xfId="51716"/>
    <cellStyle name="Currency 4 2 3 2 4" xfId="51717"/>
    <cellStyle name="Currency 4 2 3 2 4 2" xfId="51718"/>
    <cellStyle name="Currency 4 2 3 2 4 2 2" xfId="51719"/>
    <cellStyle name="Currency 4 2 3 2 4 2 3" xfId="51720"/>
    <cellStyle name="Currency 4 2 3 2 4 3" xfId="51721"/>
    <cellStyle name="Currency 4 2 3 2 4 3 2" xfId="51722"/>
    <cellStyle name="Currency 4 2 3 2 4 3 3" xfId="51723"/>
    <cellStyle name="Currency 4 2 3 2 4 4" xfId="51724"/>
    <cellStyle name="Currency 4 2 3 2 4 4 2" xfId="51725"/>
    <cellStyle name="Currency 4 2 3 2 4 5" xfId="51726"/>
    <cellStyle name="Currency 4 2 3 2 4 6" xfId="51727"/>
    <cellStyle name="Currency 4 2 3 2 5" xfId="51728"/>
    <cellStyle name="Currency 4 2 3 2 5 2" xfId="51729"/>
    <cellStyle name="Currency 4 2 3 2 5 2 2" xfId="51730"/>
    <cellStyle name="Currency 4 2 3 2 5 2 3" xfId="51731"/>
    <cellStyle name="Currency 4 2 3 2 5 3" xfId="51732"/>
    <cellStyle name="Currency 4 2 3 2 5 3 2" xfId="51733"/>
    <cellStyle name="Currency 4 2 3 2 5 4" xfId="51734"/>
    <cellStyle name="Currency 4 2 3 2 5 5" xfId="51735"/>
    <cellStyle name="Currency 4 2 3 2 6" xfId="51736"/>
    <cellStyle name="Currency 4 2 3 2 6 2" xfId="51737"/>
    <cellStyle name="Currency 4 2 3 2 6 3" xfId="51738"/>
    <cellStyle name="Currency 4 2 3 2 7" xfId="51739"/>
    <cellStyle name="Currency 4 2 3 2 7 2" xfId="51740"/>
    <cellStyle name="Currency 4 2 3 2 7 3" xfId="51741"/>
    <cellStyle name="Currency 4 2 3 2 8" xfId="51742"/>
    <cellStyle name="Currency 4 2 3 2 8 2" xfId="51743"/>
    <cellStyle name="Currency 4 2 3 2 9" xfId="51744"/>
    <cellStyle name="Currency 4 2 3 3" xfId="51745"/>
    <cellStyle name="Currency 4 2 3 3 2" xfId="51746"/>
    <cellStyle name="Currency 4 2 3 3 2 2" xfId="51747"/>
    <cellStyle name="Currency 4 2 3 3 2 2 2" xfId="51748"/>
    <cellStyle name="Currency 4 2 3 3 2 2 3" xfId="51749"/>
    <cellStyle name="Currency 4 2 3 3 2 3" xfId="51750"/>
    <cellStyle name="Currency 4 2 3 3 2 3 2" xfId="51751"/>
    <cellStyle name="Currency 4 2 3 3 2 3 3" xfId="51752"/>
    <cellStyle name="Currency 4 2 3 3 2 4" xfId="51753"/>
    <cellStyle name="Currency 4 2 3 3 2 4 2" xfId="51754"/>
    <cellStyle name="Currency 4 2 3 3 2 5" xfId="51755"/>
    <cellStyle name="Currency 4 2 3 3 2 6" xfId="51756"/>
    <cellStyle name="Currency 4 2 3 3 3" xfId="51757"/>
    <cellStyle name="Currency 4 2 3 3 3 2" xfId="51758"/>
    <cellStyle name="Currency 4 2 3 3 3 2 2" xfId="51759"/>
    <cellStyle name="Currency 4 2 3 3 3 2 3" xfId="51760"/>
    <cellStyle name="Currency 4 2 3 3 3 3" xfId="51761"/>
    <cellStyle name="Currency 4 2 3 3 3 3 2" xfId="51762"/>
    <cellStyle name="Currency 4 2 3 3 3 3 3" xfId="51763"/>
    <cellStyle name="Currency 4 2 3 3 3 4" xfId="51764"/>
    <cellStyle name="Currency 4 2 3 3 3 4 2" xfId="51765"/>
    <cellStyle name="Currency 4 2 3 3 3 5" xfId="51766"/>
    <cellStyle name="Currency 4 2 3 3 3 6" xfId="51767"/>
    <cellStyle name="Currency 4 2 3 3 4" xfId="51768"/>
    <cellStyle name="Currency 4 2 3 3 4 2" xfId="51769"/>
    <cellStyle name="Currency 4 2 3 3 4 2 2" xfId="51770"/>
    <cellStyle name="Currency 4 2 3 3 4 2 3" xfId="51771"/>
    <cellStyle name="Currency 4 2 3 3 4 3" xfId="51772"/>
    <cellStyle name="Currency 4 2 3 3 4 3 2" xfId="51773"/>
    <cellStyle name="Currency 4 2 3 3 4 4" xfId="51774"/>
    <cellStyle name="Currency 4 2 3 3 4 5" xfId="51775"/>
    <cellStyle name="Currency 4 2 3 3 5" xfId="51776"/>
    <cellStyle name="Currency 4 2 3 3 5 2" xfId="51777"/>
    <cellStyle name="Currency 4 2 3 3 5 3" xfId="51778"/>
    <cellStyle name="Currency 4 2 3 3 6" xfId="51779"/>
    <cellStyle name="Currency 4 2 3 3 6 2" xfId="51780"/>
    <cellStyle name="Currency 4 2 3 3 6 3" xfId="51781"/>
    <cellStyle name="Currency 4 2 3 3 7" xfId="51782"/>
    <cellStyle name="Currency 4 2 3 3 7 2" xfId="51783"/>
    <cellStyle name="Currency 4 2 3 3 8" xfId="51784"/>
    <cellStyle name="Currency 4 2 3 3 9" xfId="51785"/>
    <cellStyle name="Currency 4 2 3 4" xfId="51786"/>
    <cellStyle name="Currency 4 2 3 4 2" xfId="51787"/>
    <cellStyle name="Currency 4 2 3 4 2 2" xfId="51788"/>
    <cellStyle name="Currency 4 2 3 4 2 2 2" xfId="51789"/>
    <cellStyle name="Currency 4 2 3 4 2 2 3" xfId="51790"/>
    <cellStyle name="Currency 4 2 3 4 2 3" xfId="51791"/>
    <cellStyle name="Currency 4 2 3 4 2 3 2" xfId="51792"/>
    <cellStyle name="Currency 4 2 3 4 2 3 3" xfId="51793"/>
    <cellStyle name="Currency 4 2 3 4 2 4" xfId="51794"/>
    <cellStyle name="Currency 4 2 3 4 2 4 2" xfId="51795"/>
    <cellStyle name="Currency 4 2 3 4 2 5" xfId="51796"/>
    <cellStyle name="Currency 4 2 3 4 2 6" xfId="51797"/>
    <cellStyle name="Currency 4 2 3 4 3" xfId="51798"/>
    <cellStyle name="Currency 4 2 3 4 3 2" xfId="51799"/>
    <cellStyle name="Currency 4 2 3 4 3 2 2" xfId="51800"/>
    <cellStyle name="Currency 4 2 3 4 3 2 3" xfId="51801"/>
    <cellStyle name="Currency 4 2 3 4 3 3" xfId="51802"/>
    <cellStyle name="Currency 4 2 3 4 3 3 2" xfId="51803"/>
    <cellStyle name="Currency 4 2 3 4 3 3 3" xfId="51804"/>
    <cellStyle name="Currency 4 2 3 4 3 4" xfId="51805"/>
    <cellStyle name="Currency 4 2 3 4 3 4 2" xfId="51806"/>
    <cellStyle name="Currency 4 2 3 4 3 5" xfId="51807"/>
    <cellStyle name="Currency 4 2 3 4 3 6" xfId="51808"/>
    <cellStyle name="Currency 4 2 3 4 4" xfId="51809"/>
    <cellStyle name="Currency 4 2 3 4 4 2" xfId="51810"/>
    <cellStyle name="Currency 4 2 3 4 4 2 2" xfId="51811"/>
    <cellStyle name="Currency 4 2 3 4 4 2 3" xfId="51812"/>
    <cellStyle name="Currency 4 2 3 4 4 3" xfId="51813"/>
    <cellStyle name="Currency 4 2 3 4 4 3 2" xfId="51814"/>
    <cellStyle name="Currency 4 2 3 4 4 4" xfId="51815"/>
    <cellStyle name="Currency 4 2 3 4 4 5" xfId="51816"/>
    <cellStyle name="Currency 4 2 3 4 5" xfId="51817"/>
    <cellStyle name="Currency 4 2 3 4 5 2" xfId="51818"/>
    <cellStyle name="Currency 4 2 3 4 5 3" xfId="51819"/>
    <cellStyle name="Currency 4 2 3 4 6" xfId="51820"/>
    <cellStyle name="Currency 4 2 3 4 6 2" xfId="51821"/>
    <cellStyle name="Currency 4 2 3 4 6 3" xfId="51822"/>
    <cellStyle name="Currency 4 2 3 4 7" xfId="51823"/>
    <cellStyle name="Currency 4 2 3 4 7 2" xfId="51824"/>
    <cellStyle name="Currency 4 2 3 4 8" xfId="51825"/>
    <cellStyle name="Currency 4 2 3 4 9" xfId="51826"/>
    <cellStyle name="Currency 4 2 3 5" xfId="51827"/>
    <cellStyle name="Currency 4 2 3 5 2" xfId="51828"/>
    <cellStyle name="Currency 4 2 3 5 2 2" xfId="51829"/>
    <cellStyle name="Currency 4 2 3 5 2 3" xfId="51830"/>
    <cellStyle name="Currency 4 2 3 5 3" xfId="51831"/>
    <cellStyle name="Currency 4 2 3 5 3 2" xfId="51832"/>
    <cellStyle name="Currency 4 2 3 5 3 3" xfId="51833"/>
    <cellStyle name="Currency 4 2 3 5 4" xfId="51834"/>
    <cellStyle name="Currency 4 2 3 5 4 2" xfId="51835"/>
    <cellStyle name="Currency 4 2 3 5 5" xfId="51836"/>
    <cellStyle name="Currency 4 2 3 5 6" xfId="51837"/>
    <cellStyle name="Currency 4 2 3 6" xfId="51838"/>
    <cellStyle name="Currency 4 2 3 6 2" xfId="51839"/>
    <cellStyle name="Currency 4 2 3 6 2 2" xfId="51840"/>
    <cellStyle name="Currency 4 2 3 6 2 3" xfId="51841"/>
    <cellStyle name="Currency 4 2 3 6 3" xfId="51842"/>
    <cellStyle name="Currency 4 2 3 6 3 2" xfId="51843"/>
    <cellStyle name="Currency 4 2 3 6 3 3" xfId="51844"/>
    <cellStyle name="Currency 4 2 3 6 4" xfId="51845"/>
    <cellStyle name="Currency 4 2 3 6 4 2" xfId="51846"/>
    <cellStyle name="Currency 4 2 3 6 5" xfId="51847"/>
    <cellStyle name="Currency 4 2 3 6 6" xfId="51848"/>
    <cellStyle name="Currency 4 2 3 7" xfId="51849"/>
    <cellStyle name="Currency 4 2 3 7 2" xfId="51850"/>
    <cellStyle name="Currency 4 2 3 7 2 2" xfId="51851"/>
    <cellStyle name="Currency 4 2 3 7 2 3" xfId="51852"/>
    <cellStyle name="Currency 4 2 3 7 3" xfId="51853"/>
    <cellStyle name="Currency 4 2 3 7 3 2" xfId="51854"/>
    <cellStyle name="Currency 4 2 3 7 4" xfId="51855"/>
    <cellStyle name="Currency 4 2 3 7 5" xfId="51856"/>
    <cellStyle name="Currency 4 2 3 8" xfId="51857"/>
    <cellStyle name="Currency 4 2 3 8 2" xfId="51858"/>
    <cellStyle name="Currency 4 2 3 8 3" xfId="51859"/>
    <cellStyle name="Currency 4 2 3 9" xfId="51860"/>
    <cellStyle name="Currency 4 2 3 9 2" xfId="51861"/>
    <cellStyle name="Currency 4 2 3 9 3" xfId="51862"/>
    <cellStyle name="Currency 4 2 4" xfId="9166"/>
    <cellStyle name="Currency 4 2 4 10" xfId="51863"/>
    <cellStyle name="Currency 4 2 4 2" xfId="51864"/>
    <cellStyle name="Currency 4 2 4 2 2" xfId="51865"/>
    <cellStyle name="Currency 4 2 4 2 2 2" xfId="51866"/>
    <cellStyle name="Currency 4 2 4 2 2 2 2" xfId="51867"/>
    <cellStyle name="Currency 4 2 4 2 2 2 3" xfId="51868"/>
    <cellStyle name="Currency 4 2 4 2 2 3" xfId="51869"/>
    <cellStyle name="Currency 4 2 4 2 2 3 2" xfId="51870"/>
    <cellStyle name="Currency 4 2 4 2 2 3 3" xfId="51871"/>
    <cellStyle name="Currency 4 2 4 2 2 4" xfId="51872"/>
    <cellStyle name="Currency 4 2 4 2 2 4 2" xfId="51873"/>
    <cellStyle name="Currency 4 2 4 2 2 5" xfId="51874"/>
    <cellStyle name="Currency 4 2 4 2 2 6" xfId="51875"/>
    <cellStyle name="Currency 4 2 4 2 3" xfId="51876"/>
    <cellStyle name="Currency 4 2 4 2 3 2" xfId="51877"/>
    <cellStyle name="Currency 4 2 4 2 3 2 2" xfId="51878"/>
    <cellStyle name="Currency 4 2 4 2 3 2 3" xfId="51879"/>
    <cellStyle name="Currency 4 2 4 2 3 3" xfId="51880"/>
    <cellStyle name="Currency 4 2 4 2 3 3 2" xfId="51881"/>
    <cellStyle name="Currency 4 2 4 2 3 3 3" xfId="51882"/>
    <cellStyle name="Currency 4 2 4 2 3 4" xfId="51883"/>
    <cellStyle name="Currency 4 2 4 2 3 4 2" xfId="51884"/>
    <cellStyle name="Currency 4 2 4 2 3 5" xfId="51885"/>
    <cellStyle name="Currency 4 2 4 2 3 6" xfId="51886"/>
    <cellStyle name="Currency 4 2 4 2 4" xfId="51887"/>
    <cellStyle name="Currency 4 2 4 2 4 2" xfId="51888"/>
    <cellStyle name="Currency 4 2 4 2 4 2 2" xfId="51889"/>
    <cellStyle name="Currency 4 2 4 2 4 2 3" xfId="51890"/>
    <cellStyle name="Currency 4 2 4 2 4 3" xfId="51891"/>
    <cellStyle name="Currency 4 2 4 2 4 3 2" xfId="51892"/>
    <cellStyle name="Currency 4 2 4 2 4 4" xfId="51893"/>
    <cellStyle name="Currency 4 2 4 2 4 5" xfId="51894"/>
    <cellStyle name="Currency 4 2 4 2 5" xfId="51895"/>
    <cellStyle name="Currency 4 2 4 2 5 2" xfId="51896"/>
    <cellStyle name="Currency 4 2 4 2 5 3" xfId="51897"/>
    <cellStyle name="Currency 4 2 4 2 6" xfId="51898"/>
    <cellStyle name="Currency 4 2 4 2 6 2" xfId="51899"/>
    <cellStyle name="Currency 4 2 4 2 6 3" xfId="51900"/>
    <cellStyle name="Currency 4 2 4 2 7" xfId="51901"/>
    <cellStyle name="Currency 4 2 4 2 7 2" xfId="51902"/>
    <cellStyle name="Currency 4 2 4 2 8" xfId="51903"/>
    <cellStyle name="Currency 4 2 4 2 9" xfId="51904"/>
    <cellStyle name="Currency 4 2 4 3" xfId="51905"/>
    <cellStyle name="Currency 4 2 4 3 2" xfId="51906"/>
    <cellStyle name="Currency 4 2 4 3 2 2" xfId="51907"/>
    <cellStyle name="Currency 4 2 4 3 2 3" xfId="51908"/>
    <cellStyle name="Currency 4 2 4 3 3" xfId="51909"/>
    <cellStyle name="Currency 4 2 4 3 3 2" xfId="51910"/>
    <cellStyle name="Currency 4 2 4 3 3 3" xfId="51911"/>
    <cellStyle name="Currency 4 2 4 3 4" xfId="51912"/>
    <cellStyle name="Currency 4 2 4 3 4 2" xfId="51913"/>
    <cellStyle name="Currency 4 2 4 3 5" xfId="51914"/>
    <cellStyle name="Currency 4 2 4 3 6" xfId="51915"/>
    <cellStyle name="Currency 4 2 4 4" xfId="51916"/>
    <cellStyle name="Currency 4 2 4 4 2" xfId="51917"/>
    <cellStyle name="Currency 4 2 4 4 2 2" xfId="51918"/>
    <cellStyle name="Currency 4 2 4 4 2 3" xfId="51919"/>
    <cellStyle name="Currency 4 2 4 4 3" xfId="51920"/>
    <cellStyle name="Currency 4 2 4 4 3 2" xfId="51921"/>
    <cellStyle name="Currency 4 2 4 4 3 3" xfId="51922"/>
    <cellStyle name="Currency 4 2 4 4 4" xfId="51923"/>
    <cellStyle name="Currency 4 2 4 4 4 2" xfId="51924"/>
    <cellStyle name="Currency 4 2 4 4 5" xfId="51925"/>
    <cellStyle name="Currency 4 2 4 4 6" xfId="51926"/>
    <cellStyle name="Currency 4 2 4 5" xfId="51927"/>
    <cellStyle name="Currency 4 2 4 5 2" xfId="51928"/>
    <cellStyle name="Currency 4 2 4 5 2 2" xfId="51929"/>
    <cellStyle name="Currency 4 2 4 5 2 3" xfId="51930"/>
    <cellStyle name="Currency 4 2 4 5 3" xfId="51931"/>
    <cellStyle name="Currency 4 2 4 5 3 2" xfId="51932"/>
    <cellStyle name="Currency 4 2 4 5 4" xfId="51933"/>
    <cellStyle name="Currency 4 2 4 5 5" xfId="51934"/>
    <cellStyle name="Currency 4 2 4 6" xfId="51935"/>
    <cellStyle name="Currency 4 2 4 6 2" xfId="51936"/>
    <cellStyle name="Currency 4 2 4 6 3" xfId="51937"/>
    <cellStyle name="Currency 4 2 4 7" xfId="51938"/>
    <cellStyle name="Currency 4 2 4 7 2" xfId="51939"/>
    <cellStyle name="Currency 4 2 4 7 3" xfId="51940"/>
    <cellStyle name="Currency 4 2 4 8" xfId="51941"/>
    <cellStyle name="Currency 4 2 4 8 2" xfId="51942"/>
    <cellStyle name="Currency 4 2 4 9" xfId="51943"/>
    <cellStyle name="Currency 4 2 5" xfId="51944"/>
    <cellStyle name="Currency 4 2 5 2" xfId="51945"/>
    <cellStyle name="Currency 4 2 5 2 2" xfId="51946"/>
    <cellStyle name="Currency 4 2 5 2 2 2" xfId="51947"/>
    <cellStyle name="Currency 4 2 5 2 2 3" xfId="51948"/>
    <cellStyle name="Currency 4 2 5 2 3" xfId="51949"/>
    <cellStyle name="Currency 4 2 5 2 3 2" xfId="51950"/>
    <cellStyle name="Currency 4 2 5 2 3 3" xfId="51951"/>
    <cellStyle name="Currency 4 2 5 2 4" xfId="51952"/>
    <cellStyle name="Currency 4 2 5 2 4 2" xfId="51953"/>
    <cellStyle name="Currency 4 2 5 2 5" xfId="51954"/>
    <cellStyle name="Currency 4 2 5 2 6" xfId="51955"/>
    <cellStyle name="Currency 4 2 5 3" xfId="51956"/>
    <cellStyle name="Currency 4 2 5 3 2" xfId="51957"/>
    <cellStyle name="Currency 4 2 5 3 2 2" xfId="51958"/>
    <cellStyle name="Currency 4 2 5 3 2 3" xfId="51959"/>
    <cellStyle name="Currency 4 2 5 3 3" xfId="51960"/>
    <cellStyle name="Currency 4 2 5 3 3 2" xfId="51961"/>
    <cellStyle name="Currency 4 2 5 3 3 3" xfId="51962"/>
    <cellStyle name="Currency 4 2 5 3 4" xfId="51963"/>
    <cellStyle name="Currency 4 2 5 3 4 2" xfId="51964"/>
    <cellStyle name="Currency 4 2 5 3 5" xfId="51965"/>
    <cellStyle name="Currency 4 2 5 3 6" xfId="51966"/>
    <cellStyle name="Currency 4 2 5 4" xfId="51967"/>
    <cellStyle name="Currency 4 2 5 4 2" xfId="51968"/>
    <cellStyle name="Currency 4 2 5 4 2 2" xfId="51969"/>
    <cellStyle name="Currency 4 2 5 4 2 3" xfId="51970"/>
    <cellStyle name="Currency 4 2 5 4 3" xfId="51971"/>
    <cellStyle name="Currency 4 2 5 4 3 2" xfId="51972"/>
    <cellStyle name="Currency 4 2 5 4 4" xfId="51973"/>
    <cellStyle name="Currency 4 2 5 4 5" xfId="51974"/>
    <cellStyle name="Currency 4 2 5 5" xfId="51975"/>
    <cellStyle name="Currency 4 2 5 5 2" xfId="51976"/>
    <cellStyle name="Currency 4 2 5 5 3" xfId="51977"/>
    <cellStyle name="Currency 4 2 5 6" xfId="51978"/>
    <cellStyle name="Currency 4 2 5 6 2" xfId="51979"/>
    <cellStyle name="Currency 4 2 5 6 3" xfId="51980"/>
    <cellStyle name="Currency 4 2 5 7" xfId="51981"/>
    <cellStyle name="Currency 4 2 5 7 2" xfId="51982"/>
    <cellStyle name="Currency 4 2 5 8" xfId="51983"/>
    <cellStyle name="Currency 4 2 5 9" xfId="51984"/>
    <cellStyle name="Currency 4 2 6" xfId="51985"/>
    <cellStyle name="Currency 4 2 6 2" xfId="51986"/>
    <cellStyle name="Currency 4 2 6 2 2" xfId="51987"/>
    <cellStyle name="Currency 4 2 6 2 2 2" xfId="51988"/>
    <cellStyle name="Currency 4 2 6 2 2 3" xfId="51989"/>
    <cellStyle name="Currency 4 2 6 2 3" xfId="51990"/>
    <cellStyle name="Currency 4 2 6 2 3 2" xfId="51991"/>
    <cellStyle name="Currency 4 2 6 2 3 3" xfId="51992"/>
    <cellStyle name="Currency 4 2 6 2 4" xfId="51993"/>
    <cellStyle name="Currency 4 2 6 2 4 2" xfId="51994"/>
    <cellStyle name="Currency 4 2 6 2 5" xfId="51995"/>
    <cellStyle name="Currency 4 2 6 2 6" xfId="51996"/>
    <cellStyle name="Currency 4 2 6 3" xfId="51997"/>
    <cellStyle name="Currency 4 2 6 3 2" xfId="51998"/>
    <cellStyle name="Currency 4 2 6 3 2 2" xfId="51999"/>
    <cellStyle name="Currency 4 2 6 3 2 3" xfId="52000"/>
    <cellStyle name="Currency 4 2 6 3 3" xfId="52001"/>
    <cellStyle name="Currency 4 2 6 3 3 2" xfId="52002"/>
    <cellStyle name="Currency 4 2 6 3 3 3" xfId="52003"/>
    <cellStyle name="Currency 4 2 6 3 4" xfId="52004"/>
    <cellStyle name="Currency 4 2 6 3 4 2" xfId="52005"/>
    <cellStyle name="Currency 4 2 6 3 5" xfId="52006"/>
    <cellStyle name="Currency 4 2 6 3 6" xfId="52007"/>
    <cellStyle name="Currency 4 2 6 4" xfId="52008"/>
    <cellStyle name="Currency 4 2 6 4 2" xfId="52009"/>
    <cellStyle name="Currency 4 2 6 4 2 2" xfId="52010"/>
    <cellStyle name="Currency 4 2 6 4 2 3" xfId="52011"/>
    <cellStyle name="Currency 4 2 6 4 3" xfId="52012"/>
    <cellStyle name="Currency 4 2 6 4 3 2" xfId="52013"/>
    <cellStyle name="Currency 4 2 6 4 4" xfId="52014"/>
    <cellStyle name="Currency 4 2 6 4 5" xfId="52015"/>
    <cellStyle name="Currency 4 2 6 5" xfId="52016"/>
    <cellStyle name="Currency 4 2 6 5 2" xfId="52017"/>
    <cellStyle name="Currency 4 2 6 5 3" xfId="52018"/>
    <cellStyle name="Currency 4 2 6 6" xfId="52019"/>
    <cellStyle name="Currency 4 2 6 6 2" xfId="52020"/>
    <cellStyle name="Currency 4 2 6 6 3" xfId="52021"/>
    <cellStyle name="Currency 4 2 6 7" xfId="52022"/>
    <cellStyle name="Currency 4 2 6 7 2" xfId="52023"/>
    <cellStyle name="Currency 4 2 6 8" xfId="52024"/>
    <cellStyle name="Currency 4 2 6 9" xfId="52025"/>
    <cellStyle name="Currency 4 2 7" xfId="52026"/>
    <cellStyle name="Currency 4 2 7 2" xfId="52027"/>
    <cellStyle name="Currency 4 2 7 2 2" xfId="52028"/>
    <cellStyle name="Currency 4 2 7 2 3" xfId="52029"/>
    <cellStyle name="Currency 4 2 7 3" xfId="52030"/>
    <cellStyle name="Currency 4 2 7 3 2" xfId="52031"/>
    <cellStyle name="Currency 4 2 7 3 3" xfId="52032"/>
    <cellStyle name="Currency 4 2 7 4" xfId="52033"/>
    <cellStyle name="Currency 4 2 7 4 2" xfId="52034"/>
    <cellStyle name="Currency 4 2 7 5" xfId="52035"/>
    <cellStyle name="Currency 4 2 7 6" xfId="52036"/>
    <cellStyle name="Currency 4 2 8" xfId="52037"/>
    <cellStyle name="Currency 4 2 8 2" xfId="52038"/>
    <cellStyle name="Currency 4 2 8 2 2" xfId="52039"/>
    <cellStyle name="Currency 4 2 8 2 3" xfId="52040"/>
    <cellStyle name="Currency 4 2 8 3" xfId="52041"/>
    <cellStyle name="Currency 4 2 8 3 2" xfId="52042"/>
    <cellStyle name="Currency 4 2 8 3 3" xfId="52043"/>
    <cellStyle name="Currency 4 2 8 4" xfId="52044"/>
    <cellStyle name="Currency 4 2 8 4 2" xfId="52045"/>
    <cellStyle name="Currency 4 2 8 5" xfId="52046"/>
    <cellStyle name="Currency 4 2 8 6" xfId="52047"/>
    <cellStyle name="Currency 4 2 9" xfId="52048"/>
    <cellStyle name="Currency 4 2 9 2" xfId="52049"/>
    <cellStyle name="Currency 4 2 9 2 2" xfId="52050"/>
    <cellStyle name="Currency 4 2 9 2 3" xfId="52051"/>
    <cellStyle name="Currency 4 2 9 3" xfId="52052"/>
    <cellStyle name="Currency 4 2 9 3 2" xfId="52053"/>
    <cellStyle name="Currency 4 2 9 4" xfId="52054"/>
    <cellStyle name="Currency 4 2 9 5" xfId="52055"/>
    <cellStyle name="Currency 4 3" xfId="3902"/>
    <cellStyle name="Currency 4 3 10" xfId="52056"/>
    <cellStyle name="Currency 4 3 10 2" xfId="52057"/>
    <cellStyle name="Currency 4 3 10 3" xfId="52058"/>
    <cellStyle name="Currency 4 3 11" xfId="52059"/>
    <cellStyle name="Currency 4 3 11 2" xfId="52060"/>
    <cellStyle name="Currency 4 3 12" xfId="52061"/>
    <cellStyle name="Currency 4 3 13" xfId="52062"/>
    <cellStyle name="Currency 4 3 14" xfId="52063"/>
    <cellStyle name="Currency 4 3 2" xfId="9167"/>
    <cellStyle name="Currency 4 3 2 10" xfId="52064"/>
    <cellStyle name="Currency 4 3 2 10 2" xfId="52065"/>
    <cellStyle name="Currency 4 3 2 11" xfId="52066"/>
    <cellStyle name="Currency 4 3 2 12" xfId="52067"/>
    <cellStyle name="Currency 4 3 2 2" xfId="52068"/>
    <cellStyle name="Currency 4 3 2 2 10" xfId="52069"/>
    <cellStyle name="Currency 4 3 2 2 2" xfId="52070"/>
    <cellStyle name="Currency 4 3 2 2 2 2" xfId="52071"/>
    <cellStyle name="Currency 4 3 2 2 2 2 2" xfId="52072"/>
    <cellStyle name="Currency 4 3 2 2 2 2 2 2" xfId="52073"/>
    <cellStyle name="Currency 4 3 2 2 2 2 2 3" xfId="52074"/>
    <cellStyle name="Currency 4 3 2 2 2 2 3" xfId="52075"/>
    <cellStyle name="Currency 4 3 2 2 2 2 3 2" xfId="52076"/>
    <cellStyle name="Currency 4 3 2 2 2 2 3 3" xfId="52077"/>
    <cellStyle name="Currency 4 3 2 2 2 2 4" xfId="52078"/>
    <cellStyle name="Currency 4 3 2 2 2 2 4 2" xfId="52079"/>
    <cellStyle name="Currency 4 3 2 2 2 2 5" xfId="52080"/>
    <cellStyle name="Currency 4 3 2 2 2 2 6" xfId="52081"/>
    <cellStyle name="Currency 4 3 2 2 2 3" xfId="52082"/>
    <cellStyle name="Currency 4 3 2 2 2 3 2" xfId="52083"/>
    <cellStyle name="Currency 4 3 2 2 2 3 2 2" xfId="52084"/>
    <cellStyle name="Currency 4 3 2 2 2 3 2 3" xfId="52085"/>
    <cellStyle name="Currency 4 3 2 2 2 3 3" xfId="52086"/>
    <cellStyle name="Currency 4 3 2 2 2 3 3 2" xfId="52087"/>
    <cellStyle name="Currency 4 3 2 2 2 3 3 3" xfId="52088"/>
    <cellStyle name="Currency 4 3 2 2 2 3 4" xfId="52089"/>
    <cellStyle name="Currency 4 3 2 2 2 3 4 2" xfId="52090"/>
    <cellStyle name="Currency 4 3 2 2 2 3 5" xfId="52091"/>
    <cellStyle name="Currency 4 3 2 2 2 3 6" xfId="52092"/>
    <cellStyle name="Currency 4 3 2 2 2 4" xfId="52093"/>
    <cellStyle name="Currency 4 3 2 2 2 4 2" xfId="52094"/>
    <cellStyle name="Currency 4 3 2 2 2 4 2 2" xfId="52095"/>
    <cellStyle name="Currency 4 3 2 2 2 4 2 3" xfId="52096"/>
    <cellStyle name="Currency 4 3 2 2 2 4 3" xfId="52097"/>
    <cellStyle name="Currency 4 3 2 2 2 4 3 2" xfId="52098"/>
    <cellStyle name="Currency 4 3 2 2 2 4 4" xfId="52099"/>
    <cellStyle name="Currency 4 3 2 2 2 4 5" xfId="52100"/>
    <cellStyle name="Currency 4 3 2 2 2 5" xfId="52101"/>
    <cellStyle name="Currency 4 3 2 2 2 5 2" xfId="52102"/>
    <cellStyle name="Currency 4 3 2 2 2 5 3" xfId="52103"/>
    <cellStyle name="Currency 4 3 2 2 2 6" xfId="52104"/>
    <cellStyle name="Currency 4 3 2 2 2 6 2" xfId="52105"/>
    <cellStyle name="Currency 4 3 2 2 2 6 3" xfId="52106"/>
    <cellStyle name="Currency 4 3 2 2 2 7" xfId="52107"/>
    <cellStyle name="Currency 4 3 2 2 2 7 2" xfId="52108"/>
    <cellStyle name="Currency 4 3 2 2 2 8" xfId="52109"/>
    <cellStyle name="Currency 4 3 2 2 2 9" xfId="52110"/>
    <cellStyle name="Currency 4 3 2 2 3" xfId="52111"/>
    <cellStyle name="Currency 4 3 2 2 3 2" xfId="52112"/>
    <cellStyle name="Currency 4 3 2 2 3 2 2" xfId="52113"/>
    <cellStyle name="Currency 4 3 2 2 3 2 3" xfId="52114"/>
    <cellStyle name="Currency 4 3 2 2 3 3" xfId="52115"/>
    <cellStyle name="Currency 4 3 2 2 3 3 2" xfId="52116"/>
    <cellStyle name="Currency 4 3 2 2 3 3 3" xfId="52117"/>
    <cellStyle name="Currency 4 3 2 2 3 4" xfId="52118"/>
    <cellStyle name="Currency 4 3 2 2 3 4 2" xfId="52119"/>
    <cellStyle name="Currency 4 3 2 2 3 5" xfId="52120"/>
    <cellStyle name="Currency 4 3 2 2 3 6" xfId="52121"/>
    <cellStyle name="Currency 4 3 2 2 4" xfId="52122"/>
    <cellStyle name="Currency 4 3 2 2 4 2" xfId="52123"/>
    <cellStyle name="Currency 4 3 2 2 4 2 2" xfId="52124"/>
    <cellStyle name="Currency 4 3 2 2 4 2 3" xfId="52125"/>
    <cellStyle name="Currency 4 3 2 2 4 3" xfId="52126"/>
    <cellStyle name="Currency 4 3 2 2 4 3 2" xfId="52127"/>
    <cellStyle name="Currency 4 3 2 2 4 3 3" xfId="52128"/>
    <cellStyle name="Currency 4 3 2 2 4 4" xfId="52129"/>
    <cellStyle name="Currency 4 3 2 2 4 4 2" xfId="52130"/>
    <cellStyle name="Currency 4 3 2 2 4 5" xfId="52131"/>
    <cellStyle name="Currency 4 3 2 2 4 6" xfId="52132"/>
    <cellStyle name="Currency 4 3 2 2 5" xfId="52133"/>
    <cellStyle name="Currency 4 3 2 2 5 2" xfId="52134"/>
    <cellStyle name="Currency 4 3 2 2 5 2 2" xfId="52135"/>
    <cellStyle name="Currency 4 3 2 2 5 2 3" xfId="52136"/>
    <cellStyle name="Currency 4 3 2 2 5 3" xfId="52137"/>
    <cellStyle name="Currency 4 3 2 2 5 3 2" xfId="52138"/>
    <cellStyle name="Currency 4 3 2 2 5 4" xfId="52139"/>
    <cellStyle name="Currency 4 3 2 2 5 5" xfId="52140"/>
    <cellStyle name="Currency 4 3 2 2 6" xfId="52141"/>
    <cellStyle name="Currency 4 3 2 2 6 2" xfId="52142"/>
    <cellStyle name="Currency 4 3 2 2 6 3" xfId="52143"/>
    <cellStyle name="Currency 4 3 2 2 7" xfId="52144"/>
    <cellStyle name="Currency 4 3 2 2 7 2" xfId="52145"/>
    <cellStyle name="Currency 4 3 2 2 7 3" xfId="52146"/>
    <cellStyle name="Currency 4 3 2 2 8" xfId="52147"/>
    <cellStyle name="Currency 4 3 2 2 8 2" xfId="52148"/>
    <cellStyle name="Currency 4 3 2 2 9" xfId="52149"/>
    <cellStyle name="Currency 4 3 2 3" xfId="52150"/>
    <cellStyle name="Currency 4 3 2 3 2" xfId="52151"/>
    <cellStyle name="Currency 4 3 2 3 2 2" xfId="52152"/>
    <cellStyle name="Currency 4 3 2 3 2 2 2" xfId="52153"/>
    <cellStyle name="Currency 4 3 2 3 2 2 3" xfId="52154"/>
    <cellStyle name="Currency 4 3 2 3 2 3" xfId="52155"/>
    <cellStyle name="Currency 4 3 2 3 2 3 2" xfId="52156"/>
    <cellStyle name="Currency 4 3 2 3 2 3 3" xfId="52157"/>
    <cellStyle name="Currency 4 3 2 3 2 4" xfId="52158"/>
    <cellStyle name="Currency 4 3 2 3 2 4 2" xfId="52159"/>
    <cellStyle name="Currency 4 3 2 3 2 5" xfId="52160"/>
    <cellStyle name="Currency 4 3 2 3 2 6" xfId="52161"/>
    <cellStyle name="Currency 4 3 2 3 3" xfId="52162"/>
    <cellStyle name="Currency 4 3 2 3 3 2" xfId="52163"/>
    <cellStyle name="Currency 4 3 2 3 3 2 2" xfId="52164"/>
    <cellStyle name="Currency 4 3 2 3 3 2 3" xfId="52165"/>
    <cellStyle name="Currency 4 3 2 3 3 3" xfId="52166"/>
    <cellStyle name="Currency 4 3 2 3 3 3 2" xfId="52167"/>
    <cellStyle name="Currency 4 3 2 3 3 3 3" xfId="52168"/>
    <cellStyle name="Currency 4 3 2 3 3 4" xfId="52169"/>
    <cellStyle name="Currency 4 3 2 3 3 4 2" xfId="52170"/>
    <cellStyle name="Currency 4 3 2 3 3 5" xfId="52171"/>
    <cellStyle name="Currency 4 3 2 3 3 6" xfId="52172"/>
    <cellStyle name="Currency 4 3 2 3 4" xfId="52173"/>
    <cellStyle name="Currency 4 3 2 3 4 2" xfId="52174"/>
    <cellStyle name="Currency 4 3 2 3 4 2 2" xfId="52175"/>
    <cellStyle name="Currency 4 3 2 3 4 2 3" xfId="52176"/>
    <cellStyle name="Currency 4 3 2 3 4 3" xfId="52177"/>
    <cellStyle name="Currency 4 3 2 3 4 3 2" xfId="52178"/>
    <cellStyle name="Currency 4 3 2 3 4 4" xfId="52179"/>
    <cellStyle name="Currency 4 3 2 3 4 5" xfId="52180"/>
    <cellStyle name="Currency 4 3 2 3 5" xfId="52181"/>
    <cellStyle name="Currency 4 3 2 3 5 2" xfId="52182"/>
    <cellStyle name="Currency 4 3 2 3 5 3" xfId="52183"/>
    <cellStyle name="Currency 4 3 2 3 6" xfId="52184"/>
    <cellStyle name="Currency 4 3 2 3 6 2" xfId="52185"/>
    <cellStyle name="Currency 4 3 2 3 6 3" xfId="52186"/>
    <cellStyle name="Currency 4 3 2 3 7" xfId="52187"/>
    <cellStyle name="Currency 4 3 2 3 7 2" xfId="52188"/>
    <cellStyle name="Currency 4 3 2 3 8" xfId="52189"/>
    <cellStyle name="Currency 4 3 2 3 9" xfId="52190"/>
    <cellStyle name="Currency 4 3 2 4" xfId="52191"/>
    <cellStyle name="Currency 4 3 2 4 2" xfId="52192"/>
    <cellStyle name="Currency 4 3 2 4 2 2" xfId="52193"/>
    <cellStyle name="Currency 4 3 2 4 2 2 2" xfId="52194"/>
    <cellStyle name="Currency 4 3 2 4 2 2 3" xfId="52195"/>
    <cellStyle name="Currency 4 3 2 4 2 3" xfId="52196"/>
    <cellStyle name="Currency 4 3 2 4 2 3 2" xfId="52197"/>
    <cellStyle name="Currency 4 3 2 4 2 3 3" xfId="52198"/>
    <cellStyle name="Currency 4 3 2 4 2 4" xfId="52199"/>
    <cellStyle name="Currency 4 3 2 4 2 4 2" xfId="52200"/>
    <cellStyle name="Currency 4 3 2 4 2 5" xfId="52201"/>
    <cellStyle name="Currency 4 3 2 4 2 6" xfId="52202"/>
    <cellStyle name="Currency 4 3 2 4 3" xfId="52203"/>
    <cellStyle name="Currency 4 3 2 4 3 2" xfId="52204"/>
    <cellStyle name="Currency 4 3 2 4 3 2 2" xfId="52205"/>
    <cellStyle name="Currency 4 3 2 4 3 2 3" xfId="52206"/>
    <cellStyle name="Currency 4 3 2 4 3 3" xfId="52207"/>
    <cellStyle name="Currency 4 3 2 4 3 3 2" xfId="52208"/>
    <cellStyle name="Currency 4 3 2 4 3 3 3" xfId="52209"/>
    <cellStyle name="Currency 4 3 2 4 3 4" xfId="52210"/>
    <cellStyle name="Currency 4 3 2 4 3 4 2" xfId="52211"/>
    <cellStyle name="Currency 4 3 2 4 3 5" xfId="52212"/>
    <cellStyle name="Currency 4 3 2 4 3 6" xfId="52213"/>
    <cellStyle name="Currency 4 3 2 4 4" xfId="52214"/>
    <cellStyle name="Currency 4 3 2 4 4 2" xfId="52215"/>
    <cellStyle name="Currency 4 3 2 4 4 2 2" xfId="52216"/>
    <cellStyle name="Currency 4 3 2 4 4 2 3" xfId="52217"/>
    <cellStyle name="Currency 4 3 2 4 4 3" xfId="52218"/>
    <cellStyle name="Currency 4 3 2 4 4 3 2" xfId="52219"/>
    <cellStyle name="Currency 4 3 2 4 4 4" xfId="52220"/>
    <cellStyle name="Currency 4 3 2 4 4 5" xfId="52221"/>
    <cellStyle name="Currency 4 3 2 4 5" xfId="52222"/>
    <cellStyle name="Currency 4 3 2 4 5 2" xfId="52223"/>
    <cellStyle name="Currency 4 3 2 4 5 3" xfId="52224"/>
    <cellStyle name="Currency 4 3 2 4 6" xfId="52225"/>
    <cellStyle name="Currency 4 3 2 4 6 2" xfId="52226"/>
    <cellStyle name="Currency 4 3 2 4 6 3" xfId="52227"/>
    <cellStyle name="Currency 4 3 2 4 7" xfId="52228"/>
    <cellStyle name="Currency 4 3 2 4 7 2" xfId="52229"/>
    <cellStyle name="Currency 4 3 2 4 8" xfId="52230"/>
    <cellStyle name="Currency 4 3 2 4 9" xfId="52231"/>
    <cellStyle name="Currency 4 3 2 5" xfId="52232"/>
    <cellStyle name="Currency 4 3 2 5 2" xfId="52233"/>
    <cellStyle name="Currency 4 3 2 5 2 2" xfId="52234"/>
    <cellStyle name="Currency 4 3 2 5 2 3" xfId="52235"/>
    <cellStyle name="Currency 4 3 2 5 3" xfId="52236"/>
    <cellStyle name="Currency 4 3 2 5 3 2" xfId="52237"/>
    <cellStyle name="Currency 4 3 2 5 3 3" xfId="52238"/>
    <cellStyle name="Currency 4 3 2 5 4" xfId="52239"/>
    <cellStyle name="Currency 4 3 2 5 4 2" xfId="52240"/>
    <cellStyle name="Currency 4 3 2 5 5" xfId="52241"/>
    <cellStyle name="Currency 4 3 2 5 6" xfId="52242"/>
    <cellStyle name="Currency 4 3 2 6" xfId="52243"/>
    <cellStyle name="Currency 4 3 2 6 2" xfId="52244"/>
    <cellStyle name="Currency 4 3 2 6 2 2" xfId="52245"/>
    <cellStyle name="Currency 4 3 2 6 2 3" xfId="52246"/>
    <cellStyle name="Currency 4 3 2 6 3" xfId="52247"/>
    <cellStyle name="Currency 4 3 2 6 3 2" xfId="52248"/>
    <cellStyle name="Currency 4 3 2 6 3 3" xfId="52249"/>
    <cellStyle name="Currency 4 3 2 6 4" xfId="52250"/>
    <cellStyle name="Currency 4 3 2 6 4 2" xfId="52251"/>
    <cellStyle name="Currency 4 3 2 6 5" xfId="52252"/>
    <cellStyle name="Currency 4 3 2 6 6" xfId="52253"/>
    <cellStyle name="Currency 4 3 2 7" xfId="52254"/>
    <cellStyle name="Currency 4 3 2 7 2" xfId="52255"/>
    <cellStyle name="Currency 4 3 2 7 2 2" xfId="52256"/>
    <cellStyle name="Currency 4 3 2 7 2 3" xfId="52257"/>
    <cellStyle name="Currency 4 3 2 7 3" xfId="52258"/>
    <cellStyle name="Currency 4 3 2 7 3 2" xfId="52259"/>
    <cellStyle name="Currency 4 3 2 7 4" xfId="52260"/>
    <cellStyle name="Currency 4 3 2 7 5" xfId="52261"/>
    <cellStyle name="Currency 4 3 2 8" xfId="52262"/>
    <cellStyle name="Currency 4 3 2 8 2" xfId="52263"/>
    <cellStyle name="Currency 4 3 2 8 3" xfId="52264"/>
    <cellStyle name="Currency 4 3 2 9" xfId="52265"/>
    <cellStyle name="Currency 4 3 2 9 2" xfId="52266"/>
    <cellStyle name="Currency 4 3 2 9 3" xfId="52267"/>
    <cellStyle name="Currency 4 3 3" xfId="9168"/>
    <cellStyle name="Currency 4 3 3 10" xfId="52268"/>
    <cellStyle name="Currency 4 3 3 2" xfId="52269"/>
    <cellStyle name="Currency 4 3 3 2 2" xfId="52270"/>
    <cellStyle name="Currency 4 3 3 2 2 2" xfId="52271"/>
    <cellStyle name="Currency 4 3 3 2 2 2 2" xfId="52272"/>
    <cellStyle name="Currency 4 3 3 2 2 2 3" xfId="52273"/>
    <cellStyle name="Currency 4 3 3 2 2 3" xfId="52274"/>
    <cellStyle name="Currency 4 3 3 2 2 3 2" xfId="52275"/>
    <cellStyle name="Currency 4 3 3 2 2 3 3" xfId="52276"/>
    <cellStyle name="Currency 4 3 3 2 2 4" xfId="52277"/>
    <cellStyle name="Currency 4 3 3 2 2 4 2" xfId="52278"/>
    <cellStyle name="Currency 4 3 3 2 2 5" xfId="52279"/>
    <cellStyle name="Currency 4 3 3 2 2 6" xfId="52280"/>
    <cellStyle name="Currency 4 3 3 2 3" xfId="52281"/>
    <cellStyle name="Currency 4 3 3 2 3 2" xfId="52282"/>
    <cellStyle name="Currency 4 3 3 2 3 2 2" xfId="52283"/>
    <cellStyle name="Currency 4 3 3 2 3 2 3" xfId="52284"/>
    <cellStyle name="Currency 4 3 3 2 3 3" xfId="52285"/>
    <cellStyle name="Currency 4 3 3 2 3 3 2" xfId="52286"/>
    <cellStyle name="Currency 4 3 3 2 3 3 3" xfId="52287"/>
    <cellStyle name="Currency 4 3 3 2 3 4" xfId="52288"/>
    <cellStyle name="Currency 4 3 3 2 3 4 2" xfId="52289"/>
    <cellStyle name="Currency 4 3 3 2 3 5" xfId="52290"/>
    <cellStyle name="Currency 4 3 3 2 3 6" xfId="52291"/>
    <cellStyle name="Currency 4 3 3 2 4" xfId="52292"/>
    <cellStyle name="Currency 4 3 3 2 4 2" xfId="52293"/>
    <cellStyle name="Currency 4 3 3 2 4 2 2" xfId="52294"/>
    <cellStyle name="Currency 4 3 3 2 4 2 3" xfId="52295"/>
    <cellStyle name="Currency 4 3 3 2 4 3" xfId="52296"/>
    <cellStyle name="Currency 4 3 3 2 4 3 2" xfId="52297"/>
    <cellStyle name="Currency 4 3 3 2 4 4" xfId="52298"/>
    <cellStyle name="Currency 4 3 3 2 4 5" xfId="52299"/>
    <cellStyle name="Currency 4 3 3 2 5" xfId="52300"/>
    <cellStyle name="Currency 4 3 3 2 5 2" xfId="52301"/>
    <cellStyle name="Currency 4 3 3 2 5 3" xfId="52302"/>
    <cellStyle name="Currency 4 3 3 2 6" xfId="52303"/>
    <cellStyle name="Currency 4 3 3 2 6 2" xfId="52304"/>
    <cellStyle name="Currency 4 3 3 2 6 3" xfId="52305"/>
    <cellStyle name="Currency 4 3 3 2 7" xfId="52306"/>
    <cellStyle name="Currency 4 3 3 2 7 2" xfId="52307"/>
    <cellStyle name="Currency 4 3 3 2 8" xfId="52308"/>
    <cellStyle name="Currency 4 3 3 2 9" xfId="52309"/>
    <cellStyle name="Currency 4 3 3 3" xfId="52310"/>
    <cellStyle name="Currency 4 3 3 3 2" xfId="52311"/>
    <cellStyle name="Currency 4 3 3 3 2 2" xfId="52312"/>
    <cellStyle name="Currency 4 3 3 3 2 3" xfId="52313"/>
    <cellStyle name="Currency 4 3 3 3 3" xfId="52314"/>
    <cellStyle name="Currency 4 3 3 3 3 2" xfId="52315"/>
    <cellStyle name="Currency 4 3 3 3 3 3" xfId="52316"/>
    <cellStyle name="Currency 4 3 3 3 4" xfId="52317"/>
    <cellStyle name="Currency 4 3 3 3 4 2" xfId="52318"/>
    <cellStyle name="Currency 4 3 3 3 5" xfId="52319"/>
    <cellStyle name="Currency 4 3 3 3 6" xfId="52320"/>
    <cellStyle name="Currency 4 3 3 4" xfId="52321"/>
    <cellStyle name="Currency 4 3 3 4 2" xfId="52322"/>
    <cellStyle name="Currency 4 3 3 4 2 2" xfId="52323"/>
    <cellStyle name="Currency 4 3 3 4 2 3" xfId="52324"/>
    <cellStyle name="Currency 4 3 3 4 3" xfId="52325"/>
    <cellStyle name="Currency 4 3 3 4 3 2" xfId="52326"/>
    <cellStyle name="Currency 4 3 3 4 3 3" xfId="52327"/>
    <cellStyle name="Currency 4 3 3 4 4" xfId="52328"/>
    <cellStyle name="Currency 4 3 3 4 4 2" xfId="52329"/>
    <cellStyle name="Currency 4 3 3 4 5" xfId="52330"/>
    <cellStyle name="Currency 4 3 3 4 6" xfId="52331"/>
    <cellStyle name="Currency 4 3 3 5" xfId="52332"/>
    <cellStyle name="Currency 4 3 3 5 2" xfId="52333"/>
    <cellStyle name="Currency 4 3 3 5 2 2" xfId="52334"/>
    <cellStyle name="Currency 4 3 3 5 2 3" xfId="52335"/>
    <cellStyle name="Currency 4 3 3 5 3" xfId="52336"/>
    <cellStyle name="Currency 4 3 3 5 3 2" xfId="52337"/>
    <cellStyle name="Currency 4 3 3 5 4" xfId="52338"/>
    <cellStyle name="Currency 4 3 3 5 5" xfId="52339"/>
    <cellStyle name="Currency 4 3 3 6" xfId="52340"/>
    <cellStyle name="Currency 4 3 3 6 2" xfId="52341"/>
    <cellStyle name="Currency 4 3 3 6 3" xfId="52342"/>
    <cellStyle name="Currency 4 3 3 7" xfId="52343"/>
    <cellStyle name="Currency 4 3 3 7 2" xfId="52344"/>
    <cellStyle name="Currency 4 3 3 7 3" xfId="52345"/>
    <cellStyle name="Currency 4 3 3 8" xfId="52346"/>
    <cellStyle name="Currency 4 3 3 8 2" xfId="52347"/>
    <cellStyle name="Currency 4 3 3 9" xfId="52348"/>
    <cellStyle name="Currency 4 3 4" xfId="52349"/>
    <cellStyle name="Currency 4 3 4 2" xfId="52350"/>
    <cellStyle name="Currency 4 3 4 2 2" xfId="52351"/>
    <cellStyle name="Currency 4 3 4 2 2 2" xfId="52352"/>
    <cellStyle name="Currency 4 3 4 2 2 3" xfId="52353"/>
    <cellStyle name="Currency 4 3 4 2 3" xfId="52354"/>
    <cellStyle name="Currency 4 3 4 2 3 2" xfId="52355"/>
    <cellStyle name="Currency 4 3 4 2 3 3" xfId="52356"/>
    <cellStyle name="Currency 4 3 4 2 4" xfId="52357"/>
    <cellStyle name="Currency 4 3 4 2 4 2" xfId="52358"/>
    <cellStyle name="Currency 4 3 4 2 5" xfId="52359"/>
    <cellStyle name="Currency 4 3 4 2 6" xfId="52360"/>
    <cellStyle name="Currency 4 3 4 3" xfId="52361"/>
    <cellStyle name="Currency 4 3 4 3 2" xfId="52362"/>
    <cellStyle name="Currency 4 3 4 3 2 2" xfId="52363"/>
    <cellStyle name="Currency 4 3 4 3 2 3" xfId="52364"/>
    <cellStyle name="Currency 4 3 4 3 3" xfId="52365"/>
    <cellStyle name="Currency 4 3 4 3 3 2" xfId="52366"/>
    <cellStyle name="Currency 4 3 4 3 3 3" xfId="52367"/>
    <cellStyle name="Currency 4 3 4 3 4" xfId="52368"/>
    <cellStyle name="Currency 4 3 4 3 4 2" xfId="52369"/>
    <cellStyle name="Currency 4 3 4 3 5" xfId="52370"/>
    <cellStyle name="Currency 4 3 4 3 6" xfId="52371"/>
    <cellStyle name="Currency 4 3 4 4" xfId="52372"/>
    <cellStyle name="Currency 4 3 4 4 2" xfId="52373"/>
    <cellStyle name="Currency 4 3 4 4 2 2" xfId="52374"/>
    <cellStyle name="Currency 4 3 4 4 2 3" xfId="52375"/>
    <cellStyle name="Currency 4 3 4 4 3" xfId="52376"/>
    <cellStyle name="Currency 4 3 4 4 3 2" xfId="52377"/>
    <cellStyle name="Currency 4 3 4 4 4" xfId="52378"/>
    <cellStyle name="Currency 4 3 4 4 5" xfId="52379"/>
    <cellStyle name="Currency 4 3 4 5" xfId="52380"/>
    <cellStyle name="Currency 4 3 4 5 2" xfId="52381"/>
    <cellStyle name="Currency 4 3 4 5 3" xfId="52382"/>
    <cellStyle name="Currency 4 3 4 6" xfId="52383"/>
    <cellStyle name="Currency 4 3 4 6 2" xfId="52384"/>
    <cellStyle name="Currency 4 3 4 6 3" xfId="52385"/>
    <cellStyle name="Currency 4 3 4 7" xfId="52386"/>
    <cellStyle name="Currency 4 3 4 7 2" xfId="52387"/>
    <cellStyle name="Currency 4 3 4 8" xfId="52388"/>
    <cellStyle name="Currency 4 3 4 9" xfId="52389"/>
    <cellStyle name="Currency 4 3 5" xfId="52390"/>
    <cellStyle name="Currency 4 3 5 2" xfId="52391"/>
    <cellStyle name="Currency 4 3 5 2 2" xfId="52392"/>
    <cellStyle name="Currency 4 3 5 2 2 2" xfId="52393"/>
    <cellStyle name="Currency 4 3 5 2 2 3" xfId="52394"/>
    <cellStyle name="Currency 4 3 5 2 3" xfId="52395"/>
    <cellStyle name="Currency 4 3 5 2 3 2" xfId="52396"/>
    <cellStyle name="Currency 4 3 5 2 3 3" xfId="52397"/>
    <cellStyle name="Currency 4 3 5 2 4" xfId="52398"/>
    <cellStyle name="Currency 4 3 5 2 4 2" xfId="52399"/>
    <cellStyle name="Currency 4 3 5 2 5" xfId="52400"/>
    <cellStyle name="Currency 4 3 5 2 6" xfId="52401"/>
    <cellStyle name="Currency 4 3 5 3" xfId="52402"/>
    <cellStyle name="Currency 4 3 5 3 2" xfId="52403"/>
    <cellStyle name="Currency 4 3 5 3 2 2" xfId="52404"/>
    <cellStyle name="Currency 4 3 5 3 2 3" xfId="52405"/>
    <cellStyle name="Currency 4 3 5 3 3" xfId="52406"/>
    <cellStyle name="Currency 4 3 5 3 3 2" xfId="52407"/>
    <cellStyle name="Currency 4 3 5 3 3 3" xfId="52408"/>
    <cellStyle name="Currency 4 3 5 3 4" xfId="52409"/>
    <cellStyle name="Currency 4 3 5 3 4 2" xfId="52410"/>
    <cellStyle name="Currency 4 3 5 3 5" xfId="52411"/>
    <cellStyle name="Currency 4 3 5 3 6" xfId="52412"/>
    <cellStyle name="Currency 4 3 5 4" xfId="52413"/>
    <cellStyle name="Currency 4 3 5 4 2" xfId="52414"/>
    <cellStyle name="Currency 4 3 5 4 2 2" xfId="52415"/>
    <cellStyle name="Currency 4 3 5 4 2 3" xfId="52416"/>
    <cellStyle name="Currency 4 3 5 4 3" xfId="52417"/>
    <cellStyle name="Currency 4 3 5 4 3 2" xfId="52418"/>
    <cellStyle name="Currency 4 3 5 4 4" xfId="52419"/>
    <cellStyle name="Currency 4 3 5 4 5" xfId="52420"/>
    <cellStyle name="Currency 4 3 5 5" xfId="52421"/>
    <cellStyle name="Currency 4 3 5 5 2" xfId="52422"/>
    <cellStyle name="Currency 4 3 5 5 3" xfId="52423"/>
    <cellStyle name="Currency 4 3 5 6" xfId="52424"/>
    <cellStyle name="Currency 4 3 5 6 2" xfId="52425"/>
    <cellStyle name="Currency 4 3 5 6 3" xfId="52426"/>
    <cellStyle name="Currency 4 3 5 7" xfId="52427"/>
    <cellStyle name="Currency 4 3 5 7 2" xfId="52428"/>
    <cellStyle name="Currency 4 3 5 8" xfId="52429"/>
    <cellStyle name="Currency 4 3 5 9" xfId="52430"/>
    <cellStyle name="Currency 4 3 6" xfId="52431"/>
    <cellStyle name="Currency 4 3 6 2" xfId="52432"/>
    <cellStyle name="Currency 4 3 6 2 2" xfId="52433"/>
    <cellStyle name="Currency 4 3 6 2 3" xfId="52434"/>
    <cellStyle name="Currency 4 3 6 3" xfId="52435"/>
    <cellStyle name="Currency 4 3 6 3 2" xfId="52436"/>
    <cellStyle name="Currency 4 3 6 3 3" xfId="52437"/>
    <cellStyle name="Currency 4 3 6 4" xfId="52438"/>
    <cellStyle name="Currency 4 3 6 4 2" xfId="52439"/>
    <cellStyle name="Currency 4 3 6 5" xfId="52440"/>
    <cellStyle name="Currency 4 3 6 6" xfId="52441"/>
    <cellStyle name="Currency 4 3 7" xfId="52442"/>
    <cellStyle name="Currency 4 3 7 2" xfId="52443"/>
    <cellStyle name="Currency 4 3 7 2 2" xfId="52444"/>
    <cellStyle name="Currency 4 3 7 2 3" xfId="52445"/>
    <cellStyle name="Currency 4 3 7 3" xfId="52446"/>
    <cellStyle name="Currency 4 3 7 3 2" xfId="52447"/>
    <cellStyle name="Currency 4 3 7 3 3" xfId="52448"/>
    <cellStyle name="Currency 4 3 7 4" xfId="52449"/>
    <cellStyle name="Currency 4 3 7 4 2" xfId="52450"/>
    <cellStyle name="Currency 4 3 7 5" xfId="52451"/>
    <cellStyle name="Currency 4 3 7 6" xfId="52452"/>
    <cellStyle name="Currency 4 3 8" xfId="52453"/>
    <cellStyle name="Currency 4 3 8 2" xfId="52454"/>
    <cellStyle name="Currency 4 3 8 2 2" xfId="52455"/>
    <cellStyle name="Currency 4 3 8 2 3" xfId="52456"/>
    <cellStyle name="Currency 4 3 8 3" xfId="52457"/>
    <cellStyle name="Currency 4 3 8 3 2" xfId="52458"/>
    <cellStyle name="Currency 4 3 8 4" xfId="52459"/>
    <cellStyle name="Currency 4 3 8 5" xfId="52460"/>
    <cellStyle name="Currency 4 3 9" xfId="52461"/>
    <cellStyle name="Currency 4 3 9 2" xfId="52462"/>
    <cellStyle name="Currency 4 3 9 3" xfId="52463"/>
    <cellStyle name="Currency 4 4" xfId="3903"/>
    <cellStyle name="Currency 4 4 10" xfId="52464"/>
    <cellStyle name="Currency 4 4 10 2" xfId="52465"/>
    <cellStyle name="Currency 4 4 11" xfId="52466"/>
    <cellStyle name="Currency 4 4 12" xfId="52467"/>
    <cellStyle name="Currency 4 4 2" xfId="9169"/>
    <cellStyle name="Currency 4 4 2 10" xfId="52468"/>
    <cellStyle name="Currency 4 4 2 2" xfId="52469"/>
    <cellStyle name="Currency 4 4 2 2 2" xfId="52470"/>
    <cellStyle name="Currency 4 4 2 2 2 2" xfId="52471"/>
    <cellStyle name="Currency 4 4 2 2 2 2 2" xfId="52472"/>
    <cellStyle name="Currency 4 4 2 2 2 2 3" xfId="52473"/>
    <cellStyle name="Currency 4 4 2 2 2 3" xfId="52474"/>
    <cellStyle name="Currency 4 4 2 2 2 3 2" xfId="52475"/>
    <cellStyle name="Currency 4 4 2 2 2 3 3" xfId="52476"/>
    <cellStyle name="Currency 4 4 2 2 2 4" xfId="52477"/>
    <cellStyle name="Currency 4 4 2 2 2 4 2" xfId="52478"/>
    <cellStyle name="Currency 4 4 2 2 2 5" xfId="52479"/>
    <cellStyle name="Currency 4 4 2 2 2 6" xfId="52480"/>
    <cellStyle name="Currency 4 4 2 2 3" xfId="52481"/>
    <cellStyle name="Currency 4 4 2 2 3 2" xfId="52482"/>
    <cellStyle name="Currency 4 4 2 2 3 2 2" xfId="52483"/>
    <cellStyle name="Currency 4 4 2 2 3 2 3" xfId="52484"/>
    <cellStyle name="Currency 4 4 2 2 3 3" xfId="52485"/>
    <cellStyle name="Currency 4 4 2 2 3 3 2" xfId="52486"/>
    <cellStyle name="Currency 4 4 2 2 3 3 3" xfId="52487"/>
    <cellStyle name="Currency 4 4 2 2 3 4" xfId="52488"/>
    <cellStyle name="Currency 4 4 2 2 3 4 2" xfId="52489"/>
    <cellStyle name="Currency 4 4 2 2 3 5" xfId="52490"/>
    <cellStyle name="Currency 4 4 2 2 3 6" xfId="52491"/>
    <cellStyle name="Currency 4 4 2 2 4" xfId="52492"/>
    <cellStyle name="Currency 4 4 2 2 4 2" xfId="52493"/>
    <cellStyle name="Currency 4 4 2 2 4 2 2" xfId="52494"/>
    <cellStyle name="Currency 4 4 2 2 4 2 3" xfId="52495"/>
    <cellStyle name="Currency 4 4 2 2 4 3" xfId="52496"/>
    <cellStyle name="Currency 4 4 2 2 4 3 2" xfId="52497"/>
    <cellStyle name="Currency 4 4 2 2 4 4" xfId="52498"/>
    <cellStyle name="Currency 4 4 2 2 4 5" xfId="52499"/>
    <cellStyle name="Currency 4 4 2 2 5" xfId="52500"/>
    <cellStyle name="Currency 4 4 2 2 5 2" xfId="52501"/>
    <cellStyle name="Currency 4 4 2 2 5 3" xfId="52502"/>
    <cellStyle name="Currency 4 4 2 2 6" xfId="52503"/>
    <cellStyle name="Currency 4 4 2 2 6 2" xfId="52504"/>
    <cellStyle name="Currency 4 4 2 2 6 3" xfId="52505"/>
    <cellStyle name="Currency 4 4 2 2 7" xfId="52506"/>
    <cellStyle name="Currency 4 4 2 2 7 2" xfId="52507"/>
    <cellStyle name="Currency 4 4 2 2 8" xfId="52508"/>
    <cellStyle name="Currency 4 4 2 2 9" xfId="52509"/>
    <cellStyle name="Currency 4 4 2 3" xfId="52510"/>
    <cellStyle name="Currency 4 4 2 3 2" xfId="52511"/>
    <cellStyle name="Currency 4 4 2 3 2 2" xfId="52512"/>
    <cellStyle name="Currency 4 4 2 3 2 3" xfId="52513"/>
    <cellStyle name="Currency 4 4 2 3 3" xfId="52514"/>
    <cellStyle name="Currency 4 4 2 3 3 2" xfId="52515"/>
    <cellStyle name="Currency 4 4 2 3 3 3" xfId="52516"/>
    <cellStyle name="Currency 4 4 2 3 4" xfId="52517"/>
    <cellStyle name="Currency 4 4 2 3 4 2" xfId="52518"/>
    <cellStyle name="Currency 4 4 2 3 5" xfId="52519"/>
    <cellStyle name="Currency 4 4 2 3 6" xfId="52520"/>
    <cellStyle name="Currency 4 4 2 4" xfId="52521"/>
    <cellStyle name="Currency 4 4 2 4 2" xfId="52522"/>
    <cellStyle name="Currency 4 4 2 4 2 2" xfId="52523"/>
    <cellStyle name="Currency 4 4 2 4 2 3" xfId="52524"/>
    <cellStyle name="Currency 4 4 2 4 3" xfId="52525"/>
    <cellStyle name="Currency 4 4 2 4 3 2" xfId="52526"/>
    <cellStyle name="Currency 4 4 2 4 3 3" xfId="52527"/>
    <cellStyle name="Currency 4 4 2 4 4" xfId="52528"/>
    <cellStyle name="Currency 4 4 2 4 4 2" xfId="52529"/>
    <cellStyle name="Currency 4 4 2 4 5" xfId="52530"/>
    <cellStyle name="Currency 4 4 2 4 6" xfId="52531"/>
    <cellStyle name="Currency 4 4 2 5" xfId="52532"/>
    <cellStyle name="Currency 4 4 2 5 2" xfId="52533"/>
    <cellStyle name="Currency 4 4 2 5 2 2" xfId="52534"/>
    <cellStyle name="Currency 4 4 2 5 2 3" xfId="52535"/>
    <cellStyle name="Currency 4 4 2 5 3" xfId="52536"/>
    <cellStyle name="Currency 4 4 2 5 3 2" xfId="52537"/>
    <cellStyle name="Currency 4 4 2 5 4" xfId="52538"/>
    <cellStyle name="Currency 4 4 2 5 5" xfId="52539"/>
    <cellStyle name="Currency 4 4 2 6" xfId="52540"/>
    <cellStyle name="Currency 4 4 2 6 2" xfId="52541"/>
    <cellStyle name="Currency 4 4 2 6 3" xfId="52542"/>
    <cellStyle name="Currency 4 4 2 7" xfId="52543"/>
    <cellStyle name="Currency 4 4 2 7 2" xfId="52544"/>
    <cellStyle name="Currency 4 4 2 7 3" xfId="52545"/>
    <cellStyle name="Currency 4 4 2 8" xfId="52546"/>
    <cellStyle name="Currency 4 4 2 8 2" xfId="52547"/>
    <cellStyle name="Currency 4 4 2 9" xfId="52548"/>
    <cellStyle name="Currency 4 4 3" xfId="52549"/>
    <cellStyle name="Currency 4 4 3 2" xfId="52550"/>
    <cellStyle name="Currency 4 4 3 2 2" xfId="52551"/>
    <cellStyle name="Currency 4 4 3 2 2 2" xfId="52552"/>
    <cellStyle name="Currency 4 4 3 2 2 3" xfId="52553"/>
    <cellStyle name="Currency 4 4 3 2 3" xfId="52554"/>
    <cellStyle name="Currency 4 4 3 2 3 2" xfId="52555"/>
    <cellStyle name="Currency 4 4 3 2 3 3" xfId="52556"/>
    <cellStyle name="Currency 4 4 3 2 4" xfId="52557"/>
    <cellStyle name="Currency 4 4 3 2 4 2" xfId="52558"/>
    <cellStyle name="Currency 4 4 3 2 5" xfId="52559"/>
    <cellStyle name="Currency 4 4 3 2 6" xfId="52560"/>
    <cellStyle name="Currency 4 4 3 3" xfId="52561"/>
    <cellStyle name="Currency 4 4 3 3 2" xfId="52562"/>
    <cellStyle name="Currency 4 4 3 3 2 2" xfId="52563"/>
    <cellStyle name="Currency 4 4 3 3 2 3" xfId="52564"/>
    <cellStyle name="Currency 4 4 3 3 3" xfId="52565"/>
    <cellStyle name="Currency 4 4 3 3 3 2" xfId="52566"/>
    <cellStyle name="Currency 4 4 3 3 3 3" xfId="52567"/>
    <cellStyle name="Currency 4 4 3 3 4" xfId="52568"/>
    <cellStyle name="Currency 4 4 3 3 4 2" xfId="52569"/>
    <cellStyle name="Currency 4 4 3 3 5" xfId="52570"/>
    <cellStyle name="Currency 4 4 3 3 6" xfId="52571"/>
    <cellStyle name="Currency 4 4 3 4" xfId="52572"/>
    <cellStyle name="Currency 4 4 3 4 2" xfId="52573"/>
    <cellStyle name="Currency 4 4 3 4 2 2" xfId="52574"/>
    <cellStyle name="Currency 4 4 3 4 2 3" xfId="52575"/>
    <cellStyle name="Currency 4 4 3 4 3" xfId="52576"/>
    <cellStyle name="Currency 4 4 3 4 3 2" xfId="52577"/>
    <cellStyle name="Currency 4 4 3 4 4" xfId="52578"/>
    <cellStyle name="Currency 4 4 3 4 5" xfId="52579"/>
    <cellStyle name="Currency 4 4 3 5" xfId="52580"/>
    <cellStyle name="Currency 4 4 3 5 2" xfId="52581"/>
    <cellStyle name="Currency 4 4 3 5 3" xfId="52582"/>
    <cellStyle name="Currency 4 4 3 6" xfId="52583"/>
    <cellStyle name="Currency 4 4 3 6 2" xfId="52584"/>
    <cellStyle name="Currency 4 4 3 6 3" xfId="52585"/>
    <cellStyle name="Currency 4 4 3 7" xfId="52586"/>
    <cellStyle name="Currency 4 4 3 7 2" xfId="52587"/>
    <cellStyle name="Currency 4 4 3 8" xfId="52588"/>
    <cellStyle name="Currency 4 4 3 9" xfId="52589"/>
    <cellStyle name="Currency 4 4 4" xfId="52590"/>
    <cellStyle name="Currency 4 4 4 2" xfId="52591"/>
    <cellStyle name="Currency 4 4 4 2 2" xfId="52592"/>
    <cellStyle name="Currency 4 4 4 2 2 2" xfId="52593"/>
    <cellStyle name="Currency 4 4 4 2 2 3" xfId="52594"/>
    <cellStyle name="Currency 4 4 4 2 3" xfId="52595"/>
    <cellStyle name="Currency 4 4 4 2 3 2" xfId="52596"/>
    <cellStyle name="Currency 4 4 4 2 3 3" xfId="52597"/>
    <cellStyle name="Currency 4 4 4 2 4" xfId="52598"/>
    <cellStyle name="Currency 4 4 4 2 4 2" xfId="52599"/>
    <cellStyle name="Currency 4 4 4 2 5" xfId="52600"/>
    <cellStyle name="Currency 4 4 4 2 6" xfId="52601"/>
    <cellStyle name="Currency 4 4 4 3" xfId="52602"/>
    <cellStyle name="Currency 4 4 4 3 2" xfId="52603"/>
    <cellStyle name="Currency 4 4 4 3 2 2" xfId="52604"/>
    <cellStyle name="Currency 4 4 4 3 2 3" xfId="52605"/>
    <cellStyle name="Currency 4 4 4 3 3" xfId="52606"/>
    <cellStyle name="Currency 4 4 4 3 3 2" xfId="52607"/>
    <cellStyle name="Currency 4 4 4 3 3 3" xfId="52608"/>
    <cellStyle name="Currency 4 4 4 3 4" xfId="52609"/>
    <cellStyle name="Currency 4 4 4 3 4 2" xfId="52610"/>
    <cellStyle name="Currency 4 4 4 3 5" xfId="52611"/>
    <cellStyle name="Currency 4 4 4 3 6" xfId="52612"/>
    <cellStyle name="Currency 4 4 4 4" xfId="52613"/>
    <cellStyle name="Currency 4 4 4 4 2" xfId="52614"/>
    <cellStyle name="Currency 4 4 4 4 2 2" xfId="52615"/>
    <cellStyle name="Currency 4 4 4 4 2 3" xfId="52616"/>
    <cellStyle name="Currency 4 4 4 4 3" xfId="52617"/>
    <cellStyle name="Currency 4 4 4 4 3 2" xfId="52618"/>
    <cellStyle name="Currency 4 4 4 4 4" xfId="52619"/>
    <cellStyle name="Currency 4 4 4 4 5" xfId="52620"/>
    <cellStyle name="Currency 4 4 4 5" xfId="52621"/>
    <cellStyle name="Currency 4 4 4 5 2" xfId="52622"/>
    <cellStyle name="Currency 4 4 4 5 3" xfId="52623"/>
    <cellStyle name="Currency 4 4 4 6" xfId="52624"/>
    <cellStyle name="Currency 4 4 4 6 2" xfId="52625"/>
    <cellStyle name="Currency 4 4 4 6 3" xfId="52626"/>
    <cellStyle name="Currency 4 4 4 7" xfId="52627"/>
    <cellStyle name="Currency 4 4 4 7 2" xfId="52628"/>
    <cellStyle name="Currency 4 4 4 8" xfId="52629"/>
    <cellStyle name="Currency 4 4 4 9" xfId="52630"/>
    <cellStyle name="Currency 4 4 5" xfId="52631"/>
    <cellStyle name="Currency 4 4 5 2" xfId="52632"/>
    <cellStyle name="Currency 4 4 5 2 2" xfId="52633"/>
    <cellStyle name="Currency 4 4 5 2 3" xfId="52634"/>
    <cellStyle name="Currency 4 4 5 3" xfId="52635"/>
    <cellStyle name="Currency 4 4 5 3 2" xfId="52636"/>
    <cellStyle name="Currency 4 4 5 3 3" xfId="52637"/>
    <cellStyle name="Currency 4 4 5 4" xfId="52638"/>
    <cellStyle name="Currency 4 4 5 4 2" xfId="52639"/>
    <cellStyle name="Currency 4 4 5 5" xfId="52640"/>
    <cellStyle name="Currency 4 4 5 6" xfId="52641"/>
    <cellStyle name="Currency 4 4 6" xfId="52642"/>
    <cellStyle name="Currency 4 4 6 2" xfId="52643"/>
    <cellStyle name="Currency 4 4 6 2 2" xfId="52644"/>
    <cellStyle name="Currency 4 4 6 2 3" xfId="52645"/>
    <cellStyle name="Currency 4 4 6 3" xfId="52646"/>
    <cellStyle name="Currency 4 4 6 3 2" xfId="52647"/>
    <cellStyle name="Currency 4 4 6 3 3" xfId="52648"/>
    <cellStyle name="Currency 4 4 6 4" xfId="52649"/>
    <cellStyle name="Currency 4 4 6 4 2" xfId="52650"/>
    <cellStyle name="Currency 4 4 6 5" xfId="52651"/>
    <cellStyle name="Currency 4 4 6 6" xfId="52652"/>
    <cellStyle name="Currency 4 4 7" xfId="52653"/>
    <cellStyle name="Currency 4 4 7 2" xfId="52654"/>
    <cellStyle name="Currency 4 4 7 2 2" xfId="52655"/>
    <cellStyle name="Currency 4 4 7 2 3" xfId="52656"/>
    <cellStyle name="Currency 4 4 7 3" xfId="52657"/>
    <cellStyle name="Currency 4 4 7 3 2" xfId="52658"/>
    <cellStyle name="Currency 4 4 7 4" xfId="52659"/>
    <cellStyle name="Currency 4 4 7 5" xfId="52660"/>
    <cellStyle name="Currency 4 4 8" xfId="52661"/>
    <cellStyle name="Currency 4 4 8 2" xfId="52662"/>
    <cellStyle name="Currency 4 4 8 3" xfId="52663"/>
    <cellStyle name="Currency 4 4 9" xfId="52664"/>
    <cellStyle name="Currency 4 4 9 2" xfId="52665"/>
    <cellStyle name="Currency 4 4 9 3" xfId="52666"/>
    <cellStyle name="Currency 4 5" xfId="3904"/>
    <cellStyle name="Currency 4 5 10" xfId="52667"/>
    <cellStyle name="Currency 4 5 2" xfId="52668"/>
    <cellStyle name="Currency 4 5 2 2" xfId="52669"/>
    <cellStyle name="Currency 4 5 2 2 2" xfId="52670"/>
    <cellStyle name="Currency 4 5 2 2 2 2" xfId="52671"/>
    <cellStyle name="Currency 4 5 2 2 2 3" xfId="52672"/>
    <cellStyle name="Currency 4 5 2 2 3" xfId="52673"/>
    <cellStyle name="Currency 4 5 2 2 3 2" xfId="52674"/>
    <cellStyle name="Currency 4 5 2 2 3 3" xfId="52675"/>
    <cellStyle name="Currency 4 5 2 2 4" xfId="52676"/>
    <cellStyle name="Currency 4 5 2 2 4 2" xfId="52677"/>
    <cellStyle name="Currency 4 5 2 2 5" xfId="52678"/>
    <cellStyle name="Currency 4 5 2 2 6" xfId="52679"/>
    <cellStyle name="Currency 4 5 2 3" xfId="52680"/>
    <cellStyle name="Currency 4 5 2 3 2" xfId="52681"/>
    <cellStyle name="Currency 4 5 2 3 2 2" xfId="52682"/>
    <cellStyle name="Currency 4 5 2 3 2 3" xfId="52683"/>
    <cellStyle name="Currency 4 5 2 3 3" xfId="52684"/>
    <cellStyle name="Currency 4 5 2 3 3 2" xfId="52685"/>
    <cellStyle name="Currency 4 5 2 3 3 3" xfId="52686"/>
    <cellStyle name="Currency 4 5 2 3 4" xfId="52687"/>
    <cellStyle name="Currency 4 5 2 3 4 2" xfId="52688"/>
    <cellStyle name="Currency 4 5 2 3 5" xfId="52689"/>
    <cellStyle name="Currency 4 5 2 3 6" xfId="52690"/>
    <cellStyle name="Currency 4 5 2 4" xfId="52691"/>
    <cellStyle name="Currency 4 5 2 4 2" xfId="52692"/>
    <cellStyle name="Currency 4 5 2 4 2 2" xfId="52693"/>
    <cellStyle name="Currency 4 5 2 4 2 3" xfId="52694"/>
    <cellStyle name="Currency 4 5 2 4 3" xfId="52695"/>
    <cellStyle name="Currency 4 5 2 4 3 2" xfId="52696"/>
    <cellStyle name="Currency 4 5 2 4 4" xfId="52697"/>
    <cellStyle name="Currency 4 5 2 4 5" xfId="52698"/>
    <cellStyle name="Currency 4 5 2 5" xfId="52699"/>
    <cellStyle name="Currency 4 5 2 5 2" xfId="52700"/>
    <cellStyle name="Currency 4 5 2 5 3" xfId="52701"/>
    <cellStyle name="Currency 4 5 2 6" xfId="52702"/>
    <cellStyle name="Currency 4 5 2 6 2" xfId="52703"/>
    <cellStyle name="Currency 4 5 2 6 3" xfId="52704"/>
    <cellStyle name="Currency 4 5 2 7" xfId="52705"/>
    <cellStyle name="Currency 4 5 2 7 2" xfId="52706"/>
    <cellStyle name="Currency 4 5 2 8" xfId="52707"/>
    <cellStyle name="Currency 4 5 2 9" xfId="52708"/>
    <cellStyle name="Currency 4 5 3" xfId="52709"/>
    <cellStyle name="Currency 4 5 3 2" xfId="52710"/>
    <cellStyle name="Currency 4 5 3 2 2" xfId="52711"/>
    <cellStyle name="Currency 4 5 3 2 3" xfId="52712"/>
    <cellStyle name="Currency 4 5 3 3" xfId="52713"/>
    <cellStyle name="Currency 4 5 3 3 2" xfId="52714"/>
    <cellStyle name="Currency 4 5 3 3 3" xfId="52715"/>
    <cellStyle name="Currency 4 5 3 4" xfId="52716"/>
    <cellStyle name="Currency 4 5 3 4 2" xfId="52717"/>
    <cellStyle name="Currency 4 5 3 5" xfId="52718"/>
    <cellStyle name="Currency 4 5 3 6" xfId="52719"/>
    <cellStyle name="Currency 4 5 4" xfId="52720"/>
    <cellStyle name="Currency 4 5 4 2" xfId="52721"/>
    <cellStyle name="Currency 4 5 4 2 2" xfId="52722"/>
    <cellStyle name="Currency 4 5 4 2 3" xfId="52723"/>
    <cellStyle name="Currency 4 5 4 3" xfId="52724"/>
    <cellStyle name="Currency 4 5 4 3 2" xfId="52725"/>
    <cellStyle name="Currency 4 5 4 3 3" xfId="52726"/>
    <cellStyle name="Currency 4 5 4 4" xfId="52727"/>
    <cellStyle name="Currency 4 5 4 4 2" xfId="52728"/>
    <cellStyle name="Currency 4 5 4 5" xfId="52729"/>
    <cellStyle name="Currency 4 5 4 6" xfId="52730"/>
    <cellStyle name="Currency 4 5 5" xfId="52731"/>
    <cellStyle name="Currency 4 5 5 2" xfId="52732"/>
    <cellStyle name="Currency 4 5 5 2 2" xfId="52733"/>
    <cellStyle name="Currency 4 5 5 2 3" xfId="52734"/>
    <cellStyle name="Currency 4 5 5 3" xfId="52735"/>
    <cellStyle name="Currency 4 5 5 3 2" xfId="52736"/>
    <cellStyle name="Currency 4 5 5 4" xfId="52737"/>
    <cellStyle name="Currency 4 5 5 5" xfId="52738"/>
    <cellStyle name="Currency 4 5 6" xfId="52739"/>
    <cellStyle name="Currency 4 5 6 2" xfId="52740"/>
    <cellStyle name="Currency 4 5 6 3" xfId="52741"/>
    <cellStyle name="Currency 4 5 7" xfId="52742"/>
    <cellStyle name="Currency 4 5 7 2" xfId="52743"/>
    <cellStyle name="Currency 4 5 7 3" xfId="52744"/>
    <cellStyle name="Currency 4 5 8" xfId="52745"/>
    <cellStyle name="Currency 4 5 8 2" xfId="52746"/>
    <cellStyle name="Currency 4 5 9" xfId="52747"/>
    <cellStyle name="Currency 4 6" xfId="9170"/>
    <cellStyle name="Currency 4 6 2" xfId="52748"/>
    <cellStyle name="Currency 4 6 2 2" xfId="52749"/>
    <cellStyle name="Currency 4 6 2 2 2" xfId="52750"/>
    <cellStyle name="Currency 4 6 2 2 3" xfId="52751"/>
    <cellStyle name="Currency 4 6 2 3" xfId="52752"/>
    <cellStyle name="Currency 4 6 2 3 2" xfId="52753"/>
    <cellStyle name="Currency 4 6 2 3 3" xfId="52754"/>
    <cellStyle name="Currency 4 6 2 4" xfId="52755"/>
    <cellStyle name="Currency 4 6 2 4 2" xfId="52756"/>
    <cellStyle name="Currency 4 6 2 5" xfId="52757"/>
    <cellStyle name="Currency 4 6 2 6" xfId="52758"/>
    <cellStyle name="Currency 4 6 3" xfId="52759"/>
    <cellStyle name="Currency 4 6 3 2" xfId="52760"/>
    <cellStyle name="Currency 4 6 3 2 2" xfId="52761"/>
    <cellStyle name="Currency 4 6 3 2 3" xfId="52762"/>
    <cellStyle name="Currency 4 6 3 3" xfId="52763"/>
    <cellStyle name="Currency 4 6 3 3 2" xfId="52764"/>
    <cellStyle name="Currency 4 6 3 3 3" xfId="52765"/>
    <cellStyle name="Currency 4 6 3 4" xfId="52766"/>
    <cellStyle name="Currency 4 6 3 4 2" xfId="52767"/>
    <cellStyle name="Currency 4 6 3 5" xfId="52768"/>
    <cellStyle name="Currency 4 6 3 6" xfId="52769"/>
    <cellStyle name="Currency 4 6 4" xfId="52770"/>
    <cellStyle name="Currency 4 6 4 2" xfId="52771"/>
    <cellStyle name="Currency 4 6 4 2 2" xfId="52772"/>
    <cellStyle name="Currency 4 6 4 2 3" xfId="52773"/>
    <cellStyle name="Currency 4 6 4 3" xfId="52774"/>
    <cellStyle name="Currency 4 6 4 3 2" xfId="52775"/>
    <cellStyle name="Currency 4 6 4 4" xfId="52776"/>
    <cellStyle name="Currency 4 6 4 5" xfId="52777"/>
    <cellStyle name="Currency 4 6 5" xfId="52778"/>
    <cellStyle name="Currency 4 6 5 2" xfId="52779"/>
    <cellStyle name="Currency 4 6 5 3" xfId="52780"/>
    <cellStyle name="Currency 4 6 6" xfId="52781"/>
    <cellStyle name="Currency 4 6 6 2" xfId="52782"/>
    <cellStyle name="Currency 4 6 6 3" xfId="52783"/>
    <cellStyle name="Currency 4 6 7" xfId="52784"/>
    <cellStyle name="Currency 4 6 7 2" xfId="52785"/>
    <cellStyle name="Currency 4 6 8" xfId="52786"/>
    <cellStyle name="Currency 4 6 9" xfId="52787"/>
    <cellStyle name="Currency 4 7" xfId="52788"/>
    <cellStyle name="Currency 4 7 2" xfId="52789"/>
    <cellStyle name="Currency 4 7 2 2" xfId="52790"/>
    <cellStyle name="Currency 4 7 2 2 2" xfId="52791"/>
    <cellStyle name="Currency 4 7 2 2 3" xfId="52792"/>
    <cellStyle name="Currency 4 7 2 3" xfId="52793"/>
    <cellStyle name="Currency 4 7 2 3 2" xfId="52794"/>
    <cellStyle name="Currency 4 7 2 3 3" xfId="52795"/>
    <cellStyle name="Currency 4 7 2 4" xfId="52796"/>
    <cellStyle name="Currency 4 7 2 4 2" xfId="52797"/>
    <cellStyle name="Currency 4 7 2 5" xfId="52798"/>
    <cellStyle name="Currency 4 7 2 6" xfId="52799"/>
    <cellStyle name="Currency 4 7 3" xfId="52800"/>
    <cellStyle name="Currency 4 7 3 2" xfId="52801"/>
    <cellStyle name="Currency 4 7 3 2 2" xfId="52802"/>
    <cellStyle name="Currency 4 7 3 2 3" xfId="52803"/>
    <cellStyle name="Currency 4 7 3 3" xfId="52804"/>
    <cellStyle name="Currency 4 7 3 3 2" xfId="52805"/>
    <cellStyle name="Currency 4 7 3 3 3" xfId="52806"/>
    <cellStyle name="Currency 4 7 3 4" xfId="52807"/>
    <cellStyle name="Currency 4 7 3 4 2" xfId="52808"/>
    <cellStyle name="Currency 4 7 3 5" xfId="52809"/>
    <cellStyle name="Currency 4 7 3 6" xfId="52810"/>
    <cellStyle name="Currency 4 7 4" xfId="52811"/>
    <cellStyle name="Currency 4 7 4 2" xfId="52812"/>
    <cellStyle name="Currency 4 7 4 2 2" xfId="52813"/>
    <cellStyle name="Currency 4 7 4 2 3" xfId="52814"/>
    <cellStyle name="Currency 4 7 4 3" xfId="52815"/>
    <cellStyle name="Currency 4 7 4 3 2" xfId="52816"/>
    <cellStyle name="Currency 4 7 4 4" xfId="52817"/>
    <cellStyle name="Currency 4 7 4 5" xfId="52818"/>
    <cellStyle name="Currency 4 7 5" xfId="52819"/>
    <cellStyle name="Currency 4 7 5 2" xfId="52820"/>
    <cellStyle name="Currency 4 7 5 3" xfId="52821"/>
    <cellStyle name="Currency 4 7 6" xfId="52822"/>
    <cellStyle name="Currency 4 7 6 2" xfId="52823"/>
    <cellStyle name="Currency 4 7 6 3" xfId="52824"/>
    <cellStyle name="Currency 4 7 7" xfId="52825"/>
    <cellStyle name="Currency 4 7 7 2" xfId="52826"/>
    <cellStyle name="Currency 4 7 8" xfId="52827"/>
    <cellStyle name="Currency 4 7 9" xfId="52828"/>
    <cellStyle name="Currency 4 8" xfId="52829"/>
    <cellStyle name="Currency 4 8 2" xfId="52830"/>
    <cellStyle name="Currency 4 8 2 2" xfId="52831"/>
    <cellStyle name="Currency 4 8 2 3" xfId="52832"/>
    <cellStyle name="Currency 4 8 3" xfId="52833"/>
    <cellStyle name="Currency 4 8 3 2" xfId="52834"/>
    <cellStyle name="Currency 4 8 3 3" xfId="52835"/>
    <cellStyle name="Currency 4 8 4" xfId="52836"/>
    <cellStyle name="Currency 4 8 4 2" xfId="52837"/>
    <cellStyle name="Currency 4 8 5" xfId="52838"/>
    <cellStyle name="Currency 4 8 6" xfId="52839"/>
    <cellStyle name="Currency 4 9" xfId="52840"/>
    <cellStyle name="Currency 4 9 2" xfId="52841"/>
    <cellStyle name="Currency 4 9 2 2" xfId="52842"/>
    <cellStyle name="Currency 4 9 2 3" xfId="52843"/>
    <cellStyle name="Currency 4 9 3" xfId="52844"/>
    <cellStyle name="Currency 4 9 3 2" xfId="52845"/>
    <cellStyle name="Currency 4 9 3 3" xfId="52846"/>
    <cellStyle name="Currency 4 9 4" xfId="52847"/>
    <cellStyle name="Currency 4 9 4 2" xfId="52848"/>
    <cellStyle name="Currency 4 9 5" xfId="52849"/>
    <cellStyle name="Currency 4 9 6" xfId="52850"/>
    <cellStyle name="Currency 40" xfId="3905"/>
    <cellStyle name="Currency 41" xfId="3906"/>
    <cellStyle name="Currency 42" xfId="3907"/>
    <cellStyle name="Currency 43" xfId="3908"/>
    <cellStyle name="Currency 44" xfId="3909"/>
    <cellStyle name="Currency 45" xfId="3910"/>
    <cellStyle name="Currency 46" xfId="3911"/>
    <cellStyle name="Currency 47" xfId="3912"/>
    <cellStyle name="Currency 48" xfId="3913"/>
    <cellStyle name="Currency 49" xfId="3914"/>
    <cellStyle name="Currency 5" xfId="3915"/>
    <cellStyle name="Currency 5 2" xfId="3916"/>
    <cellStyle name="Currency 5 2 2" xfId="9171"/>
    <cellStyle name="Currency 5 2 2 2" xfId="9172"/>
    <cellStyle name="Currency 5 2 2 3" xfId="59083"/>
    <cellStyle name="Currency 5 2 2 4" xfId="59084"/>
    <cellStyle name="Currency 5 2 3" xfId="9173"/>
    <cellStyle name="Currency 5 2 3 2" xfId="59085"/>
    <cellStyle name="Currency 5 2 4" xfId="9174"/>
    <cellStyle name="Currency 5 2 5" xfId="59086"/>
    <cellStyle name="Currency 5 2 6" xfId="59087"/>
    <cellStyle name="Currency 5 2 7" xfId="59088"/>
    <cellStyle name="Currency 5 3" xfId="3917"/>
    <cellStyle name="Currency 5 3 2" xfId="9175"/>
    <cellStyle name="Currency 5 3 3" xfId="9176"/>
    <cellStyle name="Currency 5 3 4" xfId="59089"/>
    <cellStyle name="Currency 5 4" xfId="9177"/>
    <cellStyle name="Currency 5 4 2" xfId="52851"/>
    <cellStyle name="Currency 5 5" xfId="9178"/>
    <cellStyle name="Currency 5 6" xfId="52852"/>
    <cellStyle name="Currency 5 7" xfId="59090"/>
    <cellStyle name="Currency 5 8" xfId="59091"/>
    <cellStyle name="Currency 50" xfId="3918"/>
    <cellStyle name="Currency 51" xfId="3919"/>
    <cellStyle name="Currency 52" xfId="3920"/>
    <cellStyle name="Currency 53" xfId="3921"/>
    <cellStyle name="Currency 54" xfId="3922"/>
    <cellStyle name="Currency 55" xfId="3923"/>
    <cellStyle name="Currency 56" xfId="3924"/>
    <cellStyle name="Currency 56 2" xfId="3925"/>
    <cellStyle name="Currency 57" xfId="3926"/>
    <cellStyle name="Currency 57 2" xfId="3927"/>
    <cellStyle name="Currency 58" xfId="3928"/>
    <cellStyle name="Currency 59" xfId="3929"/>
    <cellStyle name="Currency 6" xfId="3930"/>
    <cellStyle name="Currency 6 2" xfId="3931"/>
    <cellStyle name="Currency 6 2 2" xfId="8401"/>
    <cellStyle name="Currency 6 2 2 2" xfId="8402"/>
    <cellStyle name="Currency 6 2 2 2 2" xfId="8403"/>
    <cellStyle name="Currency 6 2 2 2 3" xfId="59092"/>
    <cellStyle name="Currency 6 2 2 3" xfId="8404"/>
    <cellStyle name="Currency 6 2 2 3 2" xfId="59093"/>
    <cellStyle name="Currency 6 2 2 4" xfId="59094"/>
    <cellStyle name="Currency 6 2 2 5" xfId="59095"/>
    <cellStyle name="Currency 6 2 2 6" xfId="59096"/>
    <cellStyle name="Currency 6 2 3" xfId="8405"/>
    <cellStyle name="Currency 6 2 3 2" xfId="8406"/>
    <cellStyle name="Currency 6 2 3 3" xfId="59097"/>
    <cellStyle name="Currency 6 2 4" xfId="8407"/>
    <cellStyle name="Currency 6 2 4 2" xfId="59098"/>
    <cellStyle name="Currency 6 2 5" xfId="52853"/>
    <cellStyle name="Currency 6 3" xfId="3932"/>
    <cellStyle name="Currency 6 3 2" xfId="8408"/>
    <cellStyle name="Currency 6 3 2 2" xfId="8409"/>
    <cellStyle name="Currency 6 3 2 2 2" xfId="59099"/>
    <cellStyle name="Currency 6 3 2 3" xfId="59100"/>
    <cellStyle name="Currency 6 3 2 4" xfId="59101"/>
    <cellStyle name="Currency 6 3 2 5" xfId="59102"/>
    <cellStyle name="Currency 6 3 3" xfId="8410"/>
    <cellStyle name="Currency 6 3 3 2" xfId="59103"/>
    <cellStyle name="Currency 6 3 4" xfId="59104"/>
    <cellStyle name="Currency 6 3 5" xfId="59105"/>
    <cellStyle name="Currency 6 3 6" xfId="59106"/>
    <cellStyle name="Currency 6 3 7" xfId="59107"/>
    <cellStyle name="Currency 6 4" xfId="8411"/>
    <cellStyle name="Currency 6 4 2" xfId="8412"/>
    <cellStyle name="Currency 6 4 2 2" xfId="59108"/>
    <cellStyle name="Currency 6 4 3" xfId="59109"/>
    <cellStyle name="Currency 6 4 4" xfId="59110"/>
    <cellStyle name="Currency 6 4 5" xfId="59111"/>
    <cellStyle name="Currency 6 5" xfId="8413"/>
    <cellStyle name="Currency 6 5 2" xfId="8414"/>
    <cellStyle name="Currency 6 5 2 2" xfId="59112"/>
    <cellStyle name="Currency 6 5 3" xfId="59113"/>
    <cellStyle name="Currency 6 5 4" xfId="59114"/>
    <cellStyle name="Currency 6 5 5" xfId="59115"/>
    <cellStyle name="Currency 6 6" xfId="8415"/>
    <cellStyle name="Currency 6 6 2" xfId="59116"/>
    <cellStyle name="Currency 6 6 2 2" xfId="59117"/>
    <cellStyle name="Currency 6 6 3" xfId="59118"/>
    <cellStyle name="Currency 6 6 4" xfId="59119"/>
    <cellStyle name="Currency 6 6 5" xfId="59120"/>
    <cellStyle name="Currency 6 7" xfId="52854"/>
    <cellStyle name="Currency 60" xfId="3933"/>
    <cellStyle name="Currency 61" xfId="3934"/>
    <cellStyle name="Currency 62" xfId="3935"/>
    <cellStyle name="Currency 62 2" xfId="3936"/>
    <cellStyle name="Currency 63" xfId="3937"/>
    <cellStyle name="Currency 64" xfId="3938"/>
    <cellStyle name="Currency 65" xfId="3939"/>
    <cellStyle name="Currency 66" xfId="3940"/>
    <cellStyle name="Currency 67" xfId="3941"/>
    <cellStyle name="Currency 68" xfId="3942"/>
    <cellStyle name="Currency 69" xfId="3943"/>
    <cellStyle name="Currency 7" xfId="3944"/>
    <cellStyle name="Currency 7 2" xfId="3945"/>
    <cellStyle name="Currency 7 2 2" xfId="9179"/>
    <cellStyle name="Currency 7 2 2 2" xfId="9180"/>
    <cellStyle name="Currency 7 2 3" xfId="9181"/>
    <cellStyle name="Currency 7 2 4" xfId="9182"/>
    <cellStyle name="Currency 7 3" xfId="3946"/>
    <cellStyle name="Currency 7 3 2" xfId="9183"/>
    <cellStyle name="Currency 7 3 3" xfId="9184"/>
    <cellStyle name="Currency 7 3 4" xfId="59121"/>
    <cellStyle name="Currency 7 4" xfId="9185"/>
    <cellStyle name="Currency 7 4 2" xfId="59122"/>
    <cellStyle name="Currency 7 5" xfId="9186"/>
    <cellStyle name="Currency 7 6" xfId="59123"/>
    <cellStyle name="Currency 7 7" xfId="59124"/>
    <cellStyle name="Currency 7 8" xfId="59125"/>
    <cellStyle name="Currency 70" xfId="3947"/>
    <cellStyle name="Currency 71" xfId="3948"/>
    <cellStyle name="Currency 72" xfId="3949"/>
    <cellStyle name="Currency 73" xfId="3950"/>
    <cellStyle name="Currency 74" xfId="3951"/>
    <cellStyle name="Currency 75" xfId="3952"/>
    <cellStyle name="Currency 76" xfId="8781"/>
    <cellStyle name="Currency 77" xfId="9187"/>
    <cellStyle name="Currency 78" xfId="9188"/>
    <cellStyle name="Currency 79" xfId="9189"/>
    <cellStyle name="Currency 8" xfId="3953"/>
    <cellStyle name="Currency 8 2" xfId="3954"/>
    <cellStyle name="Currency 8 2 2" xfId="9190"/>
    <cellStyle name="Currency 8 2 2 2" xfId="9191"/>
    <cellStyle name="Currency 8 2 3" xfId="9192"/>
    <cellStyle name="Currency 8 2 3 2" xfId="59126"/>
    <cellStyle name="Currency 8 2 4" xfId="9193"/>
    <cellStyle name="Currency 8 2 5" xfId="59127"/>
    <cellStyle name="Currency 8 3" xfId="9194"/>
    <cellStyle name="Currency 8 3 2" xfId="9195"/>
    <cellStyle name="Currency 8 3 3" xfId="59128"/>
    <cellStyle name="Currency 8 4" xfId="9196"/>
    <cellStyle name="Currency 8 5" xfId="9197"/>
    <cellStyle name="Currency 8 6" xfId="59129"/>
    <cellStyle name="Currency 8 7" xfId="59130"/>
    <cellStyle name="Currency 80" xfId="9374"/>
    <cellStyle name="Currency 81" xfId="9648"/>
    <cellStyle name="Currency 82" xfId="9649"/>
    <cellStyle name="Currency 83" xfId="9650"/>
    <cellStyle name="Currency 84" xfId="9651"/>
    <cellStyle name="Currency 85" xfId="9652"/>
    <cellStyle name="Currency 86" xfId="9653"/>
    <cellStyle name="Currency 87" xfId="9654"/>
    <cellStyle name="Currency 88" xfId="9655"/>
    <cellStyle name="Currency 89" xfId="9656"/>
    <cellStyle name="Currency 9" xfId="3955"/>
    <cellStyle name="Currency 9 2" xfId="3956"/>
    <cellStyle name="Currency 9 2 2" xfId="59131"/>
    <cellStyle name="Currency 9 2 3" xfId="59132"/>
    <cellStyle name="Currency 9 3" xfId="9198"/>
    <cellStyle name="Currency 9 3 2" xfId="59133"/>
    <cellStyle name="Currency 9 4" xfId="59134"/>
    <cellStyle name="Currency 9 5" xfId="59135"/>
    <cellStyle name="Currency 9 6" xfId="59136"/>
    <cellStyle name="Currency 90" xfId="9657"/>
    <cellStyle name="Currency 91" xfId="9658"/>
    <cellStyle name="Currency 92" xfId="9659"/>
    <cellStyle name="Currency 93" xfId="9660"/>
    <cellStyle name="Currency 94" xfId="9661"/>
    <cellStyle name="Currency 95" xfId="9662"/>
    <cellStyle name="Currency 96" xfId="9663"/>
    <cellStyle name="Currency 97" xfId="9664"/>
    <cellStyle name="Currency 98" xfId="9665"/>
    <cellStyle name="Currency 99" xfId="9666"/>
    <cellStyle name="Currency0" xfId="3957"/>
    <cellStyle name="Currency0 2" xfId="3958"/>
    <cellStyle name="Currency0 2 2" xfId="9667"/>
    <cellStyle name="Currency0 2 3" xfId="59137"/>
    <cellStyle name="Currency0 3" xfId="3959"/>
    <cellStyle name="Currency0 3 2" xfId="9668"/>
    <cellStyle name="Currency0 3 3" xfId="59138"/>
    <cellStyle name="Custom - Style1" xfId="59139"/>
    <cellStyle name="Data   - Style2" xfId="59140"/>
    <cellStyle name="Date" xfId="3960"/>
    <cellStyle name="Date 2" xfId="3961"/>
    <cellStyle name="Date 2 2" xfId="9669"/>
    <cellStyle name="Date 2 3" xfId="59141"/>
    <cellStyle name="Date 3" xfId="3962"/>
    <cellStyle name="Date 3 2" xfId="9670"/>
    <cellStyle name="Date 3 3" xfId="59142"/>
    <cellStyle name="Eingabe" xfId="3963"/>
    <cellStyle name="Eingabe 2" xfId="3964"/>
    <cellStyle name="Eingabe 3" xfId="52855"/>
    <cellStyle name="Euro" xfId="3965"/>
    <cellStyle name="Euro 2" xfId="3966"/>
    <cellStyle name="Euro 2 2" xfId="3967"/>
    <cellStyle name="Euro 2 2 2" xfId="59143"/>
    <cellStyle name="Euro 2 3" xfId="59144"/>
    <cellStyle name="Euro 3" xfId="3968"/>
    <cellStyle name="Euro 3 2" xfId="9671"/>
    <cellStyle name="Euro 3 3" xfId="59145"/>
    <cellStyle name="Explanatory Text 10" xfId="9672"/>
    <cellStyle name="Explanatory Text 11" xfId="9673"/>
    <cellStyle name="Explanatory Text 12" xfId="9674"/>
    <cellStyle name="Explanatory Text 13" xfId="9675"/>
    <cellStyle name="Explanatory Text 14" xfId="9676"/>
    <cellStyle name="Explanatory Text 15" xfId="9677"/>
    <cellStyle name="Explanatory Text 16" xfId="9678"/>
    <cellStyle name="Explanatory Text 17" xfId="9679"/>
    <cellStyle name="Explanatory Text 2" xfId="3969"/>
    <cellStyle name="Explanatory Text 2 2" xfId="3970"/>
    <cellStyle name="Explanatory Text 2 2 2" xfId="59146"/>
    <cellStyle name="Explanatory Text 2 3" xfId="52856"/>
    <cellStyle name="Explanatory Text 2 4" xfId="52857"/>
    <cellStyle name="Explanatory Text 2 5" xfId="52858"/>
    <cellStyle name="Explanatory Text 3" xfId="3971"/>
    <cellStyle name="Explanatory Text 3 2" xfId="9199"/>
    <cellStyle name="Explanatory Text 4" xfId="9200"/>
    <cellStyle name="Explanatory Text 4 2" xfId="52859"/>
    <cellStyle name="Explanatory Text 5" xfId="9680"/>
    <cellStyle name="Explanatory Text 5 2" xfId="52860"/>
    <cellStyle name="Explanatory Text 6" xfId="9681"/>
    <cellStyle name="Explanatory Text 6 2" xfId="52861"/>
    <cellStyle name="Explanatory Text 7" xfId="9682"/>
    <cellStyle name="Explanatory Text 7 2" xfId="52862"/>
    <cellStyle name="Explanatory Text 8" xfId="9683"/>
    <cellStyle name="Explanatory Text 9" xfId="9684"/>
    <cellStyle name="F2" xfId="3972"/>
    <cellStyle name="F2 2" xfId="3973"/>
    <cellStyle name="F2 2 2" xfId="9685"/>
    <cellStyle name="F2 3" xfId="9686"/>
    <cellStyle name="F2 3 2" xfId="9687"/>
    <cellStyle name="F2 4" xfId="9688"/>
    <cellStyle name="F2 5" xfId="9689"/>
    <cellStyle name="F2 6" xfId="9690"/>
    <cellStyle name="F2 7" xfId="9691"/>
    <cellStyle name="F2 8" xfId="9692"/>
    <cellStyle name="F2 9" xfId="9693"/>
    <cellStyle name="F2_Regenerated Revenues LGE Gas 2008-04 with Elec Gen-Seelye final version " xfId="9694"/>
    <cellStyle name="F3" xfId="3974"/>
    <cellStyle name="F3 2" xfId="3975"/>
    <cellStyle name="F3 2 2" xfId="9695"/>
    <cellStyle name="F3 3" xfId="9696"/>
    <cellStyle name="F3 3 2" xfId="9697"/>
    <cellStyle name="F3 4" xfId="9698"/>
    <cellStyle name="F3 5" xfId="9699"/>
    <cellStyle name="F3 6" xfId="9700"/>
    <cellStyle name="F3 7" xfId="9701"/>
    <cellStyle name="F3 8" xfId="9702"/>
    <cellStyle name="F3 9" xfId="9703"/>
    <cellStyle name="F3_Regenerated Revenues LGE Gas 2008-04 with Elec Gen-Seelye final version " xfId="9704"/>
    <cellStyle name="F4" xfId="3976"/>
    <cellStyle name="F4 2" xfId="3977"/>
    <cellStyle name="F4 2 2" xfId="9705"/>
    <cellStyle name="F4 3" xfId="9706"/>
    <cellStyle name="F4 3 2" xfId="9707"/>
    <cellStyle name="F4 4" xfId="9708"/>
    <cellStyle name="F4 5" xfId="9709"/>
    <cellStyle name="F4 6" xfId="9710"/>
    <cellStyle name="F4 7" xfId="9711"/>
    <cellStyle name="F4 8" xfId="9712"/>
    <cellStyle name="F4 9" xfId="9713"/>
    <cellStyle name="F4_Regenerated Revenues LGE Gas 2008-04 with Elec Gen-Seelye final version " xfId="9714"/>
    <cellStyle name="F5" xfId="3978"/>
    <cellStyle name="F5 2" xfId="3979"/>
    <cellStyle name="F5 2 2" xfId="9715"/>
    <cellStyle name="F5 3" xfId="3980"/>
    <cellStyle name="F5 3 2" xfId="9716"/>
    <cellStyle name="F5 4" xfId="9717"/>
    <cellStyle name="F5 5" xfId="9718"/>
    <cellStyle name="F5 6" xfId="9719"/>
    <cellStyle name="F5 7" xfId="9720"/>
    <cellStyle name="F5 8" xfId="9721"/>
    <cellStyle name="F5 9" xfId="9722"/>
    <cellStyle name="F5_Regenerated Revenues LGE Gas 2008-04 with Elec Gen-Seelye final version " xfId="9723"/>
    <cellStyle name="F6" xfId="3981"/>
    <cellStyle name="F6 10" xfId="59147"/>
    <cellStyle name="F6 10 2" xfId="59148"/>
    <cellStyle name="F6 11" xfId="59149"/>
    <cellStyle name="F6 2" xfId="3982"/>
    <cellStyle name="F6 2 2" xfId="3983"/>
    <cellStyle name="F6 2 2 2" xfId="59150"/>
    <cellStyle name="F6 3" xfId="3984"/>
    <cellStyle name="F6 3 2" xfId="9724"/>
    <cellStyle name="F6 4" xfId="9725"/>
    <cellStyle name="F6 5" xfId="9726"/>
    <cellStyle name="F6 6" xfId="9727"/>
    <cellStyle name="F6 7" xfId="9728"/>
    <cellStyle name="F6 8" xfId="9729"/>
    <cellStyle name="F6 9" xfId="9730"/>
    <cellStyle name="F6_Regenerated Revenues LGE Gas 2008-04 with Elec Gen-Seelye final version " xfId="9731"/>
    <cellStyle name="F7" xfId="3985"/>
    <cellStyle name="F7 2" xfId="3986"/>
    <cellStyle name="F7 2 2" xfId="9732"/>
    <cellStyle name="F7 3" xfId="9733"/>
    <cellStyle name="F7 3 2" xfId="9734"/>
    <cellStyle name="F7 4" xfId="9735"/>
    <cellStyle name="F7 5" xfId="9736"/>
    <cellStyle name="F7 6" xfId="9737"/>
    <cellStyle name="F7 7" xfId="9738"/>
    <cellStyle name="F7 8" xfId="9739"/>
    <cellStyle name="F7 9" xfId="9740"/>
    <cellStyle name="F7_Regenerated Revenues LGE Gas 2008-04 with Elec Gen-Seelye final version " xfId="9741"/>
    <cellStyle name="F8" xfId="3987"/>
    <cellStyle name="F8 2" xfId="3988"/>
    <cellStyle name="F8 2 2" xfId="9742"/>
    <cellStyle name="F8 3" xfId="9743"/>
    <cellStyle name="F8 3 2" xfId="9744"/>
    <cellStyle name="F8 4" xfId="9745"/>
    <cellStyle name="F8 5" xfId="9746"/>
    <cellStyle name="F8 6" xfId="9747"/>
    <cellStyle name="F8 7" xfId="9748"/>
    <cellStyle name="F8 8" xfId="9749"/>
    <cellStyle name="F8 9" xfId="9750"/>
    <cellStyle name="F8_Regenerated Revenues LGE Gas 2008-04 with Elec Gen-Seelye final version " xfId="9751"/>
    <cellStyle name="Fixed" xfId="3989"/>
    <cellStyle name="Fixed 2" xfId="3990"/>
    <cellStyle name="Fixed 2 2" xfId="9752"/>
    <cellStyle name="Fixed 2 3" xfId="59151"/>
    <cellStyle name="Fixed 3" xfId="3991"/>
    <cellStyle name="Fixed 3 2" xfId="9753"/>
    <cellStyle name="Fixed 3 3" xfId="59152"/>
    <cellStyle name="Good 10" xfId="9754"/>
    <cellStyle name="Good 11" xfId="9755"/>
    <cellStyle name="Good 12" xfId="9756"/>
    <cellStyle name="Good 13" xfId="9757"/>
    <cellStyle name="Good 14" xfId="9758"/>
    <cellStyle name="Good 15" xfId="9759"/>
    <cellStyle name="Good 16" xfId="9760"/>
    <cellStyle name="Good 17" xfId="9761"/>
    <cellStyle name="Good 17 2" xfId="59153"/>
    <cellStyle name="Good 2" xfId="3992"/>
    <cellStyle name="Good 2 2" xfId="3993"/>
    <cellStyle name="Good 2 2 2" xfId="52863"/>
    <cellStyle name="Good 2 3" xfId="52864"/>
    <cellStyle name="Good 2 4" xfId="52865"/>
    <cellStyle name="Good 2 5" xfId="52866"/>
    <cellStyle name="Good 3" xfId="3994"/>
    <cellStyle name="Good 3 2" xfId="9201"/>
    <cellStyle name="Good 4" xfId="9202"/>
    <cellStyle name="Good 4 2" xfId="52867"/>
    <cellStyle name="Good 5" xfId="9762"/>
    <cellStyle name="Good 5 2" xfId="52868"/>
    <cellStyle name="Good 6" xfId="9763"/>
    <cellStyle name="Good 6 2" xfId="52869"/>
    <cellStyle name="Good 7" xfId="9764"/>
    <cellStyle name="Good 7 2" xfId="52870"/>
    <cellStyle name="Good 8" xfId="9765"/>
    <cellStyle name="Good 9" xfId="9766"/>
    <cellStyle name="Heading 1 10" xfId="9767"/>
    <cellStyle name="Heading 1 11" xfId="9768"/>
    <cellStyle name="Heading 1 12" xfId="9769"/>
    <cellStyle name="Heading 1 13" xfId="9770"/>
    <cellStyle name="Heading 1 14" xfId="9771"/>
    <cellStyle name="Heading 1 15" xfId="9772"/>
    <cellStyle name="Heading 1 16" xfId="9773"/>
    <cellStyle name="Heading 1 17" xfId="9774"/>
    <cellStyle name="Heading 1 17 2" xfId="59154"/>
    <cellStyle name="Heading 1 17 3" xfId="59155"/>
    <cellStyle name="Heading 1 17 4" xfId="59156"/>
    <cellStyle name="Heading 1 2" xfId="3995"/>
    <cellStyle name="Heading 1 2 2" xfId="3996"/>
    <cellStyle name="Heading 1 2 2 2" xfId="52871"/>
    <cellStyle name="Heading 1 2 3" xfId="52872"/>
    <cellStyle name="Heading 1 2 4" xfId="52873"/>
    <cellStyle name="Heading 1 2 5" xfId="52874"/>
    <cellStyle name="Heading 1 3" xfId="3997"/>
    <cellStyle name="Heading 1 3 2" xfId="3998"/>
    <cellStyle name="Heading 1 3 2 2" xfId="59157"/>
    <cellStyle name="Heading 1 3 3" xfId="52875"/>
    <cellStyle name="Heading 1 4" xfId="9203"/>
    <cellStyle name="Heading 1 4 2" xfId="52876"/>
    <cellStyle name="Heading 1 5" xfId="9204"/>
    <cellStyle name="Heading 1 5 2" xfId="52877"/>
    <cellStyle name="Heading 1 6" xfId="9775"/>
    <cellStyle name="Heading 1 6 2" xfId="52878"/>
    <cellStyle name="Heading 1 7" xfId="9776"/>
    <cellStyle name="Heading 1 7 2" xfId="52879"/>
    <cellStyle name="Heading 1 8" xfId="9777"/>
    <cellStyle name="Heading 1 9" xfId="9778"/>
    <cellStyle name="Heading 2 10" xfId="9779"/>
    <cellStyle name="Heading 2 11" xfId="9780"/>
    <cellStyle name="Heading 2 12" xfId="9781"/>
    <cellStyle name="Heading 2 13" xfId="9782"/>
    <cellStyle name="Heading 2 14" xfId="9783"/>
    <cellStyle name="Heading 2 15" xfId="9784"/>
    <cellStyle name="Heading 2 16" xfId="9785"/>
    <cellStyle name="Heading 2 17" xfId="9786"/>
    <cellStyle name="Heading 2 17 2" xfId="59158"/>
    <cellStyle name="Heading 2 17 3" xfId="59159"/>
    <cellStyle name="Heading 2 17 4" xfId="59160"/>
    <cellStyle name="Heading 2 2" xfId="3999"/>
    <cellStyle name="Heading 2 2 2" xfId="4000"/>
    <cellStyle name="Heading 2 2 2 2" xfId="52880"/>
    <cellStyle name="Heading 2 2 3" xfId="52881"/>
    <cellStyle name="Heading 2 2 4" xfId="52882"/>
    <cellStyle name="Heading 2 2 5" xfId="52883"/>
    <cellStyle name="Heading 2 3" xfId="4001"/>
    <cellStyle name="Heading 2 3 2" xfId="4002"/>
    <cellStyle name="Heading 2 3 2 2" xfId="52884"/>
    <cellStyle name="Heading 2 3 3" xfId="52885"/>
    <cellStyle name="Heading 2 4" xfId="9205"/>
    <cellStyle name="Heading 2 4 2" xfId="52886"/>
    <cellStyle name="Heading 2 5" xfId="9206"/>
    <cellStyle name="Heading 2 5 2" xfId="52887"/>
    <cellStyle name="Heading 2 6" xfId="9787"/>
    <cellStyle name="Heading 2 6 2" xfId="52888"/>
    <cellStyle name="Heading 2 7" xfId="9788"/>
    <cellStyle name="Heading 2 7 2" xfId="52889"/>
    <cellStyle name="Heading 2 8" xfId="9789"/>
    <cellStyle name="Heading 2 9" xfId="9790"/>
    <cellStyle name="Heading 3 10" xfId="9791"/>
    <cellStyle name="Heading 3 11" xfId="9792"/>
    <cellStyle name="Heading 3 12" xfId="9793"/>
    <cellStyle name="Heading 3 13" xfId="9794"/>
    <cellStyle name="Heading 3 14" xfId="9795"/>
    <cellStyle name="Heading 3 15" xfId="9796"/>
    <cellStyle name="Heading 3 16" xfId="9797"/>
    <cellStyle name="Heading 3 17" xfId="9798"/>
    <cellStyle name="Heading 3 17 2" xfId="59161"/>
    <cellStyle name="Heading 3 2" xfId="4003"/>
    <cellStyle name="Heading 3 2 2" xfId="4004"/>
    <cellStyle name="Heading 3 2 2 2" xfId="52890"/>
    <cellStyle name="Heading 3 2 3" xfId="4005"/>
    <cellStyle name="Heading 3 2 4" xfId="52891"/>
    <cellStyle name="Heading 3 2 5" xfId="52892"/>
    <cellStyle name="Heading 3 2 6" xfId="52893"/>
    <cellStyle name="Heading 3 2 7" xfId="52894"/>
    <cellStyle name="Heading 3 3" xfId="4006"/>
    <cellStyle name="Heading 3 3 2" xfId="9207"/>
    <cellStyle name="Heading 3 3 3" xfId="52895"/>
    <cellStyle name="Heading 3 4" xfId="4007"/>
    <cellStyle name="Heading 3 4 2" xfId="52896"/>
    <cellStyle name="Heading 3 5" xfId="4008"/>
    <cellStyle name="Heading 3 5 2" xfId="52897"/>
    <cellStyle name="Heading 3 6" xfId="9208"/>
    <cellStyle name="Heading 3 6 2" xfId="52898"/>
    <cellStyle name="Heading 3 7" xfId="9799"/>
    <cellStyle name="Heading 3 7 2" xfId="52899"/>
    <cellStyle name="Heading 3 8" xfId="9800"/>
    <cellStyle name="Heading 3 8 2" xfId="52900"/>
    <cellStyle name="Heading 3 9" xfId="9801"/>
    <cellStyle name="Heading 3 9 2" xfId="52901"/>
    <cellStyle name="Heading 4 10" xfId="9802"/>
    <cellStyle name="Heading 4 11" xfId="9803"/>
    <cellStyle name="Heading 4 12" xfId="9804"/>
    <cellStyle name="Heading 4 13" xfId="9805"/>
    <cellStyle name="Heading 4 14" xfId="9806"/>
    <cellStyle name="Heading 4 15" xfId="9807"/>
    <cellStyle name="Heading 4 16" xfId="9808"/>
    <cellStyle name="Heading 4 17" xfId="9809"/>
    <cellStyle name="Heading 4 17 2" xfId="59162"/>
    <cellStyle name="Heading 4 2" xfId="4009"/>
    <cellStyle name="Heading 4 2 2" xfId="4010"/>
    <cellStyle name="Heading 4 2 2 2" xfId="52902"/>
    <cellStyle name="Heading 4 2 3" xfId="52903"/>
    <cellStyle name="Heading 4 2 4" xfId="52904"/>
    <cellStyle name="Heading 4 2 5" xfId="52905"/>
    <cellStyle name="Heading 4 3" xfId="4011"/>
    <cellStyle name="Heading 4 3 2" xfId="9209"/>
    <cellStyle name="Heading 4 4" xfId="9210"/>
    <cellStyle name="Heading 4 4 2" xfId="52906"/>
    <cellStyle name="Heading 4 5" xfId="9810"/>
    <cellStyle name="Heading 4 5 2" xfId="52907"/>
    <cellStyle name="Heading 4 6" xfId="9811"/>
    <cellStyle name="Heading 4 6 2" xfId="52908"/>
    <cellStyle name="Heading 4 7" xfId="9812"/>
    <cellStyle name="Heading 4 7 2" xfId="52909"/>
    <cellStyle name="Heading 4 8" xfId="9813"/>
    <cellStyle name="Heading 4 9" xfId="9814"/>
    <cellStyle name="Hyperlink 2" xfId="4012"/>
    <cellStyle name="Hyperlink 2 2" xfId="52910"/>
    <cellStyle name="Input 10" xfId="4013"/>
    <cellStyle name="Input 10 10" xfId="4014"/>
    <cellStyle name="Input 10 11" xfId="59163"/>
    <cellStyle name="Input 10 12" xfId="59164"/>
    <cellStyle name="Input 10 2" xfId="4015"/>
    <cellStyle name="Input 10 2 2" xfId="4016"/>
    <cellStyle name="Input 10 2 2 2" xfId="59165"/>
    <cellStyle name="Input 10 2 3" xfId="4017"/>
    <cellStyle name="Input 10 2 3 2" xfId="59166"/>
    <cellStyle name="Input 10 2 4" xfId="4018"/>
    <cellStyle name="Input 10 2 4 2" xfId="59167"/>
    <cellStyle name="Input 10 2 5" xfId="4019"/>
    <cellStyle name="Input 10 2 5 2" xfId="59168"/>
    <cellStyle name="Input 10 2 6" xfId="4020"/>
    <cellStyle name="Input 10 2 6 2" xfId="59169"/>
    <cellStyle name="Input 10 2 7" xfId="4021"/>
    <cellStyle name="Input 10 2 7 2" xfId="59170"/>
    <cellStyle name="Input 10 2 8" xfId="4022"/>
    <cellStyle name="Input 10 2 8 2" xfId="59171"/>
    <cellStyle name="Input 10 2 9" xfId="4023"/>
    <cellStyle name="Input 10 3" xfId="4024"/>
    <cellStyle name="Input 10 3 2" xfId="59172"/>
    <cellStyle name="Input 10 4" xfId="4025"/>
    <cellStyle name="Input 10 4 2" xfId="59173"/>
    <cellStyle name="Input 10 5" xfId="4026"/>
    <cellStyle name="Input 10 5 2" xfId="59174"/>
    <cellStyle name="Input 10 6" xfId="4027"/>
    <cellStyle name="Input 10 6 2" xfId="59175"/>
    <cellStyle name="Input 10 7" xfId="4028"/>
    <cellStyle name="Input 10 7 2" xfId="59176"/>
    <cellStyle name="Input 10 8" xfId="4029"/>
    <cellStyle name="Input 10 8 2" xfId="59177"/>
    <cellStyle name="Input 10 9" xfId="4030"/>
    <cellStyle name="Input 10 9 2" xfId="59178"/>
    <cellStyle name="Input 11" xfId="4031"/>
    <cellStyle name="Input 11 10" xfId="4032"/>
    <cellStyle name="Input 11 11" xfId="59179"/>
    <cellStyle name="Input 11 12" xfId="59180"/>
    <cellStyle name="Input 11 2" xfId="4033"/>
    <cellStyle name="Input 11 2 2" xfId="4034"/>
    <cellStyle name="Input 11 2 2 2" xfId="59181"/>
    <cellStyle name="Input 11 2 3" xfId="4035"/>
    <cellStyle name="Input 11 2 3 2" xfId="59182"/>
    <cellStyle name="Input 11 2 4" xfId="4036"/>
    <cellStyle name="Input 11 2 4 2" xfId="59183"/>
    <cellStyle name="Input 11 2 5" xfId="4037"/>
    <cellStyle name="Input 11 2 5 2" xfId="59184"/>
    <cellStyle name="Input 11 2 6" xfId="4038"/>
    <cellStyle name="Input 11 2 6 2" xfId="59185"/>
    <cellStyle name="Input 11 2 7" xfId="4039"/>
    <cellStyle name="Input 11 2 7 2" xfId="59186"/>
    <cellStyle name="Input 11 2 8" xfId="4040"/>
    <cellStyle name="Input 11 2 8 2" xfId="59187"/>
    <cellStyle name="Input 11 2 9" xfId="4041"/>
    <cellStyle name="Input 11 3" xfId="4042"/>
    <cellStyle name="Input 11 3 2" xfId="59188"/>
    <cellStyle name="Input 11 4" xfId="4043"/>
    <cellStyle name="Input 11 4 2" xfId="59189"/>
    <cellStyle name="Input 11 5" xfId="4044"/>
    <cellStyle name="Input 11 5 2" xfId="59190"/>
    <cellStyle name="Input 11 6" xfId="4045"/>
    <cellStyle name="Input 11 6 2" xfId="59191"/>
    <cellStyle name="Input 11 7" xfId="4046"/>
    <cellStyle name="Input 11 7 2" xfId="59192"/>
    <cellStyle name="Input 11 8" xfId="4047"/>
    <cellStyle name="Input 11 8 2" xfId="59193"/>
    <cellStyle name="Input 11 9" xfId="4048"/>
    <cellStyle name="Input 11 9 2" xfId="59194"/>
    <cellStyle name="Input 12" xfId="4049"/>
    <cellStyle name="Input 12 10" xfId="4050"/>
    <cellStyle name="Input 12 11" xfId="59195"/>
    <cellStyle name="Input 12 12" xfId="59196"/>
    <cellStyle name="Input 12 2" xfId="4051"/>
    <cellStyle name="Input 12 2 2" xfId="4052"/>
    <cellStyle name="Input 12 2 2 2" xfId="59197"/>
    <cellStyle name="Input 12 2 3" xfId="4053"/>
    <cellStyle name="Input 12 2 3 2" xfId="59198"/>
    <cellStyle name="Input 12 2 4" xfId="4054"/>
    <cellStyle name="Input 12 2 4 2" xfId="59199"/>
    <cellStyle name="Input 12 2 5" xfId="4055"/>
    <cellStyle name="Input 12 2 5 2" xfId="59200"/>
    <cellStyle name="Input 12 2 6" xfId="4056"/>
    <cellStyle name="Input 12 2 6 2" xfId="59201"/>
    <cellStyle name="Input 12 2 7" xfId="4057"/>
    <cellStyle name="Input 12 2 7 2" xfId="59202"/>
    <cellStyle name="Input 12 2 8" xfId="4058"/>
    <cellStyle name="Input 12 2 8 2" xfId="59203"/>
    <cellStyle name="Input 12 2 9" xfId="4059"/>
    <cellStyle name="Input 12 3" xfId="4060"/>
    <cellStyle name="Input 12 3 2" xfId="59204"/>
    <cellStyle name="Input 12 4" xfId="4061"/>
    <cellStyle name="Input 12 4 2" xfId="59205"/>
    <cellStyle name="Input 12 5" xfId="4062"/>
    <cellStyle name="Input 12 5 2" xfId="59206"/>
    <cellStyle name="Input 12 6" xfId="4063"/>
    <cellStyle name="Input 12 6 2" xfId="59207"/>
    <cellStyle name="Input 12 7" xfId="4064"/>
    <cellStyle name="Input 12 7 2" xfId="59208"/>
    <cellStyle name="Input 12 8" xfId="4065"/>
    <cellStyle name="Input 12 8 2" xfId="59209"/>
    <cellStyle name="Input 12 9" xfId="4066"/>
    <cellStyle name="Input 12 9 2" xfId="59210"/>
    <cellStyle name="Input 13" xfId="4067"/>
    <cellStyle name="Input 13 10" xfId="4068"/>
    <cellStyle name="Input 13 11" xfId="59211"/>
    <cellStyle name="Input 13 12" xfId="59212"/>
    <cellStyle name="Input 13 2" xfId="4069"/>
    <cellStyle name="Input 13 2 2" xfId="4070"/>
    <cellStyle name="Input 13 2 2 2" xfId="59213"/>
    <cellStyle name="Input 13 2 3" xfId="4071"/>
    <cellStyle name="Input 13 2 3 2" xfId="59214"/>
    <cellStyle name="Input 13 2 4" xfId="4072"/>
    <cellStyle name="Input 13 2 4 2" xfId="59215"/>
    <cellStyle name="Input 13 2 5" xfId="4073"/>
    <cellStyle name="Input 13 2 5 2" xfId="59216"/>
    <cellStyle name="Input 13 2 6" xfId="4074"/>
    <cellStyle name="Input 13 2 6 2" xfId="59217"/>
    <cellStyle name="Input 13 2 7" xfId="4075"/>
    <cellStyle name="Input 13 2 7 2" xfId="59218"/>
    <cellStyle name="Input 13 2 8" xfId="4076"/>
    <cellStyle name="Input 13 2 8 2" xfId="59219"/>
    <cellStyle name="Input 13 2 9" xfId="4077"/>
    <cellStyle name="Input 13 3" xfId="4078"/>
    <cellStyle name="Input 13 3 2" xfId="59220"/>
    <cellStyle name="Input 13 4" xfId="4079"/>
    <cellStyle name="Input 13 4 2" xfId="59221"/>
    <cellStyle name="Input 13 5" xfId="4080"/>
    <cellStyle name="Input 13 5 2" xfId="59222"/>
    <cellStyle name="Input 13 6" xfId="4081"/>
    <cellStyle name="Input 13 6 2" xfId="59223"/>
    <cellStyle name="Input 13 7" xfId="4082"/>
    <cellStyle name="Input 13 7 2" xfId="59224"/>
    <cellStyle name="Input 13 8" xfId="4083"/>
    <cellStyle name="Input 13 8 2" xfId="59225"/>
    <cellStyle name="Input 13 9" xfId="4084"/>
    <cellStyle name="Input 13 9 2" xfId="59226"/>
    <cellStyle name="Input 14" xfId="4085"/>
    <cellStyle name="Input 14 10" xfId="4086"/>
    <cellStyle name="Input 14 11" xfId="59227"/>
    <cellStyle name="Input 14 12" xfId="59228"/>
    <cellStyle name="Input 14 2" xfId="4087"/>
    <cellStyle name="Input 14 2 2" xfId="4088"/>
    <cellStyle name="Input 14 2 2 2" xfId="59229"/>
    <cellStyle name="Input 14 2 3" xfId="4089"/>
    <cellStyle name="Input 14 2 3 2" xfId="59230"/>
    <cellStyle name="Input 14 2 4" xfId="4090"/>
    <cellStyle name="Input 14 2 4 2" xfId="59231"/>
    <cellStyle name="Input 14 2 5" xfId="4091"/>
    <cellStyle name="Input 14 2 5 2" xfId="59232"/>
    <cellStyle name="Input 14 2 6" xfId="4092"/>
    <cellStyle name="Input 14 2 6 2" xfId="59233"/>
    <cellStyle name="Input 14 2 7" xfId="4093"/>
    <cellStyle name="Input 14 2 7 2" xfId="59234"/>
    <cellStyle name="Input 14 2 8" xfId="4094"/>
    <cellStyle name="Input 14 2 8 2" xfId="59235"/>
    <cellStyle name="Input 14 2 9" xfId="4095"/>
    <cellStyle name="Input 14 3" xfId="4096"/>
    <cellStyle name="Input 14 3 2" xfId="59236"/>
    <cellStyle name="Input 14 4" xfId="4097"/>
    <cellStyle name="Input 14 4 2" xfId="59237"/>
    <cellStyle name="Input 14 5" xfId="4098"/>
    <cellStyle name="Input 14 5 2" xfId="59238"/>
    <cellStyle name="Input 14 6" xfId="4099"/>
    <cellStyle name="Input 14 6 2" xfId="59239"/>
    <cellStyle name="Input 14 7" xfId="4100"/>
    <cellStyle name="Input 14 7 2" xfId="59240"/>
    <cellStyle name="Input 14 8" xfId="4101"/>
    <cellStyle name="Input 14 8 2" xfId="59241"/>
    <cellStyle name="Input 14 9" xfId="4102"/>
    <cellStyle name="Input 14 9 2" xfId="59242"/>
    <cellStyle name="Input 15" xfId="4103"/>
    <cellStyle name="Input 15 10" xfId="4104"/>
    <cellStyle name="Input 15 11" xfId="59243"/>
    <cellStyle name="Input 15 12" xfId="59244"/>
    <cellStyle name="Input 15 2" xfId="4105"/>
    <cellStyle name="Input 15 2 2" xfId="4106"/>
    <cellStyle name="Input 15 2 2 2" xfId="59245"/>
    <cellStyle name="Input 15 2 3" xfId="4107"/>
    <cellStyle name="Input 15 2 3 2" xfId="59246"/>
    <cellStyle name="Input 15 2 4" xfId="4108"/>
    <cellStyle name="Input 15 2 4 2" xfId="59247"/>
    <cellStyle name="Input 15 2 5" xfId="4109"/>
    <cellStyle name="Input 15 2 5 2" xfId="59248"/>
    <cellStyle name="Input 15 2 6" xfId="4110"/>
    <cellStyle name="Input 15 2 6 2" xfId="59249"/>
    <cellStyle name="Input 15 2 7" xfId="4111"/>
    <cellStyle name="Input 15 2 7 2" xfId="59250"/>
    <cellStyle name="Input 15 2 8" xfId="4112"/>
    <cellStyle name="Input 15 2 8 2" xfId="59251"/>
    <cellStyle name="Input 15 2 9" xfId="4113"/>
    <cellStyle name="Input 15 3" xfId="4114"/>
    <cellStyle name="Input 15 3 2" xfId="59252"/>
    <cellStyle name="Input 15 4" xfId="4115"/>
    <cellStyle name="Input 15 4 2" xfId="59253"/>
    <cellStyle name="Input 15 5" xfId="4116"/>
    <cellStyle name="Input 15 5 2" xfId="59254"/>
    <cellStyle name="Input 15 6" xfId="4117"/>
    <cellStyle name="Input 15 6 2" xfId="59255"/>
    <cellStyle name="Input 15 7" xfId="4118"/>
    <cellStyle name="Input 15 7 2" xfId="59256"/>
    <cellStyle name="Input 15 8" xfId="4119"/>
    <cellStyle name="Input 15 8 2" xfId="59257"/>
    <cellStyle name="Input 15 9" xfId="4120"/>
    <cellStyle name="Input 15 9 2" xfId="59258"/>
    <cellStyle name="Input 16" xfId="4121"/>
    <cellStyle name="Input 16 10" xfId="4122"/>
    <cellStyle name="Input 16 11" xfId="59259"/>
    <cellStyle name="Input 16 12" xfId="59260"/>
    <cellStyle name="Input 16 2" xfId="4123"/>
    <cellStyle name="Input 16 2 2" xfId="4124"/>
    <cellStyle name="Input 16 2 2 2" xfId="59261"/>
    <cellStyle name="Input 16 2 3" xfId="4125"/>
    <cellStyle name="Input 16 2 3 2" xfId="59262"/>
    <cellStyle name="Input 16 2 4" xfId="4126"/>
    <cellStyle name="Input 16 2 4 2" xfId="59263"/>
    <cellStyle name="Input 16 2 5" xfId="4127"/>
    <cellStyle name="Input 16 2 5 2" xfId="59264"/>
    <cellStyle name="Input 16 2 6" xfId="4128"/>
    <cellStyle name="Input 16 2 6 2" xfId="59265"/>
    <cellStyle name="Input 16 2 7" xfId="4129"/>
    <cellStyle name="Input 16 2 7 2" xfId="59266"/>
    <cellStyle name="Input 16 2 8" xfId="4130"/>
    <cellStyle name="Input 16 2 8 2" xfId="59267"/>
    <cellStyle name="Input 16 2 9" xfId="4131"/>
    <cellStyle name="Input 16 3" xfId="4132"/>
    <cellStyle name="Input 16 3 2" xfId="59268"/>
    <cellStyle name="Input 16 4" xfId="4133"/>
    <cellStyle name="Input 16 4 2" xfId="59269"/>
    <cellStyle name="Input 16 5" xfId="4134"/>
    <cellStyle name="Input 16 5 2" xfId="59270"/>
    <cellStyle name="Input 16 6" xfId="4135"/>
    <cellStyle name="Input 16 6 2" xfId="59271"/>
    <cellStyle name="Input 16 7" xfId="4136"/>
    <cellStyle name="Input 16 7 2" xfId="59272"/>
    <cellStyle name="Input 16 8" xfId="4137"/>
    <cellStyle name="Input 16 8 2" xfId="59273"/>
    <cellStyle name="Input 16 9" xfId="4138"/>
    <cellStyle name="Input 16 9 2" xfId="59274"/>
    <cellStyle name="Input 17" xfId="4139"/>
    <cellStyle name="Input 17 10" xfId="4140"/>
    <cellStyle name="Input 17 11" xfId="59275"/>
    <cellStyle name="Input 17 2" xfId="4141"/>
    <cellStyle name="Input 17 2 2" xfId="4142"/>
    <cellStyle name="Input 17 2 2 2" xfId="59276"/>
    <cellStyle name="Input 17 2 3" xfId="4143"/>
    <cellStyle name="Input 17 2 3 2" xfId="59277"/>
    <cellStyle name="Input 17 2 4" xfId="4144"/>
    <cellStyle name="Input 17 2 4 2" xfId="59278"/>
    <cellStyle name="Input 17 2 5" xfId="4145"/>
    <cellStyle name="Input 17 2 5 2" xfId="59279"/>
    <cellStyle name="Input 17 2 6" xfId="4146"/>
    <cellStyle name="Input 17 2 6 2" xfId="59280"/>
    <cellStyle name="Input 17 2 7" xfId="4147"/>
    <cellStyle name="Input 17 2 7 2" xfId="59281"/>
    <cellStyle name="Input 17 2 8" xfId="4148"/>
    <cellStyle name="Input 17 2 8 2" xfId="59282"/>
    <cellStyle name="Input 17 2 9" xfId="4149"/>
    <cellStyle name="Input 17 3" xfId="4150"/>
    <cellStyle name="Input 17 3 2" xfId="59283"/>
    <cellStyle name="Input 17 4" xfId="4151"/>
    <cellStyle name="Input 17 4 2" xfId="59284"/>
    <cellStyle name="Input 17 5" xfId="4152"/>
    <cellStyle name="Input 17 5 2" xfId="59285"/>
    <cellStyle name="Input 17 6" xfId="4153"/>
    <cellStyle name="Input 17 6 2" xfId="59286"/>
    <cellStyle name="Input 17 7" xfId="4154"/>
    <cellStyle name="Input 17 7 2" xfId="59287"/>
    <cellStyle name="Input 17 8" xfId="4155"/>
    <cellStyle name="Input 17 8 2" xfId="59288"/>
    <cellStyle name="Input 17 9" xfId="4156"/>
    <cellStyle name="Input 17 9 2" xfId="59289"/>
    <cellStyle name="Input 18" xfId="4157"/>
    <cellStyle name="Input 18 10" xfId="4158"/>
    <cellStyle name="Input 18 2" xfId="4159"/>
    <cellStyle name="Input 18 2 2" xfId="4160"/>
    <cellStyle name="Input 18 2 2 2" xfId="59290"/>
    <cellStyle name="Input 18 2 3" xfId="4161"/>
    <cellStyle name="Input 18 2 3 2" xfId="59291"/>
    <cellStyle name="Input 18 2 4" xfId="4162"/>
    <cellStyle name="Input 18 2 4 2" xfId="59292"/>
    <cellStyle name="Input 18 2 5" xfId="4163"/>
    <cellStyle name="Input 18 2 5 2" xfId="59293"/>
    <cellStyle name="Input 18 2 6" xfId="4164"/>
    <cellStyle name="Input 18 2 6 2" xfId="59294"/>
    <cellStyle name="Input 18 2 7" xfId="4165"/>
    <cellStyle name="Input 18 2 7 2" xfId="59295"/>
    <cellStyle name="Input 18 2 8" xfId="4166"/>
    <cellStyle name="Input 18 2 8 2" xfId="59296"/>
    <cellStyle name="Input 18 2 9" xfId="4167"/>
    <cellStyle name="Input 18 3" xfId="4168"/>
    <cellStyle name="Input 18 3 2" xfId="59297"/>
    <cellStyle name="Input 18 4" xfId="4169"/>
    <cellStyle name="Input 18 4 2" xfId="59298"/>
    <cellStyle name="Input 18 5" xfId="4170"/>
    <cellStyle name="Input 18 5 2" xfId="59299"/>
    <cellStyle name="Input 18 6" xfId="4171"/>
    <cellStyle name="Input 18 6 2" xfId="59300"/>
    <cellStyle name="Input 18 7" xfId="4172"/>
    <cellStyle name="Input 18 7 2" xfId="59301"/>
    <cellStyle name="Input 18 8" xfId="4173"/>
    <cellStyle name="Input 18 8 2" xfId="59302"/>
    <cellStyle name="Input 18 9" xfId="4174"/>
    <cellStyle name="Input 18 9 2" xfId="59303"/>
    <cellStyle name="Input 19" xfId="4175"/>
    <cellStyle name="Input 19 10" xfId="4176"/>
    <cellStyle name="Input 19 2" xfId="4177"/>
    <cellStyle name="Input 19 2 2" xfId="4178"/>
    <cellStyle name="Input 19 2 2 2" xfId="59304"/>
    <cellStyle name="Input 19 2 3" xfId="4179"/>
    <cellStyle name="Input 19 2 3 2" xfId="59305"/>
    <cellStyle name="Input 19 2 4" xfId="4180"/>
    <cellStyle name="Input 19 2 4 2" xfId="59306"/>
    <cellStyle name="Input 19 2 5" xfId="4181"/>
    <cellStyle name="Input 19 2 5 2" xfId="59307"/>
    <cellStyle name="Input 19 2 6" xfId="4182"/>
    <cellStyle name="Input 19 2 6 2" xfId="59308"/>
    <cellStyle name="Input 19 2 7" xfId="4183"/>
    <cellStyle name="Input 19 2 7 2" xfId="59309"/>
    <cellStyle name="Input 19 2 8" xfId="4184"/>
    <cellStyle name="Input 19 2 8 2" xfId="59310"/>
    <cellStyle name="Input 19 2 9" xfId="4185"/>
    <cellStyle name="Input 19 3" xfId="4186"/>
    <cellStyle name="Input 19 3 2" xfId="59311"/>
    <cellStyle name="Input 19 4" xfId="4187"/>
    <cellStyle name="Input 19 4 2" xfId="59312"/>
    <cellStyle name="Input 19 5" xfId="4188"/>
    <cellStyle name="Input 19 5 2" xfId="59313"/>
    <cellStyle name="Input 19 6" xfId="4189"/>
    <cellStyle name="Input 19 6 2" xfId="59314"/>
    <cellStyle name="Input 19 7" xfId="4190"/>
    <cellStyle name="Input 19 7 2" xfId="59315"/>
    <cellStyle name="Input 19 8" xfId="4191"/>
    <cellStyle name="Input 19 8 2" xfId="59316"/>
    <cellStyle name="Input 19 9" xfId="4192"/>
    <cellStyle name="Input 19 9 2" xfId="59317"/>
    <cellStyle name="Input 2" xfId="4193"/>
    <cellStyle name="Input 2 10" xfId="59318"/>
    <cellStyle name="Input 2 2" xfId="4194"/>
    <cellStyle name="Input 2 2 10" xfId="4195"/>
    <cellStyle name="Input 2 2 11" xfId="59319"/>
    <cellStyle name="Input 2 2 2" xfId="4196"/>
    <cellStyle name="Input 2 2 2 2" xfId="59320"/>
    <cellStyle name="Input 2 2 3" xfId="4197"/>
    <cellStyle name="Input 2 2 3 2" xfId="59321"/>
    <cellStyle name="Input 2 2 4" xfId="4198"/>
    <cellStyle name="Input 2 2 4 2" xfId="59322"/>
    <cellStyle name="Input 2 2 5" xfId="4199"/>
    <cellStyle name="Input 2 2 5 2" xfId="59323"/>
    <cellStyle name="Input 2 2 6" xfId="4200"/>
    <cellStyle name="Input 2 2 6 2" xfId="59324"/>
    <cellStyle name="Input 2 2 7" xfId="4201"/>
    <cellStyle name="Input 2 2 7 2" xfId="59325"/>
    <cellStyle name="Input 2 2 8" xfId="4202"/>
    <cellStyle name="Input 2 2 8 2" xfId="59326"/>
    <cellStyle name="Input 2 2 9" xfId="4203"/>
    <cellStyle name="Input 2 3" xfId="4204"/>
    <cellStyle name="Input 2 3 2" xfId="59327"/>
    <cellStyle name="Input 2 4" xfId="4205"/>
    <cellStyle name="Input 2 4 2" xfId="59328"/>
    <cellStyle name="Input 2 5" xfId="4206"/>
    <cellStyle name="Input 2 5 2" xfId="59329"/>
    <cellStyle name="Input 2 6" xfId="4207"/>
    <cellStyle name="Input 2 6 2" xfId="59330"/>
    <cellStyle name="Input 2 7" xfId="4208"/>
    <cellStyle name="Input 2 7 2" xfId="59331"/>
    <cellStyle name="Input 2 8" xfId="4209"/>
    <cellStyle name="Input 2 8 2" xfId="59332"/>
    <cellStyle name="Input 2 9" xfId="4210"/>
    <cellStyle name="Input 20" xfId="4211"/>
    <cellStyle name="Input 20 10" xfId="4212"/>
    <cellStyle name="Input 20 2" xfId="4213"/>
    <cellStyle name="Input 20 2 2" xfId="4214"/>
    <cellStyle name="Input 20 2 2 2" xfId="59333"/>
    <cellStyle name="Input 20 2 3" xfId="4215"/>
    <cellStyle name="Input 20 2 3 2" xfId="59334"/>
    <cellStyle name="Input 20 2 4" xfId="4216"/>
    <cellStyle name="Input 20 2 4 2" xfId="59335"/>
    <cellStyle name="Input 20 2 5" xfId="4217"/>
    <cellStyle name="Input 20 2 5 2" xfId="59336"/>
    <cellStyle name="Input 20 2 6" xfId="4218"/>
    <cellStyle name="Input 20 2 6 2" xfId="59337"/>
    <cellStyle name="Input 20 2 7" xfId="4219"/>
    <cellStyle name="Input 20 2 7 2" xfId="59338"/>
    <cellStyle name="Input 20 2 8" xfId="4220"/>
    <cellStyle name="Input 20 2 8 2" xfId="59339"/>
    <cellStyle name="Input 20 2 9" xfId="4221"/>
    <cellStyle name="Input 20 3" xfId="4222"/>
    <cellStyle name="Input 20 3 2" xfId="59340"/>
    <cellStyle name="Input 20 4" xfId="4223"/>
    <cellStyle name="Input 20 4 2" xfId="59341"/>
    <cellStyle name="Input 20 5" xfId="4224"/>
    <cellStyle name="Input 20 5 2" xfId="59342"/>
    <cellStyle name="Input 20 6" xfId="4225"/>
    <cellStyle name="Input 20 6 2" xfId="59343"/>
    <cellStyle name="Input 20 7" xfId="4226"/>
    <cellStyle name="Input 20 7 2" xfId="59344"/>
    <cellStyle name="Input 20 8" xfId="4227"/>
    <cellStyle name="Input 20 8 2" xfId="59345"/>
    <cellStyle name="Input 20 9" xfId="4228"/>
    <cellStyle name="Input 20 9 2" xfId="59346"/>
    <cellStyle name="Input 21" xfId="4229"/>
    <cellStyle name="Input 21 10" xfId="4230"/>
    <cellStyle name="Input 21 2" xfId="4231"/>
    <cellStyle name="Input 21 2 2" xfId="4232"/>
    <cellStyle name="Input 21 2 2 2" xfId="59347"/>
    <cellStyle name="Input 21 2 3" xfId="4233"/>
    <cellStyle name="Input 21 2 3 2" xfId="59348"/>
    <cellStyle name="Input 21 2 4" xfId="4234"/>
    <cellStyle name="Input 21 2 4 2" xfId="59349"/>
    <cellStyle name="Input 21 2 5" xfId="4235"/>
    <cellStyle name="Input 21 2 5 2" xfId="59350"/>
    <cellStyle name="Input 21 2 6" xfId="4236"/>
    <cellStyle name="Input 21 2 6 2" xfId="59351"/>
    <cellStyle name="Input 21 2 7" xfId="4237"/>
    <cellStyle name="Input 21 2 7 2" xfId="59352"/>
    <cellStyle name="Input 21 2 8" xfId="4238"/>
    <cellStyle name="Input 21 2 8 2" xfId="59353"/>
    <cellStyle name="Input 21 2 9" xfId="4239"/>
    <cellStyle name="Input 21 3" xfId="4240"/>
    <cellStyle name="Input 21 3 2" xfId="59354"/>
    <cellStyle name="Input 21 4" xfId="4241"/>
    <cellStyle name="Input 21 4 2" xfId="59355"/>
    <cellStyle name="Input 21 5" xfId="4242"/>
    <cellStyle name="Input 21 5 2" xfId="59356"/>
    <cellStyle name="Input 21 6" xfId="4243"/>
    <cellStyle name="Input 21 6 2" xfId="59357"/>
    <cellStyle name="Input 21 7" xfId="4244"/>
    <cellStyle name="Input 21 7 2" xfId="59358"/>
    <cellStyle name="Input 21 8" xfId="4245"/>
    <cellStyle name="Input 21 8 2" xfId="59359"/>
    <cellStyle name="Input 21 9" xfId="4246"/>
    <cellStyle name="Input 21 9 2" xfId="59360"/>
    <cellStyle name="Input 22" xfId="4247"/>
    <cellStyle name="Input 22 2" xfId="4248"/>
    <cellStyle name="Input 22 2 2" xfId="59361"/>
    <cellStyle name="Input 22 3" xfId="4249"/>
    <cellStyle name="Input 22 3 2" xfId="59362"/>
    <cellStyle name="Input 22 4" xfId="4250"/>
    <cellStyle name="Input 22 4 2" xfId="59363"/>
    <cellStyle name="Input 22 5" xfId="4251"/>
    <cellStyle name="Input 22 5 2" xfId="59364"/>
    <cellStyle name="Input 22 6" xfId="4252"/>
    <cellStyle name="Input 22 6 2" xfId="59365"/>
    <cellStyle name="Input 22 7" xfId="4253"/>
    <cellStyle name="Input 22 7 2" xfId="59366"/>
    <cellStyle name="Input 22 8" xfId="4254"/>
    <cellStyle name="Input 22 8 2" xfId="59367"/>
    <cellStyle name="Input 22 9" xfId="4255"/>
    <cellStyle name="Input 23" xfId="9211"/>
    <cellStyle name="Input 3" xfId="4256"/>
    <cellStyle name="Input 3 10" xfId="4257"/>
    <cellStyle name="Input 3 11" xfId="9212"/>
    <cellStyle name="Input 3 2" xfId="4258"/>
    <cellStyle name="Input 3 2 10" xfId="4259"/>
    <cellStyle name="Input 3 2 2" xfId="4260"/>
    <cellStyle name="Input 3 2 2 2" xfId="59368"/>
    <cellStyle name="Input 3 2 3" xfId="4261"/>
    <cellStyle name="Input 3 2 3 2" xfId="59369"/>
    <cellStyle name="Input 3 2 4" xfId="4262"/>
    <cellStyle name="Input 3 2 4 2" xfId="59370"/>
    <cellStyle name="Input 3 2 5" xfId="4263"/>
    <cellStyle name="Input 3 2 5 2" xfId="59371"/>
    <cellStyle name="Input 3 2 6" xfId="4264"/>
    <cellStyle name="Input 3 2 6 2" xfId="59372"/>
    <cellStyle name="Input 3 2 7" xfId="4265"/>
    <cellStyle name="Input 3 2 7 2" xfId="59373"/>
    <cellStyle name="Input 3 2 8" xfId="4266"/>
    <cellStyle name="Input 3 2 8 2" xfId="59374"/>
    <cellStyle name="Input 3 2 9" xfId="4267"/>
    <cellStyle name="Input 3 3" xfId="4268"/>
    <cellStyle name="Input 3 3 2" xfId="59375"/>
    <cellStyle name="Input 3 4" xfId="4269"/>
    <cellStyle name="Input 3 4 2" xfId="59376"/>
    <cellStyle name="Input 3 5" xfId="4270"/>
    <cellStyle name="Input 3 5 2" xfId="59377"/>
    <cellStyle name="Input 3 6" xfId="4271"/>
    <cellStyle name="Input 3 6 2" xfId="59378"/>
    <cellStyle name="Input 3 7" xfId="4272"/>
    <cellStyle name="Input 3 7 2" xfId="59379"/>
    <cellStyle name="Input 3 8" xfId="4273"/>
    <cellStyle name="Input 3 8 2" xfId="59380"/>
    <cellStyle name="Input 3 9" xfId="4274"/>
    <cellStyle name="Input 3 9 2" xfId="59381"/>
    <cellStyle name="Input 4" xfId="4275"/>
    <cellStyle name="Input 4 10" xfId="4276"/>
    <cellStyle name="Input 4 11" xfId="59382"/>
    <cellStyle name="Input 4 12" xfId="59383"/>
    <cellStyle name="Input 4 2" xfId="4277"/>
    <cellStyle name="Input 4 2 2" xfId="4278"/>
    <cellStyle name="Input 4 2 2 2" xfId="59384"/>
    <cellStyle name="Input 4 2 3" xfId="4279"/>
    <cellStyle name="Input 4 2 3 2" xfId="59385"/>
    <cellStyle name="Input 4 2 4" xfId="4280"/>
    <cellStyle name="Input 4 2 4 2" xfId="59386"/>
    <cellStyle name="Input 4 2 5" xfId="4281"/>
    <cellStyle name="Input 4 2 5 2" xfId="59387"/>
    <cellStyle name="Input 4 2 6" xfId="4282"/>
    <cellStyle name="Input 4 2 6 2" xfId="59388"/>
    <cellStyle name="Input 4 2 7" xfId="4283"/>
    <cellStyle name="Input 4 2 7 2" xfId="59389"/>
    <cellStyle name="Input 4 2 8" xfId="4284"/>
    <cellStyle name="Input 4 2 8 2" xfId="59390"/>
    <cellStyle name="Input 4 2 9" xfId="4285"/>
    <cellStyle name="Input 4 3" xfId="4286"/>
    <cellStyle name="Input 4 3 2" xfId="59391"/>
    <cellStyle name="Input 4 4" xfId="4287"/>
    <cellStyle name="Input 4 4 2" xfId="59392"/>
    <cellStyle name="Input 4 5" xfId="4288"/>
    <cellStyle name="Input 4 5 2" xfId="59393"/>
    <cellStyle name="Input 4 6" xfId="4289"/>
    <cellStyle name="Input 4 6 2" xfId="59394"/>
    <cellStyle name="Input 4 7" xfId="4290"/>
    <cellStyle name="Input 4 7 2" xfId="59395"/>
    <cellStyle name="Input 4 8" xfId="4291"/>
    <cellStyle name="Input 4 8 2" xfId="59396"/>
    <cellStyle name="Input 4 9" xfId="4292"/>
    <cellStyle name="Input 4 9 2" xfId="59397"/>
    <cellStyle name="Input 5" xfId="4293"/>
    <cellStyle name="Input 5 10" xfId="4294"/>
    <cellStyle name="Input 5 11" xfId="59398"/>
    <cellStyle name="Input 5 12" xfId="59399"/>
    <cellStyle name="Input 5 2" xfId="4295"/>
    <cellStyle name="Input 5 2 2" xfId="4296"/>
    <cellStyle name="Input 5 2 2 2" xfId="59400"/>
    <cellStyle name="Input 5 2 3" xfId="4297"/>
    <cellStyle name="Input 5 2 3 2" xfId="59401"/>
    <cellStyle name="Input 5 2 4" xfId="4298"/>
    <cellStyle name="Input 5 2 4 2" xfId="59402"/>
    <cellStyle name="Input 5 2 5" xfId="4299"/>
    <cellStyle name="Input 5 2 5 2" xfId="59403"/>
    <cellStyle name="Input 5 2 6" xfId="4300"/>
    <cellStyle name="Input 5 2 6 2" xfId="59404"/>
    <cellStyle name="Input 5 2 7" xfId="4301"/>
    <cellStyle name="Input 5 2 7 2" xfId="59405"/>
    <cellStyle name="Input 5 2 8" xfId="4302"/>
    <cellStyle name="Input 5 2 8 2" xfId="59406"/>
    <cellStyle name="Input 5 2 9" xfId="4303"/>
    <cellStyle name="Input 5 3" xfId="4304"/>
    <cellStyle name="Input 5 3 2" xfId="59407"/>
    <cellStyle name="Input 5 4" xfId="4305"/>
    <cellStyle name="Input 5 4 2" xfId="59408"/>
    <cellStyle name="Input 5 5" xfId="4306"/>
    <cellStyle name="Input 5 5 2" xfId="59409"/>
    <cellStyle name="Input 5 6" xfId="4307"/>
    <cellStyle name="Input 5 6 2" xfId="59410"/>
    <cellStyle name="Input 5 7" xfId="4308"/>
    <cellStyle name="Input 5 7 2" xfId="59411"/>
    <cellStyle name="Input 5 8" xfId="4309"/>
    <cellStyle name="Input 5 8 2" xfId="59412"/>
    <cellStyle name="Input 5 9" xfId="4310"/>
    <cellStyle name="Input 5 9 2" xfId="59413"/>
    <cellStyle name="Input 6" xfId="4311"/>
    <cellStyle name="Input 6 10" xfId="4312"/>
    <cellStyle name="Input 6 11" xfId="59414"/>
    <cellStyle name="Input 6 12" xfId="59415"/>
    <cellStyle name="Input 6 2" xfId="4313"/>
    <cellStyle name="Input 6 2 2" xfId="4314"/>
    <cellStyle name="Input 6 2 2 2" xfId="59416"/>
    <cellStyle name="Input 6 2 3" xfId="4315"/>
    <cellStyle name="Input 6 2 3 2" xfId="59417"/>
    <cellStyle name="Input 6 2 4" xfId="4316"/>
    <cellStyle name="Input 6 2 4 2" xfId="59418"/>
    <cellStyle name="Input 6 2 5" xfId="4317"/>
    <cellStyle name="Input 6 2 5 2" xfId="59419"/>
    <cellStyle name="Input 6 2 6" xfId="4318"/>
    <cellStyle name="Input 6 2 6 2" xfId="59420"/>
    <cellStyle name="Input 6 2 7" xfId="4319"/>
    <cellStyle name="Input 6 2 7 2" xfId="59421"/>
    <cellStyle name="Input 6 2 8" xfId="4320"/>
    <cellStyle name="Input 6 2 8 2" xfId="59422"/>
    <cellStyle name="Input 6 2 9" xfId="4321"/>
    <cellStyle name="Input 6 3" xfId="4322"/>
    <cellStyle name="Input 6 3 2" xfId="59423"/>
    <cellStyle name="Input 6 4" xfId="4323"/>
    <cellStyle name="Input 6 4 2" xfId="59424"/>
    <cellStyle name="Input 6 5" xfId="4324"/>
    <cellStyle name="Input 6 5 2" xfId="59425"/>
    <cellStyle name="Input 6 6" xfId="4325"/>
    <cellStyle name="Input 6 6 2" xfId="59426"/>
    <cellStyle name="Input 6 7" xfId="4326"/>
    <cellStyle name="Input 6 7 2" xfId="59427"/>
    <cellStyle name="Input 6 8" xfId="4327"/>
    <cellStyle name="Input 6 8 2" xfId="59428"/>
    <cellStyle name="Input 6 9" xfId="4328"/>
    <cellStyle name="Input 6 9 2" xfId="59429"/>
    <cellStyle name="Input 7" xfId="4329"/>
    <cellStyle name="Input 7 10" xfId="4330"/>
    <cellStyle name="Input 7 11" xfId="59430"/>
    <cellStyle name="Input 7 12" xfId="59431"/>
    <cellStyle name="Input 7 2" xfId="4331"/>
    <cellStyle name="Input 7 2 2" xfId="4332"/>
    <cellStyle name="Input 7 2 2 2" xfId="59432"/>
    <cellStyle name="Input 7 2 3" xfId="4333"/>
    <cellStyle name="Input 7 2 3 2" xfId="59433"/>
    <cellStyle name="Input 7 2 4" xfId="4334"/>
    <cellStyle name="Input 7 2 4 2" xfId="59434"/>
    <cellStyle name="Input 7 2 5" xfId="4335"/>
    <cellStyle name="Input 7 2 5 2" xfId="59435"/>
    <cellStyle name="Input 7 2 6" xfId="4336"/>
    <cellStyle name="Input 7 2 6 2" xfId="59436"/>
    <cellStyle name="Input 7 2 7" xfId="4337"/>
    <cellStyle name="Input 7 2 7 2" xfId="59437"/>
    <cellStyle name="Input 7 2 8" xfId="4338"/>
    <cellStyle name="Input 7 2 8 2" xfId="59438"/>
    <cellStyle name="Input 7 2 9" xfId="4339"/>
    <cellStyle name="Input 7 3" xfId="4340"/>
    <cellStyle name="Input 7 3 2" xfId="59439"/>
    <cellStyle name="Input 7 4" xfId="4341"/>
    <cellStyle name="Input 7 4 2" xfId="59440"/>
    <cellStyle name="Input 7 5" xfId="4342"/>
    <cellStyle name="Input 7 5 2" xfId="59441"/>
    <cellStyle name="Input 7 6" xfId="4343"/>
    <cellStyle name="Input 7 6 2" xfId="59442"/>
    <cellStyle name="Input 7 7" xfId="4344"/>
    <cellStyle name="Input 7 7 2" xfId="59443"/>
    <cellStyle name="Input 7 8" xfId="4345"/>
    <cellStyle name="Input 7 8 2" xfId="59444"/>
    <cellStyle name="Input 7 9" xfId="4346"/>
    <cellStyle name="Input 7 9 2" xfId="59445"/>
    <cellStyle name="Input 8" xfId="4347"/>
    <cellStyle name="Input 8 10" xfId="4348"/>
    <cellStyle name="Input 8 11" xfId="59446"/>
    <cellStyle name="Input 8 12" xfId="59447"/>
    <cellStyle name="Input 8 2" xfId="4349"/>
    <cellStyle name="Input 8 2 2" xfId="4350"/>
    <cellStyle name="Input 8 2 2 2" xfId="59448"/>
    <cellStyle name="Input 8 2 3" xfId="4351"/>
    <cellStyle name="Input 8 2 3 2" xfId="59449"/>
    <cellStyle name="Input 8 2 4" xfId="4352"/>
    <cellStyle name="Input 8 2 4 2" xfId="59450"/>
    <cellStyle name="Input 8 2 5" xfId="4353"/>
    <cellStyle name="Input 8 2 5 2" xfId="59451"/>
    <cellStyle name="Input 8 2 6" xfId="4354"/>
    <cellStyle name="Input 8 2 6 2" xfId="59452"/>
    <cellStyle name="Input 8 2 7" xfId="4355"/>
    <cellStyle name="Input 8 2 7 2" xfId="59453"/>
    <cellStyle name="Input 8 2 8" xfId="4356"/>
    <cellStyle name="Input 8 2 8 2" xfId="59454"/>
    <cellStyle name="Input 8 2 9" xfId="4357"/>
    <cellStyle name="Input 8 3" xfId="4358"/>
    <cellStyle name="Input 8 3 2" xfId="59455"/>
    <cellStyle name="Input 8 4" xfId="4359"/>
    <cellStyle name="Input 8 4 2" xfId="59456"/>
    <cellStyle name="Input 8 5" xfId="4360"/>
    <cellStyle name="Input 8 5 2" xfId="59457"/>
    <cellStyle name="Input 8 6" xfId="4361"/>
    <cellStyle name="Input 8 6 2" xfId="59458"/>
    <cellStyle name="Input 8 7" xfId="4362"/>
    <cellStyle name="Input 8 7 2" xfId="59459"/>
    <cellStyle name="Input 8 8" xfId="4363"/>
    <cellStyle name="Input 8 8 2" xfId="59460"/>
    <cellStyle name="Input 8 9" xfId="4364"/>
    <cellStyle name="Input 8 9 2" xfId="59461"/>
    <cellStyle name="Input 9" xfId="4365"/>
    <cellStyle name="Input 9 10" xfId="4366"/>
    <cellStyle name="Input 9 11" xfId="59462"/>
    <cellStyle name="Input 9 12" xfId="59463"/>
    <cellStyle name="Input 9 2" xfId="4367"/>
    <cellStyle name="Input 9 2 2" xfId="4368"/>
    <cellStyle name="Input 9 2 2 2" xfId="59464"/>
    <cellStyle name="Input 9 2 3" xfId="4369"/>
    <cellStyle name="Input 9 2 3 2" xfId="59465"/>
    <cellStyle name="Input 9 2 4" xfId="4370"/>
    <cellStyle name="Input 9 2 4 2" xfId="59466"/>
    <cellStyle name="Input 9 2 5" xfId="4371"/>
    <cellStyle name="Input 9 2 5 2" xfId="59467"/>
    <cellStyle name="Input 9 2 6" xfId="4372"/>
    <cellStyle name="Input 9 2 6 2" xfId="59468"/>
    <cellStyle name="Input 9 2 7" xfId="4373"/>
    <cellStyle name="Input 9 2 7 2" xfId="59469"/>
    <cellStyle name="Input 9 2 8" xfId="4374"/>
    <cellStyle name="Input 9 2 8 2" xfId="59470"/>
    <cellStyle name="Input 9 2 9" xfId="4375"/>
    <cellStyle name="Input 9 3" xfId="4376"/>
    <cellStyle name="Input 9 3 2" xfId="59471"/>
    <cellStyle name="Input 9 4" xfId="4377"/>
    <cellStyle name="Input 9 4 2" xfId="59472"/>
    <cellStyle name="Input 9 5" xfId="4378"/>
    <cellStyle name="Input 9 5 2" xfId="59473"/>
    <cellStyle name="Input 9 6" xfId="4379"/>
    <cellStyle name="Input 9 6 2" xfId="59474"/>
    <cellStyle name="Input 9 7" xfId="4380"/>
    <cellStyle name="Input 9 7 2" xfId="59475"/>
    <cellStyle name="Input 9 8" xfId="4381"/>
    <cellStyle name="Input 9 8 2" xfId="59476"/>
    <cellStyle name="Input 9 9" xfId="4382"/>
    <cellStyle name="Input 9 9 2" xfId="59477"/>
    <cellStyle name="Labels - Style3" xfId="59478"/>
    <cellStyle name="LineItemPrompt" xfId="4383"/>
    <cellStyle name="LineItemPrompt 2" xfId="4384"/>
    <cellStyle name="LineItemPrompt 2 2" xfId="9815"/>
    <cellStyle name="LineItemPrompt 2 3" xfId="9816"/>
    <cellStyle name="LineItemPrompt 3" xfId="4385"/>
    <cellStyle name="LineItemPrompt 4" xfId="9213"/>
    <cellStyle name="LineItemValue" xfId="4386"/>
    <cellStyle name="LineItemValue 2" xfId="4387"/>
    <cellStyle name="LineItemValue 2 2" xfId="9817"/>
    <cellStyle name="LineItemValue 2 3" xfId="9818"/>
    <cellStyle name="LineItemValue 3" xfId="4388"/>
    <cellStyle name="LineItemValue 4" xfId="4389"/>
    <cellStyle name="LineItemValue 5" xfId="9214"/>
    <cellStyle name="Linked Cell 10" xfId="9819"/>
    <cellStyle name="Linked Cell 11" xfId="9820"/>
    <cellStyle name="Linked Cell 12" xfId="9821"/>
    <cellStyle name="Linked Cell 13" xfId="9822"/>
    <cellStyle name="Linked Cell 14" xfId="9823"/>
    <cellStyle name="Linked Cell 15" xfId="9824"/>
    <cellStyle name="Linked Cell 16" xfId="9825"/>
    <cellStyle name="Linked Cell 17" xfId="9826"/>
    <cellStyle name="Linked Cell 17 2" xfId="59479"/>
    <cellStyle name="Linked Cell 2" xfId="4390"/>
    <cellStyle name="Linked Cell 2 2" xfId="4391"/>
    <cellStyle name="Linked Cell 2 2 2" xfId="52911"/>
    <cellStyle name="Linked Cell 2 3" xfId="52912"/>
    <cellStyle name="Linked Cell 2 4" xfId="52913"/>
    <cellStyle name="Linked Cell 2 5" xfId="52914"/>
    <cellStyle name="Linked Cell 3" xfId="4392"/>
    <cellStyle name="Linked Cell 3 2" xfId="9215"/>
    <cellStyle name="Linked Cell 4" xfId="9216"/>
    <cellStyle name="Linked Cell 4 2" xfId="52915"/>
    <cellStyle name="Linked Cell 5" xfId="9827"/>
    <cellStyle name="Linked Cell 5 2" xfId="52916"/>
    <cellStyle name="Linked Cell 6" xfId="9828"/>
    <cellStyle name="Linked Cell 6 2" xfId="52917"/>
    <cellStyle name="Linked Cell 7" xfId="9829"/>
    <cellStyle name="Linked Cell 7 2" xfId="52918"/>
    <cellStyle name="Linked Cell 8" xfId="9830"/>
    <cellStyle name="Linked Cell 9" xfId="9831"/>
    <cellStyle name="Milliers [0]_EDYAN" xfId="52919"/>
    <cellStyle name="Milliers_EDYAN" xfId="52920"/>
    <cellStyle name="Monétaire [0]_EDYAN" xfId="52921"/>
    <cellStyle name="Monétaire_EDYAN" xfId="52922"/>
    <cellStyle name="MTH" xfId="52923"/>
    <cellStyle name="Neutral 10" xfId="9832"/>
    <cellStyle name="Neutral 11" xfId="9833"/>
    <cellStyle name="Neutral 12" xfId="9834"/>
    <cellStyle name="Neutral 13" xfId="9835"/>
    <cellStyle name="Neutral 14" xfId="9836"/>
    <cellStyle name="Neutral 15" xfId="9837"/>
    <cellStyle name="Neutral 16" xfId="9838"/>
    <cellStyle name="Neutral 17" xfId="9839"/>
    <cellStyle name="Neutral 17 2" xfId="59480"/>
    <cellStyle name="Neutral 2" xfId="4393"/>
    <cellStyle name="Neutral 2 2" xfId="4394"/>
    <cellStyle name="Neutral 2 2 2" xfId="52924"/>
    <cellStyle name="Neutral 2 3" xfId="52925"/>
    <cellStyle name="Neutral 2 4" xfId="52926"/>
    <cellStyle name="Neutral 2 5" xfId="52927"/>
    <cellStyle name="Neutral 3" xfId="4395"/>
    <cellStyle name="Neutral 3 2" xfId="9217"/>
    <cellStyle name="Neutral 4" xfId="9218"/>
    <cellStyle name="Neutral 4 2" xfId="52928"/>
    <cellStyle name="Neutral 5" xfId="9840"/>
    <cellStyle name="Neutral 5 2" xfId="52929"/>
    <cellStyle name="Neutral 6" xfId="9841"/>
    <cellStyle name="Neutral 6 2" xfId="52930"/>
    <cellStyle name="Neutral 7" xfId="9842"/>
    <cellStyle name="Neutral 7 2" xfId="52931"/>
    <cellStyle name="Neutral 8" xfId="9843"/>
    <cellStyle name="Neutral 9" xfId="9844"/>
    <cellStyle name="Normal" xfId="0" builtinId="0"/>
    <cellStyle name="Normal - Style1" xfId="52932"/>
    <cellStyle name="Normal - Style1 2" xfId="59481"/>
    <cellStyle name="Normal - Style2" xfId="59482"/>
    <cellStyle name="Normal - Style3" xfId="59483"/>
    <cellStyle name="Normal - Style4" xfId="59484"/>
    <cellStyle name="Normal - Style5" xfId="59485"/>
    <cellStyle name="Normal - Style6" xfId="59486"/>
    <cellStyle name="Normal - Style7" xfId="59487"/>
    <cellStyle name="Normal - Style8" xfId="59488"/>
    <cellStyle name="Normal 10" xfId="4396"/>
    <cellStyle name="Normal 10 2" xfId="4397"/>
    <cellStyle name="Normal 10 2 2" xfId="59489"/>
    <cellStyle name="Normal 10 3" xfId="4398"/>
    <cellStyle name="Normal 10 3 2" xfId="52933"/>
    <cellStyle name="Normal 10 3 3" xfId="52934"/>
    <cellStyle name="Normal 10 4" xfId="9219"/>
    <cellStyle name="Normal 11" xfId="4399"/>
    <cellStyle name="Normal 11 10" xfId="10007"/>
    <cellStyle name="Normal 11 10 2" xfId="52935"/>
    <cellStyle name="Normal 11 10 2 2" xfId="52936"/>
    <cellStyle name="Normal 11 10 2 3" xfId="52937"/>
    <cellStyle name="Normal 11 10 3" xfId="52938"/>
    <cellStyle name="Normal 11 10 3 2" xfId="52939"/>
    <cellStyle name="Normal 11 10 4" xfId="52940"/>
    <cellStyle name="Normal 11 10 5" xfId="52941"/>
    <cellStyle name="Normal 11 11" xfId="52942"/>
    <cellStyle name="Normal 11 11 2" xfId="52943"/>
    <cellStyle name="Normal 11 11 3" xfId="52944"/>
    <cellStyle name="Normal 11 12" xfId="52945"/>
    <cellStyle name="Normal 11 12 2" xfId="52946"/>
    <cellStyle name="Normal 11 12 3" xfId="52947"/>
    <cellStyle name="Normal 11 13" xfId="52948"/>
    <cellStyle name="Normal 11 13 2" xfId="52949"/>
    <cellStyle name="Normal 11 14" xfId="52950"/>
    <cellStyle name="Normal 11 15" xfId="52951"/>
    <cellStyle name="Normal 11 16" xfId="52952"/>
    <cellStyle name="Normal 11 2" xfId="4400"/>
    <cellStyle name="Normal 11 2 10" xfId="52953"/>
    <cellStyle name="Normal 11 2 10 2" xfId="52954"/>
    <cellStyle name="Normal 11 2 10 3" xfId="52955"/>
    <cellStyle name="Normal 11 2 11" xfId="52956"/>
    <cellStyle name="Normal 11 2 11 2" xfId="52957"/>
    <cellStyle name="Normal 11 2 11 3" xfId="52958"/>
    <cellStyle name="Normal 11 2 12" xfId="52959"/>
    <cellStyle name="Normal 11 2 12 2" xfId="52960"/>
    <cellStyle name="Normal 11 2 13" xfId="52961"/>
    <cellStyle name="Normal 11 2 14" xfId="52962"/>
    <cellStyle name="Normal 11 2 15" xfId="52963"/>
    <cellStyle name="Normal 11 2 2" xfId="52964"/>
    <cellStyle name="Normal 11 2 2 10" xfId="52965"/>
    <cellStyle name="Normal 11 2 2 10 2" xfId="52966"/>
    <cellStyle name="Normal 11 2 2 10 3" xfId="52967"/>
    <cellStyle name="Normal 11 2 2 11" xfId="52968"/>
    <cellStyle name="Normal 11 2 2 11 2" xfId="52969"/>
    <cellStyle name="Normal 11 2 2 12" xfId="52970"/>
    <cellStyle name="Normal 11 2 2 13" xfId="52971"/>
    <cellStyle name="Normal 11 2 2 2" xfId="52972"/>
    <cellStyle name="Normal 11 2 2 2 10" xfId="52973"/>
    <cellStyle name="Normal 11 2 2 2 10 2" xfId="52974"/>
    <cellStyle name="Normal 11 2 2 2 11" xfId="52975"/>
    <cellStyle name="Normal 11 2 2 2 12" xfId="52976"/>
    <cellStyle name="Normal 11 2 2 2 2" xfId="52977"/>
    <cellStyle name="Normal 11 2 2 2 2 10" xfId="52978"/>
    <cellStyle name="Normal 11 2 2 2 2 2" xfId="52979"/>
    <cellStyle name="Normal 11 2 2 2 2 2 2" xfId="52980"/>
    <cellStyle name="Normal 11 2 2 2 2 2 2 2" xfId="52981"/>
    <cellStyle name="Normal 11 2 2 2 2 2 2 2 2" xfId="52982"/>
    <cellStyle name="Normal 11 2 2 2 2 2 2 2 3" xfId="52983"/>
    <cellStyle name="Normal 11 2 2 2 2 2 2 3" xfId="52984"/>
    <cellStyle name="Normal 11 2 2 2 2 2 2 3 2" xfId="52985"/>
    <cellStyle name="Normal 11 2 2 2 2 2 2 3 3" xfId="52986"/>
    <cellStyle name="Normal 11 2 2 2 2 2 2 4" xfId="52987"/>
    <cellStyle name="Normal 11 2 2 2 2 2 2 4 2" xfId="52988"/>
    <cellStyle name="Normal 11 2 2 2 2 2 2 5" xfId="52989"/>
    <cellStyle name="Normal 11 2 2 2 2 2 2 6" xfId="52990"/>
    <cellStyle name="Normal 11 2 2 2 2 2 3" xfId="52991"/>
    <cellStyle name="Normal 11 2 2 2 2 2 3 2" xfId="52992"/>
    <cellStyle name="Normal 11 2 2 2 2 2 3 2 2" xfId="52993"/>
    <cellStyle name="Normal 11 2 2 2 2 2 3 2 3" xfId="52994"/>
    <cellStyle name="Normal 11 2 2 2 2 2 3 3" xfId="52995"/>
    <cellStyle name="Normal 11 2 2 2 2 2 3 3 2" xfId="52996"/>
    <cellStyle name="Normal 11 2 2 2 2 2 3 3 3" xfId="52997"/>
    <cellStyle name="Normal 11 2 2 2 2 2 3 4" xfId="52998"/>
    <cellStyle name="Normal 11 2 2 2 2 2 3 4 2" xfId="52999"/>
    <cellStyle name="Normal 11 2 2 2 2 2 3 5" xfId="53000"/>
    <cellStyle name="Normal 11 2 2 2 2 2 3 6" xfId="53001"/>
    <cellStyle name="Normal 11 2 2 2 2 2 4" xfId="53002"/>
    <cellStyle name="Normal 11 2 2 2 2 2 4 2" xfId="53003"/>
    <cellStyle name="Normal 11 2 2 2 2 2 4 2 2" xfId="53004"/>
    <cellStyle name="Normal 11 2 2 2 2 2 4 2 3" xfId="53005"/>
    <cellStyle name="Normal 11 2 2 2 2 2 4 3" xfId="53006"/>
    <cellStyle name="Normal 11 2 2 2 2 2 4 3 2" xfId="53007"/>
    <cellStyle name="Normal 11 2 2 2 2 2 4 4" xfId="53008"/>
    <cellStyle name="Normal 11 2 2 2 2 2 4 5" xfId="53009"/>
    <cellStyle name="Normal 11 2 2 2 2 2 5" xfId="53010"/>
    <cellStyle name="Normal 11 2 2 2 2 2 5 2" xfId="53011"/>
    <cellStyle name="Normal 11 2 2 2 2 2 5 3" xfId="53012"/>
    <cellStyle name="Normal 11 2 2 2 2 2 6" xfId="53013"/>
    <cellStyle name="Normal 11 2 2 2 2 2 6 2" xfId="53014"/>
    <cellStyle name="Normal 11 2 2 2 2 2 6 3" xfId="53015"/>
    <cellStyle name="Normal 11 2 2 2 2 2 7" xfId="53016"/>
    <cellStyle name="Normal 11 2 2 2 2 2 7 2" xfId="53017"/>
    <cellStyle name="Normal 11 2 2 2 2 2 8" xfId="53018"/>
    <cellStyle name="Normal 11 2 2 2 2 2 9" xfId="53019"/>
    <cellStyle name="Normal 11 2 2 2 2 3" xfId="53020"/>
    <cellStyle name="Normal 11 2 2 2 2 3 2" xfId="53021"/>
    <cellStyle name="Normal 11 2 2 2 2 3 2 2" xfId="53022"/>
    <cellStyle name="Normal 11 2 2 2 2 3 2 3" xfId="53023"/>
    <cellStyle name="Normal 11 2 2 2 2 3 3" xfId="53024"/>
    <cellStyle name="Normal 11 2 2 2 2 3 3 2" xfId="53025"/>
    <cellStyle name="Normal 11 2 2 2 2 3 3 3" xfId="53026"/>
    <cellStyle name="Normal 11 2 2 2 2 3 4" xfId="53027"/>
    <cellStyle name="Normal 11 2 2 2 2 3 4 2" xfId="53028"/>
    <cellStyle name="Normal 11 2 2 2 2 3 5" xfId="53029"/>
    <cellStyle name="Normal 11 2 2 2 2 3 6" xfId="53030"/>
    <cellStyle name="Normal 11 2 2 2 2 4" xfId="53031"/>
    <cellStyle name="Normal 11 2 2 2 2 4 2" xfId="53032"/>
    <cellStyle name="Normal 11 2 2 2 2 4 2 2" xfId="53033"/>
    <cellStyle name="Normal 11 2 2 2 2 4 2 3" xfId="53034"/>
    <cellStyle name="Normal 11 2 2 2 2 4 3" xfId="53035"/>
    <cellStyle name="Normal 11 2 2 2 2 4 3 2" xfId="53036"/>
    <cellStyle name="Normal 11 2 2 2 2 4 3 3" xfId="53037"/>
    <cellStyle name="Normal 11 2 2 2 2 4 4" xfId="53038"/>
    <cellStyle name="Normal 11 2 2 2 2 4 4 2" xfId="53039"/>
    <cellStyle name="Normal 11 2 2 2 2 4 5" xfId="53040"/>
    <cellStyle name="Normal 11 2 2 2 2 4 6" xfId="53041"/>
    <cellStyle name="Normal 11 2 2 2 2 5" xfId="53042"/>
    <cellStyle name="Normal 11 2 2 2 2 5 2" xfId="53043"/>
    <cellStyle name="Normal 11 2 2 2 2 5 2 2" xfId="53044"/>
    <cellStyle name="Normal 11 2 2 2 2 5 2 3" xfId="53045"/>
    <cellStyle name="Normal 11 2 2 2 2 5 3" xfId="53046"/>
    <cellStyle name="Normal 11 2 2 2 2 5 3 2" xfId="53047"/>
    <cellStyle name="Normal 11 2 2 2 2 5 4" xfId="53048"/>
    <cellStyle name="Normal 11 2 2 2 2 5 5" xfId="53049"/>
    <cellStyle name="Normal 11 2 2 2 2 6" xfId="53050"/>
    <cellStyle name="Normal 11 2 2 2 2 6 2" xfId="53051"/>
    <cellStyle name="Normal 11 2 2 2 2 6 3" xfId="53052"/>
    <cellStyle name="Normal 11 2 2 2 2 7" xfId="53053"/>
    <cellStyle name="Normal 11 2 2 2 2 7 2" xfId="53054"/>
    <cellStyle name="Normal 11 2 2 2 2 7 3" xfId="53055"/>
    <cellStyle name="Normal 11 2 2 2 2 8" xfId="53056"/>
    <cellStyle name="Normal 11 2 2 2 2 8 2" xfId="53057"/>
    <cellStyle name="Normal 11 2 2 2 2 9" xfId="53058"/>
    <cellStyle name="Normal 11 2 2 2 3" xfId="53059"/>
    <cellStyle name="Normal 11 2 2 2 3 2" xfId="53060"/>
    <cellStyle name="Normal 11 2 2 2 3 2 2" xfId="53061"/>
    <cellStyle name="Normal 11 2 2 2 3 2 2 2" xfId="53062"/>
    <cellStyle name="Normal 11 2 2 2 3 2 2 3" xfId="53063"/>
    <cellStyle name="Normal 11 2 2 2 3 2 3" xfId="53064"/>
    <cellStyle name="Normal 11 2 2 2 3 2 3 2" xfId="53065"/>
    <cellStyle name="Normal 11 2 2 2 3 2 3 3" xfId="53066"/>
    <cellStyle name="Normal 11 2 2 2 3 2 4" xfId="53067"/>
    <cellStyle name="Normal 11 2 2 2 3 2 4 2" xfId="53068"/>
    <cellStyle name="Normal 11 2 2 2 3 2 5" xfId="53069"/>
    <cellStyle name="Normal 11 2 2 2 3 2 6" xfId="53070"/>
    <cellStyle name="Normal 11 2 2 2 3 3" xfId="53071"/>
    <cellStyle name="Normal 11 2 2 2 3 3 2" xfId="53072"/>
    <cellStyle name="Normal 11 2 2 2 3 3 2 2" xfId="53073"/>
    <cellStyle name="Normal 11 2 2 2 3 3 2 3" xfId="53074"/>
    <cellStyle name="Normal 11 2 2 2 3 3 3" xfId="53075"/>
    <cellStyle name="Normal 11 2 2 2 3 3 3 2" xfId="53076"/>
    <cellStyle name="Normal 11 2 2 2 3 3 3 3" xfId="53077"/>
    <cellStyle name="Normal 11 2 2 2 3 3 4" xfId="53078"/>
    <cellStyle name="Normal 11 2 2 2 3 3 4 2" xfId="53079"/>
    <cellStyle name="Normal 11 2 2 2 3 3 5" xfId="53080"/>
    <cellStyle name="Normal 11 2 2 2 3 3 6" xfId="53081"/>
    <cellStyle name="Normal 11 2 2 2 3 4" xfId="53082"/>
    <cellStyle name="Normal 11 2 2 2 3 4 2" xfId="53083"/>
    <cellStyle name="Normal 11 2 2 2 3 4 2 2" xfId="53084"/>
    <cellStyle name="Normal 11 2 2 2 3 4 2 3" xfId="53085"/>
    <cellStyle name="Normal 11 2 2 2 3 4 3" xfId="53086"/>
    <cellStyle name="Normal 11 2 2 2 3 4 3 2" xfId="53087"/>
    <cellStyle name="Normal 11 2 2 2 3 4 4" xfId="53088"/>
    <cellStyle name="Normal 11 2 2 2 3 4 5" xfId="53089"/>
    <cellStyle name="Normal 11 2 2 2 3 5" xfId="53090"/>
    <cellStyle name="Normal 11 2 2 2 3 5 2" xfId="53091"/>
    <cellStyle name="Normal 11 2 2 2 3 5 3" xfId="53092"/>
    <cellStyle name="Normal 11 2 2 2 3 6" xfId="53093"/>
    <cellStyle name="Normal 11 2 2 2 3 6 2" xfId="53094"/>
    <cellStyle name="Normal 11 2 2 2 3 6 3" xfId="53095"/>
    <cellStyle name="Normal 11 2 2 2 3 7" xfId="53096"/>
    <cellStyle name="Normal 11 2 2 2 3 7 2" xfId="53097"/>
    <cellStyle name="Normal 11 2 2 2 3 8" xfId="53098"/>
    <cellStyle name="Normal 11 2 2 2 3 9" xfId="53099"/>
    <cellStyle name="Normal 11 2 2 2 4" xfId="53100"/>
    <cellStyle name="Normal 11 2 2 2 4 2" xfId="53101"/>
    <cellStyle name="Normal 11 2 2 2 4 2 2" xfId="53102"/>
    <cellStyle name="Normal 11 2 2 2 4 2 2 2" xfId="53103"/>
    <cellStyle name="Normal 11 2 2 2 4 2 2 3" xfId="53104"/>
    <cellStyle name="Normal 11 2 2 2 4 2 3" xfId="53105"/>
    <cellStyle name="Normal 11 2 2 2 4 2 3 2" xfId="53106"/>
    <cellStyle name="Normal 11 2 2 2 4 2 3 3" xfId="53107"/>
    <cellStyle name="Normal 11 2 2 2 4 2 4" xfId="53108"/>
    <cellStyle name="Normal 11 2 2 2 4 2 4 2" xfId="53109"/>
    <cellStyle name="Normal 11 2 2 2 4 2 5" xfId="53110"/>
    <cellStyle name="Normal 11 2 2 2 4 2 6" xfId="53111"/>
    <cellStyle name="Normal 11 2 2 2 4 3" xfId="53112"/>
    <cellStyle name="Normal 11 2 2 2 4 3 2" xfId="53113"/>
    <cellStyle name="Normal 11 2 2 2 4 3 2 2" xfId="53114"/>
    <cellStyle name="Normal 11 2 2 2 4 3 2 3" xfId="53115"/>
    <cellStyle name="Normal 11 2 2 2 4 3 3" xfId="53116"/>
    <cellStyle name="Normal 11 2 2 2 4 3 3 2" xfId="53117"/>
    <cellStyle name="Normal 11 2 2 2 4 3 3 3" xfId="53118"/>
    <cellStyle name="Normal 11 2 2 2 4 3 4" xfId="53119"/>
    <cellStyle name="Normal 11 2 2 2 4 3 4 2" xfId="53120"/>
    <cellStyle name="Normal 11 2 2 2 4 3 5" xfId="53121"/>
    <cellStyle name="Normal 11 2 2 2 4 3 6" xfId="53122"/>
    <cellStyle name="Normal 11 2 2 2 4 4" xfId="53123"/>
    <cellStyle name="Normal 11 2 2 2 4 4 2" xfId="53124"/>
    <cellStyle name="Normal 11 2 2 2 4 4 2 2" xfId="53125"/>
    <cellStyle name="Normal 11 2 2 2 4 4 2 3" xfId="53126"/>
    <cellStyle name="Normal 11 2 2 2 4 4 3" xfId="53127"/>
    <cellStyle name="Normal 11 2 2 2 4 4 3 2" xfId="53128"/>
    <cellStyle name="Normal 11 2 2 2 4 4 4" xfId="53129"/>
    <cellStyle name="Normal 11 2 2 2 4 4 5" xfId="53130"/>
    <cellStyle name="Normal 11 2 2 2 4 5" xfId="53131"/>
    <cellStyle name="Normal 11 2 2 2 4 5 2" xfId="53132"/>
    <cellStyle name="Normal 11 2 2 2 4 5 3" xfId="53133"/>
    <cellStyle name="Normal 11 2 2 2 4 6" xfId="53134"/>
    <cellStyle name="Normal 11 2 2 2 4 6 2" xfId="53135"/>
    <cellStyle name="Normal 11 2 2 2 4 6 3" xfId="53136"/>
    <cellStyle name="Normal 11 2 2 2 4 7" xfId="53137"/>
    <cellStyle name="Normal 11 2 2 2 4 7 2" xfId="53138"/>
    <cellStyle name="Normal 11 2 2 2 4 8" xfId="53139"/>
    <cellStyle name="Normal 11 2 2 2 4 9" xfId="53140"/>
    <cellStyle name="Normal 11 2 2 2 5" xfId="53141"/>
    <cellStyle name="Normal 11 2 2 2 5 2" xfId="53142"/>
    <cellStyle name="Normal 11 2 2 2 5 2 2" xfId="53143"/>
    <cellStyle name="Normal 11 2 2 2 5 2 3" xfId="53144"/>
    <cellStyle name="Normal 11 2 2 2 5 3" xfId="53145"/>
    <cellStyle name="Normal 11 2 2 2 5 3 2" xfId="53146"/>
    <cellStyle name="Normal 11 2 2 2 5 3 3" xfId="53147"/>
    <cellStyle name="Normal 11 2 2 2 5 4" xfId="53148"/>
    <cellStyle name="Normal 11 2 2 2 5 4 2" xfId="53149"/>
    <cellStyle name="Normal 11 2 2 2 5 5" xfId="53150"/>
    <cellStyle name="Normal 11 2 2 2 5 6" xfId="53151"/>
    <cellStyle name="Normal 11 2 2 2 6" xfId="53152"/>
    <cellStyle name="Normal 11 2 2 2 6 2" xfId="53153"/>
    <cellStyle name="Normal 11 2 2 2 6 2 2" xfId="53154"/>
    <cellStyle name="Normal 11 2 2 2 6 2 3" xfId="53155"/>
    <cellStyle name="Normal 11 2 2 2 6 3" xfId="53156"/>
    <cellStyle name="Normal 11 2 2 2 6 3 2" xfId="53157"/>
    <cellStyle name="Normal 11 2 2 2 6 3 3" xfId="53158"/>
    <cellStyle name="Normal 11 2 2 2 6 4" xfId="53159"/>
    <cellStyle name="Normal 11 2 2 2 6 4 2" xfId="53160"/>
    <cellStyle name="Normal 11 2 2 2 6 5" xfId="53161"/>
    <cellStyle name="Normal 11 2 2 2 6 6" xfId="53162"/>
    <cellStyle name="Normal 11 2 2 2 7" xfId="53163"/>
    <cellStyle name="Normal 11 2 2 2 7 2" xfId="53164"/>
    <cellStyle name="Normal 11 2 2 2 7 2 2" xfId="53165"/>
    <cellStyle name="Normal 11 2 2 2 7 2 3" xfId="53166"/>
    <cellStyle name="Normal 11 2 2 2 7 3" xfId="53167"/>
    <cellStyle name="Normal 11 2 2 2 7 3 2" xfId="53168"/>
    <cellStyle name="Normal 11 2 2 2 7 4" xfId="53169"/>
    <cellStyle name="Normal 11 2 2 2 7 5" xfId="53170"/>
    <cellStyle name="Normal 11 2 2 2 8" xfId="53171"/>
    <cellStyle name="Normal 11 2 2 2 8 2" xfId="53172"/>
    <cellStyle name="Normal 11 2 2 2 8 3" xfId="53173"/>
    <cellStyle name="Normal 11 2 2 2 9" xfId="53174"/>
    <cellStyle name="Normal 11 2 2 2 9 2" xfId="53175"/>
    <cellStyle name="Normal 11 2 2 2 9 3" xfId="53176"/>
    <cellStyle name="Normal 11 2 2 3" xfId="53177"/>
    <cellStyle name="Normal 11 2 2 3 10" xfId="53178"/>
    <cellStyle name="Normal 11 2 2 3 2" xfId="53179"/>
    <cellStyle name="Normal 11 2 2 3 2 2" xfId="53180"/>
    <cellStyle name="Normal 11 2 2 3 2 2 2" xfId="53181"/>
    <cellStyle name="Normal 11 2 2 3 2 2 2 2" xfId="53182"/>
    <cellStyle name="Normal 11 2 2 3 2 2 2 3" xfId="53183"/>
    <cellStyle name="Normal 11 2 2 3 2 2 3" xfId="53184"/>
    <cellStyle name="Normal 11 2 2 3 2 2 3 2" xfId="53185"/>
    <cellStyle name="Normal 11 2 2 3 2 2 3 3" xfId="53186"/>
    <cellStyle name="Normal 11 2 2 3 2 2 4" xfId="53187"/>
    <cellStyle name="Normal 11 2 2 3 2 2 4 2" xfId="53188"/>
    <cellStyle name="Normal 11 2 2 3 2 2 5" xfId="53189"/>
    <cellStyle name="Normal 11 2 2 3 2 2 6" xfId="53190"/>
    <cellStyle name="Normal 11 2 2 3 2 3" xfId="53191"/>
    <cellStyle name="Normal 11 2 2 3 2 3 2" xfId="53192"/>
    <cellStyle name="Normal 11 2 2 3 2 3 2 2" xfId="53193"/>
    <cellStyle name="Normal 11 2 2 3 2 3 2 3" xfId="53194"/>
    <cellStyle name="Normal 11 2 2 3 2 3 3" xfId="53195"/>
    <cellStyle name="Normal 11 2 2 3 2 3 3 2" xfId="53196"/>
    <cellStyle name="Normal 11 2 2 3 2 3 3 3" xfId="53197"/>
    <cellStyle name="Normal 11 2 2 3 2 3 4" xfId="53198"/>
    <cellStyle name="Normal 11 2 2 3 2 3 4 2" xfId="53199"/>
    <cellStyle name="Normal 11 2 2 3 2 3 5" xfId="53200"/>
    <cellStyle name="Normal 11 2 2 3 2 3 6" xfId="53201"/>
    <cellStyle name="Normal 11 2 2 3 2 4" xfId="53202"/>
    <cellStyle name="Normal 11 2 2 3 2 4 2" xfId="53203"/>
    <cellStyle name="Normal 11 2 2 3 2 4 2 2" xfId="53204"/>
    <cellStyle name="Normal 11 2 2 3 2 4 2 3" xfId="53205"/>
    <cellStyle name="Normal 11 2 2 3 2 4 3" xfId="53206"/>
    <cellStyle name="Normal 11 2 2 3 2 4 3 2" xfId="53207"/>
    <cellStyle name="Normal 11 2 2 3 2 4 4" xfId="53208"/>
    <cellStyle name="Normal 11 2 2 3 2 4 5" xfId="53209"/>
    <cellStyle name="Normal 11 2 2 3 2 5" xfId="53210"/>
    <cellStyle name="Normal 11 2 2 3 2 5 2" xfId="53211"/>
    <cellStyle name="Normal 11 2 2 3 2 5 3" xfId="53212"/>
    <cellStyle name="Normal 11 2 2 3 2 6" xfId="53213"/>
    <cellStyle name="Normal 11 2 2 3 2 6 2" xfId="53214"/>
    <cellStyle name="Normal 11 2 2 3 2 6 3" xfId="53215"/>
    <cellStyle name="Normal 11 2 2 3 2 7" xfId="53216"/>
    <cellStyle name="Normal 11 2 2 3 2 7 2" xfId="53217"/>
    <cellStyle name="Normal 11 2 2 3 2 8" xfId="53218"/>
    <cellStyle name="Normal 11 2 2 3 2 9" xfId="53219"/>
    <cellStyle name="Normal 11 2 2 3 3" xfId="53220"/>
    <cellStyle name="Normal 11 2 2 3 3 2" xfId="53221"/>
    <cellStyle name="Normal 11 2 2 3 3 2 2" xfId="53222"/>
    <cellStyle name="Normal 11 2 2 3 3 2 3" xfId="53223"/>
    <cellStyle name="Normal 11 2 2 3 3 3" xfId="53224"/>
    <cellStyle name="Normal 11 2 2 3 3 3 2" xfId="53225"/>
    <cellStyle name="Normal 11 2 2 3 3 3 3" xfId="53226"/>
    <cellStyle name="Normal 11 2 2 3 3 4" xfId="53227"/>
    <cellStyle name="Normal 11 2 2 3 3 4 2" xfId="53228"/>
    <cellStyle name="Normal 11 2 2 3 3 5" xfId="53229"/>
    <cellStyle name="Normal 11 2 2 3 3 6" xfId="53230"/>
    <cellStyle name="Normal 11 2 2 3 4" xfId="53231"/>
    <cellStyle name="Normal 11 2 2 3 4 2" xfId="53232"/>
    <cellStyle name="Normal 11 2 2 3 4 2 2" xfId="53233"/>
    <cellStyle name="Normal 11 2 2 3 4 2 3" xfId="53234"/>
    <cellStyle name="Normal 11 2 2 3 4 3" xfId="53235"/>
    <cellStyle name="Normal 11 2 2 3 4 3 2" xfId="53236"/>
    <cellStyle name="Normal 11 2 2 3 4 3 3" xfId="53237"/>
    <cellStyle name="Normal 11 2 2 3 4 4" xfId="53238"/>
    <cellStyle name="Normal 11 2 2 3 4 4 2" xfId="53239"/>
    <cellStyle name="Normal 11 2 2 3 4 5" xfId="53240"/>
    <cellStyle name="Normal 11 2 2 3 4 6" xfId="53241"/>
    <cellStyle name="Normal 11 2 2 3 5" xfId="53242"/>
    <cellStyle name="Normal 11 2 2 3 5 2" xfId="53243"/>
    <cellStyle name="Normal 11 2 2 3 5 2 2" xfId="53244"/>
    <cellStyle name="Normal 11 2 2 3 5 2 3" xfId="53245"/>
    <cellStyle name="Normal 11 2 2 3 5 3" xfId="53246"/>
    <cellStyle name="Normal 11 2 2 3 5 3 2" xfId="53247"/>
    <cellStyle name="Normal 11 2 2 3 5 4" xfId="53248"/>
    <cellStyle name="Normal 11 2 2 3 5 5" xfId="53249"/>
    <cellStyle name="Normal 11 2 2 3 6" xfId="53250"/>
    <cellStyle name="Normal 11 2 2 3 6 2" xfId="53251"/>
    <cellStyle name="Normal 11 2 2 3 6 3" xfId="53252"/>
    <cellStyle name="Normal 11 2 2 3 7" xfId="53253"/>
    <cellStyle name="Normal 11 2 2 3 7 2" xfId="53254"/>
    <cellStyle name="Normal 11 2 2 3 7 3" xfId="53255"/>
    <cellStyle name="Normal 11 2 2 3 8" xfId="53256"/>
    <cellStyle name="Normal 11 2 2 3 8 2" xfId="53257"/>
    <cellStyle name="Normal 11 2 2 3 9" xfId="53258"/>
    <cellStyle name="Normal 11 2 2 4" xfId="53259"/>
    <cellStyle name="Normal 11 2 2 4 2" xfId="53260"/>
    <cellStyle name="Normal 11 2 2 4 2 2" xfId="53261"/>
    <cellStyle name="Normal 11 2 2 4 2 2 2" xfId="53262"/>
    <cellStyle name="Normal 11 2 2 4 2 2 3" xfId="53263"/>
    <cellStyle name="Normal 11 2 2 4 2 3" xfId="53264"/>
    <cellStyle name="Normal 11 2 2 4 2 3 2" xfId="53265"/>
    <cellStyle name="Normal 11 2 2 4 2 3 3" xfId="53266"/>
    <cellStyle name="Normal 11 2 2 4 2 4" xfId="53267"/>
    <cellStyle name="Normal 11 2 2 4 2 4 2" xfId="53268"/>
    <cellStyle name="Normal 11 2 2 4 2 5" xfId="53269"/>
    <cellStyle name="Normal 11 2 2 4 2 6" xfId="53270"/>
    <cellStyle name="Normal 11 2 2 4 3" xfId="53271"/>
    <cellStyle name="Normal 11 2 2 4 3 2" xfId="53272"/>
    <cellStyle name="Normal 11 2 2 4 3 2 2" xfId="53273"/>
    <cellStyle name="Normal 11 2 2 4 3 2 3" xfId="53274"/>
    <cellStyle name="Normal 11 2 2 4 3 3" xfId="53275"/>
    <cellStyle name="Normal 11 2 2 4 3 3 2" xfId="53276"/>
    <cellStyle name="Normal 11 2 2 4 3 3 3" xfId="53277"/>
    <cellStyle name="Normal 11 2 2 4 3 4" xfId="53278"/>
    <cellStyle name="Normal 11 2 2 4 3 4 2" xfId="53279"/>
    <cellStyle name="Normal 11 2 2 4 3 5" xfId="53280"/>
    <cellStyle name="Normal 11 2 2 4 3 6" xfId="53281"/>
    <cellStyle name="Normal 11 2 2 4 4" xfId="53282"/>
    <cellStyle name="Normal 11 2 2 4 4 2" xfId="53283"/>
    <cellStyle name="Normal 11 2 2 4 4 2 2" xfId="53284"/>
    <cellStyle name="Normal 11 2 2 4 4 2 3" xfId="53285"/>
    <cellStyle name="Normal 11 2 2 4 4 3" xfId="53286"/>
    <cellStyle name="Normal 11 2 2 4 4 3 2" xfId="53287"/>
    <cellStyle name="Normal 11 2 2 4 4 4" xfId="53288"/>
    <cellStyle name="Normal 11 2 2 4 4 5" xfId="53289"/>
    <cellStyle name="Normal 11 2 2 4 5" xfId="53290"/>
    <cellStyle name="Normal 11 2 2 4 5 2" xfId="53291"/>
    <cellStyle name="Normal 11 2 2 4 5 3" xfId="53292"/>
    <cellStyle name="Normal 11 2 2 4 6" xfId="53293"/>
    <cellStyle name="Normal 11 2 2 4 6 2" xfId="53294"/>
    <cellStyle name="Normal 11 2 2 4 6 3" xfId="53295"/>
    <cellStyle name="Normal 11 2 2 4 7" xfId="53296"/>
    <cellStyle name="Normal 11 2 2 4 7 2" xfId="53297"/>
    <cellStyle name="Normal 11 2 2 4 8" xfId="53298"/>
    <cellStyle name="Normal 11 2 2 4 9" xfId="53299"/>
    <cellStyle name="Normal 11 2 2 5" xfId="53300"/>
    <cellStyle name="Normal 11 2 2 5 2" xfId="53301"/>
    <cellStyle name="Normal 11 2 2 5 2 2" xfId="53302"/>
    <cellStyle name="Normal 11 2 2 5 2 2 2" xfId="53303"/>
    <cellStyle name="Normal 11 2 2 5 2 2 3" xfId="53304"/>
    <cellStyle name="Normal 11 2 2 5 2 3" xfId="53305"/>
    <cellStyle name="Normal 11 2 2 5 2 3 2" xfId="53306"/>
    <cellStyle name="Normal 11 2 2 5 2 3 3" xfId="53307"/>
    <cellStyle name="Normal 11 2 2 5 2 4" xfId="53308"/>
    <cellStyle name="Normal 11 2 2 5 2 4 2" xfId="53309"/>
    <cellStyle name="Normal 11 2 2 5 2 5" xfId="53310"/>
    <cellStyle name="Normal 11 2 2 5 2 6" xfId="53311"/>
    <cellStyle name="Normal 11 2 2 5 3" xfId="53312"/>
    <cellStyle name="Normal 11 2 2 5 3 2" xfId="53313"/>
    <cellStyle name="Normal 11 2 2 5 3 2 2" xfId="53314"/>
    <cellStyle name="Normal 11 2 2 5 3 2 3" xfId="53315"/>
    <cellStyle name="Normal 11 2 2 5 3 3" xfId="53316"/>
    <cellStyle name="Normal 11 2 2 5 3 3 2" xfId="53317"/>
    <cellStyle name="Normal 11 2 2 5 3 3 3" xfId="53318"/>
    <cellStyle name="Normal 11 2 2 5 3 4" xfId="53319"/>
    <cellStyle name="Normal 11 2 2 5 3 4 2" xfId="53320"/>
    <cellStyle name="Normal 11 2 2 5 3 5" xfId="53321"/>
    <cellStyle name="Normal 11 2 2 5 3 6" xfId="53322"/>
    <cellStyle name="Normal 11 2 2 5 4" xfId="53323"/>
    <cellStyle name="Normal 11 2 2 5 4 2" xfId="53324"/>
    <cellStyle name="Normal 11 2 2 5 4 2 2" xfId="53325"/>
    <cellStyle name="Normal 11 2 2 5 4 2 3" xfId="53326"/>
    <cellStyle name="Normal 11 2 2 5 4 3" xfId="53327"/>
    <cellStyle name="Normal 11 2 2 5 4 3 2" xfId="53328"/>
    <cellStyle name="Normal 11 2 2 5 4 4" xfId="53329"/>
    <cellStyle name="Normal 11 2 2 5 4 5" xfId="53330"/>
    <cellStyle name="Normal 11 2 2 5 5" xfId="53331"/>
    <cellStyle name="Normal 11 2 2 5 5 2" xfId="53332"/>
    <cellStyle name="Normal 11 2 2 5 5 3" xfId="53333"/>
    <cellStyle name="Normal 11 2 2 5 6" xfId="53334"/>
    <cellStyle name="Normal 11 2 2 5 6 2" xfId="53335"/>
    <cellStyle name="Normal 11 2 2 5 6 3" xfId="53336"/>
    <cellStyle name="Normal 11 2 2 5 7" xfId="53337"/>
    <cellStyle name="Normal 11 2 2 5 7 2" xfId="53338"/>
    <cellStyle name="Normal 11 2 2 5 8" xfId="53339"/>
    <cellStyle name="Normal 11 2 2 5 9" xfId="53340"/>
    <cellStyle name="Normal 11 2 2 6" xfId="53341"/>
    <cellStyle name="Normal 11 2 2 6 2" xfId="53342"/>
    <cellStyle name="Normal 11 2 2 6 2 2" xfId="53343"/>
    <cellStyle name="Normal 11 2 2 6 2 3" xfId="53344"/>
    <cellStyle name="Normal 11 2 2 6 3" xfId="53345"/>
    <cellStyle name="Normal 11 2 2 6 3 2" xfId="53346"/>
    <cellStyle name="Normal 11 2 2 6 3 3" xfId="53347"/>
    <cellStyle name="Normal 11 2 2 6 4" xfId="53348"/>
    <cellStyle name="Normal 11 2 2 6 4 2" xfId="53349"/>
    <cellStyle name="Normal 11 2 2 6 5" xfId="53350"/>
    <cellStyle name="Normal 11 2 2 6 6" xfId="53351"/>
    <cellStyle name="Normal 11 2 2 7" xfId="53352"/>
    <cellStyle name="Normal 11 2 2 7 2" xfId="53353"/>
    <cellStyle name="Normal 11 2 2 7 2 2" xfId="53354"/>
    <cellStyle name="Normal 11 2 2 7 2 3" xfId="53355"/>
    <cellStyle name="Normal 11 2 2 7 3" xfId="53356"/>
    <cellStyle name="Normal 11 2 2 7 3 2" xfId="53357"/>
    <cellStyle name="Normal 11 2 2 7 3 3" xfId="53358"/>
    <cellStyle name="Normal 11 2 2 7 4" xfId="53359"/>
    <cellStyle name="Normal 11 2 2 7 4 2" xfId="53360"/>
    <cellStyle name="Normal 11 2 2 7 5" xfId="53361"/>
    <cellStyle name="Normal 11 2 2 7 6" xfId="53362"/>
    <cellStyle name="Normal 11 2 2 8" xfId="53363"/>
    <cellStyle name="Normal 11 2 2 8 2" xfId="53364"/>
    <cellStyle name="Normal 11 2 2 8 2 2" xfId="53365"/>
    <cellStyle name="Normal 11 2 2 8 2 3" xfId="53366"/>
    <cellStyle name="Normal 11 2 2 8 3" xfId="53367"/>
    <cellStyle name="Normal 11 2 2 8 3 2" xfId="53368"/>
    <cellStyle name="Normal 11 2 2 8 4" xfId="53369"/>
    <cellStyle name="Normal 11 2 2 8 5" xfId="53370"/>
    <cellStyle name="Normal 11 2 2 9" xfId="53371"/>
    <cellStyle name="Normal 11 2 2 9 2" xfId="53372"/>
    <cellStyle name="Normal 11 2 2 9 3" xfId="53373"/>
    <cellStyle name="Normal 11 2 3" xfId="53374"/>
    <cellStyle name="Normal 11 2 3 10" xfId="53375"/>
    <cellStyle name="Normal 11 2 3 10 2" xfId="53376"/>
    <cellStyle name="Normal 11 2 3 11" xfId="53377"/>
    <cellStyle name="Normal 11 2 3 12" xfId="53378"/>
    <cellStyle name="Normal 11 2 3 2" xfId="53379"/>
    <cellStyle name="Normal 11 2 3 2 10" xfId="53380"/>
    <cellStyle name="Normal 11 2 3 2 2" xfId="53381"/>
    <cellStyle name="Normal 11 2 3 2 2 2" xfId="53382"/>
    <cellStyle name="Normal 11 2 3 2 2 2 2" xfId="53383"/>
    <cellStyle name="Normal 11 2 3 2 2 2 2 2" xfId="53384"/>
    <cellStyle name="Normal 11 2 3 2 2 2 2 3" xfId="53385"/>
    <cellStyle name="Normal 11 2 3 2 2 2 3" xfId="53386"/>
    <cellStyle name="Normal 11 2 3 2 2 2 3 2" xfId="53387"/>
    <cellStyle name="Normal 11 2 3 2 2 2 3 3" xfId="53388"/>
    <cellStyle name="Normal 11 2 3 2 2 2 4" xfId="53389"/>
    <cellStyle name="Normal 11 2 3 2 2 2 4 2" xfId="53390"/>
    <cellStyle name="Normal 11 2 3 2 2 2 5" xfId="53391"/>
    <cellStyle name="Normal 11 2 3 2 2 2 6" xfId="53392"/>
    <cellStyle name="Normal 11 2 3 2 2 3" xfId="53393"/>
    <cellStyle name="Normal 11 2 3 2 2 3 2" xfId="53394"/>
    <cellStyle name="Normal 11 2 3 2 2 3 2 2" xfId="53395"/>
    <cellStyle name="Normal 11 2 3 2 2 3 2 3" xfId="53396"/>
    <cellStyle name="Normal 11 2 3 2 2 3 3" xfId="53397"/>
    <cellStyle name="Normal 11 2 3 2 2 3 3 2" xfId="53398"/>
    <cellStyle name="Normal 11 2 3 2 2 3 3 3" xfId="53399"/>
    <cellStyle name="Normal 11 2 3 2 2 3 4" xfId="53400"/>
    <cellStyle name="Normal 11 2 3 2 2 3 4 2" xfId="53401"/>
    <cellStyle name="Normal 11 2 3 2 2 3 5" xfId="53402"/>
    <cellStyle name="Normal 11 2 3 2 2 3 6" xfId="53403"/>
    <cellStyle name="Normal 11 2 3 2 2 4" xfId="53404"/>
    <cellStyle name="Normal 11 2 3 2 2 4 2" xfId="53405"/>
    <cellStyle name="Normal 11 2 3 2 2 4 2 2" xfId="53406"/>
    <cellStyle name="Normal 11 2 3 2 2 4 2 3" xfId="53407"/>
    <cellStyle name="Normal 11 2 3 2 2 4 3" xfId="53408"/>
    <cellStyle name="Normal 11 2 3 2 2 4 3 2" xfId="53409"/>
    <cellStyle name="Normal 11 2 3 2 2 4 4" xfId="53410"/>
    <cellStyle name="Normal 11 2 3 2 2 4 5" xfId="53411"/>
    <cellStyle name="Normal 11 2 3 2 2 5" xfId="53412"/>
    <cellStyle name="Normal 11 2 3 2 2 5 2" xfId="53413"/>
    <cellStyle name="Normal 11 2 3 2 2 5 3" xfId="53414"/>
    <cellStyle name="Normal 11 2 3 2 2 6" xfId="53415"/>
    <cellStyle name="Normal 11 2 3 2 2 6 2" xfId="53416"/>
    <cellStyle name="Normal 11 2 3 2 2 6 3" xfId="53417"/>
    <cellStyle name="Normal 11 2 3 2 2 7" xfId="53418"/>
    <cellStyle name="Normal 11 2 3 2 2 7 2" xfId="53419"/>
    <cellStyle name="Normal 11 2 3 2 2 8" xfId="53420"/>
    <cellStyle name="Normal 11 2 3 2 2 9" xfId="53421"/>
    <cellStyle name="Normal 11 2 3 2 3" xfId="53422"/>
    <cellStyle name="Normal 11 2 3 2 3 2" xfId="53423"/>
    <cellStyle name="Normal 11 2 3 2 3 2 2" xfId="53424"/>
    <cellStyle name="Normal 11 2 3 2 3 2 3" xfId="53425"/>
    <cellStyle name="Normal 11 2 3 2 3 3" xfId="53426"/>
    <cellStyle name="Normal 11 2 3 2 3 3 2" xfId="53427"/>
    <cellStyle name="Normal 11 2 3 2 3 3 3" xfId="53428"/>
    <cellStyle name="Normal 11 2 3 2 3 4" xfId="53429"/>
    <cellStyle name="Normal 11 2 3 2 3 4 2" xfId="53430"/>
    <cellStyle name="Normal 11 2 3 2 3 5" xfId="53431"/>
    <cellStyle name="Normal 11 2 3 2 3 6" xfId="53432"/>
    <cellStyle name="Normal 11 2 3 2 4" xfId="53433"/>
    <cellStyle name="Normal 11 2 3 2 4 2" xfId="53434"/>
    <cellStyle name="Normal 11 2 3 2 4 2 2" xfId="53435"/>
    <cellStyle name="Normal 11 2 3 2 4 2 3" xfId="53436"/>
    <cellStyle name="Normal 11 2 3 2 4 3" xfId="53437"/>
    <cellStyle name="Normal 11 2 3 2 4 3 2" xfId="53438"/>
    <cellStyle name="Normal 11 2 3 2 4 3 3" xfId="53439"/>
    <cellStyle name="Normal 11 2 3 2 4 4" xfId="53440"/>
    <cellStyle name="Normal 11 2 3 2 4 4 2" xfId="53441"/>
    <cellStyle name="Normal 11 2 3 2 4 5" xfId="53442"/>
    <cellStyle name="Normal 11 2 3 2 4 6" xfId="53443"/>
    <cellStyle name="Normal 11 2 3 2 5" xfId="53444"/>
    <cellStyle name="Normal 11 2 3 2 5 2" xfId="53445"/>
    <cellStyle name="Normal 11 2 3 2 5 2 2" xfId="53446"/>
    <cellStyle name="Normal 11 2 3 2 5 2 3" xfId="53447"/>
    <cellStyle name="Normal 11 2 3 2 5 3" xfId="53448"/>
    <cellStyle name="Normal 11 2 3 2 5 3 2" xfId="53449"/>
    <cellStyle name="Normal 11 2 3 2 5 4" xfId="53450"/>
    <cellStyle name="Normal 11 2 3 2 5 5" xfId="53451"/>
    <cellStyle name="Normal 11 2 3 2 6" xfId="53452"/>
    <cellStyle name="Normal 11 2 3 2 6 2" xfId="53453"/>
    <cellStyle name="Normal 11 2 3 2 6 3" xfId="53454"/>
    <cellStyle name="Normal 11 2 3 2 7" xfId="53455"/>
    <cellStyle name="Normal 11 2 3 2 7 2" xfId="53456"/>
    <cellStyle name="Normal 11 2 3 2 7 3" xfId="53457"/>
    <cellStyle name="Normal 11 2 3 2 8" xfId="53458"/>
    <cellStyle name="Normal 11 2 3 2 8 2" xfId="53459"/>
    <cellStyle name="Normal 11 2 3 2 9" xfId="53460"/>
    <cellStyle name="Normal 11 2 3 3" xfId="53461"/>
    <cellStyle name="Normal 11 2 3 3 2" xfId="53462"/>
    <cellStyle name="Normal 11 2 3 3 2 2" xfId="53463"/>
    <cellStyle name="Normal 11 2 3 3 2 2 2" xfId="53464"/>
    <cellStyle name="Normal 11 2 3 3 2 2 3" xfId="53465"/>
    <cellStyle name="Normal 11 2 3 3 2 3" xfId="53466"/>
    <cellStyle name="Normal 11 2 3 3 2 3 2" xfId="53467"/>
    <cellStyle name="Normal 11 2 3 3 2 3 3" xfId="53468"/>
    <cellStyle name="Normal 11 2 3 3 2 4" xfId="53469"/>
    <cellStyle name="Normal 11 2 3 3 2 4 2" xfId="53470"/>
    <cellStyle name="Normal 11 2 3 3 2 5" xfId="53471"/>
    <cellStyle name="Normal 11 2 3 3 2 6" xfId="53472"/>
    <cellStyle name="Normal 11 2 3 3 3" xfId="53473"/>
    <cellStyle name="Normal 11 2 3 3 3 2" xfId="53474"/>
    <cellStyle name="Normal 11 2 3 3 3 2 2" xfId="53475"/>
    <cellStyle name="Normal 11 2 3 3 3 2 3" xfId="53476"/>
    <cellStyle name="Normal 11 2 3 3 3 3" xfId="53477"/>
    <cellStyle name="Normal 11 2 3 3 3 3 2" xfId="53478"/>
    <cellStyle name="Normal 11 2 3 3 3 3 3" xfId="53479"/>
    <cellStyle name="Normal 11 2 3 3 3 4" xfId="53480"/>
    <cellStyle name="Normal 11 2 3 3 3 4 2" xfId="53481"/>
    <cellStyle name="Normal 11 2 3 3 3 5" xfId="53482"/>
    <cellStyle name="Normal 11 2 3 3 3 6" xfId="53483"/>
    <cellStyle name="Normal 11 2 3 3 4" xfId="53484"/>
    <cellStyle name="Normal 11 2 3 3 4 2" xfId="53485"/>
    <cellStyle name="Normal 11 2 3 3 4 2 2" xfId="53486"/>
    <cellStyle name="Normal 11 2 3 3 4 2 3" xfId="53487"/>
    <cellStyle name="Normal 11 2 3 3 4 3" xfId="53488"/>
    <cellStyle name="Normal 11 2 3 3 4 3 2" xfId="53489"/>
    <cellStyle name="Normal 11 2 3 3 4 4" xfId="53490"/>
    <cellStyle name="Normal 11 2 3 3 4 5" xfId="53491"/>
    <cellStyle name="Normal 11 2 3 3 5" xfId="53492"/>
    <cellStyle name="Normal 11 2 3 3 5 2" xfId="53493"/>
    <cellStyle name="Normal 11 2 3 3 5 3" xfId="53494"/>
    <cellStyle name="Normal 11 2 3 3 6" xfId="53495"/>
    <cellStyle name="Normal 11 2 3 3 6 2" xfId="53496"/>
    <cellStyle name="Normal 11 2 3 3 6 3" xfId="53497"/>
    <cellStyle name="Normal 11 2 3 3 7" xfId="53498"/>
    <cellStyle name="Normal 11 2 3 3 7 2" xfId="53499"/>
    <cellStyle name="Normal 11 2 3 3 8" xfId="53500"/>
    <cellStyle name="Normal 11 2 3 3 9" xfId="53501"/>
    <cellStyle name="Normal 11 2 3 4" xfId="53502"/>
    <cellStyle name="Normal 11 2 3 4 2" xfId="53503"/>
    <cellStyle name="Normal 11 2 3 4 2 2" xfId="53504"/>
    <cellStyle name="Normal 11 2 3 4 2 2 2" xfId="53505"/>
    <cellStyle name="Normal 11 2 3 4 2 2 3" xfId="53506"/>
    <cellStyle name="Normal 11 2 3 4 2 3" xfId="53507"/>
    <cellStyle name="Normal 11 2 3 4 2 3 2" xfId="53508"/>
    <cellStyle name="Normal 11 2 3 4 2 3 3" xfId="53509"/>
    <cellStyle name="Normal 11 2 3 4 2 4" xfId="53510"/>
    <cellStyle name="Normal 11 2 3 4 2 4 2" xfId="53511"/>
    <cellStyle name="Normal 11 2 3 4 2 5" xfId="53512"/>
    <cellStyle name="Normal 11 2 3 4 2 6" xfId="53513"/>
    <cellStyle name="Normal 11 2 3 4 3" xfId="53514"/>
    <cellStyle name="Normal 11 2 3 4 3 2" xfId="53515"/>
    <cellStyle name="Normal 11 2 3 4 3 2 2" xfId="53516"/>
    <cellStyle name="Normal 11 2 3 4 3 2 3" xfId="53517"/>
    <cellStyle name="Normal 11 2 3 4 3 3" xfId="53518"/>
    <cellStyle name="Normal 11 2 3 4 3 3 2" xfId="53519"/>
    <cellStyle name="Normal 11 2 3 4 3 3 3" xfId="53520"/>
    <cellStyle name="Normal 11 2 3 4 3 4" xfId="53521"/>
    <cellStyle name="Normal 11 2 3 4 3 4 2" xfId="53522"/>
    <cellStyle name="Normal 11 2 3 4 3 5" xfId="53523"/>
    <cellStyle name="Normal 11 2 3 4 3 6" xfId="53524"/>
    <cellStyle name="Normal 11 2 3 4 4" xfId="53525"/>
    <cellStyle name="Normal 11 2 3 4 4 2" xfId="53526"/>
    <cellStyle name="Normal 11 2 3 4 4 2 2" xfId="53527"/>
    <cellStyle name="Normal 11 2 3 4 4 2 3" xfId="53528"/>
    <cellStyle name="Normal 11 2 3 4 4 3" xfId="53529"/>
    <cellStyle name="Normal 11 2 3 4 4 3 2" xfId="53530"/>
    <cellStyle name="Normal 11 2 3 4 4 4" xfId="53531"/>
    <cellStyle name="Normal 11 2 3 4 4 5" xfId="53532"/>
    <cellStyle name="Normal 11 2 3 4 5" xfId="53533"/>
    <cellStyle name="Normal 11 2 3 4 5 2" xfId="53534"/>
    <cellStyle name="Normal 11 2 3 4 5 3" xfId="53535"/>
    <cellStyle name="Normal 11 2 3 4 6" xfId="53536"/>
    <cellStyle name="Normal 11 2 3 4 6 2" xfId="53537"/>
    <cellStyle name="Normal 11 2 3 4 6 3" xfId="53538"/>
    <cellStyle name="Normal 11 2 3 4 7" xfId="53539"/>
    <cellStyle name="Normal 11 2 3 4 7 2" xfId="53540"/>
    <cellStyle name="Normal 11 2 3 4 8" xfId="53541"/>
    <cellStyle name="Normal 11 2 3 4 9" xfId="53542"/>
    <cellStyle name="Normal 11 2 3 5" xfId="53543"/>
    <cellStyle name="Normal 11 2 3 5 2" xfId="53544"/>
    <cellStyle name="Normal 11 2 3 5 2 2" xfId="53545"/>
    <cellStyle name="Normal 11 2 3 5 2 3" xfId="53546"/>
    <cellStyle name="Normal 11 2 3 5 3" xfId="53547"/>
    <cellStyle name="Normal 11 2 3 5 3 2" xfId="53548"/>
    <cellStyle name="Normal 11 2 3 5 3 3" xfId="53549"/>
    <cellStyle name="Normal 11 2 3 5 4" xfId="53550"/>
    <cellStyle name="Normal 11 2 3 5 4 2" xfId="53551"/>
    <cellStyle name="Normal 11 2 3 5 5" xfId="53552"/>
    <cellStyle name="Normal 11 2 3 5 6" xfId="53553"/>
    <cellStyle name="Normal 11 2 3 6" xfId="53554"/>
    <cellStyle name="Normal 11 2 3 6 2" xfId="53555"/>
    <cellStyle name="Normal 11 2 3 6 2 2" xfId="53556"/>
    <cellStyle name="Normal 11 2 3 6 2 3" xfId="53557"/>
    <cellStyle name="Normal 11 2 3 6 3" xfId="53558"/>
    <cellStyle name="Normal 11 2 3 6 3 2" xfId="53559"/>
    <cellStyle name="Normal 11 2 3 6 3 3" xfId="53560"/>
    <cellStyle name="Normal 11 2 3 6 4" xfId="53561"/>
    <cellStyle name="Normal 11 2 3 6 4 2" xfId="53562"/>
    <cellStyle name="Normal 11 2 3 6 5" xfId="53563"/>
    <cellStyle name="Normal 11 2 3 6 6" xfId="53564"/>
    <cellStyle name="Normal 11 2 3 7" xfId="53565"/>
    <cellStyle name="Normal 11 2 3 7 2" xfId="53566"/>
    <cellStyle name="Normal 11 2 3 7 2 2" xfId="53567"/>
    <cellStyle name="Normal 11 2 3 7 2 3" xfId="53568"/>
    <cellStyle name="Normal 11 2 3 7 3" xfId="53569"/>
    <cellStyle name="Normal 11 2 3 7 3 2" xfId="53570"/>
    <cellStyle name="Normal 11 2 3 7 4" xfId="53571"/>
    <cellStyle name="Normal 11 2 3 7 5" xfId="53572"/>
    <cellStyle name="Normal 11 2 3 8" xfId="53573"/>
    <cellStyle name="Normal 11 2 3 8 2" xfId="53574"/>
    <cellStyle name="Normal 11 2 3 8 3" xfId="53575"/>
    <cellStyle name="Normal 11 2 3 9" xfId="53576"/>
    <cellStyle name="Normal 11 2 3 9 2" xfId="53577"/>
    <cellStyle name="Normal 11 2 3 9 3" xfId="53578"/>
    <cellStyle name="Normal 11 2 4" xfId="53579"/>
    <cellStyle name="Normal 11 2 4 10" xfId="53580"/>
    <cellStyle name="Normal 11 2 4 2" xfId="53581"/>
    <cellStyle name="Normal 11 2 4 2 2" xfId="53582"/>
    <cellStyle name="Normal 11 2 4 2 2 2" xfId="53583"/>
    <cellStyle name="Normal 11 2 4 2 2 2 2" xfId="53584"/>
    <cellStyle name="Normal 11 2 4 2 2 2 3" xfId="53585"/>
    <cellStyle name="Normal 11 2 4 2 2 3" xfId="53586"/>
    <cellStyle name="Normal 11 2 4 2 2 3 2" xfId="53587"/>
    <cellStyle name="Normal 11 2 4 2 2 3 3" xfId="53588"/>
    <cellStyle name="Normal 11 2 4 2 2 4" xfId="53589"/>
    <cellStyle name="Normal 11 2 4 2 2 4 2" xfId="53590"/>
    <cellStyle name="Normal 11 2 4 2 2 5" xfId="53591"/>
    <cellStyle name="Normal 11 2 4 2 2 6" xfId="53592"/>
    <cellStyle name="Normal 11 2 4 2 3" xfId="53593"/>
    <cellStyle name="Normal 11 2 4 2 3 2" xfId="53594"/>
    <cellStyle name="Normal 11 2 4 2 3 2 2" xfId="53595"/>
    <cellStyle name="Normal 11 2 4 2 3 2 3" xfId="53596"/>
    <cellStyle name="Normal 11 2 4 2 3 3" xfId="53597"/>
    <cellStyle name="Normal 11 2 4 2 3 3 2" xfId="53598"/>
    <cellStyle name="Normal 11 2 4 2 3 3 3" xfId="53599"/>
    <cellStyle name="Normal 11 2 4 2 3 4" xfId="53600"/>
    <cellStyle name="Normal 11 2 4 2 3 4 2" xfId="53601"/>
    <cellStyle name="Normal 11 2 4 2 3 5" xfId="53602"/>
    <cellStyle name="Normal 11 2 4 2 3 6" xfId="53603"/>
    <cellStyle name="Normal 11 2 4 2 4" xfId="53604"/>
    <cellStyle name="Normal 11 2 4 2 4 2" xfId="53605"/>
    <cellStyle name="Normal 11 2 4 2 4 2 2" xfId="53606"/>
    <cellStyle name="Normal 11 2 4 2 4 2 3" xfId="53607"/>
    <cellStyle name="Normal 11 2 4 2 4 3" xfId="53608"/>
    <cellStyle name="Normal 11 2 4 2 4 3 2" xfId="53609"/>
    <cellStyle name="Normal 11 2 4 2 4 4" xfId="53610"/>
    <cellStyle name="Normal 11 2 4 2 4 5" xfId="53611"/>
    <cellStyle name="Normal 11 2 4 2 5" xfId="53612"/>
    <cellStyle name="Normal 11 2 4 2 5 2" xfId="53613"/>
    <cellStyle name="Normal 11 2 4 2 5 3" xfId="53614"/>
    <cellStyle name="Normal 11 2 4 2 6" xfId="53615"/>
    <cellStyle name="Normal 11 2 4 2 6 2" xfId="53616"/>
    <cellStyle name="Normal 11 2 4 2 6 3" xfId="53617"/>
    <cellStyle name="Normal 11 2 4 2 7" xfId="53618"/>
    <cellStyle name="Normal 11 2 4 2 7 2" xfId="53619"/>
    <cellStyle name="Normal 11 2 4 2 8" xfId="53620"/>
    <cellStyle name="Normal 11 2 4 2 9" xfId="53621"/>
    <cellStyle name="Normal 11 2 4 3" xfId="53622"/>
    <cellStyle name="Normal 11 2 4 3 2" xfId="53623"/>
    <cellStyle name="Normal 11 2 4 3 2 2" xfId="53624"/>
    <cellStyle name="Normal 11 2 4 3 2 3" xfId="53625"/>
    <cellStyle name="Normal 11 2 4 3 3" xfId="53626"/>
    <cellStyle name="Normal 11 2 4 3 3 2" xfId="53627"/>
    <cellStyle name="Normal 11 2 4 3 3 3" xfId="53628"/>
    <cellStyle name="Normal 11 2 4 3 4" xfId="53629"/>
    <cellStyle name="Normal 11 2 4 3 4 2" xfId="53630"/>
    <cellStyle name="Normal 11 2 4 3 5" xfId="53631"/>
    <cellStyle name="Normal 11 2 4 3 6" xfId="53632"/>
    <cellStyle name="Normal 11 2 4 4" xfId="53633"/>
    <cellStyle name="Normal 11 2 4 4 2" xfId="53634"/>
    <cellStyle name="Normal 11 2 4 4 2 2" xfId="53635"/>
    <cellStyle name="Normal 11 2 4 4 2 3" xfId="53636"/>
    <cellStyle name="Normal 11 2 4 4 3" xfId="53637"/>
    <cellStyle name="Normal 11 2 4 4 3 2" xfId="53638"/>
    <cellStyle name="Normal 11 2 4 4 3 3" xfId="53639"/>
    <cellStyle name="Normal 11 2 4 4 4" xfId="53640"/>
    <cellStyle name="Normal 11 2 4 4 4 2" xfId="53641"/>
    <cellStyle name="Normal 11 2 4 4 5" xfId="53642"/>
    <cellStyle name="Normal 11 2 4 4 6" xfId="53643"/>
    <cellStyle name="Normal 11 2 4 5" xfId="53644"/>
    <cellStyle name="Normal 11 2 4 5 2" xfId="53645"/>
    <cellStyle name="Normal 11 2 4 5 2 2" xfId="53646"/>
    <cellStyle name="Normal 11 2 4 5 2 3" xfId="53647"/>
    <cellStyle name="Normal 11 2 4 5 3" xfId="53648"/>
    <cellStyle name="Normal 11 2 4 5 3 2" xfId="53649"/>
    <cellStyle name="Normal 11 2 4 5 4" xfId="53650"/>
    <cellStyle name="Normal 11 2 4 5 5" xfId="53651"/>
    <cellStyle name="Normal 11 2 4 6" xfId="53652"/>
    <cellStyle name="Normal 11 2 4 6 2" xfId="53653"/>
    <cellStyle name="Normal 11 2 4 6 3" xfId="53654"/>
    <cellStyle name="Normal 11 2 4 7" xfId="53655"/>
    <cellStyle name="Normal 11 2 4 7 2" xfId="53656"/>
    <cellStyle name="Normal 11 2 4 7 3" xfId="53657"/>
    <cellStyle name="Normal 11 2 4 8" xfId="53658"/>
    <cellStyle name="Normal 11 2 4 8 2" xfId="53659"/>
    <cellStyle name="Normal 11 2 4 9" xfId="53660"/>
    <cellStyle name="Normal 11 2 5" xfId="53661"/>
    <cellStyle name="Normal 11 2 5 2" xfId="53662"/>
    <cellStyle name="Normal 11 2 5 2 2" xfId="53663"/>
    <cellStyle name="Normal 11 2 5 2 2 2" xfId="53664"/>
    <cellStyle name="Normal 11 2 5 2 2 3" xfId="53665"/>
    <cellStyle name="Normal 11 2 5 2 3" xfId="53666"/>
    <cellStyle name="Normal 11 2 5 2 3 2" xfId="53667"/>
    <cellStyle name="Normal 11 2 5 2 3 3" xfId="53668"/>
    <cellStyle name="Normal 11 2 5 2 4" xfId="53669"/>
    <cellStyle name="Normal 11 2 5 2 4 2" xfId="53670"/>
    <cellStyle name="Normal 11 2 5 2 5" xfId="53671"/>
    <cellStyle name="Normal 11 2 5 2 6" xfId="53672"/>
    <cellStyle name="Normal 11 2 5 3" xfId="53673"/>
    <cellStyle name="Normal 11 2 5 3 2" xfId="53674"/>
    <cellStyle name="Normal 11 2 5 3 2 2" xfId="53675"/>
    <cellStyle name="Normal 11 2 5 3 2 3" xfId="53676"/>
    <cellStyle name="Normal 11 2 5 3 3" xfId="53677"/>
    <cellStyle name="Normal 11 2 5 3 3 2" xfId="53678"/>
    <cellStyle name="Normal 11 2 5 3 3 3" xfId="53679"/>
    <cellStyle name="Normal 11 2 5 3 4" xfId="53680"/>
    <cellStyle name="Normal 11 2 5 3 4 2" xfId="53681"/>
    <cellStyle name="Normal 11 2 5 3 5" xfId="53682"/>
    <cellStyle name="Normal 11 2 5 3 6" xfId="53683"/>
    <cellStyle name="Normal 11 2 5 4" xfId="53684"/>
    <cellStyle name="Normal 11 2 5 4 2" xfId="53685"/>
    <cellStyle name="Normal 11 2 5 4 2 2" xfId="53686"/>
    <cellStyle name="Normal 11 2 5 4 2 3" xfId="53687"/>
    <cellStyle name="Normal 11 2 5 4 3" xfId="53688"/>
    <cellStyle name="Normal 11 2 5 4 3 2" xfId="53689"/>
    <cellStyle name="Normal 11 2 5 4 4" xfId="53690"/>
    <cellStyle name="Normal 11 2 5 4 5" xfId="53691"/>
    <cellStyle name="Normal 11 2 5 5" xfId="53692"/>
    <cellStyle name="Normal 11 2 5 5 2" xfId="53693"/>
    <cellStyle name="Normal 11 2 5 5 3" xfId="53694"/>
    <cellStyle name="Normal 11 2 5 6" xfId="53695"/>
    <cellStyle name="Normal 11 2 5 6 2" xfId="53696"/>
    <cellStyle name="Normal 11 2 5 6 3" xfId="53697"/>
    <cellStyle name="Normal 11 2 5 7" xfId="53698"/>
    <cellStyle name="Normal 11 2 5 7 2" xfId="53699"/>
    <cellStyle name="Normal 11 2 5 8" xfId="53700"/>
    <cellStyle name="Normal 11 2 5 9" xfId="53701"/>
    <cellStyle name="Normal 11 2 6" xfId="53702"/>
    <cellStyle name="Normal 11 2 6 2" xfId="53703"/>
    <cellStyle name="Normal 11 2 6 2 2" xfId="53704"/>
    <cellStyle name="Normal 11 2 6 2 2 2" xfId="53705"/>
    <cellStyle name="Normal 11 2 6 2 2 3" xfId="53706"/>
    <cellStyle name="Normal 11 2 6 2 3" xfId="53707"/>
    <cellStyle name="Normal 11 2 6 2 3 2" xfId="53708"/>
    <cellStyle name="Normal 11 2 6 2 3 3" xfId="53709"/>
    <cellStyle name="Normal 11 2 6 2 4" xfId="53710"/>
    <cellStyle name="Normal 11 2 6 2 4 2" xfId="53711"/>
    <cellStyle name="Normal 11 2 6 2 5" xfId="53712"/>
    <cellStyle name="Normal 11 2 6 2 6" xfId="53713"/>
    <cellStyle name="Normal 11 2 6 3" xfId="53714"/>
    <cellStyle name="Normal 11 2 6 3 2" xfId="53715"/>
    <cellStyle name="Normal 11 2 6 3 2 2" xfId="53716"/>
    <cellStyle name="Normal 11 2 6 3 2 3" xfId="53717"/>
    <cellStyle name="Normal 11 2 6 3 3" xfId="53718"/>
    <cellStyle name="Normal 11 2 6 3 3 2" xfId="53719"/>
    <cellStyle name="Normal 11 2 6 3 3 3" xfId="53720"/>
    <cellStyle name="Normal 11 2 6 3 4" xfId="53721"/>
    <cellStyle name="Normal 11 2 6 3 4 2" xfId="53722"/>
    <cellStyle name="Normal 11 2 6 3 5" xfId="53723"/>
    <cellStyle name="Normal 11 2 6 3 6" xfId="53724"/>
    <cellStyle name="Normal 11 2 6 4" xfId="53725"/>
    <cellStyle name="Normal 11 2 6 4 2" xfId="53726"/>
    <cellStyle name="Normal 11 2 6 4 2 2" xfId="53727"/>
    <cellStyle name="Normal 11 2 6 4 2 3" xfId="53728"/>
    <cellStyle name="Normal 11 2 6 4 3" xfId="53729"/>
    <cellStyle name="Normal 11 2 6 4 3 2" xfId="53730"/>
    <cellStyle name="Normal 11 2 6 4 4" xfId="53731"/>
    <cellStyle name="Normal 11 2 6 4 5" xfId="53732"/>
    <cellStyle name="Normal 11 2 6 5" xfId="53733"/>
    <cellStyle name="Normal 11 2 6 5 2" xfId="53734"/>
    <cellStyle name="Normal 11 2 6 5 3" xfId="53735"/>
    <cellStyle name="Normal 11 2 6 6" xfId="53736"/>
    <cellStyle name="Normal 11 2 6 6 2" xfId="53737"/>
    <cellStyle name="Normal 11 2 6 6 3" xfId="53738"/>
    <cellStyle name="Normal 11 2 6 7" xfId="53739"/>
    <cellStyle name="Normal 11 2 6 7 2" xfId="53740"/>
    <cellStyle name="Normal 11 2 6 8" xfId="53741"/>
    <cellStyle name="Normal 11 2 6 9" xfId="53742"/>
    <cellStyle name="Normal 11 2 7" xfId="53743"/>
    <cellStyle name="Normal 11 2 7 2" xfId="53744"/>
    <cellStyle name="Normal 11 2 7 2 2" xfId="53745"/>
    <cellStyle name="Normal 11 2 7 2 3" xfId="53746"/>
    <cellStyle name="Normal 11 2 7 3" xfId="53747"/>
    <cellStyle name="Normal 11 2 7 3 2" xfId="53748"/>
    <cellStyle name="Normal 11 2 7 3 3" xfId="53749"/>
    <cellStyle name="Normal 11 2 7 4" xfId="53750"/>
    <cellStyle name="Normal 11 2 7 4 2" xfId="53751"/>
    <cellStyle name="Normal 11 2 7 5" xfId="53752"/>
    <cellStyle name="Normal 11 2 7 6" xfId="53753"/>
    <cellStyle name="Normal 11 2 8" xfId="53754"/>
    <cellStyle name="Normal 11 2 8 2" xfId="53755"/>
    <cellStyle name="Normal 11 2 8 2 2" xfId="53756"/>
    <cellStyle name="Normal 11 2 8 2 3" xfId="53757"/>
    <cellStyle name="Normal 11 2 8 3" xfId="53758"/>
    <cellStyle name="Normal 11 2 8 3 2" xfId="53759"/>
    <cellStyle name="Normal 11 2 8 3 3" xfId="53760"/>
    <cellStyle name="Normal 11 2 8 4" xfId="53761"/>
    <cellStyle name="Normal 11 2 8 4 2" xfId="53762"/>
    <cellStyle name="Normal 11 2 8 5" xfId="53763"/>
    <cellStyle name="Normal 11 2 8 6" xfId="53764"/>
    <cellStyle name="Normal 11 2 9" xfId="53765"/>
    <cellStyle name="Normal 11 2 9 2" xfId="53766"/>
    <cellStyle name="Normal 11 2 9 2 2" xfId="53767"/>
    <cellStyle name="Normal 11 2 9 2 3" xfId="53768"/>
    <cellStyle name="Normal 11 2 9 3" xfId="53769"/>
    <cellStyle name="Normal 11 2 9 3 2" xfId="53770"/>
    <cellStyle name="Normal 11 2 9 4" xfId="53771"/>
    <cellStyle name="Normal 11 2 9 5" xfId="53772"/>
    <cellStyle name="Normal 11 3" xfId="9220"/>
    <cellStyle name="Normal 11 3 10" xfId="53773"/>
    <cellStyle name="Normal 11 3 10 2" xfId="53774"/>
    <cellStyle name="Normal 11 3 10 3" xfId="53775"/>
    <cellStyle name="Normal 11 3 11" xfId="53776"/>
    <cellStyle name="Normal 11 3 11 2" xfId="53777"/>
    <cellStyle name="Normal 11 3 12" xfId="53778"/>
    <cellStyle name="Normal 11 3 13" xfId="53779"/>
    <cellStyle name="Normal 11 3 2" xfId="53780"/>
    <cellStyle name="Normal 11 3 2 10" xfId="53781"/>
    <cellStyle name="Normal 11 3 2 10 2" xfId="53782"/>
    <cellStyle name="Normal 11 3 2 11" xfId="53783"/>
    <cellStyle name="Normal 11 3 2 12" xfId="53784"/>
    <cellStyle name="Normal 11 3 2 2" xfId="53785"/>
    <cellStyle name="Normal 11 3 2 2 10" xfId="53786"/>
    <cellStyle name="Normal 11 3 2 2 2" xfId="53787"/>
    <cellStyle name="Normal 11 3 2 2 2 2" xfId="53788"/>
    <cellStyle name="Normal 11 3 2 2 2 2 2" xfId="53789"/>
    <cellStyle name="Normal 11 3 2 2 2 2 2 2" xfId="53790"/>
    <cellStyle name="Normal 11 3 2 2 2 2 2 3" xfId="53791"/>
    <cellStyle name="Normal 11 3 2 2 2 2 3" xfId="53792"/>
    <cellStyle name="Normal 11 3 2 2 2 2 3 2" xfId="53793"/>
    <cellStyle name="Normal 11 3 2 2 2 2 3 3" xfId="53794"/>
    <cellStyle name="Normal 11 3 2 2 2 2 4" xfId="53795"/>
    <cellStyle name="Normal 11 3 2 2 2 2 4 2" xfId="53796"/>
    <cellStyle name="Normal 11 3 2 2 2 2 5" xfId="53797"/>
    <cellStyle name="Normal 11 3 2 2 2 2 6" xfId="53798"/>
    <cellStyle name="Normal 11 3 2 2 2 3" xfId="53799"/>
    <cellStyle name="Normal 11 3 2 2 2 3 2" xfId="53800"/>
    <cellStyle name="Normal 11 3 2 2 2 3 2 2" xfId="53801"/>
    <cellStyle name="Normal 11 3 2 2 2 3 2 3" xfId="53802"/>
    <cellStyle name="Normal 11 3 2 2 2 3 3" xfId="53803"/>
    <cellStyle name="Normal 11 3 2 2 2 3 3 2" xfId="53804"/>
    <cellStyle name="Normal 11 3 2 2 2 3 3 3" xfId="53805"/>
    <cellStyle name="Normal 11 3 2 2 2 3 4" xfId="53806"/>
    <cellStyle name="Normal 11 3 2 2 2 3 4 2" xfId="53807"/>
    <cellStyle name="Normal 11 3 2 2 2 3 5" xfId="53808"/>
    <cellStyle name="Normal 11 3 2 2 2 3 6" xfId="53809"/>
    <cellStyle name="Normal 11 3 2 2 2 4" xfId="53810"/>
    <cellStyle name="Normal 11 3 2 2 2 4 2" xfId="53811"/>
    <cellStyle name="Normal 11 3 2 2 2 4 2 2" xfId="53812"/>
    <cellStyle name="Normal 11 3 2 2 2 4 2 3" xfId="53813"/>
    <cellStyle name="Normal 11 3 2 2 2 4 3" xfId="53814"/>
    <cellStyle name="Normal 11 3 2 2 2 4 3 2" xfId="53815"/>
    <cellStyle name="Normal 11 3 2 2 2 4 4" xfId="53816"/>
    <cellStyle name="Normal 11 3 2 2 2 4 5" xfId="53817"/>
    <cellStyle name="Normal 11 3 2 2 2 5" xfId="53818"/>
    <cellStyle name="Normal 11 3 2 2 2 5 2" xfId="53819"/>
    <cellStyle name="Normal 11 3 2 2 2 5 3" xfId="53820"/>
    <cellStyle name="Normal 11 3 2 2 2 6" xfId="53821"/>
    <cellStyle name="Normal 11 3 2 2 2 6 2" xfId="53822"/>
    <cellStyle name="Normal 11 3 2 2 2 6 3" xfId="53823"/>
    <cellStyle name="Normal 11 3 2 2 2 7" xfId="53824"/>
    <cellStyle name="Normal 11 3 2 2 2 7 2" xfId="53825"/>
    <cellStyle name="Normal 11 3 2 2 2 8" xfId="53826"/>
    <cellStyle name="Normal 11 3 2 2 2 9" xfId="53827"/>
    <cellStyle name="Normal 11 3 2 2 3" xfId="53828"/>
    <cellStyle name="Normal 11 3 2 2 3 2" xfId="53829"/>
    <cellStyle name="Normal 11 3 2 2 3 2 2" xfId="53830"/>
    <cellStyle name="Normal 11 3 2 2 3 2 3" xfId="53831"/>
    <cellStyle name="Normal 11 3 2 2 3 3" xfId="53832"/>
    <cellStyle name="Normal 11 3 2 2 3 3 2" xfId="53833"/>
    <cellStyle name="Normal 11 3 2 2 3 3 3" xfId="53834"/>
    <cellStyle name="Normal 11 3 2 2 3 4" xfId="53835"/>
    <cellStyle name="Normal 11 3 2 2 3 4 2" xfId="53836"/>
    <cellStyle name="Normal 11 3 2 2 3 5" xfId="53837"/>
    <cellStyle name="Normal 11 3 2 2 3 6" xfId="53838"/>
    <cellStyle name="Normal 11 3 2 2 4" xfId="53839"/>
    <cellStyle name="Normal 11 3 2 2 4 2" xfId="53840"/>
    <cellStyle name="Normal 11 3 2 2 4 2 2" xfId="53841"/>
    <cellStyle name="Normal 11 3 2 2 4 2 3" xfId="53842"/>
    <cellStyle name="Normal 11 3 2 2 4 3" xfId="53843"/>
    <cellStyle name="Normal 11 3 2 2 4 3 2" xfId="53844"/>
    <cellStyle name="Normal 11 3 2 2 4 3 3" xfId="53845"/>
    <cellStyle name="Normal 11 3 2 2 4 4" xfId="53846"/>
    <cellStyle name="Normal 11 3 2 2 4 4 2" xfId="53847"/>
    <cellStyle name="Normal 11 3 2 2 4 5" xfId="53848"/>
    <cellStyle name="Normal 11 3 2 2 4 6" xfId="53849"/>
    <cellStyle name="Normal 11 3 2 2 5" xfId="53850"/>
    <cellStyle name="Normal 11 3 2 2 5 2" xfId="53851"/>
    <cellStyle name="Normal 11 3 2 2 5 2 2" xfId="53852"/>
    <cellStyle name="Normal 11 3 2 2 5 2 3" xfId="53853"/>
    <cellStyle name="Normal 11 3 2 2 5 3" xfId="53854"/>
    <cellStyle name="Normal 11 3 2 2 5 3 2" xfId="53855"/>
    <cellStyle name="Normal 11 3 2 2 5 4" xfId="53856"/>
    <cellStyle name="Normal 11 3 2 2 5 5" xfId="53857"/>
    <cellStyle name="Normal 11 3 2 2 6" xfId="53858"/>
    <cellStyle name="Normal 11 3 2 2 6 2" xfId="53859"/>
    <cellStyle name="Normal 11 3 2 2 6 3" xfId="53860"/>
    <cellStyle name="Normal 11 3 2 2 7" xfId="53861"/>
    <cellStyle name="Normal 11 3 2 2 7 2" xfId="53862"/>
    <cellStyle name="Normal 11 3 2 2 7 3" xfId="53863"/>
    <cellStyle name="Normal 11 3 2 2 8" xfId="53864"/>
    <cellStyle name="Normal 11 3 2 2 8 2" xfId="53865"/>
    <cellStyle name="Normal 11 3 2 2 9" xfId="53866"/>
    <cellStyle name="Normal 11 3 2 3" xfId="53867"/>
    <cellStyle name="Normal 11 3 2 3 2" xfId="53868"/>
    <cellStyle name="Normal 11 3 2 3 2 2" xfId="53869"/>
    <cellStyle name="Normal 11 3 2 3 2 2 2" xfId="53870"/>
    <cellStyle name="Normal 11 3 2 3 2 2 3" xfId="53871"/>
    <cellStyle name="Normal 11 3 2 3 2 3" xfId="53872"/>
    <cellStyle name="Normal 11 3 2 3 2 3 2" xfId="53873"/>
    <cellStyle name="Normal 11 3 2 3 2 3 3" xfId="53874"/>
    <cellStyle name="Normal 11 3 2 3 2 4" xfId="53875"/>
    <cellStyle name="Normal 11 3 2 3 2 4 2" xfId="53876"/>
    <cellStyle name="Normal 11 3 2 3 2 5" xfId="53877"/>
    <cellStyle name="Normal 11 3 2 3 2 6" xfId="53878"/>
    <cellStyle name="Normal 11 3 2 3 3" xfId="53879"/>
    <cellStyle name="Normal 11 3 2 3 3 2" xfId="53880"/>
    <cellStyle name="Normal 11 3 2 3 3 2 2" xfId="53881"/>
    <cellStyle name="Normal 11 3 2 3 3 2 3" xfId="53882"/>
    <cellStyle name="Normal 11 3 2 3 3 3" xfId="53883"/>
    <cellStyle name="Normal 11 3 2 3 3 3 2" xfId="53884"/>
    <cellStyle name="Normal 11 3 2 3 3 3 3" xfId="53885"/>
    <cellStyle name="Normal 11 3 2 3 3 4" xfId="53886"/>
    <cellStyle name="Normal 11 3 2 3 3 4 2" xfId="53887"/>
    <cellStyle name="Normal 11 3 2 3 3 5" xfId="53888"/>
    <cellStyle name="Normal 11 3 2 3 3 6" xfId="53889"/>
    <cellStyle name="Normal 11 3 2 3 4" xfId="53890"/>
    <cellStyle name="Normal 11 3 2 3 4 2" xfId="53891"/>
    <cellStyle name="Normal 11 3 2 3 4 2 2" xfId="53892"/>
    <cellStyle name="Normal 11 3 2 3 4 2 3" xfId="53893"/>
    <cellStyle name="Normal 11 3 2 3 4 3" xfId="53894"/>
    <cellStyle name="Normal 11 3 2 3 4 3 2" xfId="53895"/>
    <cellStyle name="Normal 11 3 2 3 4 4" xfId="53896"/>
    <cellStyle name="Normal 11 3 2 3 4 5" xfId="53897"/>
    <cellStyle name="Normal 11 3 2 3 5" xfId="53898"/>
    <cellStyle name="Normal 11 3 2 3 5 2" xfId="53899"/>
    <cellStyle name="Normal 11 3 2 3 5 3" xfId="53900"/>
    <cellStyle name="Normal 11 3 2 3 6" xfId="53901"/>
    <cellStyle name="Normal 11 3 2 3 6 2" xfId="53902"/>
    <cellStyle name="Normal 11 3 2 3 6 3" xfId="53903"/>
    <cellStyle name="Normal 11 3 2 3 7" xfId="53904"/>
    <cellStyle name="Normal 11 3 2 3 7 2" xfId="53905"/>
    <cellStyle name="Normal 11 3 2 3 8" xfId="53906"/>
    <cellStyle name="Normal 11 3 2 3 9" xfId="53907"/>
    <cellStyle name="Normal 11 3 2 4" xfId="53908"/>
    <cellStyle name="Normal 11 3 2 4 2" xfId="53909"/>
    <cellStyle name="Normal 11 3 2 4 2 2" xfId="53910"/>
    <cellStyle name="Normal 11 3 2 4 2 2 2" xfId="53911"/>
    <cellStyle name="Normal 11 3 2 4 2 2 3" xfId="53912"/>
    <cellStyle name="Normal 11 3 2 4 2 3" xfId="53913"/>
    <cellStyle name="Normal 11 3 2 4 2 3 2" xfId="53914"/>
    <cellStyle name="Normal 11 3 2 4 2 3 3" xfId="53915"/>
    <cellStyle name="Normal 11 3 2 4 2 4" xfId="53916"/>
    <cellStyle name="Normal 11 3 2 4 2 4 2" xfId="53917"/>
    <cellStyle name="Normal 11 3 2 4 2 5" xfId="53918"/>
    <cellStyle name="Normal 11 3 2 4 2 6" xfId="53919"/>
    <cellStyle name="Normal 11 3 2 4 3" xfId="53920"/>
    <cellStyle name="Normal 11 3 2 4 3 2" xfId="53921"/>
    <cellStyle name="Normal 11 3 2 4 3 2 2" xfId="53922"/>
    <cellStyle name="Normal 11 3 2 4 3 2 3" xfId="53923"/>
    <cellStyle name="Normal 11 3 2 4 3 3" xfId="53924"/>
    <cellStyle name="Normal 11 3 2 4 3 3 2" xfId="53925"/>
    <cellStyle name="Normal 11 3 2 4 3 3 3" xfId="53926"/>
    <cellStyle name="Normal 11 3 2 4 3 4" xfId="53927"/>
    <cellStyle name="Normal 11 3 2 4 3 4 2" xfId="53928"/>
    <cellStyle name="Normal 11 3 2 4 3 5" xfId="53929"/>
    <cellStyle name="Normal 11 3 2 4 3 6" xfId="53930"/>
    <cellStyle name="Normal 11 3 2 4 4" xfId="53931"/>
    <cellStyle name="Normal 11 3 2 4 4 2" xfId="53932"/>
    <cellStyle name="Normal 11 3 2 4 4 2 2" xfId="53933"/>
    <cellStyle name="Normal 11 3 2 4 4 2 3" xfId="53934"/>
    <cellStyle name="Normal 11 3 2 4 4 3" xfId="53935"/>
    <cellStyle name="Normal 11 3 2 4 4 3 2" xfId="53936"/>
    <cellStyle name="Normal 11 3 2 4 4 4" xfId="53937"/>
    <cellStyle name="Normal 11 3 2 4 4 5" xfId="53938"/>
    <cellStyle name="Normal 11 3 2 4 5" xfId="53939"/>
    <cellStyle name="Normal 11 3 2 4 5 2" xfId="53940"/>
    <cellStyle name="Normal 11 3 2 4 5 3" xfId="53941"/>
    <cellStyle name="Normal 11 3 2 4 6" xfId="53942"/>
    <cellStyle name="Normal 11 3 2 4 6 2" xfId="53943"/>
    <cellStyle name="Normal 11 3 2 4 6 3" xfId="53944"/>
    <cellStyle name="Normal 11 3 2 4 7" xfId="53945"/>
    <cellStyle name="Normal 11 3 2 4 7 2" xfId="53946"/>
    <cellStyle name="Normal 11 3 2 4 8" xfId="53947"/>
    <cellStyle name="Normal 11 3 2 4 9" xfId="53948"/>
    <cellStyle name="Normal 11 3 2 5" xfId="53949"/>
    <cellStyle name="Normal 11 3 2 5 2" xfId="53950"/>
    <cellStyle name="Normal 11 3 2 5 2 2" xfId="53951"/>
    <cellStyle name="Normal 11 3 2 5 2 3" xfId="53952"/>
    <cellStyle name="Normal 11 3 2 5 3" xfId="53953"/>
    <cellStyle name="Normal 11 3 2 5 3 2" xfId="53954"/>
    <cellStyle name="Normal 11 3 2 5 3 3" xfId="53955"/>
    <cellStyle name="Normal 11 3 2 5 4" xfId="53956"/>
    <cellStyle name="Normal 11 3 2 5 4 2" xfId="53957"/>
    <cellStyle name="Normal 11 3 2 5 5" xfId="53958"/>
    <cellStyle name="Normal 11 3 2 5 6" xfId="53959"/>
    <cellStyle name="Normal 11 3 2 6" xfId="53960"/>
    <cellStyle name="Normal 11 3 2 6 2" xfId="53961"/>
    <cellStyle name="Normal 11 3 2 6 2 2" xfId="53962"/>
    <cellStyle name="Normal 11 3 2 6 2 3" xfId="53963"/>
    <cellStyle name="Normal 11 3 2 6 3" xfId="53964"/>
    <cellStyle name="Normal 11 3 2 6 3 2" xfId="53965"/>
    <cellStyle name="Normal 11 3 2 6 3 3" xfId="53966"/>
    <cellStyle name="Normal 11 3 2 6 4" xfId="53967"/>
    <cellStyle name="Normal 11 3 2 6 4 2" xfId="53968"/>
    <cellStyle name="Normal 11 3 2 6 5" xfId="53969"/>
    <cellStyle name="Normal 11 3 2 6 6" xfId="53970"/>
    <cellStyle name="Normal 11 3 2 7" xfId="53971"/>
    <cellStyle name="Normal 11 3 2 7 2" xfId="53972"/>
    <cellStyle name="Normal 11 3 2 7 2 2" xfId="53973"/>
    <cellStyle name="Normal 11 3 2 7 2 3" xfId="53974"/>
    <cellStyle name="Normal 11 3 2 7 3" xfId="53975"/>
    <cellStyle name="Normal 11 3 2 7 3 2" xfId="53976"/>
    <cellStyle name="Normal 11 3 2 7 4" xfId="53977"/>
    <cellStyle name="Normal 11 3 2 7 5" xfId="53978"/>
    <cellStyle name="Normal 11 3 2 8" xfId="53979"/>
    <cellStyle name="Normal 11 3 2 8 2" xfId="53980"/>
    <cellStyle name="Normal 11 3 2 8 3" xfId="53981"/>
    <cellStyle name="Normal 11 3 2 9" xfId="53982"/>
    <cellStyle name="Normal 11 3 2 9 2" xfId="53983"/>
    <cellStyle name="Normal 11 3 2 9 3" xfId="53984"/>
    <cellStyle name="Normal 11 3 3" xfId="53985"/>
    <cellStyle name="Normal 11 3 3 10" xfId="53986"/>
    <cellStyle name="Normal 11 3 3 2" xfId="53987"/>
    <cellStyle name="Normal 11 3 3 2 2" xfId="53988"/>
    <cellStyle name="Normal 11 3 3 2 2 2" xfId="53989"/>
    <cellStyle name="Normal 11 3 3 2 2 2 2" xfId="53990"/>
    <cellStyle name="Normal 11 3 3 2 2 2 3" xfId="53991"/>
    <cellStyle name="Normal 11 3 3 2 2 3" xfId="53992"/>
    <cellStyle name="Normal 11 3 3 2 2 3 2" xfId="53993"/>
    <cellStyle name="Normal 11 3 3 2 2 3 3" xfId="53994"/>
    <cellStyle name="Normal 11 3 3 2 2 4" xfId="53995"/>
    <cellStyle name="Normal 11 3 3 2 2 4 2" xfId="53996"/>
    <cellStyle name="Normal 11 3 3 2 2 5" xfId="53997"/>
    <cellStyle name="Normal 11 3 3 2 2 6" xfId="53998"/>
    <cellStyle name="Normal 11 3 3 2 3" xfId="53999"/>
    <cellStyle name="Normal 11 3 3 2 3 2" xfId="54000"/>
    <cellStyle name="Normal 11 3 3 2 3 2 2" xfId="54001"/>
    <cellStyle name="Normal 11 3 3 2 3 2 3" xfId="54002"/>
    <cellStyle name="Normal 11 3 3 2 3 3" xfId="54003"/>
    <cellStyle name="Normal 11 3 3 2 3 3 2" xfId="54004"/>
    <cellStyle name="Normal 11 3 3 2 3 3 3" xfId="54005"/>
    <cellStyle name="Normal 11 3 3 2 3 4" xfId="54006"/>
    <cellStyle name="Normal 11 3 3 2 3 4 2" xfId="54007"/>
    <cellStyle name="Normal 11 3 3 2 3 5" xfId="54008"/>
    <cellStyle name="Normal 11 3 3 2 3 6" xfId="54009"/>
    <cellStyle name="Normal 11 3 3 2 4" xfId="54010"/>
    <cellStyle name="Normal 11 3 3 2 4 2" xfId="54011"/>
    <cellStyle name="Normal 11 3 3 2 4 2 2" xfId="54012"/>
    <cellStyle name="Normal 11 3 3 2 4 2 3" xfId="54013"/>
    <cellStyle name="Normal 11 3 3 2 4 3" xfId="54014"/>
    <cellStyle name="Normal 11 3 3 2 4 3 2" xfId="54015"/>
    <cellStyle name="Normal 11 3 3 2 4 4" xfId="54016"/>
    <cellStyle name="Normal 11 3 3 2 4 5" xfId="54017"/>
    <cellStyle name="Normal 11 3 3 2 5" xfId="54018"/>
    <cellStyle name="Normal 11 3 3 2 5 2" xfId="54019"/>
    <cellStyle name="Normal 11 3 3 2 5 3" xfId="54020"/>
    <cellStyle name="Normal 11 3 3 2 6" xfId="54021"/>
    <cellStyle name="Normal 11 3 3 2 6 2" xfId="54022"/>
    <cellStyle name="Normal 11 3 3 2 6 3" xfId="54023"/>
    <cellStyle name="Normal 11 3 3 2 7" xfId="54024"/>
    <cellStyle name="Normal 11 3 3 2 7 2" xfId="54025"/>
    <cellStyle name="Normal 11 3 3 2 8" xfId="54026"/>
    <cellStyle name="Normal 11 3 3 2 9" xfId="54027"/>
    <cellStyle name="Normal 11 3 3 3" xfId="54028"/>
    <cellStyle name="Normal 11 3 3 3 2" xfId="54029"/>
    <cellStyle name="Normal 11 3 3 3 2 2" xfId="54030"/>
    <cellStyle name="Normal 11 3 3 3 2 3" xfId="54031"/>
    <cellStyle name="Normal 11 3 3 3 3" xfId="54032"/>
    <cellStyle name="Normal 11 3 3 3 3 2" xfId="54033"/>
    <cellStyle name="Normal 11 3 3 3 3 3" xfId="54034"/>
    <cellStyle name="Normal 11 3 3 3 4" xfId="54035"/>
    <cellStyle name="Normal 11 3 3 3 4 2" xfId="54036"/>
    <cellStyle name="Normal 11 3 3 3 5" xfId="54037"/>
    <cellStyle name="Normal 11 3 3 3 6" xfId="54038"/>
    <cellStyle name="Normal 11 3 3 4" xfId="54039"/>
    <cellStyle name="Normal 11 3 3 4 2" xfId="54040"/>
    <cellStyle name="Normal 11 3 3 4 2 2" xfId="54041"/>
    <cellStyle name="Normal 11 3 3 4 2 3" xfId="54042"/>
    <cellStyle name="Normal 11 3 3 4 3" xfId="54043"/>
    <cellStyle name="Normal 11 3 3 4 3 2" xfId="54044"/>
    <cellStyle name="Normal 11 3 3 4 3 3" xfId="54045"/>
    <cellStyle name="Normal 11 3 3 4 4" xfId="54046"/>
    <cellStyle name="Normal 11 3 3 4 4 2" xfId="54047"/>
    <cellStyle name="Normal 11 3 3 4 5" xfId="54048"/>
    <cellStyle name="Normal 11 3 3 4 6" xfId="54049"/>
    <cellStyle name="Normal 11 3 3 5" xfId="54050"/>
    <cellStyle name="Normal 11 3 3 5 2" xfId="54051"/>
    <cellStyle name="Normal 11 3 3 5 2 2" xfId="54052"/>
    <cellStyle name="Normal 11 3 3 5 2 3" xfId="54053"/>
    <cellStyle name="Normal 11 3 3 5 3" xfId="54054"/>
    <cellStyle name="Normal 11 3 3 5 3 2" xfId="54055"/>
    <cellStyle name="Normal 11 3 3 5 4" xfId="54056"/>
    <cellStyle name="Normal 11 3 3 5 5" xfId="54057"/>
    <cellStyle name="Normal 11 3 3 6" xfId="54058"/>
    <cellStyle name="Normal 11 3 3 6 2" xfId="54059"/>
    <cellStyle name="Normal 11 3 3 6 3" xfId="54060"/>
    <cellStyle name="Normal 11 3 3 7" xfId="54061"/>
    <cellStyle name="Normal 11 3 3 7 2" xfId="54062"/>
    <cellStyle name="Normal 11 3 3 7 3" xfId="54063"/>
    <cellStyle name="Normal 11 3 3 8" xfId="54064"/>
    <cellStyle name="Normal 11 3 3 8 2" xfId="54065"/>
    <cellStyle name="Normal 11 3 3 9" xfId="54066"/>
    <cellStyle name="Normal 11 3 4" xfId="54067"/>
    <cellStyle name="Normal 11 3 4 2" xfId="54068"/>
    <cellStyle name="Normal 11 3 4 2 2" xfId="54069"/>
    <cellStyle name="Normal 11 3 4 2 2 2" xfId="54070"/>
    <cellStyle name="Normal 11 3 4 2 2 3" xfId="54071"/>
    <cellStyle name="Normal 11 3 4 2 3" xfId="54072"/>
    <cellStyle name="Normal 11 3 4 2 3 2" xfId="54073"/>
    <cellStyle name="Normal 11 3 4 2 3 3" xfId="54074"/>
    <cellStyle name="Normal 11 3 4 2 4" xfId="54075"/>
    <cellStyle name="Normal 11 3 4 2 4 2" xfId="54076"/>
    <cellStyle name="Normal 11 3 4 2 5" xfId="54077"/>
    <cellStyle name="Normal 11 3 4 2 6" xfId="54078"/>
    <cellStyle name="Normal 11 3 4 3" xfId="54079"/>
    <cellStyle name="Normal 11 3 4 3 2" xfId="54080"/>
    <cellStyle name="Normal 11 3 4 3 2 2" xfId="54081"/>
    <cellStyle name="Normal 11 3 4 3 2 3" xfId="54082"/>
    <cellStyle name="Normal 11 3 4 3 3" xfId="54083"/>
    <cellStyle name="Normal 11 3 4 3 3 2" xfId="54084"/>
    <cellStyle name="Normal 11 3 4 3 3 3" xfId="54085"/>
    <cellStyle name="Normal 11 3 4 3 4" xfId="54086"/>
    <cellStyle name="Normal 11 3 4 3 4 2" xfId="54087"/>
    <cellStyle name="Normal 11 3 4 3 5" xfId="54088"/>
    <cellStyle name="Normal 11 3 4 3 6" xfId="54089"/>
    <cellStyle name="Normal 11 3 4 4" xfId="54090"/>
    <cellStyle name="Normal 11 3 4 4 2" xfId="54091"/>
    <cellStyle name="Normal 11 3 4 4 2 2" xfId="54092"/>
    <cellStyle name="Normal 11 3 4 4 2 3" xfId="54093"/>
    <cellStyle name="Normal 11 3 4 4 3" xfId="54094"/>
    <cellStyle name="Normal 11 3 4 4 3 2" xfId="54095"/>
    <cellStyle name="Normal 11 3 4 4 4" xfId="54096"/>
    <cellStyle name="Normal 11 3 4 4 5" xfId="54097"/>
    <cellStyle name="Normal 11 3 4 5" xfId="54098"/>
    <cellStyle name="Normal 11 3 4 5 2" xfId="54099"/>
    <cellStyle name="Normal 11 3 4 5 3" xfId="54100"/>
    <cellStyle name="Normal 11 3 4 6" xfId="54101"/>
    <cellStyle name="Normal 11 3 4 6 2" xfId="54102"/>
    <cellStyle name="Normal 11 3 4 6 3" xfId="54103"/>
    <cellStyle name="Normal 11 3 4 7" xfId="54104"/>
    <cellStyle name="Normal 11 3 4 7 2" xfId="54105"/>
    <cellStyle name="Normal 11 3 4 8" xfId="54106"/>
    <cellStyle name="Normal 11 3 4 9" xfId="54107"/>
    <cellStyle name="Normal 11 3 5" xfId="54108"/>
    <cellStyle name="Normal 11 3 5 2" xfId="54109"/>
    <cellStyle name="Normal 11 3 5 2 2" xfId="54110"/>
    <cellStyle name="Normal 11 3 5 2 2 2" xfId="54111"/>
    <cellStyle name="Normal 11 3 5 2 2 3" xfId="54112"/>
    <cellStyle name="Normal 11 3 5 2 3" xfId="54113"/>
    <cellStyle name="Normal 11 3 5 2 3 2" xfId="54114"/>
    <cellStyle name="Normal 11 3 5 2 3 3" xfId="54115"/>
    <cellStyle name="Normal 11 3 5 2 4" xfId="54116"/>
    <cellStyle name="Normal 11 3 5 2 4 2" xfId="54117"/>
    <cellStyle name="Normal 11 3 5 2 5" xfId="54118"/>
    <cellStyle name="Normal 11 3 5 2 6" xfId="54119"/>
    <cellStyle name="Normal 11 3 5 3" xfId="54120"/>
    <cellStyle name="Normal 11 3 5 3 2" xfId="54121"/>
    <cellStyle name="Normal 11 3 5 3 2 2" xfId="54122"/>
    <cellStyle name="Normal 11 3 5 3 2 3" xfId="54123"/>
    <cellStyle name="Normal 11 3 5 3 3" xfId="54124"/>
    <cellStyle name="Normal 11 3 5 3 3 2" xfId="54125"/>
    <cellStyle name="Normal 11 3 5 3 3 3" xfId="54126"/>
    <cellStyle name="Normal 11 3 5 3 4" xfId="54127"/>
    <cellStyle name="Normal 11 3 5 3 4 2" xfId="54128"/>
    <cellStyle name="Normal 11 3 5 3 5" xfId="54129"/>
    <cellStyle name="Normal 11 3 5 3 6" xfId="54130"/>
    <cellStyle name="Normal 11 3 5 4" xfId="54131"/>
    <cellStyle name="Normal 11 3 5 4 2" xfId="54132"/>
    <cellStyle name="Normal 11 3 5 4 2 2" xfId="54133"/>
    <cellStyle name="Normal 11 3 5 4 2 3" xfId="54134"/>
    <cellStyle name="Normal 11 3 5 4 3" xfId="54135"/>
    <cellStyle name="Normal 11 3 5 4 3 2" xfId="54136"/>
    <cellStyle name="Normal 11 3 5 4 4" xfId="54137"/>
    <cellStyle name="Normal 11 3 5 4 5" xfId="54138"/>
    <cellStyle name="Normal 11 3 5 5" xfId="54139"/>
    <cellStyle name="Normal 11 3 5 5 2" xfId="54140"/>
    <cellStyle name="Normal 11 3 5 5 3" xfId="54141"/>
    <cellStyle name="Normal 11 3 5 6" xfId="54142"/>
    <cellStyle name="Normal 11 3 5 6 2" xfId="54143"/>
    <cellStyle name="Normal 11 3 5 6 3" xfId="54144"/>
    <cellStyle name="Normal 11 3 5 7" xfId="54145"/>
    <cellStyle name="Normal 11 3 5 7 2" xfId="54146"/>
    <cellStyle name="Normal 11 3 5 8" xfId="54147"/>
    <cellStyle name="Normal 11 3 5 9" xfId="54148"/>
    <cellStyle name="Normal 11 3 6" xfId="54149"/>
    <cellStyle name="Normal 11 3 6 2" xfId="54150"/>
    <cellStyle name="Normal 11 3 6 2 2" xfId="54151"/>
    <cellStyle name="Normal 11 3 6 2 3" xfId="54152"/>
    <cellStyle name="Normal 11 3 6 3" xfId="54153"/>
    <cellStyle name="Normal 11 3 6 3 2" xfId="54154"/>
    <cellStyle name="Normal 11 3 6 3 3" xfId="54155"/>
    <cellStyle name="Normal 11 3 6 4" xfId="54156"/>
    <cellStyle name="Normal 11 3 6 4 2" xfId="54157"/>
    <cellStyle name="Normal 11 3 6 5" xfId="54158"/>
    <cellStyle name="Normal 11 3 6 6" xfId="54159"/>
    <cellStyle name="Normal 11 3 7" xfId="54160"/>
    <cellStyle name="Normal 11 3 7 2" xfId="54161"/>
    <cellStyle name="Normal 11 3 7 2 2" xfId="54162"/>
    <cellStyle name="Normal 11 3 7 2 3" xfId="54163"/>
    <cellStyle name="Normal 11 3 7 3" xfId="54164"/>
    <cellStyle name="Normal 11 3 7 3 2" xfId="54165"/>
    <cellStyle name="Normal 11 3 7 3 3" xfId="54166"/>
    <cellStyle name="Normal 11 3 7 4" xfId="54167"/>
    <cellStyle name="Normal 11 3 7 4 2" xfId="54168"/>
    <cellStyle name="Normal 11 3 7 5" xfId="54169"/>
    <cellStyle name="Normal 11 3 7 6" xfId="54170"/>
    <cellStyle name="Normal 11 3 8" xfId="54171"/>
    <cellStyle name="Normal 11 3 8 2" xfId="54172"/>
    <cellStyle name="Normal 11 3 8 2 2" xfId="54173"/>
    <cellStyle name="Normal 11 3 8 2 3" xfId="54174"/>
    <cellStyle name="Normal 11 3 8 3" xfId="54175"/>
    <cellStyle name="Normal 11 3 8 3 2" xfId="54176"/>
    <cellStyle name="Normal 11 3 8 4" xfId="54177"/>
    <cellStyle name="Normal 11 3 8 5" xfId="54178"/>
    <cellStyle name="Normal 11 3 9" xfId="54179"/>
    <cellStyle name="Normal 11 3 9 2" xfId="54180"/>
    <cellStyle name="Normal 11 3 9 3" xfId="54181"/>
    <cellStyle name="Normal 11 4" xfId="54182"/>
    <cellStyle name="Normal 11 4 10" xfId="54183"/>
    <cellStyle name="Normal 11 4 10 2" xfId="54184"/>
    <cellStyle name="Normal 11 4 11" xfId="54185"/>
    <cellStyle name="Normal 11 4 12" xfId="54186"/>
    <cellStyle name="Normal 11 4 2" xfId="54187"/>
    <cellStyle name="Normal 11 4 2 10" xfId="54188"/>
    <cellStyle name="Normal 11 4 2 2" xfId="54189"/>
    <cellStyle name="Normal 11 4 2 2 2" xfId="54190"/>
    <cellStyle name="Normal 11 4 2 2 2 2" xfId="54191"/>
    <cellStyle name="Normal 11 4 2 2 2 2 2" xfId="54192"/>
    <cellStyle name="Normal 11 4 2 2 2 2 3" xfId="54193"/>
    <cellStyle name="Normal 11 4 2 2 2 3" xfId="54194"/>
    <cellStyle name="Normal 11 4 2 2 2 3 2" xfId="54195"/>
    <cellStyle name="Normal 11 4 2 2 2 3 3" xfId="54196"/>
    <cellStyle name="Normal 11 4 2 2 2 4" xfId="54197"/>
    <cellStyle name="Normal 11 4 2 2 2 4 2" xfId="54198"/>
    <cellStyle name="Normal 11 4 2 2 2 5" xfId="54199"/>
    <cellStyle name="Normal 11 4 2 2 2 6" xfId="54200"/>
    <cellStyle name="Normal 11 4 2 2 3" xfId="54201"/>
    <cellStyle name="Normal 11 4 2 2 3 2" xfId="54202"/>
    <cellStyle name="Normal 11 4 2 2 3 2 2" xfId="54203"/>
    <cellStyle name="Normal 11 4 2 2 3 2 3" xfId="54204"/>
    <cellStyle name="Normal 11 4 2 2 3 3" xfId="54205"/>
    <cellStyle name="Normal 11 4 2 2 3 3 2" xfId="54206"/>
    <cellStyle name="Normal 11 4 2 2 3 3 3" xfId="54207"/>
    <cellStyle name="Normal 11 4 2 2 3 4" xfId="54208"/>
    <cellStyle name="Normal 11 4 2 2 3 4 2" xfId="54209"/>
    <cellStyle name="Normal 11 4 2 2 3 5" xfId="54210"/>
    <cellStyle name="Normal 11 4 2 2 3 6" xfId="54211"/>
    <cellStyle name="Normal 11 4 2 2 4" xfId="54212"/>
    <cellStyle name="Normal 11 4 2 2 4 2" xfId="54213"/>
    <cellStyle name="Normal 11 4 2 2 4 2 2" xfId="54214"/>
    <cellStyle name="Normal 11 4 2 2 4 2 3" xfId="54215"/>
    <cellStyle name="Normal 11 4 2 2 4 3" xfId="54216"/>
    <cellStyle name="Normal 11 4 2 2 4 3 2" xfId="54217"/>
    <cellStyle name="Normal 11 4 2 2 4 4" xfId="54218"/>
    <cellStyle name="Normal 11 4 2 2 4 5" xfId="54219"/>
    <cellStyle name="Normal 11 4 2 2 5" xfId="54220"/>
    <cellStyle name="Normal 11 4 2 2 5 2" xfId="54221"/>
    <cellStyle name="Normal 11 4 2 2 5 3" xfId="54222"/>
    <cellStyle name="Normal 11 4 2 2 6" xfId="54223"/>
    <cellStyle name="Normal 11 4 2 2 6 2" xfId="54224"/>
    <cellStyle name="Normal 11 4 2 2 6 3" xfId="54225"/>
    <cellStyle name="Normal 11 4 2 2 7" xfId="54226"/>
    <cellStyle name="Normal 11 4 2 2 7 2" xfId="54227"/>
    <cellStyle name="Normal 11 4 2 2 8" xfId="54228"/>
    <cellStyle name="Normal 11 4 2 2 9" xfId="54229"/>
    <cellStyle name="Normal 11 4 2 3" xfId="54230"/>
    <cellStyle name="Normal 11 4 2 3 2" xfId="54231"/>
    <cellStyle name="Normal 11 4 2 3 2 2" xfId="54232"/>
    <cellStyle name="Normal 11 4 2 3 2 3" xfId="54233"/>
    <cellStyle name="Normal 11 4 2 3 3" xfId="54234"/>
    <cellStyle name="Normal 11 4 2 3 3 2" xfId="54235"/>
    <cellStyle name="Normal 11 4 2 3 3 3" xfId="54236"/>
    <cellStyle name="Normal 11 4 2 3 4" xfId="54237"/>
    <cellStyle name="Normal 11 4 2 3 4 2" xfId="54238"/>
    <cellStyle name="Normal 11 4 2 3 5" xfId="54239"/>
    <cellStyle name="Normal 11 4 2 3 6" xfId="54240"/>
    <cellStyle name="Normal 11 4 2 4" xfId="54241"/>
    <cellStyle name="Normal 11 4 2 4 2" xfId="54242"/>
    <cellStyle name="Normal 11 4 2 4 2 2" xfId="54243"/>
    <cellStyle name="Normal 11 4 2 4 2 3" xfId="54244"/>
    <cellStyle name="Normal 11 4 2 4 3" xfId="54245"/>
    <cellStyle name="Normal 11 4 2 4 3 2" xfId="54246"/>
    <cellStyle name="Normal 11 4 2 4 3 3" xfId="54247"/>
    <cellStyle name="Normal 11 4 2 4 4" xfId="54248"/>
    <cellStyle name="Normal 11 4 2 4 4 2" xfId="54249"/>
    <cellStyle name="Normal 11 4 2 4 5" xfId="54250"/>
    <cellStyle name="Normal 11 4 2 4 6" xfId="54251"/>
    <cellStyle name="Normal 11 4 2 5" xfId="54252"/>
    <cellStyle name="Normal 11 4 2 5 2" xfId="54253"/>
    <cellStyle name="Normal 11 4 2 5 2 2" xfId="54254"/>
    <cellStyle name="Normal 11 4 2 5 2 3" xfId="54255"/>
    <cellStyle name="Normal 11 4 2 5 3" xfId="54256"/>
    <cellStyle name="Normal 11 4 2 5 3 2" xfId="54257"/>
    <cellStyle name="Normal 11 4 2 5 4" xfId="54258"/>
    <cellStyle name="Normal 11 4 2 5 5" xfId="54259"/>
    <cellStyle name="Normal 11 4 2 6" xfId="54260"/>
    <cellStyle name="Normal 11 4 2 6 2" xfId="54261"/>
    <cellStyle name="Normal 11 4 2 6 3" xfId="54262"/>
    <cellStyle name="Normal 11 4 2 7" xfId="54263"/>
    <cellStyle name="Normal 11 4 2 7 2" xfId="54264"/>
    <cellStyle name="Normal 11 4 2 7 3" xfId="54265"/>
    <cellStyle name="Normal 11 4 2 8" xfId="54266"/>
    <cellStyle name="Normal 11 4 2 8 2" xfId="54267"/>
    <cellStyle name="Normal 11 4 2 9" xfId="54268"/>
    <cellStyle name="Normal 11 4 3" xfId="54269"/>
    <cellStyle name="Normal 11 4 3 2" xfId="54270"/>
    <cellStyle name="Normal 11 4 3 2 2" xfId="54271"/>
    <cellStyle name="Normal 11 4 3 2 2 2" xfId="54272"/>
    <cellStyle name="Normal 11 4 3 2 2 3" xfId="54273"/>
    <cellStyle name="Normal 11 4 3 2 3" xfId="54274"/>
    <cellStyle name="Normal 11 4 3 2 3 2" xfId="54275"/>
    <cellStyle name="Normal 11 4 3 2 3 3" xfId="54276"/>
    <cellStyle name="Normal 11 4 3 2 4" xfId="54277"/>
    <cellStyle name="Normal 11 4 3 2 4 2" xfId="54278"/>
    <cellStyle name="Normal 11 4 3 2 5" xfId="54279"/>
    <cellStyle name="Normal 11 4 3 2 6" xfId="54280"/>
    <cellStyle name="Normal 11 4 3 3" xfId="54281"/>
    <cellStyle name="Normal 11 4 3 3 2" xfId="54282"/>
    <cellStyle name="Normal 11 4 3 3 2 2" xfId="54283"/>
    <cellStyle name="Normal 11 4 3 3 2 3" xfId="54284"/>
    <cellStyle name="Normal 11 4 3 3 3" xfId="54285"/>
    <cellStyle name="Normal 11 4 3 3 3 2" xfId="54286"/>
    <cellStyle name="Normal 11 4 3 3 3 3" xfId="54287"/>
    <cellStyle name="Normal 11 4 3 3 4" xfId="54288"/>
    <cellStyle name="Normal 11 4 3 3 4 2" xfId="54289"/>
    <cellStyle name="Normal 11 4 3 3 5" xfId="54290"/>
    <cellStyle name="Normal 11 4 3 3 6" xfId="54291"/>
    <cellStyle name="Normal 11 4 3 4" xfId="54292"/>
    <cellStyle name="Normal 11 4 3 4 2" xfId="54293"/>
    <cellStyle name="Normal 11 4 3 4 2 2" xfId="54294"/>
    <cellStyle name="Normal 11 4 3 4 2 3" xfId="54295"/>
    <cellStyle name="Normal 11 4 3 4 3" xfId="54296"/>
    <cellStyle name="Normal 11 4 3 4 3 2" xfId="54297"/>
    <cellStyle name="Normal 11 4 3 4 4" xfId="54298"/>
    <cellStyle name="Normal 11 4 3 4 5" xfId="54299"/>
    <cellStyle name="Normal 11 4 3 5" xfId="54300"/>
    <cellStyle name="Normal 11 4 3 5 2" xfId="54301"/>
    <cellStyle name="Normal 11 4 3 5 3" xfId="54302"/>
    <cellStyle name="Normal 11 4 3 6" xfId="54303"/>
    <cellStyle name="Normal 11 4 3 6 2" xfId="54304"/>
    <cellStyle name="Normal 11 4 3 6 3" xfId="54305"/>
    <cellStyle name="Normal 11 4 3 7" xfId="54306"/>
    <cellStyle name="Normal 11 4 3 7 2" xfId="54307"/>
    <cellStyle name="Normal 11 4 3 8" xfId="54308"/>
    <cellStyle name="Normal 11 4 3 9" xfId="54309"/>
    <cellStyle name="Normal 11 4 4" xfId="54310"/>
    <cellStyle name="Normal 11 4 4 2" xfId="54311"/>
    <cellStyle name="Normal 11 4 4 2 2" xfId="54312"/>
    <cellStyle name="Normal 11 4 4 2 2 2" xfId="54313"/>
    <cellStyle name="Normal 11 4 4 2 2 3" xfId="54314"/>
    <cellStyle name="Normal 11 4 4 2 3" xfId="54315"/>
    <cellStyle name="Normal 11 4 4 2 3 2" xfId="54316"/>
    <cellStyle name="Normal 11 4 4 2 3 3" xfId="54317"/>
    <cellStyle name="Normal 11 4 4 2 4" xfId="54318"/>
    <cellStyle name="Normal 11 4 4 2 4 2" xfId="54319"/>
    <cellStyle name="Normal 11 4 4 2 5" xfId="54320"/>
    <cellStyle name="Normal 11 4 4 2 6" xfId="54321"/>
    <cellStyle name="Normal 11 4 4 3" xfId="54322"/>
    <cellStyle name="Normal 11 4 4 3 2" xfId="54323"/>
    <cellStyle name="Normal 11 4 4 3 2 2" xfId="54324"/>
    <cellStyle name="Normal 11 4 4 3 2 3" xfId="54325"/>
    <cellStyle name="Normal 11 4 4 3 3" xfId="54326"/>
    <cellStyle name="Normal 11 4 4 3 3 2" xfId="54327"/>
    <cellStyle name="Normal 11 4 4 3 3 3" xfId="54328"/>
    <cellStyle name="Normal 11 4 4 3 4" xfId="54329"/>
    <cellStyle name="Normal 11 4 4 3 4 2" xfId="54330"/>
    <cellStyle name="Normal 11 4 4 3 5" xfId="54331"/>
    <cellStyle name="Normal 11 4 4 3 6" xfId="54332"/>
    <cellStyle name="Normal 11 4 4 4" xfId="54333"/>
    <cellStyle name="Normal 11 4 4 4 2" xfId="54334"/>
    <cellStyle name="Normal 11 4 4 4 2 2" xfId="54335"/>
    <cellStyle name="Normal 11 4 4 4 2 3" xfId="54336"/>
    <cellStyle name="Normal 11 4 4 4 3" xfId="54337"/>
    <cellStyle name="Normal 11 4 4 4 3 2" xfId="54338"/>
    <cellStyle name="Normal 11 4 4 4 4" xfId="54339"/>
    <cellStyle name="Normal 11 4 4 4 5" xfId="54340"/>
    <cellStyle name="Normal 11 4 4 5" xfId="54341"/>
    <cellStyle name="Normal 11 4 4 5 2" xfId="54342"/>
    <cellStyle name="Normal 11 4 4 5 3" xfId="54343"/>
    <cellStyle name="Normal 11 4 4 6" xfId="54344"/>
    <cellStyle name="Normal 11 4 4 6 2" xfId="54345"/>
    <cellStyle name="Normal 11 4 4 6 3" xfId="54346"/>
    <cellStyle name="Normal 11 4 4 7" xfId="54347"/>
    <cellStyle name="Normal 11 4 4 7 2" xfId="54348"/>
    <cellStyle name="Normal 11 4 4 8" xfId="54349"/>
    <cellStyle name="Normal 11 4 4 9" xfId="54350"/>
    <cellStyle name="Normal 11 4 5" xfId="54351"/>
    <cellStyle name="Normal 11 4 5 2" xfId="54352"/>
    <cellStyle name="Normal 11 4 5 2 2" xfId="54353"/>
    <cellStyle name="Normal 11 4 5 2 3" xfId="54354"/>
    <cellStyle name="Normal 11 4 5 3" xfId="54355"/>
    <cellStyle name="Normal 11 4 5 3 2" xfId="54356"/>
    <cellStyle name="Normal 11 4 5 3 3" xfId="54357"/>
    <cellStyle name="Normal 11 4 5 4" xfId="54358"/>
    <cellStyle name="Normal 11 4 5 4 2" xfId="54359"/>
    <cellStyle name="Normal 11 4 5 5" xfId="54360"/>
    <cellStyle name="Normal 11 4 5 6" xfId="54361"/>
    <cellStyle name="Normal 11 4 6" xfId="54362"/>
    <cellStyle name="Normal 11 4 6 2" xfId="54363"/>
    <cellStyle name="Normal 11 4 6 2 2" xfId="54364"/>
    <cellStyle name="Normal 11 4 6 2 3" xfId="54365"/>
    <cellStyle name="Normal 11 4 6 3" xfId="54366"/>
    <cellStyle name="Normal 11 4 6 3 2" xfId="54367"/>
    <cellStyle name="Normal 11 4 6 3 3" xfId="54368"/>
    <cellStyle name="Normal 11 4 6 4" xfId="54369"/>
    <cellStyle name="Normal 11 4 6 4 2" xfId="54370"/>
    <cellStyle name="Normal 11 4 6 5" xfId="54371"/>
    <cellStyle name="Normal 11 4 6 6" xfId="54372"/>
    <cellStyle name="Normal 11 4 7" xfId="54373"/>
    <cellStyle name="Normal 11 4 7 2" xfId="54374"/>
    <cellStyle name="Normal 11 4 7 2 2" xfId="54375"/>
    <cellStyle name="Normal 11 4 7 2 3" xfId="54376"/>
    <cellStyle name="Normal 11 4 7 3" xfId="54377"/>
    <cellStyle name="Normal 11 4 7 3 2" xfId="54378"/>
    <cellStyle name="Normal 11 4 7 4" xfId="54379"/>
    <cellStyle name="Normal 11 4 7 5" xfId="54380"/>
    <cellStyle name="Normal 11 4 8" xfId="54381"/>
    <cellStyle name="Normal 11 4 8 2" xfId="54382"/>
    <cellStyle name="Normal 11 4 8 3" xfId="54383"/>
    <cellStyle name="Normal 11 4 9" xfId="54384"/>
    <cellStyle name="Normal 11 4 9 2" xfId="54385"/>
    <cellStyle name="Normal 11 4 9 3" xfId="54386"/>
    <cellStyle name="Normal 11 5" xfId="54387"/>
    <cellStyle name="Normal 11 5 10" xfId="54388"/>
    <cellStyle name="Normal 11 5 2" xfId="54389"/>
    <cellStyle name="Normal 11 5 2 2" xfId="54390"/>
    <cellStyle name="Normal 11 5 2 2 2" xfId="54391"/>
    <cellStyle name="Normal 11 5 2 2 2 2" xfId="54392"/>
    <cellStyle name="Normal 11 5 2 2 2 3" xfId="54393"/>
    <cellStyle name="Normal 11 5 2 2 3" xfId="54394"/>
    <cellStyle name="Normal 11 5 2 2 3 2" xfId="54395"/>
    <cellStyle name="Normal 11 5 2 2 3 3" xfId="54396"/>
    <cellStyle name="Normal 11 5 2 2 4" xfId="54397"/>
    <cellStyle name="Normal 11 5 2 2 4 2" xfId="54398"/>
    <cellStyle name="Normal 11 5 2 2 5" xfId="54399"/>
    <cellStyle name="Normal 11 5 2 2 6" xfId="54400"/>
    <cellStyle name="Normal 11 5 2 3" xfId="54401"/>
    <cellStyle name="Normal 11 5 2 3 2" xfId="54402"/>
    <cellStyle name="Normal 11 5 2 3 2 2" xfId="54403"/>
    <cellStyle name="Normal 11 5 2 3 2 3" xfId="54404"/>
    <cellStyle name="Normal 11 5 2 3 3" xfId="54405"/>
    <cellStyle name="Normal 11 5 2 3 3 2" xfId="54406"/>
    <cellStyle name="Normal 11 5 2 3 3 3" xfId="54407"/>
    <cellStyle name="Normal 11 5 2 3 4" xfId="54408"/>
    <cellStyle name="Normal 11 5 2 3 4 2" xfId="54409"/>
    <cellStyle name="Normal 11 5 2 3 5" xfId="54410"/>
    <cellStyle name="Normal 11 5 2 3 6" xfId="54411"/>
    <cellStyle name="Normal 11 5 2 4" xfId="54412"/>
    <cellStyle name="Normal 11 5 2 4 2" xfId="54413"/>
    <cellStyle name="Normal 11 5 2 4 2 2" xfId="54414"/>
    <cellStyle name="Normal 11 5 2 4 2 3" xfId="54415"/>
    <cellStyle name="Normal 11 5 2 4 3" xfId="54416"/>
    <cellStyle name="Normal 11 5 2 4 3 2" xfId="54417"/>
    <cellStyle name="Normal 11 5 2 4 4" xfId="54418"/>
    <cellStyle name="Normal 11 5 2 4 5" xfId="54419"/>
    <cellStyle name="Normal 11 5 2 5" xfId="54420"/>
    <cellStyle name="Normal 11 5 2 5 2" xfId="54421"/>
    <cellStyle name="Normal 11 5 2 5 3" xfId="54422"/>
    <cellStyle name="Normal 11 5 2 6" xfId="54423"/>
    <cellStyle name="Normal 11 5 2 6 2" xfId="54424"/>
    <cellStyle name="Normal 11 5 2 6 3" xfId="54425"/>
    <cellStyle name="Normal 11 5 2 7" xfId="54426"/>
    <cellStyle name="Normal 11 5 2 7 2" xfId="54427"/>
    <cellStyle name="Normal 11 5 2 8" xfId="54428"/>
    <cellStyle name="Normal 11 5 2 9" xfId="54429"/>
    <cellStyle name="Normal 11 5 3" xfId="54430"/>
    <cellStyle name="Normal 11 5 3 2" xfId="54431"/>
    <cellStyle name="Normal 11 5 3 2 2" xfId="54432"/>
    <cellStyle name="Normal 11 5 3 2 3" xfId="54433"/>
    <cellStyle name="Normal 11 5 3 3" xfId="54434"/>
    <cellStyle name="Normal 11 5 3 3 2" xfId="54435"/>
    <cellStyle name="Normal 11 5 3 3 3" xfId="54436"/>
    <cellStyle name="Normal 11 5 3 4" xfId="54437"/>
    <cellStyle name="Normal 11 5 3 4 2" xfId="54438"/>
    <cellStyle name="Normal 11 5 3 5" xfId="54439"/>
    <cellStyle name="Normal 11 5 3 6" xfId="54440"/>
    <cellStyle name="Normal 11 5 4" xfId="54441"/>
    <cellStyle name="Normal 11 5 4 2" xfId="54442"/>
    <cellStyle name="Normal 11 5 4 2 2" xfId="54443"/>
    <cellStyle name="Normal 11 5 4 2 3" xfId="54444"/>
    <cellStyle name="Normal 11 5 4 3" xfId="54445"/>
    <cellStyle name="Normal 11 5 4 3 2" xfId="54446"/>
    <cellStyle name="Normal 11 5 4 3 3" xfId="54447"/>
    <cellStyle name="Normal 11 5 4 4" xfId="54448"/>
    <cellStyle name="Normal 11 5 4 4 2" xfId="54449"/>
    <cellStyle name="Normal 11 5 4 5" xfId="54450"/>
    <cellStyle name="Normal 11 5 4 6" xfId="54451"/>
    <cellStyle name="Normal 11 5 5" xfId="54452"/>
    <cellStyle name="Normal 11 5 5 2" xfId="54453"/>
    <cellStyle name="Normal 11 5 5 2 2" xfId="54454"/>
    <cellStyle name="Normal 11 5 5 2 3" xfId="54455"/>
    <cellStyle name="Normal 11 5 5 3" xfId="54456"/>
    <cellStyle name="Normal 11 5 5 3 2" xfId="54457"/>
    <cellStyle name="Normal 11 5 5 4" xfId="54458"/>
    <cellStyle name="Normal 11 5 5 5" xfId="54459"/>
    <cellStyle name="Normal 11 5 6" xfId="54460"/>
    <cellStyle name="Normal 11 5 6 2" xfId="54461"/>
    <cellStyle name="Normal 11 5 6 3" xfId="54462"/>
    <cellStyle name="Normal 11 5 7" xfId="54463"/>
    <cellStyle name="Normal 11 5 7 2" xfId="54464"/>
    <cellStyle name="Normal 11 5 7 3" xfId="54465"/>
    <cellStyle name="Normal 11 5 8" xfId="54466"/>
    <cellStyle name="Normal 11 5 8 2" xfId="54467"/>
    <cellStyle name="Normal 11 5 9" xfId="54468"/>
    <cellStyle name="Normal 11 6" xfId="54469"/>
    <cellStyle name="Normal 11 6 2" xfId="54470"/>
    <cellStyle name="Normal 11 6 2 2" xfId="54471"/>
    <cellStyle name="Normal 11 6 2 2 2" xfId="54472"/>
    <cellStyle name="Normal 11 6 2 2 3" xfId="54473"/>
    <cellStyle name="Normal 11 6 2 3" xfId="54474"/>
    <cellStyle name="Normal 11 6 2 3 2" xfId="54475"/>
    <cellStyle name="Normal 11 6 2 3 3" xfId="54476"/>
    <cellStyle name="Normal 11 6 2 4" xfId="54477"/>
    <cellStyle name="Normal 11 6 2 4 2" xfId="54478"/>
    <cellStyle name="Normal 11 6 2 5" xfId="54479"/>
    <cellStyle name="Normal 11 6 2 6" xfId="54480"/>
    <cellStyle name="Normal 11 6 3" xfId="54481"/>
    <cellStyle name="Normal 11 6 3 2" xfId="54482"/>
    <cellStyle name="Normal 11 6 3 2 2" xfId="54483"/>
    <cellStyle name="Normal 11 6 3 2 3" xfId="54484"/>
    <cellStyle name="Normal 11 6 3 3" xfId="54485"/>
    <cellStyle name="Normal 11 6 3 3 2" xfId="54486"/>
    <cellStyle name="Normal 11 6 3 3 3" xfId="54487"/>
    <cellStyle name="Normal 11 6 3 4" xfId="54488"/>
    <cellStyle name="Normal 11 6 3 4 2" xfId="54489"/>
    <cellStyle name="Normal 11 6 3 5" xfId="54490"/>
    <cellStyle name="Normal 11 6 3 6" xfId="54491"/>
    <cellStyle name="Normal 11 6 4" xfId="54492"/>
    <cellStyle name="Normal 11 6 4 2" xfId="54493"/>
    <cellStyle name="Normal 11 6 4 2 2" xfId="54494"/>
    <cellStyle name="Normal 11 6 4 2 3" xfId="54495"/>
    <cellStyle name="Normal 11 6 4 3" xfId="54496"/>
    <cellStyle name="Normal 11 6 4 3 2" xfId="54497"/>
    <cellStyle name="Normal 11 6 4 4" xfId="54498"/>
    <cellStyle name="Normal 11 6 4 5" xfId="54499"/>
    <cellStyle name="Normal 11 6 5" xfId="54500"/>
    <cellStyle name="Normal 11 6 5 2" xfId="54501"/>
    <cellStyle name="Normal 11 6 5 3" xfId="54502"/>
    <cellStyle name="Normal 11 6 6" xfId="54503"/>
    <cellStyle name="Normal 11 6 6 2" xfId="54504"/>
    <cellStyle name="Normal 11 6 6 3" xfId="54505"/>
    <cellStyle name="Normal 11 6 7" xfId="54506"/>
    <cellStyle name="Normal 11 6 7 2" xfId="54507"/>
    <cellStyle name="Normal 11 6 8" xfId="54508"/>
    <cellStyle name="Normal 11 6 9" xfId="54509"/>
    <cellStyle name="Normal 11 7" xfId="54510"/>
    <cellStyle name="Normal 11 7 2" xfId="54511"/>
    <cellStyle name="Normal 11 7 2 2" xfId="54512"/>
    <cellStyle name="Normal 11 7 2 2 2" xfId="54513"/>
    <cellStyle name="Normal 11 7 2 2 3" xfId="54514"/>
    <cellStyle name="Normal 11 7 2 3" xfId="54515"/>
    <cellStyle name="Normal 11 7 2 3 2" xfId="54516"/>
    <cellStyle name="Normal 11 7 2 3 3" xfId="54517"/>
    <cellStyle name="Normal 11 7 2 4" xfId="54518"/>
    <cellStyle name="Normal 11 7 2 4 2" xfId="54519"/>
    <cellStyle name="Normal 11 7 2 5" xfId="54520"/>
    <cellStyle name="Normal 11 7 2 6" xfId="54521"/>
    <cellStyle name="Normal 11 7 3" xfId="54522"/>
    <cellStyle name="Normal 11 7 3 2" xfId="54523"/>
    <cellStyle name="Normal 11 7 3 2 2" xfId="54524"/>
    <cellStyle name="Normal 11 7 3 2 3" xfId="54525"/>
    <cellStyle name="Normal 11 7 3 3" xfId="54526"/>
    <cellStyle name="Normal 11 7 3 3 2" xfId="54527"/>
    <cellStyle name="Normal 11 7 3 3 3" xfId="54528"/>
    <cellStyle name="Normal 11 7 3 4" xfId="54529"/>
    <cellStyle name="Normal 11 7 3 4 2" xfId="54530"/>
    <cellStyle name="Normal 11 7 3 5" xfId="54531"/>
    <cellStyle name="Normal 11 7 3 6" xfId="54532"/>
    <cellStyle name="Normal 11 7 4" xfId="54533"/>
    <cellStyle name="Normal 11 7 4 2" xfId="54534"/>
    <cellStyle name="Normal 11 7 4 2 2" xfId="54535"/>
    <cellStyle name="Normal 11 7 4 2 3" xfId="54536"/>
    <cellStyle name="Normal 11 7 4 3" xfId="54537"/>
    <cellStyle name="Normal 11 7 4 3 2" xfId="54538"/>
    <cellStyle name="Normal 11 7 4 4" xfId="54539"/>
    <cellStyle name="Normal 11 7 4 5" xfId="54540"/>
    <cellStyle name="Normal 11 7 5" xfId="54541"/>
    <cellStyle name="Normal 11 7 5 2" xfId="54542"/>
    <cellStyle name="Normal 11 7 5 3" xfId="54543"/>
    <cellStyle name="Normal 11 7 6" xfId="54544"/>
    <cellStyle name="Normal 11 7 6 2" xfId="54545"/>
    <cellStyle name="Normal 11 7 6 3" xfId="54546"/>
    <cellStyle name="Normal 11 7 7" xfId="54547"/>
    <cellStyle name="Normal 11 7 7 2" xfId="54548"/>
    <cellStyle name="Normal 11 7 8" xfId="54549"/>
    <cellStyle name="Normal 11 7 9" xfId="54550"/>
    <cellStyle name="Normal 11 8" xfId="54551"/>
    <cellStyle name="Normal 11 8 2" xfId="54552"/>
    <cellStyle name="Normal 11 8 2 2" xfId="54553"/>
    <cellStyle name="Normal 11 8 2 3" xfId="54554"/>
    <cellStyle name="Normal 11 8 3" xfId="54555"/>
    <cellStyle name="Normal 11 8 3 2" xfId="54556"/>
    <cellStyle name="Normal 11 8 3 3" xfId="54557"/>
    <cellStyle name="Normal 11 8 4" xfId="54558"/>
    <cellStyle name="Normal 11 8 4 2" xfId="54559"/>
    <cellStyle name="Normal 11 8 5" xfId="54560"/>
    <cellStyle name="Normal 11 8 6" xfId="54561"/>
    <cellStyle name="Normal 11 9" xfId="54562"/>
    <cellStyle name="Normal 11 9 2" xfId="54563"/>
    <cellStyle name="Normal 11 9 2 2" xfId="54564"/>
    <cellStyle name="Normal 11 9 2 3" xfId="54565"/>
    <cellStyle name="Normal 11 9 3" xfId="54566"/>
    <cellStyle name="Normal 11 9 3 2" xfId="54567"/>
    <cellStyle name="Normal 11 9 3 3" xfId="54568"/>
    <cellStyle name="Normal 11 9 4" xfId="54569"/>
    <cellStyle name="Normal 11 9 4 2" xfId="54570"/>
    <cellStyle name="Normal 11 9 5" xfId="54571"/>
    <cellStyle name="Normal 11 9 6" xfId="54572"/>
    <cellStyle name="Normal 12" xfId="4401"/>
    <cellStyle name="Normal 12 2" xfId="4402"/>
    <cellStyle name="Normal 12 2 2" xfId="4403"/>
    <cellStyle name="Normal 12 2 2 2" xfId="4404"/>
    <cellStyle name="Normal 12 2 2 2 2" xfId="4405"/>
    <cellStyle name="Normal 12 2 2 2 2 2" xfId="4406"/>
    <cellStyle name="Normal 12 2 2 2 2 2 2" xfId="4407"/>
    <cellStyle name="Normal 12 2 2 2 2 3" xfId="4408"/>
    <cellStyle name="Normal 12 2 2 2 3" xfId="4409"/>
    <cellStyle name="Normal 12 2 2 2 3 2" xfId="4410"/>
    <cellStyle name="Normal 12 2 2 2 4" xfId="4411"/>
    <cellStyle name="Normal 12 2 2 2 5" xfId="59490"/>
    <cellStyle name="Normal 12 2 2 3" xfId="4412"/>
    <cellStyle name="Normal 12 2 2 3 2" xfId="4413"/>
    <cellStyle name="Normal 12 2 2 3 2 2" xfId="4414"/>
    <cellStyle name="Normal 12 2 2 3 3" xfId="4415"/>
    <cellStyle name="Normal 12 2 2 4" xfId="4416"/>
    <cellStyle name="Normal 12 2 2 4 2" xfId="4417"/>
    <cellStyle name="Normal 12 2 2 5" xfId="4418"/>
    <cellStyle name="Normal 12 2 2 6" xfId="59491"/>
    <cellStyle name="Normal 12 2 3" xfId="4419"/>
    <cellStyle name="Normal 12 2 3 2" xfId="4420"/>
    <cellStyle name="Normal 12 2 3 2 2" xfId="4421"/>
    <cellStyle name="Normal 12 2 3 2 2 2" xfId="4422"/>
    <cellStyle name="Normal 12 2 3 2 3" xfId="4423"/>
    <cellStyle name="Normal 12 2 3 3" xfId="4424"/>
    <cellStyle name="Normal 12 2 3 3 2" xfId="4425"/>
    <cellStyle name="Normal 12 2 3 4" xfId="4426"/>
    <cellStyle name="Normal 12 2 3 5" xfId="59492"/>
    <cellStyle name="Normal 12 2 4" xfId="4427"/>
    <cellStyle name="Normal 12 2 4 2" xfId="4428"/>
    <cellStyle name="Normal 12 2 4 2 2" xfId="4429"/>
    <cellStyle name="Normal 12 2 4 3" xfId="4430"/>
    <cellStyle name="Normal 12 2 5" xfId="4431"/>
    <cellStyle name="Normal 12 2 5 2" xfId="4432"/>
    <cellStyle name="Normal 12 2 6" xfId="4433"/>
    <cellStyle name="Normal 12 2 7" xfId="4434"/>
    <cellStyle name="Normal 12 3" xfId="4435"/>
    <cellStyle name="Normal 12 3 2" xfId="4436"/>
    <cellStyle name="Normal 12 3 2 2" xfId="4437"/>
    <cellStyle name="Normal 12 3 2 2 2" xfId="4438"/>
    <cellStyle name="Normal 12 3 2 2 2 2" xfId="4439"/>
    <cellStyle name="Normal 12 3 2 2 3" xfId="4440"/>
    <cellStyle name="Normal 12 3 2 3" xfId="4441"/>
    <cellStyle name="Normal 12 3 2 3 2" xfId="4442"/>
    <cellStyle name="Normal 12 3 2 4" xfId="4443"/>
    <cellStyle name="Normal 12 3 3" xfId="4444"/>
    <cellStyle name="Normal 12 3 3 2" xfId="4445"/>
    <cellStyle name="Normal 12 3 3 2 2" xfId="4446"/>
    <cellStyle name="Normal 12 3 3 3" xfId="4447"/>
    <cellStyle name="Normal 12 3 4" xfId="4448"/>
    <cellStyle name="Normal 12 3 4 2" xfId="4449"/>
    <cellStyle name="Normal 12 3 5" xfId="4450"/>
    <cellStyle name="Normal 12 3 6" xfId="59493"/>
    <cellStyle name="Normal 12 4" xfId="4451"/>
    <cellStyle name="Normal 12 4 2" xfId="4452"/>
    <cellStyle name="Normal 12 4 2 2" xfId="4453"/>
    <cellStyle name="Normal 12 4 2 2 2" xfId="4454"/>
    <cellStyle name="Normal 12 4 2 3" xfId="4455"/>
    <cellStyle name="Normal 12 4 3" xfId="4456"/>
    <cellStyle name="Normal 12 4 3 2" xfId="4457"/>
    <cellStyle name="Normal 12 4 4" xfId="4458"/>
    <cellStyle name="Normal 12 5" xfId="4459"/>
    <cellStyle name="Normal 12 5 2" xfId="4460"/>
    <cellStyle name="Normal 12 5 2 2" xfId="4461"/>
    <cellStyle name="Normal 12 5 3" xfId="4462"/>
    <cellStyle name="Normal 12 6" xfId="4463"/>
    <cellStyle name="Normal 12 6 2" xfId="4464"/>
    <cellStyle name="Normal 12 7" xfId="4465"/>
    <cellStyle name="Normal 12 8" xfId="4466"/>
    <cellStyle name="Normal 13" xfId="4467"/>
    <cellStyle name="Normal 13 10" xfId="54573"/>
    <cellStyle name="Normal 13 10 2" xfId="54574"/>
    <cellStyle name="Normal 13 10 3" xfId="54575"/>
    <cellStyle name="Normal 13 11" xfId="54576"/>
    <cellStyle name="Normal 13 11 2" xfId="54577"/>
    <cellStyle name="Normal 13 11 3" xfId="54578"/>
    <cellStyle name="Normal 13 12" xfId="54579"/>
    <cellStyle name="Normal 13 12 2" xfId="54580"/>
    <cellStyle name="Normal 13 13" xfId="54581"/>
    <cellStyle name="Normal 13 14" xfId="54582"/>
    <cellStyle name="Normal 13 15" xfId="54583"/>
    <cellStyle name="Normal 13 2" xfId="4468"/>
    <cellStyle name="Normal 13 2 10" xfId="54584"/>
    <cellStyle name="Normal 13 2 10 2" xfId="54585"/>
    <cellStyle name="Normal 13 2 10 3" xfId="54586"/>
    <cellStyle name="Normal 13 2 11" xfId="54587"/>
    <cellStyle name="Normal 13 2 11 2" xfId="54588"/>
    <cellStyle name="Normal 13 2 12" xfId="54589"/>
    <cellStyle name="Normal 13 2 13" xfId="54590"/>
    <cellStyle name="Normal 13 2 14" xfId="54591"/>
    <cellStyle name="Normal 13 2 2" xfId="9221"/>
    <cellStyle name="Normal 13 2 2 10" xfId="54592"/>
    <cellStyle name="Normal 13 2 2 10 2" xfId="54593"/>
    <cellStyle name="Normal 13 2 2 11" xfId="54594"/>
    <cellStyle name="Normal 13 2 2 12" xfId="54595"/>
    <cellStyle name="Normal 13 2 2 13" xfId="54596"/>
    <cellStyle name="Normal 13 2 2 2" xfId="9222"/>
    <cellStyle name="Normal 13 2 2 2 10" xfId="54597"/>
    <cellStyle name="Normal 13 2 2 2 2" xfId="54598"/>
    <cellStyle name="Normal 13 2 2 2 2 2" xfId="54599"/>
    <cellStyle name="Normal 13 2 2 2 2 2 2" xfId="54600"/>
    <cellStyle name="Normal 13 2 2 2 2 2 2 2" xfId="54601"/>
    <cellStyle name="Normal 13 2 2 2 2 2 2 3" xfId="54602"/>
    <cellStyle name="Normal 13 2 2 2 2 2 3" xfId="54603"/>
    <cellStyle name="Normal 13 2 2 2 2 2 3 2" xfId="54604"/>
    <cellStyle name="Normal 13 2 2 2 2 2 3 3" xfId="54605"/>
    <cellStyle name="Normal 13 2 2 2 2 2 4" xfId="54606"/>
    <cellStyle name="Normal 13 2 2 2 2 2 4 2" xfId="54607"/>
    <cellStyle name="Normal 13 2 2 2 2 2 5" xfId="54608"/>
    <cellStyle name="Normal 13 2 2 2 2 2 6" xfId="54609"/>
    <cellStyle name="Normal 13 2 2 2 2 3" xfId="54610"/>
    <cellStyle name="Normal 13 2 2 2 2 3 2" xfId="54611"/>
    <cellStyle name="Normal 13 2 2 2 2 3 2 2" xfId="54612"/>
    <cellStyle name="Normal 13 2 2 2 2 3 2 3" xfId="54613"/>
    <cellStyle name="Normal 13 2 2 2 2 3 3" xfId="54614"/>
    <cellStyle name="Normal 13 2 2 2 2 3 3 2" xfId="54615"/>
    <cellStyle name="Normal 13 2 2 2 2 3 3 3" xfId="54616"/>
    <cellStyle name="Normal 13 2 2 2 2 3 4" xfId="54617"/>
    <cellStyle name="Normal 13 2 2 2 2 3 4 2" xfId="54618"/>
    <cellStyle name="Normal 13 2 2 2 2 3 5" xfId="54619"/>
    <cellStyle name="Normal 13 2 2 2 2 3 6" xfId="54620"/>
    <cellStyle name="Normal 13 2 2 2 2 4" xfId="54621"/>
    <cellStyle name="Normal 13 2 2 2 2 4 2" xfId="54622"/>
    <cellStyle name="Normal 13 2 2 2 2 4 2 2" xfId="54623"/>
    <cellStyle name="Normal 13 2 2 2 2 4 2 3" xfId="54624"/>
    <cellStyle name="Normal 13 2 2 2 2 4 3" xfId="54625"/>
    <cellStyle name="Normal 13 2 2 2 2 4 3 2" xfId="54626"/>
    <cellStyle name="Normal 13 2 2 2 2 4 4" xfId="54627"/>
    <cellStyle name="Normal 13 2 2 2 2 4 5" xfId="54628"/>
    <cellStyle name="Normal 13 2 2 2 2 5" xfId="54629"/>
    <cellStyle name="Normal 13 2 2 2 2 5 2" xfId="54630"/>
    <cellStyle name="Normal 13 2 2 2 2 5 3" xfId="54631"/>
    <cellStyle name="Normal 13 2 2 2 2 6" xfId="54632"/>
    <cellStyle name="Normal 13 2 2 2 2 6 2" xfId="54633"/>
    <cellStyle name="Normal 13 2 2 2 2 6 3" xfId="54634"/>
    <cellStyle name="Normal 13 2 2 2 2 7" xfId="54635"/>
    <cellStyle name="Normal 13 2 2 2 2 7 2" xfId="54636"/>
    <cellStyle name="Normal 13 2 2 2 2 8" xfId="54637"/>
    <cellStyle name="Normal 13 2 2 2 2 9" xfId="54638"/>
    <cellStyle name="Normal 13 2 2 2 3" xfId="54639"/>
    <cellStyle name="Normal 13 2 2 2 3 2" xfId="54640"/>
    <cellStyle name="Normal 13 2 2 2 3 2 2" xfId="54641"/>
    <cellStyle name="Normal 13 2 2 2 3 2 3" xfId="54642"/>
    <cellStyle name="Normal 13 2 2 2 3 3" xfId="54643"/>
    <cellStyle name="Normal 13 2 2 2 3 3 2" xfId="54644"/>
    <cellStyle name="Normal 13 2 2 2 3 3 3" xfId="54645"/>
    <cellStyle name="Normal 13 2 2 2 3 4" xfId="54646"/>
    <cellStyle name="Normal 13 2 2 2 3 4 2" xfId="54647"/>
    <cellStyle name="Normal 13 2 2 2 3 5" xfId="54648"/>
    <cellStyle name="Normal 13 2 2 2 3 6" xfId="54649"/>
    <cellStyle name="Normal 13 2 2 2 4" xfId="54650"/>
    <cellStyle name="Normal 13 2 2 2 4 2" xfId="54651"/>
    <cellStyle name="Normal 13 2 2 2 4 2 2" xfId="54652"/>
    <cellStyle name="Normal 13 2 2 2 4 2 3" xfId="54653"/>
    <cellStyle name="Normal 13 2 2 2 4 3" xfId="54654"/>
    <cellStyle name="Normal 13 2 2 2 4 3 2" xfId="54655"/>
    <cellStyle name="Normal 13 2 2 2 4 3 3" xfId="54656"/>
    <cellStyle name="Normal 13 2 2 2 4 4" xfId="54657"/>
    <cellStyle name="Normal 13 2 2 2 4 4 2" xfId="54658"/>
    <cellStyle name="Normal 13 2 2 2 4 5" xfId="54659"/>
    <cellStyle name="Normal 13 2 2 2 4 6" xfId="54660"/>
    <cellStyle name="Normal 13 2 2 2 5" xfId="54661"/>
    <cellStyle name="Normal 13 2 2 2 5 2" xfId="54662"/>
    <cellStyle name="Normal 13 2 2 2 5 2 2" xfId="54663"/>
    <cellStyle name="Normal 13 2 2 2 5 2 3" xfId="54664"/>
    <cellStyle name="Normal 13 2 2 2 5 3" xfId="54665"/>
    <cellStyle name="Normal 13 2 2 2 5 3 2" xfId="54666"/>
    <cellStyle name="Normal 13 2 2 2 5 4" xfId="54667"/>
    <cellStyle name="Normal 13 2 2 2 5 5" xfId="54668"/>
    <cellStyle name="Normal 13 2 2 2 6" xfId="54669"/>
    <cellStyle name="Normal 13 2 2 2 6 2" xfId="54670"/>
    <cellStyle name="Normal 13 2 2 2 6 3" xfId="54671"/>
    <cellStyle name="Normal 13 2 2 2 7" xfId="54672"/>
    <cellStyle name="Normal 13 2 2 2 7 2" xfId="54673"/>
    <cellStyle name="Normal 13 2 2 2 7 3" xfId="54674"/>
    <cellStyle name="Normal 13 2 2 2 8" xfId="54675"/>
    <cellStyle name="Normal 13 2 2 2 8 2" xfId="54676"/>
    <cellStyle name="Normal 13 2 2 2 9" xfId="54677"/>
    <cellStyle name="Normal 13 2 2 3" xfId="54678"/>
    <cellStyle name="Normal 13 2 2 3 2" xfId="54679"/>
    <cellStyle name="Normal 13 2 2 3 2 2" xfId="54680"/>
    <cellStyle name="Normal 13 2 2 3 2 2 2" xfId="54681"/>
    <cellStyle name="Normal 13 2 2 3 2 2 3" xfId="54682"/>
    <cellStyle name="Normal 13 2 2 3 2 3" xfId="54683"/>
    <cellStyle name="Normal 13 2 2 3 2 3 2" xfId="54684"/>
    <cellStyle name="Normal 13 2 2 3 2 3 3" xfId="54685"/>
    <cellStyle name="Normal 13 2 2 3 2 4" xfId="54686"/>
    <cellStyle name="Normal 13 2 2 3 2 4 2" xfId="54687"/>
    <cellStyle name="Normal 13 2 2 3 2 5" xfId="54688"/>
    <cellStyle name="Normal 13 2 2 3 2 6" xfId="54689"/>
    <cellStyle name="Normal 13 2 2 3 3" xfId="54690"/>
    <cellStyle name="Normal 13 2 2 3 3 2" xfId="54691"/>
    <cellStyle name="Normal 13 2 2 3 3 2 2" xfId="54692"/>
    <cellStyle name="Normal 13 2 2 3 3 2 3" xfId="54693"/>
    <cellStyle name="Normal 13 2 2 3 3 3" xfId="54694"/>
    <cellStyle name="Normal 13 2 2 3 3 3 2" xfId="54695"/>
    <cellStyle name="Normal 13 2 2 3 3 3 3" xfId="54696"/>
    <cellStyle name="Normal 13 2 2 3 3 4" xfId="54697"/>
    <cellStyle name="Normal 13 2 2 3 3 4 2" xfId="54698"/>
    <cellStyle name="Normal 13 2 2 3 3 5" xfId="54699"/>
    <cellStyle name="Normal 13 2 2 3 3 6" xfId="54700"/>
    <cellStyle name="Normal 13 2 2 3 4" xfId="54701"/>
    <cellStyle name="Normal 13 2 2 3 4 2" xfId="54702"/>
    <cellStyle name="Normal 13 2 2 3 4 2 2" xfId="54703"/>
    <cellStyle name="Normal 13 2 2 3 4 2 3" xfId="54704"/>
    <cellStyle name="Normal 13 2 2 3 4 3" xfId="54705"/>
    <cellStyle name="Normal 13 2 2 3 4 3 2" xfId="54706"/>
    <cellStyle name="Normal 13 2 2 3 4 4" xfId="54707"/>
    <cellStyle name="Normal 13 2 2 3 4 5" xfId="54708"/>
    <cellStyle name="Normal 13 2 2 3 5" xfId="54709"/>
    <cellStyle name="Normal 13 2 2 3 5 2" xfId="54710"/>
    <cellStyle name="Normal 13 2 2 3 5 3" xfId="54711"/>
    <cellStyle name="Normal 13 2 2 3 6" xfId="54712"/>
    <cellStyle name="Normal 13 2 2 3 6 2" xfId="54713"/>
    <cellStyle name="Normal 13 2 2 3 6 3" xfId="54714"/>
    <cellStyle name="Normal 13 2 2 3 7" xfId="54715"/>
    <cellStyle name="Normal 13 2 2 3 7 2" xfId="54716"/>
    <cellStyle name="Normal 13 2 2 3 8" xfId="54717"/>
    <cellStyle name="Normal 13 2 2 3 9" xfId="54718"/>
    <cellStyle name="Normal 13 2 2 4" xfId="54719"/>
    <cellStyle name="Normal 13 2 2 4 2" xfId="54720"/>
    <cellStyle name="Normal 13 2 2 4 2 2" xfId="54721"/>
    <cellStyle name="Normal 13 2 2 4 2 2 2" xfId="54722"/>
    <cellStyle name="Normal 13 2 2 4 2 2 3" xfId="54723"/>
    <cellStyle name="Normal 13 2 2 4 2 3" xfId="54724"/>
    <cellStyle name="Normal 13 2 2 4 2 3 2" xfId="54725"/>
    <cellStyle name="Normal 13 2 2 4 2 3 3" xfId="54726"/>
    <cellStyle name="Normal 13 2 2 4 2 4" xfId="54727"/>
    <cellStyle name="Normal 13 2 2 4 2 4 2" xfId="54728"/>
    <cellStyle name="Normal 13 2 2 4 2 5" xfId="54729"/>
    <cellStyle name="Normal 13 2 2 4 2 6" xfId="54730"/>
    <cellStyle name="Normal 13 2 2 4 3" xfId="54731"/>
    <cellStyle name="Normal 13 2 2 4 3 2" xfId="54732"/>
    <cellStyle name="Normal 13 2 2 4 3 2 2" xfId="54733"/>
    <cellStyle name="Normal 13 2 2 4 3 2 3" xfId="54734"/>
    <cellStyle name="Normal 13 2 2 4 3 3" xfId="54735"/>
    <cellStyle name="Normal 13 2 2 4 3 3 2" xfId="54736"/>
    <cellStyle name="Normal 13 2 2 4 3 3 3" xfId="54737"/>
    <cellStyle name="Normal 13 2 2 4 3 4" xfId="54738"/>
    <cellStyle name="Normal 13 2 2 4 3 4 2" xfId="54739"/>
    <cellStyle name="Normal 13 2 2 4 3 5" xfId="54740"/>
    <cellStyle name="Normal 13 2 2 4 3 6" xfId="54741"/>
    <cellStyle name="Normal 13 2 2 4 4" xfId="54742"/>
    <cellStyle name="Normal 13 2 2 4 4 2" xfId="54743"/>
    <cellStyle name="Normal 13 2 2 4 4 2 2" xfId="54744"/>
    <cellStyle name="Normal 13 2 2 4 4 2 3" xfId="54745"/>
    <cellStyle name="Normal 13 2 2 4 4 3" xfId="54746"/>
    <cellStyle name="Normal 13 2 2 4 4 3 2" xfId="54747"/>
    <cellStyle name="Normal 13 2 2 4 4 4" xfId="54748"/>
    <cellStyle name="Normal 13 2 2 4 4 5" xfId="54749"/>
    <cellStyle name="Normal 13 2 2 4 5" xfId="54750"/>
    <cellStyle name="Normal 13 2 2 4 5 2" xfId="54751"/>
    <cellStyle name="Normal 13 2 2 4 5 3" xfId="54752"/>
    <cellStyle name="Normal 13 2 2 4 6" xfId="54753"/>
    <cellStyle name="Normal 13 2 2 4 6 2" xfId="54754"/>
    <cellStyle name="Normal 13 2 2 4 6 3" xfId="54755"/>
    <cellStyle name="Normal 13 2 2 4 7" xfId="54756"/>
    <cellStyle name="Normal 13 2 2 4 7 2" xfId="54757"/>
    <cellStyle name="Normal 13 2 2 4 8" xfId="54758"/>
    <cellStyle name="Normal 13 2 2 4 9" xfId="54759"/>
    <cellStyle name="Normal 13 2 2 5" xfId="54760"/>
    <cellStyle name="Normal 13 2 2 5 2" xfId="54761"/>
    <cellStyle name="Normal 13 2 2 5 2 2" xfId="54762"/>
    <cellStyle name="Normal 13 2 2 5 2 3" xfId="54763"/>
    <cellStyle name="Normal 13 2 2 5 3" xfId="54764"/>
    <cellStyle name="Normal 13 2 2 5 3 2" xfId="54765"/>
    <cellStyle name="Normal 13 2 2 5 3 3" xfId="54766"/>
    <cellStyle name="Normal 13 2 2 5 4" xfId="54767"/>
    <cellStyle name="Normal 13 2 2 5 4 2" xfId="54768"/>
    <cellStyle name="Normal 13 2 2 5 5" xfId="54769"/>
    <cellStyle name="Normal 13 2 2 5 6" xfId="54770"/>
    <cellStyle name="Normal 13 2 2 6" xfId="54771"/>
    <cellStyle name="Normal 13 2 2 6 2" xfId="54772"/>
    <cellStyle name="Normal 13 2 2 6 2 2" xfId="54773"/>
    <cellStyle name="Normal 13 2 2 6 2 3" xfId="54774"/>
    <cellStyle name="Normal 13 2 2 6 3" xfId="54775"/>
    <cellStyle name="Normal 13 2 2 6 3 2" xfId="54776"/>
    <cellStyle name="Normal 13 2 2 6 3 3" xfId="54777"/>
    <cellStyle name="Normal 13 2 2 6 4" xfId="54778"/>
    <cellStyle name="Normal 13 2 2 6 4 2" xfId="54779"/>
    <cellStyle name="Normal 13 2 2 6 5" xfId="54780"/>
    <cellStyle name="Normal 13 2 2 6 6" xfId="54781"/>
    <cellStyle name="Normal 13 2 2 7" xfId="54782"/>
    <cellStyle name="Normal 13 2 2 7 2" xfId="54783"/>
    <cellStyle name="Normal 13 2 2 7 2 2" xfId="54784"/>
    <cellStyle name="Normal 13 2 2 7 2 3" xfId="54785"/>
    <cellStyle name="Normal 13 2 2 7 3" xfId="54786"/>
    <cellStyle name="Normal 13 2 2 7 3 2" xfId="54787"/>
    <cellStyle name="Normal 13 2 2 7 4" xfId="54788"/>
    <cellStyle name="Normal 13 2 2 7 5" xfId="54789"/>
    <cellStyle name="Normal 13 2 2 8" xfId="54790"/>
    <cellStyle name="Normal 13 2 2 8 2" xfId="54791"/>
    <cellStyle name="Normal 13 2 2 8 3" xfId="54792"/>
    <cellStyle name="Normal 13 2 2 9" xfId="54793"/>
    <cellStyle name="Normal 13 2 2 9 2" xfId="54794"/>
    <cellStyle name="Normal 13 2 2 9 3" xfId="54795"/>
    <cellStyle name="Normal 13 2 3" xfId="9223"/>
    <cellStyle name="Normal 13 2 3 10" xfId="54796"/>
    <cellStyle name="Normal 13 2 3 2" xfId="54797"/>
    <cellStyle name="Normal 13 2 3 2 2" xfId="54798"/>
    <cellStyle name="Normal 13 2 3 2 2 2" xfId="54799"/>
    <cellStyle name="Normal 13 2 3 2 2 2 2" xfId="54800"/>
    <cellStyle name="Normal 13 2 3 2 2 2 3" xfId="54801"/>
    <cellStyle name="Normal 13 2 3 2 2 3" xfId="54802"/>
    <cellStyle name="Normal 13 2 3 2 2 3 2" xfId="54803"/>
    <cellStyle name="Normal 13 2 3 2 2 3 3" xfId="54804"/>
    <cellStyle name="Normal 13 2 3 2 2 4" xfId="54805"/>
    <cellStyle name="Normal 13 2 3 2 2 4 2" xfId="54806"/>
    <cellStyle name="Normal 13 2 3 2 2 5" xfId="54807"/>
    <cellStyle name="Normal 13 2 3 2 2 6" xfId="54808"/>
    <cellStyle name="Normal 13 2 3 2 3" xfId="54809"/>
    <cellStyle name="Normal 13 2 3 2 3 2" xfId="54810"/>
    <cellStyle name="Normal 13 2 3 2 3 2 2" xfId="54811"/>
    <cellStyle name="Normal 13 2 3 2 3 2 3" xfId="54812"/>
    <cellStyle name="Normal 13 2 3 2 3 3" xfId="54813"/>
    <cellStyle name="Normal 13 2 3 2 3 3 2" xfId="54814"/>
    <cellStyle name="Normal 13 2 3 2 3 3 3" xfId="54815"/>
    <cellStyle name="Normal 13 2 3 2 3 4" xfId="54816"/>
    <cellStyle name="Normal 13 2 3 2 3 4 2" xfId="54817"/>
    <cellStyle name="Normal 13 2 3 2 3 5" xfId="54818"/>
    <cellStyle name="Normal 13 2 3 2 3 6" xfId="54819"/>
    <cellStyle name="Normal 13 2 3 2 4" xfId="54820"/>
    <cellStyle name="Normal 13 2 3 2 4 2" xfId="54821"/>
    <cellStyle name="Normal 13 2 3 2 4 2 2" xfId="54822"/>
    <cellStyle name="Normal 13 2 3 2 4 2 3" xfId="54823"/>
    <cellStyle name="Normal 13 2 3 2 4 3" xfId="54824"/>
    <cellStyle name="Normal 13 2 3 2 4 3 2" xfId="54825"/>
    <cellStyle name="Normal 13 2 3 2 4 4" xfId="54826"/>
    <cellStyle name="Normal 13 2 3 2 4 5" xfId="54827"/>
    <cellStyle name="Normal 13 2 3 2 5" xfId="54828"/>
    <cellStyle name="Normal 13 2 3 2 5 2" xfId="54829"/>
    <cellStyle name="Normal 13 2 3 2 5 3" xfId="54830"/>
    <cellStyle name="Normal 13 2 3 2 6" xfId="54831"/>
    <cellStyle name="Normal 13 2 3 2 6 2" xfId="54832"/>
    <cellStyle name="Normal 13 2 3 2 6 3" xfId="54833"/>
    <cellStyle name="Normal 13 2 3 2 7" xfId="54834"/>
    <cellStyle name="Normal 13 2 3 2 7 2" xfId="54835"/>
    <cellStyle name="Normal 13 2 3 2 8" xfId="54836"/>
    <cellStyle name="Normal 13 2 3 2 9" xfId="54837"/>
    <cellStyle name="Normal 13 2 3 3" xfId="54838"/>
    <cellStyle name="Normal 13 2 3 3 2" xfId="54839"/>
    <cellStyle name="Normal 13 2 3 3 2 2" xfId="54840"/>
    <cellStyle name="Normal 13 2 3 3 2 3" xfId="54841"/>
    <cellStyle name="Normal 13 2 3 3 3" xfId="54842"/>
    <cellStyle name="Normal 13 2 3 3 3 2" xfId="54843"/>
    <cellStyle name="Normal 13 2 3 3 3 3" xfId="54844"/>
    <cellStyle name="Normal 13 2 3 3 4" xfId="54845"/>
    <cellStyle name="Normal 13 2 3 3 4 2" xfId="54846"/>
    <cellStyle name="Normal 13 2 3 3 5" xfId="54847"/>
    <cellStyle name="Normal 13 2 3 3 6" xfId="54848"/>
    <cellStyle name="Normal 13 2 3 4" xfId="54849"/>
    <cellStyle name="Normal 13 2 3 4 2" xfId="54850"/>
    <cellStyle name="Normal 13 2 3 4 2 2" xfId="54851"/>
    <cellStyle name="Normal 13 2 3 4 2 3" xfId="54852"/>
    <cellStyle name="Normal 13 2 3 4 3" xfId="54853"/>
    <cellStyle name="Normal 13 2 3 4 3 2" xfId="54854"/>
    <cellStyle name="Normal 13 2 3 4 3 3" xfId="54855"/>
    <cellStyle name="Normal 13 2 3 4 4" xfId="54856"/>
    <cellStyle name="Normal 13 2 3 4 4 2" xfId="54857"/>
    <cellStyle name="Normal 13 2 3 4 5" xfId="54858"/>
    <cellStyle name="Normal 13 2 3 4 6" xfId="54859"/>
    <cellStyle name="Normal 13 2 3 5" xfId="54860"/>
    <cellStyle name="Normal 13 2 3 5 2" xfId="54861"/>
    <cellStyle name="Normal 13 2 3 5 2 2" xfId="54862"/>
    <cellStyle name="Normal 13 2 3 5 2 3" xfId="54863"/>
    <cellStyle name="Normal 13 2 3 5 3" xfId="54864"/>
    <cellStyle name="Normal 13 2 3 5 3 2" xfId="54865"/>
    <cellStyle name="Normal 13 2 3 5 4" xfId="54866"/>
    <cellStyle name="Normal 13 2 3 5 5" xfId="54867"/>
    <cellStyle name="Normal 13 2 3 6" xfId="54868"/>
    <cellStyle name="Normal 13 2 3 6 2" xfId="54869"/>
    <cellStyle name="Normal 13 2 3 6 3" xfId="54870"/>
    <cellStyle name="Normal 13 2 3 7" xfId="54871"/>
    <cellStyle name="Normal 13 2 3 7 2" xfId="54872"/>
    <cellStyle name="Normal 13 2 3 7 3" xfId="54873"/>
    <cellStyle name="Normal 13 2 3 8" xfId="54874"/>
    <cellStyle name="Normal 13 2 3 8 2" xfId="54875"/>
    <cellStyle name="Normal 13 2 3 9" xfId="54876"/>
    <cellStyle name="Normal 13 2 4" xfId="9224"/>
    <cellStyle name="Normal 13 2 4 2" xfId="54877"/>
    <cellStyle name="Normal 13 2 4 2 2" xfId="54878"/>
    <cellStyle name="Normal 13 2 4 2 2 2" xfId="54879"/>
    <cellStyle name="Normal 13 2 4 2 2 3" xfId="54880"/>
    <cellStyle name="Normal 13 2 4 2 3" xfId="54881"/>
    <cellStyle name="Normal 13 2 4 2 3 2" xfId="54882"/>
    <cellStyle name="Normal 13 2 4 2 3 3" xfId="54883"/>
    <cellStyle name="Normal 13 2 4 2 4" xfId="54884"/>
    <cellStyle name="Normal 13 2 4 2 4 2" xfId="54885"/>
    <cellStyle name="Normal 13 2 4 2 5" xfId="54886"/>
    <cellStyle name="Normal 13 2 4 2 6" xfId="54887"/>
    <cellStyle name="Normal 13 2 4 3" xfId="54888"/>
    <cellStyle name="Normal 13 2 4 3 2" xfId="54889"/>
    <cellStyle name="Normal 13 2 4 3 2 2" xfId="54890"/>
    <cellStyle name="Normal 13 2 4 3 2 3" xfId="54891"/>
    <cellStyle name="Normal 13 2 4 3 3" xfId="54892"/>
    <cellStyle name="Normal 13 2 4 3 3 2" xfId="54893"/>
    <cellStyle name="Normal 13 2 4 3 3 3" xfId="54894"/>
    <cellStyle name="Normal 13 2 4 3 4" xfId="54895"/>
    <cellStyle name="Normal 13 2 4 3 4 2" xfId="54896"/>
    <cellStyle name="Normal 13 2 4 3 5" xfId="54897"/>
    <cellStyle name="Normal 13 2 4 3 6" xfId="54898"/>
    <cellStyle name="Normal 13 2 4 4" xfId="54899"/>
    <cellStyle name="Normal 13 2 4 4 2" xfId="54900"/>
    <cellStyle name="Normal 13 2 4 4 2 2" xfId="54901"/>
    <cellStyle name="Normal 13 2 4 4 2 3" xfId="54902"/>
    <cellStyle name="Normal 13 2 4 4 3" xfId="54903"/>
    <cellStyle name="Normal 13 2 4 4 3 2" xfId="54904"/>
    <cellStyle name="Normal 13 2 4 4 4" xfId="54905"/>
    <cellStyle name="Normal 13 2 4 4 5" xfId="54906"/>
    <cellStyle name="Normal 13 2 4 5" xfId="54907"/>
    <cellStyle name="Normal 13 2 4 5 2" xfId="54908"/>
    <cellStyle name="Normal 13 2 4 5 3" xfId="54909"/>
    <cellStyle name="Normal 13 2 4 6" xfId="54910"/>
    <cellStyle name="Normal 13 2 4 6 2" xfId="54911"/>
    <cellStyle name="Normal 13 2 4 6 3" xfId="54912"/>
    <cellStyle name="Normal 13 2 4 7" xfId="54913"/>
    <cellStyle name="Normal 13 2 4 7 2" xfId="54914"/>
    <cellStyle name="Normal 13 2 4 8" xfId="54915"/>
    <cellStyle name="Normal 13 2 4 9" xfId="54916"/>
    <cellStyle name="Normal 13 2 5" xfId="54917"/>
    <cellStyle name="Normal 13 2 5 2" xfId="54918"/>
    <cellStyle name="Normal 13 2 5 2 2" xfId="54919"/>
    <cellStyle name="Normal 13 2 5 2 2 2" xfId="54920"/>
    <cellStyle name="Normal 13 2 5 2 2 3" xfId="54921"/>
    <cellStyle name="Normal 13 2 5 2 3" xfId="54922"/>
    <cellStyle name="Normal 13 2 5 2 3 2" xfId="54923"/>
    <cellStyle name="Normal 13 2 5 2 3 3" xfId="54924"/>
    <cellStyle name="Normal 13 2 5 2 4" xfId="54925"/>
    <cellStyle name="Normal 13 2 5 2 4 2" xfId="54926"/>
    <cellStyle name="Normal 13 2 5 2 5" xfId="54927"/>
    <cellStyle name="Normal 13 2 5 2 6" xfId="54928"/>
    <cellStyle name="Normal 13 2 5 3" xfId="54929"/>
    <cellStyle name="Normal 13 2 5 3 2" xfId="54930"/>
    <cellStyle name="Normal 13 2 5 3 2 2" xfId="54931"/>
    <cellStyle name="Normal 13 2 5 3 2 3" xfId="54932"/>
    <cellStyle name="Normal 13 2 5 3 3" xfId="54933"/>
    <cellStyle name="Normal 13 2 5 3 3 2" xfId="54934"/>
    <cellStyle name="Normal 13 2 5 3 3 3" xfId="54935"/>
    <cellStyle name="Normal 13 2 5 3 4" xfId="54936"/>
    <cellStyle name="Normal 13 2 5 3 4 2" xfId="54937"/>
    <cellStyle name="Normal 13 2 5 3 5" xfId="54938"/>
    <cellStyle name="Normal 13 2 5 3 6" xfId="54939"/>
    <cellStyle name="Normal 13 2 5 4" xfId="54940"/>
    <cellStyle name="Normal 13 2 5 4 2" xfId="54941"/>
    <cellStyle name="Normal 13 2 5 4 2 2" xfId="54942"/>
    <cellStyle name="Normal 13 2 5 4 2 3" xfId="54943"/>
    <cellStyle name="Normal 13 2 5 4 3" xfId="54944"/>
    <cellStyle name="Normal 13 2 5 4 3 2" xfId="54945"/>
    <cellStyle name="Normal 13 2 5 4 4" xfId="54946"/>
    <cellStyle name="Normal 13 2 5 4 5" xfId="54947"/>
    <cellStyle name="Normal 13 2 5 5" xfId="54948"/>
    <cellStyle name="Normal 13 2 5 5 2" xfId="54949"/>
    <cellStyle name="Normal 13 2 5 5 3" xfId="54950"/>
    <cellStyle name="Normal 13 2 5 6" xfId="54951"/>
    <cellStyle name="Normal 13 2 5 6 2" xfId="54952"/>
    <cellStyle name="Normal 13 2 5 6 3" xfId="54953"/>
    <cellStyle name="Normal 13 2 5 7" xfId="54954"/>
    <cellStyle name="Normal 13 2 5 7 2" xfId="54955"/>
    <cellStyle name="Normal 13 2 5 8" xfId="54956"/>
    <cellStyle name="Normal 13 2 5 9" xfId="54957"/>
    <cellStyle name="Normal 13 2 6" xfId="54958"/>
    <cellStyle name="Normal 13 2 6 2" xfId="54959"/>
    <cellStyle name="Normal 13 2 6 2 2" xfId="54960"/>
    <cellStyle name="Normal 13 2 6 2 3" xfId="54961"/>
    <cellStyle name="Normal 13 2 6 3" xfId="54962"/>
    <cellStyle name="Normal 13 2 6 3 2" xfId="54963"/>
    <cellStyle name="Normal 13 2 6 3 3" xfId="54964"/>
    <cellStyle name="Normal 13 2 6 4" xfId="54965"/>
    <cellStyle name="Normal 13 2 6 4 2" xfId="54966"/>
    <cellStyle name="Normal 13 2 6 5" xfId="54967"/>
    <cellStyle name="Normal 13 2 6 6" xfId="54968"/>
    <cellStyle name="Normal 13 2 7" xfId="54969"/>
    <cellStyle name="Normal 13 2 7 2" xfId="54970"/>
    <cellStyle name="Normal 13 2 7 2 2" xfId="54971"/>
    <cellStyle name="Normal 13 2 7 2 3" xfId="54972"/>
    <cellStyle name="Normal 13 2 7 3" xfId="54973"/>
    <cellStyle name="Normal 13 2 7 3 2" xfId="54974"/>
    <cellStyle name="Normal 13 2 7 3 3" xfId="54975"/>
    <cellStyle name="Normal 13 2 7 4" xfId="54976"/>
    <cellStyle name="Normal 13 2 7 4 2" xfId="54977"/>
    <cellStyle name="Normal 13 2 7 5" xfId="54978"/>
    <cellStyle name="Normal 13 2 7 6" xfId="54979"/>
    <cellStyle name="Normal 13 2 8" xfId="54980"/>
    <cellStyle name="Normal 13 2 8 2" xfId="54981"/>
    <cellStyle name="Normal 13 2 8 2 2" xfId="54982"/>
    <cellStyle name="Normal 13 2 8 2 3" xfId="54983"/>
    <cellStyle name="Normal 13 2 8 3" xfId="54984"/>
    <cellStyle name="Normal 13 2 8 3 2" xfId="54985"/>
    <cellStyle name="Normal 13 2 8 4" xfId="54986"/>
    <cellStyle name="Normal 13 2 8 5" xfId="54987"/>
    <cellStyle name="Normal 13 2 9" xfId="54988"/>
    <cellStyle name="Normal 13 2 9 2" xfId="54989"/>
    <cellStyle name="Normal 13 2 9 3" xfId="54990"/>
    <cellStyle name="Normal 13 3" xfId="9225"/>
    <cellStyle name="Normal 13 3 10" xfId="54991"/>
    <cellStyle name="Normal 13 3 10 2" xfId="54992"/>
    <cellStyle name="Normal 13 3 11" xfId="54993"/>
    <cellStyle name="Normal 13 3 12" xfId="54994"/>
    <cellStyle name="Normal 13 3 13" xfId="54995"/>
    <cellStyle name="Normal 13 3 2" xfId="9226"/>
    <cellStyle name="Normal 13 3 2 10" xfId="54996"/>
    <cellStyle name="Normal 13 3 2 2" xfId="54997"/>
    <cellStyle name="Normal 13 3 2 2 2" xfId="54998"/>
    <cellStyle name="Normal 13 3 2 2 2 2" xfId="54999"/>
    <cellStyle name="Normal 13 3 2 2 2 2 2" xfId="55000"/>
    <cellStyle name="Normal 13 3 2 2 2 2 3" xfId="55001"/>
    <cellStyle name="Normal 13 3 2 2 2 3" xfId="55002"/>
    <cellStyle name="Normal 13 3 2 2 2 3 2" xfId="55003"/>
    <cellStyle name="Normal 13 3 2 2 2 3 3" xfId="55004"/>
    <cellStyle name="Normal 13 3 2 2 2 4" xfId="55005"/>
    <cellStyle name="Normal 13 3 2 2 2 4 2" xfId="55006"/>
    <cellStyle name="Normal 13 3 2 2 2 5" xfId="55007"/>
    <cellStyle name="Normal 13 3 2 2 2 6" xfId="55008"/>
    <cellStyle name="Normal 13 3 2 2 3" xfId="55009"/>
    <cellStyle name="Normal 13 3 2 2 3 2" xfId="55010"/>
    <cellStyle name="Normal 13 3 2 2 3 2 2" xfId="55011"/>
    <cellStyle name="Normal 13 3 2 2 3 2 3" xfId="55012"/>
    <cellStyle name="Normal 13 3 2 2 3 3" xfId="55013"/>
    <cellStyle name="Normal 13 3 2 2 3 3 2" xfId="55014"/>
    <cellStyle name="Normal 13 3 2 2 3 3 3" xfId="55015"/>
    <cellStyle name="Normal 13 3 2 2 3 4" xfId="55016"/>
    <cellStyle name="Normal 13 3 2 2 3 4 2" xfId="55017"/>
    <cellStyle name="Normal 13 3 2 2 3 5" xfId="55018"/>
    <cellStyle name="Normal 13 3 2 2 3 6" xfId="55019"/>
    <cellStyle name="Normal 13 3 2 2 4" xfId="55020"/>
    <cellStyle name="Normal 13 3 2 2 4 2" xfId="55021"/>
    <cellStyle name="Normal 13 3 2 2 4 2 2" xfId="55022"/>
    <cellStyle name="Normal 13 3 2 2 4 2 3" xfId="55023"/>
    <cellStyle name="Normal 13 3 2 2 4 3" xfId="55024"/>
    <cellStyle name="Normal 13 3 2 2 4 3 2" xfId="55025"/>
    <cellStyle name="Normal 13 3 2 2 4 4" xfId="55026"/>
    <cellStyle name="Normal 13 3 2 2 4 5" xfId="55027"/>
    <cellStyle name="Normal 13 3 2 2 5" xfId="55028"/>
    <cellStyle name="Normal 13 3 2 2 5 2" xfId="55029"/>
    <cellStyle name="Normal 13 3 2 2 5 3" xfId="55030"/>
    <cellStyle name="Normal 13 3 2 2 6" xfId="55031"/>
    <cellStyle name="Normal 13 3 2 2 6 2" xfId="55032"/>
    <cellStyle name="Normal 13 3 2 2 6 3" xfId="55033"/>
    <cellStyle name="Normal 13 3 2 2 7" xfId="55034"/>
    <cellStyle name="Normal 13 3 2 2 7 2" xfId="55035"/>
    <cellStyle name="Normal 13 3 2 2 8" xfId="55036"/>
    <cellStyle name="Normal 13 3 2 2 9" xfId="55037"/>
    <cellStyle name="Normal 13 3 2 3" xfId="55038"/>
    <cellStyle name="Normal 13 3 2 3 2" xfId="55039"/>
    <cellStyle name="Normal 13 3 2 3 2 2" xfId="55040"/>
    <cellStyle name="Normal 13 3 2 3 2 3" xfId="55041"/>
    <cellStyle name="Normal 13 3 2 3 3" xfId="55042"/>
    <cellStyle name="Normal 13 3 2 3 3 2" xfId="55043"/>
    <cellStyle name="Normal 13 3 2 3 3 3" xfId="55044"/>
    <cellStyle name="Normal 13 3 2 3 4" xfId="55045"/>
    <cellStyle name="Normal 13 3 2 3 4 2" xfId="55046"/>
    <cellStyle name="Normal 13 3 2 3 5" xfId="55047"/>
    <cellStyle name="Normal 13 3 2 3 6" xfId="55048"/>
    <cellStyle name="Normal 13 3 2 4" xfId="55049"/>
    <cellStyle name="Normal 13 3 2 4 2" xfId="55050"/>
    <cellStyle name="Normal 13 3 2 4 2 2" xfId="55051"/>
    <cellStyle name="Normal 13 3 2 4 2 3" xfId="55052"/>
    <cellStyle name="Normal 13 3 2 4 3" xfId="55053"/>
    <cellStyle name="Normal 13 3 2 4 3 2" xfId="55054"/>
    <cellStyle name="Normal 13 3 2 4 3 3" xfId="55055"/>
    <cellStyle name="Normal 13 3 2 4 4" xfId="55056"/>
    <cellStyle name="Normal 13 3 2 4 4 2" xfId="55057"/>
    <cellStyle name="Normal 13 3 2 4 5" xfId="55058"/>
    <cellStyle name="Normal 13 3 2 4 6" xfId="55059"/>
    <cellStyle name="Normal 13 3 2 5" xfId="55060"/>
    <cellStyle name="Normal 13 3 2 5 2" xfId="55061"/>
    <cellStyle name="Normal 13 3 2 5 2 2" xfId="55062"/>
    <cellStyle name="Normal 13 3 2 5 2 3" xfId="55063"/>
    <cellStyle name="Normal 13 3 2 5 3" xfId="55064"/>
    <cellStyle name="Normal 13 3 2 5 3 2" xfId="55065"/>
    <cellStyle name="Normal 13 3 2 5 4" xfId="55066"/>
    <cellStyle name="Normal 13 3 2 5 5" xfId="55067"/>
    <cellStyle name="Normal 13 3 2 6" xfId="55068"/>
    <cellStyle name="Normal 13 3 2 6 2" xfId="55069"/>
    <cellStyle name="Normal 13 3 2 6 3" xfId="55070"/>
    <cellStyle name="Normal 13 3 2 7" xfId="55071"/>
    <cellStyle name="Normal 13 3 2 7 2" xfId="55072"/>
    <cellStyle name="Normal 13 3 2 7 3" xfId="55073"/>
    <cellStyle name="Normal 13 3 2 8" xfId="55074"/>
    <cellStyle name="Normal 13 3 2 8 2" xfId="55075"/>
    <cellStyle name="Normal 13 3 2 9" xfId="55076"/>
    <cellStyle name="Normal 13 3 3" xfId="55077"/>
    <cellStyle name="Normal 13 3 3 2" xfId="55078"/>
    <cellStyle name="Normal 13 3 3 2 2" xfId="55079"/>
    <cellStyle name="Normal 13 3 3 2 2 2" xfId="55080"/>
    <cellStyle name="Normal 13 3 3 2 2 3" xfId="55081"/>
    <cellStyle name="Normal 13 3 3 2 3" xfId="55082"/>
    <cellStyle name="Normal 13 3 3 2 3 2" xfId="55083"/>
    <cellStyle name="Normal 13 3 3 2 3 3" xfId="55084"/>
    <cellStyle name="Normal 13 3 3 2 4" xfId="55085"/>
    <cellStyle name="Normal 13 3 3 2 4 2" xfId="55086"/>
    <cellStyle name="Normal 13 3 3 2 5" xfId="55087"/>
    <cellStyle name="Normal 13 3 3 2 6" xfId="55088"/>
    <cellStyle name="Normal 13 3 3 3" xfId="55089"/>
    <cellStyle name="Normal 13 3 3 3 2" xfId="55090"/>
    <cellStyle name="Normal 13 3 3 3 2 2" xfId="55091"/>
    <cellStyle name="Normal 13 3 3 3 2 3" xfId="55092"/>
    <cellStyle name="Normal 13 3 3 3 3" xfId="55093"/>
    <cellStyle name="Normal 13 3 3 3 3 2" xfId="55094"/>
    <cellStyle name="Normal 13 3 3 3 3 3" xfId="55095"/>
    <cellStyle name="Normal 13 3 3 3 4" xfId="55096"/>
    <cellStyle name="Normal 13 3 3 3 4 2" xfId="55097"/>
    <cellStyle name="Normal 13 3 3 3 5" xfId="55098"/>
    <cellStyle name="Normal 13 3 3 3 6" xfId="55099"/>
    <cellStyle name="Normal 13 3 3 4" xfId="55100"/>
    <cellStyle name="Normal 13 3 3 4 2" xfId="55101"/>
    <cellStyle name="Normal 13 3 3 4 2 2" xfId="55102"/>
    <cellStyle name="Normal 13 3 3 4 2 3" xfId="55103"/>
    <cellStyle name="Normal 13 3 3 4 3" xfId="55104"/>
    <cellStyle name="Normal 13 3 3 4 3 2" xfId="55105"/>
    <cellStyle name="Normal 13 3 3 4 4" xfId="55106"/>
    <cellStyle name="Normal 13 3 3 4 5" xfId="55107"/>
    <cellStyle name="Normal 13 3 3 5" xfId="55108"/>
    <cellStyle name="Normal 13 3 3 5 2" xfId="55109"/>
    <cellStyle name="Normal 13 3 3 5 3" xfId="55110"/>
    <cellStyle name="Normal 13 3 3 6" xfId="55111"/>
    <cellStyle name="Normal 13 3 3 6 2" xfId="55112"/>
    <cellStyle name="Normal 13 3 3 6 3" xfId="55113"/>
    <cellStyle name="Normal 13 3 3 7" xfId="55114"/>
    <cellStyle name="Normal 13 3 3 7 2" xfId="55115"/>
    <cellStyle name="Normal 13 3 3 8" xfId="55116"/>
    <cellStyle name="Normal 13 3 3 9" xfId="55117"/>
    <cellStyle name="Normal 13 3 4" xfId="55118"/>
    <cellStyle name="Normal 13 3 4 2" xfId="55119"/>
    <cellStyle name="Normal 13 3 4 2 2" xfId="55120"/>
    <cellStyle name="Normal 13 3 4 2 2 2" xfId="55121"/>
    <cellStyle name="Normal 13 3 4 2 2 3" xfId="55122"/>
    <cellStyle name="Normal 13 3 4 2 3" xfId="55123"/>
    <cellStyle name="Normal 13 3 4 2 3 2" xfId="55124"/>
    <cellStyle name="Normal 13 3 4 2 3 3" xfId="55125"/>
    <cellStyle name="Normal 13 3 4 2 4" xfId="55126"/>
    <cellStyle name="Normal 13 3 4 2 4 2" xfId="55127"/>
    <cellStyle name="Normal 13 3 4 2 5" xfId="55128"/>
    <cellStyle name="Normal 13 3 4 2 6" xfId="55129"/>
    <cellStyle name="Normal 13 3 4 3" xfId="55130"/>
    <cellStyle name="Normal 13 3 4 3 2" xfId="55131"/>
    <cellStyle name="Normal 13 3 4 3 2 2" xfId="55132"/>
    <cellStyle name="Normal 13 3 4 3 2 3" xfId="55133"/>
    <cellStyle name="Normal 13 3 4 3 3" xfId="55134"/>
    <cellStyle name="Normal 13 3 4 3 3 2" xfId="55135"/>
    <cellStyle name="Normal 13 3 4 3 3 3" xfId="55136"/>
    <cellStyle name="Normal 13 3 4 3 4" xfId="55137"/>
    <cellStyle name="Normal 13 3 4 3 4 2" xfId="55138"/>
    <cellStyle name="Normal 13 3 4 3 5" xfId="55139"/>
    <cellStyle name="Normal 13 3 4 3 6" xfId="55140"/>
    <cellStyle name="Normal 13 3 4 4" xfId="55141"/>
    <cellStyle name="Normal 13 3 4 4 2" xfId="55142"/>
    <cellStyle name="Normal 13 3 4 4 2 2" xfId="55143"/>
    <cellStyle name="Normal 13 3 4 4 2 3" xfId="55144"/>
    <cellStyle name="Normal 13 3 4 4 3" xfId="55145"/>
    <cellStyle name="Normal 13 3 4 4 3 2" xfId="55146"/>
    <cellStyle name="Normal 13 3 4 4 4" xfId="55147"/>
    <cellStyle name="Normal 13 3 4 4 5" xfId="55148"/>
    <cellStyle name="Normal 13 3 4 5" xfId="55149"/>
    <cellStyle name="Normal 13 3 4 5 2" xfId="55150"/>
    <cellStyle name="Normal 13 3 4 5 3" xfId="55151"/>
    <cellStyle name="Normal 13 3 4 6" xfId="55152"/>
    <cellStyle name="Normal 13 3 4 6 2" xfId="55153"/>
    <cellStyle name="Normal 13 3 4 6 3" xfId="55154"/>
    <cellStyle name="Normal 13 3 4 7" xfId="55155"/>
    <cellStyle name="Normal 13 3 4 7 2" xfId="55156"/>
    <cellStyle name="Normal 13 3 4 8" xfId="55157"/>
    <cellStyle name="Normal 13 3 4 9" xfId="55158"/>
    <cellStyle name="Normal 13 3 5" xfId="55159"/>
    <cellStyle name="Normal 13 3 5 2" xfId="55160"/>
    <cellStyle name="Normal 13 3 5 2 2" xfId="55161"/>
    <cellStyle name="Normal 13 3 5 2 3" xfId="55162"/>
    <cellStyle name="Normal 13 3 5 3" xfId="55163"/>
    <cellStyle name="Normal 13 3 5 3 2" xfId="55164"/>
    <cellStyle name="Normal 13 3 5 3 3" xfId="55165"/>
    <cellStyle name="Normal 13 3 5 4" xfId="55166"/>
    <cellStyle name="Normal 13 3 5 4 2" xfId="55167"/>
    <cellStyle name="Normal 13 3 5 5" xfId="55168"/>
    <cellStyle name="Normal 13 3 5 6" xfId="55169"/>
    <cellStyle name="Normal 13 3 6" xfId="55170"/>
    <cellStyle name="Normal 13 3 6 2" xfId="55171"/>
    <cellStyle name="Normal 13 3 6 2 2" xfId="55172"/>
    <cellStyle name="Normal 13 3 6 2 3" xfId="55173"/>
    <cellStyle name="Normal 13 3 6 3" xfId="55174"/>
    <cellStyle name="Normal 13 3 6 3 2" xfId="55175"/>
    <cellStyle name="Normal 13 3 6 3 3" xfId="55176"/>
    <cellStyle name="Normal 13 3 6 4" xfId="55177"/>
    <cellStyle name="Normal 13 3 6 4 2" xfId="55178"/>
    <cellStyle name="Normal 13 3 6 5" xfId="55179"/>
    <cellStyle name="Normal 13 3 6 6" xfId="55180"/>
    <cellStyle name="Normal 13 3 7" xfId="55181"/>
    <cellStyle name="Normal 13 3 7 2" xfId="55182"/>
    <cellStyle name="Normal 13 3 7 2 2" xfId="55183"/>
    <cellStyle name="Normal 13 3 7 2 3" xfId="55184"/>
    <cellStyle name="Normal 13 3 7 3" xfId="55185"/>
    <cellStyle name="Normal 13 3 7 3 2" xfId="55186"/>
    <cellStyle name="Normal 13 3 7 4" xfId="55187"/>
    <cellStyle name="Normal 13 3 7 5" xfId="55188"/>
    <cellStyle name="Normal 13 3 8" xfId="55189"/>
    <cellStyle name="Normal 13 3 8 2" xfId="55190"/>
    <cellStyle name="Normal 13 3 8 3" xfId="55191"/>
    <cellStyle name="Normal 13 3 9" xfId="55192"/>
    <cellStyle name="Normal 13 3 9 2" xfId="55193"/>
    <cellStyle name="Normal 13 3 9 3" xfId="55194"/>
    <cellStyle name="Normal 13 4" xfId="9227"/>
    <cellStyle name="Normal 13 4 10" xfId="55195"/>
    <cellStyle name="Normal 13 4 2" xfId="55196"/>
    <cellStyle name="Normal 13 4 2 2" xfId="55197"/>
    <cellStyle name="Normal 13 4 2 2 2" xfId="55198"/>
    <cellStyle name="Normal 13 4 2 2 2 2" xfId="55199"/>
    <cellStyle name="Normal 13 4 2 2 2 3" xfId="55200"/>
    <cellStyle name="Normal 13 4 2 2 3" xfId="55201"/>
    <cellStyle name="Normal 13 4 2 2 3 2" xfId="55202"/>
    <cellStyle name="Normal 13 4 2 2 3 3" xfId="55203"/>
    <cellStyle name="Normal 13 4 2 2 4" xfId="55204"/>
    <cellStyle name="Normal 13 4 2 2 4 2" xfId="55205"/>
    <cellStyle name="Normal 13 4 2 2 5" xfId="55206"/>
    <cellStyle name="Normal 13 4 2 2 6" xfId="55207"/>
    <cellStyle name="Normal 13 4 2 3" xfId="55208"/>
    <cellStyle name="Normal 13 4 2 3 2" xfId="55209"/>
    <cellStyle name="Normal 13 4 2 3 2 2" xfId="55210"/>
    <cellStyle name="Normal 13 4 2 3 2 3" xfId="55211"/>
    <cellStyle name="Normal 13 4 2 3 3" xfId="55212"/>
    <cellStyle name="Normal 13 4 2 3 3 2" xfId="55213"/>
    <cellStyle name="Normal 13 4 2 3 3 3" xfId="55214"/>
    <cellStyle name="Normal 13 4 2 3 4" xfId="55215"/>
    <cellStyle name="Normal 13 4 2 3 4 2" xfId="55216"/>
    <cellStyle name="Normal 13 4 2 3 5" xfId="55217"/>
    <cellStyle name="Normal 13 4 2 3 6" xfId="55218"/>
    <cellStyle name="Normal 13 4 2 4" xfId="55219"/>
    <cellStyle name="Normal 13 4 2 4 2" xfId="55220"/>
    <cellStyle name="Normal 13 4 2 4 2 2" xfId="55221"/>
    <cellStyle name="Normal 13 4 2 4 2 3" xfId="55222"/>
    <cellStyle name="Normal 13 4 2 4 3" xfId="55223"/>
    <cellStyle name="Normal 13 4 2 4 3 2" xfId="55224"/>
    <cellStyle name="Normal 13 4 2 4 4" xfId="55225"/>
    <cellStyle name="Normal 13 4 2 4 5" xfId="55226"/>
    <cellStyle name="Normal 13 4 2 5" xfId="55227"/>
    <cellStyle name="Normal 13 4 2 5 2" xfId="55228"/>
    <cellStyle name="Normal 13 4 2 5 3" xfId="55229"/>
    <cellStyle name="Normal 13 4 2 6" xfId="55230"/>
    <cellStyle name="Normal 13 4 2 6 2" xfId="55231"/>
    <cellStyle name="Normal 13 4 2 6 3" xfId="55232"/>
    <cellStyle name="Normal 13 4 2 7" xfId="55233"/>
    <cellStyle name="Normal 13 4 2 7 2" xfId="55234"/>
    <cellStyle name="Normal 13 4 2 8" xfId="55235"/>
    <cellStyle name="Normal 13 4 2 9" xfId="55236"/>
    <cellStyle name="Normal 13 4 3" xfId="55237"/>
    <cellStyle name="Normal 13 4 3 2" xfId="55238"/>
    <cellStyle name="Normal 13 4 3 2 2" xfId="55239"/>
    <cellStyle name="Normal 13 4 3 2 3" xfId="55240"/>
    <cellStyle name="Normal 13 4 3 3" xfId="55241"/>
    <cellStyle name="Normal 13 4 3 3 2" xfId="55242"/>
    <cellStyle name="Normal 13 4 3 3 3" xfId="55243"/>
    <cellStyle name="Normal 13 4 3 4" xfId="55244"/>
    <cellStyle name="Normal 13 4 3 4 2" xfId="55245"/>
    <cellStyle name="Normal 13 4 3 5" xfId="55246"/>
    <cellStyle name="Normal 13 4 3 6" xfId="55247"/>
    <cellStyle name="Normal 13 4 4" xfId="55248"/>
    <cellStyle name="Normal 13 4 4 2" xfId="55249"/>
    <cellStyle name="Normal 13 4 4 2 2" xfId="55250"/>
    <cellStyle name="Normal 13 4 4 2 3" xfId="55251"/>
    <cellStyle name="Normal 13 4 4 3" xfId="55252"/>
    <cellStyle name="Normal 13 4 4 3 2" xfId="55253"/>
    <cellStyle name="Normal 13 4 4 3 3" xfId="55254"/>
    <cellStyle name="Normal 13 4 4 4" xfId="55255"/>
    <cellStyle name="Normal 13 4 4 4 2" xfId="55256"/>
    <cellStyle name="Normal 13 4 4 5" xfId="55257"/>
    <cellStyle name="Normal 13 4 4 6" xfId="55258"/>
    <cellStyle name="Normal 13 4 5" xfId="55259"/>
    <cellStyle name="Normal 13 4 5 2" xfId="55260"/>
    <cellStyle name="Normal 13 4 5 2 2" xfId="55261"/>
    <cellStyle name="Normal 13 4 5 2 3" xfId="55262"/>
    <cellStyle name="Normal 13 4 5 3" xfId="55263"/>
    <cellStyle name="Normal 13 4 5 3 2" xfId="55264"/>
    <cellStyle name="Normal 13 4 5 4" xfId="55265"/>
    <cellStyle name="Normal 13 4 5 5" xfId="55266"/>
    <cellStyle name="Normal 13 4 6" xfId="55267"/>
    <cellStyle name="Normal 13 4 6 2" xfId="55268"/>
    <cellStyle name="Normal 13 4 6 3" xfId="55269"/>
    <cellStyle name="Normal 13 4 7" xfId="55270"/>
    <cellStyle name="Normal 13 4 7 2" xfId="55271"/>
    <cellStyle name="Normal 13 4 7 3" xfId="55272"/>
    <cellStyle name="Normal 13 4 8" xfId="55273"/>
    <cellStyle name="Normal 13 4 8 2" xfId="55274"/>
    <cellStyle name="Normal 13 4 9" xfId="55275"/>
    <cellStyle name="Normal 13 5" xfId="9228"/>
    <cellStyle name="Normal 13 5 2" xfId="55276"/>
    <cellStyle name="Normal 13 5 2 2" xfId="55277"/>
    <cellStyle name="Normal 13 5 2 2 2" xfId="55278"/>
    <cellStyle name="Normal 13 5 2 2 3" xfId="55279"/>
    <cellStyle name="Normal 13 5 2 3" xfId="55280"/>
    <cellStyle name="Normal 13 5 2 3 2" xfId="55281"/>
    <cellStyle name="Normal 13 5 2 3 3" xfId="55282"/>
    <cellStyle name="Normal 13 5 2 4" xfId="55283"/>
    <cellStyle name="Normal 13 5 2 4 2" xfId="55284"/>
    <cellStyle name="Normal 13 5 2 5" xfId="55285"/>
    <cellStyle name="Normal 13 5 2 6" xfId="55286"/>
    <cellStyle name="Normal 13 5 3" xfId="55287"/>
    <cellStyle name="Normal 13 5 3 2" xfId="55288"/>
    <cellStyle name="Normal 13 5 3 2 2" xfId="55289"/>
    <cellStyle name="Normal 13 5 3 2 3" xfId="55290"/>
    <cellStyle name="Normal 13 5 3 3" xfId="55291"/>
    <cellStyle name="Normal 13 5 3 3 2" xfId="55292"/>
    <cellStyle name="Normal 13 5 3 3 3" xfId="55293"/>
    <cellStyle name="Normal 13 5 3 4" xfId="55294"/>
    <cellStyle name="Normal 13 5 3 4 2" xfId="55295"/>
    <cellStyle name="Normal 13 5 3 5" xfId="55296"/>
    <cellStyle name="Normal 13 5 3 6" xfId="55297"/>
    <cellStyle name="Normal 13 5 4" xfId="55298"/>
    <cellStyle name="Normal 13 5 4 2" xfId="55299"/>
    <cellStyle name="Normal 13 5 4 2 2" xfId="55300"/>
    <cellStyle name="Normal 13 5 4 2 3" xfId="55301"/>
    <cellStyle name="Normal 13 5 4 3" xfId="55302"/>
    <cellStyle name="Normal 13 5 4 3 2" xfId="55303"/>
    <cellStyle name="Normal 13 5 4 4" xfId="55304"/>
    <cellStyle name="Normal 13 5 4 5" xfId="55305"/>
    <cellStyle name="Normal 13 5 5" xfId="55306"/>
    <cellStyle name="Normal 13 5 5 2" xfId="55307"/>
    <cellStyle name="Normal 13 5 5 3" xfId="55308"/>
    <cellStyle name="Normal 13 5 6" xfId="55309"/>
    <cellStyle name="Normal 13 5 6 2" xfId="55310"/>
    <cellStyle name="Normal 13 5 6 3" xfId="55311"/>
    <cellStyle name="Normal 13 5 7" xfId="55312"/>
    <cellStyle name="Normal 13 5 7 2" xfId="55313"/>
    <cellStyle name="Normal 13 5 8" xfId="55314"/>
    <cellStyle name="Normal 13 5 9" xfId="55315"/>
    <cellStyle name="Normal 13 6" xfId="55316"/>
    <cellStyle name="Normal 13 6 2" xfId="55317"/>
    <cellStyle name="Normal 13 6 2 2" xfId="55318"/>
    <cellStyle name="Normal 13 6 2 2 2" xfId="55319"/>
    <cellStyle name="Normal 13 6 2 2 3" xfId="55320"/>
    <cellStyle name="Normal 13 6 2 3" xfId="55321"/>
    <cellStyle name="Normal 13 6 2 3 2" xfId="55322"/>
    <cellStyle name="Normal 13 6 2 3 3" xfId="55323"/>
    <cellStyle name="Normal 13 6 2 4" xfId="55324"/>
    <cellStyle name="Normal 13 6 2 4 2" xfId="55325"/>
    <cellStyle name="Normal 13 6 2 5" xfId="55326"/>
    <cellStyle name="Normal 13 6 2 6" xfId="55327"/>
    <cellStyle name="Normal 13 6 3" xfId="55328"/>
    <cellStyle name="Normal 13 6 3 2" xfId="55329"/>
    <cellStyle name="Normal 13 6 3 2 2" xfId="55330"/>
    <cellStyle name="Normal 13 6 3 2 3" xfId="55331"/>
    <cellStyle name="Normal 13 6 3 3" xfId="55332"/>
    <cellStyle name="Normal 13 6 3 3 2" xfId="55333"/>
    <cellStyle name="Normal 13 6 3 3 3" xfId="55334"/>
    <cellStyle name="Normal 13 6 3 4" xfId="55335"/>
    <cellStyle name="Normal 13 6 3 4 2" xfId="55336"/>
    <cellStyle name="Normal 13 6 3 5" xfId="55337"/>
    <cellStyle name="Normal 13 6 3 6" xfId="55338"/>
    <cellStyle name="Normal 13 6 4" xfId="55339"/>
    <cellStyle name="Normal 13 6 4 2" xfId="55340"/>
    <cellStyle name="Normal 13 6 4 2 2" xfId="55341"/>
    <cellStyle name="Normal 13 6 4 2 3" xfId="55342"/>
    <cellStyle name="Normal 13 6 4 3" xfId="55343"/>
    <cellStyle name="Normal 13 6 4 3 2" xfId="55344"/>
    <cellStyle name="Normal 13 6 4 4" xfId="55345"/>
    <cellStyle name="Normal 13 6 4 5" xfId="55346"/>
    <cellStyle name="Normal 13 6 5" xfId="55347"/>
    <cellStyle name="Normal 13 6 5 2" xfId="55348"/>
    <cellStyle name="Normal 13 6 5 3" xfId="55349"/>
    <cellStyle name="Normal 13 6 6" xfId="55350"/>
    <cellStyle name="Normal 13 6 6 2" xfId="55351"/>
    <cellStyle name="Normal 13 6 6 3" xfId="55352"/>
    <cellStyle name="Normal 13 6 7" xfId="55353"/>
    <cellStyle name="Normal 13 6 7 2" xfId="55354"/>
    <cellStyle name="Normal 13 6 8" xfId="55355"/>
    <cellStyle name="Normal 13 6 9" xfId="55356"/>
    <cellStyle name="Normal 13 7" xfId="55357"/>
    <cellStyle name="Normal 13 7 2" xfId="55358"/>
    <cellStyle name="Normal 13 7 2 2" xfId="55359"/>
    <cellStyle name="Normal 13 7 2 3" xfId="55360"/>
    <cellStyle name="Normal 13 7 3" xfId="55361"/>
    <cellStyle name="Normal 13 7 3 2" xfId="55362"/>
    <cellStyle name="Normal 13 7 3 3" xfId="55363"/>
    <cellStyle name="Normal 13 7 4" xfId="55364"/>
    <cellStyle name="Normal 13 7 4 2" xfId="55365"/>
    <cellStyle name="Normal 13 7 5" xfId="55366"/>
    <cellStyle name="Normal 13 7 6" xfId="55367"/>
    <cellStyle name="Normal 13 8" xfId="55368"/>
    <cellStyle name="Normal 13 8 2" xfId="55369"/>
    <cellStyle name="Normal 13 8 2 2" xfId="55370"/>
    <cellStyle name="Normal 13 8 2 3" xfId="55371"/>
    <cellStyle name="Normal 13 8 3" xfId="55372"/>
    <cellStyle name="Normal 13 8 3 2" xfId="55373"/>
    <cellStyle name="Normal 13 8 3 3" xfId="55374"/>
    <cellStyle name="Normal 13 8 4" xfId="55375"/>
    <cellStyle name="Normal 13 8 4 2" xfId="55376"/>
    <cellStyle name="Normal 13 8 5" xfId="55377"/>
    <cellStyle name="Normal 13 8 6" xfId="55378"/>
    <cellStyle name="Normal 13 9" xfId="55379"/>
    <cellStyle name="Normal 13 9 2" xfId="55380"/>
    <cellStyle name="Normal 13 9 2 2" xfId="55381"/>
    <cellStyle name="Normal 13 9 2 3" xfId="55382"/>
    <cellStyle name="Normal 13 9 3" xfId="55383"/>
    <cellStyle name="Normal 13 9 3 2" xfId="55384"/>
    <cellStyle name="Normal 13 9 4" xfId="55385"/>
    <cellStyle name="Normal 13 9 5" xfId="55386"/>
    <cellStyle name="Normal 14" xfId="4469"/>
    <cellStyle name="Normal 14 2" xfId="4470"/>
    <cellStyle name="Normal 14 2 2" xfId="4471"/>
    <cellStyle name="Normal 14 2 2 2" xfId="9229"/>
    <cellStyle name="Normal 14 2 2 2 2" xfId="59494"/>
    <cellStyle name="Normal 14 2 2 3" xfId="9230"/>
    <cellStyle name="Normal 14 2 2 4" xfId="59495"/>
    <cellStyle name="Normal 14 2 3" xfId="4472"/>
    <cellStyle name="Normal 14 2 3 2" xfId="9231"/>
    <cellStyle name="Normal 14 2 4" xfId="9232"/>
    <cellStyle name="Normal 14 2 4 2" xfId="59496"/>
    <cellStyle name="Normal 14 2 5" xfId="59497"/>
    <cellStyle name="Normal 14 2 6" xfId="59498"/>
    <cellStyle name="Normal 14 2 7" xfId="59499"/>
    <cellStyle name="Normal 14 3" xfId="4473"/>
    <cellStyle name="Normal 14 3 2" xfId="9233"/>
    <cellStyle name="Normal 14 3 2 2" xfId="59500"/>
    <cellStyle name="Normal 14 3 3" xfId="9234"/>
    <cellStyle name="Normal 14 3 4" xfId="59501"/>
    <cellStyle name="Normal 14 4" xfId="4474"/>
    <cellStyle name="Normal 14 4 2" xfId="9235"/>
    <cellStyle name="Normal 14 4 3" xfId="59502"/>
    <cellStyle name="Normal 14 4 4" xfId="59503"/>
    <cellStyle name="Normal 14 5" xfId="8768"/>
    <cellStyle name="Normal 14 6" xfId="55387"/>
    <cellStyle name="Normal 15" xfId="4475"/>
    <cellStyle name="Normal 15 10" xfId="55388"/>
    <cellStyle name="Normal 15 10 2" xfId="55389"/>
    <cellStyle name="Normal 15 10 3" xfId="55390"/>
    <cellStyle name="Normal 15 11" xfId="55391"/>
    <cellStyle name="Normal 15 11 2" xfId="55392"/>
    <cellStyle name="Normal 15 12" xfId="55393"/>
    <cellStyle name="Normal 15 13" xfId="55394"/>
    <cellStyle name="Normal 15 14" xfId="55395"/>
    <cellStyle name="Normal 15 2" xfId="4476"/>
    <cellStyle name="Normal 15 2 10" xfId="55396"/>
    <cellStyle name="Normal 15 2 10 2" xfId="55397"/>
    <cellStyle name="Normal 15 2 11" xfId="55398"/>
    <cellStyle name="Normal 15 2 12" xfId="55399"/>
    <cellStyle name="Normal 15 2 13" xfId="55400"/>
    <cellStyle name="Normal 15 2 2" xfId="4477"/>
    <cellStyle name="Normal 15 2 2 10" xfId="55401"/>
    <cellStyle name="Normal 15 2 2 11" xfId="55402"/>
    <cellStyle name="Normal 15 2 2 2" xfId="8416"/>
    <cellStyle name="Normal 15 2 2 2 10" xfId="55403"/>
    <cellStyle name="Normal 15 2 2 2 2" xfId="8417"/>
    <cellStyle name="Normal 15 2 2 2 2 2" xfId="8418"/>
    <cellStyle name="Normal 15 2 2 2 2 2 2" xfId="55404"/>
    <cellStyle name="Normal 15 2 2 2 2 2 3" xfId="55405"/>
    <cellStyle name="Normal 15 2 2 2 2 3" xfId="55406"/>
    <cellStyle name="Normal 15 2 2 2 2 3 2" xfId="55407"/>
    <cellStyle name="Normal 15 2 2 2 2 3 3" xfId="55408"/>
    <cellStyle name="Normal 15 2 2 2 2 4" xfId="55409"/>
    <cellStyle name="Normal 15 2 2 2 2 4 2" xfId="55410"/>
    <cellStyle name="Normal 15 2 2 2 2 5" xfId="55411"/>
    <cellStyle name="Normal 15 2 2 2 2 6" xfId="55412"/>
    <cellStyle name="Normal 15 2 2 2 2 7" xfId="55413"/>
    <cellStyle name="Normal 15 2 2 2 3" xfId="8419"/>
    <cellStyle name="Normal 15 2 2 2 3 2" xfId="55414"/>
    <cellStyle name="Normal 15 2 2 2 3 2 2" xfId="55415"/>
    <cellStyle name="Normal 15 2 2 2 3 2 3" xfId="55416"/>
    <cellStyle name="Normal 15 2 2 2 3 3" xfId="55417"/>
    <cellStyle name="Normal 15 2 2 2 3 3 2" xfId="55418"/>
    <cellStyle name="Normal 15 2 2 2 3 3 3" xfId="55419"/>
    <cellStyle name="Normal 15 2 2 2 3 4" xfId="55420"/>
    <cellStyle name="Normal 15 2 2 2 3 4 2" xfId="55421"/>
    <cellStyle name="Normal 15 2 2 2 3 5" xfId="55422"/>
    <cellStyle name="Normal 15 2 2 2 3 6" xfId="55423"/>
    <cellStyle name="Normal 15 2 2 2 3 7" xfId="55424"/>
    <cellStyle name="Normal 15 2 2 2 4" xfId="55425"/>
    <cellStyle name="Normal 15 2 2 2 4 2" xfId="55426"/>
    <cellStyle name="Normal 15 2 2 2 4 2 2" xfId="55427"/>
    <cellStyle name="Normal 15 2 2 2 4 2 3" xfId="55428"/>
    <cellStyle name="Normal 15 2 2 2 4 3" xfId="55429"/>
    <cellStyle name="Normal 15 2 2 2 4 3 2" xfId="55430"/>
    <cellStyle name="Normal 15 2 2 2 4 4" xfId="55431"/>
    <cellStyle name="Normal 15 2 2 2 4 5" xfId="55432"/>
    <cellStyle name="Normal 15 2 2 2 5" xfId="55433"/>
    <cellStyle name="Normal 15 2 2 2 5 2" xfId="55434"/>
    <cellStyle name="Normal 15 2 2 2 5 3" xfId="55435"/>
    <cellStyle name="Normal 15 2 2 2 6" xfId="55436"/>
    <cellStyle name="Normal 15 2 2 2 6 2" xfId="55437"/>
    <cellStyle name="Normal 15 2 2 2 6 3" xfId="55438"/>
    <cellStyle name="Normal 15 2 2 2 7" xfId="55439"/>
    <cellStyle name="Normal 15 2 2 2 7 2" xfId="55440"/>
    <cellStyle name="Normal 15 2 2 2 8" xfId="55441"/>
    <cellStyle name="Normal 15 2 2 2 9" xfId="55442"/>
    <cellStyle name="Normal 15 2 2 3" xfId="8420"/>
    <cellStyle name="Normal 15 2 2 3 2" xfId="8421"/>
    <cellStyle name="Normal 15 2 2 3 2 2" xfId="55443"/>
    <cellStyle name="Normal 15 2 2 3 2 3" xfId="55444"/>
    <cellStyle name="Normal 15 2 2 3 3" xfId="55445"/>
    <cellStyle name="Normal 15 2 2 3 3 2" xfId="55446"/>
    <cellStyle name="Normal 15 2 2 3 3 3" xfId="55447"/>
    <cellStyle name="Normal 15 2 2 3 4" xfId="55448"/>
    <cellStyle name="Normal 15 2 2 3 4 2" xfId="55449"/>
    <cellStyle name="Normal 15 2 2 3 5" xfId="55450"/>
    <cellStyle name="Normal 15 2 2 3 6" xfId="55451"/>
    <cellStyle name="Normal 15 2 2 3 7" xfId="55452"/>
    <cellStyle name="Normal 15 2 2 4" xfId="8422"/>
    <cellStyle name="Normal 15 2 2 4 2" xfId="55453"/>
    <cellStyle name="Normal 15 2 2 4 2 2" xfId="55454"/>
    <cellStyle name="Normal 15 2 2 4 2 3" xfId="55455"/>
    <cellStyle name="Normal 15 2 2 4 3" xfId="55456"/>
    <cellStyle name="Normal 15 2 2 4 3 2" xfId="55457"/>
    <cellStyle name="Normal 15 2 2 4 3 3" xfId="55458"/>
    <cellStyle name="Normal 15 2 2 4 4" xfId="55459"/>
    <cellStyle name="Normal 15 2 2 4 4 2" xfId="55460"/>
    <cellStyle name="Normal 15 2 2 4 5" xfId="55461"/>
    <cellStyle name="Normal 15 2 2 4 6" xfId="55462"/>
    <cellStyle name="Normal 15 2 2 4 7" xfId="55463"/>
    <cellStyle name="Normal 15 2 2 5" xfId="55464"/>
    <cellStyle name="Normal 15 2 2 5 2" xfId="55465"/>
    <cellStyle name="Normal 15 2 2 5 2 2" xfId="55466"/>
    <cellStyle name="Normal 15 2 2 5 2 3" xfId="55467"/>
    <cellStyle name="Normal 15 2 2 5 3" xfId="55468"/>
    <cellStyle name="Normal 15 2 2 5 3 2" xfId="55469"/>
    <cellStyle name="Normal 15 2 2 5 4" xfId="55470"/>
    <cellStyle name="Normal 15 2 2 5 5" xfId="55471"/>
    <cellStyle name="Normal 15 2 2 6" xfId="55472"/>
    <cellStyle name="Normal 15 2 2 6 2" xfId="55473"/>
    <cellStyle name="Normal 15 2 2 6 3" xfId="55474"/>
    <cellStyle name="Normal 15 2 2 7" xfId="55475"/>
    <cellStyle name="Normal 15 2 2 7 2" xfId="55476"/>
    <cellStyle name="Normal 15 2 2 7 3" xfId="55477"/>
    <cellStyle name="Normal 15 2 2 8" xfId="55478"/>
    <cellStyle name="Normal 15 2 2 8 2" xfId="55479"/>
    <cellStyle name="Normal 15 2 2 9" xfId="55480"/>
    <cellStyle name="Normal 15 2 3" xfId="4478"/>
    <cellStyle name="Normal 15 2 3 10" xfId="55481"/>
    <cellStyle name="Normal 15 2 3 2" xfId="8423"/>
    <cellStyle name="Normal 15 2 3 2 2" xfId="8424"/>
    <cellStyle name="Normal 15 2 3 2 2 2" xfId="55482"/>
    <cellStyle name="Normal 15 2 3 2 2 3" xfId="55483"/>
    <cellStyle name="Normal 15 2 3 2 2 4" xfId="55484"/>
    <cellStyle name="Normal 15 2 3 2 3" xfId="55485"/>
    <cellStyle name="Normal 15 2 3 2 3 2" xfId="55486"/>
    <cellStyle name="Normal 15 2 3 2 3 3" xfId="55487"/>
    <cellStyle name="Normal 15 2 3 2 4" xfId="55488"/>
    <cellStyle name="Normal 15 2 3 2 4 2" xfId="55489"/>
    <cellStyle name="Normal 15 2 3 2 5" xfId="55490"/>
    <cellStyle name="Normal 15 2 3 2 6" xfId="55491"/>
    <cellStyle name="Normal 15 2 3 2 7" xfId="55492"/>
    <cellStyle name="Normal 15 2 3 3" xfId="8425"/>
    <cellStyle name="Normal 15 2 3 3 2" xfId="55493"/>
    <cellStyle name="Normal 15 2 3 3 2 2" xfId="55494"/>
    <cellStyle name="Normal 15 2 3 3 2 3" xfId="55495"/>
    <cellStyle name="Normal 15 2 3 3 3" xfId="55496"/>
    <cellStyle name="Normal 15 2 3 3 3 2" xfId="55497"/>
    <cellStyle name="Normal 15 2 3 3 3 3" xfId="55498"/>
    <cellStyle name="Normal 15 2 3 3 4" xfId="55499"/>
    <cellStyle name="Normal 15 2 3 3 4 2" xfId="55500"/>
    <cellStyle name="Normal 15 2 3 3 5" xfId="55501"/>
    <cellStyle name="Normal 15 2 3 3 6" xfId="55502"/>
    <cellStyle name="Normal 15 2 3 3 7" xfId="55503"/>
    <cellStyle name="Normal 15 2 3 4" xfId="55504"/>
    <cellStyle name="Normal 15 2 3 4 2" xfId="55505"/>
    <cellStyle name="Normal 15 2 3 4 2 2" xfId="55506"/>
    <cellStyle name="Normal 15 2 3 4 2 3" xfId="55507"/>
    <cellStyle name="Normal 15 2 3 4 3" xfId="55508"/>
    <cellStyle name="Normal 15 2 3 4 3 2" xfId="55509"/>
    <cellStyle name="Normal 15 2 3 4 4" xfId="55510"/>
    <cellStyle name="Normal 15 2 3 4 5" xfId="55511"/>
    <cellStyle name="Normal 15 2 3 5" xfId="55512"/>
    <cellStyle name="Normal 15 2 3 5 2" xfId="55513"/>
    <cellStyle name="Normal 15 2 3 5 3" xfId="55514"/>
    <cellStyle name="Normal 15 2 3 6" xfId="55515"/>
    <cellStyle name="Normal 15 2 3 6 2" xfId="55516"/>
    <cellStyle name="Normal 15 2 3 6 3" xfId="55517"/>
    <cellStyle name="Normal 15 2 3 7" xfId="55518"/>
    <cellStyle name="Normal 15 2 3 7 2" xfId="55519"/>
    <cellStyle name="Normal 15 2 3 8" xfId="55520"/>
    <cellStyle name="Normal 15 2 3 9" xfId="55521"/>
    <cellStyle name="Normal 15 2 4" xfId="4479"/>
    <cellStyle name="Normal 15 2 4 10" xfId="55522"/>
    <cellStyle name="Normal 15 2 4 2" xfId="8426"/>
    <cellStyle name="Normal 15 2 4 2 2" xfId="55523"/>
    <cellStyle name="Normal 15 2 4 2 2 2" xfId="55524"/>
    <cellStyle name="Normal 15 2 4 2 2 3" xfId="55525"/>
    <cellStyle name="Normal 15 2 4 2 3" xfId="55526"/>
    <cellStyle name="Normal 15 2 4 2 3 2" xfId="55527"/>
    <cellStyle name="Normal 15 2 4 2 3 3" xfId="55528"/>
    <cellStyle name="Normal 15 2 4 2 4" xfId="55529"/>
    <cellStyle name="Normal 15 2 4 2 4 2" xfId="55530"/>
    <cellStyle name="Normal 15 2 4 2 5" xfId="55531"/>
    <cellStyle name="Normal 15 2 4 2 6" xfId="55532"/>
    <cellStyle name="Normal 15 2 4 2 7" xfId="55533"/>
    <cellStyle name="Normal 15 2 4 3" xfId="55534"/>
    <cellStyle name="Normal 15 2 4 3 2" xfId="55535"/>
    <cellStyle name="Normal 15 2 4 3 2 2" xfId="55536"/>
    <cellStyle name="Normal 15 2 4 3 2 3" xfId="55537"/>
    <cellStyle name="Normal 15 2 4 3 3" xfId="55538"/>
    <cellStyle name="Normal 15 2 4 3 3 2" xfId="55539"/>
    <cellStyle name="Normal 15 2 4 3 3 3" xfId="55540"/>
    <cellStyle name="Normal 15 2 4 3 4" xfId="55541"/>
    <cellStyle name="Normal 15 2 4 3 4 2" xfId="55542"/>
    <cellStyle name="Normal 15 2 4 3 5" xfId="55543"/>
    <cellStyle name="Normal 15 2 4 3 6" xfId="55544"/>
    <cellStyle name="Normal 15 2 4 4" xfId="55545"/>
    <cellStyle name="Normal 15 2 4 4 2" xfId="55546"/>
    <cellStyle name="Normal 15 2 4 4 2 2" xfId="55547"/>
    <cellStyle name="Normal 15 2 4 4 2 3" xfId="55548"/>
    <cellStyle name="Normal 15 2 4 4 3" xfId="55549"/>
    <cellStyle name="Normal 15 2 4 4 3 2" xfId="55550"/>
    <cellStyle name="Normal 15 2 4 4 4" xfId="55551"/>
    <cellStyle name="Normal 15 2 4 4 5" xfId="55552"/>
    <cellStyle name="Normal 15 2 4 5" xfId="55553"/>
    <cellStyle name="Normal 15 2 4 5 2" xfId="55554"/>
    <cellStyle name="Normal 15 2 4 5 3" xfId="55555"/>
    <cellStyle name="Normal 15 2 4 6" xfId="55556"/>
    <cellStyle name="Normal 15 2 4 6 2" xfId="55557"/>
    <cellStyle name="Normal 15 2 4 6 3" xfId="55558"/>
    <cellStyle name="Normal 15 2 4 7" xfId="55559"/>
    <cellStyle name="Normal 15 2 4 7 2" xfId="55560"/>
    <cellStyle name="Normal 15 2 4 8" xfId="55561"/>
    <cellStyle name="Normal 15 2 4 9" xfId="55562"/>
    <cellStyle name="Normal 15 2 5" xfId="8427"/>
    <cellStyle name="Normal 15 2 5 2" xfId="8428"/>
    <cellStyle name="Normal 15 2 5 2 2" xfId="55563"/>
    <cellStyle name="Normal 15 2 5 2 3" xfId="55564"/>
    <cellStyle name="Normal 15 2 5 2 4" xfId="55565"/>
    <cellStyle name="Normal 15 2 5 3" xfId="55566"/>
    <cellStyle name="Normal 15 2 5 3 2" xfId="55567"/>
    <cellStyle name="Normal 15 2 5 3 3" xfId="55568"/>
    <cellStyle name="Normal 15 2 5 4" xfId="55569"/>
    <cellStyle name="Normal 15 2 5 4 2" xfId="55570"/>
    <cellStyle name="Normal 15 2 5 5" xfId="55571"/>
    <cellStyle name="Normal 15 2 5 6" xfId="55572"/>
    <cellStyle name="Normal 15 2 5 7" xfId="55573"/>
    <cellStyle name="Normal 15 2 6" xfId="8429"/>
    <cellStyle name="Normal 15 2 6 2" xfId="55574"/>
    <cellStyle name="Normal 15 2 6 2 2" xfId="55575"/>
    <cellStyle name="Normal 15 2 6 2 3" xfId="55576"/>
    <cellStyle name="Normal 15 2 6 3" xfId="55577"/>
    <cellStyle name="Normal 15 2 6 3 2" xfId="55578"/>
    <cellStyle name="Normal 15 2 6 3 3" xfId="55579"/>
    <cellStyle name="Normal 15 2 6 4" xfId="55580"/>
    <cellStyle name="Normal 15 2 6 4 2" xfId="55581"/>
    <cellStyle name="Normal 15 2 6 5" xfId="55582"/>
    <cellStyle name="Normal 15 2 6 6" xfId="55583"/>
    <cellStyle name="Normal 15 2 6 7" xfId="55584"/>
    <cellStyle name="Normal 15 2 7" xfId="55585"/>
    <cellStyle name="Normal 15 2 7 2" xfId="55586"/>
    <cellStyle name="Normal 15 2 7 2 2" xfId="55587"/>
    <cellStyle name="Normal 15 2 7 2 3" xfId="55588"/>
    <cellStyle name="Normal 15 2 7 3" xfId="55589"/>
    <cellStyle name="Normal 15 2 7 3 2" xfId="55590"/>
    <cellStyle name="Normal 15 2 7 4" xfId="55591"/>
    <cellStyle name="Normal 15 2 7 5" xfId="55592"/>
    <cellStyle name="Normal 15 2 8" xfId="55593"/>
    <cellStyle name="Normal 15 2 8 2" xfId="55594"/>
    <cellStyle name="Normal 15 2 8 3" xfId="55595"/>
    <cellStyle name="Normal 15 2 9" xfId="55596"/>
    <cellStyle name="Normal 15 2 9 2" xfId="55597"/>
    <cellStyle name="Normal 15 2 9 3" xfId="55598"/>
    <cellStyle name="Normal 15 3" xfId="4480"/>
    <cellStyle name="Normal 15 3 10" xfId="55599"/>
    <cellStyle name="Normal 15 3 11" xfId="55600"/>
    <cellStyle name="Normal 15 3 2" xfId="8430"/>
    <cellStyle name="Normal 15 3 2 10" xfId="55601"/>
    <cellStyle name="Normal 15 3 2 2" xfId="8431"/>
    <cellStyle name="Normal 15 3 2 2 2" xfId="8432"/>
    <cellStyle name="Normal 15 3 2 2 2 2" xfId="55602"/>
    <cellStyle name="Normal 15 3 2 2 2 3" xfId="55603"/>
    <cellStyle name="Normal 15 3 2 2 3" xfId="55604"/>
    <cellStyle name="Normal 15 3 2 2 3 2" xfId="55605"/>
    <cellStyle name="Normal 15 3 2 2 3 3" xfId="55606"/>
    <cellStyle name="Normal 15 3 2 2 4" xfId="55607"/>
    <cellStyle name="Normal 15 3 2 2 4 2" xfId="55608"/>
    <cellStyle name="Normal 15 3 2 2 5" xfId="55609"/>
    <cellStyle name="Normal 15 3 2 2 6" xfId="55610"/>
    <cellStyle name="Normal 15 3 2 2 7" xfId="55611"/>
    <cellStyle name="Normal 15 3 2 3" xfId="8433"/>
    <cellStyle name="Normal 15 3 2 3 2" xfId="55612"/>
    <cellStyle name="Normal 15 3 2 3 2 2" xfId="55613"/>
    <cellStyle name="Normal 15 3 2 3 2 3" xfId="55614"/>
    <cellStyle name="Normal 15 3 2 3 3" xfId="55615"/>
    <cellStyle name="Normal 15 3 2 3 3 2" xfId="55616"/>
    <cellStyle name="Normal 15 3 2 3 3 3" xfId="55617"/>
    <cellStyle name="Normal 15 3 2 3 4" xfId="55618"/>
    <cellStyle name="Normal 15 3 2 3 4 2" xfId="55619"/>
    <cellStyle name="Normal 15 3 2 3 5" xfId="55620"/>
    <cellStyle name="Normal 15 3 2 3 6" xfId="55621"/>
    <cellStyle name="Normal 15 3 2 3 7" xfId="55622"/>
    <cellStyle name="Normal 15 3 2 4" xfId="55623"/>
    <cellStyle name="Normal 15 3 2 4 2" xfId="55624"/>
    <cellStyle name="Normal 15 3 2 4 2 2" xfId="55625"/>
    <cellStyle name="Normal 15 3 2 4 2 3" xfId="55626"/>
    <cellStyle name="Normal 15 3 2 4 3" xfId="55627"/>
    <cellStyle name="Normal 15 3 2 4 3 2" xfId="55628"/>
    <cellStyle name="Normal 15 3 2 4 4" xfId="55629"/>
    <cellStyle name="Normal 15 3 2 4 5" xfId="55630"/>
    <cellStyle name="Normal 15 3 2 5" xfId="55631"/>
    <cellStyle name="Normal 15 3 2 5 2" xfId="55632"/>
    <cellStyle name="Normal 15 3 2 5 3" xfId="55633"/>
    <cellStyle name="Normal 15 3 2 6" xfId="55634"/>
    <cellStyle name="Normal 15 3 2 6 2" xfId="55635"/>
    <cellStyle name="Normal 15 3 2 6 3" xfId="55636"/>
    <cellStyle name="Normal 15 3 2 7" xfId="55637"/>
    <cellStyle name="Normal 15 3 2 7 2" xfId="55638"/>
    <cellStyle name="Normal 15 3 2 8" xfId="55639"/>
    <cellStyle name="Normal 15 3 2 9" xfId="55640"/>
    <cellStyle name="Normal 15 3 3" xfId="8434"/>
    <cellStyle name="Normal 15 3 3 2" xfId="8435"/>
    <cellStyle name="Normal 15 3 3 2 2" xfId="55641"/>
    <cellStyle name="Normal 15 3 3 2 3" xfId="55642"/>
    <cellStyle name="Normal 15 3 3 3" xfId="55643"/>
    <cellStyle name="Normal 15 3 3 3 2" xfId="55644"/>
    <cellStyle name="Normal 15 3 3 3 3" xfId="55645"/>
    <cellStyle name="Normal 15 3 3 4" xfId="55646"/>
    <cellStyle name="Normal 15 3 3 4 2" xfId="55647"/>
    <cellStyle name="Normal 15 3 3 5" xfId="55648"/>
    <cellStyle name="Normal 15 3 3 6" xfId="55649"/>
    <cellStyle name="Normal 15 3 3 7" xfId="55650"/>
    <cellStyle name="Normal 15 3 4" xfId="8436"/>
    <cellStyle name="Normal 15 3 4 2" xfId="55651"/>
    <cellStyle name="Normal 15 3 4 2 2" xfId="55652"/>
    <cellStyle name="Normal 15 3 4 2 3" xfId="55653"/>
    <cellStyle name="Normal 15 3 4 3" xfId="55654"/>
    <cellStyle name="Normal 15 3 4 3 2" xfId="55655"/>
    <cellStyle name="Normal 15 3 4 3 3" xfId="55656"/>
    <cellStyle name="Normal 15 3 4 4" xfId="55657"/>
    <cellStyle name="Normal 15 3 4 4 2" xfId="55658"/>
    <cellStyle name="Normal 15 3 4 5" xfId="55659"/>
    <cellStyle name="Normal 15 3 4 6" xfId="55660"/>
    <cellStyle name="Normal 15 3 4 7" xfId="55661"/>
    <cellStyle name="Normal 15 3 5" xfId="55662"/>
    <cellStyle name="Normal 15 3 5 2" xfId="55663"/>
    <cellStyle name="Normal 15 3 5 2 2" xfId="55664"/>
    <cellStyle name="Normal 15 3 5 2 3" xfId="55665"/>
    <cellStyle name="Normal 15 3 5 3" xfId="55666"/>
    <cellStyle name="Normal 15 3 5 3 2" xfId="55667"/>
    <cellStyle name="Normal 15 3 5 4" xfId="55668"/>
    <cellStyle name="Normal 15 3 5 5" xfId="55669"/>
    <cellStyle name="Normal 15 3 6" xfId="55670"/>
    <cellStyle name="Normal 15 3 6 2" xfId="55671"/>
    <cellStyle name="Normal 15 3 6 3" xfId="55672"/>
    <cellStyle name="Normal 15 3 7" xfId="55673"/>
    <cellStyle name="Normal 15 3 7 2" xfId="55674"/>
    <cellStyle name="Normal 15 3 7 3" xfId="55675"/>
    <cellStyle name="Normal 15 3 8" xfId="55676"/>
    <cellStyle name="Normal 15 3 8 2" xfId="55677"/>
    <cellStyle name="Normal 15 3 9" xfId="55678"/>
    <cellStyle name="Normal 15 4" xfId="4481"/>
    <cellStyle name="Normal 15 4 10" xfId="55679"/>
    <cellStyle name="Normal 15 4 2" xfId="8437"/>
    <cellStyle name="Normal 15 4 2 2" xfId="8438"/>
    <cellStyle name="Normal 15 4 2 2 2" xfId="55680"/>
    <cellStyle name="Normal 15 4 2 2 3" xfId="55681"/>
    <cellStyle name="Normal 15 4 2 2 4" xfId="55682"/>
    <cellStyle name="Normal 15 4 2 3" xfId="55683"/>
    <cellStyle name="Normal 15 4 2 3 2" xfId="55684"/>
    <cellStyle name="Normal 15 4 2 3 3" xfId="55685"/>
    <cellStyle name="Normal 15 4 2 4" xfId="55686"/>
    <cellStyle name="Normal 15 4 2 4 2" xfId="55687"/>
    <cellStyle name="Normal 15 4 2 5" xfId="55688"/>
    <cellStyle name="Normal 15 4 2 6" xfId="55689"/>
    <cellStyle name="Normal 15 4 2 7" xfId="55690"/>
    <cellStyle name="Normal 15 4 3" xfId="8439"/>
    <cellStyle name="Normal 15 4 3 2" xfId="55691"/>
    <cellStyle name="Normal 15 4 3 2 2" xfId="55692"/>
    <cellStyle name="Normal 15 4 3 2 3" xfId="55693"/>
    <cellStyle name="Normal 15 4 3 3" xfId="55694"/>
    <cellStyle name="Normal 15 4 3 3 2" xfId="55695"/>
    <cellStyle name="Normal 15 4 3 3 3" xfId="55696"/>
    <cellStyle name="Normal 15 4 3 4" xfId="55697"/>
    <cellStyle name="Normal 15 4 3 4 2" xfId="55698"/>
    <cellStyle name="Normal 15 4 3 5" xfId="55699"/>
    <cellStyle name="Normal 15 4 3 6" xfId="55700"/>
    <cellStyle name="Normal 15 4 3 7" xfId="55701"/>
    <cellStyle name="Normal 15 4 4" xfId="55702"/>
    <cellStyle name="Normal 15 4 4 2" xfId="55703"/>
    <cellStyle name="Normal 15 4 4 2 2" xfId="55704"/>
    <cellStyle name="Normal 15 4 4 2 3" xfId="55705"/>
    <cellStyle name="Normal 15 4 4 3" xfId="55706"/>
    <cellStyle name="Normal 15 4 4 3 2" xfId="55707"/>
    <cellStyle name="Normal 15 4 4 4" xfId="55708"/>
    <cellStyle name="Normal 15 4 4 5" xfId="55709"/>
    <cellStyle name="Normal 15 4 5" xfId="55710"/>
    <cellStyle name="Normal 15 4 5 2" xfId="55711"/>
    <cellStyle name="Normal 15 4 5 3" xfId="55712"/>
    <cellStyle name="Normal 15 4 6" xfId="55713"/>
    <cellStyle name="Normal 15 4 6 2" xfId="55714"/>
    <cellStyle name="Normal 15 4 6 3" xfId="55715"/>
    <cellStyle name="Normal 15 4 7" xfId="55716"/>
    <cellStyle name="Normal 15 4 7 2" xfId="55717"/>
    <cellStyle name="Normal 15 4 8" xfId="55718"/>
    <cellStyle name="Normal 15 4 9" xfId="55719"/>
    <cellStyle name="Normal 15 5" xfId="4482"/>
    <cellStyle name="Normal 15 5 10" xfId="55720"/>
    <cellStyle name="Normal 15 5 2" xfId="8440"/>
    <cellStyle name="Normal 15 5 2 2" xfId="55721"/>
    <cellStyle name="Normal 15 5 2 2 2" xfId="55722"/>
    <cellStyle name="Normal 15 5 2 2 3" xfId="55723"/>
    <cellStyle name="Normal 15 5 2 3" xfId="55724"/>
    <cellStyle name="Normal 15 5 2 3 2" xfId="55725"/>
    <cellStyle name="Normal 15 5 2 3 3" xfId="55726"/>
    <cellStyle name="Normal 15 5 2 4" xfId="55727"/>
    <cellStyle name="Normal 15 5 2 4 2" xfId="55728"/>
    <cellStyle name="Normal 15 5 2 5" xfId="55729"/>
    <cellStyle name="Normal 15 5 2 6" xfId="55730"/>
    <cellStyle name="Normal 15 5 2 7" xfId="55731"/>
    <cellStyle name="Normal 15 5 3" xfId="55732"/>
    <cellStyle name="Normal 15 5 3 2" xfId="55733"/>
    <cellStyle name="Normal 15 5 3 2 2" xfId="55734"/>
    <cellStyle name="Normal 15 5 3 2 3" xfId="55735"/>
    <cellStyle name="Normal 15 5 3 3" xfId="55736"/>
    <cellStyle name="Normal 15 5 3 3 2" xfId="55737"/>
    <cellStyle name="Normal 15 5 3 3 3" xfId="55738"/>
    <cellStyle name="Normal 15 5 3 4" xfId="55739"/>
    <cellStyle name="Normal 15 5 3 4 2" xfId="55740"/>
    <cellStyle name="Normal 15 5 3 5" xfId="55741"/>
    <cellStyle name="Normal 15 5 3 6" xfId="55742"/>
    <cellStyle name="Normal 15 5 4" xfId="55743"/>
    <cellStyle name="Normal 15 5 4 2" xfId="55744"/>
    <cellStyle name="Normal 15 5 4 2 2" xfId="55745"/>
    <cellStyle name="Normal 15 5 4 2 3" xfId="55746"/>
    <cellStyle name="Normal 15 5 4 3" xfId="55747"/>
    <cellStyle name="Normal 15 5 4 3 2" xfId="55748"/>
    <cellStyle name="Normal 15 5 4 4" xfId="55749"/>
    <cellStyle name="Normal 15 5 4 5" xfId="55750"/>
    <cellStyle name="Normal 15 5 5" xfId="55751"/>
    <cellStyle name="Normal 15 5 5 2" xfId="55752"/>
    <cellStyle name="Normal 15 5 5 3" xfId="55753"/>
    <cellStyle name="Normal 15 5 6" xfId="55754"/>
    <cellStyle name="Normal 15 5 6 2" xfId="55755"/>
    <cellStyle name="Normal 15 5 6 3" xfId="55756"/>
    <cellStyle name="Normal 15 5 7" xfId="55757"/>
    <cellStyle name="Normal 15 5 7 2" xfId="55758"/>
    <cellStyle name="Normal 15 5 8" xfId="55759"/>
    <cellStyle name="Normal 15 5 9" xfId="55760"/>
    <cellStyle name="Normal 15 6" xfId="8441"/>
    <cellStyle name="Normal 15 6 2" xfId="8442"/>
    <cellStyle name="Normal 15 6 2 2" xfId="55761"/>
    <cellStyle name="Normal 15 6 2 3" xfId="55762"/>
    <cellStyle name="Normal 15 6 2 4" xfId="55763"/>
    <cellStyle name="Normal 15 6 3" xfId="55764"/>
    <cellStyle name="Normal 15 6 3 2" xfId="55765"/>
    <cellStyle name="Normal 15 6 3 3" xfId="55766"/>
    <cellStyle name="Normal 15 6 4" xfId="55767"/>
    <cellStyle name="Normal 15 6 4 2" xfId="55768"/>
    <cellStyle name="Normal 15 6 5" xfId="55769"/>
    <cellStyle name="Normal 15 6 6" xfId="55770"/>
    <cellStyle name="Normal 15 6 7" xfId="55771"/>
    <cellStyle name="Normal 15 7" xfId="8443"/>
    <cellStyle name="Normal 15 7 2" xfId="55772"/>
    <cellStyle name="Normal 15 7 2 2" xfId="55773"/>
    <cellStyle name="Normal 15 7 2 3" xfId="55774"/>
    <cellStyle name="Normal 15 7 3" xfId="55775"/>
    <cellStyle name="Normal 15 7 3 2" xfId="55776"/>
    <cellStyle name="Normal 15 7 3 3" xfId="55777"/>
    <cellStyle name="Normal 15 7 4" xfId="55778"/>
    <cellStyle name="Normal 15 7 4 2" xfId="55779"/>
    <cellStyle name="Normal 15 7 5" xfId="55780"/>
    <cellStyle name="Normal 15 7 6" xfId="55781"/>
    <cellStyle name="Normal 15 7 7" xfId="55782"/>
    <cellStyle name="Normal 15 8" xfId="9370"/>
    <cellStyle name="Normal 15 8 2" xfId="55783"/>
    <cellStyle name="Normal 15 8 2 2" xfId="55784"/>
    <cellStyle name="Normal 15 8 2 3" xfId="55785"/>
    <cellStyle name="Normal 15 8 3" xfId="55786"/>
    <cellStyle name="Normal 15 8 3 2" xfId="55787"/>
    <cellStyle name="Normal 15 8 4" xfId="55788"/>
    <cellStyle name="Normal 15 8 5" xfId="55789"/>
    <cellStyle name="Normal 15 9" xfId="55790"/>
    <cellStyle name="Normal 15 9 2" xfId="55791"/>
    <cellStyle name="Normal 15 9 3" xfId="55792"/>
    <cellStyle name="Normal 16" xfId="4483"/>
    <cellStyle name="Normal 16 2" xfId="4484"/>
    <cellStyle name="Normal 16 2 2" xfId="9236"/>
    <cellStyle name="Normal 16 2 2 2" xfId="9237"/>
    <cellStyle name="Normal 16 2 3" xfId="9238"/>
    <cellStyle name="Normal 16 2 4" xfId="9239"/>
    <cellStyle name="Normal 16 3" xfId="9240"/>
    <cellStyle name="Normal 16 3 2" xfId="9241"/>
    <cellStyle name="Normal 16 4" xfId="9242"/>
    <cellStyle name="Normal 16 4 2" xfId="55793"/>
    <cellStyle name="Normal 16 5" xfId="9243"/>
    <cellStyle name="Normal 16 6" xfId="55794"/>
    <cellStyle name="Normal 17" xfId="4485"/>
    <cellStyle name="Normal 17 10" xfId="55795"/>
    <cellStyle name="Normal 17 10 2" xfId="55796"/>
    <cellStyle name="Normal 17 11" xfId="55797"/>
    <cellStyle name="Normal 17 12" xfId="55798"/>
    <cellStyle name="Normal 17 13" xfId="55799"/>
    <cellStyle name="Normal 17 2" xfId="4486"/>
    <cellStyle name="Normal 17 2 10" xfId="55800"/>
    <cellStyle name="Normal 17 2 11" xfId="55801"/>
    <cellStyle name="Normal 17 2 2" xfId="4487"/>
    <cellStyle name="Normal 17 2 2 10" xfId="55802"/>
    <cellStyle name="Normal 17 2 2 2" xfId="8444"/>
    <cellStyle name="Normal 17 2 2 2 2" xfId="8445"/>
    <cellStyle name="Normal 17 2 2 2 2 2" xfId="55803"/>
    <cellStyle name="Normal 17 2 2 2 2 3" xfId="55804"/>
    <cellStyle name="Normal 17 2 2 2 3" xfId="55805"/>
    <cellStyle name="Normal 17 2 2 2 3 2" xfId="55806"/>
    <cellStyle name="Normal 17 2 2 2 3 3" xfId="55807"/>
    <cellStyle name="Normal 17 2 2 2 4" xfId="55808"/>
    <cellStyle name="Normal 17 2 2 2 4 2" xfId="55809"/>
    <cellStyle name="Normal 17 2 2 2 5" xfId="55810"/>
    <cellStyle name="Normal 17 2 2 2 6" xfId="55811"/>
    <cellStyle name="Normal 17 2 2 2 7" xfId="55812"/>
    <cellStyle name="Normal 17 2 2 3" xfId="8446"/>
    <cellStyle name="Normal 17 2 2 3 2" xfId="55813"/>
    <cellStyle name="Normal 17 2 2 3 2 2" xfId="55814"/>
    <cellStyle name="Normal 17 2 2 3 2 3" xfId="55815"/>
    <cellStyle name="Normal 17 2 2 3 3" xfId="55816"/>
    <cellStyle name="Normal 17 2 2 3 3 2" xfId="55817"/>
    <cellStyle name="Normal 17 2 2 3 3 3" xfId="55818"/>
    <cellStyle name="Normal 17 2 2 3 4" xfId="55819"/>
    <cellStyle name="Normal 17 2 2 3 4 2" xfId="55820"/>
    <cellStyle name="Normal 17 2 2 3 5" xfId="55821"/>
    <cellStyle name="Normal 17 2 2 3 6" xfId="55822"/>
    <cellStyle name="Normal 17 2 2 3 7" xfId="55823"/>
    <cellStyle name="Normal 17 2 2 4" xfId="55824"/>
    <cellStyle name="Normal 17 2 2 4 2" xfId="55825"/>
    <cellStyle name="Normal 17 2 2 4 2 2" xfId="55826"/>
    <cellStyle name="Normal 17 2 2 4 2 3" xfId="55827"/>
    <cellStyle name="Normal 17 2 2 4 3" xfId="55828"/>
    <cellStyle name="Normal 17 2 2 4 3 2" xfId="55829"/>
    <cellStyle name="Normal 17 2 2 4 4" xfId="55830"/>
    <cellStyle name="Normal 17 2 2 4 5" xfId="55831"/>
    <cellStyle name="Normal 17 2 2 5" xfId="55832"/>
    <cellStyle name="Normal 17 2 2 5 2" xfId="55833"/>
    <cellStyle name="Normal 17 2 2 5 3" xfId="55834"/>
    <cellStyle name="Normal 17 2 2 6" xfId="55835"/>
    <cellStyle name="Normal 17 2 2 6 2" xfId="55836"/>
    <cellStyle name="Normal 17 2 2 6 3" xfId="55837"/>
    <cellStyle name="Normal 17 2 2 7" xfId="55838"/>
    <cellStyle name="Normal 17 2 2 7 2" xfId="55839"/>
    <cellStyle name="Normal 17 2 2 8" xfId="55840"/>
    <cellStyle name="Normal 17 2 2 9" xfId="55841"/>
    <cellStyle name="Normal 17 2 3" xfId="8447"/>
    <cellStyle name="Normal 17 2 3 2" xfId="8448"/>
    <cellStyle name="Normal 17 2 3 2 2" xfId="55842"/>
    <cellStyle name="Normal 17 2 3 2 3" xfId="55843"/>
    <cellStyle name="Normal 17 2 3 3" xfId="55844"/>
    <cellStyle name="Normal 17 2 3 3 2" xfId="55845"/>
    <cellStyle name="Normal 17 2 3 3 3" xfId="55846"/>
    <cellStyle name="Normal 17 2 3 4" xfId="55847"/>
    <cellStyle name="Normal 17 2 3 4 2" xfId="55848"/>
    <cellStyle name="Normal 17 2 3 5" xfId="55849"/>
    <cellStyle name="Normal 17 2 3 6" xfId="55850"/>
    <cellStyle name="Normal 17 2 3 7" xfId="55851"/>
    <cellStyle name="Normal 17 2 4" xfId="8449"/>
    <cellStyle name="Normal 17 2 4 2" xfId="55852"/>
    <cellStyle name="Normal 17 2 4 2 2" xfId="55853"/>
    <cellStyle name="Normal 17 2 4 2 3" xfId="55854"/>
    <cellStyle name="Normal 17 2 4 3" xfId="55855"/>
    <cellStyle name="Normal 17 2 4 3 2" xfId="55856"/>
    <cellStyle name="Normal 17 2 4 3 3" xfId="55857"/>
    <cellStyle name="Normal 17 2 4 4" xfId="55858"/>
    <cellStyle name="Normal 17 2 4 4 2" xfId="55859"/>
    <cellStyle name="Normal 17 2 4 5" xfId="55860"/>
    <cellStyle name="Normal 17 2 4 6" xfId="55861"/>
    <cellStyle name="Normal 17 2 4 7" xfId="55862"/>
    <cellStyle name="Normal 17 2 5" xfId="55863"/>
    <cellStyle name="Normal 17 2 5 2" xfId="55864"/>
    <cellStyle name="Normal 17 2 5 2 2" xfId="55865"/>
    <cellStyle name="Normal 17 2 5 2 3" xfId="55866"/>
    <cellStyle name="Normal 17 2 5 3" xfId="55867"/>
    <cellStyle name="Normal 17 2 5 3 2" xfId="55868"/>
    <cellStyle name="Normal 17 2 5 4" xfId="55869"/>
    <cellStyle name="Normal 17 2 5 5" xfId="55870"/>
    <cellStyle name="Normal 17 2 6" xfId="55871"/>
    <cellStyle name="Normal 17 2 6 2" xfId="55872"/>
    <cellStyle name="Normal 17 2 6 3" xfId="55873"/>
    <cellStyle name="Normal 17 2 7" xfId="55874"/>
    <cellStyle name="Normal 17 2 7 2" xfId="55875"/>
    <cellStyle name="Normal 17 2 7 3" xfId="55876"/>
    <cellStyle name="Normal 17 2 8" xfId="55877"/>
    <cellStyle name="Normal 17 2 8 2" xfId="55878"/>
    <cellStyle name="Normal 17 2 9" xfId="55879"/>
    <cellStyle name="Normal 17 3" xfId="4488"/>
    <cellStyle name="Normal 17 3 10" xfId="55880"/>
    <cellStyle name="Normal 17 3 2" xfId="8450"/>
    <cellStyle name="Normal 17 3 2 2" xfId="8451"/>
    <cellStyle name="Normal 17 3 2 2 2" xfId="55881"/>
    <cellStyle name="Normal 17 3 2 2 3" xfId="55882"/>
    <cellStyle name="Normal 17 3 2 2 4" xfId="55883"/>
    <cellStyle name="Normal 17 3 2 3" xfId="55884"/>
    <cellStyle name="Normal 17 3 2 3 2" xfId="55885"/>
    <cellStyle name="Normal 17 3 2 3 3" xfId="55886"/>
    <cellStyle name="Normal 17 3 2 4" xfId="55887"/>
    <cellStyle name="Normal 17 3 2 4 2" xfId="55888"/>
    <cellStyle name="Normal 17 3 2 5" xfId="55889"/>
    <cellStyle name="Normal 17 3 2 6" xfId="55890"/>
    <cellStyle name="Normal 17 3 2 7" xfId="55891"/>
    <cellStyle name="Normal 17 3 3" xfId="8452"/>
    <cellStyle name="Normal 17 3 3 2" xfId="55892"/>
    <cellStyle name="Normal 17 3 3 2 2" xfId="55893"/>
    <cellStyle name="Normal 17 3 3 2 3" xfId="55894"/>
    <cellStyle name="Normal 17 3 3 3" xfId="55895"/>
    <cellStyle name="Normal 17 3 3 3 2" xfId="55896"/>
    <cellStyle name="Normal 17 3 3 3 3" xfId="55897"/>
    <cellStyle name="Normal 17 3 3 4" xfId="55898"/>
    <cellStyle name="Normal 17 3 3 4 2" xfId="55899"/>
    <cellStyle name="Normal 17 3 3 5" xfId="55900"/>
    <cellStyle name="Normal 17 3 3 6" xfId="55901"/>
    <cellStyle name="Normal 17 3 3 7" xfId="55902"/>
    <cellStyle name="Normal 17 3 4" xfId="55903"/>
    <cellStyle name="Normal 17 3 4 2" xfId="55904"/>
    <cellStyle name="Normal 17 3 4 2 2" xfId="55905"/>
    <cellStyle name="Normal 17 3 4 2 3" xfId="55906"/>
    <cellStyle name="Normal 17 3 4 3" xfId="55907"/>
    <cellStyle name="Normal 17 3 4 3 2" xfId="55908"/>
    <cellStyle name="Normal 17 3 4 4" xfId="55909"/>
    <cellStyle name="Normal 17 3 4 5" xfId="55910"/>
    <cellStyle name="Normal 17 3 5" xfId="55911"/>
    <cellStyle name="Normal 17 3 5 2" xfId="55912"/>
    <cellStyle name="Normal 17 3 5 3" xfId="55913"/>
    <cellStyle name="Normal 17 3 6" xfId="55914"/>
    <cellStyle name="Normal 17 3 6 2" xfId="55915"/>
    <cellStyle name="Normal 17 3 6 3" xfId="55916"/>
    <cellStyle name="Normal 17 3 7" xfId="55917"/>
    <cellStyle name="Normal 17 3 7 2" xfId="55918"/>
    <cellStyle name="Normal 17 3 8" xfId="55919"/>
    <cellStyle name="Normal 17 3 9" xfId="55920"/>
    <cellStyle name="Normal 17 4" xfId="8453"/>
    <cellStyle name="Normal 17 4 10" xfId="55921"/>
    <cellStyle name="Normal 17 4 2" xfId="8454"/>
    <cellStyle name="Normal 17 4 2 2" xfId="55922"/>
    <cellStyle name="Normal 17 4 2 2 2" xfId="55923"/>
    <cellStyle name="Normal 17 4 2 2 3" xfId="55924"/>
    <cellStyle name="Normal 17 4 2 3" xfId="55925"/>
    <cellStyle name="Normal 17 4 2 3 2" xfId="55926"/>
    <cellStyle name="Normal 17 4 2 3 3" xfId="55927"/>
    <cellStyle name="Normal 17 4 2 4" xfId="55928"/>
    <cellStyle name="Normal 17 4 2 4 2" xfId="55929"/>
    <cellStyle name="Normal 17 4 2 5" xfId="55930"/>
    <cellStyle name="Normal 17 4 2 6" xfId="55931"/>
    <cellStyle name="Normal 17 4 2 7" xfId="55932"/>
    <cellStyle name="Normal 17 4 3" xfId="55933"/>
    <cellStyle name="Normal 17 4 3 2" xfId="55934"/>
    <cellStyle name="Normal 17 4 3 2 2" xfId="55935"/>
    <cellStyle name="Normal 17 4 3 2 3" xfId="55936"/>
    <cellStyle name="Normal 17 4 3 3" xfId="55937"/>
    <cellStyle name="Normal 17 4 3 3 2" xfId="55938"/>
    <cellStyle name="Normal 17 4 3 3 3" xfId="55939"/>
    <cellStyle name="Normal 17 4 3 4" xfId="55940"/>
    <cellStyle name="Normal 17 4 3 4 2" xfId="55941"/>
    <cellStyle name="Normal 17 4 3 5" xfId="55942"/>
    <cellStyle name="Normal 17 4 3 6" xfId="55943"/>
    <cellStyle name="Normal 17 4 4" xfId="55944"/>
    <cellStyle name="Normal 17 4 4 2" xfId="55945"/>
    <cellStyle name="Normal 17 4 4 2 2" xfId="55946"/>
    <cellStyle name="Normal 17 4 4 2 3" xfId="55947"/>
    <cellStyle name="Normal 17 4 4 3" xfId="55948"/>
    <cellStyle name="Normal 17 4 4 3 2" xfId="55949"/>
    <cellStyle name="Normal 17 4 4 4" xfId="55950"/>
    <cellStyle name="Normal 17 4 4 5" xfId="55951"/>
    <cellStyle name="Normal 17 4 5" xfId="55952"/>
    <cellStyle name="Normal 17 4 5 2" xfId="55953"/>
    <cellStyle name="Normal 17 4 5 3" xfId="55954"/>
    <cellStyle name="Normal 17 4 6" xfId="55955"/>
    <cellStyle name="Normal 17 4 6 2" xfId="55956"/>
    <cellStyle name="Normal 17 4 6 3" xfId="55957"/>
    <cellStyle name="Normal 17 4 7" xfId="55958"/>
    <cellStyle name="Normal 17 4 7 2" xfId="55959"/>
    <cellStyle name="Normal 17 4 8" xfId="55960"/>
    <cellStyle name="Normal 17 4 9" xfId="55961"/>
    <cellStyle name="Normal 17 5" xfId="8455"/>
    <cellStyle name="Normal 17 5 2" xfId="8456"/>
    <cellStyle name="Normal 17 5 2 2" xfId="55962"/>
    <cellStyle name="Normal 17 5 2 3" xfId="55963"/>
    <cellStyle name="Normal 17 5 2 4" xfId="55964"/>
    <cellStyle name="Normal 17 5 3" xfId="55965"/>
    <cellStyle name="Normal 17 5 3 2" xfId="55966"/>
    <cellStyle name="Normal 17 5 3 3" xfId="55967"/>
    <cellStyle name="Normal 17 5 4" xfId="55968"/>
    <cellStyle name="Normal 17 5 4 2" xfId="55969"/>
    <cellStyle name="Normal 17 5 5" xfId="55970"/>
    <cellStyle name="Normal 17 5 6" xfId="55971"/>
    <cellStyle name="Normal 17 5 7" xfId="55972"/>
    <cellStyle name="Normal 17 6" xfId="8457"/>
    <cellStyle name="Normal 17 6 2" xfId="55973"/>
    <cellStyle name="Normal 17 6 2 2" xfId="55974"/>
    <cellStyle name="Normal 17 6 2 3" xfId="55975"/>
    <cellStyle name="Normal 17 6 3" xfId="55976"/>
    <cellStyle name="Normal 17 6 3 2" xfId="55977"/>
    <cellStyle name="Normal 17 6 3 3" xfId="55978"/>
    <cellStyle name="Normal 17 6 4" xfId="55979"/>
    <cellStyle name="Normal 17 6 4 2" xfId="55980"/>
    <cellStyle name="Normal 17 6 5" xfId="55981"/>
    <cellStyle name="Normal 17 6 6" xfId="55982"/>
    <cellStyle name="Normal 17 6 7" xfId="55983"/>
    <cellStyle name="Normal 17 7" xfId="55984"/>
    <cellStyle name="Normal 17 7 2" xfId="55985"/>
    <cellStyle name="Normal 17 7 2 2" xfId="55986"/>
    <cellStyle name="Normal 17 7 2 3" xfId="55987"/>
    <cellStyle name="Normal 17 7 3" xfId="55988"/>
    <cellStyle name="Normal 17 7 3 2" xfId="55989"/>
    <cellStyle name="Normal 17 7 4" xfId="55990"/>
    <cellStyle name="Normal 17 7 5" xfId="55991"/>
    <cellStyle name="Normal 17 8" xfId="55992"/>
    <cellStyle name="Normal 17 8 2" xfId="55993"/>
    <cellStyle name="Normal 17 8 3" xfId="55994"/>
    <cellStyle name="Normal 17 9" xfId="55995"/>
    <cellStyle name="Normal 17 9 2" xfId="55996"/>
    <cellStyle name="Normal 17 9 3" xfId="55997"/>
    <cellStyle name="Normal 18" xfId="4489"/>
    <cellStyle name="Normal 18 2" xfId="4490"/>
    <cellStyle name="Normal 18 2 2" xfId="4491"/>
    <cellStyle name="Normal 18 2 2 2" xfId="55998"/>
    <cellStyle name="Normal 18 2 2 3" xfId="59504"/>
    <cellStyle name="Normal 18 2 3" xfId="55999"/>
    <cellStyle name="Normal 18 2 4" xfId="59505"/>
    <cellStyle name="Normal 18 2 5" xfId="59506"/>
    <cellStyle name="Normal 18 2 6" xfId="59507"/>
    <cellStyle name="Normal 18 2 7" xfId="59508"/>
    <cellStyle name="Normal 18 3" xfId="4492"/>
    <cellStyle name="Normal 18 3 2" xfId="56000"/>
    <cellStyle name="Normal 18 3 2 2" xfId="59509"/>
    <cellStyle name="Normal 18 3 3" xfId="59510"/>
    <cellStyle name="Normal 18 3 4" xfId="59511"/>
    <cellStyle name="Normal 18 3 5" xfId="59512"/>
    <cellStyle name="Normal 18 3 6" xfId="59513"/>
    <cellStyle name="Normal 18 4" xfId="9244"/>
    <cellStyle name="Normal 18 4 2" xfId="56001"/>
    <cellStyle name="Normal 18 5" xfId="56002"/>
    <cellStyle name="Normal 18 5 2" xfId="56003"/>
    <cellStyle name="Normal 18 6" xfId="56004"/>
    <cellStyle name="Normal 18 7" xfId="56005"/>
    <cellStyle name="Normal 18 8" xfId="56006"/>
    <cellStyle name="Normal 19" xfId="4493"/>
    <cellStyle name="Normal 19 2" xfId="4494"/>
    <cellStyle name="Normal 19 2 2" xfId="9245"/>
    <cellStyle name="Normal 19 2 2 2" xfId="9246"/>
    <cellStyle name="Normal 19 2 3" xfId="9247"/>
    <cellStyle name="Normal 19 2 4" xfId="9248"/>
    <cellStyle name="Normal 19 3" xfId="9249"/>
    <cellStyle name="Normal 19 3 2" xfId="9250"/>
    <cellStyle name="Normal 19 4" xfId="9251"/>
    <cellStyle name="Normal 19 4 2" xfId="56007"/>
    <cellStyle name="Normal 19 5" xfId="9252"/>
    <cellStyle name="Normal 19 6" xfId="56008"/>
    <cellStyle name="Normal 2" xfId="4495"/>
    <cellStyle name="Normal 2 10" xfId="8458"/>
    <cellStyle name="Normal 2 10 2" xfId="8459"/>
    <cellStyle name="Normal 2 10 2 2" xfId="59514"/>
    <cellStyle name="Normal 2 10 3" xfId="57817"/>
    <cellStyle name="Normal 2 11" xfId="8460"/>
    <cellStyle name="Normal 2 11 2" xfId="8461"/>
    <cellStyle name="Normal 2 11 2 2" xfId="59515"/>
    <cellStyle name="Normal 2 11 3" xfId="59516"/>
    <cellStyle name="Normal 2 12" xfId="8462"/>
    <cellStyle name="Normal 2 12 2" xfId="59517"/>
    <cellStyle name="Normal 2 13" xfId="9845"/>
    <cellStyle name="Normal 2 14" xfId="9846"/>
    <cellStyle name="Normal 2 15" xfId="9847"/>
    <cellStyle name="Normal 2 16" xfId="9848"/>
    <cellStyle name="Normal 2 17" xfId="9849"/>
    <cellStyle name="Normal 2 18" xfId="59518"/>
    <cellStyle name="Normal 2 18 2" xfId="59519"/>
    <cellStyle name="Normal 2 18 2 2" xfId="59520"/>
    <cellStyle name="Normal 2 18 3" xfId="59521"/>
    <cellStyle name="Normal 2 18 4" xfId="59522"/>
    <cellStyle name="Normal 2 19" xfId="59523"/>
    <cellStyle name="Normal 2 19 2" xfId="59524"/>
    <cellStyle name="Normal 2 2" xfId="4496"/>
    <cellStyle name="Normal 2 2 2" xfId="4497"/>
    <cellStyle name="Normal 2 2 2 2" xfId="4498"/>
    <cellStyle name="Normal 2 2 2 2 2" xfId="9850"/>
    <cellStyle name="Normal 2 2 2 2 3" xfId="56009"/>
    <cellStyle name="Normal 2 2 2 3" xfId="8463"/>
    <cellStyle name="Normal 2 2 2 3 2" xfId="9851"/>
    <cellStyle name="Normal 2 2 2 3 3" xfId="56010"/>
    <cellStyle name="Normal 2 2 2 4" xfId="8464"/>
    <cellStyle name="Normal 2 2 2 4 2" xfId="9852"/>
    <cellStyle name="Normal 2 2 2 5" xfId="9853"/>
    <cellStyle name="Normal 2 2 3" xfId="4499"/>
    <cellStyle name="Normal 2 2 3 2" xfId="9854"/>
    <cellStyle name="Normal 2 2 3 3" xfId="56011"/>
    <cellStyle name="Normal 2 2 4" xfId="4500"/>
    <cellStyle name="Normal 2 2 4 2" xfId="4501"/>
    <cellStyle name="Normal 2 2 4 2 2" xfId="4502"/>
    <cellStyle name="Normal 2 2 4 2 2 2" xfId="59525"/>
    <cellStyle name="Normal 2 2 4 2 2 2 2" xfId="59526"/>
    <cellStyle name="Normal 2 2 4 2 2 3" xfId="59527"/>
    <cellStyle name="Normal 2 2 4 2 2 4" xfId="59528"/>
    <cellStyle name="Normal 2 2 4 2 3" xfId="59529"/>
    <cellStyle name="Normal 2 2 4 2 3 2" xfId="59530"/>
    <cellStyle name="Normal 2 2 4 2 4" xfId="59531"/>
    <cellStyle name="Normal 2 2 4 2 5" xfId="59532"/>
    <cellStyle name="Normal 2 2 4 3" xfId="4503"/>
    <cellStyle name="Normal 2 2 4 3 2" xfId="59533"/>
    <cellStyle name="Normal 2 2 4 3 2 2" xfId="59534"/>
    <cellStyle name="Normal 2 2 4 3 3" xfId="59535"/>
    <cellStyle name="Normal 2 2 4 3 4" xfId="59536"/>
    <cellStyle name="Normal 2 2 4 4" xfId="59537"/>
    <cellStyle name="Normal 2 2 4 4 2" xfId="59538"/>
    <cellStyle name="Normal 2 2 4 5" xfId="59539"/>
    <cellStyle name="Normal 2 2 4 5 2" xfId="59540"/>
    <cellStyle name="Normal 2 2 4 6" xfId="59541"/>
    <cellStyle name="Normal 2 2 4 7" xfId="59542"/>
    <cellStyle name="Normal 2 2 5" xfId="4504"/>
    <cellStyle name="Normal 2 2 5 2" xfId="59543"/>
    <cellStyle name="Normal 2 2 5 2 2" xfId="59544"/>
    <cellStyle name="Normal 2 2 5 2 3" xfId="59545"/>
    <cellStyle name="Normal 2 2 5 3" xfId="59546"/>
    <cellStyle name="Normal 2 2 5 4" xfId="59547"/>
    <cellStyle name="Normal 2 2 5 5" xfId="59548"/>
    <cellStyle name="Normal 2 2 5 6" xfId="59549"/>
    <cellStyle name="Normal 2 2 6" xfId="9253"/>
    <cellStyle name="Normal 2 2 6 2" xfId="59550"/>
    <cellStyle name="Normal 2 2 6 2 2" xfId="59551"/>
    <cellStyle name="Normal 2 2 6 3" xfId="59552"/>
    <cellStyle name="Normal 2 2 6 4" xfId="59553"/>
    <cellStyle name="Normal 2 2 6 5" xfId="59554"/>
    <cellStyle name="Normal 2 2 7" xfId="9855"/>
    <cellStyle name="Normal 2 2 8" xfId="59555"/>
    <cellStyle name="Normal 2 2 8 2" xfId="59556"/>
    <cellStyle name="Normal 2 2 8 3" xfId="59557"/>
    <cellStyle name="Normal 2 20" xfId="59558"/>
    <cellStyle name="Normal 2 20 2" xfId="59559"/>
    <cellStyle name="Normal 2 20 3" xfId="59560"/>
    <cellStyle name="Normal 2 21" xfId="59561"/>
    <cellStyle name="Normal 2 21 2" xfId="59562"/>
    <cellStyle name="Normal 2 22" xfId="59563"/>
    <cellStyle name="Normal 2 23" xfId="61973"/>
    <cellStyle name="Normal 2 3" xfId="4505"/>
    <cellStyle name="Normal 2 3 2" xfId="4506"/>
    <cellStyle name="Normal 2 3 2 2" xfId="9856"/>
    <cellStyle name="Normal 2 3 2 3" xfId="56012"/>
    <cellStyle name="Normal 2 3 2 4" xfId="56013"/>
    <cellStyle name="Normal 2 3 3" xfId="9857"/>
    <cellStyle name="Normal 2 3 3 2" xfId="56014"/>
    <cellStyle name="Normal 2 3 3 3" xfId="56015"/>
    <cellStyle name="Normal 2 3 4" xfId="9858"/>
    <cellStyle name="Normal 2 3 4 2" xfId="59564"/>
    <cellStyle name="Normal 2 3 4 2 2" xfId="59565"/>
    <cellStyle name="Normal 2 3 4 3" xfId="59566"/>
    <cellStyle name="Normal 2 3 4 4" xfId="59567"/>
    <cellStyle name="Normal 2 3 4 5" xfId="59568"/>
    <cellStyle name="Normal 2 3 5" xfId="9859"/>
    <cellStyle name="Normal 2 3 5 2" xfId="56016"/>
    <cellStyle name="Normal 2 3 5 2 2" xfId="59569"/>
    <cellStyle name="Normal 2 3 5 3" xfId="59570"/>
    <cellStyle name="Normal 2 3 5 4" xfId="59571"/>
    <cellStyle name="Normal 2 3 5 5" xfId="59572"/>
    <cellStyle name="Normal 2 3 6" xfId="9860"/>
    <cellStyle name="Normal 2 3 6 2" xfId="59573"/>
    <cellStyle name="Normal 2 4" xfId="4507"/>
    <cellStyle name="Normal 2 4 2" xfId="8465"/>
    <cellStyle name="Normal 2 4 2 2" xfId="9861"/>
    <cellStyle name="Normal 2 4 2 2 2" xfId="56017"/>
    <cellStyle name="Normal 2 4 2 3" xfId="56018"/>
    <cellStyle name="Normal 2 4 2 3 2" xfId="56019"/>
    <cellStyle name="Normal 2 4 2 4" xfId="56020"/>
    <cellStyle name="Normal 2 4 2 5" xfId="56021"/>
    <cellStyle name="Normal 2 4 3" xfId="8466"/>
    <cellStyle name="Normal 2 4 3 2" xfId="9862"/>
    <cellStyle name="Normal 2 4 3 2 2" xfId="56022"/>
    <cellStyle name="Normal 2 4 3 3" xfId="56023"/>
    <cellStyle name="Normal 2 4 3 3 2" xfId="56024"/>
    <cellStyle name="Normal 2 4 3 4" xfId="56025"/>
    <cellStyle name="Normal 2 4 3 5" xfId="56026"/>
    <cellStyle name="Normal 2 4 4" xfId="8467"/>
    <cellStyle name="Normal 2 4 4 2" xfId="9863"/>
    <cellStyle name="Normal 2 4 4 2 2" xfId="56027"/>
    <cellStyle name="Normal 2 4 4 3" xfId="56028"/>
    <cellStyle name="Normal 2 4 4 4" xfId="56029"/>
    <cellStyle name="Normal 2 4 5" xfId="9864"/>
    <cellStyle name="Normal 2 4 5 2" xfId="56030"/>
    <cellStyle name="Normal 2 4 6" xfId="56031"/>
    <cellStyle name="Normal 2 4 7" xfId="56032"/>
    <cellStyle name="Normal 2 4 8" xfId="56033"/>
    <cellStyle name="Normal 2 41" xfId="8675"/>
    <cellStyle name="Normal 2 43" xfId="8676"/>
    <cellStyle name="Normal 2 5" xfId="4508"/>
    <cellStyle name="Normal 2 5 2" xfId="4509"/>
    <cellStyle name="Normal 2 5 2 2" xfId="4510"/>
    <cellStyle name="Normal 2 5 2 2 2" xfId="59574"/>
    <cellStyle name="Normal 2 5 2 2 2 2" xfId="59575"/>
    <cellStyle name="Normal 2 5 2 2 3" xfId="59576"/>
    <cellStyle name="Normal 2 5 2 2 4" xfId="59577"/>
    <cellStyle name="Normal 2 5 2 3" xfId="4511"/>
    <cellStyle name="Normal 2 5 2 3 2" xfId="59578"/>
    <cellStyle name="Normal 2 5 2 3 2 2" xfId="59579"/>
    <cellStyle name="Normal 2 5 2 3 3" xfId="59580"/>
    <cellStyle name="Normal 2 5 2 3 4" xfId="59581"/>
    <cellStyle name="Normal 2 5 2 4" xfId="59582"/>
    <cellStyle name="Normal 2 5 2 4 2" xfId="59583"/>
    <cellStyle name="Normal 2 5 2 5" xfId="59584"/>
    <cellStyle name="Normal 2 5 2 6" xfId="59585"/>
    <cellStyle name="Normal 2 5 2 7" xfId="59586"/>
    <cellStyle name="Normal 2 5 3" xfId="4512"/>
    <cellStyle name="Normal 2 5 3 2" xfId="56034"/>
    <cellStyle name="Normal 2 5 3 2 2" xfId="59587"/>
    <cellStyle name="Normal 2 5 3 3" xfId="59588"/>
    <cellStyle name="Normal 2 5 3 4" xfId="59589"/>
    <cellStyle name="Normal 2 5 4" xfId="4513"/>
    <cellStyle name="Normal 2 5 4 2" xfId="59590"/>
    <cellStyle name="Normal 2 5 4 2 2" xfId="59591"/>
    <cellStyle name="Normal 2 5 4 3" xfId="59592"/>
    <cellStyle name="Normal 2 5 4 4" xfId="59593"/>
    <cellStyle name="Normal 2 5 5" xfId="9254"/>
    <cellStyle name="Normal 2 5 6" xfId="59594"/>
    <cellStyle name="Normal 2 6" xfId="4514"/>
    <cellStyle name="Normal 2 6 2" xfId="9255"/>
    <cellStyle name="Normal 2 6 2 2" xfId="9256"/>
    <cellStyle name="Normal 2 6 3" xfId="9257"/>
    <cellStyle name="Normal 2 6 3 2" xfId="56035"/>
    <cellStyle name="Normal 2 6 4" xfId="9258"/>
    <cellStyle name="Normal 2 6 4 2" xfId="56036"/>
    <cellStyle name="Normal 2 6 5" xfId="56037"/>
    <cellStyle name="Normal 2 6 5 2" xfId="56038"/>
    <cellStyle name="Normal 2 6 6" xfId="56039"/>
    <cellStyle name="Normal 2 6 7" xfId="56040"/>
    <cellStyle name="Normal 2 7" xfId="8468"/>
    <cellStyle name="Normal 2 7 2" xfId="8469"/>
    <cellStyle name="Normal 2 7 2 2" xfId="8470"/>
    <cellStyle name="Normal 2 7 2 2 2" xfId="8471"/>
    <cellStyle name="Normal 2 7 2 2 3" xfId="59595"/>
    <cellStyle name="Normal 2 7 2 3" xfId="8472"/>
    <cellStyle name="Normal 2 7 2 3 2" xfId="59596"/>
    <cellStyle name="Normal 2 7 2 4" xfId="56041"/>
    <cellStyle name="Normal 2 7 2 5" xfId="56042"/>
    <cellStyle name="Normal 2 7 3" xfId="8473"/>
    <cellStyle name="Normal 2 7 3 2" xfId="8474"/>
    <cellStyle name="Normal 2 7 3 2 2" xfId="59597"/>
    <cellStyle name="Normal 2 7 3 3" xfId="59598"/>
    <cellStyle name="Normal 2 7 3 4" xfId="59599"/>
    <cellStyle name="Normal 2 7 3 5" xfId="59600"/>
    <cellStyle name="Normal 2 7 4" xfId="8475"/>
    <cellStyle name="Normal 2 7 4 2" xfId="59601"/>
    <cellStyle name="Normal 2 7 4 2 2" xfId="59602"/>
    <cellStyle name="Normal 2 7 4 3" xfId="59603"/>
    <cellStyle name="Normal 2 7 4 4" xfId="59604"/>
    <cellStyle name="Normal 2 7 4 5" xfId="59605"/>
    <cellStyle name="Normal 2 7 5" xfId="56043"/>
    <cellStyle name="Normal 2 7 6" xfId="56044"/>
    <cellStyle name="Normal 2 8" xfId="8476"/>
    <cellStyle name="Normal 2 8 2" xfId="8477"/>
    <cellStyle name="Normal 2 8 2 2" xfId="8478"/>
    <cellStyle name="Normal 2 8 2 2 2" xfId="59606"/>
    <cellStyle name="Normal 2 8 2 3" xfId="59607"/>
    <cellStyle name="Normal 2 8 2 4" xfId="59608"/>
    <cellStyle name="Normal 2 8 2 5" xfId="59609"/>
    <cellStyle name="Normal 2 8 3" xfId="8479"/>
    <cellStyle name="Normal 2 8 3 2" xfId="59610"/>
    <cellStyle name="Normal 2 8 3 2 2" xfId="59611"/>
    <cellStyle name="Normal 2 8 3 3" xfId="59612"/>
    <cellStyle name="Normal 2 8 3 4" xfId="59613"/>
    <cellStyle name="Normal 2 8 3 5" xfId="59614"/>
    <cellStyle name="Normal 2 8 4" xfId="56045"/>
    <cellStyle name="Normal 2 8 5" xfId="56046"/>
    <cellStyle name="Normal 2 9" xfId="8480"/>
    <cellStyle name="Normal 2 9 2" xfId="8481"/>
    <cellStyle name="Normal 2 9 2 2" xfId="59615"/>
    <cellStyle name="Normal 2 9 2 2 2" xfId="59616"/>
    <cellStyle name="Normal 2 9 2 3" xfId="59617"/>
    <cellStyle name="Normal 2 9 2 4" xfId="59618"/>
    <cellStyle name="Normal 2 9 2 5" xfId="59619"/>
    <cellStyle name="Normal 2 9 3" xfId="56047"/>
    <cellStyle name="Normal 2_183302" xfId="8770"/>
    <cellStyle name="Normal 20" xfId="4515"/>
    <cellStyle name="Normal 20 2" xfId="4516"/>
    <cellStyle name="Normal 20 2 2" xfId="4517"/>
    <cellStyle name="Normal 20 2 2 2" xfId="59620"/>
    <cellStyle name="Normal 20 2 3" xfId="59621"/>
    <cellStyle name="Normal 20 2 4" xfId="59622"/>
    <cellStyle name="Normal 20 2 5" xfId="59623"/>
    <cellStyle name="Normal 20 3" xfId="4518"/>
    <cellStyle name="Normal 20 3 2" xfId="56048"/>
    <cellStyle name="Normal 20 3 3" xfId="59624"/>
    <cellStyle name="Normal 20 3 4" xfId="59625"/>
    <cellStyle name="Normal 20 4" xfId="9259"/>
    <cellStyle name="Normal 20 4 2" xfId="56049"/>
    <cellStyle name="Normal 20 5" xfId="56050"/>
    <cellStyle name="Normal 20 5 2" xfId="56051"/>
    <cellStyle name="Normal 20 6" xfId="56052"/>
    <cellStyle name="Normal 20 7" xfId="56053"/>
    <cellStyle name="Normal 20 8" xfId="56054"/>
    <cellStyle name="Normal 21" xfId="4519"/>
    <cellStyle name="Normal 21 2" xfId="4520"/>
    <cellStyle name="Normal 21 2 2" xfId="9260"/>
    <cellStyle name="Normal 21 3" xfId="9261"/>
    <cellStyle name="Normal 21 3 2" xfId="56055"/>
    <cellStyle name="Normal 21 4" xfId="56056"/>
    <cellStyle name="Normal 21 4 2" xfId="56057"/>
    <cellStyle name="Normal 21 5" xfId="56058"/>
    <cellStyle name="Normal 21 5 2" xfId="56059"/>
    <cellStyle name="Normal 21 6" xfId="56060"/>
    <cellStyle name="Normal 21 7" xfId="56061"/>
    <cellStyle name="Normal 21 8" xfId="56062"/>
    <cellStyle name="Normal 22" xfId="4521"/>
    <cellStyle name="Normal 22 2" xfId="4522"/>
    <cellStyle name="Normal 22 2 2" xfId="56063"/>
    <cellStyle name="Normal 22 2 3" xfId="59626"/>
    <cellStyle name="Normal 22 2 4" xfId="59627"/>
    <cellStyle name="Normal 22 2 5" xfId="59628"/>
    <cellStyle name="Normal 22 3" xfId="4523"/>
    <cellStyle name="Normal 22 3 2" xfId="56064"/>
    <cellStyle name="Normal 22 4" xfId="9262"/>
    <cellStyle name="Normal 22 4 2" xfId="56065"/>
    <cellStyle name="Normal 22 5" xfId="56066"/>
    <cellStyle name="Normal 22 6" xfId="56067"/>
    <cellStyle name="Normal 23" xfId="4524"/>
    <cellStyle name="Normal 23 2" xfId="4525"/>
    <cellStyle name="Normal 23 2 2" xfId="9263"/>
    <cellStyle name="Normal 23 2 2 2" xfId="9264"/>
    <cellStyle name="Normal 23 2 3" xfId="9265"/>
    <cellStyle name="Normal 23 2 4" xfId="9266"/>
    <cellStyle name="Normal 23 2 5" xfId="59629"/>
    <cellStyle name="Normal 23 3" xfId="4526"/>
    <cellStyle name="Normal 23 3 2" xfId="9267"/>
    <cellStyle name="Normal 23 3 3" xfId="9268"/>
    <cellStyle name="Normal 23 4" xfId="9269"/>
    <cellStyle name="Normal 23 5" xfId="9270"/>
    <cellStyle name="Normal 24" xfId="4527"/>
    <cellStyle name="Normal 24 2" xfId="4528"/>
    <cellStyle name="Normal 24 2 2" xfId="9271"/>
    <cellStyle name="Normal 24 3" xfId="4529"/>
    <cellStyle name="Normal 24 4" xfId="9272"/>
    <cellStyle name="Normal 25" xfId="4530"/>
    <cellStyle name="Normal 25 2" xfId="4531"/>
    <cellStyle name="Normal 25 3" xfId="56068"/>
    <cellStyle name="Normal 26" xfId="4532"/>
    <cellStyle name="Normal 26 2" xfId="4533"/>
    <cellStyle name="Normal 26 2 2" xfId="9865"/>
    <cellStyle name="Normal 26 3" xfId="9866"/>
    <cellStyle name="Normal 26 3 2" xfId="59630"/>
    <cellStyle name="Normal 26 3 3" xfId="59631"/>
    <cellStyle name="Normal 26 4" xfId="59632"/>
    <cellStyle name="Normal 26 4 2" xfId="59633"/>
    <cellStyle name="Normal 26 4 3" xfId="59634"/>
    <cellStyle name="Normal 26 5" xfId="59635"/>
    <cellStyle name="Normal 26 5 2" xfId="59636"/>
    <cellStyle name="Normal 26 6" xfId="59637"/>
    <cellStyle name="Normal 26 7" xfId="59638"/>
    <cellStyle name="Normal 26 8" xfId="59639"/>
    <cellStyle name="Normal 27" xfId="4534"/>
    <cellStyle name="Normal 27 2" xfId="4535"/>
    <cellStyle name="Normal 27 2 2" xfId="4536"/>
    <cellStyle name="Normal 27 2 2 2" xfId="4537"/>
    <cellStyle name="Normal 27 2 2 3" xfId="59640"/>
    <cellStyle name="Normal 27 2 3" xfId="4538"/>
    <cellStyle name="Normal 27 2 4" xfId="59641"/>
    <cellStyle name="Normal 27 3" xfId="4539"/>
    <cellStyle name="Normal 27 3 2" xfId="4540"/>
    <cellStyle name="Normal 27 3 3" xfId="59642"/>
    <cellStyle name="Normal 27 4" xfId="4541"/>
    <cellStyle name="Normal 27 5" xfId="9273"/>
    <cellStyle name="Normal 28" xfId="4542"/>
    <cellStyle name="Normal 28 2" xfId="4543"/>
    <cellStyle name="Normal 28 2 2" xfId="4544"/>
    <cellStyle name="Normal 28 2 2 2" xfId="4545"/>
    <cellStyle name="Normal 28 2 3" xfId="4546"/>
    <cellStyle name="Normal 28 2 3 2" xfId="59643"/>
    <cellStyle name="Normal 28 2 4" xfId="9274"/>
    <cellStyle name="Normal 28 3" xfId="4547"/>
    <cellStyle name="Normal 28 3 2" xfId="4548"/>
    <cellStyle name="Normal 28 4" xfId="4549"/>
    <cellStyle name="Normal 28 4 2" xfId="59644"/>
    <cellStyle name="Normal 28 4 3" xfId="59645"/>
    <cellStyle name="Normal 28 5" xfId="9275"/>
    <cellStyle name="Normal 28 5 2" xfId="59646"/>
    <cellStyle name="Normal 28 6" xfId="59647"/>
    <cellStyle name="Normal 28 7" xfId="59648"/>
    <cellStyle name="Normal 28 8" xfId="59649"/>
    <cellStyle name="Normal 29" xfId="4550"/>
    <cellStyle name="Normal 29 2" xfId="4551"/>
    <cellStyle name="Normal 29 2 2" xfId="4552"/>
    <cellStyle name="Normal 29 2 3" xfId="59650"/>
    <cellStyle name="Normal 29 2 4" xfId="59651"/>
    <cellStyle name="Normal 29 3" xfId="4553"/>
    <cellStyle name="Normal 29 3 2" xfId="59652"/>
    <cellStyle name="Normal 29 4" xfId="9276"/>
    <cellStyle name="Normal 29 5" xfId="9371"/>
    <cellStyle name="Normal 29 6" xfId="59653"/>
    <cellStyle name="Normal 3" xfId="4"/>
    <cellStyle name="Normal 3 10" xfId="9867"/>
    <cellStyle name="Normal 3 11" xfId="9868"/>
    <cellStyle name="Normal 3 12" xfId="9869"/>
    <cellStyle name="Normal 3 13" xfId="9870"/>
    <cellStyle name="Normal 3 14" xfId="9871"/>
    <cellStyle name="Normal 3 15" xfId="9872"/>
    <cellStyle name="Normal 3 16" xfId="9873"/>
    <cellStyle name="Normal 3 17" xfId="9874"/>
    <cellStyle name="Normal 3 17 2" xfId="9875"/>
    <cellStyle name="Normal 3 17 2 2" xfId="9876"/>
    <cellStyle name="Normal 3 17 3" xfId="9877"/>
    <cellStyle name="Normal 3 18" xfId="9878"/>
    <cellStyle name="Normal 3 18 2" xfId="9879"/>
    <cellStyle name="Normal 3 18 2 2" xfId="59654"/>
    <cellStyle name="Normal 3 18 2 3" xfId="59655"/>
    <cellStyle name="Normal 3 18 3" xfId="59656"/>
    <cellStyle name="Normal 3 18 3 2" xfId="59657"/>
    <cellStyle name="Normal 3 18 4" xfId="59658"/>
    <cellStyle name="Normal 3 18 5" xfId="59659"/>
    <cellStyle name="Normal 3 18 6" xfId="59660"/>
    <cellStyle name="Normal 3 19" xfId="9880"/>
    <cellStyle name="Normal 3 19 2" xfId="59661"/>
    <cellStyle name="Normal 3 19 3" xfId="59662"/>
    <cellStyle name="Normal 3 2" xfId="4554"/>
    <cellStyle name="Normal 3 2 2" xfId="4555"/>
    <cellStyle name="Normal 3 2 2 2" xfId="9881"/>
    <cellStyle name="Normal 3 2 2 3" xfId="56069"/>
    <cellStyle name="Normal 3 2 3" xfId="8482"/>
    <cellStyle name="Normal 3 2 3 2" xfId="56070"/>
    <cellStyle name="Normal 3 2 3 3" xfId="56071"/>
    <cellStyle name="Normal 3 2 4" xfId="9882"/>
    <cellStyle name="Normal 3 2 4 2" xfId="56072"/>
    <cellStyle name="Normal 3 2 4 3" xfId="59663"/>
    <cellStyle name="Normal 3 2 4 4" xfId="59664"/>
    <cellStyle name="Normal 3 20" xfId="59665"/>
    <cellStyle name="Normal 3 20 2" xfId="59666"/>
    <cellStyle name="Normal 3 20 3" xfId="59667"/>
    <cellStyle name="Normal 3 21" xfId="59668"/>
    <cellStyle name="Normal 3 22" xfId="59669"/>
    <cellStyle name="Normal 3 23" xfId="59670"/>
    <cellStyle name="Normal 3 3" xfId="4556"/>
    <cellStyle name="Normal 3 3 2" xfId="9277"/>
    <cellStyle name="Normal 3 3 2 2" xfId="9278"/>
    <cellStyle name="Normal 3 3 2 2 2" xfId="9279"/>
    <cellStyle name="Normal 3 3 2 3" xfId="9280"/>
    <cellStyle name="Normal 3 3 3" xfId="9281"/>
    <cellStyle name="Normal 3 3 3 2" xfId="9282"/>
    <cellStyle name="Normal 3 3 4" xfId="9283"/>
    <cellStyle name="Normal 3 3 5" xfId="9284"/>
    <cellStyle name="Normal 3 4" xfId="4557"/>
    <cellStyle name="Normal 3 4 2" xfId="9883"/>
    <cellStyle name="Normal 3 4 2 2" xfId="56073"/>
    <cellStyle name="Normal 3 4 3" xfId="9884"/>
    <cellStyle name="Normal 3 4 3 2" xfId="9885"/>
    <cellStyle name="Normal 3 4 4" xfId="9886"/>
    <cellStyle name="Normal 3 4 5" xfId="59671"/>
    <cellStyle name="Normal 3 5" xfId="4558"/>
    <cellStyle name="Normal 3 5 2" xfId="56074"/>
    <cellStyle name="Normal 3 6" xfId="9285"/>
    <cellStyle name="Normal 3 7" xfId="9887"/>
    <cellStyle name="Normal 3 8" xfId="9888"/>
    <cellStyle name="Normal 3 9" xfId="9889"/>
    <cellStyle name="Normal 3_183302" xfId="8771"/>
    <cellStyle name="Normal 30" xfId="4559"/>
    <cellStyle name="Normal 30 2" xfId="4560"/>
    <cellStyle name="Normal 30 2 2" xfId="59672"/>
    <cellStyle name="Normal 30 2 3" xfId="59673"/>
    <cellStyle name="Normal 30 2 4" xfId="59674"/>
    <cellStyle name="Normal 30 3" xfId="9286"/>
    <cellStyle name="Normal 30 3 2" xfId="59675"/>
    <cellStyle name="Normal 30 4" xfId="59676"/>
    <cellStyle name="Normal 30 5" xfId="59677"/>
    <cellStyle name="Normal 30 6" xfId="59678"/>
    <cellStyle name="Normal 30 7" xfId="59679"/>
    <cellStyle name="Normal 31" xfId="4561"/>
    <cellStyle name="Normal 31 2" xfId="4562"/>
    <cellStyle name="Normal 31 2 2" xfId="4563"/>
    <cellStyle name="Normal 31 2 3" xfId="59680"/>
    <cellStyle name="Normal 31 2 4" xfId="59681"/>
    <cellStyle name="Normal 31 3" xfId="4564"/>
    <cellStyle name="Normal 31 3 2" xfId="59682"/>
    <cellStyle name="Normal 31 4" xfId="9287"/>
    <cellStyle name="Normal 31 5" xfId="59683"/>
    <cellStyle name="Normal 31 6" xfId="59684"/>
    <cellStyle name="Normal 31 7" xfId="59685"/>
    <cellStyle name="Normal 32" xfId="4565"/>
    <cellStyle name="Normal 32 2" xfId="4566"/>
    <cellStyle name="Normal 32 2 2" xfId="59686"/>
    <cellStyle name="Normal 32 2 3" xfId="59687"/>
    <cellStyle name="Normal 32 2 4" xfId="59688"/>
    <cellStyle name="Normal 32 3" xfId="9288"/>
    <cellStyle name="Normal 32 3 2" xfId="59689"/>
    <cellStyle name="Normal 32 4" xfId="59690"/>
    <cellStyle name="Normal 32 5" xfId="59691"/>
    <cellStyle name="Normal 32 6" xfId="59692"/>
    <cellStyle name="Normal 32 7" xfId="59693"/>
    <cellStyle name="Normal 33" xfId="4567"/>
    <cellStyle name="Normal 33 2" xfId="4568"/>
    <cellStyle name="Normal 33 2 2" xfId="59694"/>
    <cellStyle name="Normal 33 2 3" xfId="59695"/>
    <cellStyle name="Normal 33 2 4" xfId="59696"/>
    <cellStyle name="Normal 33 3" xfId="56075"/>
    <cellStyle name="Normal 33 4" xfId="59697"/>
    <cellStyle name="Normal 33 5" xfId="59698"/>
    <cellStyle name="Normal 33 6" xfId="59699"/>
    <cellStyle name="Normal 34" xfId="4569"/>
    <cellStyle name="Normal 34 2" xfId="4570"/>
    <cellStyle name="Normal 34 2 2" xfId="59700"/>
    <cellStyle name="Normal 34 3" xfId="59701"/>
    <cellStyle name="Normal 34 4" xfId="59702"/>
    <cellStyle name="Normal 34 4 2" xfId="59703"/>
    <cellStyle name="Normal 34 4 3" xfId="59704"/>
    <cellStyle name="Normal 34 5" xfId="59705"/>
    <cellStyle name="Normal 34 6" xfId="59706"/>
    <cellStyle name="Normal 34 7" xfId="59707"/>
    <cellStyle name="Normal 35" xfId="4571"/>
    <cellStyle name="Normal 35 2" xfId="4572"/>
    <cellStyle name="Normal 35 2 2" xfId="59708"/>
    <cellStyle name="Normal 35 2 3" xfId="59709"/>
    <cellStyle name="Normal 35 3" xfId="59710"/>
    <cellStyle name="Normal 35 4" xfId="59711"/>
    <cellStyle name="Normal 35 5" xfId="59712"/>
    <cellStyle name="Normal 36" xfId="4573"/>
    <cellStyle name="Normal 36 2" xfId="4574"/>
    <cellStyle name="Normal 36 2 2" xfId="59713"/>
    <cellStyle name="Normal 36 2 3" xfId="59714"/>
    <cellStyle name="Normal 36 3" xfId="59715"/>
    <cellStyle name="Normal 36 4" xfId="59716"/>
    <cellStyle name="Normal 36 5" xfId="59717"/>
    <cellStyle name="Normal 37" xfId="4575"/>
    <cellStyle name="Normal 37 2" xfId="4576"/>
    <cellStyle name="Normal 37 2 2" xfId="59718"/>
    <cellStyle name="Normal 37 3" xfId="59719"/>
    <cellStyle name="Normal 37 4" xfId="59720"/>
    <cellStyle name="Normal 37 5" xfId="59721"/>
    <cellStyle name="Normal 38" xfId="4577"/>
    <cellStyle name="Normal 38 2" xfId="4578"/>
    <cellStyle name="Normal 38 2 2" xfId="4579"/>
    <cellStyle name="Normal 38 3" xfId="4580"/>
    <cellStyle name="Normal 38 4" xfId="59722"/>
    <cellStyle name="Normal 38 5" xfId="59723"/>
    <cellStyle name="Normal 39" xfId="4581"/>
    <cellStyle name="Normal 39 2" xfId="4582"/>
    <cellStyle name="Normal 39 3" xfId="4583"/>
    <cellStyle name="Normal 4" xfId="4584"/>
    <cellStyle name="Normal 4 10" xfId="59724"/>
    <cellStyle name="Normal 4 11" xfId="59725"/>
    <cellStyle name="Normal 4 2" xfId="4585"/>
    <cellStyle name="Normal 4 2 10" xfId="8483"/>
    <cellStyle name="Normal 4 2 10 2" xfId="59726"/>
    <cellStyle name="Normal 4 2 10 2 2" xfId="59727"/>
    <cellStyle name="Normal 4 2 10 3" xfId="59728"/>
    <cellStyle name="Normal 4 2 10 4" xfId="59729"/>
    <cellStyle name="Normal 4 2 10 5" xfId="59730"/>
    <cellStyle name="Normal 4 2 11" xfId="59731"/>
    <cellStyle name="Normal 4 2 2" xfId="4586"/>
    <cellStyle name="Normal 4 2 2 10" xfId="59732"/>
    <cellStyle name="Normal 4 2 2 11" xfId="59733"/>
    <cellStyle name="Normal 4 2 2 2" xfId="4587"/>
    <cellStyle name="Normal 4 2 2 2 10" xfId="59734"/>
    <cellStyle name="Normal 4 2 2 2 2" xfId="4588"/>
    <cellStyle name="Normal 4 2 2 2 2 2" xfId="4589"/>
    <cellStyle name="Normal 4 2 2 2 2 2 2" xfId="4590"/>
    <cellStyle name="Normal 4 2 2 2 2 2 2 2" xfId="8484"/>
    <cellStyle name="Normal 4 2 2 2 2 2 2 2 2" xfId="8485"/>
    <cellStyle name="Normal 4 2 2 2 2 2 2 2 3" xfId="59735"/>
    <cellStyle name="Normal 4 2 2 2 2 2 2 3" xfId="8486"/>
    <cellStyle name="Normal 4 2 2 2 2 2 2 3 2" xfId="59736"/>
    <cellStyle name="Normal 4 2 2 2 2 2 2 4" xfId="59737"/>
    <cellStyle name="Normal 4 2 2 2 2 2 2 5" xfId="59738"/>
    <cellStyle name="Normal 4 2 2 2 2 2 3" xfId="8487"/>
    <cellStyle name="Normal 4 2 2 2 2 2 3 2" xfId="8488"/>
    <cellStyle name="Normal 4 2 2 2 2 2 3 3" xfId="59739"/>
    <cellStyle name="Normal 4 2 2 2 2 2 4" xfId="8489"/>
    <cellStyle name="Normal 4 2 2 2 2 2 4 2" xfId="59740"/>
    <cellStyle name="Normal 4 2 2 2 2 2 5" xfId="59741"/>
    <cellStyle name="Normal 4 2 2 2 2 2 6" xfId="59742"/>
    <cellStyle name="Normal 4 2 2 2 2 3" xfId="4591"/>
    <cellStyle name="Normal 4 2 2 2 2 3 2" xfId="8490"/>
    <cellStyle name="Normal 4 2 2 2 2 3 2 2" xfId="8491"/>
    <cellStyle name="Normal 4 2 2 2 2 3 2 2 2" xfId="59743"/>
    <cellStyle name="Normal 4 2 2 2 2 3 2 3" xfId="59744"/>
    <cellStyle name="Normal 4 2 2 2 2 3 2 4" xfId="59745"/>
    <cellStyle name="Normal 4 2 2 2 2 3 2 5" xfId="59746"/>
    <cellStyle name="Normal 4 2 2 2 2 3 3" xfId="8492"/>
    <cellStyle name="Normal 4 2 2 2 2 3 3 2" xfId="59747"/>
    <cellStyle name="Normal 4 2 2 2 2 3 4" xfId="59748"/>
    <cellStyle name="Normal 4 2 2 2 2 3 5" xfId="59749"/>
    <cellStyle name="Normal 4 2 2 2 2 3 6" xfId="59750"/>
    <cellStyle name="Normal 4 2 2 2 2 4" xfId="8493"/>
    <cellStyle name="Normal 4 2 2 2 2 4 2" xfId="8494"/>
    <cellStyle name="Normal 4 2 2 2 2 4 2 2" xfId="59751"/>
    <cellStyle name="Normal 4 2 2 2 2 4 3" xfId="59752"/>
    <cellStyle name="Normal 4 2 2 2 2 4 4" xfId="59753"/>
    <cellStyle name="Normal 4 2 2 2 2 4 5" xfId="59754"/>
    <cellStyle name="Normal 4 2 2 2 2 5" xfId="8495"/>
    <cellStyle name="Normal 4 2 2 2 2 5 2" xfId="8496"/>
    <cellStyle name="Normal 4 2 2 2 2 5 2 2" xfId="59755"/>
    <cellStyle name="Normal 4 2 2 2 2 5 3" xfId="59756"/>
    <cellStyle name="Normal 4 2 2 2 2 5 4" xfId="59757"/>
    <cellStyle name="Normal 4 2 2 2 2 5 5" xfId="59758"/>
    <cellStyle name="Normal 4 2 2 2 2 6" xfId="8497"/>
    <cellStyle name="Normal 4 2 2 2 2 6 2" xfId="59759"/>
    <cellStyle name="Normal 4 2 2 2 2 7" xfId="59760"/>
    <cellStyle name="Normal 4 2 2 2 2 8" xfId="59761"/>
    <cellStyle name="Normal 4 2 2 2 2 9" xfId="59762"/>
    <cellStyle name="Normal 4 2 2 2 3" xfId="4592"/>
    <cellStyle name="Normal 4 2 2 2 3 2" xfId="4593"/>
    <cellStyle name="Normal 4 2 2 2 3 2 2" xfId="8498"/>
    <cellStyle name="Normal 4 2 2 2 3 2 2 2" xfId="8499"/>
    <cellStyle name="Normal 4 2 2 2 3 2 2 3" xfId="59763"/>
    <cellStyle name="Normal 4 2 2 2 3 2 3" xfId="8500"/>
    <cellStyle name="Normal 4 2 2 2 3 2 3 2" xfId="59764"/>
    <cellStyle name="Normal 4 2 2 2 3 2 4" xfId="59765"/>
    <cellStyle name="Normal 4 2 2 2 3 2 5" xfId="59766"/>
    <cellStyle name="Normal 4 2 2 2 3 3" xfId="8501"/>
    <cellStyle name="Normal 4 2 2 2 3 3 2" xfId="8502"/>
    <cellStyle name="Normal 4 2 2 2 3 3 3" xfId="59767"/>
    <cellStyle name="Normal 4 2 2 2 3 4" xfId="8503"/>
    <cellStyle name="Normal 4 2 2 2 3 4 2" xfId="59768"/>
    <cellStyle name="Normal 4 2 2 2 3 5" xfId="59769"/>
    <cellStyle name="Normal 4 2 2 2 3 6" xfId="59770"/>
    <cellStyle name="Normal 4 2 2 2 4" xfId="4594"/>
    <cellStyle name="Normal 4 2 2 2 4 2" xfId="8504"/>
    <cellStyle name="Normal 4 2 2 2 4 2 2" xfId="8505"/>
    <cellStyle name="Normal 4 2 2 2 4 2 2 2" xfId="59771"/>
    <cellStyle name="Normal 4 2 2 2 4 2 3" xfId="59772"/>
    <cellStyle name="Normal 4 2 2 2 4 2 4" xfId="59773"/>
    <cellStyle name="Normal 4 2 2 2 4 2 5" xfId="59774"/>
    <cellStyle name="Normal 4 2 2 2 4 3" xfId="8506"/>
    <cellStyle name="Normal 4 2 2 2 4 3 2" xfId="59775"/>
    <cellStyle name="Normal 4 2 2 2 4 4" xfId="59776"/>
    <cellStyle name="Normal 4 2 2 2 4 5" xfId="59777"/>
    <cellStyle name="Normal 4 2 2 2 4 6" xfId="59778"/>
    <cellStyle name="Normal 4 2 2 2 5" xfId="8507"/>
    <cellStyle name="Normal 4 2 2 2 5 2" xfId="8508"/>
    <cellStyle name="Normal 4 2 2 2 5 2 2" xfId="59779"/>
    <cellStyle name="Normal 4 2 2 2 5 3" xfId="59780"/>
    <cellStyle name="Normal 4 2 2 2 5 4" xfId="59781"/>
    <cellStyle name="Normal 4 2 2 2 5 5" xfId="59782"/>
    <cellStyle name="Normal 4 2 2 2 6" xfId="8509"/>
    <cellStyle name="Normal 4 2 2 2 6 2" xfId="8510"/>
    <cellStyle name="Normal 4 2 2 2 6 2 2" xfId="59783"/>
    <cellStyle name="Normal 4 2 2 2 6 3" xfId="59784"/>
    <cellStyle name="Normal 4 2 2 2 6 4" xfId="59785"/>
    <cellStyle name="Normal 4 2 2 2 6 5" xfId="59786"/>
    <cellStyle name="Normal 4 2 2 2 7" xfId="8511"/>
    <cellStyle name="Normal 4 2 2 2 7 2" xfId="59787"/>
    <cellStyle name="Normal 4 2 2 2 8" xfId="59788"/>
    <cellStyle name="Normal 4 2 2 2 9" xfId="59789"/>
    <cellStyle name="Normal 4 2 2 3" xfId="4595"/>
    <cellStyle name="Normal 4 2 2 3 2" xfId="4596"/>
    <cellStyle name="Normal 4 2 2 3 2 2" xfId="4597"/>
    <cellStyle name="Normal 4 2 2 3 2 2 2" xfId="8512"/>
    <cellStyle name="Normal 4 2 2 3 2 2 2 2" xfId="8513"/>
    <cellStyle name="Normal 4 2 2 3 2 2 2 3" xfId="59790"/>
    <cellStyle name="Normal 4 2 2 3 2 2 3" xfId="8514"/>
    <cellStyle name="Normal 4 2 2 3 2 2 3 2" xfId="59791"/>
    <cellStyle name="Normal 4 2 2 3 2 2 4" xfId="59792"/>
    <cellStyle name="Normal 4 2 2 3 2 2 5" xfId="59793"/>
    <cellStyle name="Normal 4 2 2 3 2 3" xfId="8515"/>
    <cellStyle name="Normal 4 2 2 3 2 3 2" xfId="8516"/>
    <cellStyle name="Normal 4 2 2 3 2 3 3" xfId="59794"/>
    <cellStyle name="Normal 4 2 2 3 2 4" xfId="8517"/>
    <cellStyle name="Normal 4 2 2 3 2 4 2" xfId="59795"/>
    <cellStyle name="Normal 4 2 2 3 2 5" xfId="59796"/>
    <cellStyle name="Normal 4 2 2 3 2 6" xfId="59797"/>
    <cellStyle name="Normal 4 2 2 3 3" xfId="4598"/>
    <cellStyle name="Normal 4 2 2 3 3 2" xfId="8518"/>
    <cellStyle name="Normal 4 2 2 3 3 2 2" xfId="8519"/>
    <cellStyle name="Normal 4 2 2 3 3 2 2 2" xfId="59798"/>
    <cellStyle name="Normal 4 2 2 3 3 2 3" xfId="59799"/>
    <cellStyle name="Normal 4 2 2 3 3 2 4" xfId="59800"/>
    <cellStyle name="Normal 4 2 2 3 3 2 5" xfId="59801"/>
    <cellStyle name="Normal 4 2 2 3 3 3" xfId="8520"/>
    <cellStyle name="Normal 4 2 2 3 3 3 2" xfId="59802"/>
    <cellStyle name="Normal 4 2 2 3 3 4" xfId="59803"/>
    <cellStyle name="Normal 4 2 2 3 3 5" xfId="59804"/>
    <cellStyle name="Normal 4 2 2 3 3 6" xfId="59805"/>
    <cellStyle name="Normal 4 2 2 3 4" xfId="8521"/>
    <cellStyle name="Normal 4 2 2 3 4 2" xfId="8522"/>
    <cellStyle name="Normal 4 2 2 3 4 2 2" xfId="59806"/>
    <cellStyle name="Normal 4 2 2 3 4 3" xfId="59807"/>
    <cellStyle name="Normal 4 2 2 3 4 4" xfId="59808"/>
    <cellStyle name="Normal 4 2 2 3 4 5" xfId="59809"/>
    <cellStyle name="Normal 4 2 2 3 5" xfId="8523"/>
    <cellStyle name="Normal 4 2 2 3 5 2" xfId="8524"/>
    <cellStyle name="Normal 4 2 2 3 5 2 2" xfId="59810"/>
    <cellStyle name="Normal 4 2 2 3 5 3" xfId="59811"/>
    <cellStyle name="Normal 4 2 2 3 5 4" xfId="59812"/>
    <cellStyle name="Normal 4 2 2 3 5 5" xfId="59813"/>
    <cellStyle name="Normal 4 2 2 3 6" xfId="8525"/>
    <cellStyle name="Normal 4 2 2 3 6 2" xfId="59814"/>
    <cellStyle name="Normal 4 2 2 3 7" xfId="59815"/>
    <cellStyle name="Normal 4 2 2 3 8" xfId="59816"/>
    <cellStyle name="Normal 4 2 2 3 9" xfId="59817"/>
    <cellStyle name="Normal 4 2 2 4" xfId="4599"/>
    <cellStyle name="Normal 4 2 2 4 2" xfId="4600"/>
    <cellStyle name="Normal 4 2 2 4 2 2" xfId="8526"/>
    <cellStyle name="Normal 4 2 2 4 2 2 2" xfId="8527"/>
    <cellStyle name="Normal 4 2 2 4 2 2 3" xfId="59818"/>
    <cellStyle name="Normal 4 2 2 4 2 3" xfId="8528"/>
    <cellStyle name="Normal 4 2 2 4 2 3 2" xfId="59819"/>
    <cellStyle name="Normal 4 2 2 4 2 4" xfId="59820"/>
    <cellStyle name="Normal 4 2 2 4 2 5" xfId="59821"/>
    <cellStyle name="Normal 4 2 2 4 3" xfId="8529"/>
    <cellStyle name="Normal 4 2 2 4 3 2" xfId="8530"/>
    <cellStyle name="Normal 4 2 2 4 3 3" xfId="59822"/>
    <cellStyle name="Normal 4 2 2 4 4" xfId="8531"/>
    <cellStyle name="Normal 4 2 2 4 4 2" xfId="59823"/>
    <cellStyle name="Normal 4 2 2 4 5" xfId="59824"/>
    <cellStyle name="Normal 4 2 2 4 6" xfId="59825"/>
    <cellStyle name="Normal 4 2 2 5" xfId="4601"/>
    <cellStyle name="Normal 4 2 2 5 2" xfId="8532"/>
    <cellStyle name="Normal 4 2 2 5 2 2" xfId="8533"/>
    <cellStyle name="Normal 4 2 2 5 2 2 2" xfId="59826"/>
    <cellStyle name="Normal 4 2 2 5 2 3" xfId="59827"/>
    <cellStyle name="Normal 4 2 2 5 2 4" xfId="59828"/>
    <cellStyle name="Normal 4 2 2 5 2 5" xfId="59829"/>
    <cellStyle name="Normal 4 2 2 5 3" xfId="8534"/>
    <cellStyle name="Normal 4 2 2 5 3 2" xfId="59830"/>
    <cellStyle name="Normal 4 2 2 5 4" xfId="59831"/>
    <cellStyle name="Normal 4 2 2 5 5" xfId="59832"/>
    <cellStyle name="Normal 4 2 2 5 6" xfId="59833"/>
    <cellStyle name="Normal 4 2 2 6" xfId="8535"/>
    <cellStyle name="Normal 4 2 2 6 2" xfId="8536"/>
    <cellStyle name="Normal 4 2 2 6 2 2" xfId="59834"/>
    <cellStyle name="Normal 4 2 2 6 3" xfId="59835"/>
    <cellStyle name="Normal 4 2 2 6 4" xfId="59836"/>
    <cellStyle name="Normal 4 2 2 6 5" xfId="59837"/>
    <cellStyle name="Normal 4 2 2 7" xfId="8537"/>
    <cellStyle name="Normal 4 2 2 7 2" xfId="8538"/>
    <cellStyle name="Normal 4 2 2 7 2 2" xfId="59838"/>
    <cellStyle name="Normal 4 2 2 7 3" xfId="59839"/>
    <cellStyle name="Normal 4 2 2 7 4" xfId="59840"/>
    <cellStyle name="Normal 4 2 2 7 5" xfId="59841"/>
    <cellStyle name="Normal 4 2 2 8" xfId="8539"/>
    <cellStyle name="Normal 4 2 2 8 2" xfId="59842"/>
    <cellStyle name="Normal 4 2 2 9" xfId="59843"/>
    <cellStyle name="Normal 4 2 3" xfId="4602"/>
    <cellStyle name="Normal 4 2 3 10" xfId="59844"/>
    <cellStyle name="Normal 4 2 3 11" xfId="59845"/>
    <cellStyle name="Normal 4 2 3 2" xfId="4603"/>
    <cellStyle name="Normal 4 2 3 2 10" xfId="59846"/>
    <cellStyle name="Normal 4 2 3 2 2" xfId="4604"/>
    <cellStyle name="Normal 4 2 3 2 2 2" xfId="4605"/>
    <cellStyle name="Normal 4 2 3 2 2 2 2" xfId="8540"/>
    <cellStyle name="Normal 4 2 3 2 2 2 2 2" xfId="8541"/>
    <cellStyle name="Normal 4 2 3 2 2 2 2 2 2" xfId="8542"/>
    <cellStyle name="Normal 4 2 3 2 2 2 2 2 3" xfId="59847"/>
    <cellStyle name="Normal 4 2 3 2 2 2 2 3" xfId="8543"/>
    <cellStyle name="Normal 4 2 3 2 2 2 2 3 2" xfId="59848"/>
    <cellStyle name="Normal 4 2 3 2 2 2 2 4" xfId="59849"/>
    <cellStyle name="Normal 4 2 3 2 2 2 2 5" xfId="59850"/>
    <cellStyle name="Normal 4 2 3 2 2 2 3" xfId="8544"/>
    <cellStyle name="Normal 4 2 3 2 2 2 3 2" xfId="8545"/>
    <cellStyle name="Normal 4 2 3 2 2 2 3 3" xfId="59851"/>
    <cellStyle name="Normal 4 2 3 2 2 2 4" xfId="8546"/>
    <cellStyle name="Normal 4 2 3 2 2 2 4 2" xfId="59852"/>
    <cellStyle name="Normal 4 2 3 2 2 2 5" xfId="59853"/>
    <cellStyle name="Normal 4 2 3 2 2 2 6" xfId="59854"/>
    <cellStyle name="Normal 4 2 3 2 2 3" xfId="8547"/>
    <cellStyle name="Normal 4 2 3 2 2 3 2" xfId="8548"/>
    <cellStyle name="Normal 4 2 3 2 2 3 2 2" xfId="8549"/>
    <cellStyle name="Normal 4 2 3 2 2 3 2 2 2" xfId="59855"/>
    <cellStyle name="Normal 4 2 3 2 2 3 2 3" xfId="59856"/>
    <cellStyle name="Normal 4 2 3 2 2 3 2 4" xfId="59857"/>
    <cellStyle name="Normal 4 2 3 2 2 3 2 5" xfId="59858"/>
    <cellStyle name="Normal 4 2 3 2 2 3 3" xfId="8550"/>
    <cellStyle name="Normal 4 2 3 2 2 3 3 2" xfId="59859"/>
    <cellStyle name="Normal 4 2 3 2 2 3 4" xfId="59860"/>
    <cellStyle name="Normal 4 2 3 2 2 3 5" xfId="59861"/>
    <cellStyle name="Normal 4 2 3 2 2 3 6" xfId="59862"/>
    <cellStyle name="Normal 4 2 3 2 2 4" xfId="8551"/>
    <cellStyle name="Normal 4 2 3 2 2 4 2" xfId="8552"/>
    <cellStyle name="Normal 4 2 3 2 2 4 2 2" xfId="59863"/>
    <cellStyle name="Normal 4 2 3 2 2 4 3" xfId="59864"/>
    <cellStyle name="Normal 4 2 3 2 2 4 4" xfId="59865"/>
    <cellStyle name="Normal 4 2 3 2 2 4 5" xfId="59866"/>
    <cellStyle name="Normal 4 2 3 2 2 5" xfId="8553"/>
    <cellStyle name="Normal 4 2 3 2 2 5 2" xfId="8554"/>
    <cellStyle name="Normal 4 2 3 2 2 5 2 2" xfId="59867"/>
    <cellStyle name="Normal 4 2 3 2 2 5 3" xfId="59868"/>
    <cellStyle name="Normal 4 2 3 2 2 5 4" xfId="59869"/>
    <cellStyle name="Normal 4 2 3 2 2 5 5" xfId="59870"/>
    <cellStyle name="Normal 4 2 3 2 2 6" xfId="8555"/>
    <cellStyle name="Normal 4 2 3 2 2 6 2" xfId="59871"/>
    <cellStyle name="Normal 4 2 3 2 2 7" xfId="59872"/>
    <cellStyle name="Normal 4 2 3 2 2 8" xfId="59873"/>
    <cellStyle name="Normal 4 2 3 2 2 9" xfId="59874"/>
    <cellStyle name="Normal 4 2 3 2 3" xfId="4606"/>
    <cellStyle name="Normal 4 2 3 2 3 2" xfId="8556"/>
    <cellStyle name="Normal 4 2 3 2 3 2 2" xfId="8557"/>
    <cellStyle name="Normal 4 2 3 2 3 2 2 2" xfId="8558"/>
    <cellStyle name="Normal 4 2 3 2 3 2 2 3" xfId="59875"/>
    <cellStyle name="Normal 4 2 3 2 3 2 3" xfId="8559"/>
    <cellStyle name="Normal 4 2 3 2 3 2 3 2" xfId="59876"/>
    <cellStyle name="Normal 4 2 3 2 3 2 4" xfId="59877"/>
    <cellStyle name="Normal 4 2 3 2 3 2 5" xfId="59878"/>
    <cellStyle name="Normal 4 2 3 2 3 3" xfId="8560"/>
    <cellStyle name="Normal 4 2 3 2 3 3 2" xfId="8561"/>
    <cellStyle name="Normal 4 2 3 2 3 3 3" xfId="59879"/>
    <cellStyle name="Normal 4 2 3 2 3 4" xfId="8562"/>
    <cellStyle name="Normal 4 2 3 2 3 4 2" xfId="59880"/>
    <cellStyle name="Normal 4 2 3 2 3 5" xfId="59881"/>
    <cellStyle name="Normal 4 2 3 2 3 6" xfId="59882"/>
    <cellStyle name="Normal 4 2 3 2 4" xfId="8563"/>
    <cellStyle name="Normal 4 2 3 2 4 2" xfId="8564"/>
    <cellStyle name="Normal 4 2 3 2 4 2 2" xfId="8565"/>
    <cellStyle name="Normal 4 2 3 2 4 2 2 2" xfId="59883"/>
    <cellStyle name="Normal 4 2 3 2 4 2 3" xfId="59884"/>
    <cellStyle name="Normal 4 2 3 2 4 2 4" xfId="59885"/>
    <cellStyle name="Normal 4 2 3 2 4 2 5" xfId="59886"/>
    <cellStyle name="Normal 4 2 3 2 4 3" xfId="8566"/>
    <cellStyle name="Normal 4 2 3 2 4 3 2" xfId="59887"/>
    <cellStyle name="Normal 4 2 3 2 4 4" xfId="59888"/>
    <cellStyle name="Normal 4 2 3 2 4 5" xfId="59889"/>
    <cellStyle name="Normal 4 2 3 2 4 6" xfId="59890"/>
    <cellStyle name="Normal 4 2 3 2 5" xfId="8567"/>
    <cellStyle name="Normal 4 2 3 2 5 2" xfId="8568"/>
    <cellStyle name="Normal 4 2 3 2 5 2 2" xfId="59891"/>
    <cellStyle name="Normal 4 2 3 2 5 3" xfId="59892"/>
    <cellStyle name="Normal 4 2 3 2 5 4" xfId="59893"/>
    <cellStyle name="Normal 4 2 3 2 5 5" xfId="59894"/>
    <cellStyle name="Normal 4 2 3 2 6" xfId="8569"/>
    <cellStyle name="Normal 4 2 3 2 6 2" xfId="8570"/>
    <cellStyle name="Normal 4 2 3 2 6 2 2" xfId="59895"/>
    <cellStyle name="Normal 4 2 3 2 6 3" xfId="59896"/>
    <cellStyle name="Normal 4 2 3 2 6 4" xfId="59897"/>
    <cellStyle name="Normal 4 2 3 2 6 5" xfId="59898"/>
    <cellStyle name="Normal 4 2 3 2 7" xfId="8571"/>
    <cellStyle name="Normal 4 2 3 2 7 2" xfId="59899"/>
    <cellStyle name="Normal 4 2 3 2 8" xfId="59900"/>
    <cellStyle name="Normal 4 2 3 2 9" xfId="59901"/>
    <cellStyle name="Normal 4 2 3 3" xfId="4607"/>
    <cellStyle name="Normal 4 2 3 3 2" xfId="4608"/>
    <cellStyle name="Normal 4 2 3 3 2 2" xfId="8572"/>
    <cellStyle name="Normal 4 2 3 3 2 2 2" xfId="8573"/>
    <cellStyle name="Normal 4 2 3 3 2 2 2 2" xfId="8574"/>
    <cellStyle name="Normal 4 2 3 3 2 2 2 3" xfId="59902"/>
    <cellStyle name="Normal 4 2 3 3 2 2 3" xfId="8575"/>
    <cellStyle name="Normal 4 2 3 3 2 2 3 2" xfId="59903"/>
    <cellStyle name="Normal 4 2 3 3 2 2 4" xfId="59904"/>
    <cellStyle name="Normal 4 2 3 3 2 2 5" xfId="59905"/>
    <cellStyle name="Normal 4 2 3 3 2 3" xfId="8576"/>
    <cellStyle name="Normal 4 2 3 3 2 3 2" xfId="8577"/>
    <cellStyle name="Normal 4 2 3 3 2 3 3" xfId="59906"/>
    <cellStyle name="Normal 4 2 3 3 2 4" xfId="8578"/>
    <cellStyle name="Normal 4 2 3 3 2 4 2" xfId="59907"/>
    <cellStyle name="Normal 4 2 3 3 2 5" xfId="59908"/>
    <cellStyle name="Normal 4 2 3 3 2 6" xfId="59909"/>
    <cellStyle name="Normal 4 2 3 3 3" xfId="8579"/>
    <cellStyle name="Normal 4 2 3 3 3 2" xfId="8580"/>
    <cellStyle name="Normal 4 2 3 3 3 2 2" xfId="8581"/>
    <cellStyle name="Normal 4 2 3 3 3 2 2 2" xfId="59910"/>
    <cellStyle name="Normal 4 2 3 3 3 2 3" xfId="59911"/>
    <cellStyle name="Normal 4 2 3 3 3 2 4" xfId="59912"/>
    <cellStyle name="Normal 4 2 3 3 3 2 5" xfId="59913"/>
    <cellStyle name="Normal 4 2 3 3 3 3" xfId="8582"/>
    <cellStyle name="Normal 4 2 3 3 3 3 2" xfId="59914"/>
    <cellStyle name="Normal 4 2 3 3 3 4" xfId="59915"/>
    <cellStyle name="Normal 4 2 3 3 3 5" xfId="59916"/>
    <cellStyle name="Normal 4 2 3 3 3 6" xfId="59917"/>
    <cellStyle name="Normal 4 2 3 3 4" xfId="8583"/>
    <cellStyle name="Normal 4 2 3 3 4 2" xfId="8584"/>
    <cellStyle name="Normal 4 2 3 3 4 2 2" xfId="59918"/>
    <cellStyle name="Normal 4 2 3 3 4 3" xfId="59919"/>
    <cellStyle name="Normal 4 2 3 3 4 4" xfId="59920"/>
    <cellStyle name="Normal 4 2 3 3 4 5" xfId="59921"/>
    <cellStyle name="Normal 4 2 3 3 5" xfId="8585"/>
    <cellStyle name="Normal 4 2 3 3 5 2" xfId="8586"/>
    <cellStyle name="Normal 4 2 3 3 5 2 2" xfId="59922"/>
    <cellStyle name="Normal 4 2 3 3 5 3" xfId="59923"/>
    <cellStyle name="Normal 4 2 3 3 5 4" xfId="59924"/>
    <cellStyle name="Normal 4 2 3 3 5 5" xfId="59925"/>
    <cellStyle name="Normal 4 2 3 3 6" xfId="8587"/>
    <cellStyle name="Normal 4 2 3 3 6 2" xfId="59926"/>
    <cellStyle name="Normal 4 2 3 3 7" xfId="59927"/>
    <cellStyle name="Normal 4 2 3 3 8" xfId="59928"/>
    <cellStyle name="Normal 4 2 3 3 9" xfId="59929"/>
    <cellStyle name="Normal 4 2 3 4" xfId="4609"/>
    <cellStyle name="Normal 4 2 3 4 2" xfId="8588"/>
    <cellStyle name="Normal 4 2 3 4 2 2" xfId="8589"/>
    <cellStyle name="Normal 4 2 3 4 2 2 2" xfId="8590"/>
    <cellStyle name="Normal 4 2 3 4 2 2 3" xfId="59930"/>
    <cellStyle name="Normal 4 2 3 4 2 3" xfId="8591"/>
    <cellStyle name="Normal 4 2 3 4 2 3 2" xfId="59931"/>
    <cellStyle name="Normal 4 2 3 4 2 4" xfId="59932"/>
    <cellStyle name="Normal 4 2 3 4 2 5" xfId="59933"/>
    <cellStyle name="Normal 4 2 3 4 3" xfId="8592"/>
    <cellStyle name="Normal 4 2 3 4 3 2" xfId="8593"/>
    <cellStyle name="Normal 4 2 3 4 3 3" xfId="59934"/>
    <cellStyle name="Normal 4 2 3 4 4" xfId="8594"/>
    <cellStyle name="Normal 4 2 3 4 4 2" xfId="59935"/>
    <cellStyle name="Normal 4 2 3 4 5" xfId="59936"/>
    <cellStyle name="Normal 4 2 3 4 6" xfId="59937"/>
    <cellStyle name="Normal 4 2 3 5" xfId="8595"/>
    <cellStyle name="Normal 4 2 3 5 2" xfId="8596"/>
    <cellStyle name="Normal 4 2 3 5 2 2" xfId="8597"/>
    <cellStyle name="Normal 4 2 3 5 2 2 2" xfId="59938"/>
    <cellStyle name="Normal 4 2 3 5 2 3" xfId="59939"/>
    <cellStyle name="Normal 4 2 3 5 2 4" xfId="59940"/>
    <cellStyle name="Normal 4 2 3 5 2 5" xfId="59941"/>
    <cellStyle name="Normal 4 2 3 5 3" xfId="8598"/>
    <cellStyle name="Normal 4 2 3 5 3 2" xfId="59942"/>
    <cellStyle name="Normal 4 2 3 5 4" xfId="59943"/>
    <cellStyle name="Normal 4 2 3 5 5" xfId="59944"/>
    <cellStyle name="Normal 4 2 3 5 6" xfId="59945"/>
    <cellStyle name="Normal 4 2 3 6" xfId="8599"/>
    <cellStyle name="Normal 4 2 3 6 2" xfId="8600"/>
    <cellStyle name="Normal 4 2 3 6 2 2" xfId="59946"/>
    <cellStyle name="Normal 4 2 3 6 3" xfId="59947"/>
    <cellStyle name="Normal 4 2 3 6 4" xfId="59948"/>
    <cellStyle name="Normal 4 2 3 6 5" xfId="59949"/>
    <cellStyle name="Normal 4 2 3 7" xfId="8601"/>
    <cellStyle name="Normal 4 2 3 7 2" xfId="8602"/>
    <cellStyle name="Normal 4 2 3 7 2 2" xfId="59950"/>
    <cellStyle name="Normal 4 2 3 7 3" xfId="59951"/>
    <cellStyle name="Normal 4 2 3 7 4" xfId="59952"/>
    <cellStyle name="Normal 4 2 3 7 5" xfId="59953"/>
    <cellStyle name="Normal 4 2 3 8" xfId="8603"/>
    <cellStyle name="Normal 4 2 3 8 2" xfId="59954"/>
    <cellStyle name="Normal 4 2 3 9" xfId="59955"/>
    <cellStyle name="Normal 4 2 4" xfId="4610"/>
    <cellStyle name="Normal 4 2 4 10" xfId="59956"/>
    <cellStyle name="Normal 4 2 4 2" xfId="4611"/>
    <cellStyle name="Normal 4 2 4 2 2" xfId="4612"/>
    <cellStyle name="Normal 4 2 4 2 2 2" xfId="8604"/>
    <cellStyle name="Normal 4 2 4 2 2 2 2" xfId="8605"/>
    <cellStyle name="Normal 4 2 4 2 2 2 2 2" xfId="8606"/>
    <cellStyle name="Normal 4 2 4 2 2 2 2 3" xfId="59957"/>
    <cellStyle name="Normal 4 2 4 2 2 2 3" xfId="8607"/>
    <cellStyle name="Normal 4 2 4 2 2 2 3 2" xfId="59958"/>
    <cellStyle name="Normal 4 2 4 2 2 2 4" xfId="59959"/>
    <cellStyle name="Normal 4 2 4 2 2 2 5" xfId="59960"/>
    <cellStyle name="Normal 4 2 4 2 2 3" xfId="8608"/>
    <cellStyle name="Normal 4 2 4 2 2 3 2" xfId="8609"/>
    <cellStyle name="Normal 4 2 4 2 2 3 3" xfId="59961"/>
    <cellStyle name="Normal 4 2 4 2 2 4" xfId="8610"/>
    <cellStyle name="Normal 4 2 4 2 2 4 2" xfId="59962"/>
    <cellStyle name="Normal 4 2 4 2 2 5" xfId="59963"/>
    <cellStyle name="Normal 4 2 4 2 2 6" xfId="59964"/>
    <cellStyle name="Normal 4 2 4 2 3" xfId="8611"/>
    <cellStyle name="Normal 4 2 4 2 3 2" xfId="8612"/>
    <cellStyle name="Normal 4 2 4 2 3 2 2" xfId="8613"/>
    <cellStyle name="Normal 4 2 4 2 3 2 2 2" xfId="59965"/>
    <cellStyle name="Normal 4 2 4 2 3 2 3" xfId="59966"/>
    <cellStyle name="Normal 4 2 4 2 3 2 4" xfId="59967"/>
    <cellStyle name="Normal 4 2 4 2 3 2 5" xfId="59968"/>
    <cellStyle name="Normal 4 2 4 2 3 3" xfId="8614"/>
    <cellStyle name="Normal 4 2 4 2 3 3 2" xfId="59969"/>
    <cellStyle name="Normal 4 2 4 2 3 4" xfId="59970"/>
    <cellStyle name="Normal 4 2 4 2 3 5" xfId="59971"/>
    <cellStyle name="Normal 4 2 4 2 3 6" xfId="59972"/>
    <cellStyle name="Normal 4 2 4 2 4" xfId="8615"/>
    <cellStyle name="Normal 4 2 4 2 4 2" xfId="8616"/>
    <cellStyle name="Normal 4 2 4 2 4 2 2" xfId="59973"/>
    <cellStyle name="Normal 4 2 4 2 4 3" xfId="59974"/>
    <cellStyle name="Normal 4 2 4 2 4 4" xfId="59975"/>
    <cellStyle name="Normal 4 2 4 2 4 5" xfId="59976"/>
    <cellStyle name="Normal 4 2 4 2 5" xfId="8617"/>
    <cellStyle name="Normal 4 2 4 2 5 2" xfId="8618"/>
    <cellStyle name="Normal 4 2 4 2 5 2 2" xfId="59977"/>
    <cellStyle name="Normal 4 2 4 2 5 3" xfId="59978"/>
    <cellStyle name="Normal 4 2 4 2 5 4" xfId="59979"/>
    <cellStyle name="Normal 4 2 4 2 5 5" xfId="59980"/>
    <cellStyle name="Normal 4 2 4 2 6" xfId="8619"/>
    <cellStyle name="Normal 4 2 4 2 6 2" xfId="59981"/>
    <cellStyle name="Normal 4 2 4 2 7" xfId="59982"/>
    <cellStyle name="Normal 4 2 4 2 8" xfId="59983"/>
    <cellStyle name="Normal 4 2 4 2 9" xfId="59984"/>
    <cellStyle name="Normal 4 2 4 3" xfId="4613"/>
    <cellStyle name="Normal 4 2 4 3 2" xfId="8620"/>
    <cellStyle name="Normal 4 2 4 3 2 2" xfId="8621"/>
    <cellStyle name="Normal 4 2 4 3 2 2 2" xfId="8622"/>
    <cellStyle name="Normal 4 2 4 3 2 2 3" xfId="59985"/>
    <cellStyle name="Normal 4 2 4 3 2 3" xfId="8623"/>
    <cellStyle name="Normal 4 2 4 3 2 3 2" xfId="59986"/>
    <cellStyle name="Normal 4 2 4 3 2 4" xfId="59987"/>
    <cellStyle name="Normal 4 2 4 3 2 5" xfId="59988"/>
    <cellStyle name="Normal 4 2 4 3 3" xfId="8624"/>
    <cellStyle name="Normal 4 2 4 3 3 2" xfId="8625"/>
    <cellStyle name="Normal 4 2 4 3 3 3" xfId="59989"/>
    <cellStyle name="Normal 4 2 4 3 4" xfId="8626"/>
    <cellStyle name="Normal 4 2 4 3 4 2" xfId="59990"/>
    <cellStyle name="Normal 4 2 4 3 5" xfId="59991"/>
    <cellStyle name="Normal 4 2 4 3 6" xfId="59992"/>
    <cellStyle name="Normal 4 2 4 4" xfId="8627"/>
    <cellStyle name="Normal 4 2 4 4 2" xfId="8628"/>
    <cellStyle name="Normal 4 2 4 4 2 2" xfId="8629"/>
    <cellStyle name="Normal 4 2 4 4 2 2 2" xfId="59993"/>
    <cellStyle name="Normal 4 2 4 4 2 3" xfId="59994"/>
    <cellStyle name="Normal 4 2 4 4 2 4" xfId="59995"/>
    <cellStyle name="Normal 4 2 4 4 2 5" xfId="59996"/>
    <cellStyle name="Normal 4 2 4 4 3" xfId="8630"/>
    <cellStyle name="Normal 4 2 4 4 3 2" xfId="59997"/>
    <cellStyle name="Normal 4 2 4 4 4" xfId="59998"/>
    <cellStyle name="Normal 4 2 4 4 5" xfId="59999"/>
    <cellStyle name="Normal 4 2 4 4 6" xfId="60000"/>
    <cellStyle name="Normal 4 2 4 5" xfId="8631"/>
    <cellStyle name="Normal 4 2 4 5 2" xfId="8632"/>
    <cellStyle name="Normal 4 2 4 5 2 2" xfId="60001"/>
    <cellStyle name="Normal 4 2 4 5 3" xfId="60002"/>
    <cellStyle name="Normal 4 2 4 5 4" xfId="60003"/>
    <cellStyle name="Normal 4 2 4 5 5" xfId="60004"/>
    <cellStyle name="Normal 4 2 4 6" xfId="8633"/>
    <cellStyle name="Normal 4 2 4 6 2" xfId="8634"/>
    <cellStyle name="Normal 4 2 4 6 2 2" xfId="60005"/>
    <cellStyle name="Normal 4 2 4 6 3" xfId="60006"/>
    <cellStyle name="Normal 4 2 4 6 4" xfId="60007"/>
    <cellStyle name="Normal 4 2 4 6 5" xfId="60008"/>
    <cellStyle name="Normal 4 2 4 7" xfId="8635"/>
    <cellStyle name="Normal 4 2 4 7 2" xfId="60009"/>
    <cellStyle name="Normal 4 2 4 8" xfId="60010"/>
    <cellStyle name="Normal 4 2 4 9" xfId="60011"/>
    <cellStyle name="Normal 4 2 5" xfId="4614"/>
    <cellStyle name="Normal 4 2 5 2" xfId="4615"/>
    <cellStyle name="Normal 4 2 5 2 2" xfId="8636"/>
    <cellStyle name="Normal 4 2 5 2 2 2" xfId="8637"/>
    <cellStyle name="Normal 4 2 5 2 2 2 2" xfId="8638"/>
    <cellStyle name="Normal 4 2 5 2 2 2 3" xfId="60012"/>
    <cellStyle name="Normal 4 2 5 2 2 3" xfId="8639"/>
    <cellStyle name="Normal 4 2 5 2 2 3 2" xfId="60013"/>
    <cellStyle name="Normal 4 2 5 2 2 4" xfId="60014"/>
    <cellStyle name="Normal 4 2 5 2 2 5" xfId="60015"/>
    <cellStyle name="Normal 4 2 5 2 3" xfId="8640"/>
    <cellStyle name="Normal 4 2 5 2 3 2" xfId="8641"/>
    <cellStyle name="Normal 4 2 5 2 3 3" xfId="60016"/>
    <cellStyle name="Normal 4 2 5 2 4" xfId="8642"/>
    <cellStyle name="Normal 4 2 5 2 4 2" xfId="60017"/>
    <cellStyle name="Normal 4 2 5 2 5" xfId="60018"/>
    <cellStyle name="Normal 4 2 5 2 6" xfId="60019"/>
    <cellStyle name="Normal 4 2 5 3" xfId="8643"/>
    <cellStyle name="Normal 4 2 5 3 2" xfId="8644"/>
    <cellStyle name="Normal 4 2 5 3 2 2" xfId="8645"/>
    <cellStyle name="Normal 4 2 5 3 2 2 2" xfId="60020"/>
    <cellStyle name="Normal 4 2 5 3 2 3" xfId="60021"/>
    <cellStyle name="Normal 4 2 5 3 2 4" xfId="60022"/>
    <cellStyle name="Normal 4 2 5 3 2 5" xfId="60023"/>
    <cellStyle name="Normal 4 2 5 3 3" xfId="8646"/>
    <cellStyle name="Normal 4 2 5 3 3 2" xfId="60024"/>
    <cellStyle name="Normal 4 2 5 3 4" xfId="60025"/>
    <cellStyle name="Normal 4 2 5 3 5" xfId="60026"/>
    <cellStyle name="Normal 4 2 5 3 6" xfId="60027"/>
    <cellStyle name="Normal 4 2 5 4" xfId="8647"/>
    <cellStyle name="Normal 4 2 5 4 2" xfId="8648"/>
    <cellStyle name="Normal 4 2 5 4 2 2" xfId="60028"/>
    <cellStyle name="Normal 4 2 5 4 3" xfId="60029"/>
    <cellStyle name="Normal 4 2 5 4 4" xfId="60030"/>
    <cellStyle name="Normal 4 2 5 4 5" xfId="60031"/>
    <cellStyle name="Normal 4 2 5 5" xfId="8649"/>
    <cellStyle name="Normal 4 2 5 5 2" xfId="8650"/>
    <cellStyle name="Normal 4 2 5 5 2 2" xfId="60032"/>
    <cellStyle name="Normal 4 2 5 5 3" xfId="60033"/>
    <cellStyle name="Normal 4 2 5 5 4" xfId="60034"/>
    <cellStyle name="Normal 4 2 5 5 5" xfId="60035"/>
    <cellStyle name="Normal 4 2 5 6" xfId="8651"/>
    <cellStyle name="Normal 4 2 5 6 2" xfId="60036"/>
    <cellStyle name="Normal 4 2 5 7" xfId="60037"/>
    <cellStyle name="Normal 4 2 5 8" xfId="60038"/>
    <cellStyle name="Normal 4 2 5 9" xfId="60039"/>
    <cellStyle name="Normal 4 2 6" xfId="4616"/>
    <cellStyle name="Normal 4 2 6 2" xfId="8652"/>
    <cellStyle name="Normal 4 2 6 2 2" xfId="8653"/>
    <cellStyle name="Normal 4 2 6 2 2 2" xfId="8654"/>
    <cellStyle name="Normal 4 2 6 2 2 3" xfId="60040"/>
    <cellStyle name="Normal 4 2 6 2 3" xfId="8655"/>
    <cellStyle name="Normal 4 2 6 2 3 2" xfId="60041"/>
    <cellStyle name="Normal 4 2 6 2 4" xfId="60042"/>
    <cellStyle name="Normal 4 2 6 2 5" xfId="60043"/>
    <cellStyle name="Normal 4 2 6 3" xfId="8656"/>
    <cellStyle name="Normal 4 2 6 3 2" xfId="8657"/>
    <cellStyle name="Normal 4 2 6 3 3" xfId="60044"/>
    <cellStyle name="Normal 4 2 6 4" xfId="8658"/>
    <cellStyle name="Normal 4 2 6 4 2" xfId="60045"/>
    <cellStyle name="Normal 4 2 6 5" xfId="60046"/>
    <cellStyle name="Normal 4 2 6 6" xfId="60047"/>
    <cellStyle name="Normal 4 2 7" xfId="8659"/>
    <cellStyle name="Normal 4 2 7 2" xfId="8660"/>
    <cellStyle name="Normal 4 2 7 2 2" xfId="8661"/>
    <cellStyle name="Normal 4 2 7 2 2 2" xfId="60048"/>
    <cellStyle name="Normal 4 2 7 2 3" xfId="60049"/>
    <cellStyle name="Normal 4 2 7 2 4" xfId="60050"/>
    <cellStyle name="Normal 4 2 7 2 5" xfId="60051"/>
    <cellStyle name="Normal 4 2 7 3" xfId="8662"/>
    <cellStyle name="Normal 4 2 7 3 2" xfId="60052"/>
    <cellStyle name="Normal 4 2 7 4" xfId="60053"/>
    <cellStyle name="Normal 4 2 7 5" xfId="60054"/>
    <cellStyle name="Normal 4 2 7 6" xfId="60055"/>
    <cellStyle name="Normal 4 2 8" xfId="8663"/>
    <cellStyle name="Normal 4 2 8 2" xfId="8664"/>
    <cellStyle name="Normal 4 2 8 2 2" xfId="60056"/>
    <cellStyle name="Normal 4 2 8 3" xfId="60057"/>
    <cellStyle name="Normal 4 2 8 4" xfId="60058"/>
    <cellStyle name="Normal 4 2 8 5" xfId="60059"/>
    <cellStyle name="Normal 4 2 9" xfId="8665"/>
    <cellStyle name="Normal 4 2 9 2" xfId="8666"/>
    <cellStyle name="Normal 4 2 9 2 2" xfId="60060"/>
    <cellStyle name="Normal 4 2 9 3" xfId="60061"/>
    <cellStyle name="Normal 4 2 9 4" xfId="60062"/>
    <cellStyle name="Normal 4 2 9 5" xfId="60063"/>
    <cellStyle name="Normal 4 3" xfId="4617"/>
    <cellStyle name="Normal 4 3 2" xfId="4618"/>
    <cellStyle name="Normal 4 3 2 2" xfId="4619"/>
    <cellStyle name="Normal 4 3 2 2 2" xfId="4620"/>
    <cellStyle name="Normal 4 3 2 2 2 2" xfId="4621"/>
    <cellStyle name="Normal 4 3 2 2 3" xfId="4622"/>
    <cellStyle name="Normal 4 3 2 3" xfId="4623"/>
    <cellStyle name="Normal 4 3 2 3 2" xfId="4624"/>
    <cellStyle name="Normal 4 3 2 4" xfId="4625"/>
    <cellStyle name="Normal 4 3 2 5" xfId="60064"/>
    <cellStyle name="Normal 4 3 3" xfId="4626"/>
    <cellStyle name="Normal 4 3 3 2" xfId="4627"/>
    <cellStyle name="Normal 4 3 3 2 2" xfId="4628"/>
    <cellStyle name="Normal 4 3 3 3" xfId="4629"/>
    <cellStyle name="Normal 4 3 4" xfId="4630"/>
    <cellStyle name="Normal 4 3 4 2" xfId="4631"/>
    <cellStyle name="Normal 4 3 5" xfId="4632"/>
    <cellStyle name="Normal 4 3 6" xfId="60065"/>
    <cellStyle name="Normal 4 4" xfId="4633"/>
    <cellStyle name="Normal 4 4 2" xfId="4634"/>
    <cellStyle name="Normal 4 4 2 2" xfId="4635"/>
    <cellStyle name="Normal 4 4 2 2 2" xfId="4636"/>
    <cellStyle name="Normal 4 4 2 2 3" xfId="60066"/>
    <cellStyle name="Normal 4 4 2 3" xfId="4637"/>
    <cellStyle name="Normal 4 4 2 4" xfId="60067"/>
    <cellStyle name="Normal 4 4 3" xfId="4638"/>
    <cellStyle name="Normal 4 4 3 2" xfId="4639"/>
    <cellStyle name="Normal 4 4 3 3" xfId="60068"/>
    <cellStyle name="Normal 4 4 4" xfId="4640"/>
    <cellStyle name="Normal 4 4 5" xfId="60069"/>
    <cellStyle name="Normal 4 4 6" xfId="60070"/>
    <cellStyle name="Normal 4 4 7" xfId="60071"/>
    <cellStyle name="Normal 4 5" xfId="4641"/>
    <cellStyle name="Normal 4 5 2" xfId="4642"/>
    <cellStyle name="Normal 4 5 2 2" xfId="4643"/>
    <cellStyle name="Normal 4 5 2 3" xfId="60072"/>
    <cellStyle name="Normal 4 5 3" xfId="4644"/>
    <cellStyle name="Normal 4 5 4" xfId="60073"/>
    <cellStyle name="Normal 4 6" xfId="4645"/>
    <cellStyle name="Normal 4 6 2" xfId="4646"/>
    <cellStyle name="Normal 4 6 3" xfId="60074"/>
    <cellStyle name="Normal 4 7" xfId="4647"/>
    <cellStyle name="Normal 4 7 2" xfId="60075"/>
    <cellStyle name="Normal 4 8" xfId="4648"/>
    <cellStyle name="Normal 4 9" xfId="9289"/>
    <cellStyle name="Normal 4_183302" xfId="8772"/>
    <cellStyle name="Normal 40" xfId="4649"/>
    <cellStyle name="Normal 40 2" xfId="4650"/>
    <cellStyle name="Normal 41" xfId="4651"/>
    <cellStyle name="Normal 41 2" xfId="4652"/>
    <cellStyle name="Normal 42" xfId="4653"/>
    <cellStyle name="Normal 42 2" xfId="60076"/>
    <cellStyle name="Normal 42 3" xfId="60077"/>
    <cellStyle name="Normal 42 4" xfId="60078"/>
    <cellStyle name="Normal 43" xfId="4654"/>
    <cellStyle name="Normal 43 2" xfId="60079"/>
    <cellStyle name="Normal 43 3" xfId="60080"/>
    <cellStyle name="Normal 44" xfId="4655"/>
    <cellStyle name="Normal 44 2" xfId="60081"/>
    <cellStyle name="Normal 44 3" xfId="60082"/>
    <cellStyle name="Normal 45" xfId="4656"/>
    <cellStyle name="Normal 45 2" xfId="60083"/>
    <cellStyle name="Normal 45 3" xfId="60084"/>
    <cellStyle name="Normal 46" xfId="1"/>
    <cellStyle name="Normal 46 2" xfId="9290"/>
    <cellStyle name="Normal 46 2 2" xfId="56076"/>
    <cellStyle name="Normal 46 3" xfId="60085"/>
    <cellStyle name="Normal 47" xfId="8207"/>
    <cellStyle name="Normal 47 2" xfId="56077"/>
    <cellStyle name="Normal 47 3" xfId="60086"/>
    <cellStyle name="Normal 48" xfId="8667"/>
    <cellStyle name="Normal 48 2" xfId="60087"/>
    <cellStyle name="Normal 48 3" xfId="60088"/>
    <cellStyle name="Normal 49" xfId="8671"/>
    <cellStyle name="Normal 49 2" xfId="60089"/>
    <cellStyle name="Normal 49 3" xfId="60090"/>
    <cellStyle name="Normal 49 4" xfId="61971"/>
    <cellStyle name="Normal 5" xfId="4657"/>
    <cellStyle name="Normal 5 10" xfId="4658"/>
    <cellStyle name="Normal 5 10 2" xfId="4659"/>
    <cellStyle name="Normal 5 10 2 2" xfId="4660"/>
    <cellStyle name="Normal 5 10 2 2 2" xfId="4661"/>
    <cellStyle name="Normal 5 10 2 3" xfId="4662"/>
    <cellStyle name="Normal 5 10 3" xfId="4663"/>
    <cellStyle name="Normal 5 10 3 2" xfId="4664"/>
    <cellStyle name="Normal 5 10 4" xfId="4665"/>
    <cellStyle name="Normal 5 11" xfId="4666"/>
    <cellStyle name="Normal 5 11 2" xfId="4667"/>
    <cellStyle name="Normal 5 11 2 2" xfId="4668"/>
    <cellStyle name="Normal 5 11 3" xfId="4669"/>
    <cellStyle name="Normal 5 12" xfId="4670"/>
    <cellStyle name="Normal 5 12 2" xfId="4671"/>
    <cellStyle name="Normal 5 13" xfId="9291"/>
    <cellStyle name="Normal 5 2" xfId="4672"/>
    <cellStyle name="Normal 5 2 10" xfId="4673"/>
    <cellStyle name="Normal 5 2 11" xfId="60091"/>
    <cellStyle name="Normal 5 2 2" xfId="4674"/>
    <cellStyle name="Normal 5 2 2 2" xfId="4675"/>
    <cellStyle name="Normal 5 2 2 2 2" xfId="4676"/>
    <cellStyle name="Normal 5 2 2 2 2 2" xfId="4677"/>
    <cellStyle name="Normal 5 2 2 2 2 2 2" xfId="4678"/>
    <cellStyle name="Normal 5 2 2 2 2 2 2 2" xfId="4679"/>
    <cellStyle name="Normal 5 2 2 2 2 2 2 2 2" xfId="4680"/>
    <cellStyle name="Normal 5 2 2 2 2 2 2 3" xfId="4681"/>
    <cellStyle name="Normal 5 2 2 2 2 2 3" xfId="4682"/>
    <cellStyle name="Normal 5 2 2 2 2 2 3 2" xfId="4683"/>
    <cellStyle name="Normal 5 2 2 2 2 2 4" xfId="4684"/>
    <cellStyle name="Normal 5 2 2 2 2 3" xfId="4685"/>
    <cellStyle name="Normal 5 2 2 2 2 3 2" xfId="4686"/>
    <cellStyle name="Normal 5 2 2 2 2 3 2 2" xfId="4687"/>
    <cellStyle name="Normal 5 2 2 2 2 3 3" xfId="4688"/>
    <cellStyle name="Normal 5 2 2 2 2 4" xfId="4689"/>
    <cellStyle name="Normal 5 2 2 2 2 4 2" xfId="4690"/>
    <cellStyle name="Normal 5 2 2 2 2 5" xfId="4691"/>
    <cellStyle name="Normal 5 2 2 2 2 6" xfId="60092"/>
    <cellStyle name="Normal 5 2 2 2 3" xfId="4692"/>
    <cellStyle name="Normal 5 2 2 2 3 2" xfId="4693"/>
    <cellStyle name="Normal 5 2 2 2 3 2 2" xfId="4694"/>
    <cellStyle name="Normal 5 2 2 2 3 2 2 2" xfId="4695"/>
    <cellStyle name="Normal 5 2 2 2 3 2 3" xfId="4696"/>
    <cellStyle name="Normal 5 2 2 2 3 3" xfId="4697"/>
    <cellStyle name="Normal 5 2 2 2 3 3 2" xfId="4698"/>
    <cellStyle name="Normal 5 2 2 2 3 4" xfId="4699"/>
    <cellStyle name="Normal 5 2 2 2 4" xfId="4700"/>
    <cellStyle name="Normal 5 2 2 2 4 2" xfId="4701"/>
    <cellStyle name="Normal 5 2 2 2 4 2 2" xfId="4702"/>
    <cellStyle name="Normal 5 2 2 2 4 3" xfId="4703"/>
    <cellStyle name="Normal 5 2 2 2 5" xfId="4704"/>
    <cellStyle name="Normal 5 2 2 2 5 2" xfId="4705"/>
    <cellStyle name="Normal 5 2 2 2 6" xfId="4706"/>
    <cellStyle name="Normal 5 2 2 2 7" xfId="60093"/>
    <cellStyle name="Normal 5 2 2 3" xfId="4707"/>
    <cellStyle name="Normal 5 2 2 3 2" xfId="4708"/>
    <cellStyle name="Normal 5 2 2 3 2 2" xfId="4709"/>
    <cellStyle name="Normal 5 2 2 3 2 2 2" xfId="4710"/>
    <cellStyle name="Normal 5 2 2 3 2 2 2 2" xfId="4711"/>
    <cellStyle name="Normal 5 2 2 3 2 2 3" xfId="4712"/>
    <cellStyle name="Normal 5 2 2 3 2 3" xfId="4713"/>
    <cellStyle name="Normal 5 2 2 3 2 3 2" xfId="4714"/>
    <cellStyle name="Normal 5 2 2 3 2 4" xfId="4715"/>
    <cellStyle name="Normal 5 2 2 3 3" xfId="4716"/>
    <cellStyle name="Normal 5 2 2 3 3 2" xfId="4717"/>
    <cellStyle name="Normal 5 2 2 3 3 2 2" xfId="4718"/>
    <cellStyle name="Normal 5 2 2 3 3 3" xfId="4719"/>
    <cellStyle name="Normal 5 2 2 3 4" xfId="4720"/>
    <cellStyle name="Normal 5 2 2 3 4 2" xfId="4721"/>
    <cellStyle name="Normal 5 2 2 3 5" xfId="4722"/>
    <cellStyle name="Normal 5 2 2 3 6" xfId="60094"/>
    <cellStyle name="Normal 5 2 2 4" xfId="4723"/>
    <cellStyle name="Normal 5 2 2 4 2" xfId="4724"/>
    <cellStyle name="Normal 5 2 2 4 2 2" xfId="4725"/>
    <cellStyle name="Normal 5 2 2 4 2 2 2" xfId="4726"/>
    <cellStyle name="Normal 5 2 2 4 2 2 2 2" xfId="4727"/>
    <cellStyle name="Normal 5 2 2 4 2 2 3" xfId="4728"/>
    <cellStyle name="Normal 5 2 2 4 2 3" xfId="4729"/>
    <cellStyle name="Normal 5 2 2 4 2 3 2" xfId="4730"/>
    <cellStyle name="Normal 5 2 2 4 2 4" xfId="4731"/>
    <cellStyle name="Normal 5 2 2 4 3" xfId="4732"/>
    <cellStyle name="Normal 5 2 2 4 3 2" xfId="4733"/>
    <cellStyle name="Normal 5 2 2 4 3 2 2" xfId="4734"/>
    <cellStyle name="Normal 5 2 2 4 3 3" xfId="4735"/>
    <cellStyle name="Normal 5 2 2 4 4" xfId="4736"/>
    <cellStyle name="Normal 5 2 2 4 4 2" xfId="4737"/>
    <cellStyle name="Normal 5 2 2 4 5" xfId="4738"/>
    <cellStyle name="Normal 5 2 2 5" xfId="4739"/>
    <cellStyle name="Normal 5 2 2 5 2" xfId="4740"/>
    <cellStyle name="Normal 5 2 2 5 2 2" xfId="4741"/>
    <cellStyle name="Normal 5 2 2 5 2 2 2" xfId="4742"/>
    <cellStyle name="Normal 5 2 2 5 2 3" xfId="4743"/>
    <cellStyle name="Normal 5 2 2 5 3" xfId="4744"/>
    <cellStyle name="Normal 5 2 2 5 3 2" xfId="4745"/>
    <cellStyle name="Normal 5 2 2 5 4" xfId="4746"/>
    <cellStyle name="Normal 5 2 2 6" xfId="4747"/>
    <cellStyle name="Normal 5 2 2 6 2" xfId="4748"/>
    <cellStyle name="Normal 5 2 2 6 2 2" xfId="4749"/>
    <cellStyle name="Normal 5 2 2 6 3" xfId="4750"/>
    <cellStyle name="Normal 5 2 2 7" xfId="4751"/>
    <cellStyle name="Normal 5 2 2 7 2" xfId="4752"/>
    <cellStyle name="Normal 5 2 2 8" xfId="4753"/>
    <cellStyle name="Normal 5 2 2 9" xfId="60095"/>
    <cellStyle name="Normal 5 2 3" xfId="4754"/>
    <cellStyle name="Normal 5 2 3 2" xfId="4755"/>
    <cellStyle name="Normal 5 2 3 2 2" xfId="4756"/>
    <cellStyle name="Normal 5 2 3 2 2 2" xfId="4757"/>
    <cellStyle name="Normal 5 2 3 2 2 2 2" xfId="4758"/>
    <cellStyle name="Normal 5 2 3 2 2 2 2 2" xfId="4759"/>
    <cellStyle name="Normal 5 2 3 2 2 2 3" xfId="4760"/>
    <cellStyle name="Normal 5 2 3 2 2 3" xfId="4761"/>
    <cellStyle name="Normal 5 2 3 2 2 3 2" xfId="4762"/>
    <cellStyle name="Normal 5 2 3 2 2 4" xfId="4763"/>
    <cellStyle name="Normal 5 2 3 2 3" xfId="4764"/>
    <cellStyle name="Normal 5 2 3 2 3 2" xfId="4765"/>
    <cellStyle name="Normal 5 2 3 2 3 2 2" xfId="4766"/>
    <cellStyle name="Normal 5 2 3 2 3 3" xfId="4767"/>
    <cellStyle name="Normal 5 2 3 2 4" xfId="4768"/>
    <cellStyle name="Normal 5 2 3 2 4 2" xfId="4769"/>
    <cellStyle name="Normal 5 2 3 2 5" xfId="4770"/>
    <cellStyle name="Normal 5 2 3 3" xfId="4771"/>
    <cellStyle name="Normal 5 2 3 3 2" xfId="4772"/>
    <cellStyle name="Normal 5 2 3 3 2 2" xfId="4773"/>
    <cellStyle name="Normal 5 2 3 3 2 2 2" xfId="4774"/>
    <cellStyle name="Normal 5 2 3 3 2 3" xfId="4775"/>
    <cellStyle name="Normal 5 2 3 3 3" xfId="4776"/>
    <cellStyle name="Normal 5 2 3 3 3 2" xfId="4777"/>
    <cellStyle name="Normal 5 2 3 3 4" xfId="4778"/>
    <cellStyle name="Normal 5 2 3 4" xfId="4779"/>
    <cellStyle name="Normal 5 2 3 4 2" xfId="4780"/>
    <cellStyle name="Normal 5 2 3 4 2 2" xfId="4781"/>
    <cellStyle name="Normal 5 2 3 4 3" xfId="4782"/>
    <cellStyle name="Normal 5 2 3 5" xfId="4783"/>
    <cellStyle name="Normal 5 2 3 5 2" xfId="4784"/>
    <cellStyle name="Normal 5 2 3 6" xfId="4785"/>
    <cellStyle name="Normal 5 2 3 7" xfId="60096"/>
    <cellStyle name="Normal 5 2 4" xfId="4786"/>
    <cellStyle name="Normal 5 2 4 2" xfId="4787"/>
    <cellStyle name="Normal 5 2 4 2 2" xfId="4788"/>
    <cellStyle name="Normal 5 2 4 2 2 2" xfId="4789"/>
    <cellStyle name="Normal 5 2 4 2 2 2 2" xfId="4790"/>
    <cellStyle name="Normal 5 2 4 2 2 3" xfId="4791"/>
    <cellStyle name="Normal 5 2 4 2 3" xfId="4792"/>
    <cellStyle name="Normal 5 2 4 2 3 2" xfId="4793"/>
    <cellStyle name="Normal 5 2 4 2 4" xfId="4794"/>
    <cellStyle name="Normal 5 2 4 2 5" xfId="60097"/>
    <cellStyle name="Normal 5 2 4 3" xfId="4795"/>
    <cellStyle name="Normal 5 2 4 3 2" xfId="4796"/>
    <cellStyle name="Normal 5 2 4 3 2 2" xfId="4797"/>
    <cellStyle name="Normal 5 2 4 3 3" xfId="4798"/>
    <cellStyle name="Normal 5 2 4 4" xfId="4799"/>
    <cellStyle name="Normal 5 2 4 4 2" xfId="4800"/>
    <cellStyle name="Normal 5 2 4 5" xfId="4801"/>
    <cellStyle name="Normal 5 2 4 6" xfId="60098"/>
    <cellStyle name="Normal 5 2 5" xfId="4802"/>
    <cellStyle name="Normal 5 2 5 2" xfId="4803"/>
    <cellStyle name="Normal 5 2 5 2 2" xfId="4804"/>
    <cellStyle name="Normal 5 2 5 2 2 2" xfId="4805"/>
    <cellStyle name="Normal 5 2 5 2 2 2 2" xfId="4806"/>
    <cellStyle name="Normal 5 2 5 2 2 3" xfId="4807"/>
    <cellStyle name="Normal 5 2 5 2 3" xfId="4808"/>
    <cellStyle name="Normal 5 2 5 2 3 2" xfId="4809"/>
    <cellStyle name="Normal 5 2 5 2 4" xfId="4810"/>
    <cellStyle name="Normal 5 2 5 3" xfId="4811"/>
    <cellStyle name="Normal 5 2 5 3 2" xfId="4812"/>
    <cellStyle name="Normal 5 2 5 3 2 2" xfId="4813"/>
    <cellStyle name="Normal 5 2 5 3 3" xfId="4814"/>
    <cellStyle name="Normal 5 2 5 4" xfId="4815"/>
    <cellStyle name="Normal 5 2 5 4 2" xfId="4816"/>
    <cellStyle name="Normal 5 2 5 5" xfId="4817"/>
    <cellStyle name="Normal 5 2 5 6" xfId="60099"/>
    <cellStyle name="Normal 5 2 6" xfId="4818"/>
    <cellStyle name="Normal 5 2 6 2" xfId="4819"/>
    <cellStyle name="Normal 5 2 6 2 2" xfId="4820"/>
    <cellStyle name="Normal 5 2 6 2 2 2" xfId="4821"/>
    <cellStyle name="Normal 5 2 6 2 3" xfId="4822"/>
    <cellStyle name="Normal 5 2 6 3" xfId="4823"/>
    <cellStyle name="Normal 5 2 6 3 2" xfId="4824"/>
    <cellStyle name="Normal 5 2 6 4" xfId="4825"/>
    <cellStyle name="Normal 5 2 7" xfId="4826"/>
    <cellStyle name="Normal 5 2 7 2" xfId="4827"/>
    <cellStyle name="Normal 5 2 7 2 2" xfId="4828"/>
    <cellStyle name="Normal 5 2 7 3" xfId="4829"/>
    <cellStyle name="Normal 5 2 8" xfId="4830"/>
    <cellStyle name="Normal 5 2 8 2" xfId="4831"/>
    <cellStyle name="Normal 5 2 9" xfId="4832"/>
    <cellStyle name="Normal 5 3" xfId="4833"/>
    <cellStyle name="Normal 5 3 10" xfId="4834"/>
    <cellStyle name="Normal 5 3 11" xfId="60100"/>
    <cellStyle name="Normal 5 3 2" xfId="4835"/>
    <cellStyle name="Normal 5 3 2 2" xfId="4836"/>
    <cellStyle name="Normal 5 3 2 2 2" xfId="4837"/>
    <cellStyle name="Normal 5 3 2 2 2 2" xfId="4838"/>
    <cellStyle name="Normal 5 3 2 2 2 2 2" xfId="4839"/>
    <cellStyle name="Normal 5 3 2 2 2 2 2 2" xfId="4840"/>
    <cellStyle name="Normal 5 3 2 2 2 2 2 2 2" xfId="4841"/>
    <cellStyle name="Normal 5 3 2 2 2 2 2 3" xfId="4842"/>
    <cellStyle name="Normal 5 3 2 2 2 2 3" xfId="4843"/>
    <cellStyle name="Normal 5 3 2 2 2 2 3 2" xfId="4844"/>
    <cellStyle name="Normal 5 3 2 2 2 2 4" xfId="4845"/>
    <cellStyle name="Normal 5 3 2 2 2 3" xfId="4846"/>
    <cellStyle name="Normal 5 3 2 2 2 3 2" xfId="4847"/>
    <cellStyle name="Normal 5 3 2 2 2 3 2 2" xfId="4848"/>
    <cellStyle name="Normal 5 3 2 2 2 3 3" xfId="4849"/>
    <cellStyle name="Normal 5 3 2 2 2 4" xfId="4850"/>
    <cellStyle name="Normal 5 3 2 2 2 4 2" xfId="4851"/>
    <cellStyle name="Normal 5 3 2 2 2 5" xfId="4852"/>
    <cellStyle name="Normal 5 3 2 2 3" xfId="4853"/>
    <cellStyle name="Normal 5 3 2 2 3 2" xfId="4854"/>
    <cellStyle name="Normal 5 3 2 2 3 2 2" xfId="4855"/>
    <cellStyle name="Normal 5 3 2 2 3 2 2 2" xfId="4856"/>
    <cellStyle name="Normal 5 3 2 2 3 2 3" xfId="4857"/>
    <cellStyle name="Normal 5 3 2 2 3 3" xfId="4858"/>
    <cellStyle name="Normal 5 3 2 2 3 3 2" xfId="4859"/>
    <cellStyle name="Normal 5 3 2 2 3 4" xfId="4860"/>
    <cellStyle name="Normal 5 3 2 2 4" xfId="4861"/>
    <cellStyle name="Normal 5 3 2 2 4 2" xfId="4862"/>
    <cellStyle name="Normal 5 3 2 2 4 2 2" xfId="4863"/>
    <cellStyle name="Normal 5 3 2 2 4 3" xfId="4864"/>
    <cellStyle name="Normal 5 3 2 2 5" xfId="4865"/>
    <cellStyle name="Normal 5 3 2 2 5 2" xfId="4866"/>
    <cellStyle name="Normal 5 3 2 2 6" xfId="4867"/>
    <cellStyle name="Normal 5 3 2 3" xfId="4868"/>
    <cellStyle name="Normal 5 3 2 3 2" xfId="4869"/>
    <cellStyle name="Normal 5 3 2 3 2 2" xfId="4870"/>
    <cellStyle name="Normal 5 3 2 3 2 2 2" xfId="4871"/>
    <cellStyle name="Normal 5 3 2 3 2 2 2 2" xfId="4872"/>
    <cellStyle name="Normal 5 3 2 3 2 2 3" xfId="4873"/>
    <cellStyle name="Normal 5 3 2 3 2 3" xfId="4874"/>
    <cellStyle name="Normal 5 3 2 3 2 3 2" xfId="4875"/>
    <cellStyle name="Normal 5 3 2 3 2 4" xfId="4876"/>
    <cellStyle name="Normal 5 3 2 3 3" xfId="4877"/>
    <cellStyle name="Normal 5 3 2 3 3 2" xfId="4878"/>
    <cellStyle name="Normal 5 3 2 3 3 2 2" xfId="4879"/>
    <cellStyle name="Normal 5 3 2 3 3 3" xfId="4880"/>
    <cellStyle name="Normal 5 3 2 3 4" xfId="4881"/>
    <cellStyle name="Normal 5 3 2 3 4 2" xfId="4882"/>
    <cellStyle name="Normal 5 3 2 3 5" xfId="4883"/>
    <cellStyle name="Normal 5 3 2 4" xfId="4884"/>
    <cellStyle name="Normal 5 3 2 4 2" xfId="4885"/>
    <cellStyle name="Normal 5 3 2 4 2 2" xfId="4886"/>
    <cellStyle name="Normal 5 3 2 4 2 2 2" xfId="4887"/>
    <cellStyle name="Normal 5 3 2 4 2 2 2 2" xfId="4888"/>
    <cellStyle name="Normal 5 3 2 4 2 2 3" xfId="4889"/>
    <cellStyle name="Normal 5 3 2 4 2 3" xfId="4890"/>
    <cellStyle name="Normal 5 3 2 4 2 3 2" xfId="4891"/>
    <cellStyle name="Normal 5 3 2 4 2 4" xfId="4892"/>
    <cellStyle name="Normal 5 3 2 4 3" xfId="4893"/>
    <cellStyle name="Normal 5 3 2 4 3 2" xfId="4894"/>
    <cellStyle name="Normal 5 3 2 4 3 2 2" xfId="4895"/>
    <cellStyle name="Normal 5 3 2 4 3 3" xfId="4896"/>
    <cellStyle name="Normal 5 3 2 4 4" xfId="4897"/>
    <cellStyle name="Normal 5 3 2 4 4 2" xfId="4898"/>
    <cellStyle name="Normal 5 3 2 4 5" xfId="4899"/>
    <cellStyle name="Normal 5 3 2 5" xfId="4900"/>
    <cellStyle name="Normal 5 3 2 5 2" xfId="4901"/>
    <cellStyle name="Normal 5 3 2 5 2 2" xfId="4902"/>
    <cellStyle name="Normal 5 3 2 5 2 2 2" xfId="4903"/>
    <cellStyle name="Normal 5 3 2 5 2 3" xfId="4904"/>
    <cellStyle name="Normal 5 3 2 5 3" xfId="4905"/>
    <cellStyle name="Normal 5 3 2 5 3 2" xfId="4906"/>
    <cellStyle name="Normal 5 3 2 5 4" xfId="4907"/>
    <cellStyle name="Normal 5 3 2 6" xfId="4908"/>
    <cellStyle name="Normal 5 3 2 6 2" xfId="4909"/>
    <cellStyle name="Normal 5 3 2 6 2 2" xfId="4910"/>
    <cellStyle name="Normal 5 3 2 6 3" xfId="4911"/>
    <cellStyle name="Normal 5 3 2 7" xfId="4912"/>
    <cellStyle name="Normal 5 3 2 7 2" xfId="4913"/>
    <cellStyle name="Normal 5 3 2 8" xfId="4914"/>
    <cellStyle name="Normal 5 3 3" xfId="4915"/>
    <cellStyle name="Normal 5 3 3 2" xfId="4916"/>
    <cellStyle name="Normal 5 3 3 2 2" xfId="4917"/>
    <cellStyle name="Normal 5 3 3 2 2 2" xfId="4918"/>
    <cellStyle name="Normal 5 3 3 2 2 2 2" xfId="4919"/>
    <cellStyle name="Normal 5 3 3 2 2 2 2 2" xfId="4920"/>
    <cellStyle name="Normal 5 3 3 2 2 2 3" xfId="4921"/>
    <cellStyle name="Normal 5 3 3 2 2 3" xfId="4922"/>
    <cellStyle name="Normal 5 3 3 2 2 3 2" xfId="4923"/>
    <cellStyle name="Normal 5 3 3 2 2 4" xfId="4924"/>
    <cellStyle name="Normal 5 3 3 2 3" xfId="4925"/>
    <cellStyle name="Normal 5 3 3 2 3 2" xfId="4926"/>
    <cellStyle name="Normal 5 3 3 2 3 2 2" xfId="4927"/>
    <cellStyle name="Normal 5 3 3 2 3 3" xfId="4928"/>
    <cellStyle name="Normal 5 3 3 2 4" xfId="4929"/>
    <cellStyle name="Normal 5 3 3 2 4 2" xfId="4930"/>
    <cellStyle name="Normal 5 3 3 2 5" xfId="4931"/>
    <cellStyle name="Normal 5 3 3 3" xfId="4932"/>
    <cellStyle name="Normal 5 3 3 3 2" xfId="4933"/>
    <cellStyle name="Normal 5 3 3 3 2 2" xfId="4934"/>
    <cellStyle name="Normal 5 3 3 3 2 2 2" xfId="4935"/>
    <cellStyle name="Normal 5 3 3 3 2 3" xfId="4936"/>
    <cellStyle name="Normal 5 3 3 3 3" xfId="4937"/>
    <cellStyle name="Normal 5 3 3 3 3 2" xfId="4938"/>
    <cellStyle name="Normal 5 3 3 3 4" xfId="4939"/>
    <cellStyle name="Normal 5 3 3 4" xfId="4940"/>
    <cellStyle name="Normal 5 3 3 4 2" xfId="4941"/>
    <cellStyle name="Normal 5 3 3 4 2 2" xfId="4942"/>
    <cellStyle name="Normal 5 3 3 4 3" xfId="4943"/>
    <cellStyle name="Normal 5 3 3 5" xfId="4944"/>
    <cellStyle name="Normal 5 3 3 5 2" xfId="4945"/>
    <cellStyle name="Normal 5 3 3 6" xfId="4946"/>
    <cellStyle name="Normal 5 3 4" xfId="4947"/>
    <cellStyle name="Normal 5 3 4 2" xfId="4948"/>
    <cellStyle name="Normal 5 3 4 2 2" xfId="4949"/>
    <cellStyle name="Normal 5 3 4 2 2 2" xfId="4950"/>
    <cellStyle name="Normal 5 3 4 2 2 2 2" xfId="4951"/>
    <cellStyle name="Normal 5 3 4 2 2 3" xfId="4952"/>
    <cellStyle name="Normal 5 3 4 2 3" xfId="4953"/>
    <cellStyle name="Normal 5 3 4 2 3 2" xfId="4954"/>
    <cellStyle name="Normal 5 3 4 2 4" xfId="4955"/>
    <cellStyle name="Normal 5 3 4 3" xfId="4956"/>
    <cellStyle name="Normal 5 3 4 3 2" xfId="4957"/>
    <cellStyle name="Normal 5 3 4 3 2 2" xfId="4958"/>
    <cellStyle name="Normal 5 3 4 3 3" xfId="4959"/>
    <cellStyle name="Normal 5 3 4 4" xfId="4960"/>
    <cellStyle name="Normal 5 3 4 4 2" xfId="4961"/>
    <cellStyle name="Normal 5 3 4 5" xfId="4962"/>
    <cellStyle name="Normal 5 3 5" xfId="4963"/>
    <cellStyle name="Normal 5 3 5 2" xfId="4964"/>
    <cellStyle name="Normal 5 3 5 2 2" xfId="4965"/>
    <cellStyle name="Normal 5 3 5 2 2 2" xfId="4966"/>
    <cellStyle name="Normal 5 3 5 2 2 2 2" xfId="4967"/>
    <cellStyle name="Normal 5 3 5 2 2 3" xfId="4968"/>
    <cellStyle name="Normal 5 3 5 2 3" xfId="4969"/>
    <cellStyle name="Normal 5 3 5 2 3 2" xfId="4970"/>
    <cellStyle name="Normal 5 3 5 2 4" xfId="4971"/>
    <cellStyle name="Normal 5 3 5 3" xfId="4972"/>
    <cellStyle name="Normal 5 3 5 3 2" xfId="4973"/>
    <cellStyle name="Normal 5 3 5 3 2 2" xfId="4974"/>
    <cellStyle name="Normal 5 3 5 3 3" xfId="4975"/>
    <cellStyle name="Normal 5 3 5 4" xfId="4976"/>
    <cellStyle name="Normal 5 3 5 4 2" xfId="4977"/>
    <cellStyle name="Normal 5 3 5 5" xfId="4978"/>
    <cellStyle name="Normal 5 3 6" xfId="4979"/>
    <cellStyle name="Normal 5 3 6 2" xfId="4980"/>
    <cellStyle name="Normal 5 3 6 2 2" xfId="4981"/>
    <cellStyle name="Normal 5 3 6 2 2 2" xfId="4982"/>
    <cellStyle name="Normal 5 3 6 2 3" xfId="4983"/>
    <cellStyle name="Normal 5 3 6 3" xfId="4984"/>
    <cellStyle name="Normal 5 3 6 3 2" xfId="4985"/>
    <cellStyle name="Normal 5 3 6 4" xfId="4986"/>
    <cellStyle name="Normal 5 3 7" xfId="4987"/>
    <cellStyle name="Normal 5 3 7 2" xfId="4988"/>
    <cellStyle name="Normal 5 3 7 2 2" xfId="4989"/>
    <cellStyle name="Normal 5 3 7 3" xfId="4990"/>
    <cellStyle name="Normal 5 3 8" xfId="4991"/>
    <cellStyle name="Normal 5 3 8 2" xfId="4992"/>
    <cellStyle name="Normal 5 3 9" xfId="4993"/>
    <cellStyle name="Normal 5 4" xfId="4994"/>
    <cellStyle name="Normal 5 4 10" xfId="4995"/>
    <cellStyle name="Normal 5 4 2" xfId="4996"/>
    <cellStyle name="Normal 5 4 2 2" xfId="4997"/>
    <cellStyle name="Normal 5 4 2 2 2" xfId="4998"/>
    <cellStyle name="Normal 5 4 2 2 2 2" xfId="4999"/>
    <cellStyle name="Normal 5 4 2 2 2 2 2" xfId="5000"/>
    <cellStyle name="Normal 5 4 2 2 2 2 2 2" xfId="5001"/>
    <cellStyle name="Normal 5 4 2 2 2 2 3" xfId="5002"/>
    <cellStyle name="Normal 5 4 2 2 2 3" xfId="5003"/>
    <cellStyle name="Normal 5 4 2 2 2 3 2" xfId="5004"/>
    <cellStyle name="Normal 5 4 2 2 2 4" xfId="5005"/>
    <cellStyle name="Normal 5 4 2 2 3" xfId="5006"/>
    <cellStyle name="Normal 5 4 2 2 3 2" xfId="5007"/>
    <cellStyle name="Normal 5 4 2 2 3 2 2" xfId="5008"/>
    <cellStyle name="Normal 5 4 2 2 3 3" xfId="5009"/>
    <cellStyle name="Normal 5 4 2 2 4" xfId="5010"/>
    <cellStyle name="Normal 5 4 2 2 4 2" xfId="5011"/>
    <cellStyle name="Normal 5 4 2 2 5" xfId="5012"/>
    <cellStyle name="Normal 5 4 2 2 6" xfId="60101"/>
    <cellStyle name="Normal 5 4 2 3" xfId="5013"/>
    <cellStyle name="Normal 5 4 2 3 2" xfId="5014"/>
    <cellStyle name="Normal 5 4 2 3 2 2" xfId="5015"/>
    <cellStyle name="Normal 5 4 2 3 2 2 2" xfId="5016"/>
    <cellStyle name="Normal 5 4 2 3 2 2 2 2" xfId="5017"/>
    <cellStyle name="Normal 5 4 2 3 2 2 3" xfId="5018"/>
    <cellStyle name="Normal 5 4 2 3 2 3" xfId="5019"/>
    <cellStyle name="Normal 5 4 2 3 2 3 2" xfId="5020"/>
    <cellStyle name="Normal 5 4 2 3 2 4" xfId="5021"/>
    <cellStyle name="Normal 5 4 2 3 3" xfId="5022"/>
    <cellStyle name="Normal 5 4 2 3 3 2" xfId="5023"/>
    <cellStyle name="Normal 5 4 2 3 3 2 2" xfId="5024"/>
    <cellStyle name="Normal 5 4 2 3 3 3" xfId="5025"/>
    <cellStyle name="Normal 5 4 2 3 4" xfId="5026"/>
    <cellStyle name="Normal 5 4 2 3 4 2" xfId="5027"/>
    <cellStyle name="Normal 5 4 2 3 5" xfId="5028"/>
    <cellStyle name="Normal 5 4 2 4" xfId="5029"/>
    <cellStyle name="Normal 5 4 2 4 2" xfId="5030"/>
    <cellStyle name="Normal 5 4 2 4 2 2" xfId="5031"/>
    <cellStyle name="Normal 5 4 2 4 2 2 2" xfId="5032"/>
    <cellStyle name="Normal 5 4 2 4 2 2 2 2" xfId="56078"/>
    <cellStyle name="Normal 5 4 2 4 2 2 2 3" xfId="56079"/>
    <cellStyle name="Normal 5 4 2 4 2 2 2 4" xfId="56080"/>
    <cellStyle name="Normal 5 4 2 4 2 2 3" xfId="56081"/>
    <cellStyle name="Normal 5 4 2 4 2 2 3 2" xfId="56082"/>
    <cellStyle name="Normal 5 4 2 4 2 2 3 3" xfId="56083"/>
    <cellStyle name="Normal 5 4 2 4 2 2 4" xfId="56084"/>
    <cellStyle name="Normal 5 4 2 4 2 2 4 2" xfId="56085"/>
    <cellStyle name="Normal 5 4 2 4 2 2 5" xfId="56086"/>
    <cellStyle name="Normal 5 4 2 4 2 2 6" xfId="56087"/>
    <cellStyle name="Normal 5 4 2 4 2 3" xfId="5033"/>
    <cellStyle name="Normal 5 4 2 4 2 3 2" xfId="56088"/>
    <cellStyle name="Normal 5 4 2 4 2 4" xfId="56089"/>
    <cellStyle name="Normal 5 4 2 4 2 5" xfId="56090"/>
    <cellStyle name="Normal 5 4 2 4 3" xfId="5034"/>
    <cellStyle name="Normal 5 4 2 4 3 2" xfId="5035"/>
    <cellStyle name="Normal 5 4 2 4 4" xfId="5036"/>
    <cellStyle name="Normal 5 4 2 4 4 2" xfId="56091"/>
    <cellStyle name="Normal 5 4 2 4 5" xfId="56092"/>
    <cellStyle name="Normal 5 4 2 4 6" xfId="56093"/>
    <cellStyle name="Normal 5 4 2 5" xfId="5037"/>
    <cellStyle name="Normal 5 4 2 5 2" xfId="5038"/>
    <cellStyle name="Normal 5 4 2 5 2 2" xfId="5039"/>
    <cellStyle name="Normal 5 4 2 5 3" xfId="5040"/>
    <cellStyle name="Normal 5 4 2 6" xfId="5041"/>
    <cellStyle name="Normal 5 4 2 6 2" xfId="5042"/>
    <cellStyle name="Normal 5 4 2 7" xfId="5043"/>
    <cellStyle name="Normal 5 4 2 8" xfId="56094"/>
    <cellStyle name="Normal 5 4 3" xfId="5044"/>
    <cellStyle name="Normal 5 4 3 2" xfId="5045"/>
    <cellStyle name="Normal 5 4 3 2 2" xfId="5046"/>
    <cellStyle name="Normal 5 4 3 2 2 2" xfId="5047"/>
    <cellStyle name="Normal 5 4 3 2 2 2 2" xfId="5048"/>
    <cellStyle name="Normal 5 4 3 2 2 2 2 2" xfId="5049"/>
    <cellStyle name="Normal 5 4 3 2 2 2 3" xfId="5050"/>
    <cellStyle name="Normal 5 4 3 2 2 3" xfId="5051"/>
    <cellStyle name="Normal 5 4 3 2 2 3 2" xfId="5052"/>
    <cellStyle name="Normal 5 4 3 2 2 4" xfId="5053"/>
    <cellStyle name="Normal 5 4 3 2 3" xfId="5054"/>
    <cellStyle name="Normal 5 4 3 2 3 2" xfId="5055"/>
    <cellStyle name="Normal 5 4 3 2 3 2 2" xfId="5056"/>
    <cellStyle name="Normal 5 4 3 2 3 3" xfId="5057"/>
    <cellStyle name="Normal 5 4 3 2 4" xfId="5058"/>
    <cellStyle name="Normal 5 4 3 2 4 2" xfId="5059"/>
    <cellStyle name="Normal 5 4 3 2 5" xfId="5060"/>
    <cellStyle name="Normal 5 4 3 3" xfId="5061"/>
    <cellStyle name="Normal 5 4 3 3 2" xfId="5062"/>
    <cellStyle name="Normal 5 4 3 3 2 2" xfId="5063"/>
    <cellStyle name="Normal 5 4 3 3 2 2 2" xfId="5064"/>
    <cellStyle name="Normal 5 4 3 3 2 3" xfId="5065"/>
    <cellStyle name="Normal 5 4 3 3 3" xfId="5066"/>
    <cellStyle name="Normal 5 4 3 3 3 2" xfId="5067"/>
    <cellStyle name="Normal 5 4 3 3 4" xfId="5068"/>
    <cellStyle name="Normal 5 4 3 4" xfId="5069"/>
    <cellStyle name="Normal 5 4 3 4 2" xfId="5070"/>
    <cellStyle name="Normal 5 4 3 4 2 2" xfId="5071"/>
    <cellStyle name="Normal 5 4 3 4 3" xfId="5072"/>
    <cellStyle name="Normal 5 4 3 5" xfId="5073"/>
    <cellStyle name="Normal 5 4 3 5 2" xfId="5074"/>
    <cellStyle name="Normal 5 4 3 6" xfId="5075"/>
    <cellStyle name="Normal 5 4 3 7" xfId="60102"/>
    <cellStyle name="Normal 5 4 4" xfId="5076"/>
    <cellStyle name="Normal 5 4 4 2" xfId="5077"/>
    <cellStyle name="Normal 5 4 4 2 2" xfId="5078"/>
    <cellStyle name="Normal 5 4 4 2 2 2" xfId="5079"/>
    <cellStyle name="Normal 5 4 4 2 2 2 2" xfId="5080"/>
    <cellStyle name="Normal 5 4 4 2 2 3" xfId="5081"/>
    <cellStyle name="Normal 5 4 4 2 3" xfId="5082"/>
    <cellStyle name="Normal 5 4 4 2 3 2" xfId="5083"/>
    <cellStyle name="Normal 5 4 4 2 4" xfId="5084"/>
    <cellStyle name="Normal 5 4 4 3" xfId="5085"/>
    <cellStyle name="Normal 5 4 4 3 2" xfId="5086"/>
    <cellStyle name="Normal 5 4 4 3 2 2" xfId="5087"/>
    <cellStyle name="Normal 5 4 4 3 3" xfId="5088"/>
    <cellStyle name="Normal 5 4 4 4" xfId="5089"/>
    <cellStyle name="Normal 5 4 4 4 2" xfId="5090"/>
    <cellStyle name="Normal 5 4 4 5" xfId="5091"/>
    <cellStyle name="Normal 5 4 5" xfId="5092"/>
    <cellStyle name="Normal 5 4 5 2" xfId="5093"/>
    <cellStyle name="Normal 5 4 5 2 2" xfId="5094"/>
    <cellStyle name="Normal 5 4 5 2 2 2" xfId="5095"/>
    <cellStyle name="Normal 5 4 5 2 2 2 2" xfId="5096"/>
    <cellStyle name="Normal 5 4 5 2 2 3" xfId="5097"/>
    <cellStyle name="Normal 5 4 5 2 3" xfId="5098"/>
    <cellStyle name="Normal 5 4 5 2 3 2" xfId="5099"/>
    <cellStyle name="Normal 5 4 5 2 4" xfId="5100"/>
    <cellStyle name="Normal 5 4 5 3" xfId="5101"/>
    <cellStyle name="Normal 5 4 5 3 2" xfId="5102"/>
    <cellStyle name="Normal 5 4 5 3 2 2" xfId="5103"/>
    <cellStyle name="Normal 5 4 5 3 3" xfId="5104"/>
    <cellStyle name="Normal 5 4 5 4" xfId="5105"/>
    <cellStyle name="Normal 5 4 5 4 2" xfId="5106"/>
    <cellStyle name="Normal 5 4 5 5" xfId="5107"/>
    <cellStyle name="Normal 5 4 6" xfId="5108"/>
    <cellStyle name="Normal 5 4 6 2" xfId="5109"/>
    <cellStyle name="Normal 5 4 6 2 2" xfId="5110"/>
    <cellStyle name="Normal 5 4 6 2 2 2" xfId="5111"/>
    <cellStyle name="Normal 5 4 6 2 3" xfId="5112"/>
    <cellStyle name="Normal 5 4 6 3" xfId="5113"/>
    <cellStyle name="Normal 5 4 6 3 2" xfId="5114"/>
    <cellStyle name="Normal 5 4 6 4" xfId="5115"/>
    <cellStyle name="Normal 5 4 7" xfId="5116"/>
    <cellStyle name="Normal 5 4 7 2" xfId="5117"/>
    <cellStyle name="Normal 5 4 7 2 2" xfId="5118"/>
    <cellStyle name="Normal 5 4 7 3" xfId="5119"/>
    <cellStyle name="Normal 5 4 8" xfId="5120"/>
    <cellStyle name="Normal 5 4 8 2" xfId="5121"/>
    <cellStyle name="Normal 5 4 9" xfId="5122"/>
    <cellStyle name="Normal 5 5" xfId="5123"/>
    <cellStyle name="Normal 5 5 10" xfId="56095"/>
    <cellStyle name="Normal 5 5 2" xfId="5124"/>
    <cellStyle name="Normal 5 5 2 2" xfId="5125"/>
    <cellStyle name="Normal 5 5 2 2 2" xfId="5126"/>
    <cellStyle name="Normal 5 5 2 2 2 2" xfId="5127"/>
    <cellStyle name="Normal 5 5 2 2 2 2 2" xfId="5128"/>
    <cellStyle name="Normal 5 5 2 2 2 3" xfId="5129"/>
    <cellStyle name="Normal 5 5 2 2 3" xfId="5130"/>
    <cellStyle name="Normal 5 5 2 2 3 2" xfId="5131"/>
    <cellStyle name="Normal 5 5 2 2 4" xfId="5132"/>
    <cellStyle name="Normal 5 5 2 2 5" xfId="56096"/>
    <cellStyle name="Normal 5 5 2 3" xfId="5133"/>
    <cellStyle name="Normal 5 5 2 3 2" xfId="5134"/>
    <cellStyle name="Normal 5 5 2 3 2 2" xfId="5135"/>
    <cellStyle name="Normal 5 5 2 3 2 2 2" xfId="56097"/>
    <cellStyle name="Normal 5 5 2 3 2 2 2 2" xfId="56098"/>
    <cellStyle name="Normal 5 5 2 3 2 2 2 3" xfId="56099"/>
    <cellStyle name="Normal 5 5 2 3 2 2 2 4" xfId="56100"/>
    <cellStyle name="Normal 5 5 2 3 2 2 3" xfId="56101"/>
    <cellStyle name="Normal 5 5 2 3 2 2 3 2" xfId="56102"/>
    <cellStyle name="Normal 5 5 2 3 2 2 3 3" xfId="56103"/>
    <cellStyle name="Normal 5 5 2 3 2 2 4" xfId="56104"/>
    <cellStyle name="Normal 5 5 2 3 2 2 4 2" xfId="56105"/>
    <cellStyle name="Normal 5 5 2 3 2 2 5" xfId="56106"/>
    <cellStyle name="Normal 5 5 2 3 2 2 6" xfId="56107"/>
    <cellStyle name="Normal 5 5 2 3 2 3" xfId="56108"/>
    <cellStyle name="Normal 5 5 2 3 2 3 2" xfId="56109"/>
    <cellStyle name="Normal 5 5 2 3 2 4" xfId="56110"/>
    <cellStyle name="Normal 5 5 2 3 2 5" xfId="56111"/>
    <cellStyle name="Normal 5 5 2 3 3" xfId="5136"/>
    <cellStyle name="Normal 5 5 2 3 3 2" xfId="56112"/>
    <cellStyle name="Normal 5 5 2 3 4" xfId="56113"/>
    <cellStyle name="Normal 5 5 2 3 4 2" xfId="56114"/>
    <cellStyle name="Normal 5 5 2 3 5" xfId="56115"/>
    <cellStyle name="Normal 5 5 2 3 6" xfId="56116"/>
    <cellStyle name="Normal 5 5 2 4" xfId="5137"/>
    <cellStyle name="Normal 5 5 2 4 2" xfId="5138"/>
    <cellStyle name="Normal 5 5 2 5" xfId="5139"/>
    <cellStyle name="Normal 5 5 2 5 2" xfId="56117"/>
    <cellStyle name="Normal 5 5 2 6" xfId="56118"/>
    <cellStyle name="Normal 5 5 2 7" xfId="56119"/>
    <cellStyle name="Normal 5 5 3" xfId="5140"/>
    <cellStyle name="Normal 5 5 3 2" xfId="5141"/>
    <cellStyle name="Normal 5 5 3 2 2" xfId="5142"/>
    <cellStyle name="Normal 5 5 3 2 2 2" xfId="5143"/>
    <cellStyle name="Normal 5 5 3 2 2 2 2" xfId="5144"/>
    <cellStyle name="Normal 5 5 3 2 2 3" xfId="5145"/>
    <cellStyle name="Normal 5 5 3 2 3" xfId="5146"/>
    <cellStyle name="Normal 5 5 3 2 3 2" xfId="5147"/>
    <cellStyle name="Normal 5 5 3 2 4" xfId="5148"/>
    <cellStyle name="Normal 5 5 3 3" xfId="5149"/>
    <cellStyle name="Normal 5 5 3 3 2" xfId="5150"/>
    <cellStyle name="Normal 5 5 3 3 2 2" xfId="5151"/>
    <cellStyle name="Normal 5 5 3 3 3" xfId="5152"/>
    <cellStyle name="Normal 5 5 3 4" xfId="5153"/>
    <cellStyle name="Normal 5 5 3 4 2" xfId="5154"/>
    <cellStyle name="Normal 5 5 3 5" xfId="5155"/>
    <cellStyle name="Normal 5 5 4" xfId="5156"/>
    <cellStyle name="Normal 5 5 4 2" xfId="5157"/>
    <cellStyle name="Normal 5 5 4 2 2" xfId="5158"/>
    <cellStyle name="Normal 5 5 4 2 2 2" xfId="5159"/>
    <cellStyle name="Normal 5 5 4 2 3" xfId="5160"/>
    <cellStyle name="Normal 5 5 4 3" xfId="5161"/>
    <cellStyle name="Normal 5 5 4 3 2" xfId="5162"/>
    <cellStyle name="Normal 5 5 4 4" xfId="5163"/>
    <cellStyle name="Normal 5 5 5" xfId="5164"/>
    <cellStyle name="Normal 5 5 5 2" xfId="5165"/>
    <cellStyle name="Normal 5 5 5 2 2" xfId="5166"/>
    <cellStyle name="Normal 5 5 5 3" xfId="5167"/>
    <cellStyle name="Normal 5 5 6" xfId="5168"/>
    <cellStyle name="Normal 5 5 6 2" xfId="5169"/>
    <cellStyle name="Normal 5 5 7" xfId="5170"/>
    <cellStyle name="Normal 5 5 8" xfId="56120"/>
    <cellStyle name="Normal 5 5 8 2" xfId="56121"/>
    <cellStyle name="Normal 5 5 9" xfId="56122"/>
    <cellStyle name="Normal 5 6" xfId="5171"/>
    <cellStyle name="Normal 5 6 2" xfId="5172"/>
    <cellStyle name="Normal 5 6 2 2" xfId="5173"/>
    <cellStyle name="Normal 5 6 2 2 2" xfId="5174"/>
    <cellStyle name="Normal 5 6 2 2 2 2" xfId="5175"/>
    <cellStyle name="Normal 5 6 2 2 2 2 2" xfId="5176"/>
    <cellStyle name="Normal 5 6 2 2 2 3" xfId="5177"/>
    <cellStyle name="Normal 5 6 2 2 3" xfId="5178"/>
    <cellStyle name="Normal 5 6 2 2 3 2" xfId="5179"/>
    <cellStyle name="Normal 5 6 2 2 4" xfId="5180"/>
    <cellStyle name="Normal 5 6 2 3" xfId="5181"/>
    <cellStyle name="Normal 5 6 2 3 2" xfId="5182"/>
    <cellStyle name="Normal 5 6 2 3 2 2" xfId="5183"/>
    <cellStyle name="Normal 5 6 2 3 3" xfId="5184"/>
    <cellStyle name="Normal 5 6 2 4" xfId="5185"/>
    <cellStyle name="Normal 5 6 2 4 2" xfId="5186"/>
    <cellStyle name="Normal 5 6 2 5" xfId="5187"/>
    <cellStyle name="Normal 5 6 3" xfId="5188"/>
    <cellStyle name="Normal 5 6 3 2" xfId="5189"/>
    <cellStyle name="Normal 5 6 3 2 2" xfId="5190"/>
    <cellStyle name="Normal 5 6 3 2 2 2" xfId="5191"/>
    <cellStyle name="Normal 5 6 3 2 3" xfId="5192"/>
    <cellStyle name="Normal 5 6 3 3" xfId="5193"/>
    <cellStyle name="Normal 5 6 3 3 2" xfId="5194"/>
    <cellStyle name="Normal 5 6 3 4" xfId="5195"/>
    <cellStyle name="Normal 5 6 4" xfId="5196"/>
    <cellStyle name="Normal 5 6 4 2" xfId="5197"/>
    <cellStyle name="Normal 5 6 4 2 2" xfId="5198"/>
    <cellStyle name="Normal 5 6 4 3" xfId="5199"/>
    <cellStyle name="Normal 5 6 5" xfId="5200"/>
    <cellStyle name="Normal 5 6 5 2" xfId="5201"/>
    <cellStyle name="Normal 5 6 6" xfId="5202"/>
    <cellStyle name="Normal 5 7" xfId="5203"/>
    <cellStyle name="Normal 5 7 2" xfId="5204"/>
    <cellStyle name="Normal 5 7 2 2" xfId="5205"/>
    <cellStyle name="Normal 5 7 2 2 2" xfId="5206"/>
    <cellStyle name="Normal 5 7 2 2 2 2" xfId="5207"/>
    <cellStyle name="Normal 5 7 2 2 3" xfId="5208"/>
    <cellStyle name="Normal 5 7 2 3" xfId="5209"/>
    <cellStyle name="Normal 5 7 2 3 2" xfId="5210"/>
    <cellStyle name="Normal 5 7 2 4" xfId="5211"/>
    <cellStyle name="Normal 5 7 3" xfId="5212"/>
    <cellStyle name="Normal 5 7 3 2" xfId="5213"/>
    <cellStyle name="Normal 5 7 3 2 2" xfId="5214"/>
    <cellStyle name="Normal 5 7 3 3" xfId="5215"/>
    <cellStyle name="Normal 5 7 4" xfId="5216"/>
    <cellStyle name="Normal 5 7 4 2" xfId="5217"/>
    <cellStyle name="Normal 5 7 5" xfId="5218"/>
    <cellStyle name="Normal 5 8" xfId="5219"/>
    <cellStyle name="Normal 5 8 2" xfId="5220"/>
    <cellStyle name="Normal 5 8 2 2" xfId="5221"/>
    <cellStyle name="Normal 5 8 2 2 2" xfId="5222"/>
    <cellStyle name="Normal 5 8 2 2 2 2" xfId="5223"/>
    <cellStyle name="Normal 5 8 2 2 3" xfId="5224"/>
    <cellStyle name="Normal 5 8 2 3" xfId="5225"/>
    <cellStyle name="Normal 5 8 2 3 2" xfId="5226"/>
    <cellStyle name="Normal 5 8 2 4" xfId="5227"/>
    <cellStyle name="Normal 5 8 3" xfId="5228"/>
    <cellStyle name="Normal 5 8 3 2" xfId="5229"/>
    <cellStyle name="Normal 5 8 3 2 2" xfId="5230"/>
    <cellStyle name="Normal 5 8 3 3" xfId="5231"/>
    <cellStyle name="Normal 5 8 4" xfId="5232"/>
    <cellStyle name="Normal 5 8 4 2" xfId="5233"/>
    <cellStyle name="Normal 5 8 5" xfId="5234"/>
    <cellStyle name="Normal 5 9" xfId="5235"/>
    <cellStyle name="Normal 5 9 2" xfId="5236"/>
    <cellStyle name="Normal 5 9 2 2" xfId="5237"/>
    <cellStyle name="Normal 5 9 2 2 2" xfId="5238"/>
    <cellStyle name="Normal 5 9 2 3" xfId="5239"/>
    <cellStyle name="Normal 5 9 3" xfId="5240"/>
    <cellStyle name="Normal 5 9 3 2" xfId="5241"/>
    <cellStyle name="Normal 5 9 4" xfId="5242"/>
    <cellStyle name="Normal 5_183302" xfId="8773"/>
    <cellStyle name="Normal 50" xfId="8673"/>
    <cellStyle name="Normal 50 2" xfId="60103"/>
    <cellStyle name="Normal 50 3" xfId="60104"/>
    <cellStyle name="Normal 51" xfId="8674"/>
    <cellStyle name="Normal 51 2" xfId="56123"/>
    <cellStyle name="Normal 51 3" xfId="60105"/>
    <cellStyle name="Normal 52" xfId="8733"/>
    <cellStyle name="Normal 52 2" xfId="60106"/>
    <cellStyle name="Normal 52 3" xfId="60107"/>
    <cellStyle name="Normal 53" xfId="8767"/>
    <cellStyle name="Normal 53 2" xfId="56124"/>
    <cellStyle name="Normal 53 3" xfId="60108"/>
    <cellStyle name="Normal 54" xfId="9372"/>
    <cellStyle name="Normal 54 2" xfId="56125"/>
    <cellStyle name="Normal 54 3" xfId="60109"/>
    <cellStyle name="Normal 55" xfId="56126"/>
    <cellStyle name="Normal 55 2" xfId="60110"/>
    <cellStyle name="Normal 55 3" xfId="60111"/>
    <cellStyle name="Normal 56" xfId="56127"/>
    <cellStyle name="Normal 56 2" xfId="60112"/>
    <cellStyle name="Normal 57" xfId="57818"/>
    <cellStyle name="Normal 57 2" xfId="60113"/>
    <cellStyle name="Normal 58" xfId="60114"/>
    <cellStyle name="Normal 58 2" xfId="60115"/>
    <cellStyle name="Normal 59" xfId="60116"/>
    <cellStyle name="Normal 6" xfId="5243"/>
    <cellStyle name="Normal 6 10" xfId="60117"/>
    <cellStyle name="Normal 6 11" xfId="60118"/>
    <cellStyle name="Normal 6 2" xfId="5244"/>
    <cellStyle name="Normal 6 2 2" xfId="5245"/>
    <cellStyle name="Normal 6 2 2 2" xfId="5246"/>
    <cellStyle name="Normal 6 2 2 2 2" xfId="5247"/>
    <cellStyle name="Normal 6 2 2 2 2 2" xfId="5248"/>
    <cellStyle name="Normal 6 2 2 2 2 2 2" xfId="5249"/>
    <cellStyle name="Normal 6 2 2 2 2 3" xfId="5250"/>
    <cellStyle name="Normal 6 2 2 2 3" xfId="5251"/>
    <cellStyle name="Normal 6 2 2 2 3 2" xfId="5252"/>
    <cellStyle name="Normal 6 2 2 2 4" xfId="5253"/>
    <cellStyle name="Normal 6 2 2 2 5" xfId="60119"/>
    <cellStyle name="Normal 6 2 2 3" xfId="5254"/>
    <cellStyle name="Normal 6 2 2 3 2" xfId="5255"/>
    <cellStyle name="Normal 6 2 2 3 2 2" xfId="5256"/>
    <cellStyle name="Normal 6 2 2 3 3" xfId="5257"/>
    <cellStyle name="Normal 6 2 2 4" xfId="5258"/>
    <cellStyle name="Normal 6 2 2 4 2" xfId="5259"/>
    <cellStyle name="Normal 6 2 2 5" xfId="5260"/>
    <cellStyle name="Normal 6 2 2 6" xfId="60120"/>
    <cellStyle name="Normal 6 2 3" xfId="5261"/>
    <cellStyle name="Normal 6 2 3 2" xfId="5262"/>
    <cellStyle name="Normal 6 2 3 2 2" xfId="5263"/>
    <cellStyle name="Normal 6 2 3 2 2 2" xfId="5264"/>
    <cellStyle name="Normal 6 2 3 2 3" xfId="5265"/>
    <cellStyle name="Normal 6 2 3 3" xfId="5266"/>
    <cellStyle name="Normal 6 2 3 3 2" xfId="5267"/>
    <cellStyle name="Normal 6 2 3 4" xfId="5268"/>
    <cellStyle name="Normal 6 2 3 5" xfId="60121"/>
    <cellStyle name="Normal 6 2 4" xfId="5269"/>
    <cellStyle name="Normal 6 2 4 2" xfId="5270"/>
    <cellStyle name="Normal 6 2 4 2 2" xfId="5271"/>
    <cellStyle name="Normal 6 2 4 3" xfId="5272"/>
    <cellStyle name="Normal 6 2 5" xfId="5273"/>
    <cellStyle name="Normal 6 2 5 2" xfId="5274"/>
    <cellStyle name="Normal 6 2 6" xfId="5275"/>
    <cellStyle name="Normal 6 2 7" xfId="5276"/>
    <cellStyle name="Normal 6 2 8" xfId="60122"/>
    <cellStyle name="Normal 6 3" xfId="5277"/>
    <cellStyle name="Normal 6 3 2" xfId="5278"/>
    <cellStyle name="Normal 6 3 2 2" xfId="5279"/>
    <cellStyle name="Normal 6 3 2 2 2" xfId="5280"/>
    <cellStyle name="Normal 6 3 2 2 2 2" xfId="5281"/>
    <cellStyle name="Normal 6 3 2 2 3" xfId="5282"/>
    <cellStyle name="Normal 6 3 2 3" xfId="5283"/>
    <cellStyle name="Normal 6 3 2 3 2" xfId="5284"/>
    <cellStyle name="Normal 6 3 2 4" xfId="5285"/>
    <cellStyle name="Normal 6 3 2 5" xfId="60123"/>
    <cellStyle name="Normal 6 3 3" xfId="5286"/>
    <cellStyle name="Normal 6 3 3 2" xfId="5287"/>
    <cellStyle name="Normal 6 3 3 2 2" xfId="5288"/>
    <cellStyle name="Normal 6 3 3 3" xfId="5289"/>
    <cellStyle name="Normal 6 3 4" xfId="5290"/>
    <cellStyle name="Normal 6 3 4 2" xfId="5291"/>
    <cellStyle name="Normal 6 3 5" xfId="5292"/>
    <cellStyle name="Normal 6 3 6" xfId="5293"/>
    <cellStyle name="Normal 6 3 7" xfId="60124"/>
    <cellStyle name="Normal 6 4" xfId="5294"/>
    <cellStyle name="Normal 6 4 2" xfId="5295"/>
    <cellStyle name="Normal 6 4 2 2" xfId="5296"/>
    <cellStyle name="Normal 6 4 2 2 2" xfId="5297"/>
    <cellStyle name="Normal 6 4 2 2 3" xfId="60125"/>
    <cellStyle name="Normal 6 4 2 3" xfId="5298"/>
    <cellStyle name="Normal 6 4 2 3 2" xfId="60126"/>
    <cellStyle name="Normal 6 4 2 4" xfId="60127"/>
    <cellStyle name="Normal 6 4 2 5" xfId="60128"/>
    <cellStyle name="Normal 6 4 2 6" xfId="60129"/>
    <cellStyle name="Normal 6 4 3" xfId="5299"/>
    <cellStyle name="Normal 6 4 3 2" xfId="5300"/>
    <cellStyle name="Normal 6 4 3 3" xfId="60130"/>
    <cellStyle name="Normal 6 4 4" xfId="5301"/>
    <cellStyle name="Normal 6 4 4 2" xfId="60131"/>
    <cellStyle name="Normal 6 4 4 3" xfId="60132"/>
    <cellStyle name="Normal 6 4 5" xfId="5302"/>
    <cellStyle name="Normal 6 4 5 2" xfId="60133"/>
    <cellStyle name="Normal 6 4 6" xfId="60134"/>
    <cellStyle name="Normal 6 4 7" xfId="60135"/>
    <cellStyle name="Normal 6 4 8" xfId="60136"/>
    <cellStyle name="Normal 6 5" xfId="5303"/>
    <cellStyle name="Normal 6 5 2" xfId="5304"/>
    <cellStyle name="Normal 6 5 2 2" xfId="5305"/>
    <cellStyle name="Normal 6 5 2 2 2" xfId="60137"/>
    <cellStyle name="Normal 6 5 2 3" xfId="60138"/>
    <cellStyle name="Normal 6 5 3" xfId="5306"/>
    <cellStyle name="Normal 6 5 3 2" xfId="60139"/>
    <cellStyle name="Normal 6 5 4" xfId="60140"/>
    <cellStyle name="Normal 6 5 5" xfId="60141"/>
    <cellStyle name="Normal 6 5 6" xfId="60142"/>
    <cellStyle name="Normal 6 6" xfId="5307"/>
    <cellStyle name="Normal 6 6 2" xfId="5308"/>
    <cellStyle name="Normal 6 6 2 2" xfId="60143"/>
    <cellStyle name="Normal 6 6 3" xfId="60144"/>
    <cellStyle name="Normal 6 6 4" xfId="60145"/>
    <cellStyle name="Normal 6 6 5" xfId="60146"/>
    <cellStyle name="Normal 6 7" xfId="5309"/>
    <cellStyle name="Normal 6 7 2" xfId="60147"/>
    <cellStyle name="Normal 6 7 3" xfId="60148"/>
    <cellStyle name="Normal 6 8" xfId="5310"/>
    <cellStyle name="Normal 6 8 2" xfId="60149"/>
    <cellStyle name="Normal 6 8 3" xfId="60150"/>
    <cellStyle name="Normal 6 9" xfId="60151"/>
    <cellStyle name="Normal 6_183302" xfId="8774"/>
    <cellStyle name="Normal 60" xfId="60152"/>
    <cellStyle name="Normal 61" xfId="60153"/>
    <cellStyle name="Normal 62" xfId="60154"/>
    <cellStyle name="Normal 63" xfId="60155"/>
    <cellStyle name="Normal 64" xfId="60156"/>
    <cellStyle name="Normal 65" xfId="60157"/>
    <cellStyle name="Normal 66" xfId="60158"/>
    <cellStyle name="Normal 67" xfId="60159"/>
    <cellStyle name="Normal 68" xfId="60160"/>
    <cellStyle name="Normal 69" xfId="60161"/>
    <cellStyle name="Normal 7" xfId="5311"/>
    <cellStyle name="Normal 7 10" xfId="5312"/>
    <cellStyle name="Normal 7 11" xfId="5313"/>
    <cellStyle name="Normal 7 2" xfId="5314"/>
    <cellStyle name="Normal 7 2 2" xfId="5315"/>
    <cellStyle name="Normal 7 2 2 2" xfId="5316"/>
    <cellStyle name="Normal 7 2 2 2 2" xfId="5317"/>
    <cellStyle name="Normal 7 2 2 2 2 2" xfId="5318"/>
    <cellStyle name="Normal 7 2 2 2 2 2 2" xfId="5319"/>
    <cellStyle name="Normal 7 2 2 2 2 2 2 2" xfId="5320"/>
    <cellStyle name="Normal 7 2 2 2 2 2 3" xfId="5321"/>
    <cellStyle name="Normal 7 2 2 2 2 3" xfId="5322"/>
    <cellStyle name="Normal 7 2 2 2 2 3 2" xfId="5323"/>
    <cellStyle name="Normal 7 2 2 2 2 4" xfId="5324"/>
    <cellStyle name="Normal 7 2 2 2 3" xfId="5325"/>
    <cellStyle name="Normal 7 2 2 2 3 2" xfId="5326"/>
    <cellStyle name="Normal 7 2 2 2 3 2 2" xfId="5327"/>
    <cellStyle name="Normal 7 2 2 2 3 3" xfId="5328"/>
    <cellStyle name="Normal 7 2 2 2 4" xfId="5329"/>
    <cellStyle name="Normal 7 2 2 2 4 2" xfId="5330"/>
    <cellStyle name="Normal 7 2 2 2 5" xfId="5331"/>
    <cellStyle name="Normal 7 2 2 2 6" xfId="60162"/>
    <cellStyle name="Normal 7 2 2 3" xfId="5332"/>
    <cellStyle name="Normal 7 2 2 3 2" xfId="5333"/>
    <cellStyle name="Normal 7 2 2 3 2 2" xfId="5334"/>
    <cellStyle name="Normal 7 2 2 3 2 2 2" xfId="5335"/>
    <cellStyle name="Normal 7 2 2 3 2 3" xfId="5336"/>
    <cellStyle name="Normal 7 2 2 3 3" xfId="5337"/>
    <cellStyle name="Normal 7 2 2 3 3 2" xfId="5338"/>
    <cellStyle name="Normal 7 2 2 3 4" xfId="5339"/>
    <cellStyle name="Normal 7 2 2 4" xfId="5340"/>
    <cellStyle name="Normal 7 2 2 4 2" xfId="5341"/>
    <cellStyle name="Normal 7 2 2 4 2 2" xfId="5342"/>
    <cellStyle name="Normal 7 2 2 4 3" xfId="5343"/>
    <cellStyle name="Normal 7 2 2 5" xfId="5344"/>
    <cellStyle name="Normal 7 2 2 5 2" xfId="5345"/>
    <cellStyle name="Normal 7 2 2 6" xfId="5346"/>
    <cellStyle name="Normal 7 2 2 7" xfId="60163"/>
    <cellStyle name="Normal 7 2 3" xfId="5347"/>
    <cellStyle name="Normal 7 2 3 2" xfId="5348"/>
    <cellStyle name="Normal 7 2 3 2 2" xfId="5349"/>
    <cellStyle name="Normal 7 2 3 2 2 2" xfId="5350"/>
    <cellStyle name="Normal 7 2 3 2 2 2 2" xfId="5351"/>
    <cellStyle name="Normal 7 2 3 2 2 3" xfId="5352"/>
    <cellStyle name="Normal 7 2 3 2 3" xfId="5353"/>
    <cellStyle name="Normal 7 2 3 2 3 2" xfId="5354"/>
    <cellStyle name="Normal 7 2 3 2 4" xfId="5355"/>
    <cellStyle name="Normal 7 2 3 3" xfId="5356"/>
    <cellStyle name="Normal 7 2 3 3 2" xfId="5357"/>
    <cellStyle name="Normal 7 2 3 3 2 2" xfId="5358"/>
    <cellStyle name="Normal 7 2 3 3 3" xfId="5359"/>
    <cellStyle name="Normal 7 2 3 4" xfId="5360"/>
    <cellStyle name="Normal 7 2 3 4 2" xfId="5361"/>
    <cellStyle name="Normal 7 2 3 5" xfId="5362"/>
    <cellStyle name="Normal 7 2 3 6" xfId="60164"/>
    <cellStyle name="Normal 7 2 4" xfId="5363"/>
    <cellStyle name="Normal 7 2 4 2" xfId="5364"/>
    <cellStyle name="Normal 7 2 4 2 2" xfId="5365"/>
    <cellStyle name="Normal 7 2 4 2 2 2" xfId="5366"/>
    <cellStyle name="Normal 7 2 4 2 2 2 2" xfId="5367"/>
    <cellStyle name="Normal 7 2 4 2 2 3" xfId="5368"/>
    <cellStyle name="Normal 7 2 4 2 3" xfId="5369"/>
    <cellStyle name="Normal 7 2 4 2 3 2" xfId="5370"/>
    <cellStyle name="Normal 7 2 4 2 4" xfId="5371"/>
    <cellStyle name="Normal 7 2 4 3" xfId="5372"/>
    <cellStyle name="Normal 7 2 4 3 2" xfId="5373"/>
    <cellStyle name="Normal 7 2 4 3 2 2" xfId="5374"/>
    <cellStyle name="Normal 7 2 4 3 3" xfId="5375"/>
    <cellStyle name="Normal 7 2 4 4" xfId="5376"/>
    <cellStyle name="Normal 7 2 4 4 2" xfId="5377"/>
    <cellStyle name="Normal 7 2 4 5" xfId="5378"/>
    <cellStyle name="Normal 7 2 5" xfId="5379"/>
    <cellStyle name="Normal 7 2 5 2" xfId="5380"/>
    <cellStyle name="Normal 7 2 5 2 2" xfId="5381"/>
    <cellStyle name="Normal 7 2 5 2 2 2" xfId="5382"/>
    <cellStyle name="Normal 7 2 5 2 3" xfId="5383"/>
    <cellStyle name="Normal 7 2 5 3" xfId="5384"/>
    <cellStyle name="Normal 7 2 5 3 2" xfId="5385"/>
    <cellStyle name="Normal 7 2 5 4" xfId="5386"/>
    <cellStyle name="Normal 7 2 6" xfId="5387"/>
    <cellStyle name="Normal 7 2 6 2" xfId="5388"/>
    <cellStyle name="Normal 7 2 6 2 2" xfId="5389"/>
    <cellStyle name="Normal 7 2 6 3" xfId="5390"/>
    <cellStyle name="Normal 7 2 7" xfId="5391"/>
    <cellStyle name="Normal 7 2 7 2" xfId="5392"/>
    <cellStyle name="Normal 7 2 8" xfId="5393"/>
    <cellStyle name="Normal 7 2 9" xfId="60165"/>
    <cellStyle name="Normal 7 3" xfId="5394"/>
    <cellStyle name="Normal 7 3 2" xfId="5395"/>
    <cellStyle name="Normal 7 3 2 2" xfId="5396"/>
    <cellStyle name="Normal 7 3 2 2 2" xfId="5397"/>
    <cellStyle name="Normal 7 3 2 2 2 2" xfId="5398"/>
    <cellStyle name="Normal 7 3 2 2 2 2 2" xfId="5399"/>
    <cellStyle name="Normal 7 3 2 2 2 3" xfId="5400"/>
    <cellStyle name="Normal 7 3 2 2 3" xfId="5401"/>
    <cellStyle name="Normal 7 3 2 2 3 2" xfId="5402"/>
    <cellStyle name="Normal 7 3 2 2 4" xfId="5403"/>
    <cellStyle name="Normal 7 3 2 3" xfId="5404"/>
    <cellStyle name="Normal 7 3 2 3 2" xfId="5405"/>
    <cellStyle name="Normal 7 3 2 3 2 2" xfId="5406"/>
    <cellStyle name="Normal 7 3 2 3 3" xfId="5407"/>
    <cellStyle name="Normal 7 3 2 4" xfId="5408"/>
    <cellStyle name="Normal 7 3 2 4 2" xfId="5409"/>
    <cellStyle name="Normal 7 3 2 5" xfId="5410"/>
    <cellStyle name="Normal 7 3 2 6" xfId="60166"/>
    <cellStyle name="Normal 7 3 3" xfId="5411"/>
    <cellStyle name="Normal 7 3 3 2" xfId="5412"/>
    <cellStyle name="Normal 7 3 3 2 2" xfId="5413"/>
    <cellStyle name="Normal 7 3 3 2 2 2" xfId="5414"/>
    <cellStyle name="Normal 7 3 3 2 3" xfId="5415"/>
    <cellStyle name="Normal 7 3 3 3" xfId="5416"/>
    <cellStyle name="Normal 7 3 3 3 2" xfId="5417"/>
    <cellStyle name="Normal 7 3 3 4" xfId="5418"/>
    <cellStyle name="Normal 7 3 4" xfId="5419"/>
    <cellStyle name="Normal 7 3 4 2" xfId="5420"/>
    <cellStyle name="Normal 7 3 4 2 2" xfId="5421"/>
    <cellStyle name="Normal 7 3 4 3" xfId="5422"/>
    <cellStyle name="Normal 7 3 5" xfId="5423"/>
    <cellStyle name="Normal 7 3 5 2" xfId="5424"/>
    <cellStyle name="Normal 7 3 6" xfId="5425"/>
    <cellStyle name="Normal 7 3 7" xfId="60167"/>
    <cellStyle name="Normal 7 4" xfId="5426"/>
    <cellStyle name="Normal 7 4 2" xfId="5427"/>
    <cellStyle name="Normal 7 4 2 2" xfId="5428"/>
    <cellStyle name="Normal 7 4 2 2 2" xfId="5429"/>
    <cellStyle name="Normal 7 4 2 2 2 2" xfId="5430"/>
    <cellStyle name="Normal 7 4 2 2 3" xfId="5431"/>
    <cellStyle name="Normal 7 4 2 3" xfId="5432"/>
    <cellStyle name="Normal 7 4 2 3 2" xfId="5433"/>
    <cellStyle name="Normal 7 4 2 4" xfId="5434"/>
    <cellStyle name="Normal 7 4 2 5" xfId="60168"/>
    <cellStyle name="Normal 7 4 3" xfId="5435"/>
    <cellStyle name="Normal 7 4 3 2" xfId="5436"/>
    <cellStyle name="Normal 7 4 3 2 2" xfId="5437"/>
    <cellStyle name="Normal 7 4 3 3" xfId="5438"/>
    <cellStyle name="Normal 7 4 4" xfId="5439"/>
    <cellStyle name="Normal 7 4 4 2" xfId="5440"/>
    <cellStyle name="Normal 7 4 5" xfId="5441"/>
    <cellStyle name="Normal 7 4 6" xfId="60169"/>
    <cellStyle name="Normal 7 4 7" xfId="60170"/>
    <cellStyle name="Normal 7 5" xfId="5442"/>
    <cellStyle name="Normal 7 5 2" xfId="5443"/>
    <cellStyle name="Normal 7 5 2 2" xfId="5444"/>
    <cellStyle name="Normal 7 5 2 2 2" xfId="5445"/>
    <cellStyle name="Normal 7 5 2 2 2 2" xfId="5446"/>
    <cellStyle name="Normal 7 5 2 2 3" xfId="5447"/>
    <cellStyle name="Normal 7 5 2 3" xfId="5448"/>
    <cellStyle name="Normal 7 5 2 3 2" xfId="5449"/>
    <cellStyle name="Normal 7 5 2 4" xfId="5450"/>
    <cellStyle name="Normal 7 5 3" xfId="5451"/>
    <cellStyle name="Normal 7 5 3 2" xfId="5452"/>
    <cellStyle name="Normal 7 5 3 2 2" xfId="5453"/>
    <cellStyle name="Normal 7 5 3 3" xfId="5454"/>
    <cellStyle name="Normal 7 5 4" xfId="5455"/>
    <cellStyle name="Normal 7 5 4 2" xfId="5456"/>
    <cellStyle name="Normal 7 5 5" xfId="5457"/>
    <cellStyle name="Normal 7 5 6" xfId="60171"/>
    <cellStyle name="Normal 7 6" xfId="5458"/>
    <cellStyle name="Normal 7 6 2" xfId="5459"/>
    <cellStyle name="Normal 7 6 2 2" xfId="5460"/>
    <cellStyle name="Normal 7 6 2 2 2" xfId="5461"/>
    <cellStyle name="Normal 7 6 2 3" xfId="5462"/>
    <cellStyle name="Normal 7 6 3" xfId="5463"/>
    <cellStyle name="Normal 7 6 3 2" xfId="5464"/>
    <cellStyle name="Normal 7 6 4" xfId="5465"/>
    <cellStyle name="Normal 7 7" xfId="5466"/>
    <cellStyle name="Normal 7 7 2" xfId="5467"/>
    <cellStyle name="Normal 7 7 2 2" xfId="5468"/>
    <cellStyle name="Normal 7 7 3" xfId="5469"/>
    <cellStyle name="Normal 7 8" xfId="5470"/>
    <cellStyle name="Normal 7 8 2" xfId="5471"/>
    <cellStyle name="Normal 7 8 2 2" xfId="5472"/>
    <cellStyle name="Normal 7 8 3" xfId="5473"/>
    <cellStyle name="Normal 7 9" xfId="5474"/>
    <cellStyle name="Normal 7 9 2" xfId="5475"/>
    <cellStyle name="Normal 7_183302" xfId="8775"/>
    <cellStyle name="Normal 70" xfId="60172"/>
    <cellStyle name="Normal 71" xfId="60173"/>
    <cellStyle name="Normal 72" xfId="60174"/>
    <cellStyle name="Normal 73" xfId="60175"/>
    <cellStyle name="Normal 74" xfId="60176"/>
    <cellStyle name="Normal 75" xfId="60177"/>
    <cellStyle name="Normal 76" xfId="60178"/>
    <cellStyle name="Normal 77" xfId="60179"/>
    <cellStyle name="Normal 78" xfId="60180"/>
    <cellStyle name="Normal 79" xfId="60181"/>
    <cellStyle name="Normal 8" xfId="5476"/>
    <cellStyle name="Normal 8 2" xfId="5477"/>
    <cellStyle name="Normal 8 2 2" xfId="5478"/>
    <cellStyle name="Normal 8 2 2 2" xfId="5479"/>
    <cellStyle name="Normal 8 2 2 2 2" xfId="5480"/>
    <cellStyle name="Normal 8 2 2 2 2 2" xfId="5481"/>
    <cellStyle name="Normal 8 2 2 2 2 2 2" xfId="5482"/>
    <cellStyle name="Normal 8 2 2 2 2 3" xfId="5483"/>
    <cellStyle name="Normal 8 2 2 2 3" xfId="5484"/>
    <cellStyle name="Normal 8 2 2 2 3 2" xfId="5485"/>
    <cellStyle name="Normal 8 2 2 2 4" xfId="5486"/>
    <cellStyle name="Normal 8 2 2 2 5" xfId="60182"/>
    <cellStyle name="Normal 8 2 2 3" xfId="5487"/>
    <cellStyle name="Normal 8 2 2 3 2" xfId="5488"/>
    <cellStyle name="Normal 8 2 2 3 2 2" xfId="5489"/>
    <cellStyle name="Normal 8 2 2 3 3" xfId="5490"/>
    <cellStyle name="Normal 8 2 2 4" xfId="5491"/>
    <cellStyle name="Normal 8 2 2 4 2" xfId="5492"/>
    <cellStyle name="Normal 8 2 2 5" xfId="5493"/>
    <cellStyle name="Normal 8 2 2 6" xfId="60183"/>
    <cellStyle name="Normal 8 2 3" xfId="5494"/>
    <cellStyle name="Normal 8 2 3 2" xfId="5495"/>
    <cellStyle name="Normal 8 2 3 2 2" xfId="5496"/>
    <cellStyle name="Normal 8 2 3 2 2 2" xfId="5497"/>
    <cellStyle name="Normal 8 2 3 2 3" xfId="5498"/>
    <cellStyle name="Normal 8 2 3 3" xfId="5499"/>
    <cellStyle name="Normal 8 2 3 3 2" xfId="5500"/>
    <cellStyle name="Normal 8 2 3 4" xfId="5501"/>
    <cellStyle name="Normal 8 2 3 5" xfId="60184"/>
    <cellStyle name="Normal 8 2 4" xfId="5502"/>
    <cellStyle name="Normal 8 2 4 2" xfId="5503"/>
    <cellStyle name="Normal 8 2 4 2 2" xfId="5504"/>
    <cellStyle name="Normal 8 2 4 3" xfId="5505"/>
    <cellStyle name="Normal 8 2 5" xfId="5506"/>
    <cellStyle name="Normal 8 2 5 2" xfId="5507"/>
    <cellStyle name="Normal 8 2 6" xfId="5508"/>
    <cellStyle name="Normal 8 2 7" xfId="5509"/>
    <cellStyle name="Normal 8 2 8" xfId="60185"/>
    <cellStyle name="Normal 8 3" xfId="5510"/>
    <cellStyle name="Normal 8 3 2" xfId="5511"/>
    <cellStyle name="Normal 8 3 2 2" xfId="5512"/>
    <cellStyle name="Normal 8 3 2 2 2" xfId="5513"/>
    <cellStyle name="Normal 8 3 2 2 2 2" xfId="5514"/>
    <cellStyle name="Normal 8 3 2 2 3" xfId="5515"/>
    <cellStyle name="Normal 8 3 2 3" xfId="5516"/>
    <cellStyle name="Normal 8 3 2 3 2" xfId="5517"/>
    <cellStyle name="Normal 8 3 2 4" xfId="5518"/>
    <cellStyle name="Normal 8 3 2 5" xfId="60186"/>
    <cellStyle name="Normal 8 3 3" xfId="5519"/>
    <cellStyle name="Normal 8 3 3 2" xfId="5520"/>
    <cellStyle name="Normal 8 3 3 2 2" xfId="5521"/>
    <cellStyle name="Normal 8 3 3 3" xfId="5522"/>
    <cellStyle name="Normal 8 3 4" xfId="5523"/>
    <cellStyle name="Normal 8 3 4 2" xfId="5524"/>
    <cellStyle name="Normal 8 3 5" xfId="5525"/>
    <cellStyle name="Normal 8 3 6" xfId="60187"/>
    <cellStyle name="Normal 8 4" xfId="5526"/>
    <cellStyle name="Normal 8 4 2" xfId="5527"/>
    <cellStyle name="Normal 8 4 2 2" xfId="5528"/>
    <cellStyle name="Normal 8 4 2 2 2" xfId="5529"/>
    <cellStyle name="Normal 8 4 2 3" xfId="5530"/>
    <cellStyle name="Normal 8 4 3" xfId="5531"/>
    <cellStyle name="Normal 8 4 3 2" xfId="5532"/>
    <cellStyle name="Normal 8 4 4" xfId="5533"/>
    <cellStyle name="Normal 8 4 5" xfId="60188"/>
    <cellStyle name="Normal 8 5" xfId="5534"/>
    <cellStyle name="Normal 8 5 2" xfId="5535"/>
    <cellStyle name="Normal 8 5 2 2" xfId="5536"/>
    <cellStyle name="Normal 8 5 3" xfId="5537"/>
    <cellStyle name="Normal 8 6" xfId="5538"/>
    <cellStyle name="Normal 8 6 2" xfId="5539"/>
    <cellStyle name="Normal 8 7" xfId="5540"/>
    <cellStyle name="Normal 8 8" xfId="5541"/>
    <cellStyle name="Normal 8_183302" xfId="8776"/>
    <cellStyle name="Normal 80" xfId="60189"/>
    <cellStyle name="Normal 81" xfId="60190"/>
    <cellStyle name="Normal 82" xfId="60191"/>
    <cellStyle name="Normal 83" xfId="60192"/>
    <cellStyle name="Normal 84" xfId="61972"/>
    <cellStyle name="Normal 85" xfId="61974"/>
    <cellStyle name="Normal 86" xfId="61976"/>
    <cellStyle name="Normal 9" xfId="5542"/>
    <cellStyle name="Normal 9 2" xfId="5543"/>
    <cellStyle name="Normal 9 2 2" xfId="5544"/>
    <cellStyle name="Normal 9 2 2 2" xfId="5545"/>
    <cellStyle name="Normal 9 2 2 2 2" xfId="5546"/>
    <cellStyle name="Normal 9 2 2 2 2 2" xfId="5547"/>
    <cellStyle name="Normal 9 2 2 2 2 2 2" xfId="5548"/>
    <cellStyle name="Normal 9 2 2 2 2 3" xfId="5549"/>
    <cellStyle name="Normal 9 2 2 2 2 4" xfId="9292"/>
    <cellStyle name="Normal 9 2 2 2 3" xfId="5550"/>
    <cellStyle name="Normal 9 2 2 2 3 2" xfId="5551"/>
    <cellStyle name="Normal 9 2 2 2 4" xfId="5552"/>
    <cellStyle name="Normal 9 2 2 2 5" xfId="5553"/>
    <cellStyle name="Normal 9 2 2 2 6" xfId="9293"/>
    <cellStyle name="Normal 9 2 2 3" xfId="5554"/>
    <cellStyle name="Normal 9 2 2 3 2" xfId="5555"/>
    <cellStyle name="Normal 9 2 2 3 2 2" xfId="5556"/>
    <cellStyle name="Normal 9 2 2 3 3" xfId="5557"/>
    <cellStyle name="Normal 9 2 2 3 4" xfId="9294"/>
    <cellStyle name="Normal 9 2 2 4" xfId="5558"/>
    <cellStyle name="Normal 9 2 2 4 2" xfId="5559"/>
    <cellStyle name="Normal 9 2 2 5" xfId="5560"/>
    <cellStyle name="Normal 9 2 2 6" xfId="5561"/>
    <cellStyle name="Normal 9 2 2 7" xfId="9295"/>
    <cellStyle name="Normal 9 2 3" xfId="5562"/>
    <cellStyle name="Normal 9 2 3 2" xfId="5563"/>
    <cellStyle name="Normal 9 2 3 2 2" xfId="5564"/>
    <cellStyle name="Normal 9 2 3 2 2 2" xfId="5565"/>
    <cellStyle name="Normal 9 2 3 2 3" xfId="5566"/>
    <cellStyle name="Normal 9 2 3 2 4" xfId="9296"/>
    <cellStyle name="Normal 9 2 3 3" xfId="5567"/>
    <cellStyle name="Normal 9 2 3 3 2" xfId="5568"/>
    <cellStyle name="Normal 9 2 3 4" xfId="5569"/>
    <cellStyle name="Normal 9 2 3 5" xfId="5570"/>
    <cellStyle name="Normal 9 2 3 6" xfId="9297"/>
    <cellStyle name="Normal 9 2 4" xfId="5571"/>
    <cellStyle name="Normal 9 2 4 2" xfId="5572"/>
    <cellStyle name="Normal 9 2 4 2 2" xfId="5573"/>
    <cellStyle name="Normal 9 2 4 3" xfId="5574"/>
    <cellStyle name="Normal 9 2 4 4" xfId="9298"/>
    <cellStyle name="Normal 9 2 5" xfId="5575"/>
    <cellStyle name="Normal 9 2 5 2" xfId="5576"/>
    <cellStyle name="Normal 9 2 6" xfId="5577"/>
    <cellStyle name="Normal 9 2 7" xfId="5578"/>
    <cellStyle name="Normal 9 2 8" xfId="9299"/>
    <cellStyle name="Normal 9 3" xfId="5579"/>
    <cellStyle name="Normal 9 3 2" xfId="5580"/>
    <cellStyle name="Normal 9 3 2 2" xfId="5581"/>
    <cellStyle name="Normal 9 3 2 2 2" xfId="5582"/>
    <cellStyle name="Normal 9 3 2 2 2 2" xfId="5583"/>
    <cellStyle name="Normal 9 3 2 2 3" xfId="5584"/>
    <cellStyle name="Normal 9 3 2 2 4" xfId="9300"/>
    <cellStyle name="Normal 9 3 2 3" xfId="5585"/>
    <cellStyle name="Normal 9 3 2 3 2" xfId="5586"/>
    <cellStyle name="Normal 9 3 2 4" xfId="5587"/>
    <cellStyle name="Normal 9 3 2 5" xfId="5588"/>
    <cellStyle name="Normal 9 3 2 6" xfId="9301"/>
    <cellStyle name="Normal 9 3 3" xfId="5589"/>
    <cellStyle name="Normal 9 3 3 2" xfId="5590"/>
    <cellStyle name="Normal 9 3 3 2 2" xfId="5591"/>
    <cellStyle name="Normal 9 3 3 3" xfId="5592"/>
    <cellStyle name="Normal 9 3 3 4" xfId="9302"/>
    <cellStyle name="Normal 9 3 4" xfId="5593"/>
    <cellStyle name="Normal 9 3 4 2" xfId="5594"/>
    <cellStyle name="Normal 9 3 5" xfId="5595"/>
    <cellStyle name="Normal 9 3 6" xfId="5596"/>
    <cellStyle name="Normal 9 3 7" xfId="9303"/>
    <cellStyle name="Normal 9 4" xfId="5597"/>
    <cellStyle name="Normal 9 4 2" xfId="5598"/>
    <cellStyle name="Normal 9 4 2 2" xfId="5599"/>
    <cellStyle name="Normal 9 4 2 2 2" xfId="5600"/>
    <cellStyle name="Normal 9 4 2 3" xfId="5601"/>
    <cellStyle name="Normal 9 4 2 4" xfId="9304"/>
    <cellStyle name="Normal 9 4 3" xfId="5602"/>
    <cellStyle name="Normal 9 4 3 2" xfId="5603"/>
    <cellStyle name="Normal 9 4 4" xfId="5604"/>
    <cellStyle name="Normal 9 4 5" xfId="5605"/>
    <cellStyle name="Normal 9 4 6" xfId="9305"/>
    <cellStyle name="Normal 9 5" xfId="5606"/>
    <cellStyle name="Normal 9 5 2" xfId="5607"/>
    <cellStyle name="Normal 9 5 2 2" xfId="5608"/>
    <cellStyle name="Normal 9 5 3" xfId="5609"/>
    <cellStyle name="Normal 9 5 4" xfId="9306"/>
    <cellStyle name="Normal 9 6" xfId="5610"/>
    <cellStyle name="Normal 9 6 2" xfId="5611"/>
    <cellStyle name="Normal 9 7" xfId="5612"/>
    <cellStyle name="Normal 9 8" xfId="5613"/>
    <cellStyle name="Normal 9 9" xfId="9307"/>
    <cellStyle name="Normal_KU COS Print File 2003q3" xfId="8670"/>
    <cellStyle name="Normal_KU ESM Forms 2001(Final Order 10-16-02)" xfId="9375"/>
    <cellStyle name="Normal_Report (2)" xfId="9376"/>
    <cellStyle name="Normal_Schedules A thru L Cost of Servive June 30, 2009" xfId="8677"/>
    <cellStyle name="Note 10" xfId="5614"/>
    <cellStyle name="Note 10 10" xfId="5615"/>
    <cellStyle name="Note 10 10 2" xfId="60193"/>
    <cellStyle name="Note 10 11" xfId="5616"/>
    <cellStyle name="Note 10 12" xfId="60194"/>
    <cellStyle name="Note 10 13" xfId="60195"/>
    <cellStyle name="Note 10 2" xfId="5617"/>
    <cellStyle name="Note 10 2 10" xfId="5618"/>
    <cellStyle name="Note 10 2 2" xfId="5619"/>
    <cellStyle name="Note 10 2 2 2" xfId="60196"/>
    <cellStyle name="Note 10 2 3" xfId="5620"/>
    <cellStyle name="Note 10 2 3 2" xfId="60197"/>
    <cellStyle name="Note 10 2 4" xfId="5621"/>
    <cellStyle name="Note 10 2 4 2" xfId="60198"/>
    <cellStyle name="Note 10 2 5" xfId="5622"/>
    <cellStyle name="Note 10 2 5 2" xfId="60199"/>
    <cellStyle name="Note 10 2 6" xfId="5623"/>
    <cellStyle name="Note 10 2 6 2" xfId="60200"/>
    <cellStyle name="Note 10 2 7" xfId="5624"/>
    <cellStyle name="Note 10 2 7 2" xfId="60201"/>
    <cellStyle name="Note 10 2 8" xfId="5625"/>
    <cellStyle name="Note 10 2 8 2" xfId="60202"/>
    <cellStyle name="Note 10 2 9" xfId="5626"/>
    <cellStyle name="Note 10 2 9 2" xfId="60203"/>
    <cellStyle name="Note 10 3" xfId="5627"/>
    <cellStyle name="Note 10 3 2" xfId="60204"/>
    <cellStyle name="Note 10 4" xfId="5628"/>
    <cellStyle name="Note 10 4 2" xfId="60205"/>
    <cellStyle name="Note 10 5" xfId="5629"/>
    <cellStyle name="Note 10 5 2" xfId="60206"/>
    <cellStyle name="Note 10 6" xfId="5630"/>
    <cellStyle name="Note 10 6 2" xfId="60207"/>
    <cellStyle name="Note 10 7" xfId="5631"/>
    <cellStyle name="Note 10 7 2" xfId="60208"/>
    <cellStyle name="Note 10 8" xfId="5632"/>
    <cellStyle name="Note 10 8 2" xfId="60209"/>
    <cellStyle name="Note 10 9" xfId="5633"/>
    <cellStyle name="Note 10 9 2" xfId="60210"/>
    <cellStyle name="Note 11" xfId="5634"/>
    <cellStyle name="Note 11 10" xfId="5635"/>
    <cellStyle name="Note 11 10 2" xfId="60211"/>
    <cellStyle name="Note 11 11" xfId="5636"/>
    <cellStyle name="Note 11 12" xfId="60212"/>
    <cellStyle name="Note 11 13" xfId="60213"/>
    <cellStyle name="Note 11 2" xfId="5637"/>
    <cellStyle name="Note 11 2 10" xfId="5638"/>
    <cellStyle name="Note 11 2 2" xfId="5639"/>
    <cellStyle name="Note 11 2 2 2" xfId="60214"/>
    <cellStyle name="Note 11 2 3" xfId="5640"/>
    <cellStyle name="Note 11 2 3 2" xfId="60215"/>
    <cellStyle name="Note 11 2 4" xfId="5641"/>
    <cellStyle name="Note 11 2 4 2" xfId="60216"/>
    <cellStyle name="Note 11 2 5" xfId="5642"/>
    <cellStyle name="Note 11 2 5 2" xfId="60217"/>
    <cellStyle name="Note 11 2 6" xfId="5643"/>
    <cellStyle name="Note 11 2 6 2" xfId="60218"/>
    <cellStyle name="Note 11 2 7" xfId="5644"/>
    <cellStyle name="Note 11 2 7 2" xfId="60219"/>
    <cellStyle name="Note 11 2 8" xfId="5645"/>
    <cellStyle name="Note 11 2 8 2" xfId="60220"/>
    <cellStyle name="Note 11 2 9" xfId="5646"/>
    <cellStyle name="Note 11 2 9 2" xfId="60221"/>
    <cellStyle name="Note 11 3" xfId="5647"/>
    <cellStyle name="Note 11 3 2" xfId="60222"/>
    <cellStyle name="Note 11 4" xfId="5648"/>
    <cellStyle name="Note 11 4 2" xfId="60223"/>
    <cellStyle name="Note 11 5" xfId="5649"/>
    <cellStyle name="Note 11 5 2" xfId="60224"/>
    <cellStyle name="Note 11 6" xfId="5650"/>
    <cellStyle name="Note 11 6 2" xfId="60225"/>
    <cellStyle name="Note 11 7" xfId="5651"/>
    <cellStyle name="Note 11 7 2" xfId="60226"/>
    <cellStyle name="Note 11 8" xfId="5652"/>
    <cellStyle name="Note 11 8 2" xfId="60227"/>
    <cellStyle name="Note 11 9" xfId="5653"/>
    <cellStyle name="Note 11 9 2" xfId="60228"/>
    <cellStyle name="Note 12" xfId="5654"/>
    <cellStyle name="Note 12 10" xfId="5655"/>
    <cellStyle name="Note 12 10 2" xfId="60229"/>
    <cellStyle name="Note 12 11" xfId="5656"/>
    <cellStyle name="Note 12 12" xfId="60230"/>
    <cellStyle name="Note 12 13" xfId="60231"/>
    <cellStyle name="Note 12 2" xfId="5657"/>
    <cellStyle name="Note 12 2 10" xfId="5658"/>
    <cellStyle name="Note 12 2 2" xfId="5659"/>
    <cellStyle name="Note 12 2 2 2" xfId="60232"/>
    <cellStyle name="Note 12 2 3" xfId="5660"/>
    <cellStyle name="Note 12 2 3 2" xfId="60233"/>
    <cellStyle name="Note 12 2 4" xfId="5661"/>
    <cellStyle name="Note 12 2 4 2" xfId="60234"/>
    <cellStyle name="Note 12 2 5" xfId="5662"/>
    <cellStyle name="Note 12 2 5 2" xfId="60235"/>
    <cellStyle name="Note 12 2 6" xfId="5663"/>
    <cellStyle name="Note 12 2 6 2" xfId="60236"/>
    <cellStyle name="Note 12 2 7" xfId="5664"/>
    <cellStyle name="Note 12 2 7 2" xfId="60237"/>
    <cellStyle name="Note 12 2 8" xfId="5665"/>
    <cellStyle name="Note 12 2 8 2" xfId="60238"/>
    <cellStyle name="Note 12 2 9" xfId="5666"/>
    <cellStyle name="Note 12 2 9 2" xfId="60239"/>
    <cellStyle name="Note 12 3" xfId="5667"/>
    <cellStyle name="Note 12 3 2" xfId="60240"/>
    <cellStyle name="Note 12 4" xfId="5668"/>
    <cellStyle name="Note 12 4 2" xfId="60241"/>
    <cellStyle name="Note 12 5" xfId="5669"/>
    <cellStyle name="Note 12 5 2" xfId="60242"/>
    <cellStyle name="Note 12 6" xfId="5670"/>
    <cellStyle name="Note 12 6 2" xfId="60243"/>
    <cellStyle name="Note 12 7" xfId="5671"/>
    <cellStyle name="Note 12 7 2" xfId="60244"/>
    <cellStyle name="Note 12 8" xfId="5672"/>
    <cellStyle name="Note 12 8 2" xfId="60245"/>
    <cellStyle name="Note 12 9" xfId="5673"/>
    <cellStyle name="Note 12 9 2" xfId="60246"/>
    <cellStyle name="Note 13" xfId="5674"/>
    <cellStyle name="Note 13 10" xfId="5675"/>
    <cellStyle name="Note 13 10 2" xfId="60247"/>
    <cellStyle name="Note 13 11" xfId="5676"/>
    <cellStyle name="Note 13 12" xfId="60248"/>
    <cellStyle name="Note 13 13" xfId="60249"/>
    <cellStyle name="Note 13 2" xfId="5677"/>
    <cellStyle name="Note 13 2 10" xfId="5678"/>
    <cellStyle name="Note 13 2 2" xfId="5679"/>
    <cellStyle name="Note 13 2 2 2" xfId="60250"/>
    <cellStyle name="Note 13 2 3" xfId="5680"/>
    <cellStyle name="Note 13 2 3 2" xfId="60251"/>
    <cellStyle name="Note 13 2 4" xfId="5681"/>
    <cellStyle name="Note 13 2 4 2" xfId="60252"/>
    <cellStyle name="Note 13 2 5" xfId="5682"/>
    <cellStyle name="Note 13 2 5 2" xfId="60253"/>
    <cellStyle name="Note 13 2 6" xfId="5683"/>
    <cellStyle name="Note 13 2 6 2" xfId="60254"/>
    <cellStyle name="Note 13 2 7" xfId="5684"/>
    <cellStyle name="Note 13 2 7 2" xfId="60255"/>
    <cellStyle name="Note 13 2 8" xfId="5685"/>
    <cellStyle name="Note 13 2 8 2" xfId="60256"/>
    <cellStyle name="Note 13 2 9" xfId="5686"/>
    <cellStyle name="Note 13 2 9 2" xfId="60257"/>
    <cellStyle name="Note 13 3" xfId="5687"/>
    <cellStyle name="Note 13 3 2" xfId="60258"/>
    <cellStyle name="Note 13 4" xfId="5688"/>
    <cellStyle name="Note 13 4 2" xfId="60259"/>
    <cellStyle name="Note 13 5" xfId="5689"/>
    <cellStyle name="Note 13 5 2" xfId="60260"/>
    <cellStyle name="Note 13 6" xfId="5690"/>
    <cellStyle name="Note 13 6 2" xfId="60261"/>
    <cellStyle name="Note 13 7" xfId="5691"/>
    <cellStyle name="Note 13 7 2" xfId="60262"/>
    <cellStyle name="Note 13 8" xfId="5692"/>
    <cellStyle name="Note 13 8 2" xfId="60263"/>
    <cellStyle name="Note 13 9" xfId="5693"/>
    <cellStyle name="Note 13 9 2" xfId="60264"/>
    <cellStyle name="Note 14" xfId="5694"/>
    <cellStyle name="Note 14 10" xfId="5695"/>
    <cellStyle name="Note 14 10 2" xfId="60265"/>
    <cellStyle name="Note 14 11" xfId="5696"/>
    <cellStyle name="Note 14 12" xfId="60266"/>
    <cellStyle name="Note 14 13" xfId="60267"/>
    <cellStyle name="Note 14 2" xfId="5697"/>
    <cellStyle name="Note 14 2 10" xfId="5698"/>
    <cellStyle name="Note 14 2 2" xfId="5699"/>
    <cellStyle name="Note 14 2 2 2" xfId="60268"/>
    <cellStyle name="Note 14 2 3" xfId="5700"/>
    <cellStyle name="Note 14 2 3 2" xfId="60269"/>
    <cellStyle name="Note 14 2 4" xfId="5701"/>
    <cellStyle name="Note 14 2 4 2" xfId="60270"/>
    <cellStyle name="Note 14 2 5" xfId="5702"/>
    <cellStyle name="Note 14 2 5 2" xfId="60271"/>
    <cellStyle name="Note 14 2 6" xfId="5703"/>
    <cellStyle name="Note 14 2 6 2" xfId="60272"/>
    <cellStyle name="Note 14 2 7" xfId="5704"/>
    <cellStyle name="Note 14 2 7 2" xfId="60273"/>
    <cellStyle name="Note 14 2 8" xfId="5705"/>
    <cellStyle name="Note 14 2 8 2" xfId="60274"/>
    <cellStyle name="Note 14 2 9" xfId="5706"/>
    <cellStyle name="Note 14 2 9 2" xfId="60275"/>
    <cellStyle name="Note 14 3" xfId="5707"/>
    <cellStyle name="Note 14 3 2" xfId="60276"/>
    <cellStyle name="Note 14 4" xfId="5708"/>
    <cellStyle name="Note 14 4 2" xfId="60277"/>
    <cellStyle name="Note 14 5" xfId="5709"/>
    <cellStyle name="Note 14 5 2" xfId="60278"/>
    <cellStyle name="Note 14 6" xfId="5710"/>
    <cellStyle name="Note 14 6 2" xfId="60279"/>
    <cellStyle name="Note 14 7" xfId="5711"/>
    <cellStyle name="Note 14 7 2" xfId="60280"/>
    <cellStyle name="Note 14 8" xfId="5712"/>
    <cellStyle name="Note 14 8 2" xfId="60281"/>
    <cellStyle name="Note 14 9" xfId="5713"/>
    <cellStyle name="Note 14 9 2" xfId="60282"/>
    <cellStyle name="Note 15" xfId="5714"/>
    <cellStyle name="Note 15 10" xfId="5715"/>
    <cellStyle name="Note 15 10 2" xfId="60283"/>
    <cellStyle name="Note 15 11" xfId="5716"/>
    <cellStyle name="Note 15 12" xfId="60284"/>
    <cellStyle name="Note 15 2" xfId="5717"/>
    <cellStyle name="Note 15 2 10" xfId="5718"/>
    <cellStyle name="Note 15 2 2" xfId="5719"/>
    <cellStyle name="Note 15 2 2 2" xfId="60285"/>
    <cellStyle name="Note 15 2 3" xfId="5720"/>
    <cellStyle name="Note 15 2 3 2" xfId="60286"/>
    <cellStyle name="Note 15 2 4" xfId="5721"/>
    <cellStyle name="Note 15 2 4 2" xfId="60287"/>
    <cellStyle name="Note 15 2 5" xfId="5722"/>
    <cellStyle name="Note 15 2 5 2" xfId="60288"/>
    <cellStyle name="Note 15 2 6" xfId="5723"/>
    <cellStyle name="Note 15 2 6 2" xfId="60289"/>
    <cellStyle name="Note 15 2 7" xfId="5724"/>
    <cellStyle name="Note 15 2 7 2" xfId="60290"/>
    <cellStyle name="Note 15 2 8" xfId="5725"/>
    <cellStyle name="Note 15 2 8 2" xfId="60291"/>
    <cellStyle name="Note 15 2 9" xfId="5726"/>
    <cellStyle name="Note 15 2 9 2" xfId="60292"/>
    <cellStyle name="Note 15 3" xfId="5727"/>
    <cellStyle name="Note 15 3 2" xfId="60293"/>
    <cellStyle name="Note 15 4" xfId="5728"/>
    <cellStyle name="Note 15 4 2" xfId="60294"/>
    <cellStyle name="Note 15 5" xfId="5729"/>
    <cellStyle name="Note 15 5 2" xfId="60295"/>
    <cellStyle name="Note 15 6" xfId="5730"/>
    <cellStyle name="Note 15 6 2" xfId="60296"/>
    <cellStyle name="Note 15 7" xfId="5731"/>
    <cellStyle name="Note 15 7 2" xfId="60297"/>
    <cellStyle name="Note 15 8" xfId="5732"/>
    <cellStyle name="Note 15 8 2" xfId="60298"/>
    <cellStyle name="Note 15 9" xfId="5733"/>
    <cellStyle name="Note 15 9 2" xfId="60299"/>
    <cellStyle name="Note 16" xfId="5734"/>
    <cellStyle name="Note 16 10" xfId="5735"/>
    <cellStyle name="Note 16 10 2" xfId="60300"/>
    <cellStyle name="Note 16 11" xfId="5736"/>
    <cellStyle name="Note 16 2" xfId="5737"/>
    <cellStyle name="Note 16 2 10" xfId="5738"/>
    <cellStyle name="Note 16 2 2" xfId="5739"/>
    <cellStyle name="Note 16 2 2 2" xfId="60301"/>
    <cellStyle name="Note 16 2 3" xfId="5740"/>
    <cellStyle name="Note 16 2 3 2" xfId="60302"/>
    <cellStyle name="Note 16 2 4" xfId="5741"/>
    <cellStyle name="Note 16 2 4 2" xfId="60303"/>
    <cellStyle name="Note 16 2 5" xfId="5742"/>
    <cellStyle name="Note 16 2 5 2" xfId="60304"/>
    <cellStyle name="Note 16 2 6" xfId="5743"/>
    <cellStyle name="Note 16 2 6 2" xfId="60305"/>
    <cellStyle name="Note 16 2 7" xfId="5744"/>
    <cellStyle name="Note 16 2 7 2" xfId="60306"/>
    <cellStyle name="Note 16 2 8" xfId="5745"/>
    <cellStyle name="Note 16 2 8 2" xfId="60307"/>
    <cellStyle name="Note 16 2 9" xfId="5746"/>
    <cellStyle name="Note 16 2 9 2" xfId="60308"/>
    <cellStyle name="Note 16 3" xfId="5747"/>
    <cellStyle name="Note 16 3 2" xfId="60309"/>
    <cellStyle name="Note 16 4" xfId="5748"/>
    <cellStyle name="Note 16 4 2" xfId="60310"/>
    <cellStyle name="Note 16 5" xfId="5749"/>
    <cellStyle name="Note 16 5 2" xfId="60311"/>
    <cellStyle name="Note 16 6" xfId="5750"/>
    <cellStyle name="Note 16 6 2" xfId="60312"/>
    <cellStyle name="Note 16 7" xfId="5751"/>
    <cellStyle name="Note 16 7 2" xfId="60313"/>
    <cellStyle name="Note 16 8" xfId="5752"/>
    <cellStyle name="Note 16 8 2" xfId="60314"/>
    <cellStyle name="Note 16 9" xfId="5753"/>
    <cellStyle name="Note 16 9 2" xfId="60315"/>
    <cellStyle name="Note 17" xfId="5754"/>
    <cellStyle name="Note 17 10" xfId="5755"/>
    <cellStyle name="Note 17 10 2" xfId="60316"/>
    <cellStyle name="Note 17 11" xfId="5756"/>
    <cellStyle name="Note 17 2" xfId="5757"/>
    <cellStyle name="Note 17 2 10" xfId="5758"/>
    <cellStyle name="Note 17 2 2" xfId="5759"/>
    <cellStyle name="Note 17 2 2 2" xfId="60317"/>
    <cellStyle name="Note 17 2 3" xfId="5760"/>
    <cellStyle name="Note 17 2 3 2" xfId="60318"/>
    <cellStyle name="Note 17 2 4" xfId="5761"/>
    <cellStyle name="Note 17 2 4 2" xfId="60319"/>
    <cellStyle name="Note 17 2 5" xfId="5762"/>
    <cellStyle name="Note 17 2 5 2" xfId="60320"/>
    <cellStyle name="Note 17 2 6" xfId="5763"/>
    <cellStyle name="Note 17 2 6 2" xfId="60321"/>
    <cellStyle name="Note 17 2 7" xfId="5764"/>
    <cellStyle name="Note 17 2 7 2" xfId="60322"/>
    <cellStyle name="Note 17 2 8" xfId="5765"/>
    <cellStyle name="Note 17 2 8 2" xfId="60323"/>
    <cellStyle name="Note 17 2 9" xfId="5766"/>
    <cellStyle name="Note 17 2 9 2" xfId="60324"/>
    <cellStyle name="Note 17 3" xfId="5767"/>
    <cellStyle name="Note 17 3 2" xfId="60325"/>
    <cellStyle name="Note 17 4" xfId="5768"/>
    <cellStyle name="Note 17 4 2" xfId="60326"/>
    <cellStyle name="Note 17 5" xfId="5769"/>
    <cellStyle name="Note 17 5 2" xfId="60327"/>
    <cellStyle name="Note 17 6" xfId="5770"/>
    <cellStyle name="Note 17 6 2" xfId="60328"/>
    <cellStyle name="Note 17 7" xfId="5771"/>
    <cellStyle name="Note 17 7 2" xfId="60329"/>
    <cellStyle name="Note 17 8" xfId="5772"/>
    <cellStyle name="Note 17 8 2" xfId="60330"/>
    <cellStyle name="Note 17 9" xfId="5773"/>
    <cellStyle name="Note 17 9 2" xfId="60331"/>
    <cellStyle name="Note 18" xfId="5774"/>
    <cellStyle name="Note 18 10" xfId="5775"/>
    <cellStyle name="Note 18 10 2" xfId="60332"/>
    <cellStyle name="Note 18 11" xfId="5776"/>
    <cellStyle name="Note 18 2" xfId="5777"/>
    <cellStyle name="Note 18 2 10" xfId="5778"/>
    <cellStyle name="Note 18 2 2" xfId="5779"/>
    <cellStyle name="Note 18 2 2 2" xfId="60333"/>
    <cellStyle name="Note 18 2 3" xfId="5780"/>
    <cellStyle name="Note 18 2 3 2" xfId="60334"/>
    <cellStyle name="Note 18 2 4" xfId="5781"/>
    <cellStyle name="Note 18 2 4 2" xfId="60335"/>
    <cellStyle name="Note 18 2 5" xfId="5782"/>
    <cellStyle name="Note 18 2 5 2" xfId="60336"/>
    <cellStyle name="Note 18 2 6" xfId="5783"/>
    <cellStyle name="Note 18 2 6 2" xfId="60337"/>
    <cellStyle name="Note 18 2 7" xfId="5784"/>
    <cellStyle name="Note 18 2 7 2" xfId="60338"/>
    <cellStyle name="Note 18 2 8" xfId="5785"/>
    <cellStyle name="Note 18 2 8 2" xfId="60339"/>
    <cellStyle name="Note 18 2 9" xfId="5786"/>
    <cellStyle name="Note 18 2 9 2" xfId="60340"/>
    <cellStyle name="Note 18 3" xfId="5787"/>
    <cellStyle name="Note 18 3 2" xfId="60341"/>
    <cellStyle name="Note 18 4" xfId="5788"/>
    <cellStyle name="Note 18 4 2" xfId="60342"/>
    <cellStyle name="Note 18 5" xfId="5789"/>
    <cellStyle name="Note 18 5 2" xfId="60343"/>
    <cellStyle name="Note 18 6" xfId="5790"/>
    <cellStyle name="Note 18 6 2" xfId="60344"/>
    <cellStyle name="Note 18 7" xfId="5791"/>
    <cellStyle name="Note 18 7 2" xfId="60345"/>
    <cellStyle name="Note 18 8" xfId="5792"/>
    <cellStyle name="Note 18 8 2" xfId="60346"/>
    <cellStyle name="Note 18 9" xfId="5793"/>
    <cellStyle name="Note 18 9 2" xfId="60347"/>
    <cellStyle name="Note 19" xfId="5794"/>
    <cellStyle name="Note 19 10" xfId="5795"/>
    <cellStyle name="Note 19 10 2" xfId="60348"/>
    <cellStyle name="Note 19 11" xfId="5796"/>
    <cellStyle name="Note 19 2" xfId="5797"/>
    <cellStyle name="Note 19 2 10" xfId="5798"/>
    <cellStyle name="Note 19 2 2" xfId="5799"/>
    <cellStyle name="Note 19 2 2 2" xfId="60349"/>
    <cellStyle name="Note 19 2 3" xfId="5800"/>
    <cellStyle name="Note 19 2 3 2" xfId="60350"/>
    <cellStyle name="Note 19 2 4" xfId="5801"/>
    <cellStyle name="Note 19 2 4 2" xfId="60351"/>
    <cellStyle name="Note 19 2 5" xfId="5802"/>
    <cellStyle name="Note 19 2 5 2" xfId="60352"/>
    <cellStyle name="Note 19 2 6" xfId="5803"/>
    <cellStyle name="Note 19 2 6 2" xfId="60353"/>
    <cellStyle name="Note 19 2 7" xfId="5804"/>
    <cellStyle name="Note 19 2 7 2" xfId="60354"/>
    <cellStyle name="Note 19 2 8" xfId="5805"/>
    <cellStyle name="Note 19 2 8 2" xfId="60355"/>
    <cellStyle name="Note 19 2 9" xfId="5806"/>
    <cellStyle name="Note 19 2 9 2" xfId="60356"/>
    <cellStyle name="Note 19 3" xfId="5807"/>
    <cellStyle name="Note 19 3 2" xfId="60357"/>
    <cellStyle name="Note 19 4" xfId="5808"/>
    <cellStyle name="Note 19 4 2" xfId="60358"/>
    <cellStyle name="Note 19 5" xfId="5809"/>
    <cellStyle name="Note 19 5 2" xfId="60359"/>
    <cellStyle name="Note 19 6" xfId="5810"/>
    <cellStyle name="Note 19 6 2" xfId="60360"/>
    <cellStyle name="Note 19 7" xfId="5811"/>
    <cellStyle name="Note 19 7 2" xfId="60361"/>
    <cellStyle name="Note 19 8" xfId="5812"/>
    <cellStyle name="Note 19 8 2" xfId="60362"/>
    <cellStyle name="Note 19 9" xfId="5813"/>
    <cellStyle name="Note 19 9 2" xfId="60363"/>
    <cellStyle name="Note 2" xfId="5814"/>
    <cellStyle name="Note 2 10" xfId="5815"/>
    <cellStyle name="Note 2 10 2" xfId="60364"/>
    <cellStyle name="Note 2 11" xfId="5816"/>
    <cellStyle name="Note 2 12" xfId="5817"/>
    <cellStyle name="Note 2 12 2" xfId="60365"/>
    <cellStyle name="Note 2 12 3" xfId="60366"/>
    <cellStyle name="Note 2 12 4" xfId="60367"/>
    <cellStyle name="Note 2 13" xfId="9308"/>
    <cellStyle name="Note 2 14" xfId="60368"/>
    <cellStyle name="Note 2 15" xfId="60369"/>
    <cellStyle name="Note 2 16" xfId="60370"/>
    <cellStyle name="Note 2 2" xfId="5818"/>
    <cellStyle name="Note 2 2 10" xfId="5819"/>
    <cellStyle name="Note 2 2 11" xfId="5820"/>
    <cellStyle name="Note 2 2 12" xfId="9309"/>
    <cellStyle name="Note 2 2 2" xfId="5821"/>
    <cellStyle name="Note 2 2 2 2" xfId="5822"/>
    <cellStyle name="Note 2 2 2 2 2" xfId="5823"/>
    <cellStyle name="Note 2 2 2 2 2 2" xfId="5824"/>
    <cellStyle name="Note 2 2 2 2 2 2 2" xfId="5825"/>
    <cellStyle name="Note 2 2 2 2 2 3" xfId="5826"/>
    <cellStyle name="Note 2 2 2 2 2 4" xfId="9310"/>
    <cellStyle name="Note 2 2 2 2 3" xfId="5827"/>
    <cellStyle name="Note 2 2 2 2 3 2" xfId="5828"/>
    <cellStyle name="Note 2 2 2 2 4" xfId="5829"/>
    <cellStyle name="Note 2 2 2 2 5" xfId="9311"/>
    <cellStyle name="Note 2 2 2 3" xfId="5830"/>
    <cellStyle name="Note 2 2 2 3 2" xfId="5831"/>
    <cellStyle name="Note 2 2 2 3 2 2" xfId="5832"/>
    <cellStyle name="Note 2 2 2 3 3" xfId="5833"/>
    <cellStyle name="Note 2 2 2 3 4" xfId="9312"/>
    <cellStyle name="Note 2 2 2 4" xfId="5834"/>
    <cellStyle name="Note 2 2 2 4 2" xfId="5835"/>
    <cellStyle name="Note 2 2 2 5" xfId="5836"/>
    <cellStyle name="Note 2 2 2 6" xfId="5837"/>
    <cellStyle name="Note 2 2 2 7" xfId="9313"/>
    <cellStyle name="Note 2 2 3" xfId="5838"/>
    <cellStyle name="Note 2 2 3 2" xfId="5839"/>
    <cellStyle name="Note 2 2 3 2 2" xfId="5840"/>
    <cellStyle name="Note 2 2 3 2 2 2" xfId="5841"/>
    <cellStyle name="Note 2 2 3 2 3" xfId="5842"/>
    <cellStyle name="Note 2 2 3 2 4" xfId="9314"/>
    <cellStyle name="Note 2 2 3 2 5" xfId="60371"/>
    <cellStyle name="Note 2 2 3 3" xfId="5843"/>
    <cellStyle name="Note 2 2 3 3 2" xfId="5844"/>
    <cellStyle name="Note 2 2 3 4" xfId="5845"/>
    <cellStyle name="Note 2 2 3 5" xfId="5846"/>
    <cellStyle name="Note 2 2 3 6" xfId="9315"/>
    <cellStyle name="Note 2 2 4" xfId="5847"/>
    <cellStyle name="Note 2 2 4 2" xfId="5848"/>
    <cellStyle name="Note 2 2 4 2 2" xfId="5849"/>
    <cellStyle name="Note 2 2 4 2 3" xfId="60372"/>
    <cellStyle name="Note 2 2 4 2 4" xfId="60373"/>
    <cellStyle name="Note 2 2 4 3" xfId="5850"/>
    <cellStyle name="Note 2 2 4 4" xfId="5851"/>
    <cellStyle name="Note 2 2 4 5" xfId="9316"/>
    <cellStyle name="Note 2 2 5" xfId="5852"/>
    <cellStyle name="Note 2 2 5 2" xfId="5853"/>
    <cellStyle name="Note 2 2 5 3" xfId="5854"/>
    <cellStyle name="Note 2 2 6" xfId="5855"/>
    <cellStyle name="Note 2 2 6 2" xfId="5856"/>
    <cellStyle name="Note 2 2 7" xfId="5857"/>
    <cellStyle name="Note 2 2 7 2" xfId="60374"/>
    <cellStyle name="Note 2 2 8" xfId="5858"/>
    <cellStyle name="Note 2 2 8 2" xfId="60375"/>
    <cellStyle name="Note 2 2 9" xfId="5859"/>
    <cellStyle name="Note 2 2 9 2" xfId="60376"/>
    <cellStyle name="Note 2 3" xfId="5860"/>
    <cellStyle name="Note 2 3 2" xfId="5861"/>
    <cellStyle name="Note 2 3 2 2" xfId="5862"/>
    <cellStyle name="Note 2 3 2 2 2" xfId="5863"/>
    <cellStyle name="Note 2 3 2 2 2 2" xfId="5864"/>
    <cellStyle name="Note 2 3 2 2 3" xfId="5865"/>
    <cellStyle name="Note 2 3 2 2 4" xfId="60377"/>
    <cellStyle name="Note 2 3 2 3" xfId="5866"/>
    <cellStyle name="Note 2 3 2 3 2" xfId="5867"/>
    <cellStyle name="Note 2 3 2 4" xfId="5868"/>
    <cellStyle name="Note 2 3 2 5" xfId="60378"/>
    <cellStyle name="Note 2 3 3" xfId="5869"/>
    <cellStyle name="Note 2 3 3 2" xfId="5870"/>
    <cellStyle name="Note 2 3 3 2 2" xfId="5871"/>
    <cellStyle name="Note 2 3 3 3" xfId="5872"/>
    <cellStyle name="Note 2 3 3 4" xfId="60379"/>
    <cellStyle name="Note 2 3 3 5" xfId="60380"/>
    <cellStyle name="Note 2 3 4" xfId="5873"/>
    <cellStyle name="Note 2 3 4 2" xfId="5874"/>
    <cellStyle name="Note 2 3 5" xfId="5875"/>
    <cellStyle name="Note 2 3 6" xfId="5876"/>
    <cellStyle name="Note 2 3 7" xfId="60381"/>
    <cellStyle name="Note 2 4" xfId="5877"/>
    <cellStyle name="Note 2 4 2" xfId="5878"/>
    <cellStyle name="Note 2 4 2 2" xfId="5879"/>
    <cellStyle name="Note 2 4 2 2 2" xfId="5880"/>
    <cellStyle name="Note 2 4 2 2 3" xfId="60382"/>
    <cellStyle name="Note 2 4 2 3" xfId="5881"/>
    <cellStyle name="Note 2 4 2 4" xfId="60383"/>
    <cellStyle name="Note 2 4 2 5" xfId="60384"/>
    <cellStyle name="Note 2 4 3" xfId="5882"/>
    <cellStyle name="Note 2 4 3 2" xfId="5883"/>
    <cellStyle name="Note 2 4 3 3" xfId="60385"/>
    <cellStyle name="Note 2 4 4" xfId="5884"/>
    <cellStyle name="Note 2 4 4 2" xfId="60386"/>
    <cellStyle name="Note 2 4 5" xfId="5885"/>
    <cellStyle name="Note 2 4 6" xfId="60387"/>
    <cellStyle name="Note 2 4 7" xfId="60388"/>
    <cellStyle name="Note 2 5" xfId="5886"/>
    <cellStyle name="Note 2 5 2" xfId="5887"/>
    <cellStyle name="Note 2 5 2 2" xfId="5888"/>
    <cellStyle name="Note 2 5 2 3" xfId="60389"/>
    <cellStyle name="Note 2 5 2 4" xfId="60390"/>
    <cellStyle name="Note 2 5 2 5" xfId="60391"/>
    <cellStyle name="Note 2 5 3" xfId="5889"/>
    <cellStyle name="Note 2 5 4" xfId="5890"/>
    <cellStyle name="Note 2 5 5" xfId="60392"/>
    <cellStyle name="Note 2 6" xfId="5891"/>
    <cellStyle name="Note 2 6 2" xfId="5892"/>
    <cellStyle name="Note 2 6 2 2" xfId="60393"/>
    <cellStyle name="Note 2 6 2 3" xfId="60394"/>
    <cellStyle name="Note 2 6 2 4" xfId="60395"/>
    <cellStyle name="Note 2 6 3" xfId="5893"/>
    <cellStyle name="Note 2 6 4" xfId="60396"/>
    <cellStyle name="Note 2 6 5" xfId="60397"/>
    <cellStyle name="Note 2 7" xfId="5894"/>
    <cellStyle name="Note 2 7 2" xfId="5895"/>
    <cellStyle name="Note 2 7 2 2" xfId="60398"/>
    <cellStyle name="Note 2 7 2 3" xfId="60399"/>
    <cellStyle name="Note 2 7 2 4" xfId="60400"/>
    <cellStyle name="Note 2 7 3" xfId="60401"/>
    <cellStyle name="Note 2 7 4" xfId="60402"/>
    <cellStyle name="Note 2 7 5" xfId="60403"/>
    <cellStyle name="Note 2 8" xfId="5896"/>
    <cellStyle name="Note 2 8 2" xfId="60404"/>
    <cellStyle name="Note 2 9" xfId="5897"/>
    <cellStyle name="Note 2 9 2" xfId="60405"/>
    <cellStyle name="Note 20" xfId="5898"/>
    <cellStyle name="Note 20 10" xfId="5899"/>
    <cellStyle name="Note 20 10 2" xfId="60406"/>
    <cellStyle name="Note 20 11" xfId="5900"/>
    <cellStyle name="Note 20 2" xfId="5901"/>
    <cellStyle name="Note 20 2 10" xfId="5902"/>
    <cellStyle name="Note 20 2 2" xfId="5903"/>
    <cellStyle name="Note 20 2 2 2" xfId="60407"/>
    <cellStyle name="Note 20 2 3" xfId="5904"/>
    <cellStyle name="Note 20 2 3 2" xfId="60408"/>
    <cellStyle name="Note 20 2 4" xfId="5905"/>
    <cellStyle name="Note 20 2 4 2" xfId="60409"/>
    <cellStyle name="Note 20 2 5" xfId="5906"/>
    <cellStyle name="Note 20 2 5 2" xfId="60410"/>
    <cellStyle name="Note 20 2 6" xfId="5907"/>
    <cellStyle name="Note 20 2 6 2" xfId="60411"/>
    <cellStyle name="Note 20 2 7" xfId="5908"/>
    <cellStyle name="Note 20 2 7 2" xfId="60412"/>
    <cellStyle name="Note 20 2 8" xfId="5909"/>
    <cellStyle name="Note 20 2 8 2" xfId="60413"/>
    <cellStyle name="Note 20 2 9" xfId="5910"/>
    <cellStyle name="Note 20 2 9 2" xfId="60414"/>
    <cellStyle name="Note 20 3" xfId="5911"/>
    <cellStyle name="Note 20 3 2" xfId="60415"/>
    <cellStyle name="Note 20 4" xfId="5912"/>
    <cellStyle name="Note 20 4 2" xfId="60416"/>
    <cellStyle name="Note 20 5" xfId="5913"/>
    <cellStyle name="Note 20 5 2" xfId="60417"/>
    <cellStyle name="Note 20 6" xfId="5914"/>
    <cellStyle name="Note 20 6 2" xfId="60418"/>
    <cellStyle name="Note 20 7" xfId="5915"/>
    <cellStyle name="Note 20 7 2" xfId="60419"/>
    <cellStyle name="Note 20 8" xfId="5916"/>
    <cellStyle name="Note 20 8 2" xfId="60420"/>
    <cellStyle name="Note 20 9" xfId="5917"/>
    <cellStyle name="Note 20 9 2" xfId="60421"/>
    <cellStyle name="Note 21" xfId="5918"/>
    <cellStyle name="Note 21 10" xfId="5919"/>
    <cellStyle name="Note 21 10 2" xfId="60422"/>
    <cellStyle name="Note 21 11" xfId="5920"/>
    <cellStyle name="Note 21 2" xfId="5921"/>
    <cellStyle name="Note 21 2 10" xfId="5922"/>
    <cellStyle name="Note 21 2 2" xfId="5923"/>
    <cellStyle name="Note 21 2 2 2" xfId="60423"/>
    <cellStyle name="Note 21 2 3" xfId="5924"/>
    <cellStyle name="Note 21 2 3 2" xfId="60424"/>
    <cellStyle name="Note 21 2 4" xfId="5925"/>
    <cellStyle name="Note 21 2 4 2" xfId="60425"/>
    <cellStyle name="Note 21 2 5" xfId="5926"/>
    <cellStyle name="Note 21 2 5 2" xfId="60426"/>
    <cellStyle name="Note 21 2 6" xfId="5927"/>
    <cellStyle name="Note 21 2 6 2" xfId="60427"/>
    <cellStyle name="Note 21 2 7" xfId="5928"/>
    <cellStyle name="Note 21 2 7 2" xfId="60428"/>
    <cellStyle name="Note 21 2 8" xfId="5929"/>
    <cellStyle name="Note 21 2 8 2" xfId="60429"/>
    <cellStyle name="Note 21 2 9" xfId="5930"/>
    <cellStyle name="Note 21 2 9 2" xfId="60430"/>
    <cellStyle name="Note 21 3" xfId="5931"/>
    <cellStyle name="Note 21 3 2" xfId="60431"/>
    <cellStyle name="Note 21 4" xfId="5932"/>
    <cellStyle name="Note 21 4 2" xfId="60432"/>
    <cellStyle name="Note 21 5" xfId="5933"/>
    <cellStyle name="Note 21 5 2" xfId="60433"/>
    <cellStyle name="Note 21 6" xfId="5934"/>
    <cellStyle name="Note 21 6 2" xfId="60434"/>
    <cellStyle name="Note 21 7" xfId="5935"/>
    <cellStyle name="Note 21 7 2" xfId="60435"/>
    <cellStyle name="Note 21 8" xfId="5936"/>
    <cellStyle name="Note 21 8 2" xfId="60436"/>
    <cellStyle name="Note 21 9" xfId="5937"/>
    <cellStyle name="Note 21 9 2" xfId="60437"/>
    <cellStyle name="Note 22" xfId="5938"/>
    <cellStyle name="Note 22 10" xfId="5939"/>
    <cellStyle name="Note 22 2" xfId="5940"/>
    <cellStyle name="Note 22 2 2" xfId="60438"/>
    <cellStyle name="Note 22 3" xfId="5941"/>
    <cellStyle name="Note 22 3 2" xfId="60439"/>
    <cellStyle name="Note 22 4" xfId="5942"/>
    <cellStyle name="Note 22 4 2" xfId="60440"/>
    <cellStyle name="Note 22 5" xfId="5943"/>
    <cellStyle name="Note 22 5 2" xfId="60441"/>
    <cellStyle name="Note 22 6" xfId="5944"/>
    <cellStyle name="Note 22 6 2" xfId="60442"/>
    <cellStyle name="Note 22 7" xfId="5945"/>
    <cellStyle name="Note 22 7 2" xfId="60443"/>
    <cellStyle name="Note 22 8" xfId="5946"/>
    <cellStyle name="Note 22 8 2" xfId="60444"/>
    <cellStyle name="Note 22 9" xfId="5947"/>
    <cellStyle name="Note 22 9 2" xfId="60445"/>
    <cellStyle name="Note 23" xfId="5948"/>
    <cellStyle name="Note 23 2" xfId="60446"/>
    <cellStyle name="Note 23 2 2" xfId="60447"/>
    <cellStyle name="Note 23 3" xfId="60448"/>
    <cellStyle name="Note 23 4" xfId="60449"/>
    <cellStyle name="Note 24" xfId="9317"/>
    <cellStyle name="Note 3" xfId="5949"/>
    <cellStyle name="Note 3 10" xfId="5950"/>
    <cellStyle name="Note 3 10 2" xfId="60450"/>
    <cellStyle name="Note 3 11" xfId="5951"/>
    <cellStyle name="Note 3 12" xfId="5952"/>
    <cellStyle name="Note 3 13" xfId="9318"/>
    <cellStyle name="Note 3 2" xfId="5953"/>
    <cellStyle name="Note 3 2 10" xfId="5954"/>
    <cellStyle name="Note 3 2 11" xfId="5955"/>
    <cellStyle name="Note 3 2 12" xfId="60451"/>
    <cellStyle name="Note 3 2 2" xfId="5956"/>
    <cellStyle name="Note 3 2 2 2" xfId="5957"/>
    <cellStyle name="Note 3 2 2 2 2" xfId="5958"/>
    <cellStyle name="Note 3 2 2 2 2 2" xfId="5959"/>
    <cellStyle name="Note 3 2 2 2 2 2 2" xfId="5960"/>
    <cellStyle name="Note 3 2 2 2 2 3" xfId="5961"/>
    <cellStyle name="Note 3 2 2 2 3" xfId="5962"/>
    <cellStyle name="Note 3 2 2 2 3 2" xfId="5963"/>
    <cellStyle name="Note 3 2 2 2 4" xfId="5964"/>
    <cellStyle name="Note 3 2 2 3" xfId="5965"/>
    <cellStyle name="Note 3 2 2 3 2" xfId="5966"/>
    <cellStyle name="Note 3 2 2 3 2 2" xfId="5967"/>
    <cellStyle name="Note 3 2 2 3 3" xfId="5968"/>
    <cellStyle name="Note 3 2 2 4" xfId="5969"/>
    <cellStyle name="Note 3 2 2 4 2" xfId="5970"/>
    <cellStyle name="Note 3 2 2 5" xfId="5971"/>
    <cellStyle name="Note 3 2 2 6" xfId="5972"/>
    <cellStyle name="Note 3 2 3" xfId="5973"/>
    <cellStyle name="Note 3 2 3 2" xfId="5974"/>
    <cellStyle name="Note 3 2 3 2 2" xfId="5975"/>
    <cellStyle name="Note 3 2 3 2 2 2" xfId="5976"/>
    <cellStyle name="Note 3 2 3 2 3" xfId="5977"/>
    <cellStyle name="Note 3 2 3 3" xfId="5978"/>
    <cellStyle name="Note 3 2 3 3 2" xfId="5979"/>
    <cellStyle name="Note 3 2 3 4" xfId="5980"/>
    <cellStyle name="Note 3 2 3 5" xfId="5981"/>
    <cellStyle name="Note 3 2 4" xfId="5982"/>
    <cellStyle name="Note 3 2 4 2" xfId="5983"/>
    <cellStyle name="Note 3 2 4 2 2" xfId="5984"/>
    <cellStyle name="Note 3 2 4 3" xfId="5985"/>
    <cellStyle name="Note 3 2 4 4" xfId="5986"/>
    <cellStyle name="Note 3 2 5" xfId="5987"/>
    <cellStyle name="Note 3 2 5 2" xfId="5988"/>
    <cellStyle name="Note 3 2 5 3" xfId="5989"/>
    <cellStyle name="Note 3 2 6" xfId="5990"/>
    <cellStyle name="Note 3 2 6 2" xfId="5991"/>
    <cellStyle name="Note 3 2 7" xfId="5992"/>
    <cellStyle name="Note 3 2 7 2" xfId="60452"/>
    <cellStyle name="Note 3 2 8" xfId="5993"/>
    <cellStyle name="Note 3 2 8 2" xfId="60453"/>
    <cellStyle name="Note 3 2 9" xfId="5994"/>
    <cellStyle name="Note 3 2 9 2" xfId="60454"/>
    <cellStyle name="Note 3 3" xfId="5995"/>
    <cellStyle name="Note 3 3 2" xfId="5996"/>
    <cellStyle name="Note 3 3 2 2" xfId="5997"/>
    <cellStyle name="Note 3 3 2 2 2" xfId="5998"/>
    <cellStyle name="Note 3 3 2 2 2 2" xfId="5999"/>
    <cellStyle name="Note 3 3 2 2 3" xfId="6000"/>
    <cellStyle name="Note 3 3 2 3" xfId="6001"/>
    <cellStyle name="Note 3 3 2 3 2" xfId="6002"/>
    <cellStyle name="Note 3 3 2 4" xfId="6003"/>
    <cellStyle name="Note 3 3 3" xfId="6004"/>
    <cellStyle name="Note 3 3 3 2" xfId="6005"/>
    <cellStyle name="Note 3 3 3 2 2" xfId="6006"/>
    <cellStyle name="Note 3 3 3 3" xfId="6007"/>
    <cellStyle name="Note 3 3 4" xfId="6008"/>
    <cellStyle name="Note 3 3 4 2" xfId="6009"/>
    <cellStyle name="Note 3 3 5" xfId="6010"/>
    <cellStyle name="Note 3 3 6" xfId="6011"/>
    <cellStyle name="Note 3 3 7" xfId="60455"/>
    <cellStyle name="Note 3 4" xfId="6012"/>
    <cellStyle name="Note 3 4 2" xfId="6013"/>
    <cellStyle name="Note 3 4 2 2" xfId="6014"/>
    <cellStyle name="Note 3 4 2 2 2" xfId="6015"/>
    <cellStyle name="Note 3 4 2 3" xfId="6016"/>
    <cellStyle name="Note 3 4 2 4" xfId="60456"/>
    <cellStyle name="Note 3 4 3" xfId="6017"/>
    <cellStyle name="Note 3 4 3 2" xfId="6018"/>
    <cellStyle name="Note 3 4 4" xfId="6019"/>
    <cellStyle name="Note 3 4 5" xfId="6020"/>
    <cellStyle name="Note 3 5" xfId="6021"/>
    <cellStyle name="Note 3 5 2" xfId="6022"/>
    <cellStyle name="Note 3 5 2 2" xfId="6023"/>
    <cellStyle name="Note 3 5 3" xfId="6024"/>
    <cellStyle name="Note 3 5 4" xfId="6025"/>
    <cellStyle name="Note 3 6" xfId="6026"/>
    <cellStyle name="Note 3 6 2" xfId="6027"/>
    <cellStyle name="Note 3 6 3" xfId="6028"/>
    <cellStyle name="Note 3 7" xfId="6029"/>
    <cellStyle name="Note 3 7 2" xfId="6030"/>
    <cellStyle name="Note 3 8" xfId="6031"/>
    <cellStyle name="Note 3 8 2" xfId="60457"/>
    <cellStyle name="Note 3 9" xfId="6032"/>
    <cellStyle name="Note 3 9 2" xfId="60458"/>
    <cellStyle name="Note 4" xfId="6033"/>
    <cellStyle name="Note 4 10" xfId="6034"/>
    <cellStyle name="Note 4 10 2" xfId="60459"/>
    <cellStyle name="Note 4 11" xfId="6035"/>
    <cellStyle name="Note 4 12" xfId="6036"/>
    <cellStyle name="Note 4 13" xfId="9319"/>
    <cellStyle name="Note 4 2" xfId="6037"/>
    <cellStyle name="Note 4 2 10" xfId="6038"/>
    <cellStyle name="Note 4 2 11" xfId="6039"/>
    <cellStyle name="Note 4 2 12" xfId="9320"/>
    <cellStyle name="Note 4 2 2" xfId="6040"/>
    <cellStyle name="Note 4 2 2 2" xfId="6041"/>
    <cellStyle name="Note 4 2 2 2 2" xfId="6042"/>
    <cellStyle name="Note 4 2 2 2 2 2" xfId="6043"/>
    <cellStyle name="Note 4 2 2 2 2 2 2" xfId="6044"/>
    <cellStyle name="Note 4 2 2 2 2 3" xfId="6045"/>
    <cellStyle name="Note 4 2 2 2 3" xfId="6046"/>
    <cellStyle name="Note 4 2 2 2 3 2" xfId="6047"/>
    <cellStyle name="Note 4 2 2 2 4" xfId="6048"/>
    <cellStyle name="Note 4 2 2 2 5" xfId="9321"/>
    <cellStyle name="Note 4 2 2 3" xfId="6049"/>
    <cellStyle name="Note 4 2 2 3 2" xfId="6050"/>
    <cellStyle name="Note 4 2 2 3 2 2" xfId="6051"/>
    <cellStyle name="Note 4 2 2 3 3" xfId="6052"/>
    <cellStyle name="Note 4 2 2 4" xfId="6053"/>
    <cellStyle name="Note 4 2 2 4 2" xfId="6054"/>
    <cellStyle name="Note 4 2 2 5" xfId="6055"/>
    <cellStyle name="Note 4 2 2 6" xfId="6056"/>
    <cellStyle name="Note 4 2 2 7" xfId="9322"/>
    <cellStyle name="Note 4 2 3" xfId="6057"/>
    <cellStyle name="Note 4 2 3 2" xfId="6058"/>
    <cellStyle name="Note 4 2 3 2 2" xfId="6059"/>
    <cellStyle name="Note 4 2 3 2 2 2" xfId="6060"/>
    <cellStyle name="Note 4 2 3 2 3" xfId="6061"/>
    <cellStyle name="Note 4 2 3 3" xfId="6062"/>
    <cellStyle name="Note 4 2 3 3 2" xfId="6063"/>
    <cellStyle name="Note 4 2 3 4" xfId="6064"/>
    <cellStyle name="Note 4 2 3 5" xfId="6065"/>
    <cellStyle name="Note 4 2 3 6" xfId="9323"/>
    <cellStyle name="Note 4 2 4" xfId="6066"/>
    <cellStyle name="Note 4 2 4 2" xfId="6067"/>
    <cellStyle name="Note 4 2 4 2 2" xfId="6068"/>
    <cellStyle name="Note 4 2 4 3" xfId="6069"/>
    <cellStyle name="Note 4 2 4 4" xfId="6070"/>
    <cellStyle name="Note 4 2 5" xfId="6071"/>
    <cellStyle name="Note 4 2 5 2" xfId="6072"/>
    <cellStyle name="Note 4 2 5 3" xfId="6073"/>
    <cellStyle name="Note 4 2 6" xfId="6074"/>
    <cellStyle name="Note 4 2 6 2" xfId="6075"/>
    <cellStyle name="Note 4 2 7" xfId="6076"/>
    <cellStyle name="Note 4 2 7 2" xfId="60460"/>
    <cellStyle name="Note 4 2 8" xfId="6077"/>
    <cellStyle name="Note 4 2 8 2" xfId="60461"/>
    <cellStyle name="Note 4 2 9" xfId="6078"/>
    <cellStyle name="Note 4 2 9 2" xfId="60462"/>
    <cellStyle name="Note 4 3" xfId="6079"/>
    <cellStyle name="Note 4 3 2" xfId="6080"/>
    <cellStyle name="Note 4 3 2 2" xfId="6081"/>
    <cellStyle name="Note 4 3 2 2 2" xfId="6082"/>
    <cellStyle name="Note 4 3 2 2 2 2" xfId="6083"/>
    <cellStyle name="Note 4 3 2 2 3" xfId="6084"/>
    <cellStyle name="Note 4 3 2 3" xfId="6085"/>
    <cellStyle name="Note 4 3 2 3 2" xfId="6086"/>
    <cellStyle name="Note 4 3 2 4" xfId="6087"/>
    <cellStyle name="Note 4 3 2 5" xfId="9324"/>
    <cellStyle name="Note 4 3 3" xfId="6088"/>
    <cellStyle name="Note 4 3 3 2" xfId="6089"/>
    <cellStyle name="Note 4 3 3 2 2" xfId="6090"/>
    <cellStyle name="Note 4 3 3 3" xfId="6091"/>
    <cellStyle name="Note 4 3 4" xfId="6092"/>
    <cellStyle name="Note 4 3 4 2" xfId="6093"/>
    <cellStyle name="Note 4 3 5" xfId="6094"/>
    <cellStyle name="Note 4 3 6" xfId="6095"/>
    <cellStyle name="Note 4 3 7" xfId="9325"/>
    <cellStyle name="Note 4 4" xfId="6096"/>
    <cellStyle name="Note 4 4 2" xfId="6097"/>
    <cellStyle name="Note 4 4 2 2" xfId="6098"/>
    <cellStyle name="Note 4 4 2 2 2" xfId="6099"/>
    <cellStyle name="Note 4 4 2 3" xfId="6100"/>
    <cellStyle name="Note 4 4 3" xfId="6101"/>
    <cellStyle name="Note 4 4 3 2" xfId="6102"/>
    <cellStyle name="Note 4 4 4" xfId="6103"/>
    <cellStyle name="Note 4 4 5" xfId="6104"/>
    <cellStyle name="Note 4 4 6" xfId="9326"/>
    <cellStyle name="Note 4 5" xfId="6105"/>
    <cellStyle name="Note 4 5 2" xfId="6106"/>
    <cellStyle name="Note 4 5 2 2" xfId="6107"/>
    <cellStyle name="Note 4 5 3" xfId="6108"/>
    <cellStyle name="Note 4 5 4" xfId="6109"/>
    <cellStyle name="Note 4 6" xfId="6110"/>
    <cellStyle name="Note 4 6 2" xfId="6111"/>
    <cellStyle name="Note 4 6 3" xfId="6112"/>
    <cellStyle name="Note 4 7" xfId="6113"/>
    <cellStyle name="Note 4 7 2" xfId="6114"/>
    <cellStyle name="Note 4 8" xfId="6115"/>
    <cellStyle name="Note 4 8 2" xfId="60463"/>
    <cellStyle name="Note 4 9" xfId="6116"/>
    <cellStyle name="Note 4 9 2" xfId="60464"/>
    <cellStyle name="Note 5" xfId="6117"/>
    <cellStyle name="Note 5 10" xfId="6118"/>
    <cellStyle name="Note 5 10 2" xfId="56128"/>
    <cellStyle name="Note 5 10 2 2" xfId="56129"/>
    <cellStyle name="Note 5 10 2 3" xfId="56130"/>
    <cellStyle name="Note 5 10 3" xfId="56131"/>
    <cellStyle name="Note 5 10 3 2" xfId="56132"/>
    <cellStyle name="Note 5 10 4" xfId="56133"/>
    <cellStyle name="Note 5 10 5" xfId="56134"/>
    <cellStyle name="Note 5 11" xfId="6119"/>
    <cellStyle name="Note 5 11 2" xfId="56135"/>
    <cellStyle name="Note 5 11 3" xfId="56136"/>
    <cellStyle name="Note 5 12" xfId="6120"/>
    <cellStyle name="Note 5 12 2" xfId="56137"/>
    <cellStyle name="Note 5 12 3" xfId="56138"/>
    <cellStyle name="Note 5 13" xfId="9327"/>
    <cellStyle name="Note 5 13 2" xfId="56139"/>
    <cellStyle name="Note 5 14" xfId="56140"/>
    <cellStyle name="Note 5 15" xfId="56141"/>
    <cellStyle name="Note 5 16" xfId="56142"/>
    <cellStyle name="Note 5 2" xfId="6121"/>
    <cellStyle name="Note 5 2 10" xfId="6122"/>
    <cellStyle name="Note 5 2 10 2" xfId="56143"/>
    <cellStyle name="Note 5 2 10 3" xfId="56144"/>
    <cellStyle name="Note 5 2 11" xfId="6123"/>
    <cellStyle name="Note 5 2 11 2" xfId="56145"/>
    <cellStyle name="Note 5 2 11 3" xfId="56146"/>
    <cellStyle name="Note 5 2 12" xfId="9328"/>
    <cellStyle name="Note 5 2 12 2" xfId="56147"/>
    <cellStyle name="Note 5 2 13" xfId="56148"/>
    <cellStyle name="Note 5 2 14" xfId="56149"/>
    <cellStyle name="Note 5 2 15" xfId="56150"/>
    <cellStyle name="Note 5 2 2" xfId="6124"/>
    <cellStyle name="Note 5 2 2 10" xfId="56151"/>
    <cellStyle name="Note 5 2 2 10 2" xfId="56152"/>
    <cellStyle name="Note 5 2 2 10 3" xfId="56153"/>
    <cellStyle name="Note 5 2 2 11" xfId="56154"/>
    <cellStyle name="Note 5 2 2 11 2" xfId="56155"/>
    <cellStyle name="Note 5 2 2 12" xfId="56156"/>
    <cellStyle name="Note 5 2 2 13" xfId="56157"/>
    <cellStyle name="Note 5 2 2 2" xfId="6125"/>
    <cellStyle name="Note 5 2 2 2 10" xfId="56158"/>
    <cellStyle name="Note 5 2 2 2 10 2" xfId="56159"/>
    <cellStyle name="Note 5 2 2 2 11" xfId="56160"/>
    <cellStyle name="Note 5 2 2 2 12" xfId="56161"/>
    <cellStyle name="Note 5 2 2 2 2" xfId="9329"/>
    <cellStyle name="Note 5 2 2 2 2 10" xfId="56162"/>
    <cellStyle name="Note 5 2 2 2 2 2" xfId="56163"/>
    <cellStyle name="Note 5 2 2 2 2 2 2" xfId="56164"/>
    <cellStyle name="Note 5 2 2 2 2 2 2 2" xfId="56165"/>
    <cellStyle name="Note 5 2 2 2 2 2 2 2 2" xfId="56166"/>
    <cellStyle name="Note 5 2 2 2 2 2 2 2 3" xfId="56167"/>
    <cellStyle name="Note 5 2 2 2 2 2 2 3" xfId="56168"/>
    <cellStyle name="Note 5 2 2 2 2 2 2 3 2" xfId="56169"/>
    <cellStyle name="Note 5 2 2 2 2 2 2 3 3" xfId="56170"/>
    <cellStyle name="Note 5 2 2 2 2 2 2 4" xfId="56171"/>
    <cellStyle name="Note 5 2 2 2 2 2 2 4 2" xfId="56172"/>
    <cellStyle name="Note 5 2 2 2 2 2 2 5" xfId="56173"/>
    <cellStyle name="Note 5 2 2 2 2 2 2 6" xfId="56174"/>
    <cellStyle name="Note 5 2 2 2 2 2 3" xfId="56175"/>
    <cellStyle name="Note 5 2 2 2 2 2 3 2" xfId="56176"/>
    <cellStyle name="Note 5 2 2 2 2 2 3 2 2" xfId="56177"/>
    <cellStyle name="Note 5 2 2 2 2 2 3 2 3" xfId="56178"/>
    <cellStyle name="Note 5 2 2 2 2 2 3 3" xfId="56179"/>
    <cellStyle name="Note 5 2 2 2 2 2 3 3 2" xfId="56180"/>
    <cellStyle name="Note 5 2 2 2 2 2 3 3 3" xfId="56181"/>
    <cellStyle name="Note 5 2 2 2 2 2 3 4" xfId="56182"/>
    <cellStyle name="Note 5 2 2 2 2 2 3 4 2" xfId="56183"/>
    <cellStyle name="Note 5 2 2 2 2 2 3 5" xfId="56184"/>
    <cellStyle name="Note 5 2 2 2 2 2 3 6" xfId="56185"/>
    <cellStyle name="Note 5 2 2 2 2 2 4" xfId="56186"/>
    <cellStyle name="Note 5 2 2 2 2 2 4 2" xfId="56187"/>
    <cellStyle name="Note 5 2 2 2 2 2 4 2 2" xfId="56188"/>
    <cellStyle name="Note 5 2 2 2 2 2 4 2 3" xfId="56189"/>
    <cellStyle name="Note 5 2 2 2 2 2 4 3" xfId="56190"/>
    <cellStyle name="Note 5 2 2 2 2 2 4 3 2" xfId="56191"/>
    <cellStyle name="Note 5 2 2 2 2 2 4 4" xfId="56192"/>
    <cellStyle name="Note 5 2 2 2 2 2 4 5" xfId="56193"/>
    <cellStyle name="Note 5 2 2 2 2 2 5" xfId="56194"/>
    <cellStyle name="Note 5 2 2 2 2 2 5 2" xfId="56195"/>
    <cellStyle name="Note 5 2 2 2 2 2 5 3" xfId="56196"/>
    <cellStyle name="Note 5 2 2 2 2 2 6" xfId="56197"/>
    <cellStyle name="Note 5 2 2 2 2 2 6 2" xfId="56198"/>
    <cellStyle name="Note 5 2 2 2 2 2 6 3" xfId="56199"/>
    <cellStyle name="Note 5 2 2 2 2 2 7" xfId="56200"/>
    <cellStyle name="Note 5 2 2 2 2 2 7 2" xfId="56201"/>
    <cellStyle name="Note 5 2 2 2 2 2 8" xfId="56202"/>
    <cellStyle name="Note 5 2 2 2 2 2 9" xfId="56203"/>
    <cellStyle name="Note 5 2 2 2 2 3" xfId="56204"/>
    <cellStyle name="Note 5 2 2 2 2 3 2" xfId="56205"/>
    <cellStyle name="Note 5 2 2 2 2 3 2 2" xfId="56206"/>
    <cellStyle name="Note 5 2 2 2 2 3 2 3" xfId="56207"/>
    <cellStyle name="Note 5 2 2 2 2 3 3" xfId="56208"/>
    <cellStyle name="Note 5 2 2 2 2 3 3 2" xfId="56209"/>
    <cellStyle name="Note 5 2 2 2 2 3 3 3" xfId="56210"/>
    <cellStyle name="Note 5 2 2 2 2 3 4" xfId="56211"/>
    <cellStyle name="Note 5 2 2 2 2 3 4 2" xfId="56212"/>
    <cellStyle name="Note 5 2 2 2 2 3 5" xfId="56213"/>
    <cellStyle name="Note 5 2 2 2 2 3 6" xfId="56214"/>
    <cellStyle name="Note 5 2 2 2 2 4" xfId="56215"/>
    <cellStyle name="Note 5 2 2 2 2 4 2" xfId="56216"/>
    <cellStyle name="Note 5 2 2 2 2 4 2 2" xfId="56217"/>
    <cellStyle name="Note 5 2 2 2 2 4 2 3" xfId="56218"/>
    <cellStyle name="Note 5 2 2 2 2 4 3" xfId="56219"/>
    <cellStyle name="Note 5 2 2 2 2 4 3 2" xfId="56220"/>
    <cellStyle name="Note 5 2 2 2 2 4 3 3" xfId="56221"/>
    <cellStyle name="Note 5 2 2 2 2 4 4" xfId="56222"/>
    <cellStyle name="Note 5 2 2 2 2 4 4 2" xfId="56223"/>
    <cellStyle name="Note 5 2 2 2 2 4 5" xfId="56224"/>
    <cellStyle name="Note 5 2 2 2 2 4 6" xfId="56225"/>
    <cellStyle name="Note 5 2 2 2 2 5" xfId="56226"/>
    <cellStyle name="Note 5 2 2 2 2 5 2" xfId="56227"/>
    <cellStyle name="Note 5 2 2 2 2 5 2 2" xfId="56228"/>
    <cellStyle name="Note 5 2 2 2 2 5 2 3" xfId="56229"/>
    <cellStyle name="Note 5 2 2 2 2 5 3" xfId="56230"/>
    <cellStyle name="Note 5 2 2 2 2 5 3 2" xfId="56231"/>
    <cellStyle name="Note 5 2 2 2 2 5 4" xfId="56232"/>
    <cellStyle name="Note 5 2 2 2 2 5 5" xfId="56233"/>
    <cellStyle name="Note 5 2 2 2 2 6" xfId="56234"/>
    <cellStyle name="Note 5 2 2 2 2 6 2" xfId="56235"/>
    <cellStyle name="Note 5 2 2 2 2 6 3" xfId="56236"/>
    <cellStyle name="Note 5 2 2 2 2 7" xfId="56237"/>
    <cellStyle name="Note 5 2 2 2 2 7 2" xfId="56238"/>
    <cellStyle name="Note 5 2 2 2 2 7 3" xfId="56239"/>
    <cellStyle name="Note 5 2 2 2 2 8" xfId="56240"/>
    <cellStyle name="Note 5 2 2 2 2 8 2" xfId="56241"/>
    <cellStyle name="Note 5 2 2 2 2 9" xfId="56242"/>
    <cellStyle name="Note 5 2 2 2 3" xfId="56243"/>
    <cellStyle name="Note 5 2 2 2 3 2" xfId="56244"/>
    <cellStyle name="Note 5 2 2 2 3 2 2" xfId="56245"/>
    <cellStyle name="Note 5 2 2 2 3 2 2 2" xfId="56246"/>
    <cellStyle name="Note 5 2 2 2 3 2 2 3" xfId="56247"/>
    <cellStyle name="Note 5 2 2 2 3 2 3" xfId="56248"/>
    <cellStyle name="Note 5 2 2 2 3 2 3 2" xfId="56249"/>
    <cellStyle name="Note 5 2 2 2 3 2 3 3" xfId="56250"/>
    <cellStyle name="Note 5 2 2 2 3 2 4" xfId="56251"/>
    <cellStyle name="Note 5 2 2 2 3 2 4 2" xfId="56252"/>
    <cellStyle name="Note 5 2 2 2 3 2 5" xfId="56253"/>
    <cellStyle name="Note 5 2 2 2 3 2 6" xfId="56254"/>
    <cellStyle name="Note 5 2 2 2 3 3" xfId="56255"/>
    <cellStyle name="Note 5 2 2 2 3 3 2" xfId="56256"/>
    <cellStyle name="Note 5 2 2 2 3 3 2 2" xfId="56257"/>
    <cellStyle name="Note 5 2 2 2 3 3 2 3" xfId="56258"/>
    <cellStyle name="Note 5 2 2 2 3 3 3" xfId="56259"/>
    <cellStyle name="Note 5 2 2 2 3 3 3 2" xfId="56260"/>
    <cellStyle name="Note 5 2 2 2 3 3 3 3" xfId="56261"/>
    <cellStyle name="Note 5 2 2 2 3 3 4" xfId="56262"/>
    <cellStyle name="Note 5 2 2 2 3 3 4 2" xfId="56263"/>
    <cellStyle name="Note 5 2 2 2 3 3 5" xfId="56264"/>
    <cellStyle name="Note 5 2 2 2 3 3 6" xfId="56265"/>
    <cellStyle name="Note 5 2 2 2 3 4" xfId="56266"/>
    <cellStyle name="Note 5 2 2 2 3 4 2" xfId="56267"/>
    <cellStyle name="Note 5 2 2 2 3 4 2 2" xfId="56268"/>
    <cellStyle name="Note 5 2 2 2 3 4 2 3" xfId="56269"/>
    <cellStyle name="Note 5 2 2 2 3 4 3" xfId="56270"/>
    <cellStyle name="Note 5 2 2 2 3 4 3 2" xfId="56271"/>
    <cellStyle name="Note 5 2 2 2 3 4 4" xfId="56272"/>
    <cellStyle name="Note 5 2 2 2 3 4 5" xfId="56273"/>
    <cellStyle name="Note 5 2 2 2 3 5" xfId="56274"/>
    <cellStyle name="Note 5 2 2 2 3 5 2" xfId="56275"/>
    <cellStyle name="Note 5 2 2 2 3 5 3" xfId="56276"/>
    <cellStyle name="Note 5 2 2 2 3 6" xfId="56277"/>
    <cellStyle name="Note 5 2 2 2 3 6 2" xfId="56278"/>
    <cellStyle name="Note 5 2 2 2 3 6 3" xfId="56279"/>
    <cellStyle name="Note 5 2 2 2 3 7" xfId="56280"/>
    <cellStyle name="Note 5 2 2 2 3 7 2" xfId="56281"/>
    <cellStyle name="Note 5 2 2 2 3 8" xfId="56282"/>
    <cellStyle name="Note 5 2 2 2 3 9" xfId="56283"/>
    <cellStyle name="Note 5 2 2 2 4" xfId="56284"/>
    <cellStyle name="Note 5 2 2 2 4 2" xfId="56285"/>
    <cellStyle name="Note 5 2 2 2 4 2 2" xfId="56286"/>
    <cellStyle name="Note 5 2 2 2 4 2 2 2" xfId="56287"/>
    <cellStyle name="Note 5 2 2 2 4 2 2 3" xfId="56288"/>
    <cellStyle name="Note 5 2 2 2 4 2 3" xfId="56289"/>
    <cellStyle name="Note 5 2 2 2 4 2 3 2" xfId="56290"/>
    <cellStyle name="Note 5 2 2 2 4 2 3 3" xfId="56291"/>
    <cellStyle name="Note 5 2 2 2 4 2 4" xfId="56292"/>
    <cellStyle name="Note 5 2 2 2 4 2 4 2" xfId="56293"/>
    <cellStyle name="Note 5 2 2 2 4 2 5" xfId="56294"/>
    <cellStyle name="Note 5 2 2 2 4 2 6" xfId="56295"/>
    <cellStyle name="Note 5 2 2 2 4 3" xfId="56296"/>
    <cellStyle name="Note 5 2 2 2 4 3 2" xfId="56297"/>
    <cellStyle name="Note 5 2 2 2 4 3 2 2" xfId="56298"/>
    <cellStyle name="Note 5 2 2 2 4 3 2 3" xfId="56299"/>
    <cellStyle name="Note 5 2 2 2 4 3 3" xfId="56300"/>
    <cellStyle name="Note 5 2 2 2 4 3 3 2" xfId="56301"/>
    <cellStyle name="Note 5 2 2 2 4 3 3 3" xfId="56302"/>
    <cellStyle name="Note 5 2 2 2 4 3 4" xfId="56303"/>
    <cellStyle name="Note 5 2 2 2 4 3 4 2" xfId="56304"/>
    <cellStyle name="Note 5 2 2 2 4 3 5" xfId="56305"/>
    <cellStyle name="Note 5 2 2 2 4 3 6" xfId="56306"/>
    <cellStyle name="Note 5 2 2 2 4 4" xfId="56307"/>
    <cellStyle name="Note 5 2 2 2 4 4 2" xfId="56308"/>
    <cellStyle name="Note 5 2 2 2 4 4 2 2" xfId="56309"/>
    <cellStyle name="Note 5 2 2 2 4 4 2 3" xfId="56310"/>
    <cellStyle name="Note 5 2 2 2 4 4 3" xfId="56311"/>
    <cellStyle name="Note 5 2 2 2 4 4 3 2" xfId="56312"/>
    <cellStyle name="Note 5 2 2 2 4 4 4" xfId="56313"/>
    <cellStyle name="Note 5 2 2 2 4 4 5" xfId="56314"/>
    <cellStyle name="Note 5 2 2 2 4 5" xfId="56315"/>
    <cellStyle name="Note 5 2 2 2 4 5 2" xfId="56316"/>
    <cellStyle name="Note 5 2 2 2 4 5 3" xfId="56317"/>
    <cellStyle name="Note 5 2 2 2 4 6" xfId="56318"/>
    <cellStyle name="Note 5 2 2 2 4 6 2" xfId="56319"/>
    <cellStyle name="Note 5 2 2 2 4 6 3" xfId="56320"/>
    <cellStyle name="Note 5 2 2 2 4 7" xfId="56321"/>
    <cellStyle name="Note 5 2 2 2 4 7 2" xfId="56322"/>
    <cellStyle name="Note 5 2 2 2 4 8" xfId="56323"/>
    <cellStyle name="Note 5 2 2 2 4 9" xfId="56324"/>
    <cellStyle name="Note 5 2 2 2 5" xfId="56325"/>
    <cellStyle name="Note 5 2 2 2 5 2" xfId="56326"/>
    <cellStyle name="Note 5 2 2 2 5 2 2" xfId="56327"/>
    <cellStyle name="Note 5 2 2 2 5 2 3" xfId="56328"/>
    <cellStyle name="Note 5 2 2 2 5 3" xfId="56329"/>
    <cellStyle name="Note 5 2 2 2 5 3 2" xfId="56330"/>
    <cellStyle name="Note 5 2 2 2 5 3 3" xfId="56331"/>
    <cellStyle name="Note 5 2 2 2 5 4" xfId="56332"/>
    <cellStyle name="Note 5 2 2 2 5 4 2" xfId="56333"/>
    <cellStyle name="Note 5 2 2 2 5 5" xfId="56334"/>
    <cellStyle name="Note 5 2 2 2 5 6" xfId="56335"/>
    <cellStyle name="Note 5 2 2 2 6" xfId="56336"/>
    <cellStyle name="Note 5 2 2 2 6 2" xfId="56337"/>
    <cellStyle name="Note 5 2 2 2 6 2 2" xfId="56338"/>
    <cellStyle name="Note 5 2 2 2 6 2 3" xfId="56339"/>
    <cellStyle name="Note 5 2 2 2 6 3" xfId="56340"/>
    <cellStyle name="Note 5 2 2 2 6 3 2" xfId="56341"/>
    <cellStyle name="Note 5 2 2 2 6 3 3" xfId="56342"/>
    <cellStyle name="Note 5 2 2 2 6 4" xfId="56343"/>
    <cellStyle name="Note 5 2 2 2 6 4 2" xfId="56344"/>
    <cellStyle name="Note 5 2 2 2 6 5" xfId="56345"/>
    <cellStyle name="Note 5 2 2 2 6 6" xfId="56346"/>
    <cellStyle name="Note 5 2 2 2 7" xfId="56347"/>
    <cellStyle name="Note 5 2 2 2 7 2" xfId="56348"/>
    <cellStyle name="Note 5 2 2 2 7 2 2" xfId="56349"/>
    <cellStyle name="Note 5 2 2 2 7 2 3" xfId="56350"/>
    <cellStyle name="Note 5 2 2 2 7 3" xfId="56351"/>
    <cellStyle name="Note 5 2 2 2 7 3 2" xfId="56352"/>
    <cellStyle name="Note 5 2 2 2 7 4" xfId="56353"/>
    <cellStyle name="Note 5 2 2 2 7 5" xfId="56354"/>
    <cellStyle name="Note 5 2 2 2 8" xfId="56355"/>
    <cellStyle name="Note 5 2 2 2 8 2" xfId="56356"/>
    <cellStyle name="Note 5 2 2 2 8 3" xfId="56357"/>
    <cellStyle name="Note 5 2 2 2 9" xfId="56358"/>
    <cellStyle name="Note 5 2 2 2 9 2" xfId="56359"/>
    <cellStyle name="Note 5 2 2 2 9 3" xfId="56360"/>
    <cellStyle name="Note 5 2 2 3" xfId="6126"/>
    <cellStyle name="Note 5 2 2 3 10" xfId="56361"/>
    <cellStyle name="Note 5 2 2 3 2" xfId="56362"/>
    <cellStyle name="Note 5 2 2 3 2 2" xfId="56363"/>
    <cellStyle name="Note 5 2 2 3 2 2 2" xfId="56364"/>
    <cellStyle name="Note 5 2 2 3 2 2 2 2" xfId="56365"/>
    <cellStyle name="Note 5 2 2 3 2 2 2 3" xfId="56366"/>
    <cellStyle name="Note 5 2 2 3 2 2 3" xfId="56367"/>
    <cellStyle name="Note 5 2 2 3 2 2 3 2" xfId="56368"/>
    <cellStyle name="Note 5 2 2 3 2 2 3 3" xfId="56369"/>
    <cellStyle name="Note 5 2 2 3 2 2 4" xfId="56370"/>
    <cellStyle name="Note 5 2 2 3 2 2 4 2" xfId="56371"/>
    <cellStyle name="Note 5 2 2 3 2 2 5" xfId="56372"/>
    <cellStyle name="Note 5 2 2 3 2 2 6" xfId="56373"/>
    <cellStyle name="Note 5 2 2 3 2 3" xfId="56374"/>
    <cellStyle name="Note 5 2 2 3 2 3 2" xfId="56375"/>
    <cellStyle name="Note 5 2 2 3 2 3 2 2" xfId="56376"/>
    <cellStyle name="Note 5 2 2 3 2 3 2 3" xfId="56377"/>
    <cellStyle name="Note 5 2 2 3 2 3 3" xfId="56378"/>
    <cellStyle name="Note 5 2 2 3 2 3 3 2" xfId="56379"/>
    <cellStyle name="Note 5 2 2 3 2 3 3 3" xfId="56380"/>
    <cellStyle name="Note 5 2 2 3 2 3 4" xfId="56381"/>
    <cellStyle name="Note 5 2 2 3 2 3 4 2" xfId="56382"/>
    <cellStyle name="Note 5 2 2 3 2 3 5" xfId="56383"/>
    <cellStyle name="Note 5 2 2 3 2 3 6" xfId="56384"/>
    <cellStyle name="Note 5 2 2 3 2 4" xfId="56385"/>
    <cellStyle name="Note 5 2 2 3 2 4 2" xfId="56386"/>
    <cellStyle name="Note 5 2 2 3 2 4 2 2" xfId="56387"/>
    <cellStyle name="Note 5 2 2 3 2 4 2 3" xfId="56388"/>
    <cellStyle name="Note 5 2 2 3 2 4 3" xfId="56389"/>
    <cellStyle name="Note 5 2 2 3 2 4 3 2" xfId="56390"/>
    <cellStyle name="Note 5 2 2 3 2 4 4" xfId="56391"/>
    <cellStyle name="Note 5 2 2 3 2 4 5" xfId="56392"/>
    <cellStyle name="Note 5 2 2 3 2 5" xfId="56393"/>
    <cellStyle name="Note 5 2 2 3 2 5 2" xfId="56394"/>
    <cellStyle name="Note 5 2 2 3 2 5 3" xfId="56395"/>
    <cellStyle name="Note 5 2 2 3 2 6" xfId="56396"/>
    <cellStyle name="Note 5 2 2 3 2 6 2" xfId="56397"/>
    <cellStyle name="Note 5 2 2 3 2 6 3" xfId="56398"/>
    <cellStyle name="Note 5 2 2 3 2 7" xfId="56399"/>
    <cellStyle name="Note 5 2 2 3 2 7 2" xfId="56400"/>
    <cellStyle name="Note 5 2 2 3 2 8" xfId="56401"/>
    <cellStyle name="Note 5 2 2 3 2 9" xfId="56402"/>
    <cellStyle name="Note 5 2 2 3 3" xfId="56403"/>
    <cellStyle name="Note 5 2 2 3 3 2" xfId="56404"/>
    <cellStyle name="Note 5 2 2 3 3 2 2" xfId="56405"/>
    <cellStyle name="Note 5 2 2 3 3 2 3" xfId="56406"/>
    <cellStyle name="Note 5 2 2 3 3 3" xfId="56407"/>
    <cellStyle name="Note 5 2 2 3 3 3 2" xfId="56408"/>
    <cellStyle name="Note 5 2 2 3 3 3 3" xfId="56409"/>
    <cellStyle name="Note 5 2 2 3 3 4" xfId="56410"/>
    <cellStyle name="Note 5 2 2 3 3 4 2" xfId="56411"/>
    <cellStyle name="Note 5 2 2 3 3 5" xfId="56412"/>
    <cellStyle name="Note 5 2 2 3 3 6" xfId="56413"/>
    <cellStyle name="Note 5 2 2 3 4" xfId="56414"/>
    <cellStyle name="Note 5 2 2 3 4 2" xfId="56415"/>
    <cellStyle name="Note 5 2 2 3 4 2 2" xfId="56416"/>
    <cellStyle name="Note 5 2 2 3 4 2 3" xfId="56417"/>
    <cellStyle name="Note 5 2 2 3 4 3" xfId="56418"/>
    <cellStyle name="Note 5 2 2 3 4 3 2" xfId="56419"/>
    <cellStyle name="Note 5 2 2 3 4 3 3" xfId="56420"/>
    <cellStyle name="Note 5 2 2 3 4 4" xfId="56421"/>
    <cellStyle name="Note 5 2 2 3 4 4 2" xfId="56422"/>
    <cellStyle name="Note 5 2 2 3 4 5" xfId="56423"/>
    <cellStyle name="Note 5 2 2 3 4 6" xfId="56424"/>
    <cellStyle name="Note 5 2 2 3 5" xfId="56425"/>
    <cellStyle name="Note 5 2 2 3 5 2" xfId="56426"/>
    <cellStyle name="Note 5 2 2 3 5 2 2" xfId="56427"/>
    <cellStyle name="Note 5 2 2 3 5 2 3" xfId="56428"/>
    <cellStyle name="Note 5 2 2 3 5 3" xfId="56429"/>
    <cellStyle name="Note 5 2 2 3 5 3 2" xfId="56430"/>
    <cellStyle name="Note 5 2 2 3 5 4" xfId="56431"/>
    <cellStyle name="Note 5 2 2 3 5 5" xfId="56432"/>
    <cellStyle name="Note 5 2 2 3 6" xfId="56433"/>
    <cellStyle name="Note 5 2 2 3 6 2" xfId="56434"/>
    <cellStyle name="Note 5 2 2 3 6 3" xfId="56435"/>
    <cellStyle name="Note 5 2 2 3 7" xfId="56436"/>
    <cellStyle name="Note 5 2 2 3 7 2" xfId="56437"/>
    <cellStyle name="Note 5 2 2 3 7 3" xfId="56438"/>
    <cellStyle name="Note 5 2 2 3 8" xfId="56439"/>
    <cellStyle name="Note 5 2 2 3 8 2" xfId="56440"/>
    <cellStyle name="Note 5 2 2 3 9" xfId="56441"/>
    <cellStyle name="Note 5 2 2 4" xfId="9330"/>
    <cellStyle name="Note 5 2 2 4 2" xfId="56442"/>
    <cellStyle name="Note 5 2 2 4 2 2" xfId="56443"/>
    <cellStyle name="Note 5 2 2 4 2 2 2" xfId="56444"/>
    <cellStyle name="Note 5 2 2 4 2 2 3" xfId="56445"/>
    <cellStyle name="Note 5 2 2 4 2 3" xfId="56446"/>
    <cellStyle name="Note 5 2 2 4 2 3 2" xfId="56447"/>
    <cellStyle name="Note 5 2 2 4 2 3 3" xfId="56448"/>
    <cellStyle name="Note 5 2 2 4 2 4" xfId="56449"/>
    <cellStyle name="Note 5 2 2 4 2 4 2" xfId="56450"/>
    <cellStyle name="Note 5 2 2 4 2 5" xfId="56451"/>
    <cellStyle name="Note 5 2 2 4 2 6" xfId="56452"/>
    <cellStyle name="Note 5 2 2 4 3" xfId="56453"/>
    <cellStyle name="Note 5 2 2 4 3 2" xfId="56454"/>
    <cellStyle name="Note 5 2 2 4 3 2 2" xfId="56455"/>
    <cellStyle name="Note 5 2 2 4 3 2 3" xfId="56456"/>
    <cellStyle name="Note 5 2 2 4 3 3" xfId="56457"/>
    <cellStyle name="Note 5 2 2 4 3 3 2" xfId="56458"/>
    <cellStyle name="Note 5 2 2 4 3 3 3" xfId="56459"/>
    <cellStyle name="Note 5 2 2 4 3 4" xfId="56460"/>
    <cellStyle name="Note 5 2 2 4 3 4 2" xfId="56461"/>
    <cellStyle name="Note 5 2 2 4 3 5" xfId="56462"/>
    <cellStyle name="Note 5 2 2 4 3 6" xfId="56463"/>
    <cellStyle name="Note 5 2 2 4 4" xfId="56464"/>
    <cellStyle name="Note 5 2 2 4 4 2" xfId="56465"/>
    <cellStyle name="Note 5 2 2 4 4 2 2" xfId="56466"/>
    <cellStyle name="Note 5 2 2 4 4 2 3" xfId="56467"/>
    <cellStyle name="Note 5 2 2 4 4 3" xfId="56468"/>
    <cellStyle name="Note 5 2 2 4 4 3 2" xfId="56469"/>
    <cellStyle name="Note 5 2 2 4 4 4" xfId="56470"/>
    <cellStyle name="Note 5 2 2 4 4 5" xfId="56471"/>
    <cellStyle name="Note 5 2 2 4 5" xfId="56472"/>
    <cellStyle name="Note 5 2 2 4 5 2" xfId="56473"/>
    <cellStyle name="Note 5 2 2 4 5 3" xfId="56474"/>
    <cellStyle name="Note 5 2 2 4 6" xfId="56475"/>
    <cellStyle name="Note 5 2 2 4 6 2" xfId="56476"/>
    <cellStyle name="Note 5 2 2 4 6 3" xfId="56477"/>
    <cellStyle name="Note 5 2 2 4 7" xfId="56478"/>
    <cellStyle name="Note 5 2 2 4 7 2" xfId="56479"/>
    <cellStyle name="Note 5 2 2 4 8" xfId="56480"/>
    <cellStyle name="Note 5 2 2 4 9" xfId="56481"/>
    <cellStyle name="Note 5 2 2 5" xfId="56482"/>
    <cellStyle name="Note 5 2 2 5 2" xfId="56483"/>
    <cellStyle name="Note 5 2 2 5 2 2" xfId="56484"/>
    <cellStyle name="Note 5 2 2 5 2 2 2" xfId="56485"/>
    <cellStyle name="Note 5 2 2 5 2 2 3" xfId="56486"/>
    <cellStyle name="Note 5 2 2 5 2 3" xfId="56487"/>
    <cellStyle name="Note 5 2 2 5 2 3 2" xfId="56488"/>
    <cellStyle name="Note 5 2 2 5 2 3 3" xfId="56489"/>
    <cellStyle name="Note 5 2 2 5 2 4" xfId="56490"/>
    <cellStyle name="Note 5 2 2 5 2 4 2" xfId="56491"/>
    <cellStyle name="Note 5 2 2 5 2 5" xfId="56492"/>
    <cellStyle name="Note 5 2 2 5 2 6" xfId="56493"/>
    <cellStyle name="Note 5 2 2 5 3" xfId="56494"/>
    <cellStyle name="Note 5 2 2 5 3 2" xfId="56495"/>
    <cellStyle name="Note 5 2 2 5 3 2 2" xfId="56496"/>
    <cellStyle name="Note 5 2 2 5 3 2 3" xfId="56497"/>
    <cellStyle name="Note 5 2 2 5 3 3" xfId="56498"/>
    <cellStyle name="Note 5 2 2 5 3 3 2" xfId="56499"/>
    <cellStyle name="Note 5 2 2 5 3 3 3" xfId="56500"/>
    <cellStyle name="Note 5 2 2 5 3 4" xfId="56501"/>
    <cellStyle name="Note 5 2 2 5 3 4 2" xfId="56502"/>
    <cellStyle name="Note 5 2 2 5 3 5" xfId="56503"/>
    <cellStyle name="Note 5 2 2 5 3 6" xfId="56504"/>
    <cellStyle name="Note 5 2 2 5 4" xfId="56505"/>
    <cellStyle name="Note 5 2 2 5 4 2" xfId="56506"/>
    <cellStyle name="Note 5 2 2 5 4 2 2" xfId="56507"/>
    <cellStyle name="Note 5 2 2 5 4 2 3" xfId="56508"/>
    <cellStyle name="Note 5 2 2 5 4 3" xfId="56509"/>
    <cellStyle name="Note 5 2 2 5 4 3 2" xfId="56510"/>
    <cellStyle name="Note 5 2 2 5 4 4" xfId="56511"/>
    <cellStyle name="Note 5 2 2 5 4 5" xfId="56512"/>
    <cellStyle name="Note 5 2 2 5 5" xfId="56513"/>
    <cellStyle name="Note 5 2 2 5 5 2" xfId="56514"/>
    <cellStyle name="Note 5 2 2 5 5 3" xfId="56515"/>
    <cellStyle name="Note 5 2 2 5 6" xfId="56516"/>
    <cellStyle name="Note 5 2 2 5 6 2" xfId="56517"/>
    <cellStyle name="Note 5 2 2 5 6 3" xfId="56518"/>
    <cellStyle name="Note 5 2 2 5 7" xfId="56519"/>
    <cellStyle name="Note 5 2 2 5 7 2" xfId="56520"/>
    <cellStyle name="Note 5 2 2 5 8" xfId="56521"/>
    <cellStyle name="Note 5 2 2 5 9" xfId="56522"/>
    <cellStyle name="Note 5 2 2 6" xfId="56523"/>
    <cellStyle name="Note 5 2 2 6 2" xfId="56524"/>
    <cellStyle name="Note 5 2 2 6 2 2" xfId="56525"/>
    <cellStyle name="Note 5 2 2 6 2 3" xfId="56526"/>
    <cellStyle name="Note 5 2 2 6 3" xfId="56527"/>
    <cellStyle name="Note 5 2 2 6 3 2" xfId="56528"/>
    <cellStyle name="Note 5 2 2 6 3 3" xfId="56529"/>
    <cellStyle name="Note 5 2 2 6 4" xfId="56530"/>
    <cellStyle name="Note 5 2 2 6 4 2" xfId="56531"/>
    <cellStyle name="Note 5 2 2 6 5" xfId="56532"/>
    <cellStyle name="Note 5 2 2 6 6" xfId="56533"/>
    <cellStyle name="Note 5 2 2 7" xfId="56534"/>
    <cellStyle name="Note 5 2 2 7 2" xfId="56535"/>
    <cellStyle name="Note 5 2 2 7 2 2" xfId="56536"/>
    <cellStyle name="Note 5 2 2 7 2 3" xfId="56537"/>
    <cellStyle name="Note 5 2 2 7 3" xfId="56538"/>
    <cellStyle name="Note 5 2 2 7 3 2" xfId="56539"/>
    <cellStyle name="Note 5 2 2 7 3 3" xfId="56540"/>
    <cellStyle name="Note 5 2 2 7 4" xfId="56541"/>
    <cellStyle name="Note 5 2 2 7 4 2" xfId="56542"/>
    <cellStyle name="Note 5 2 2 7 5" xfId="56543"/>
    <cellStyle name="Note 5 2 2 7 6" xfId="56544"/>
    <cellStyle name="Note 5 2 2 8" xfId="56545"/>
    <cellStyle name="Note 5 2 2 8 2" xfId="56546"/>
    <cellStyle name="Note 5 2 2 8 2 2" xfId="56547"/>
    <cellStyle name="Note 5 2 2 8 2 3" xfId="56548"/>
    <cellStyle name="Note 5 2 2 8 3" xfId="56549"/>
    <cellStyle name="Note 5 2 2 8 3 2" xfId="56550"/>
    <cellStyle name="Note 5 2 2 8 4" xfId="56551"/>
    <cellStyle name="Note 5 2 2 8 5" xfId="56552"/>
    <cellStyle name="Note 5 2 2 9" xfId="56553"/>
    <cellStyle name="Note 5 2 2 9 2" xfId="56554"/>
    <cellStyle name="Note 5 2 2 9 3" xfId="56555"/>
    <cellStyle name="Note 5 2 3" xfId="6127"/>
    <cellStyle name="Note 5 2 3 10" xfId="56556"/>
    <cellStyle name="Note 5 2 3 10 2" xfId="56557"/>
    <cellStyle name="Note 5 2 3 11" xfId="56558"/>
    <cellStyle name="Note 5 2 3 12" xfId="56559"/>
    <cellStyle name="Note 5 2 3 2" xfId="6128"/>
    <cellStyle name="Note 5 2 3 2 10" xfId="56560"/>
    <cellStyle name="Note 5 2 3 2 2" xfId="56561"/>
    <cellStyle name="Note 5 2 3 2 2 2" xfId="56562"/>
    <cellStyle name="Note 5 2 3 2 2 2 2" xfId="56563"/>
    <cellStyle name="Note 5 2 3 2 2 2 2 2" xfId="56564"/>
    <cellStyle name="Note 5 2 3 2 2 2 2 3" xfId="56565"/>
    <cellStyle name="Note 5 2 3 2 2 2 3" xfId="56566"/>
    <cellStyle name="Note 5 2 3 2 2 2 3 2" xfId="56567"/>
    <cellStyle name="Note 5 2 3 2 2 2 3 3" xfId="56568"/>
    <cellStyle name="Note 5 2 3 2 2 2 4" xfId="56569"/>
    <cellStyle name="Note 5 2 3 2 2 2 4 2" xfId="56570"/>
    <cellStyle name="Note 5 2 3 2 2 2 5" xfId="56571"/>
    <cellStyle name="Note 5 2 3 2 2 2 6" xfId="56572"/>
    <cellStyle name="Note 5 2 3 2 2 3" xfId="56573"/>
    <cellStyle name="Note 5 2 3 2 2 3 2" xfId="56574"/>
    <cellStyle name="Note 5 2 3 2 2 3 2 2" xfId="56575"/>
    <cellStyle name="Note 5 2 3 2 2 3 2 3" xfId="56576"/>
    <cellStyle name="Note 5 2 3 2 2 3 3" xfId="56577"/>
    <cellStyle name="Note 5 2 3 2 2 3 3 2" xfId="56578"/>
    <cellStyle name="Note 5 2 3 2 2 3 3 3" xfId="56579"/>
    <cellStyle name="Note 5 2 3 2 2 3 4" xfId="56580"/>
    <cellStyle name="Note 5 2 3 2 2 3 4 2" xfId="56581"/>
    <cellStyle name="Note 5 2 3 2 2 3 5" xfId="56582"/>
    <cellStyle name="Note 5 2 3 2 2 3 6" xfId="56583"/>
    <cellStyle name="Note 5 2 3 2 2 4" xfId="56584"/>
    <cellStyle name="Note 5 2 3 2 2 4 2" xfId="56585"/>
    <cellStyle name="Note 5 2 3 2 2 4 2 2" xfId="56586"/>
    <cellStyle name="Note 5 2 3 2 2 4 2 3" xfId="56587"/>
    <cellStyle name="Note 5 2 3 2 2 4 3" xfId="56588"/>
    <cellStyle name="Note 5 2 3 2 2 4 3 2" xfId="56589"/>
    <cellStyle name="Note 5 2 3 2 2 4 4" xfId="56590"/>
    <cellStyle name="Note 5 2 3 2 2 4 5" xfId="56591"/>
    <cellStyle name="Note 5 2 3 2 2 5" xfId="56592"/>
    <cellStyle name="Note 5 2 3 2 2 5 2" xfId="56593"/>
    <cellStyle name="Note 5 2 3 2 2 5 3" xfId="56594"/>
    <cellStyle name="Note 5 2 3 2 2 6" xfId="56595"/>
    <cellStyle name="Note 5 2 3 2 2 6 2" xfId="56596"/>
    <cellStyle name="Note 5 2 3 2 2 6 3" xfId="56597"/>
    <cellStyle name="Note 5 2 3 2 2 7" xfId="56598"/>
    <cellStyle name="Note 5 2 3 2 2 7 2" xfId="56599"/>
    <cellStyle name="Note 5 2 3 2 2 8" xfId="56600"/>
    <cellStyle name="Note 5 2 3 2 2 9" xfId="56601"/>
    <cellStyle name="Note 5 2 3 2 3" xfId="56602"/>
    <cellStyle name="Note 5 2 3 2 3 2" xfId="56603"/>
    <cellStyle name="Note 5 2 3 2 3 2 2" xfId="56604"/>
    <cellStyle name="Note 5 2 3 2 3 2 3" xfId="56605"/>
    <cellStyle name="Note 5 2 3 2 3 3" xfId="56606"/>
    <cellStyle name="Note 5 2 3 2 3 3 2" xfId="56607"/>
    <cellStyle name="Note 5 2 3 2 3 3 3" xfId="56608"/>
    <cellStyle name="Note 5 2 3 2 3 4" xfId="56609"/>
    <cellStyle name="Note 5 2 3 2 3 4 2" xfId="56610"/>
    <cellStyle name="Note 5 2 3 2 3 5" xfId="56611"/>
    <cellStyle name="Note 5 2 3 2 3 6" xfId="56612"/>
    <cellStyle name="Note 5 2 3 2 4" xfId="56613"/>
    <cellStyle name="Note 5 2 3 2 4 2" xfId="56614"/>
    <cellStyle name="Note 5 2 3 2 4 2 2" xfId="56615"/>
    <cellStyle name="Note 5 2 3 2 4 2 3" xfId="56616"/>
    <cellStyle name="Note 5 2 3 2 4 3" xfId="56617"/>
    <cellStyle name="Note 5 2 3 2 4 3 2" xfId="56618"/>
    <cellStyle name="Note 5 2 3 2 4 3 3" xfId="56619"/>
    <cellStyle name="Note 5 2 3 2 4 4" xfId="56620"/>
    <cellStyle name="Note 5 2 3 2 4 4 2" xfId="56621"/>
    <cellStyle name="Note 5 2 3 2 4 5" xfId="56622"/>
    <cellStyle name="Note 5 2 3 2 4 6" xfId="56623"/>
    <cellStyle name="Note 5 2 3 2 5" xfId="56624"/>
    <cellStyle name="Note 5 2 3 2 5 2" xfId="56625"/>
    <cellStyle name="Note 5 2 3 2 5 2 2" xfId="56626"/>
    <cellStyle name="Note 5 2 3 2 5 2 3" xfId="56627"/>
    <cellStyle name="Note 5 2 3 2 5 3" xfId="56628"/>
    <cellStyle name="Note 5 2 3 2 5 3 2" xfId="56629"/>
    <cellStyle name="Note 5 2 3 2 5 4" xfId="56630"/>
    <cellStyle name="Note 5 2 3 2 5 5" xfId="56631"/>
    <cellStyle name="Note 5 2 3 2 6" xfId="56632"/>
    <cellStyle name="Note 5 2 3 2 6 2" xfId="56633"/>
    <cellStyle name="Note 5 2 3 2 6 3" xfId="56634"/>
    <cellStyle name="Note 5 2 3 2 7" xfId="56635"/>
    <cellStyle name="Note 5 2 3 2 7 2" xfId="56636"/>
    <cellStyle name="Note 5 2 3 2 7 3" xfId="56637"/>
    <cellStyle name="Note 5 2 3 2 8" xfId="56638"/>
    <cellStyle name="Note 5 2 3 2 8 2" xfId="56639"/>
    <cellStyle name="Note 5 2 3 2 9" xfId="56640"/>
    <cellStyle name="Note 5 2 3 3" xfId="9331"/>
    <cellStyle name="Note 5 2 3 3 2" xfId="56641"/>
    <cellStyle name="Note 5 2 3 3 2 2" xfId="56642"/>
    <cellStyle name="Note 5 2 3 3 2 2 2" xfId="56643"/>
    <cellStyle name="Note 5 2 3 3 2 2 3" xfId="56644"/>
    <cellStyle name="Note 5 2 3 3 2 3" xfId="56645"/>
    <cellStyle name="Note 5 2 3 3 2 3 2" xfId="56646"/>
    <cellStyle name="Note 5 2 3 3 2 3 3" xfId="56647"/>
    <cellStyle name="Note 5 2 3 3 2 4" xfId="56648"/>
    <cellStyle name="Note 5 2 3 3 2 4 2" xfId="56649"/>
    <cellStyle name="Note 5 2 3 3 2 5" xfId="56650"/>
    <cellStyle name="Note 5 2 3 3 2 6" xfId="56651"/>
    <cellStyle name="Note 5 2 3 3 3" xfId="56652"/>
    <cellStyle name="Note 5 2 3 3 3 2" xfId="56653"/>
    <cellStyle name="Note 5 2 3 3 3 2 2" xfId="56654"/>
    <cellStyle name="Note 5 2 3 3 3 2 3" xfId="56655"/>
    <cellStyle name="Note 5 2 3 3 3 3" xfId="56656"/>
    <cellStyle name="Note 5 2 3 3 3 3 2" xfId="56657"/>
    <cellStyle name="Note 5 2 3 3 3 3 3" xfId="56658"/>
    <cellStyle name="Note 5 2 3 3 3 4" xfId="56659"/>
    <cellStyle name="Note 5 2 3 3 3 4 2" xfId="56660"/>
    <cellStyle name="Note 5 2 3 3 3 5" xfId="56661"/>
    <cellStyle name="Note 5 2 3 3 3 6" xfId="56662"/>
    <cellStyle name="Note 5 2 3 3 4" xfId="56663"/>
    <cellStyle name="Note 5 2 3 3 4 2" xfId="56664"/>
    <cellStyle name="Note 5 2 3 3 4 2 2" xfId="56665"/>
    <cellStyle name="Note 5 2 3 3 4 2 3" xfId="56666"/>
    <cellStyle name="Note 5 2 3 3 4 3" xfId="56667"/>
    <cellStyle name="Note 5 2 3 3 4 3 2" xfId="56668"/>
    <cellStyle name="Note 5 2 3 3 4 4" xfId="56669"/>
    <cellStyle name="Note 5 2 3 3 4 5" xfId="56670"/>
    <cellStyle name="Note 5 2 3 3 5" xfId="56671"/>
    <cellStyle name="Note 5 2 3 3 5 2" xfId="56672"/>
    <cellStyle name="Note 5 2 3 3 5 3" xfId="56673"/>
    <cellStyle name="Note 5 2 3 3 6" xfId="56674"/>
    <cellStyle name="Note 5 2 3 3 6 2" xfId="56675"/>
    <cellStyle name="Note 5 2 3 3 6 3" xfId="56676"/>
    <cellStyle name="Note 5 2 3 3 7" xfId="56677"/>
    <cellStyle name="Note 5 2 3 3 7 2" xfId="56678"/>
    <cellStyle name="Note 5 2 3 3 8" xfId="56679"/>
    <cellStyle name="Note 5 2 3 3 9" xfId="56680"/>
    <cellStyle name="Note 5 2 3 4" xfId="56681"/>
    <cellStyle name="Note 5 2 3 4 2" xfId="56682"/>
    <cellStyle name="Note 5 2 3 4 2 2" xfId="56683"/>
    <cellStyle name="Note 5 2 3 4 2 2 2" xfId="56684"/>
    <cellStyle name="Note 5 2 3 4 2 2 3" xfId="56685"/>
    <cellStyle name="Note 5 2 3 4 2 3" xfId="56686"/>
    <cellStyle name="Note 5 2 3 4 2 3 2" xfId="56687"/>
    <cellStyle name="Note 5 2 3 4 2 3 3" xfId="56688"/>
    <cellStyle name="Note 5 2 3 4 2 4" xfId="56689"/>
    <cellStyle name="Note 5 2 3 4 2 4 2" xfId="56690"/>
    <cellStyle name="Note 5 2 3 4 2 5" xfId="56691"/>
    <cellStyle name="Note 5 2 3 4 2 6" xfId="56692"/>
    <cellStyle name="Note 5 2 3 4 3" xfId="56693"/>
    <cellStyle name="Note 5 2 3 4 3 2" xfId="56694"/>
    <cellStyle name="Note 5 2 3 4 3 2 2" xfId="56695"/>
    <cellStyle name="Note 5 2 3 4 3 2 3" xfId="56696"/>
    <cellStyle name="Note 5 2 3 4 3 3" xfId="56697"/>
    <cellStyle name="Note 5 2 3 4 3 3 2" xfId="56698"/>
    <cellStyle name="Note 5 2 3 4 3 3 3" xfId="56699"/>
    <cellStyle name="Note 5 2 3 4 3 4" xfId="56700"/>
    <cellStyle name="Note 5 2 3 4 3 4 2" xfId="56701"/>
    <cellStyle name="Note 5 2 3 4 3 5" xfId="56702"/>
    <cellStyle name="Note 5 2 3 4 3 6" xfId="56703"/>
    <cellStyle name="Note 5 2 3 4 4" xfId="56704"/>
    <cellStyle name="Note 5 2 3 4 4 2" xfId="56705"/>
    <cellStyle name="Note 5 2 3 4 4 2 2" xfId="56706"/>
    <cellStyle name="Note 5 2 3 4 4 2 3" xfId="56707"/>
    <cellStyle name="Note 5 2 3 4 4 3" xfId="56708"/>
    <cellStyle name="Note 5 2 3 4 4 3 2" xfId="56709"/>
    <cellStyle name="Note 5 2 3 4 4 4" xfId="56710"/>
    <cellStyle name="Note 5 2 3 4 4 5" xfId="56711"/>
    <cellStyle name="Note 5 2 3 4 5" xfId="56712"/>
    <cellStyle name="Note 5 2 3 4 5 2" xfId="56713"/>
    <cellStyle name="Note 5 2 3 4 5 3" xfId="56714"/>
    <cellStyle name="Note 5 2 3 4 6" xfId="56715"/>
    <cellStyle name="Note 5 2 3 4 6 2" xfId="56716"/>
    <cellStyle name="Note 5 2 3 4 6 3" xfId="56717"/>
    <cellStyle name="Note 5 2 3 4 7" xfId="56718"/>
    <cellStyle name="Note 5 2 3 4 7 2" xfId="56719"/>
    <cellStyle name="Note 5 2 3 4 8" xfId="56720"/>
    <cellStyle name="Note 5 2 3 4 9" xfId="56721"/>
    <cellStyle name="Note 5 2 3 5" xfId="56722"/>
    <cellStyle name="Note 5 2 3 5 2" xfId="56723"/>
    <cellStyle name="Note 5 2 3 5 2 2" xfId="56724"/>
    <cellStyle name="Note 5 2 3 5 2 3" xfId="56725"/>
    <cellStyle name="Note 5 2 3 5 3" xfId="56726"/>
    <cellStyle name="Note 5 2 3 5 3 2" xfId="56727"/>
    <cellStyle name="Note 5 2 3 5 3 3" xfId="56728"/>
    <cellStyle name="Note 5 2 3 5 4" xfId="56729"/>
    <cellStyle name="Note 5 2 3 5 4 2" xfId="56730"/>
    <cellStyle name="Note 5 2 3 5 5" xfId="56731"/>
    <cellStyle name="Note 5 2 3 5 6" xfId="56732"/>
    <cellStyle name="Note 5 2 3 6" xfId="56733"/>
    <cellStyle name="Note 5 2 3 6 2" xfId="56734"/>
    <cellStyle name="Note 5 2 3 6 2 2" xfId="56735"/>
    <cellStyle name="Note 5 2 3 6 2 3" xfId="56736"/>
    <cellStyle name="Note 5 2 3 6 3" xfId="56737"/>
    <cellStyle name="Note 5 2 3 6 3 2" xfId="56738"/>
    <cellStyle name="Note 5 2 3 6 3 3" xfId="56739"/>
    <cellStyle name="Note 5 2 3 6 4" xfId="56740"/>
    <cellStyle name="Note 5 2 3 6 4 2" xfId="56741"/>
    <cellStyle name="Note 5 2 3 6 5" xfId="56742"/>
    <cellStyle name="Note 5 2 3 6 6" xfId="56743"/>
    <cellStyle name="Note 5 2 3 7" xfId="56744"/>
    <cellStyle name="Note 5 2 3 7 2" xfId="56745"/>
    <cellStyle name="Note 5 2 3 7 2 2" xfId="56746"/>
    <cellStyle name="Note 5 2 3 7 2 3" xfId="56747"/>
    <cellStyle name="Note 5 2 3 7 3" xfId="56748"/>
    <cellStyle name="Note 5 2 3 7 3 2" xfId="56749"/>
    <cellStyle name="Note 5 2 3 7 4" xfId="56750"/>
    <cellStyle name="Note 5 2 3 7 5" xfId="56751"/>
    <cellStyle name="Note 5 2 3 8" xfId="56752"/>
    <cellStyle name="Note 5 2 3 8 2" xfId="56753"/>
    <cellStyle name="Note 5 2 3 8 3" xfId="56754"/>
    <cellStyle name="Note 5 2 3 9" xfId="56755"/>
    <cellStyle name="Note 5 2 3 9 2" xfId="56756"/>
    <cellStyle name="Note 5 2 3 9 3" xfId="56757"/>
    <cellStyle name="Note 5 2 4" xfId="6129"/>
    <cellStyle name="Note 5 2 4 10" xfId="56758"/>
    <cellStyle name="Note 5 2 4 2" xfId="56759"/>
    <cellStyle name="Note 5 2 4 2 2" xfId="56760"/>
    <cellStyle name="Note 5 2 4 2 2 2" xfId="56761"/>
    <cellStyle name="Note 5 2 4 2 2 2 2" xfId="56762"/>
    <cellStyle name="Note 5 2 4 2 2 2 3" xfId="56763"/>
    <cellStyle name="Note 5 2 4 2 2 3" xfId="56764"/>
    <cellStyle name="Note 5 2 4 2 2 3 2" xfId="56765"/>
    <cellStyle name="Note 5 2 4 2 2 3 3" xfId="56766"/>
    <cellStyle name="Note 5 2 4 2 2 4" xfId="56767"/>
    <cellStyle name="Note 5 2 4 2 2 4 2" xfId="56768"/>
    <cellStyle name="Note 5 2 4 2 2 5" xfId="56769"/>
    <cellStyle name="Note 5 2 4 2 2 6" xfId="56770"/>
    <cellStyle name="Note 5 2 4 2 3" xfId="56771"/>
    <cellStyle name="Note 5 2 4 2 3 2" xfId="56772"/>
    <cellStyle name="Note 5 2 4 2 3 2 2" xfId="56773"/>
    <cellStyle name="Note 5 2 4 2 3 2 3" xfId="56774"/>
    <cellStyle name="Note 5 2 4 2 3 3" xfId="56775"/>
    <cellStyle name="Note 5 2 4 2 3 3 2" xfId="56776"/>
    <cellStyle name="Note 5 2 4 2 3 3 3" xfId="56777"/>
    <cellStyle name="Note 5 2 4 2 3 4" xfId="56778"/>
    <cellStyle name="Note 5 2 4 2 3 4 2" xfId="56779"/>
    <cellStyle name="Note 5 2 4 2 3 5" xfId="56780"/>
    <cellStyle name="Note 5 2 4 2 3 6" xfId="56781"/>
    <cellStyle name="Note 5 2 4 2 4" xfId="56782"/>
    <cellStyle name="Note 5 2 4 2 4 2" xfId="56783"/>
    <cellStyle name="Note 5 2 4 2 4 2 2" xfId="56784"/>
    <cellStyle name="Note 5 2 4 2 4 2 3" xfId="56785"/>
    <cellStyle name="Note 5 2 4 2 4 3" xfId="56786"/>
    <cellStyle name="Note 5 2 4 2 4 3 2" xfId="56787"/>
    <cellStyle name="Note 5 2 4 2 4 4" xfId="56788"/>
    <cellStyle name="Note 5 2 4 2 4 5" xfId="56789"/>
    <cellStyle name="Note 5 2 4 2 5" xfId="56790"/>
    <cellStyle name="Note 5 2 4 2 5 2" xfId="56791"/>
    <cellStyle name="Note 5 2 4 2 5 3" xfId="56792"/>
    <cellStyle name="Note 5 2 4 2 6" xfId="56793"/>
    <cellStyle name="Note 5 2 4 2 6 2" xfId="56794"/>
    <cellStyle name="Note 5 2 4 2 6 3" xfId="56795"/>
    <cellStyle name="Note 5 2 4 2 7" xfId="56796"/>
    <cellStyle name="Note 5 2 4 2 7 2" xfId="56797"/>
    <cellStyle name="Note 5 2 4 2 8" xfId="56798"/>
    <cellStyle name="Note 5 2 4 2 9" xfId="56799"/>
    <cellStyle name="Note 5 2 4 3" xfId="56800"/>
    <cellStyle name="Note 5 2 4 3 2" xfId="56801"/>
    <cellStyle name="Note 5 2 4 3 2 2" xfId="56802"/>
    <cellStyle name="Note 5 2 4 3 2 3" xfId="56803"/>
    <cellStyle name="Note 5 2 4 3 3" xfId="56804"/>
    <cellStyle name="Note 5 2 4 3 3 2" xfId="56805"/>
    <cellStyle name="Note 5 2 4 3 3 3" xfId="56806"/>
    <cellStyle name="Note 5 2 4 3 4" xfId="56807"/>
    <cellStyle name="Note 5 2 4 3 4 2" xfId="56808"/>
    <cellStyle name="Note 5 2 4 3 5" xfId="56809"/>
    <cellStyle name="Note 5 2 4 3 6" xfId="56810"/>
    <cellStyle name="Note 5 2 4 4" xfId="56811"/>
    <cellStyle name="Note 5 2 4 4 2" xfId="56812"/>
    <cellStyle name="Note 5 2 4 4 2 2" xfId="56813"/>
    <cellStyle name="Note 5 2 4 4 2 3" xfId="56814"/>
    <cellStyle name="Note 5 2 4 4 3" xfId="56815"/>
    <cellStyle name="Note 5 2 4 4 3 2" xfId="56816"/>
    <cellStyle name="Note 5 2 4 4 3 3" xfId="56817"/>
    <cellStyle name="Note 5 2 4 4 4" xfId="56818"/>
    <cellStyle name="Note 5 2 4 4 4 2" xfId="56819"/>
    <cellStyle name="Note 5 2 4 4 5" xfId="56820"/>
    <cellStyle name="Note 5 2 4 4 6" xfId="56821"/>
    <cellStyle name="Note 5 2 4 5" xfId="56822"/>
    <cellStyle name="Note 5 2 4 5 2" xfId="56823"/>
    <cellStyle name="Note 5 2 4 5 2 2" xfId="56824"/>
    <cellStyle name="Note 5 2 4 5 2 3" xfId="56825"/>
    <cellStyle name="Note 5 2 4 5 3" xfId="56826"/>
    <cellStyle name="Note 5 2 4 5 3 2" xfId="56827"/>
    <cellStyle name="Note 5 2 4 5 4" xfId="56828"/>
    <cellStyle name="Note 5 2 4 5 5" xfId="56829"/>
    <cellStyle name="Note 5 2 4 6" xfId="56830"/>
    <cellStyle name="Note 5 2 4 6 2" xfId="56831"/>
    <cellStyle name="Note 5 2 4 6 3" xfId="56832"/>
    <cellStyle name="Note 5 2 4 7" xfId="56833"/>
    <cellStyle name="Note 5 2 4 7 2" xfId="56834"/>
    <cellStyle name="Note 5 2 4 7 3" xfId="56835"/>
    <cellStyle name="Note 5 2 4 8" xfId="56836"/>
    <cellStyle name="Note 5 2 4 8 2" xfId="56837"/>
    <cellStyle name="Note 5 2 4 9" xfId="56838"/>
    <cellStyle name="Note 5 2 5" xfId="6130"/>
    <cellStyle name="Note 5 2 5 2" xfId="56839"/>
    <cellStyle name="Note 5 2 5 2 2" xfId="56840"/>
    <cellStyle name="Note 5 2 5 2 2 2" xfId="56841"/>
    <cellStyle name="Note 5 2 5 2 2 3" xfId="56842"/>
    <cellStyle name="Note 5 2 5 2 3" xfId="56843"/>
    <cellStyle name="Note 5 2 5 2 3 2" xfId="56844"/>
    <cellStyle name="Note 5 2 5 2 3 3" xfId="56845"/>
    <cellStyle name="Note 5 2 5 2 4" xfId="56846"/>
    <cellStyle name="Note 5 2 5 2 4 2" xfId="56847"/>
    <cellStyle name="Note 5 2 5 2 5" xfId="56848"/>
    <cellStyle name="Note 5 2 5 2 6" xfId="56849"/>
    <cellStyle name="Note 5 2 5 3" xfId="56850"/>
    <cellStyle name="Note 5 2 5 3 2" xfId="56851"/>
    <cellStyle name="Note 5 2 5 3 2 2" xfId="56852"/>
    <cellStyle name="Note 5 2 5 3 2 3" xfId="56853"/>
    <cellStyle name="Note 5 2 5 3 3" xfId="56854"/>
    <cellStyle name="Note 5 2 5 3 3 2" xfId="56855"/>
    <cellStyle name="Note 5 2 5 3 3 3" xfId="56856"/>
    <cellStyle name="Note 5 2 5 3 4" xfId="56857"/>
    <cellStyle name="Note 5 2 5 3 4 2" xfId="56858"/>
    <cellStyle name="Note 5 2 5 3 5" xfId="56859"/>
    <cellStyle name="Note 5 2 5 3 6" xfId="56860"/>
    <cellStyle name="Note 5 2 5 4" xfId="56861"/>
    <cellStyle name="Note 5 2 5 4 2" xfId="56862"/>
    <cellStyle name="Note 5 2 5 4 2 2" xfId="56863"/>
    <cellStyle name="Note 5 2 5 4 2 3" xfId="56864"/>
    <cellStyle name="Note 5 2 5 4 3" xfId="56865"/>
    <cellStyle name="Note 5 2 5 4 3 2" xfId="56866"/>
    <cellStyle name="Note 5 2 5 4 4" xfId="56867"/>
    <cellStyle name="Note 5 2 5 4 5" xfId="56868"/>
    <cellStyle name="Note 5 2 5 5" xfId="56869"/>
    <cellStyle name="Note 5 2 5 5 2" xfId="56870"/>
    <cellStyle name="Note 5 2 5 5 3" xfId="56871"/>
    <cellStyle name="Note 5 2 5 6" xfId="56872"/>
    <cellStyle name="Note 5 2 5 6 2" xfId="56873"/>
    <cellStyle name="Note 5 2 5 6 3" xfId="56874"/>
    <cellStyle name="Note 5 2 5 7" xfId="56875"/>
    <cellStyle name="Note 5 2 5 7 2" xfId="56876"/>
    <cellStyle name="Note 5 2 5 8" xfId="56877"/>
    <cellStyle name="Note 5 2 5 9" xfId="56878"/>
    <cellStyle name="Note 5 2 6" xfId="6131"/>
    <cellStyle name="Note 5 2 6 2" xfId="56879"/>
    <cellStyle name="Note 5 2 6 2 2" xfId="56880"/>
    <cellStyle name="Note 5 2 6 2 2 2" xfId="56881"/>
    <cellStyle name="Note 5 2 6 2 2 3" xfId="56882"/>
    <cellStyle name="Note 5 2 6 2 3" xfId="56883"/>
    <cellStyle name="Note 5 2 6 2 3 2" xfId="56884"/>
    <cellStyle name="Note 5 2 6 2 3 3" xfId="56885"/>
    <cellStyle name="Note 5 2 6 2 4" xfId="56886"/>
    <cellStyle name="Note 5 2 6 2 4 2" xfId="56887"/>
    <cellStyle name="Note 5 2 6 2 5" xfId="56888"/>
    <cellStyle name="Note 5 2 6 2 6" xfId="56889"/>
    <cellStyle name="Note 5 2 6 3" xfId="56890"/>
    <cellStyle name="Note 5 2 6 3 2" xfId="56891"/>
    <cellStyle name="Note 5 2 6 3 2 2" xfId="56892"/>
    <cellStyle name="Note 5 2 6 3 2 3" xfId="56893"/>
    <cellStyle name="Note 5 2 6 3 3" xfId="56894"/>
    <cellStyle name="Note 5 2 6 3 3 2" xfId="56895"/>
    <cellStyle name="Note 5 2 6 3 3 3" xfId="56896"/>
    <cellStyle name="Note 5 2 6 3 4" xfId="56897"/>
    <cellStyle name="Note 5 2 6 3 4 2" xfId="56898"/>
    <cellStyle name="Note 5 2 6 3 5" xfId="56899"/>
    <cellStyle name="Note 5 2 6 3 6" xfId="56900"/>
    <cellStyle name="Note 5 2 6 4" xfId="56901"/>
    <cellStyle name="Note 5 2 6 4 2" xfId="56902"/>
    <cellStyle name="Note 5 2 6 4 2 2" xfId="56903"/>
    <cellStyle name="Note 5 2 6 4 2 3" xfId="56904"/>
    <cellStyle name="Note 5 2 6 4 3" xfId="56905"/>
    <cellStyle name="Note 5 2 6 4 3 2" xfId="56906"/>
    <cellStyle name="Note 5 2 6 4 4" xfId="56907"/>
    <cellStyle name="Note 5 2 6 4 5" xfId="56908"/>
    <cellStyle name="Note 5 2 6 5" xfId="56909"/>
    <cellStyle name="Note 5 2 6 5 2" xfId="56910"/>
    <cellStyle name="Note 5 2 6 5 3" xfId="56911"/>
    <cellStyle name="Note 5 2 6 6" xfId="56912"/>
    <cellStyle name="Note 5 2 6 6 2" xfId="56913"/>
    <cellStyle name="Note 5 2 6 6 3" xfId="56914"/>
    <cellStyle name="Note 5 2 6 7" xfId="56915"/>
    <cellStyle name="Note 5 2 6 7 2" xfId="56916"/>
    <cellStyle name="Note 5 2 6 8" xfId="56917"/>
    <cellStyle name="Note 5 2 6 9" xfId="56918"/>
    <cellStyle name="Note 5 2 7" xfId="6132"/>
    <cellStyle name="Note 5 2 7 2" xfId="56919"/>
    <cellStyle name="Note 5 2 7 2 2" xfId="56920"/>
    <cellStyle name="Note 5 2 7 2 3" xfId="56921"/>
    <cellStyle name="Note 5 2 7 3" xfId="56922"/>
    <cellStyle name="Note 5 2 7 3 2" xfId="56923"/>
    <cellStyle name="Note 5 2 7 3 3" xfId="56924"/>
    <cellStyle name="Note 5 2 7 4" xfId="56925"/>
    <cellStyle name="Note 5 2 7 4 2" xfId="56926"/>
    <cellStyle name="Note 5 2 7 5" xfId="56927"/>
    <cellStyle name="Note 5 2 7 6" xfId="56928"/>
    <cellStyle name="Note 5 2 8" xfId="6133"/>
    <cellStyle name="Note 5 2 8 2" xfId="56929"/>
    <cellStyle name="Note 5 2 8 2 2" xfId="56930"/>
    <cellStyle name="Note 5 2 8 2 3" xfId="56931"/>
    <cellStyle name="Note 5 2 8 3" xfId="56932"/>
    <cellStyle name="Note 5 2 8 3 2" xfId="56933"/>
    <cellStyle name="Note 5 2 8 3 3" xfId="56934"/>
    <cellStyle name="Note 5 2 8 4" xfId="56935"/>
    <cellStyle name="Note 5 2 8 4 2" xfId="56936"/>
    <cellStyle name="Note 5 2 8 5" xfId="56937"/>
    <cellStyle name="Note 5 2 8 6" xfId="56938"/>
    <cellStyle name="Note 5 2 9" xfId="6134"/>
    <cellStyle name="Note 5 2 9 2" xfId="56939"/>
    <cellStyle name="Note 5 2 9 2 2" xfId="56940"/>
    <cellStyle name="Note 5 2 9 2 3" xfId="56941"/>
    <cellStyle name="Note 5 2 9 3" xfId="56942"/>
    <cellStyle name="Note 5 2 9 3 2" xfId="56943"/>
    <cellStyle name="Note 5 2 9 4" xfId="56944"/>
    <cellStyle name="Note 5 2 9 5" xfId="56945"/>
    <cellStyle name="Note 5 3" xfId="6135"/>
    <cellStyle name="Note 5 3 10" xfId="56946"/>
    <cellStyle name="Note 5 3 10 2" xfId="56947"/>
    <cellStyle name="Note 5 3 10 3" xfId="56948"/>
    <cellStyle name="Note 5 3 11" xfId="56949"/>
    <cellStyle name="Note 5 3 11 2" xfId="56950"/>
    <cellStyle name="Note 5 3 12" xfId="56951"/>
    <cellStyle name="Note 5 3 13" xfId="56952"/>
    <cellStyle name="Note 5 3 14" xfId="56953"/>
    <cellStyle name="Note 5 3 2" xfId="6136"/>
    <cellStyle name="Note 5 3 2 10" xfId="56954"/>
    <cellStyle name="Note 5 3 2 10 2" xfId="56955"/>
    <cellStyle name="Note 5 3 2 11" xfId="56956"/>
    <cellStyle name="Note 5 3 2 12" xfId="56957"/>
    <cellStyle name="Note 5 3 2 2" xfId="9332"/>
    <cellStyle name="Note 5 3 2 2 10" xfId="56958"/>
    <cellStyle name="Note 5 3 2 2 2" xfId="56959"/>
    <cellStyle name="Note 5 3 2 2 2 2" xfId="56960"/>
    <cellStyle name="Note 5 3 2 2 2 2 2" xfId="56961"/>
    <cellStyle name="Note 5 3 2 2 2 2 2 2" xfId="56962"/>
    <cellStyle name="Note 5 3 2 2 2 2 2 3" xfId="56963"/>
    <cellStyle name="Note 5 3 2 2 2 2 3" xfId="56964"/>
    <cellStyle name="Note 5 3 2 2 2 2 3 2" xfId="56965"/>
    <cellStyle name="Note 5 3 2 2 2 2 3 3" xfId="56966"/>
    <cellStyle name="Note 5 3 2 2 2 2 4" xfId="56967"/>
    <cellStyle name="Note 5 3 2 2 2 2 4 2" xfId="56968"/>
    <cellStyle name="Note 5 3 2 2 2 2 5" xfId="56969"/>
    <cellStyle name="Note 5 3 2 2 2 2 6" xfId="56970"/>
    <cellStyle name="Note 5 3 2 2 2 3" xfId="56971"/>
    <cellStyle name="Note 5 3 2 2 2 3 2" xfId="56972"/>
    <cellStyle name="Note 5 3 2 2 2 3 2 2" xfId="56973"/>
    <cellStyle name="Note 5 3 2 2 2 3 2 3" xfId="56974"/>
    <cellStyle name="Note 5 3 2 2 2 3 3" xfId="56975"/>
    <cellStyle name="Note 5 3 2 2 2 3 3 2" xfId="56976"/>
    <cellStyle name="Note 5 3 2 2 2 3 3 3" xfId="56977"/>
    <cellStyle name="Note 5 3 2 2 2 3 4" xfId="56978"/>
    <cellStyle name="Note 5 3 2 2 2 3 4 2" xfId="56979"/>
    <cellStyle name="Note 5 3 2 2 2 3 5" xfId="56980"/>
    <cellStyle name="Note 5 3 2 2 2 3 6" xfId="56981"/>
    <cellStyle name="Note 5 3 2 2 2 4" xfId="56982"/>
    <cellStyle name="Note 5 3 2 2 2 4 2" xfId="56983"/>
    <cellStyle name="Note 5 3 2 2 2 4 2 2" xfId="56984"/>
    <cellStyle name="Note 5 3 2 2 2 4 2 3" xfId="56985"/>
    <cellStyle name="Note 5 3 2 2 2 4 3" xfId="56986"/>
    <cellStyle name="Note 5 3 2 2 2 4 3 2" xfId="56987"/>
    <cellStyle name="Note 5 3 2 2 2 4 4" xfId="56988"/>
    <cellStyle name="Note 5 3 2 2 2 4 5" xfId="56989"/>
    <cellStyle name="Note 5 3 2 2 2 5" xfId="56990"/>
    <cellStyle name="Note 5 3 2 2 2 5 2" xfId="56991"/>
    <cellStyle name="Note 5 3 2 2 2 5 3" xfId="56992"/>
    <cellStyle name="Note 5 3 2 2 2 6" xfId="56993"/>
    <cellStyle name="Note 5 3 2 2 2 6 2" xfId="56994"/>
    <cellStyle name="Note 5 3 2 2 2 6 3" xfId="56995"/>
    <cellStyle name="Note 5 3 2 2 2 7" xfId="56996"/>
    <cellStyle name="Note 5 3 2 2 2 7 2" xfId="56997"/>
    <cellStyle name="Note 5 3 2 2 2 8" xfId="56998"/>
    <cellStyle name="Note 5 3 2 2 2 9" xfId="56999"/>
    <cellStyle name="Note 5 3 2 2 3" xfId="57000"/>
    <cellStyle name="Note 5 3 2 2 3 2" xfId="57001"/>
    <cellStyle name="Note 5 3 2 2 3 2 2" xfId="57002"/>
    <cellStyle name="Note 5 3 2 2 3 2 3" xfId="57003"/>
    <cellStyle name="Note 5 3 2 2 3 3" xfId="57004"/>
    <cellStyle name="Note 5 3 2 2 3 3 2" xfId="57005"/>
    <cellStyle name="Note 5 3 2 2 3 3 3" xfId="57006"/>
    <cellStyle name="Note 5 3 2 2 3 4" xfId="57007"/>
    <cellStyle name="Note 5 3 2 2 3 4 2" xfId="57008"/>
    <cellStyle name="Note 5 3 2 2 3 5" xfId="57009"/>
    <cellStyle name="Note 5 3 2 2 3 6" xfId="57010"/>
    <cellStyle name="Note 5 3 2 2 4" xfId="57011"/>
    <cellStyle name="Note 5 3 2 2 4 2" xfId="57012"/>
    <cellStyle name="Note 5 3 2 2 4 2 2" xfId="57013"/>
    <cellStyle name="Note 5 3 2 2 4 2 3" xfId="57014"/>
    <cellStyle name="Note 5 3 2 2 4 3" xfId="57015"/>
    <cellStyle name="Note 5 3 2 2 4 3 2" xfId="57016"/>
    <cellStyle name="Note 5 3 2 2 4 3 3" xfId="57017"/>
    <cellStyle name="Note 5 3 2 2 4 4" xfId="57018"/>
    <cellStyle name="Note 5 3 2 2 4 4 2" xfId="57019"/>
    <cellStyle name="Note 5 3 2 2 4 5" xfId="57020"/>
    <cellStyle name="Note 5 3 2 2 4 6" xfId="57021"/>
    <cellStyle name="Note 5 3 2 2 5" xfId="57022"/>
    <cellStyle name="Note 5 3 2 2 5 2" xfId="57023"/>
    <cellStyle name="Note 5 3 2 2 5 2 2" xfId="57024"/>
    <cellStyle name="Note 5 3 2 2 5 2 3" xfId="57025"/>
    <cellStyle name="Note 5 3 2 2 5 3" xfId="57026"/>
    <cellStyle name="Note 5 3 2 2 5 3 2" xfId="57027"/>
    <cellStyle name="Note 5 3 2 2 5 4" xfId="57028"/>
    <cellStyle name="Note 5 3 2 2 5 5" xfId="57029"/>
    <cellStyle name="Note 5 3 2 2 6" xfId="57030"/>
    <cellStyle name="Note 5 3 2 2 6 2" xfId="57031"/>
    <cellStyle name="Note 5 3 2 2 6 3" xfId="57032"/>
    <cellStyle name="Note 5 3 2 2 7" xfId="57033"/>
    <cellStyle name="Note 5 3 2 2 7 2" xfId="57034"/>
    <cellStyle name="Note 5 3 2 2 7 3" xfId="57035"/>
    <cellStyle name="Note 5 3 2 2 8" xfId="57036"/>
    <cellStyle name="Note 5 3 2 2 8 2" xfId="57037"/>
    <cellStyle name="Note 5 3 2 2 9" xfId="57038"/>
    <cellStyle name="Note 5 3 2 3" xfId="57039"/>
    <cellStyle name="Note 5 3 2 3 2" xfId="57040"/>
    <cellStyle name="Note 5 3 2 3 2 2" xfId="57041"/>
    <cellStyle name="Note 5 3 2 3 2 2 2" xfId="57042"/>
    <cellStyle name="Note 5 3 2 3 2 2 3" xfId="57043"/>
    <cellStyle name="Note 5 3 2 3 2 3" xfId="57044"/>
    <cellStyle name="Note 5 3 2 3 2 3 2" xfId="57045"/>
    <cellStyle name="Note 5 3 2 3 2 3 3" xfId="57046"/>
    <cellStyle name="Note 5 3 2 3 2 4" xfId="57047"/>
    <cellStyle name="Note 5 3 2 3 2 4 2" xfId="57048"/>
    <cellStyle name="Note 5 3 2 3 2 5" xfId="57049"/>
    <cellStyle name="Note 5 3 2 3 2 6" xfId="57050"/>
    <cellStyle name="Note 5 3 2 3 3" xfId="57051"/>
    <cellStyle name="Note 5 3 2 3 3 2" xfId="57052"/>
    <cellStyle name="Note 5 3 2 3 3 2 2" xfId="57053"/>
    <cellStyle name="Note 5 3 2 3 3 2 3" xfId="57054"/>
    <cellStyle name="Note 5 3 2 3 3 3" xfId="57055"/>
    <cellStyle name="Note 5 3 2 3 3 3 2" xfId="57056"/>
    <cellStyle name="Note 5 3 2 3 3 3 3" xfId="57057"/>
    <cellStyle name="Note 5 3 2 3 3 4" xfId="57058"/>
    <cellStyle name="Note 5 3 2 3 3 4 2" xfId="57059"/>
    <cellStyle name="Note 5 3 2 3 3 5" xfId="57060"/>
    <cellStyle name="Note 5 3 2 3 3 6" xfId="57061"/>
    <cellStyle name="Note 5 3 2 3 4" xfId="57062"/>
    <cellStyle name="Note 5 3 2 3 4 2" xfId="57063"/>
    <cellStyle name="Note 5 3 2 3 4 2 2" xfId="57064"/>
    <cellStyle name="Note 5 3 2 3 4 2 3" xfId="57065"/>
    <cellStyle name="Note 5 3 2 3 4 3" xfId="57066"/>
    <cellStyle name="Note 5 3 2 3 4 3 2" xfId="57067"/>
    <cellStyle name="Note 5 3 2 3 4 4" xfId="57068"/>
    <cellStyle name="Note 5 3 2 3 4 5" xfId="57069"/>
    <cellStyle name="Note 5 3 2 3 5" xfId="57070"/>
    <cellStyle name="Note 5 3 2 3 5 2" xfId="57071"/>
    <cellStyle name="Note 5 3 2 3 5 3" xfId="57072"/>
    <cellStyle name="Note 5 3 2 3 6" xfId="57073"/>
    <cellStyle name="Note 5 3 2 3 6 2" xfId="57074"/>
    <cellStyle name="Note 5 3 2 3 6 3" xfId="57075"/>
    <cellStyle name="Note 5 3 2 3 7" xfId="57076"/>
    <cellStyle name="Note 5 3 2 3 7 2" xfId="57077"/>
    <cellStyle name="Note 5 3 2 3 8" xfId="57078"/>
    <cellStyle name="Note 5 3 2 3 9" xfId="57079"/>
    <cellStyle name="Note 5 3 2 4" xfId="57080"/>
    <cellStyle name="Note 5 3 2 4 2" xfId="57081"/>
    <cellStyle name="Note 5 3 2 4 2 2" xfId="57082"/>
    <cellStyle name="Note 5 3 2 4 2 2 2" xfId="57083"/>
    <cellStyle name="Note 5 3 2 4 2 2 3" xfId="57084"/>
    <cellStyle name="Note 5 3 2 4 2 3" xfId="57085"/>
    <cellStyle name="Note 5 3 2 4 2 3 2" xfId="57086"/>
    <cellStyle name="Note 5 3 2 4 2 3 3" xfId="57087"/>
    <cellStyle name="Note 5 3 2 4 2 4" xfId="57088"/>
    <cellStyle name="Note 5 3 2 4 2 4 2" xfId="57089"/>
    <cellStyle name="Note 5 3 2 4 2 5" xfId="57090"/>
    <cellStyle name="Note 5 3 2 4 2 6" xfId="57091"/>
    <cellStyle name="Note 5 3 2 4 3" xfId="57092"/>
    <cellStyle name="Note 5 3 2 4 3 2" xfId="57093"/>
    <cellStyle name="Note 5 3 2 4 3 2 2" xfId="57094"/>
    <cellStyle name="Note 5 3 2 4 3 2 3" xfId="57095"/>
    <cellStyle name="Note 5 3 2 4 3 3" xfId="57096"/>
    <cellStyle name="Note 5 3 2 4 3 3 2" xfId="57097"/>
    <cellStyle name="Note 5 3 2 4 3 3 3" xfId="57098"/>
    <cellStyle name="Note 5 3 2 4 3 4" xfId="57099"/>
    <cellStyle name="Note 5 3 2 4 3 4 2" xfId="57100"/>
    <cellStyle name="Note 5 3 2 4 3 5" xfId="57101"/>
    <cellStyle name="Note 5 3 2 4 3 6" xfId="57102"/>
    <cellStyle name="Note 5 3 2 4 4" xfId="57103"/>
    <cellStyle name="Note 5 3 2 4 4 2" xfId="57104"/>
    <cellStyle name="Note 5 3 2 4 4 2 2" xfId="57105"/>
    <cellStyle name="Note 5 3 2 4 4 2 3" xfId="57106"/>
    <cellStyle name="Note 5 3 2 4 4 3" xfId="57107"/>
    <cellStyle name="Note 5 3 2 4 4 3 2" xfId="57108"/>
    <cellStyle name="Note 5 3 2 4 4 4" xfId="57109"/>
    <cellStyle name="Note 5 3 2 4 4 5" xfId="57110"/>
    <cellStyle name="Note 5 3 2 4 5" xfId="57111"/>
    <cellStyle name="Note 5 3 2 4 5 2" xfId="57112"/>
    <cellStyle name="Note 5 3 2 4 5 3" xfId="57113"/>
    <cellStyle name="Note 5 3 2 4 6" xfId="57114"/>
    <cellStyle name="Note 5 3 2 4 6 2" xfId="57115"/>
    <cellStyle name="Note 5 3 2 4 6 3" xfId="57116"/>
    <cellStyle name="Note 5 3 2 4 7" xfId="57117"/>
    <cellStyle name="Note 5 3 2 4 7 2" xfId="57118"/>
    <cellStyle name="Note 5 3 2 4 8" xfId="57119"/>
    <cellStyle name="Note 5 3 2 4 9" xfId="57120"/>
    <cellStyle name="Note 5 3 2 5" xfId="57121"/>
    <cellStyle name="Note 5 3 2 5 2" xfId="57122"/>
    <cellStyle name="Note 5 3 2 5 2 2" xfId="57123"/>
    <cellStyle name="Note 5 3 2 5 2 3" xfId="57124"/>
    <cellStyle name="Note 5 3 2 5 3" xfId="57125"/>
    <cellStyle name="Note 5 3 2 5 3 2" xfId="57126"/>
    <cellStyle name="Note 5 3 2 5 3 3" xfId="57127"/>
    <cellStyle name="Note 5 3 2 5 4" xfId="57128"/>
    <cellStyle name="Note 5 3 2 5 4 2" xfId="57129"/>
    <cellStyle name="Note 5 3 2 5 5" xfId="57130"/>
    <cellStyle name="Note 5 3 2 5 6" xfId="57131"/>
    <cellStyle name="Note 5 3 2 6" xfId="57132"/>
    <cellStyle name="Note 5 3 2 6 2" xfId="57133"/>
    <cellStyle name="Note 5 3 2 6 2 2" xfId="57134"/>
    <cellStyle name="Note 5 3 2 6 2 3" xfId="57135"/>
    <cellStyle name="Note 5 3 2 6 3" xfId="57136"/>
    <cellStyle name="Note 5 3 2 6 3 2" xfId="57137"/>
    <cellStyle name="Note 5 3 2 6 3 3" xfId="57138"/>
    <cellStyle name="Note 5 3 2 6 4" xfId="57139"/>
    <cellStyle name="Note 5 3 2 6 4 2" xfId="57140"/>
    <cellStyle name="Note 5 3 2 6 5" xfId="57141"/>
    <cellStyle name="Note 5 3 2 6 6" xfId="57142"/>
    <cellStyle name="Note 5 3 2 7" xfId="57143"/>
    <cellStyle name="Note 5 3 2 7 2" xfId="57144"/>
    <cellStyle name="Note 5 3 2 7 2 2" xfId="57145"/>
    <cellStyle name="Note 5 3 2 7 2 3" xfId="57146"/>
    <cellStyle name="Note 5 3 2 7 3" xfId="57147"/>
    <cellStyle name="Note 5 3 2 7 3 2" xfId="57148"/>
    <cellStyle name="Note 5 3 2 7 4" xfId="57149"/>
    <cellStyle name="Note 5 3 2 7 5" xfId="57150"/>
    <cellStyle name="Note 5 3 2 8" xfId="57151"/>
    <cellStyle name="Note 5 3 2 8 2" xfId="57152"/>
    <cellStyle name="Note 5 3 2 8 3" xfId="57153"/>
    <cellStyle name="Note 5 3 2 9" xfId="57154"/>
    <cellStyle name="Note 5 3 2 9 2" xfId="57155"/>
    <cellStyle name="Note 5 3 2 9 3" xfId="57156"/>
    <cellStyle name="Note 5 3 3" xfId="6137"/>
    <cellStyle name="Note 5 3 3 10" xfId="57157"/>
    <cellStyle name="Note 5 3 3 2" xfId="57158"/>
    <cellStyle name="Note 5 3 3 2 2" xfId="57159"/>
    <cellStyle name="Note 5 3 3 2 2 2" xfId="57160"/>
    <cellStyle name="Note 5 3 3 2 2 2 2" xfId="57161"/>
    <cellStyle name="Note 5 3 3 2 2 2 3" xfId="57162"/>
    <cellStyle name="Note 5 3 3 2 2 3" xfId="57163"/>
    <cellStyle name="Note 5 3 3 2 2 3 2" xfId="57164"/>
    <cellStyle name="Note 5 3 3 2 2 3 3" xfId="57165"/>
    <cellStyle name="Note 5 3 3 2 2 4" xfId="57166"/>
    <cellStyle name="Note 5 3 3 2 2 4 2" xfId="57167"/>
    <cellStyle name="Note 5 3 3 2 2 5" xfId="57168"/>
    <cellStyle name="Note 5 3 3 2 2 6" xfId="57169"/>
    <cellStyle name="Note 5 3 3 2 3" xfId="57170"/>
    <cellStyle name="Note 5 3 3 2 3 2" xfId="57171"/>
    <cellStyle name="Note 5 3 3 2 3 2 2" xfId="57172"/>
    <cellStyle name="Note 5 3 3 2 3 2 3" xfId="57173"/>
    <cellStyle name="Note 5 3 3 2 3 3" xfId="57174"/>
    <cellStyle name="Note 5 3 3 2 3 3 2" xfId="57175"/>
    <cellStyle name="Note 5 3 3 2 3 3 3" xfId="57176"/>
    <cellStyle name="Note 5 3 3 2 3 4" xfId="57177"/>
    <cellStyle name="Note 5 3 3 2 3 4 2" xfId="57178"/>
    <cellStyle name="Note 5 3 3 2 3 5" xfId="57179"/>
    <cellStyle name="Note 5 3 3 2 3 6" xfId="57180"/>
    <cellStyle name="Note 5 3 3 2 4" xfId="57181"/>
    <cellStyle name="Note 5 3 3 2 4 2" xfId="57182"/>
    <cellStyle name="Note 5 3 3 2 4 2 2" xfId="57183"/>
    <cellStyle name="Note 5 3 3 2 4 2 3" xfId="57184"/>
    <cellStyle name="Note 5 3 3 2 4 3" xfId="57185"/>
    <cellStyle name="Note 5 3 3 2 4 3 2" xfId="57186"/>
    <cellStyle name="Note 5 3 3 2 4 4" xfId="57187"/>
    <cellStyle name="Note 5 3 3 2 4 5" xfId="57188"/>
    <cellStyle name="Note 5 3 3 2 5" xfId="57189"/>
    <cellStyle name="Note 5 3 3 2 5 2" xfId="57190"/>
    <cellStyle name="Note 5 3 3 2 5 3" xfId="57191"/>
    <cellStyle name="Note 5 3 3 2 6" xfId="57192"/>
    <cellStyle name="Note 5 3 3 2 6 2" xfId="57193"/>
    <cellStyle name="Note 5 3 3 2 6 3" xfId="57194"/>
    <cellStyle name="Note 5 3 3 2 7" xfId="57195"/>
    <cellStyle name="Note 5 3 3 2 7 2" xfId="57196"/>
    <cellStyle name="Note 5 3 3 2 8" xfId="57197"/>
    <cellStyle name="Note 5 3 3 2 9" xfId="57198"/>
    <cellStyle name="Note 5 3 3 3" xfId="57199"/>
    <cellStyle name="Note 5 3 3 3 2" xfId="57200"/>
    <cellStyle name="Note 5 3 3 3 2 2" xfId="57201"/>
    <cellStyle name="Note 5 3 3 3 2 3" xfId="57202"/>
    <cellStyle name="Note 5 3 3 3 3" xfId="57203"/>
    <cellStyle name="Note 5 3 3 3 3 2" xfId="57204"/>
    <cellStyle name="Note 5 3 3 3 3 3" xfId="57205"/>
    <cellStyle name="Note 5 3 3 3 4" xfId="57206"/>
    <cellStyle name="Note 5 3 3 3 4 2" xfId="57207"/>
    <cellStyle name="Note 5 3 3 3 5" xfId="57208"/>
    <cellStyle name="Note 5 3 3 3 6" xfId="57209"/>
    <cellStyle name="Note 5 3 3 4" xfId="57210"/>
    <cellStyle name="Note 5 3 3 4 2" xfId="57211"/>
    <cellStyle name="Note 5 3 3 4 2 2" xfId="57212"/>
    <cellStyle name="Note 5 3 3 4 2 3" xfId="57213"/>
    <cellStyle name="Note 5 3 3 4 3" xfId="57214"/>
    <cellStyle name="Note 5 3 3 4 3 2" xfId="57215"/>
    <cellStyle name="Note 5 3 3 4 3 3" xfId="57216"/>
    <cellStyle name="Note 5 3 3 4 4" xfId="57217"/>
    <cellStyle name="Note 5 3 3 4 4 2" xfId="57218"/>
    <cellStyle name="Note 5 3 3 4 5" xfId="57219"/>
    <cellStyle name="Note 5 3 3 4 6" xfId="57220"/>
    <cellStyle name="Note 5 3 3 5" xfId="57221"/>
    <cellStyle name="Note 5 3 3 5 2" xfId="57222"/>
    <cellStyle name="Note 5 3 3 5 2 2" xfId="57223"/>
    <cellStyle name="Note 5 3 3 5 2 3" xfId="57224"/>
    <cellStyle name="Note 5 3 3 5 3" xfId="57225"/>
    <cellStyle name="Note 5 3 3 5 3 2" xfId="57226"/>
    <cellStyle name="Note 5 3 3 5 4" xfId="57227"/>
    <cellStyle name="Note 5 3 3 5 5" xfId="57228"/>
    <cellStyle name="Note 5 3 3 6" xfId="57229"/>
    <cellStyle name="Note 5 3 3 6 2" xfId="57230"/>
    <cellStyle name="Note 5 3 3 6 3" xfId="57231"/>
    <cellStyle name="Note 5 3 3 7" xfId="57232"/>
    <cellStyle name="Note 5 3 3 7 2" xfId="57233"/>
    <cellStyle name="Note 5 3 3 7 3" xfId="57234"/>
    <cellStyle name="Note 5 3 3 8" xfId="57235"/>
    <cellStyle name="Note 5 3 3 8 2" xfId="57236"/>
    <cellStyle name="Note 5 3 3 9" xfId="57237"/>
    <cellStyle name="Note 5 3 4" xfId="9333"/>
    <cellStyle name="Note 5 3 4 2" xfId="57238"/>
    <cellStyle name="Note 5 3 4 2 2" xfId="57239"/>
    <cellStyle name="Note 5 3 4 2 2 2" xfId="57240"/>
    <cellStyle name="Note 5 3 4 2 2 3" xfId="57241"/>
    <cellStyle name="Note 5 3 4 2 3" xfId="57242"/>
    <cellStyle name="Note 5 3 4 2 3 2" xfId="57243"/>
    <cellStyle name="Note 5 3 4 2 3 3" xfId="57244"/>
    <cellStyle name="Note 5 3 4 2 4" xfId="57245"/>
    <cellStyle name="Note 5 3 4 2 4 2" xfId="57246"/>
    <cellStyle name="Note 5 3 4 2 5" xfId="57247"/>
    <cellStyle name="Note 5 3 4 2 6" xfId="57248"/>
    <cellStyle name="Note 5 3 4 3" xfId="57249"/>
    <cellStyle name="Note 5 3 4 3 2" xfId="57250"/>
    <cellStyle name="Note 5 3 4 3 2 2" xfId="57251"/>
    <cellStyle name="Note 5 3 4 3 2 3" xfId="57252"/>
    <cellStyle name="Note 5 3 4 3 3" xfId="57253"/>
    <cellStyle name="Note 5 3 4 3 3 2" xfId="57254"/>
    <cellStyle name="Note 5 3 4 3 3 3" xfId="57255"/>
    <cellStyle name="Note 5 3 4 3 4" xfId="57256"/>
    <cellStyle name="Note 5 3 4 3 4 2" xfId="57257"/>
    <cellStyle name="Note 5 3 4 3 5" xfId="57258"/>
    <cellStyle name="Note 5 3 4 3 6" xfId="57259"/>
    <cellStyle name="Note 5 3 4 4" xfId="57260"/>
    <cellStyle name="Note 5 3 4 4 2" xfId="57261"/>
    <cellStyle name="Note 5 3 4 4 2 2" xfId="57262"/>
    <cellStyle name="Note 5 3 4 4 2 3" xfId="57263"/>
    <cellStyle name="Note 5 3 4 4 3" xfId="57264"/>
    <cellStyle name="Note 5 3 4 4 3 2" xfId="57265"/>
    <cellStyle name="Note 5 3 4 4 4" xfId="57266"/>
    <cellStyle name="Note 5 3 4 4 5" xfId="57267"/>
    <cellStyle name="Note 5 3 4 5" xfId="57268"/>
    <cellStyle name="Note 5 3 4 5 2" xfId="57269"/>
    <cellStyle name="Note 5 3 4 5 3" xfId="57270"/>
    <cellStyle name="Note 5 3 4 6" xfId="57271"/>
    <cellStyle name="Note 5 3 4 6 2" xfId="57272"/>
    <cellStyle name="Note 5 3 4 6 3" xfId="57273"/>
    <cellStyle name="Note 5 3 4 7" xfId="57274"/>
    <cellStyle name="Note 5 3 4 7 2" xfId="57275"/>
    <cellStyle name="Note 5 3 4 8" xfId="57276"/>
    <cellStyle name="Note 5 3 4 9" xfId="57277"/>
    <cellStyle name="Note 5 3 5" xfId="57278"/>
    <cellStyle name="Note 5 3 5 2" xfId="57279"/>
    <cellStyle name="Note 5 3 5 2 2" xfId="57280"/>
    <cellStyle name="Note 5 3 5 2 2 2" xfId="57281"/>
    <cellStyle name="Note 5 3 5 2 2 3" xfId="57282"/>
    <cellStyle name="Note 5 3 5 2 3" xfId="57283"/>
    <cellStyle name="Note 5 3 5 2 3 2" xfId="57284"/>
    <cellStyle name="Note 5 3 5 2 3 3" xfId="57285"/>
    <cellStyle name="Note 5 3 5 2 4" xfId="57286"/>
    <cellStyle name="Note 5 3 5 2 4 2" xfId="57287"/>
    <cellStyle name="Note 5 3 5 2 5" xfId="57288"/>
    <cellStyle name="Note 5 3 5 2 6" xfId="57289"/>
    <cellStyle name="Note 5 3 5 3" xfId="57290"/>
    <cellStyle name="Note 5 3 5 3 2" xfId="57291"/>
    <cellStyle name="Note 5 3 5 3 2 2" xfId="57292"/>
    <cellStyle name="Note 5 3 5 3 2 3" xfId="57293"/>
    <cellStyle name="Note 5 3 5 3 3" xfId="57294"/>
    <cellStyle name="Note 5 3 5 3 3 2" xfId="57295"/>
    <cellStyle name="Note 5 3 5 3 3 3" xfId="57296"/>
    <cellStyle name="Note 5 3 5 3 4" xfId="57297"/>
    <cellStyle name="Note 5 3 5 3 4 2" xfId="57298"/>
    <cellStyle name="Note 5 3 5 3 5" xfId="57299"/>
    <cellStyle name="Note 5 3 5 3 6" xfId="57300"/>
    <cellStyle name="Note 5 3 5 4" xfId="57301"/>
    <cellStyle name="Note 5 3 5 4 2" xfId="57302"/>
    <cellStyle name="Note 5 3 5 4 2 2" xfId="57303"/>
    <cellStyle name="Note 5 3 5 4 2 3" xfId="57304"/>
    <cellStyle name="Note 5 3 5 4 3" xfId="57305"/>
    <cellStyle name="Note 5 3 5 4 3 2" xfId="57306"/>
    <cellStyle name="Note 5 3 5 4 4" xfId="57307"/>
    <cellStyle name="Note 5 3 5 4 5" xfId="57308"/>
    <cellStyle name="Note 5 3 5 5" xfId="57309"/>
    <cellStyle name="Note 5 3 5 5 2" xfId="57310"/>
    <cellStyle name="Note 5 3 5 5 3" xfId="57311"/>
    <cellStyle name="Note 5 3 5 6" xfId="57312"/>
    <cellStyle name="Note 5 3 5 6 2" xfId="57313"/>
    <cellStyle name="Note 5 3 5 6 3" xfId="57314"/>
    <cellStyle name="Note 5 3 5 7" xfId="57315"/>
    <cellStyle name="Note 5 3 5 7 2" xfId="57316"/>
    <cellStyle name="Note 5 3 5 8" xfId="57317"/>
    <cellStyle name="Note 5 3 5 9" xfId="57318"/>
    <cellStyle name="Note 5 3 6" xfId="57319"/>
    <cellStyle name="Note 5 3 6 2" xfId="57320"/>
    <cellStyle name="Note 5 3 6 2 2" xfId="57321"/>
    <cellStyle name="Note 5 3 6 2 3" xfId="57322"/>
    <cellStyle name="Note 5 3 6 3" xfId="57323"/>
    <cellStyle name="Note 5 3 6 3 2" xfId="57324"/>
    <cellStyle name="Note 5 3 6 3 3" xfId="57325"/>
    <cellStyle name="Note 5 3 6 4" xfId="57326"/>
    <cellStyle name="Note 5 3 6 4 2" xfId="57327"/>
    <cellStyle name="Note 5 3 6 5" xfId="57328"/>
    <cellStyle name="Note 5 3 6 6" xfId="57329"/>
    <cellStyle name="Note 5 3 7" xfId="57330"/>
    <cellStyle name="Note 5 3 7 2" xfId="57331"/>
    <cellStyle name="Note 5 3 7 2 2" xfId="57332"/>
    <cellStyle name="Note 5 3 7 2 3" xfId="57333"/>
    <cellStyle name="Note 5 3 7 3" xfId="57334"/>
    <cellStyle name="Note 5 3 7 3 2" xfId="57335"/>
    <cellStyle name="Note 5 3 7 3 3" xfId="57336"/>
    <cellStyle name="Note 5 3 7 4" xfId="57337"/>
    <cellStyle name="Note 5 3 7 4 2" xfId="57338"/>
    <cellStyle name="Note 5 3 7 5" xfId="57339"/>
    <cellStyle name="Note 5 3 7 6" xfId="57340"/>
    <cellStyle name="Note 5 3 8" xfId="57341"/>
    <cellStyle name="Note 5 3 8 2" xfId="57342"/>
    <cellStyle name="Note 5 3 8 2 2" xfId="57343"/>
    <cellStyle name="Note 5 3 8 2 3" xfId="57344"/>
    <cellStyle name="Note 5 3 8 3" xfId="57345"/>
    <cellStyle name="Note 5 3 8 3 2" xfId="57346"/>
    <cellStyle name="Note 5 3 8 4" xfId="57347"/>
    <cellStyle name="Note 5 3 8 5" xfId="57348"/>
    <cellStyle name="Note 5 3 9" xfId="57349"/>
    <cellStyle name="Note 5 3 9 2" xfId="57350"/>
    <cellStyle name="Note 5 3 9 3" xfId="57351"/>
    <cellStyle name="Note 5 4" xfId="6138"/>
    <cellStyle name="Note 5 4 10" xfId="57352"/>
    <cellStyle name="Note 5 4 10 2" xfId="57353"/>
    <cellStyle name="Note 5 4 11" xfId="57354"/>
    <cellStyle name="Note 5 4 12" xfId="57355"/>
    <cellStyle name="Note 5 4 2" xfId="6139"/>
    <cellStyle name="Note 5 4 2 10" xfId="57356"/>
    <cellStyle name="Note 5 4 2 2" xfId="57357"/>
    <cellStyle name="Note 5 4 2 2 2" xfId="57358"/>
    <cellStyle name="Note 5 4 2 2 2 2" xfId="57359"/>
    <cellStyle name="Note 5 4 2 2 2 2 2" xfId="57360"/>
    <cellStyle name="Note 5 4 2 2 2 2 3" xfId="57361"/>
    <cellStyle name="Note 5 4 2 2 2 3" xfId="57362"/>
    <cellStyle name="Note 5 4 2 2 2 3 2" xfId="57363"/>
    <cellStyle name="Note 5 4 2 2 2 3 3" xfId="57364"/>
    <cellStyle name="Note 5 4 2 2 2 4" xfId="57365"/>
    <cellStyle name="Note 5 4 2 2 2 4 2" xfId="57366"/>
    <cellStyle name="Note 5 4 2 2 2 5" xfId="57367"/>
    <cellStyle name="Note 5 4 2 2 2 6" xfId="57368"/>
    <cellStyle name="Note 5 4 2 2 3" xfId="57369"/>
    <cellStyle name="Note 5 4 2 2 3 2" xfId="57370"/>
    <cellStyle name="Note 5 4 2 2 3 2 2" xfId="57371"/>
    <cellStyle name="Note 5 4 2 2 3 2 3" xfId="57372"/>
    <cellStyle name="Note 5 4 2 2 3 3" xfId="57373"/>
    <cellStyle name="Note 5 4 2 2 3 3 2" xfId="57374"/>
    <cellStyle name="Note 5 4 2 2 3 3 3" xfId="57375"/>
    <cellStyle name="Note 5 4 2 2 3 4" xfId="57376"/>
    <cellStyle name="Note 5 4 2 2 3 4 2" xfId="57377"/>
    <cellStyle name="Note 5 4 2 2 3 5" xfId="57378"/>
    <cellStyle name="Note 5 4 2 2 3 6" xfId="57379"/>
    <cellStyle name="Note 5 4 2 2 4" xfId="57380"/>
    <cellStyle name="Note 5 4 2 2 4 2" xfId="57381"/>
    <cellStyle name="Note 5 4 2 2 4 2 2" xfId="57382"/>
    <cellStyle name="Note 5 4 2 2 4 2 3" xfId="57383"/>
    <cellStyle name="Note 5 4 2 2 4 3" xfId="57384"/>
    <cellStyle name="Note 5 4 2 2 4 3 2" xfId="57385"/>
    <cellStyle name="Note 5 4 2 2 4 4" xfId="57386"/>
    <cellStyle name="Note 5 4 2 2 4 5" xfId="57387"/>
    <cellStyle name="Note 5 4 2 2 5" xfId="57388"/>
    <cellStyle name="Note 5 4 2 2 5 2" xfId="57389"/>
    <cellStyle name="Note 5 4 2 2 5 3" xfId="57390"/>
    <cellStyle name="Note 5 4 2 2 6" xfId="57391"/>
    <cellStyle name="Note 5 4 2 2 6 2" xfId="57392"/>
    <cellStyle name="Note 5 4 2 2 6 3" xfId="57393"/>
    <cellStyle name="Note 5 4 2 2 7" xfId="57394"/>
    <cellStyle name="Note 5 4 2 2 7 2" xfId="57395"/>
    <cellStyle name="Note 5 4 2 2 8" xfId="57396"/>
    <cellStyle name="Note 5 4 2 2 9" xfId="57397"/>
    <cellStyle name="Note 5 4 2 3" xfId="57398"/>
    <cellStyle name="Note 5 4 2 3 2" xfId="57399"/>
    <cellStyle name="Note 5 4 2 3 2 2" xfId="57400"/>
    <cellStyle name="Note 5 4 2 3 2 3" xfId="57401"/>
    <cellStyle name="Note 5 4 2 3 3" xfId="57402"/>
    <cellStyle name="Note 5 4 2 3 3 2" xfId="57403"/>
    <cellStyle name="Note 5 4 2 3 3 3" xfId="57404"/>
    <cellStyle name="Note 5 4 2 3 4" xfId="57405"/>
    <cellStyle name="Note 5 4 2 3 4 2" xfId="57406"/>
    <cellStyle name="Note 5 4 2 3 5" xfId="57407"/>
    <cellStyle name="Note 5 4 2 3 6" xfId="57408"/>
    <cellStyle name="Note 5 4 2 4" xfId="57409"/>
    <cellStyle name="Note 5 4 2 4 2" xfId="57410"/>
    <cellStyle name="Note 5 4 2 4 2 2" xfId="57411"/>
    <cellStyle name="Note 5 4 2 4 2 3" xfId="57412"/>
    <cellStyle name="Note 5 4 2 4 3" xfId="57413"/>
    <cellStyle name="Note 5 4 2 4 3 2" xfId="57414"/>
    <cellStyle name="Note 5 4 2 4 3 3" xfId="57415"/>
    <cellStyle name="Note 5 4 2 4 4" xfId="57416"/>
    <cellStyle name="Note 5 4 2 4 4 2" xfId="57417"/>
    <cellStyle name="Note 5 4 2 4 5" xfId="57418"/>
    <cellStyle name="Note 5 4 2 4 6" xfId="57419"/>
    <cellStyle name="Note 5 4 2 5" xfId="57420"/>
    <cellStyle name="Note 5 4 2 5 2" xfId="57421"/>
    <cellStyle name="Note 5 4 2 5 2 2" xfId="57422"/>
    <cellStyle name="Note 5 4 2 5 2 3" xfId="57423"/>
    <cellStyle name="Note 5 4 2 5 3" xfId="57424"/>
    <cellStyle name="Note 5 4 2 5 3 2" xfId="57425"/>
    <cellStyle name="Note 5 4 2 5 4" xfId="57426"/>
    <cellStyle name="Note 5 4 2 5 5" xfId="57427"/>
    <cellStyle name="Note 5 4 2 6" xfId="57428"/>
    <cellStyle name="Note 5 4 2 6 2" xfId="57429"/>
    <cellStyle name="Note 5 4 2 6 3" xfId="57430"/>
    <cellStyle name="Note 5 4 2 7" xfId="57431"/>
    <cellStyle name="Note 5 4 2 7 2" xfId="57432"/>
    <cellStyle name="Note 5 4 2 7 3" xfId="57433"/>
    <cellStyle name="Note 5 4 2 8" xfId="57434"/>
    <cellStyle name="Note 5 4 2 8 2" xfId="57435"/>
    <cellStyle name="Note 5 4 2 9" xfId="57436"/>
    <cellStyle name="Note 5 4 3" xfId="9334"/>
    <cellStyle name="Note 5 4 3 2" xfId="57437"/>
    <cellStyle name="Note 5 4 3 2 2" xfId="57438"/>
    <cellStyle name="Note 5 4 3 2 2 2" xfId="57439"/>
    <cellStyle name="Note 5 4 3 2 2 3" xfId="57440"/>
    <cellStyle name="Note 5 4 3 2 3" xfId="57441"/>
    <cellStyle name="Note 5 4 3 2 3 2" xfId="57442"/>
    <cellStyle name="Note 5 4 3 2 3 3" xfId="57443"/>
    <cellStyle name="Note 5 4 3 2 4" xfId="57444"/>
    <cellStyle name="Note 5 4 3 2 4 2" xfId="57445"/>
    <cellStyle name="Note 5 4 3 2 5" xfId="57446"/>
    <cellStyle name="Note 5 4 3 2 6" xfId="57447"/>
    <cellStyle name="Note 5 4 3 3" xfId="57448"/>
    <cellStyle name="Note 5 4 3 3 2" xfId="57449"/>
    <cellStyle name="Note 5 4 3 3 2 2" xfId="57450"/>
    <cellStyle name="Note 5 4 3 3 2 3" xfId="57451"/>
    <cellStyle name="Note 5 4 3 3 3" xfId="57452"/>
    <cellStyle name="Note 5 4 3 3 3 2" xfId="57453"/>
    <cellStyle name="Note 5 4 3 3 3 3" xfId="57454"/>
    <cellStyle name="Note 5 4 3 3 4" xfId="57455"/>
    <cellStyle name="Note 5 4 3 3 4 2" xfId="57456"/>
    <cellStyle name="Note 5 4 3 3 5" xfId="57457"/>
    <cellStyle name="Note 5 4 3 3 6" xfId="57458"/>
    <cellStyle name="Note 5 4 3 4" xfId="57459"/>
    <cellStyle name="Note 5 4 3 4 2" xfId="57460"/>
    <cellStyle name="Note 5 4 3 4 2 2" xfId="57461"/>
    <cellStyle name="Note 5 4 3 4 2 3" xfId="57462"/>
    <cellStyle name="Note 5 4 3 4 3" xfId="57463"/>
    <cellStyle name="Note 5 4 3 4 3 2" xfId="57464"/>
    <cellStyle name="Note 5 4 3 4 4" xfId="57465"/>
    <cellStyle name="Note 5 4 3 4 5" xfId="57466"/>
    <cellStyle name="Note 5 4 3 5" xfId="57467"/>
    <cellStyle name="Note 5 4 3 5 2" xfId="57468"/>
    <cellStyle name="Note 5 4 3 5 3" xfId="57469"/>
    <cellStyle name="Note 5 4 3 6" xfId="57470"/>
    <cellStyle name="Note 5 4 3 6 2" xfId="57471"/>
    <cellStyle name="Note 5 4 3 6 3" xfId="57472"/>
    <cellStyle name="Note 5 4 3 7" xfId="57473"/>
    <cellStyle name="Note 5 4 3 7 2" xfId="57474"/>
    <cellStyle name="Note 5 4 3 8" xfId="57475"/>
    <cellStyle name="Note 5 4 3 9" xfId="57476"/>
    <cellStyle name="Note 5 4 4" xfId="57477"/>
    <cellStyle name="Note 5 4 4 2" xfId="57478"/>
    <cellStyle name="Note 5 4 4 2 2" xfId="57479"/>
    <cellStyle name="Note 5 4 4 2 2 2" xfId="57480"/>
    <cellStyle name="Note 5 4 4 2 2 3" xfId="57481"/>
    <cellStyle name="Note 5 4 4 2 3" xfId="57482"/>
    <cellStyle name="Note 5 4 4 2 3 2" xfId="57483"/>
    <cellStyle name="Note 5 4 4 2 3 3" xfId="57484"/>
    <cellStyle name="Note 5 4 4 2 4" xfId="57485"/>
    <cellStyle name="Note 5 4 4 2 4 2" xfId="57486"/>
    <cellStyle name="Note 5 4 4 2 5" xfId="57487"/>
    <cellStyle name="Note 5 4 4 2 6" xfId="57488"/>
    <cellStyle name="Note 5 4 4 3" xfId="57489"/>
    <cellStyle name="Note 5 4 4 3 2" xfId="57490"/>
    <cellStyle name="Note 5 4 4 3 2 2" xfId="57491"/>
    <cellStyle name="Note 5 4 4 3 2 3" xfId="57492"/>
    <cellStyle name="Note 5 4 4 3 3" xfId="57493"/>
    <cellStyle name="Note 5 4 4 3 3 2" xfId="57494"/>
    <cellStyle name="Note 5 4 4 3 3 3" xfId="57495"/>
    <cellStyle name="Note 5 4 4 3 4" xfId="57496"/>
    <cellStyle name="Note 5 4 4 3 4 2" xfId="57497"/>
    <cellStyle name="Note 5 4 4 3 5" xfId="57498"/>
    <cellStyle name="Note 5 4 4 3 6" xfId="57499"/>
    <cellStyle name="Note 5 4 4 4" xfId="57500"/>
    <cellStyle name="Note 5 4 4 4 2" xfId="57501"/>
    <cellStyle name="Note 5 4 4 4 2 2" xfId="57502"/>
    <cellStyle name="Note 5 4 4 4 2 3" xfId="57503"/>
    <cellStyle name="Note 5 4 4 4 3" xfId="57504"/>
    <cellStyle name="Note 5 4 4 4 3 2" xfId="57505"/>
    <cellStyle name="Note 5 4 4 4 4" xfId="57506"/>
    <cellStyle name="Note 5 4 4 4 5" xfId="57507"/>
    <cellStyle name="Note 5 4 4 5" xfId="57508"/>
    <cellStyle name="Note 5 4 4 5 2" xfId="57509"/>
    <cellStyle name="Note 5 4 4 5 3" xfId="57510"/>
    <cellStyle name="Note 5 4 4 6" xfId="57511"/>
    <cellStyle name="Note 5 4 4 6 2" xfId="57512"/>
    <cellStyle name="Note 5 4 4 6 3" xfId="57513"/>
    <cellStyle name="Note 5 4 4 7" xfId="57514"/>
    <cellStyle name="Note 5 4 4 7 2" xfId="57515"/>
    <cellStyle name="Note 5 4 4 8" xfId="57516"/>
    <cellStyle name="Note 5 4 4 9" xfId="57517"/>
    <cellStyle name="Note 5 4 5" xfId="57518"/>
    <cellStyle name="Note 5 4 5 2" xfId="57519"/>
    <cellStyle name="Note 5 4 5 2 2" xfId="57520"/>
    <cellStyle name="Note 5 4 5 2 3" xfId="57521"/>
    <cellStyle name="Note 5 4 5 3" xfId="57522"/>
    <cellStyle name="Note 5 4 5 3 2" xfId="57523"/>
    <cellStyle name="Note 5 4 5 3 3" xfId="57524"/>
    <cellStyle name="Note 5 4 5 4" xfId="57525"/>
    <cellStyle name="Note 5 4 5 4 2" xfId="57526"/>
    <cellStyle name="Note 5 4 5 5" xfId="57527"/>
    <cellStyle name="Note 5 4 5 6" xfId="57528"/>
    <cellStyle name="Note 5 4 6" xfId="57529"/>
    <cellStyle name="Note 5 4 6 2" xfId="57530"/>
    <cellStyle name="Note 5 4 6 2 2" xfId="57531"/>
    <cellStyle name="Note 5 4 6 2 3" xfId="57532"/>
    <cellStyle name="Note 5 4 6 3" xfId="57533"/>
    <cellStyle name="Note 5 4 6 3 2" xfId="57534"/>
    <cellStyle name="Note 5 4 6 3 3" xfId="57535"/>
    <cellStyle name="Note 5 4 6 4" xfId="57536"/>
    <cellStyle name="Note 5 4 6 4 2" xfId="57537"/>
    <cellStyle name="Note 5 4 6 5" xfId="57538"/>
    <cellStyle name="Note 5 4 6 6" xfId="57539"/>
    <cellStyle name="Note 5 4 7" xfId="57540"/>
    <cellStyle name="Note 5 4 7 2" xfId="57541"/>
    <cellStyle name="Note 5 4 7 2 2" xfId="57542"/>
    <cellStyle name="Note 5 4 7 2 3" xfId="57543"/>
    <cellStyle name="Note 5 4 7 3" xfId="57544"/>
    <cellStyle name="Note 5 4 7 3 2" xfId="57545"/>
    <cellStyle name="Note 5 4 7 4" xfId="57546"/>
    <cellStyle name="Note 5 4 7 5" xfId="57547"/>
    <cellStyle name="Note 5 4 8" xfId="57548"/>
    <cellStyle name="Note 5 4 8 2" xfId="57549"/>
    <cellStyle name="Note 5 4 8 3" xfId="57550"/>
    <cellStyle name="Note 5 4 9" xfId="57551"/>
    <cellStyle name="Note 5 4 9 2" xfId="57552"/>
    <cellStyle name="Note 5 4 9 3" xfId="57553"/>
    <cellStyle name="Note 5 5" xfId="6140"/>
    <cellStyle name="Note 5 5 10" xfId="57554"/>
    <cellStyle name="Note 5 5 2" xfId="57555"/>
    <cellStyle name="Note 5 5 2 2" xfId="57556"/>
    <cellStyle name="Note 5 5 2 2 2" xfId="57557"/>
    <cellStyle name="Note 5 5 2 2 2 2" xfId="57558"/>
    <cellStyle name="Note 5 5 2 2 2 3" xfId="57559"/>
    <cellStyle name="Note 5 5 2 2 3" xfId="57560"/>
    <cellStyle name="Note 5 5 2 2 3 2" xfId="57561"/>
    <cellStyle name="Note 5 5 2 2 3 3" xfId="57562"/>
    <cellStyle name="Note 5 5 2 2 4" xfId="57563"/>
    <cellStyle name="Note 5 5 2 2 4 2" xfId="57564"/>
    <cellStyle name="Note 5 5 2 2 5" xfId="57565"/>
    <cellStyle name="Note 5 5 2 2 6" xfId="57566"/>
    <cellStyle name="Note 5 5 2 3" xfId="57567"/>
    <cellStyle name="Note 5 5 2 3 2" xfId="57568"/>
    <cellStyle name="Note 5 5 2 3 2 2" xfId="57569"/>
    <cellStyle name="Note 5 5 2 3 2 3" xfId="57570"/>
    <cellStyle name="Note 5 5 2 3 3" xfId="57571"/>
    <cellStyle name="Note 5 5 2 3 3 2" xfId="57572"/>
    <cellStyle name="Note 5 5 2 3 3 3" xfId="57573"/>
    <cellStyle name="Note 5 5 2 3 4" xfId="57574"/>
    <cellStyle name="Note 5 5 2 3 4 2" xfId="57575"/>
    <cellStyle name="Note 5 5 2 3 5" xfId="57576"/>
    <cellStyle name="Note 5 5 2 3 6" xfId="57577"/>
    <cellStyle name="Note 5 5 2 4" xfId="57578"/>
    <cellStyle name="Note 5 5 2 4 2" xfId="57579"/>
    <cellStyle name="Note 5 5 2 4 2 2" xfId="57580"/>
    <cellStyle name="Note 5 5 2 4 2 3" xfId="57581"/>
    <cellStyle name="Note 5 5 2 4 3" xfId="57582"/>
    <cellStyle name="Note 5 5 2 4 3 2" xfId="57583"/>
    <cellStyle name="Note 5 5 2 4 4" xfId="57584"/>
    <cellStyle name="Note 5 5 2 4 5" xfId="57585"/>
    <cellStyle name="Note 5 5 2 5" xfId="57586"/>
    <cellStyle name="Note 5 5 2 5 2" xfId="57587"/>
    <cellStyle name="Note 5 5 2 5 3" xfId="57588"/>
    <cellStyle name="Note 5 5 2 6" xfId="57589"/>
    <cellStyle name="Note 5 5 2 6 2" xfId="57590"/>
    <cellStyle name="Note 5 5 2 6 3" xfId="57591"/>
    <cellStyle name="Note 5 5 2 7" xfId="57592"/>
    <cellStyle name="Note 5 5 2 7 2" xfId="57593"/>
    <cellStyle name="Note 5 5 2 8" xfId="57594"/>
    <cellStyle name="Note 5 5 2 9" xfId="57595"/>
    <cellStyle name="Note 5 5 3" xfId="57596"/>
    <cellStyle name="Note 5 5 3 2" xfId="57597"/>
    <cellStyle name="Note 5 5 3 2 2" xfId="57598"/>
    <cellStyle name="Note 5 5 3 2 3" xfId="57599"/>
    <cellStyle name="Note 5 5 3 3" xfId="57600"/>
    <cellStyle name="Note 5 5 3 3 2" xfId="57601"/>
    <cellStyle name="Note 5 5 3 3 3" xfId="57602"/>
    <cellStyle name="Note 5 5 3 4" xfId="57603"/>
    <cellStyle name="Note 5 5 3 4 2" xfId="57604"/>
    <cellStyle name="Note 5 5 3 5" xfId="57605"/>
    <cellStyle name="Note 5 5 3 6" xfId="57606"/>
    <cellStyle name="Note 5 5 4" xfId="57607"/>
    <cellStyle name="Note 5 5 4 2" xfId="57608"/>
    <cellStyle name="Note 5 5 4 2 2" xfId="57609"/>
    <cellStyle name="Note 5 5 4 2 3" xfId="57610"/>
    <cellStyle name="Note 5 5 4 3" xfId="57611"/>
    <cellStyle name="Note 5 5 4 3 2" xfId="57612"/>
    <cellStyle name="Note 5 5 4 3 3" xfId="57613"/>
    <cellStyle name="Note 5 5 4 4" xfId="57614"/>
    <cellStyle name="Note 5 5 4 4 2" xfId="57615"/>
    <cellStyle name="Note 5 5 4 5" xfId="57616"/>
    <cellStyle name="Note 5 5 4 6" xfId="57617"/>
    <cellStyle name="Note 5 5 5" xfId="57618"/>
    <cellStyle name="Note 5 5 5 2" xfId="57619"/>
    <cellStyle name="Note 5 5 5 2 2" xfId="57620"/>
    <cellStyle name="Note 5 5 5 2 3" xfId="57621"/>
    <cellStyle name="Note 5 5 5 3" xfId="57622"/>
    <cellStyle name="Note 5 5 5 3 2" xfId="57623"/>
    <cellStyle name="Note 5 5 5 4" xfId="57624"/>
    <cellStyle name="Note 5 5 5 5" xfId="57625"/>
    <cellStyle name="Note 5 5 6" xfId="57626"/>
    <cellStyle name="Note 5 5 6 2" xfId="57627"/>
    <cellStyle name="Note 5 5 6 3" xfId="57628"/>
    <cellStyle name="Note 5 5 7" xfId="57629"/>
    <cellStyle name="Note 5 5 7 2" xfId="57630"/>
    <cellStyle name="Note 5 5 7 3" xfId="57631"/>
    <cellStyle name="Note 5 5 8" xfId="57632"/>
    <cellStyle name="Note 5 5 8 2" xfId="57633"/>
    <cellStyle name="Note 5 5 9" xfId="57634"/>
    <cellStyle name="Note 5 6" xfId="6141"/>
    <cellStyle name="Note 5 6 2" xfId="57635"/>
    <cellStyle name="Note 5 6 2 2" xfId="57636"/>
    <cellStyle name="Note 5 6 2 2 2" xfId="57637"/>
    <cellStyle name="Note 5 6 2 2 3" xfId="57638"/>
    <cellStyle name="Note 5 6 2 3" xfId="57639"/>
    <cellStyle name="Note 5 6 2 3 2" xfId="57640"/>
    <cellStyle name="Note 5 6 2 3 3" xfId="57641"/>
    <cellStyle name="Note 5 6 2 4" xfId="57642"/>
    <cellStyle name="Note 5 6 2 4 2" xfId="57643"/>
    <cellStyle name="Note 5 6 2 5" xfId="57644"/>
    <cellStyle name="Note 5 6 2 6" xfId="57645"/>
    <cellStyle name="Note 5 6 3" xfId="57646"/>
    <cellStyle name="Note 5 6 3 2" xfId="57647"/>
    <cellStyle name="Note 5 6 3 2 2" xfId="57648"/>
    <cellStyle name="Note 5 6 3 2 3" xfId="57649"/>
    <cellStyle name="Note 5 6 3 3" xfId="57650"/>
    <cellStyle name="Note 5 6 3 3 2" xfId="57651"/>
    <cellStyle name="Note 5 6 3 3 3" xfId="57652"/>
    <cellStyle name="Note 5 6 3 4" xfId="57653"/>
    <cellStyle name="Note 5 6 3 4 2" xfId="57654"/>
    <cellStyle name="Note 5 6 3 5" xfId="57655"/>
    <cellStyle name="Note 5 6 3 6" xfId="57656"/>
    <cellStyle name="Note 5 6 4" xfId="57657"/>
    <cellStyle name="Note 5 6 4 2" xfId="57658"/>
    <cellStyle name="Note 5 6 4 2 2" xfId="57659"/>
    <cellStyle name="Note 5 6 4 2 3" xfId="57660"/>
    <cellStyle name="Note 5 6 4 3" xfId="57661"/>
    <cellStyle name="Note 5 6 4 3 2" xfId="57662"/>
    <cellStyle name="Note 5 6 4 4" xfId="57663"/>
    <cellStyle name="Note 5 6 4 5" xfId="57664"/>
    <cellStyle name="Note 5 6 5" xfId="57665"/>
    <cellStyle name="Note 5 6 5 2" xfId="57666"/>
    <cellStyle name="Note 5 6 5 3" xfId="57667"/>
    <cellStyle name="Note 5 6 6" xfId="57668"/>
    <cellStyle name="Note 5 6 6 2" xfId="57669"/>
    <cellStyle name="Note 5 6 6 3" xfId="57670"/>
    <cellStyle name="Note 5 6 7" xfId="57671"/>
    <cellStyle name="Note 5 6 7 2" xfId="57672"/>
    <cellStyle name="Note 5 6 8" xfId="57673"/>
    <cellStyle name="Note 5 6 9" xfId="57674"/>
    <cellStyle name="Note 5 7" xfId="6142"/>
    <cellStyle name="Note 5 7 2" xfId="57675"/>
    <cellStyle name="Note 5 7 2 2" xfId="57676"/>
    <cellStyle name="Note 5 7 2 2 2" xfId="57677"/>
    <cellStyle name="Note 5 7 2 2 3" xfId="57678"/>
    <cellStyle name="Note 5 7 2 3" xfId="57679"/>
    <cellStyle name="Note 5 7 2 3 2" xfId="57680"/>
    <cellStyle name="Note 5 7 2 3 3" xfId="57681"/>
    <cellStyle name="Note 5 7 2 4" xfId="57682"/>
    <cellStyle name="Note 5 7 2 4 2" xfId="57683"/>
    <cellStyle name="Note 5 7 2 5" xfId="57684"/>
    <cellStyle name="Note 5 7 2 6" xfId="57685"/>
    <cellStyle name="Note 5 7 3" xfId="57686"/>
    <cellStyle name="Note 5 7 3 2" xfId="57687"/>
    <cellStyle name="Note 5 7 3 2 2" xfId="57688"/>
    <cellStyle name="Note 5 7 3 2 3" xfId="57689"/>
    <cellStyle name="Note 5 7 3 3" xfId="57690"/>
    <cellStyle name="Note 5 7 3 3 2" xfId="57691"/>
    <cellStyle name="Note 5 7 3 3 3" xfId="57692"/>
    <cellStyle name="Note 5 7 3 4" xfId="57693"/>
    <cellStyle name="Note 5 7 3 4 2" xfId="57694"/>
    <cellStyle name="Note 5 7 3 5" xfId="57695"/>
    <cellStyle name="Note 5 7 3 6" xfId="57696"/>
    <cellStyle name="Note 5 7 4" xfId="57697"/>
    <cellStyle name="Note 5 7 4 2" xfId="57698"/>
    <cellStyle name="Note 5 7 4 2 2" xfId="57699"/>
    <cellStyle name="Note 5 7 4 2 3" xfId="57700"/>
    <cellStyle name="Note 5 7 4 3" xfId="57701"/>
    <cellStyle name="Note 5 7 4 3 2" xfId="57702"/>
    <cellStyle name="Note 5 7 4 4" xfId="57703"/>
    <cellStyle name="Note 5 7 4 5" xfId="57704"/>
    <cellStyle name="Note 5 7 5" xfId="57705"/>
    <cellStyle name="Note 5 7 5 2" xfId="57706"/>
    <cellStyle name="Note 5 7 5 3" xfId="57707"/>
    <cellStyle name="Note 5 7 6" xfId="57708"/>
    <cellStyle name="Note 5 7 6 2" xfId="57709"/>
    <cellStyle name="Note 5 7 6 3" xfId="57710"/>
    <cellStyle name="Note 5 7 7" xfId="57711"/>
    <cellStyle name="Note 5 7 7 2" xfId="57712"/>
    <cellStyle name="Note 5 7 8" xfId="57713"/>
    <cellStyle name="Note 5 7 9" xfId="57714"/>
    <cellStyle name="Note 5 8" xfId="6143"/>
    <cellStyle name="Note 5 8 2" xfId="57715"/>
    <cellStyle name="Note 5 8 2 2" xfId="57716"/>
    <cellStyle name="Note 5 8 2 3" xfId="57717"/>
    <cellStyle name="Note 5 8 3" xfId="57718"/>
    <cellStyle name="Note 5 8 3 2" xfId="57719"/>
    <cellStyle name="Note 5 8 3 3" xfId="57720"/>
    <cellStyle name="Note 5 8 4" xfId="57721"/>
    <cellStyle name="Note 5 8 4 2" xfId="57722"/>
    <cellStyle name="Note 5 8 5" xfId="57723"/>
    <cellStyle name="Note 5 8 6" xfId="57724"/>
    <cellStyle name="Note 5 9" xfId="6144"/>
    <cellStyle name="Note 5 9 2" xfId="57725"/>
    <cellStyle name="Note 5 9 2 2" xfId="57726"/>
    <cellStyle name="Note 5 9 2 3" xfId="57727"/>
    <cellStyle name="Note 5 9 3" xfId="57728"/>
    <cellStyle name="Note 5 9 3 2" xfId="57729"/>
    <cellStyle name="Note 5 9 3 3" xfId="57730"/>
    <cellStyle name="Note 5 9 4" xfId="57731"/>
    <cellStyle name="Note 5 9 4 2" xfId="57732"/>
    <cellStyle name="Note 5 9 5" xfId="57733"/>
    <cellStyle name="Note 5 9 6" xfId="57734"/>
    <cellStyle name="Note 6" xfId="6145"/>
    <cellStyle name="Note 6 10" xfId="6146"/>
    <cellStyle name="Note 6 10 2" xfId="60465"/>
    <cellStyle name="Note 6 11" xfId="6147"/>
    <cellStyle name="Note 6 12" xfId="6148"/>
    <cellStyle name="Note 6 13" xfId="9335"/>
    <cellStyle name="Note 6 2" xfId="6149"/>
    <cellStyle name="Note 6 2 10" xfId="6150"/>
    <cellStyle name="Note 6 2 11" xfId="6151"/>
    <cellStyle name="Note 6 2 12" xfId="9336"/>
    <cellStyle name="Note 6 2 2" xfId="6152"/>
    <cellStyle name="Note 6 2 2 2" xfId="6153"/>
    <cellStyle name="Note 6 2 2 3" xfId="6154"/>
    <cellStyle name="Note 6 2 3" xfId="6155"/>
    <cellStyle name="Note 6 2 3 2" xfId="6156"/>
    <cellStyle name="Note 6 2 4" xfId="6157"/>
    <cellStyle name="Note 6 2 4 2" xfId="60466"/>
    <cellStyle name="Note 6 2 5" xfId="6158"/>
    <cellStyle name="Note 6 2 5 2" xfId="60467"/>
    <cellStyle name="Note 6 2 6" xfId="6159"/>
    <cellStyle name="Note 6 2 6 2" xfId="60468"/>
    <cellStyle name="Note 6 2 7" xfId="6160"/>
    <cellStyle name="Note 6 2 7 2" xfId="60469"/>
    <cellStyle name="Note 6 2 8" xfId="6161"/>
    <cellStyle name="Note 6 2 8 2" xfId="60470"/>
    <cellStyle name="Note 6 2 9" xfId="6162"/>
    <cellStyle name="Note 6 2 9 2" xfId="60471"/>
    <cellStyle name="Note 6 3" xfId="6163"/>
    <cellStyle name="Note 6 3 2" xfId="6164"/>
    <cellStyle name="Note 6 3 3" xfId="6165"/>
    <cellStyle name="Note 6 3 4" xfId="60472"/>
    <cellStyle name="Note 6 4" xfId="6166"/>
    <cellStyle name="Note 6 4 2" xfId="6167"/>
    <cellStyle name="Note 6 5" xfId="6168"/>
    <cellStyle name="Note 6 5 2" xfId="60473"/>
    <cellStyle name="Note 6 6" xfId="6169"/>
    <cellStyle name="Note 6 6 2" xfId="60474"/>
    <cellStyle name="Note 6 7" xfId="6170"/>
    <cellStyle name="Note 6 7 2" xfId="60475"/>
    <cellStyle name="Note 6 8" xfId="6171"/>
    <cellStyle name="Note 6 8 2" xfId="60476"/>
    <cellStyle name="Note 6 9" xfId="6172"/>
    <cellStyle name="Note 6 9 2" xfId="60477"/>
    <cellStyle name="Note 7" xfId="6173"/>
    <cellStyle name="Note 7 10" xfId="6174"/>
    <cellStyle name="Note 7 10 2" xfId="60478"/>
    <cellStyle name="Note 7 11" xfId="6175"/>
    <cellStyle name="Note 7 12" xfId="6176"/>
    <cellStyle name="Note 7 13" xfId="9337"/>
    <cellStyle name="Note 7 2" xfId="6177"/>
    <cellStyle name="Note 7 2 10" xfId="6178"/>
    <cellStyle name="Note 7 2 11" xfId="6179"/>
    <cellStyle name="Note 7 2 12" xfId="60479"/>
    <cellStyle name="Note 7 2 2" xfId="6180"/>
    <cellStyle name="Note 7 2 2 2" xfId="6181"/>
    <cellStyle name="Note 7 2 3" xfId="6182"/>
    <cellStyle name="Note 7 2 3 2" xfId="60480"/>
    <cellStyle name="Note 7 2 4" xfId="6183"/>
    <cellStyle name="Note 7 2 4 2" xfId="60481"/>
    <cellStyle name="Note 7 2 5" xfId="6184"/>
    <cellStyle name="Note 7 2 5 2" xfId="60482"/>
    <cellStyle name="Note 7 2 6" xfId="6185"/>
    <cellStyle name="Note 7 2 6 2" xfId="60483"/>
    <cellStyle name="Note 7 2 7" xfId="6186"/>
    <cellStyle name="Note 7 2 7 2" xfId="60484"/>
    <cellStyle name="Note 7 2 8" xfId="6187"/>
    <cellStyle name="Note 7 2 8 2" xfId="60485"/>
    <cellStyle name="Note 7 2 9" xfId="6188"/>
    <cellStyle name="Note 7 2 9 2" xfId="60486"/>
    <cellStyle name="Note 7 3" xfId="6189"/>
    <cellStyle name="Note 7 3 2" xfId="6190"/>
    <cellStyle name="Note 7 3 3" xfId="60487"/>
    <cellStyle name="Note 7 4" xfId="6191"/>
    <cellStyle name="Note 7 4 2" xfId="60488"/>
    <cellStyle name="Note 7 5" xfId="6192"/>
    <cellStyle name="Note 7 5 2" xfId="60489"/>
    <cellStyle name="Note 7 6" xfId="6193"/>
    <cellStyle name="Note 7 6 2" xfId="60490"/>
    <cellStyle name="Note 7 7" xfId="6194"/>
    <cellStyle name="Note 7 7 2" xfId="60491"/>
    <cellStyle name="Note 7 8" xfId="6195"/>
    <cellStyle name="Note 7 8 2" xfId="60492"/>
    <cellStyle name="Note 7 9" xfId="6196"/>
    <cellStyle name="Note 7 9 2" xfId="60493"/>
    <cellStyle name="Note 8" xfId="6197"/>
    <cellStyle name="Note 8 10" xfId="6198"/>
    <cellStyle name="Note 8 10 2" xfId="60494"/>
    <cellStyle name="Note 8 11" xfId="6199"/>
    <cellStyle name="Note 8 12" xfId="6200"/>
    <cellStyle name="Note 8 13" xfId="9338"/>
    <cellStyle name="Note 8 2" xfId="6201"/>
    <cellStyle name="Note 8 2 10" xfId="6202"/>
    <cellStyle name="Note 8 2 11" xfId="6203"/>
    <cellStyle name="Note 8 2 12" xfId="60495"/>
    <cellStyle name="Note 8 2 2" xfId="6204"/>
    <cellStyle name="Note 8 2 2 2" xfId="6205"/>
    <cellStyle name="Note 8 2 3" xfId="6206"/>
    <cellStyle name="Note 8 2 3 2" xfId="60496"/>
    <cellStyle name="Note 8 2 4" xfId="6207"/>
    <cellStyle name="Note 8 2 4 2" xfId="60497"/>
    <cellStyle name="Note 8 2 5" xfId="6208"/>
    <cellStyle name="Note 8 2 5 2" xfId="60498"/>
    <cellStyle name="Note 8 2 6" xfId="6209"/>
    <cellStyle name="Note 8 2 6 2" xfId="60499"/>
    <cellStyle name="Note 8 2 7" xfId="6210"/>
    <cellStyle name="Note 8 2 7 2" xfId="60500"/>
    <cellStyle name="Note 8 2 8" xfId="6211"/>
    <cellStyle name="Note 8 2 8 2" xfId="60501"/>
    <cellStyle name="Note 8 2 9" xfId="6212"/>
    <cellStyle name="Note 8 2 9 2" xfId="60502"/>
    <cellStyle name="Note 8 3" xfId="6213"/>
    <cellStyle name="Note 8 3 2" xfId="6214"/>
    <cellStyle name="Note 8 3 3" xfId="60503"/>
    <cellStyle name="Note 8 4" xfId="6215"/>
    <cellStyle name="Note 8 4 2" xfId="60504"/>
    <cellStyle name="Note 8 5" xfId="6216"/>
    <cellStyle name="Note 8 5 2" xfId="60505"/>
    <cellStyle name="Note 8 6" xfId="6217"/>
    <cellStyle name="Note 8 6 2" xfId="60506"/>
    <cellStyle name="Note 8 7" xfId="6218"/>
    <cellStyle name="Note 8 7 2" xfId="60507"/>
    <cellStyle name="Note 8 8" xfId="6219"/>
    <cellStyle name="Note 8 8 2" xfId="60508"/>
    <cellStyle name="Note 8 9" xfId="6220"/>
    <cellStyle name="Note 8 9 2" xfId="60509"/>
    <cellStyle name="Note 9" xfId="6221"/>
    <cellStyle name="Note 9 10" xfId="6222"/>
    <cellStyle name="Note 9 10 2" xfId="60510"/>
    <cellStyle name="Note 9 11" xfId="6223"/>
    <cellStyle name="Note 9 12" xfId="6224"/>
    <cellStyle name="Note 9 13" xfId="60511"/>
    <cellStyle name="Note 9 2" xfId="6225"/>
    <cellStyle name="Note 9 2 10" xfId="6226"/>
    <cellStyle name="Note 9 2 11" xfId="6227"/>
    <cellStyle name="Note 9 2 2" xfId="6228"/>
    <cellStyle name="Note 9 2 2 2" xfId="6229"/>
    <cellStyle name="Note 9 2 3" xfId="6230"/>
    <cellStyle name="Note 9 2 3 2" xfId="60512"/>
    <cellStyle name="Note 9 2 4" xfId="6231"/>
    <cellStyle name="Note 9 2 4 2" xfId="60513"/>
    <cellStyle name="Note 9 2 5" xfId="6232"/>
    <cellStyle name="Note 9 2 5 2" xfId="60514"/>
    <cellStyle name="Note 9 2 6" xfId="6233"/>
    <cellStyle name="Note 9 2 6 2" xfId="60515"/>
    <cellStyle name="Note 9 2 7" xfId="6234"/>
    <cellStyle name="Note 9 2 7 2" xfId="60516"/>
    <cellStyle name="Note 9 2 8" xfId="6235"/>
    <cellStyle name="Note 9 2 8 2" xfId="60517"/>
    <cellStyle name="Note 9 2 9" xfId="6236"/>
    <cellStyle name="Note 9 2 9 2" xfId="60518"/>
    <cellStyle name="Note 9 3" xfId="6237"/>
    <cellStyle name="Note 9 3 2" xfId="6238"/>
    <cellStyle name="Note 9 4" xfId="6239"/>
    <cellStyle name="Note 9 4 2" xfId="60519"/>
    <cellStyle name="Note 9 5" xfId="6240"/>
    <cellStyle name="Note 9 5 2" xfId="60520"/>
    <cellStyle name="Note 9 6" xfId="6241"/>
    <cellStyle name="Note 9 6 2" xfId="60521"/>
    <cellStyle name="Note 9 7" xfId="6242"/>
    <cellStyle name="Note 9 7 2" xfId="60522"/>
    <cellStyle name="Note 9 8" xfId="6243"/>
    <cellStyle name="Note 9 8 2" xfId="60523"/>
    <cellStyle name="Note 9 9" xfId="6244"/>
    <cellStyle name="Note 9 9 2" xfId="60524"/>
    <cellStyle name="Output 10" xfId="9890"/>
    <cellStyle name="Output 11" xfId="9891"/>
    <cellStyle name="Output 12" xfId="9892"/>
    <cellStyle name="Output 13" xfId="9893"/>
    <cellStyle name="Output 14" xfId="9894"/>
    <cellStyle name="Output 15" xfId="9895"/>
    <cellStyle name="Output 16" xfId="9896"/>
    <cellStyle name="Output 17" xfId="9897"/>
    <cellStyle name="Output 17 2" xfId="60525"/>
    <cellStyle name="Output 2" xfId="6245"/>
    <cellStyle name="Output 2 2" xfId="6246"/>
    <cellStyle name="Output 2 2 2" xfId="6247"/>
    <cellStyle name="Output 2 2 3" xfId="60526"/>
    <cellStyle name="Output 2 3" xfId="6248"/>
    <cellStyle name="Output 2 3 2" xfId="60527"/>
    <cellStyle name="Output 2 4" xfId="6249"/>
    <cellStyle name="Output 2 4 2" xfId="60528"/>
    <cellStyle name="Output 2 5" xfId="6250"/>
    <cellStyle name="Output 2 5 2" xfId="60529"/>
    <cellStyle name="Output 2 6" xfId="6251"/>
    <cellStyle name="Output 2 6 2" xfId="60530"/>
    <cellStyle name="Output 2 7" xfId="6252"/>
    <cellStyle name="Output 2 8" xfId="6253"/>
    <cellStyle name="Output 2 9" xfId="60531"/>
    <cellStyle name="Output 3" xfId="6254"/>
    <cellStyle name="Output 3 2" xfId="6255"/>
    <cellStyle name="Output 3 3" xfId="9339"/>
    <cellStyle name="Output 4" xfId="9340"/>
    <cellStyle name="Output 4 2" xfId="57735"/>
    <cellStyle name="Output 5" xfId="9898"/>
    <cellStyle name="Output 5 2" xfId="57736"/>
    <cellStyle name="Output 6" xfId="9899"/>
    <cellStyle name="Output 6 2" xfId="57737"/>
    <cellStyle name="Output 7" xfId="9900"/>
    <cellStyle name="Output 7 2" xfId="57738"/>
    <cellStyle name="Output 8" xfId="9901"/>
    <cellStyle name="Output 9" xfId="9902"/>
    <cellStyle name="OUTPUT AMOUNTS" xfId="6256"/>
    <cellStyle name="OUTPUT AMOUNTS 10" xfId="60532"/>
    <cellStyle name="Output Amounts 11" xfId="60533"/>
    <cellStyle name="Output Amounts 2" xfId="6257"/>
    <cellStyle name="Output Amounts 2 10" xfId="60534"/>
    <cellStyle name="OUTPUT AMOUNTS 2 11" xfId="60535"/>
    <cellStyle name="OUTPUT AMOUNTS 2 2" xfId="9903"/>
    <cellStyle name="Output Amounts 2 3" xfId="9904"/>
    <cellStyle name="Output Amounts 2 3 2" xfId="60536"/>
    <cellStyle name="Output Amounts 2 4" xfId="60537"/>
    <cellStyle name="Output Amounts 2 5" xfId="60538"/>
    <cellStyle name="Output Amounts 2 6" xfId="60539"/>
    <cellStyle name="Output Amounts 2 7" xfId="60540"/>
    <cellStyle name="Output Amounts 2 8" xfId="60541"/>
    <cellStyle name="Output Amounts 2 9" xfId="60542"/>
    <cellStyle name="Output Amounts 3" xfId="6258"/>
    <cellStyle name="Output Amounts 3 2" xfId="9341"/>
    <cellStyle name="Output Amounts 3 3" xfId="60543"/>
    <cellStyle name="Output Amounts 3 4" xfId="60544"/>
    <cellStyle name="Output Amounts 3 5" xfId="60545"/>
    <cellStyle name="Output Amounts 3 6" xfId="60546"/>
    <cellStyle name="Output Amounts 3 7" xfId="60547"/>
    <cellStyle name="Output Amounts 3 8" xfId="60548"/>
    <cellStyle name="Output Amounts 3 9" xfId="60549"/>
    <cellStyle name="Output Amounts 4" xfId="6259"/>
    <cellStyle name="OUTPUT AMOUNTS 5" xfId="9342"/>
    <cellStyle name="OUTPUT AMOUNTS 6" xfId="57739"/>
    <cellStyle name="OUTPUT AMOUNTS 7" xfId="57740"/>
    <cellStyle name="OUTPUT AMOUNTS 8" xfId="57741"/>
    <cellStyle name="OUTPUT AMOUNTS 9" xfId="60550"/>
    <cellStyle name="Output Amounts_d1" xfId="6260"/>
    <cellStyle name="OUTPUT COLUMN HEADINGS" xfId="6261"/>
    <cellStyle name="Output Column Headings 10" xfId="57742"/>
    <cellStyle name="OUTPUT COLUMN HEADINGS 10 2" xfId="60551"/>
    <cellStyle name="OUTPUT COLUMN HEADINGS 10 3" xfId="60552"/>
    <cellStyle name="Output Column Headings 11" xfId="60553"/>
    <cellStyle name="Output Column Headings 2" xfId="6262"/>
    <cellStyle name="Output Column Headings 2 2" xfId="6263"/>
    <cellStyle name="OUTPUT COLUMN HEADINGS 2 2 2" xfId="60554"/>
    <cellStyle name="Output Column Headings 2 2 3" xfId="60555"/>
    <cellStyle name="Output Column Headings 2 2 4" xfId="60556"/>
    <cellStyle name="Output Column Headings 2 2 5" xfId="60557"/>
    <cellStyle name="Output Column Headings 2 2 6" xfId="60558"/>
    <cellStyle name="Output Column Headings 2 2 7" xfId="60559"/>
    <cellStyle name="OUTPUT COLUMN HEADINGS 2 3" xfId="9905"/>
    <cellStyle name="OUTPUT COLUMN HEADINGS 2 3 2" xfId="60560"/>
    <cellStyle name="Output Column Headings 2 4" xfId="60561"/>
    <cellStyle name="Output Column Headings 2 5" xfId="60562"/>
    <cellStyle name="Output Column Headings 2 6" xfId="60563"/>
    <cellStyle name="Output Column Headings 3" xfId="6264"/>
    <cellStyle name="Output Column Headings 3 2" xfId="9343"/>
    <cellStyle name="Output Column Headings 4" xfId="6265"/>
    <cellStyle name="Output Column Headings 4 2" xfId="60564"/>
    <cellStyle name="OUTPUT COLUMN HEADINGS 5" xfId="9344"/>
    <cellStyle name="Output Column Headings 6" xfId="9906"/>
    <cellStyle name="Output Column Headings 7" xfId="9907"/>
    <cellStyle name="Output Column Headings 8" xfId="9908"/>
    <cellStyle name="Output Column Headings 9" xfId="9909"/>
    <cellStyle name="Output Column Headings_d1" xfId="6266"/>
    <cellStyle name="OUTPUT LINE ITEMS" xfId="6267"/>
    <cellStyle name="Output Line Items 10" xfId="57743"/>
    <cellStyle name="OUTPUT LINE ITEMS 10 2" xfId="60565"/>
    <cellStyle name="OUTPUT LINE ITEMS 10 3" xfId="60566"/>
    <cellStyle name="Output Line Items 11" xfId="60567"/>
    <cellStyle name="Output Line Items 2" xfId="6268"/>
    <cellStyle name="Output Line Items 2 2" xfId="6269"/>
    <cellStyle name="Output Line Items 2 2 2" xfId="57744"/>
    <cellStyle name="Output Line Items 2 2 3" xfId="60568"/>
    <cellStyle name="Output Line Items 2 3" xfId="6270"/>
    <cellStyle name="OUTPUT LINE ITEMS 2 3 2" xfId="60569"/>
    <cellStyle name="Output Line Items 2 3 3" xfId="60570"/>
    <cellStyle name="Output Line Items 2 3 4" xfId="60571"/>
    <cellStyle name="Output Line Items 2 3 5" xfId="60572"/>
    <cellStyle name="Output Line Items 2 3 6" xfId="60573"/>
    <cellStyle name="Output Line Items 2 3 7" xfId="60574"/>
    <cellStyle name="OUTPUT LINE ITEMS 2 4" xfId="9910"/>
    <cellStyle name="Output Line Items 2 5" xfId="60575"/>
    <cellStyle name="Output Line Items 2 6" xfId="60576"/>
    <cellStyle name="Output Line Items 2 7" xfId="60577"/>
    <cellStyle name="Output Line Items 3" xfId="6271"/>
    <cellStyle name="Output Line Items 3 2" xfId="9345"/>
    <cellStyle name="Output Line Items 4" xfId="6272"/>
    <cellStyle name="Output Line Items 4 2" xfId="57745"/>
    <cellStyle name="OUTPUT LINE ITEMS 5" xfId="9346"/>
    <cellStyle name="Output Line Items 6" xfId="9911"/>
    <cellStyle name="Output Line Items 7" xfId="9912"/>
    <cellStyle name="Output Line Items 8" xfId="9913"/>
    <cellStyle name="Output Line Items 9" xfId="9914"/>
    <cellStyle name="Output Line Items_d1" xfId="6273"/>
    <cellStyle name="OUTPUT REPORT HEADING" xfId="6274"/>
    <cellStyle name="Output Report Heading 10" xfId="57746"/>
    <cellStyle name="OUTPUT REPORT HEADING 10 2" xfId="60578"/>
    <cellStyle name="OUTPUT REPORT HEADING 10 3" xfId="60579"/>
    <cellStyle name="Output Report Heading 11" xfId="60580"/>
    <cellStyle name="Output Report Heading 2" xfId="6275"/>
    <cellStyle name="Output Report Heading 2 2" xfId="6276"/>
    <cellStyle name="OUTPUT REPORT HEADING 2 2 2" xfId="60581"/>
    <cellStyle name="Output Report Heading 2 2 3" xfId="60582"/>
    <cellStyle name="Output Report Heading 2 2 4" xfId="60583"/>
    <cellStyle name="Output Report Heading 2 2 5" xfId="60584"/>
    <cellStyle name="Output Report Heading 2 2 6" xfId="60585"/>
    <cellStyle name="Output Report Heading 2 2 7" xfId="60586"/>
    <cellStyle name="OUTPUT REPORT HEADING 2 3" xfId="9915"/>
    <cellStyle name="OUTPUT REPORT HEADING 2 3 2" xfId="60587"/>
    <cellStyle name="Output Report Heading 2 4" xfId="60588"/>
    <cellStyle name="Output Report Heading 2 5" xfId="60589"/>
    <cellStyle name="Output Report Heading 2 6" xfId="60590"/>
    <cellStyle name="Output Report Heading 3" xfId="6277"/>
    <cellStyle name="Output Report Heading 3 2" xfId="9347"/>
    <cellStyle name="Output Report Heading 4" xfId="6278"/>
    <cellStyle name="Output Report Heading 4 2" xfId="60591"/>
    <cellStyle name="OUTPUT REPORT HEADING 5" xfId="9348"/>
    <cellStyle name="Output Report Heading 6" xfId="9916"/>
    <cellStyle name="Output Report Heading 7" xfId="9917"/>
    <cellStyle name="Output Report Heading 8" xfId="9918"/>
    <cellStyle name="Output Report Heading 9" xfId="9919"/>
    <cellStyle name="Output Report Heading_d1" xfId="6279"/>
    <cellStyle name="OUTPUT REPORT TITLE" xfId="6280"/>
    <cellStyle name="Output Report Title 10" xfId="57747"/>
    <cellStyle name="OUTPUT REPORT TITLE 10 2" xfId="60592"/>
    <cellStyle name="OUTPUT REPORT TITLE 10 3" xfId="60593"/>
    <cellStyle name="OUTPUT REPORT TITLE 11" xfId="60594"/>
    <cellStyle name="Output Report Title 12" xfId="60595"/>
    <cellStyle name="Output Report Title 2" xfId="6281"/>
    <cellStyle name="Output Report Title 2 2" xfId="6282"/>
    <cellStyle name="OUTPUT REPORT TITLE 2 2 2" xfId="60596"/>
    <cellStyle name="Output Report Title 2 2 3" xfId="60597"/>
    <cellStyle name="Output Report Title 2 2 4" xfId="60598"/>
    <cellStyle name="Output Report Title 2 2 5" xfId="60599"/>
    <cellStyle name="Output Report Title 2 2 6" xfId="60600"/>
    <cellStyle name="Output Report Title 2 2 7" xfId="60601"/>
    <cellStyle name="OUTPUT REPORT TITLE 2 3" xfId="9920"/>
    <cellStyle name="OUTPUT REPORT TITLE 2 3 2" xfId="60602"/>
    <cellStyle name="Output Report Title 2 4" xfId="60603"/>
    <cellStyle name="Output Report Title 2 5" xfId="60604"/>
    <cellStyle name="Output Report Title 2 6" xfId="60605"/>
    <cellStyle name="Output Report Title 3" xfId="6283"/>
    <cellStyle name="Output Report Title 3 2" xfId="9349"/>
    <cellStyle name="Output Report Title 4" xfId="6284"/>
    <cellStyle name="Output Report Title 4 2" xfId="60606"/>
    <cellStyle name="OUTPUT REPORT TITLE 5" xfId="9350"/>
    <cellStyle name="Output Report Title 6" xfId="9921"/>
    <cellStyle name="Output Report Title 7" xfId="9922"/>
    <cellStyle name="Output Report Title 8" xfId="9923"/>
    <cellStyle name="Output Report Title 9" xfId="9924"/>
    <cellStyle name="Output Report Title_d1" xfId="6285"/>
    <cellStyle name="Percent" xfId="8669" builtinId="5"/>
    <cellStyle name="Percent 10" xfId="6286"/>
    <cellStyle name="Percent 10 2" xfId="6287"/>
    <cellStyle name="Percent 10 2 2" xfId="60607"/>
    <cellStyle name="Percent 10 2 3" xfId="60608"/>
    <cellStyle name="Percent 10 3" xfId="60609"/>
    <cellStyle name="Percent 10 3 2" xfId="60610"/>
    <cellStyle name="Percent 10 4" xfId="60611"/>
    <cellStyle name="Percent 10 5" xfId="60612"/>
    <cellStyle name="Percent 10 6" xfId="60613"/>
    <cellStyle name="Percent 11" xfId="6288"/>
    <cellStyle name="Percent 11 2" xfId="6289"/>
    <cellStyle name="Percent 11 3" xfId="6290"/>
    <cellStyle name="Percent 12" xfId="8779"/>
    <cellStyle name="Percent 13" xfId="57815"/>
    <cellStyle name="Percent 13 2" xfId="60614"/>
    <cellStyle name="Percent 14" xfId="60615"/>
    <cellStyle name="Percent 15" xfId="10006"/>
    <cellStyle name="Percent 16" xfId="57748"/>
    <cellStyle name="Percent 17" xfId="60616"/>
    <cellStyle name="Percent 2" xfId="6291"/>
    <cellStyle name="Percent 2 2" xfId="6292"/>
    <cellStyle name="Percent 2 2 2" xfId="6293"/>
    <cellStyle name="Percent 2 2 2 2" xfId="6294"/>
    <cellStyle name="Percent 2 2 2 2 2" xfId="6295"/>
    <cellStyle name="Percent 2 2 2 2 2 2" xfId="6296"/>
    <cellStyle name="Percent 2 2 2 2 2 2 2" xfId="6297"/>
    <cellStyle name="Percent 2 2 2 2 2 3" xfId="6298"/>
    <cellStyle name="Percent 2 2 2 2 3" xfId="6299"/>
    <cellStyle name="Percent 2 2 2 2 3 2" xfId="6300"/>
    <cellStyle name="Percent 2 2 2 2 4" xfId="6301"/>
    <cellStyle name="Percent 2 2 2 3" xfId="6302"/>
    <cellStyle name="Percent 2 2 2 3 2" xfId="6303"/>
    <cellStyle name="Percent 2 2 2 3 2 2" xfId="6304"/>
    <cellStyle name="Percent 2 2 2 3 3" xfId="6305"/>
    <cellStyle name="Percent 2 2 2 4" xfId="6306"/>
    <cellStyle name="Percent 2 2 2 4 2" xfId="6307"/>
    <cellStyle name="Percent 2 2 2 5" xfId="6308"/>
    <cellStyle name="Percent 2 2 3" xfId="6309"/>
    <cellStyle name="Percent 2 2 3 2" xfId="6310"/>
    <cellStyle name="Percent 2 2 3 2 2" xfId="6311"/>
    <cellStyle name="Percent 2 2 3 2 2 2" xfId="6312"/>
    <cellStyle name="Percent 2 2 3 2 3" xfId="6313"/>
    <cellStyle name="Percent 2 2 3 3" xfId="6314"/>
    <cellStyle name="Percent 2 2 3 3 2" xfId="6315"/>
    <cellStyle name="Percent 2 2 3 4" xfId="6316"/>
    <cellStyle name="Percent 2 2 4" xfId="6317"/>
    <cellStyle name="Percent 2 2 4 2" xfId="6318"/>
    <cellStyle name="Percent 2 2 4 2 2" xfId="6319"/>
    <cellStyle name="Percent 2 2 4 3" xfId="6320"/>
    <cellStyle name="Percent 2 2 5" xfId="6321"/>
    <cellStyle name="Percent 2 2 5 2" xfId="6322"/>
    <cellStyle name="Percent 2 2 6" xfId="6323"/>
    <cellStyle name="Percent 2 2 7" xfId="6324"/>
    <cellStyle name="Percent 2 3" xfId="6325"/>
    <cellStyle name="Percent 2 3 2" xfId="6326"/>
    <cellStyle name="Percent 2 3 2 2" xfId="6327"/>
    <cellStyle name="Percent 2 3 2 2 2" xfId="6328"/>
    <cellStyle name="Percent 2 3 2 3" xfId="6329"/>
    <cellStyle name="Percent 2 3 2 4" xfId="60617"/>
    <cellStyle name="Percent 2 3 3" xfId="6330"/>
    <cellStyle name="Percent 2 3 3 2" xfId="6331"/>
    <cellStyle name="Percent 2 3 4" xfId="6332"/>
    <cellStyle name="Percent 2 3 5" xfId="6333"/>
    <cellStyle name="Percent 2 4" xfId="6334"/>
    <cellStyle name="Percent 2 4 2" xfId="57749"/>
    <cellStyle name="Percent 2 4 2 2" xfId="57750"/>
    <cellStyle name="Percent 2 4 3" xfId="57751"/>
    <cellStyle name="Percent 2 5" xfId="57752"/>
    <cellStyle name="Percent 2 5 2" xfId="57753"/>
    <cellStyle name="Percent 2 6" xfId="57754"/>
    <cellStyle name="Percent 3" xfId="6335"/>
    <cellStyle name="Percent 3 10" xfId="6336"/>
    <cellStyle name="Percent 3 2" xfId="6337"/>
    <cellStyle name="Percent 3 2 2" xfId="6338"/>
    <cellStyle name="Percent 3 2 2 2" xfId="6339"/>
    <cellStyle name="Percent 3 2 2 2 2" xfId="6340"/>
    <cellStyle name="Percent 3 2 2 2 2 2" xfId="6341"/>
    <cellStyle name="Percent 3 2 2 2 2 2 2" xfId="6342"/>
    <cellStyle name="Percent 3 2 2 2 2 2 2 2" xfId="6343"/>
    <cellStyle name="Percent 3 2 2 2 2 2 3" xfId="6344"/>
    <cellStyle name="Percent 3 2 2 2 2 3" xfId="6345"/>
    <cellStyle name="Percent 3 2 2 2 2 3 2" xfId="6346"/>
    <cellStyle name="Percent 3 2 2 2 2 4" xfId="6347"/>
    <cellStyle name="Percent 3 2 2 2 3" xfId="6348"/>
    <cellStyle name="Percent 3 2 2 2 3 2" xfId="6349"/>
    <cellStyle name="Percent 3 2 2 2 3 2 2" xfId="6350"/>
    <cellStyle name="Percent 3 2 2 2 3 3" xfId="6351"/>
    <cellStyle name="Percent 3 2 2 2 4" xfId="6352"/>
    <cellStyle name="Percent 3 2 2 2 4 2" xfId="6353"/>
    <cellStyle name="Percent 3 2 2 2 5" xfId="6354"/>
    <cellStyle name="Percent 3 2 2 2 6" xfId="60618"/>
    <cellStyle name="Percent 3 2 2 3" xfId="6355"/>
    <cellStyle name="Percent 3 2 2 3 2" xfId="6356"/>
    <cellStyle name="Percent 3 2 2 3 2 2" xfId="6357"/>
    <cellStyle name="Percent 3 2 2 3 2 2 2" xfId="6358"/>
    <cellStyle name="Percent 3 2 2 3 2 3" xfId="6359"/>
    <cellStyle name="Percent 3 2 2 3 3" xfId="6360"/>
    <cellStyle name="Percent 3 2 2 3 3 2" xfId="6361"/>
    <cellStyle name="Percent 3 2 2 3 4" xfId="6362"/>
    <cellStyle name="Percent 3 2 2 4" xfId="6363"/>
    <cellStyle name="Percent 3 2 2 4 2" xfId="6364"/>
    <cellStyle name="Percent 3 2 2 4 2 2" xfId="6365"/>
    <cellStyle name="Percent 3 2 2 4 3" xfId="6366"/>
    <cellStyle name="Percent 3 2 2 5" xfId="6367"/>
    <cellStyle name="Percent 3 2 2 5 2" xfId="6368"/>
    <cellStyle name="Percent 3 2 2 6" xfId="6369"/>
    <cellStyle name="Percent 3 2 2 7" xfId="60619"/>
    <cellStyle name="Percent 3 2 3" xfId="6370"/>
    <cellStyle name="Percent 3 2 3 2" xfId="6371"/>
    <cellStyle name="Percent 3 2 3 2 2" xfId="6372"/>
    <cellStyle name="Percent 3 2 3 2 2 2" xfId="6373"/>
    <cellStyle name="Percent 3 2 3 2 2 2 2" xfId="6374"/>
    <cellStyle name="Percent 3 2 3 2 2 3" xfId="6375"/>
    <cellStyle name="Percent 3 2 3 2 3" xfId="6376"/>
    <cellStyle name="Percent 3 2 3 2 3 2" xfId="6377"/>
    <cellStyle name="Percent 3 2 3 2 4" xfId="6378"/>
    <cellStyle name="Percent 3 2 3 3" xfId="6379"/>
    <cellStyle name="Percent 3 2 3 3 2" xfId="6380"/>
    <cellStyle name="Percent 3 2 3 3 2 2" xfId="6381"/>
    <cellStyle name="Percent 3 2 3 3 3" xfId="6382"/>
    <cellStyle name="Percent 3 2 3 4" xfId="6383"/>
    <cellStyle name="Percent 3 2 3 4 2" xfId="6384"/>
    <cellStyle name="Percent 3 2 3 5" xfId="6385"/>
    <cellStyle name="Percent 3 2 3 6" xfId="60620"/>
    <cellStyle name="Percent 3 2 4" xfId="6386"/>
    <cellStyle name="Percent 3 2 4 2" xfId="6387"/>
    <cellStyle name="Percent 3 2 4 2 2" xfId="6388"/>
    <cellStyle name="Percent 3 2 4 2 2 2" xfId="6389"/>
    <cellStyle name="Percent 3 2 4 2 2 2 2" xfId="6390"/>
    <cellStyle name="Percent 3 2 4 2 2 3" xfId="6391"/>
    <cellStyle name="Percent 3 2 4 2 3" xfId="6392"/>
    <cellStyle name="Percent 3 2 4 2 3 2" xfId="6393"/>
    <cellStyle name="Percent 3 2 4 2 4" xfId="6394"/>
    <cellStyle name="Percent 3 2 4 3" xfId="6395"/>
    <cellStyle name="Percent 3 2 4 3 2" xfId="6396"/>
    <cellStyle name="Percent 3 2 4 3 2 2" xfId="6397"/>
    <cellStyle name="Percent 3 2 4 3 3" xfId="6398"/>
    <cellStyle name="Percent 3 2 4 4" xfId="6399"/>
    <cellStyle name="Percent 3 2 4 4 2" xfId="6400"/>
    <cellStyle name="Percent 3 2 4 5" xfId="6401"/>
    <cellStyle name="Percent 3 2 5" xfId="6402"/>
    <cellStyle name="Percent 3 2 5 2" xfId="6403"/>
    <cellStyle name="Percent 3 2 5 2 2" xfId="6404"/>
    <cellStyle name="Percent 3 2 5 2 2 2" xfId="6405"/>
    <cellStyle name="Percent 3 2 5 2 3" xfId="6406"/>
    <cellStyle name="Percent 3 2 5 3" xfId="6407"/>
    <cellStyle name="Percent 3 2 5 3 2" xfId="6408"/>
    <cellStyle name="Percent 3 2 5 4" xfId="6409"/>
    <cellStyle name="Percent 3 2 6" xfId="6410"/>
    <cellStyle name="Percent 3 2 6 2" xfId="6411"/>
    <cellStyle name="Percent 3 2 6 2 2" xfId="6412"/>
    <cellStyle name="Percent 3 2 6 3" xfId="6413"/>
    <cellStyle name="Percent 3 2 7" xfId="6414"/>
    <cellStyle name="Percent 3 2 7 2" xfId="6415"/>
    <cellStyle name="Percent 3 2 8" xfId="6416"/>
    <cellStyle name="Percent 3 2 9" xfId="60621"/>
    <cellStyle name="Percent 3 3" xfId="6417"/>
    <cellStyle name="Percent 3 3 2" xfId="6418"/>
    <cellStyle name="Percent 3 3 2 2" xfId="6419"/>
    <cellStyle name="Percent 3 3 2 2 2" xfId="6420"/>
    <cellStyle name="Percent 3 3 2 2 2 2" xfId="6421"/>
    <cellStyle name="Percent 3 3 2 2 2 2 2" xfId="6422"/>
    <cellStyle name="Percent 3 3 2 2 2 3" xfId="6423"/>
    <cellStyle name="Percent 3 3 2 2 3" xfId="6424"/>
    <cellStyle name="Percent 3 3 2 2 3 2" xfId="6425"/>
    <cellStyle name="Percent 3 3 2 2 4" xfId="6426"/>
    <cellStyle name="Percent 3 3 2 3" xfId="6427"/>
    <cellStyle name="Percent 3 3 2 3 2" xfId="6428"/>
    <cellStyle name="Percent 3 3 2 3 2 2" xfId="6429"/>
    <cellStyle name="Percent 3 3 2 3 3" xfId="6430"/>
    <cellStyle name="Percent 3 3 2 4" xfId="6431"/>
    <cellStyle name="Percent 3 3 2 4 2" xfId="6432"/>
    <cellStyle name="Percent 3 3 2 5" xfId="6433"/>
    <cellStyle name="Percent 3 3 3" xfId="6434"/>
    <cellStyle name="Percent 3 3 3 2" xfId="6435"/>
    <cellStyle name="Percent 3 3 3 2 2" xfId="6436"/>
    <cellStyle name="Percent 3 3 3 2 2 2" xfId="6437"/>
    <cellStyle name="Percent 3 3 3 2 3" xfId="6438"/>
    <cellStyle name="Percent 3 3 3 3" xfId="6439"/>
    <cellStyle name="Percent 3 3 3 3 2" xfId="6440"/>
    <cellStyle name="Percent 3 3 3 4" xfId="6441"/>
    <cellStyle name="Percent 3 3 4" xfId="6442"/>
    <cellStyle name="Percent 3 3 4 2" xfId="6443"/>
    <cellStyle name="Percent 3 3 4 2 2" xfId="6444"/>
    <cellStyle name="Percent 3 3 4 3" xfId="6445"/>
    <cellStyle name="Percent 3 3 5" xfId="6446"/>
    <cellStyle name="Percent 3 3 5 2" xfId="6447"/>
    <cellStyle name="Percent 3 3 6" xfId="6448"/>
    <cellStyle name="Percent 3 3 7" xfId="60622"/>
    <cellStyle name="Percent 3 4" xfId="6449"/>
    <cellStyle name="Percent 3 4 2" xfId="6450"/>
    <cellStyle name="Percent 3 4 2 2" xfId="6451"/>
    <cellStyle name="Percent 3 4 2 2 2" xfId="6452"/>
    <cellStyle name="Percent 3 4 2 2 2 2" xfId="6453"/>
    <cellStyle name="Percent 3 4 2 2 3" xfId="6454"/>
    <cellStyle name="Percent 3 4 2 3" xfId="6455"/>
    <cellStyle name="Percent 3 4 2 3 2" xfId="6456"/>
    <cellStyle name="Percent 3 4 2 4" xfId="6457"/>
    <cellStyle name="Percent 3 4 2 5" xfId="60623"/>
    <cellStyle name="Percent 3 4 3" xfId="6458"/>
    <cellStyle name="Percent 3 4 3 2" xfId="6459"/>
    <cellStyle name="Percent 3 4 3 2 2" xfId="6460"/>
    <cellStyle name="Percent 3 4 3 3" xfId="6461"/>
    <cellStyle name="Percent 3 4 4" xfId="6462"/>
    <cellStyle name="Percent 3 4 4 2" xfId="6463"/>
    <cellStyle name="Percent 3 4 5" xfId="6464"/>
    <cellStyle name="Percent 3 4 6" xfId="60624"/>
    <cellStyle name="Percent 3 5" xfId="6465"/>
    <cellStyle name="Percent 3 5 2" xfId="6466"/>
    <cellStyle name="Percent 3 5 2 2" xfId="6467"/>
    <cellStyle name="Percent 3 5 2 2 2" xfId="6468"/>
    <cellStyle name="Percent 3 5 2 2 2 2" xfId="6469"/>
    <cellStyle name="Percent 3 5 2 2 3" xfId="6470"/>
    <cellStyle name="Percent 3 5 2 3" xfId="6471"/>
    <cellStyle name="Percent 3 5 2 3 2" xfId="6472"/>
    <cellStyle name="Percent 3 5 2 4" xfId="6473"/>
    <cellStyle name="Percent 3 5 2 5" xfId="57755"/>
    <cellStyle name="Percent 3 5 3" xfId="6474"/>
    <cellStyle name="Percent 3 5 3 2" xfId="6475"/>
    <cellStyle name="Percent 3 5 3 2 2" xfId="6476"/>
    <cellStyle name="Percent 3 5 3 3" xfId="6477"/>
    <cellStyle name="Percent 3 5 3 3 2" xfId="57756"/>
    <cellStyle name="Percent 3 5 3 4" xfId="57757"/>
    <cellStyle name="Percent 3 5 3 5" xfId="57758"/>
    <cellStyle name="Percent 3 5 4" xfId="6478"/>
    <cellStyle name="Percent 3 5 4 2" xfId="6479"/>
    <cellStyle name="Percent 3 5 4 2 2" xfId="57759"/>
    <cellStyle name="Percent 3 5 4 2 2 2" xfId="57760"/>
    <cellStyle name="Percent 3 5 4 2 2 2 2" xfId="57761"/>
    <cellStyle name="Percent 3 5 4 2 2 2 3" xfId="57762"/>
    <cellStyle name="Percent 3 5 4 2 2 2 4" xfId="57763"/>
    <cellStyle name="Percent 3 5 4 2 2 3" xfId="57764"/>
    <cellStyle name="Percent 3 5 4 2 2 3 2" xfId="57765"/>
    <cellStyle name="Percent 3 5 4 2 2 3 3" xfId="57766"/>
    <cellStyle name="Percent 3 5 4 2 2 4" xfId="57767"/>
    <cellStyle name="Percent 3 5 4 2 2 4 2" xfId="57768"/>
    <cellStyle name="Percent 3 5 4 2 2 5" xfId="57769"/>
    <cellStyle name="Percent 3 5 4 2 2 6" xfId="57770"/>
    <cellStyle name="Percent 3 5 4 2 3" xfId="57771"/>
    <cellStyle name="Percent 3 5 4 2 3 2" xfId="57772"/>
    <cellStyle name="Percent 3 5 4 2 4" xfId="57773"/>
    <cellStyle name="Percent 3 5 4 2 5" xfId="57774"/>
    <cellStyle name="Percent 3 5 4 3" xfId="57775"/>
    <cellStyle name="Percent 3 5 4 3 2" xfId="57776"/>
    <cellStyle name="Percent 3 5 4 4" xfId="57777"/>
    <cellStyle name="Percent 3 5 4 4 2" xfId="57778"/>
    <cellStyle name="Percent 3 5 4 5" xfId="57779"/>
    <cellStyle name="Percent 3 5 4 6" xfId="57780"/>
    <cellStyle name="Percent 3 5 5" xfId="6480"/>
    <cellStyle name="Percent 3 5 5 2" xfId="57781"/>
    <cellStyle name="Percent 3 5 6" xfId="57782"/>
    <cellStyle name="Percent 3 5 6 2" xfId="57783"/>
    <cellStyle name="Percent 3 5 7" xfId="57784"/>
    <cellStyle name="Percent 3 5 8" xfId="57785"/>
    <cellStyle name="Percent 3 6" xfId="6481"/>
    <cellStyle name="Percent 3 6 2" xfId="6482"/>
    <cellStyle name="Percent 3 6 2 2" xfId="6483"/>
    <cellStyle name="Percent 3 6 2 2 2" xfId="6484"/>
    <cellStyle name="Percent 3 6 2 3" xfId="6485"/>
    <cellStyle name="Percent 3 6 3" xfId="6486"/>
    <cellStyle name="Percent 3 6 3 2" xfId="6487"/>
    <cellStyle name="Percent 3 6 4" xfId="6488"/>
    <cellStyle name="Percent 3 7" xfId="6489"/>
    <cellStyle name="Percent 3 7 2" xfId="6490"/>
    <cellStyle name="Percent 3 7 2 2" xfId="6491"/>
    <cellStyle name="Percent 3 7 3" xfId="6492"/>
    <cellStyle name="Percent 3 8" xfId="6493"/>
    <cellStyle name="Percent 3 8 2" xfId="6494"/>
    <cellStyle name="Percent 3 9" xfId="6495"/>
    <cellStyle name="Percent 4" xfId="6496"/>
    <cellStyle name="Percent 4 2" xfId="6497"/>
    <cellStyle name="Percent 4 2 2" xfId="6498"/>
    <cellStyle name="Percent 4 2 2 2" xfId="6499"/>
    <cellStyle name="Percent 4 2 2 2 2" xfId="6500"/>
    <cellStyle name="Percent 4 2 2 2 2 2" xfId="6501"/>
    <cellStyle name="Percent 4 2 2 2 3" xfId="6502"/>
    <cellStyle name="Percent 4 2 2 2 4" xfId="60625"/>
    <cellStyle name="Percent 4 2 2 3" xfId="6503"/>
    <cellStyle name="Percent 4 2 2 3 2" xfId="6504"/>
    <cellStyle name="Percent 4 2 2 4" xfId="6505"/>
    <cellStyle name="Percent 4 2 2 5" xfId="60626"/>
    <cellStyle name="Percent 4 2 3" xfId="6506"/>
    <cellStyle name="Percent 4 2 3 2" xfId="6507"/>
    <cellStyle name="Percent 4 2 3 2 2" xfId="6508"/>
    <cellStyle name="Percent 4 2 3 3" xfId="6509"/>
    <cellStyle name="Percent 4 2 3 4" xfId="60627"/>
    <cellStyle name="Percent 4 2 4" xfId="6510"/>
    <cellStyle name="Percent 4 2 4 2" xfId="6511"/>
    <cellStyle name="Percent 4 2 5" xfId="6512"/>
    <cellStyle name="Percent 4 2 6" xfId="60628"/>
    <cellStyle name="Percent 4 3" xfId="6513"/>
    <cellStyle name="Percent 4 3 2" xfId="6514"/>
    <cellStyle name="Percent 4 3 2 2" xfId="6515"/>
    <cellStyle name="Percent 4 3 2 2 2" xfId="6516"/>
    <cellStyle name="Percent 4 3 2 3" xfId="6517"/>
    <cellStyle name="Percent 4 3 3" xfId="6518"/>
    <cellStyle name="Percent 4 3 3 2" xfId="6519"/>
    <cellStyle name="Percent 4 3 4" xfId="6520"/>
    <cellStyle name="Percent 4 3 5" xfId="60629"/>
    <cellStyle name="Percent 4 4" xfId="6521"/>
    <cellStyle name="Percent 4 4 2" xfId="6522"/>
    <cellStyle name="Percent 4 4 2 2" xfId="6523"/>
    <cellStyle name="Percent 4 4 3" xfId="6524"/>
    <cellStyle name="Percent 4 5" xfId="6525"/>
    <cellStyle name="Percent 4 5 2" xfId="6526"/>
    <cellStyle name="Percent 4 6" xfId="6527"/>
    <cellStyle name="Percent 4 7" xfId="6528"/>
    <cellStyle name="Percent 4 8" xfId="60630"/>
    <cellStyle name="Percent 5" xfId="6529"/>
    <cellStyle name="Percent 5 2" xfId="6530"/>
    <cellStyle name="Percent 5 2 2" xfId="57786"/>
    <cellStyle name="Percent 5 3" xfId="57787"/>
    <cellStyle name="Percent 5 3 2" xfId="57788"/>
    <cellStyle name="Percent 5 4" xfId="57789"/>
    <cellStyle name="Percent 5 5" xfId="57790"/>
    <cellStyle name="Percent 6" xfId="6531"/>
    <cellStyle name="Percent 6 2" xfId="6532"/>
    <cellStyle name="Percent 6 2 2" xfId="57791"/>
    <cellStyle name="Percent 6 3" xfId="57792"/>
    <cellStyle name="Percent 6 3 2" xfId="57793"/>
    <cellStyle name="Percent 6 4" xfId="57794"/>
    <cellStyle name="Percent 7" xfId="6533"/>
    <cellStyle name="Percent 7 2" xfId="6534"/>
    <cellStyle name="Percent 7 2 2" xfId="6535"/>
    <cellStyle name="Percent 7 2 2 2" xfId="6536"/>
    <cellStyle name="Percent 7 2 2 3" xfId="60631"/>
    <cellStyle name="Percent 7 2 3" xfId="6537"/>
    <cellStyle name="Percent 7 2 4" xfId="60632"/>
    <cellStyle name="Percent 7 3" xfId="6538"/>
    <cellStyle name="Percent 7 3 2" xfId="6539"/>
    <cellStyle name="Percent 7 3 3" xfId="60633"/>
    <cellStyle name="Percent 7 4" xfId="6540"/>
    <cellStyle name="Percent 7 5" xfId="60634"/>
    <cellStyle name="Percent 7 6" xfId="60635"/>
    <cellStyle name="Percent 8" xfId="6541"/>
    <cellStyle name="Percent 8 2" xfId="6542"/>
    <cellStyle name="Percent 8 2 2" xfId="6543"/>
    <cellStyle name="Percent 8 2 2 2" xfId="60636"/>
    <cellStyle name="Percent 8 2 3" xfId="60637"/>
    <cellStyle name="Percent 8 3" xfId="6544"/>
    <cellStyle name="Percent 8 3 2" xfId="60638"/>
    <cellStyle name="Percent 8 4" xfId="60639"/>
    <cellStyle name="Percent 8 5" xfId="60640"/>
    <cellStyle name="Percent 8 6" xfId="60641"/>
    <cellStyle name="Percent 9" xfId="6545"/>
    <cellStyle name="Percent 9 2" xfId="6546"/>
    <cellStyle name="Percent 9 2 2" xfId="6547"/>
    <cellStyle name="Percent 9 2 3" xfId="60642"/>
    <cellStyle name="Percent 9 3" xfId="6548"/>
    <cellStyle name="Percent 9 3 2" xfId="60643"/>
    <cellStyle name="Percent 9 4" xfId="60644"/>
    <cellStyle name="Percent 9 5" xfId="60645"/>
    <cellStyle name="Percent 9 6" xfId="60646"/>
    <cellStyle name="Project Overview Data Entry" xfId="6549"/>
    <cellStyle name="Project Overview Data Entry 2" xfId="60647"/>
    <cellStyle name="PSChar" xfId="6550"/>
    <cellStyle name="PSChar 2" xfId="9351"/>
    <cellStyle name="PSDate" xfId="6551"/>
    <cellStyle name="PSDec" xfId="6552"/>
    <cellStyle name="PSHeading" xfId="6553"/>
    <cellStyle name="PSHeading 2" xfId="57795"/>
    <cellStyle name="PSInt" xfId="6554"/>
    <cellStyle name="PSSpacer" xfId="6555"/>
    <cellStyle name="PSSpacer 2" xfId="57796"/>
    <cellStyle name="R00A" xfId="8734"/>
    <cellStyle name="R00B" xfId="8735"/>
    <cellStyle name="R00L" xfId="8736"/>
    <cellStyle name="R01A" xfId="8737"/>
    <cellStyle name="R01B" xfId="8738"/>
    <cellStyle name="R01H" xfId="8739"/>
    <cellStyle name="R01L" xfId="8740"/>
    <cellStyle name="R02A" xfId="8741"/>
    <cellStyle name="R02B" xfId="8742"/>
    <cellStyle name="R02H" xfId="8743"/>
    <cellStyle name="R02L" xfId="8744"/>
    <cellStyle name="R03A" xfId="8745"/>
    <cellStyle name="R03B" xfId="8746"/>
    <cellStyle name="R03H" xfId="8747"/>
    <cellStyle name="R03L" xfId="8748"/>
    <cellStyle name="R04A" xfId="8749"/>
    <cellStyle name="R04B" xfId="8750"/>
    <cellStyle name="R04H" xfId="8751"/>
    <cellStyle name="R04L" xfId="8752"/>
    <cellStyle name="R05A" xfId="8753"/>
    <cellStyle name="R05B" xfId="8754"/>
    <cellStyle name="R05H" xfId="8755"/>
    <cellStyle name="R05L" xfId="8756"/>
    <cellStyle name="R06A" xfId="8757"/>
    <cellStyle name="R06B" xfId="8758"/>
    <cellStyle name="R06H" xfId="8759"/>
    <cellStyle name="R06L" xfId="8760"/>
    <cellStyle name="R07A" xfId="8761"/>
    <cellStyle name="R07B" xfId="8762"/>
    <cellStyle name="R07H" xfId="8763"/>
    <cellStyle name="R07L" xfId="8764"/>
    <cellStyle name="ReportTitlePrompt" xfId="6556"/>
    <cellStyle name="ReportTitlePrompt 2" xfId="6557"/>
    <cellStyle name="ReportTitlePrompt 2 2" xfId="9925"/>
    <cellStyle name="ReportTitlePrompt 2 3" xfId="9926"/>
    <cellStyle name="ReportTitlePrompt 3" xfId="6558"/>
    <cellStyle name="ReportTitlePrompt 4" xfId="6559"/>
    <cellStyle name="ReportTitlePrompt 5" xfId="9352"/>
    <cellStyle name="ReportTitleValue" xfId="6560"/>
    <cellStyle name="ReportTitleValue 2" xfId="6561"/>
    <cellStyle name="ReportTitleValue 2 2" xfId="9927"/>
    <cellStyle name="Reset  - Style4" xfId="60648"/>
    <cellStyle name="RowAcctAbovePrompt" xfId="6562"/>
    <cellStyle name="RowAcctAbovePrompt 2" xfId="6563"/>
    <cellStyle name="RowAcctAbovePrompt 2 2" xfId="9928"/>
    <cellStyle name="RowAcctAbovePrompt 2 3" xfId="9929"/>
    <cellStyle name="RowAcctAbovePrompt 3" xfId="6564"/>
    <cellStyle name="RowAcctAbovePrompt 4" xfId="9353"/>
    <cellStyle name="RowAcctSOBAbovePrompt" xfId="6565"/>
    <cellStyle name="RowAcctSOBAbovePrompt 2" xfId="6566"/>
    <cellStyle name="RowAcctSOBAbovePrompt 2 2" xfId="9930"/>
    <cellStyle name="RowAcctSOBAbovePrompt 2 3" xfId="9931"/>
    <cellStyle name="RowAcctSOBAbovePrompt 3" xfId="6567"/>
    <cellStyle name="RowAcctSOBAbovePrompt 4" xfId="9354"/>
    <cellStyle name="RowAcctSOBValue" xfId="6568"/>
    <cellStyle name="RowAcctSOBValue 2" xfId="6569"/>
    <cellStyle name="RowAcctSOBValue 2 2" xfId="9932"/>
    <cellStyle name="RowAcctSOBValue 2 3" xfId="9933"/>
    <cellStyle name="RowAcctSOBValue 3" xfId="6570"/>
    <cellStyle name="RowAcctSOBValue 4" xfId="9355"/>
    <cellStyle name="RowAcctValue" xfId="6571"/>
    <cellStyle name="RowAcctValue 2" xfId="6572"/>
    <cellStyle name="RowAcctValue 2 2" xfId="9934"/>
    <cellStyle name="RowAttrAbovePrompt" xfId="6573"/>
    <cellStyle name="RowAttrAbovePrompt 2" xfId="6574"/>
    <cellStyle name="RowAttrAbovePrompt 2 2" xfId="9935"/>
    <cellStyle name="RowAttrAbovePrompt 2 3" xfId="9936"/>
    <cellStyle name="RowAttrAbovePrompt 3" xfId="6575"/>
    <cellStyle name="RowAttrAbovePrompt 4" xfId="9356"/>
    <cellStyle name="RowAttrValue" xfId="6576"/>
    <cellStyle name="RowAttrValue 2" xfId="6577"/>
    <cellStyle name="RowAttrValue 2 2" xfId="9937"/>
    <cellStyle name="RowColSetAbovePrompt" xfId="6578"/>
    <cellStyle name="RowColSetAbovePrompt 2" xfId="6579"/>
    <cellStyle name="RowColSetAbovePrompt 2 2" xfId="9938"/>
    <cellStyle name="RowColSetAbovePrompt 2 3" xfId="9939"/>
    <cellStyle name="RowColSetAbovePrompt 3" xfId="6580"/>
    <cellStyle name="RowColSetAbovePrompt 4" xfId="9357"/>
    <cellStyle name="RowColSetLeftPrompt" xfId="6581"/>
    <cellStyle name="RowColSetLeftPrompt 2" xfId="6582"/>
    <cellStyle name="RowColSetLeftPrompt 2 2" xfId="9940"/>
    <cellStyle name="RowColSetLeftPrompt 2 3" xfId="9941"/>
    <cellStyle name="RowColSetLeftPrompt 3" xfId="6583"/>
    <cellStyle name="RowColSetLeftPrompt 4" xfId="9358"/>
    <cellStyle name="RowColSetValue" xfId="6584"/>
    <cellStyle name="RowColSetValue 2" xfId="6585"/>
    <cellStyle name="RowColSetValue 2 2" xfId="9942"/>
    <cellStyle name="RowColSetValue 3" xfId="6586"/>
    <cellStyle name="RowLeftPrompt" xfId="6587"/>
    <cellStyle name="RowLeftPrompt 2" xfId="6588"/>
    <cellStyle name="RowLeftPrompt 2 2" xfId="9943"/>
    <cellStyle name="RowLeftPrompt 2 3" xfId="9944"/>
    <cellStyle name="RowLeftPrompt 3" xfId="6589"/>
    <cellStyle name="RowLeftPrompt 4" xfId="9359"/>
    <cellStyle name="SampleUsingFormatMask" xfId="6590"/>
    <cellStyle name="SampleUsingFormatMask 2" xfId="6591"/>
    <cellStyle name="SampleUsingFormatMask 2 2" xfId="9945"/>
    <cellStyle name="SampleUsingFormatMask 2 3" xfId="9946"/>
    <cellStyle name="SampleUsingFormatMask 3" xfId="6592"/>
    <cellStyle name="SampleUsingFormatMask 4" xfId="9360"/>
    <cellStyle name="SampleWithNoFormatMask" xfId="6593"/>
    <cellStyle name="SampleWithNoFormatMask 2" xfId="6594"/>
    <cellStyle name="SampleWithNoFormatMask 2 2" xfId="9947"/>
    <cellStyle name="SampleWithNoFormatMask 2 3" xfId="9948"/>
    <cellStyle name="SampleWithNoFormatMask 3" xfId="6595"/>
    <cellStyle name="SampleWithNoFormatMask 4" xfId="9361"/>
    <cellStyle name="SAPBEXaggData" xfId="6596"/>
    <cellStyle name="SAPBEXaggData 10" xfId="6597"/>
    <cellStyle name="SAPBEXaggData 10 2" xfId="60649"/>
    <cellStyle name="SAPBEXaggData 11" xfId="6598"/>
    <cellStyle name="SAPBEXaggData 11 2" xfId="60650"/>
    <cellStyle name="SAPBEXaggData 12" xfId="6599"/>
    <cellStyle name="SAPBEXaggData 2" xfId="6600"/>
    <cellStyle name="SAPBEXaggData 2 10" xfId="6601"/>
    <cellStyle name="SAPBEXaggData 2 10 2" xfId="60651"/>
    <cellStyle name="SAPBEXaggData 2 11" xfId="6602"/>
    <cellStyle name="SAPBEXaggData 2 2" xfId="6603"/>
    <cellStyle name="SAPBEXaggData 2 2 2" xfId="60652"/>
    <cellStyle name="SAPBEXaggData 2 3" xfId="6604"/>
    <cellStyle name="SAPBEXaggData 2 3 2" xfId="60653"/>
    <cellStyle name="SAPBEXaggData 2 4" xfId="6605"/>
    <cellStyle name="SAPBEXaggData 2 4 2" xfId="60654"/>
    <cellStyle name="SAPBEXaggData 2 5" xfId="6606"/>
    <cellStyle name="SAPBEXaggData 2 5 2" xfId="60655"/>
    <cellStyle name="SAPBEXaggData 2 6" xfId="6607"/>
    <cellStyle name="SAPBEXaggData 2 6 2" xfId="60656"/>
    <cellStyle name="SAPBEXaggData 2 7" xfId="6608"/>
    <cellStyle name="SAPBEXaggData 2 7 2" xfId="60657"/>
    <cellStyle name="SAPBEXaggData 2 8" xfId="6609"/>
    <cellStyle name="SAPBEXaggData 2 8 2" xfId="60658"/>
    <cellStyle name="SAPBEXaggData 2 9" xfId="6610"/>
    <cellStyle name="SAPBEXaggData 2 9 2" xfId="60659"/>
    <cellStyle name="SAPBEXaggData 3" xfId="6611"/>
    <cellStyle name="SAPBEXaggData 3 2" xfId="60660"/>
    <cellStyle name="SAPBEXaggData 4" xfId="6612"/>
    <cellStyle name="SAPBEXaggData 4 2" xfId="60661"/>
    <cellStyle name="SAPBEXaggData 5" xfId="6613"/>
    <cellStyle name="SAPBEXaggData 5 2" xfId="60662"/>
    <cellStyle name="SAPBEXaggData 6" xfId="6614"/>
    <cellStyle name="SAPBEXaggData 6 2" xfId="60663"/>
    <cellStyle name="SAPBEXaggData 7" xfId="6615"/>
    <cellStyle name="SAPBEXaggData 7 2" xfId="60664"/>
    <cellStyle name="SAPBEXaggData 8" xfId="6616"/>
    <cellStyle name="SAPBEXaggData 8 2" xfId="60665"/>
    <cellStyle name="SAPBEXaggData 9" xfId="6617"/>
    <cellStyle name="SAPBEXaggData 9 2" xfId="60666"/>
    <cellStyle name="SAPBEXaggDataEmph" xfId="6618"/>
    <cellStyle name="SAPBEXaggDataEmph 10" xfId="6619"/>
    <cellStyle name="SAPBEXaggDataEmph 10 2" xfId="60667"/>
    <cellStyle name="SAPBEXaggDataEmph 11" xfId="6620"/>
    <cellStyle name="SAPBEXaggDataEmph 2" xfId="6621"/>
    <cellStyle name="SAPBEXaggDataEmph 2 2" xfId="60668"/>
    <cellStyle name="SAPBEXaggDataEmph 3" xfId="6622"/>
    <cellStyle name="SAPBEXaggDataEmph 3 2" xfId="60669"/>
    <cellStyle name="SAPBEXaggDataEmph 4" xfId="6623"/>
    <cellStyle name="SAPBEXaggDataEmph 4 2" xfId="60670"/>
    <cellStyle name="SAPBEXaggDataEmph 5" xfId="6624"/>
    <cellStyle name="SAPBEXaggDataEmph 5 2" xfId="60671"/>
    <cellStyle name="SAPBEXaggDataEmph 6" xfId="6625"/>
    <cellStyle name="SAPBEXaggDataEmph 6 2" xfId="60672"/>
    <cellStyle name="SAPBEXaggDataEmph 7" xfId="6626"/>
    <cellStyle name="SAPBEXaggDataEmph 7 2" xfId="60673"/>
    <cellStyle name="SAPBEXaggDataEmph 8" xfId="6627"/>
    <cellStyle name="SAPBEXaggDataEmph 8 2" xfId="60674"/>
    <cellStyle name="SAPBEXaggDataEmph 9" xfId="6628"/>
    <cellStyle name="SAPBEXaggDataEmph 9 2" xfId="60675"/>
    <cellStyle name="SAPBEXaggItem" xfId="6629"/>
    <cellStyle name="SAPBEXaggItem 10" xfId="6630"/>
    <cellStyle name="SAPBEXaggItem 10 2" xfId="60676"/>
    <cellStyle name="SAPBEXaggItem 11" xfId="6631"/>
    <cellStyle name="SAPBEXaggItem 11 2" xfId="60677"/>
    <cellStyle name="SAPBEXaggItem 12" xfId="6632"/>
    <cellStyle name="SAPBEXaggItem 2" xfId="6633"/>
    <cellStyle name="SAPBEXaggItem 2 10" xfId="6634"/>
    <cellStyle name="SAPBEXaggItem 2 10 2" xfId="60678"/>
    <cellStyle name="SAPBEXaggItem 2 11" xfId="6635"/>
    <cellStyle name="SAPBEXaggItem 2 2" xfId="6636"/>
    <cellStyle name="SAPBEXaggItem 2 2 2" xfId="60679"/>
    <cellStyle name="SAPBEXaggItem 2 3" xfId="6637"/>
    <cellStyle name="SAPBEXaggItem 2 3 2" xfId="60680"/>
    <cellStyle name="SAPBEXaggItem 2 4" xfId="6638"/>
    <cellStyle name="SAPBEXaggItem 2 4 2" xfId="60681"/>
    <cellStyle name="SAPBEXaggItem 2 5" xfId="6639"/>
    <cellStyle name="SAPBEXaggItem 2 5 2" xfId="60682"/>
    <cellStyle name="SAPBEXaggItem 2 6" xfId="6640"/>
    <cellStyle name="SAPBEXaggItem 2 6 2" xfId="60683"/>
    <cellStyle name="SAPBEXaggItem 2 7" xfId="6641"/>
    <cellStyle name="SAPBEXaggItem 2 7 2" xfId="60684"/>
    <cellStyle name="SAPBEXaggItem 2 8" xfId="6642"/>
    <cellStyle name="SAPBEXaggItem 2 8 2" xfId="60685"/>
    <cellStyle name="SAPBEXaggItem 2 9" xfId="6643"/>
    <cellStyle name="SAPBEXaggItem 2 9 2" xfId="60686"/>
    <cellStyle name="SAPBEXaggItem 3" xfId="6644"/>
    <cellStyle name="SAPBEXaggItem 3 2" xfId="60687"/>
    <cellStyle name="SAPBEXaggItem 4" xfId="6645"/>
    <cellStyle name="SAPBEXaggItem 4 2" xfId="60688"/>
    <cellStyle name="SAPBEXaggItem 5" xfId="6646"/>
    <cellStyle name="SAPBEXaggItem 5 2" xfId="60689"/>
    <cellStyle name="SAPBEXaggItem 6" xfId="6647"/>
    <cellStyle name="SAPBEXaggItem 6 2" xfId="60690"/>
    <cellStyle name="SAPBEXaggItem 7" xfId="6648"/>
    <cellStyle name="SAPBEXaggItem 7 2" xfId="60691"/>
    <cellStyle name="SAPBEXaggItem 8" xfId="6649"/>
    <cellStyle name="SAPBEXaggItem 8 2" xfId="60692"/>
    <cellStyle name="SAPBEXaggItem 9" xfId="6650"/>
    <cellStyle name="SAPBEXaggItem 9 2" xfId="60693"/>
    <cellStyle name="SAPBEXaggItemX" xfId="6651"/>
    <cellStyle name="SAPBEXaggItemX 10" xfId="6652"/>
    <cellStyle name="SAPBEXaggItemX 10 2" xfId="60694"/>
    <cellStyle name="SAPBEXaggItemX 11" xfId="6653"/>
    <cellStyle name="SAPBEXaggItemX 11 2" xfId="60695"/>
    <cellStyle name="SAPBEXaggItemX 12" xfId="6654"/>
    <cellStyle name="SAPBEXaggItemX 2" xfId="6655"/>
    <cellStyle name="SAPBEXaggItemX 2 10" xfId="6656"/>
    <cellStyle name="SAPBEXaggItemX 2 10 2" xfId="60696"/>
    <cellStyle name="SAPBEXaggItemX 2 11" xfId="6657"/>
    <cellStyle name="SAPBEXaggItemX 2 2" xfId="6658"/>
    <cellStyle name="SAPBEXaggItemX 2 2 2" xfId="60697"/>
    <cellStyle name="SAPBEXaggItemX 2 3" xfId="6659"/>
    <cellStyle name="SAPBEXaggItemX 2 3 2" xfId="60698"/>
    <cellStyle name="SAPBEXaggItemX 2 4" xfId="6660"/>
    <cellStyle name="SAPBEXaggItemX 2 4 2" xfId="60699"/>
    <cellStyle name="SAPBEXaggItemX 2 5" xfId="6661"/>
    <cellStyle name="SAPBEXaggItemX 2 5 2" xfId="60700"/>
    <cellStyle name="SAPBEXaggItemX 2 6" xfId="6662"/>
    <cellStyle name="SAPBEXaggItemX 2 6 2" xfId="60701"/>
    <cellStyle name="SAPBEXaggItemX 2 7" xfId="6663"/>
    <cellStyle name="SAPBEXaggItemX 2 7 2" xfId="60702"/>
    <cellStyle name="SAPBEXaggItemX 2 8" xfId="6664"/>
    <cellStyle name="SAPBEXaggItemX 2 8 2" xfId="60703"/>
    <cellStyle name="SAPBEXaggItemX 2 9" xfId="6665"/>
    <cellStyle name="SAPBEXaggItemX 2 9 2" xfId="60704"/>
    <cellStyle name="SAPBEXaggItemX 3" xfId="6666"/>
    <cellStyle name="SAPBEXaggItemX 3 2" xfId="60705"/>
    <cellStyle name="SAPBEXaggItemX 4" xfId="6667"/>
    <cellStyle name="SAPBEXaggItemX 4 2" xfId="60706"/>
    <cellStyle name="SAPBEXaggItemX 5" xfId="6668"/>
    <cellStyle name="SAPBEXaggItemX 5 2" xfId="60707"/>
    <cellStyle name="SAPBEXaggItemX 6" xfId="6669"/>
    <cellStyle name="SAPBEXaggItemX 6 2" xfId="60708"/>
    <cellStyle name="SAPBEXaggItemX 7" xfId="6670"/>
    <cellStyle name="SAPBEXaggItemX 7 2" xfId="60709"/>
    <cellStyle name="SAPBEXaggItemX 8" xfId="6671"/>
    <cellStyle name="SAPBEXaggItemX 8 2" xfId="60710"/>
    <cellStyle name="SAPBEXaggItemX 9" xfId="6672"/>
    <cellStyle name="SAPBEXaggItemX 9 2" xfId="60711"/>
    <cellStyle name="SAPBEXchaText" xfId="6673"/>
    <cellStyle name="SAPBEXchaText 2" xfId="6674"/>
    <cellStyle name="SAPBEXexcBad7" xfId="6675"/>
    <cellStyle name="SAPBEXexcBad7 10" xfId="6676"/>
    <cellStyle name="SAPBEXexcBad7 10 2" xfId="60712"/>
    <cellStyle name="SAPBEXexcBad7 11" xfId="6677"/>
    <cellStyle name="SAPBEXexcBad7 11 2" xfId="60713"/>
    <cellStyle name="SAPBEXexcBad7 12" xfId="6678"/>
    <cellStyle name="SAPBEXexcBad7 2" xfId="6679"/>
    <cellStyle name="SAPBEXexcBad7 2 10" xfId="6680"/>
    <cellStyle name="SAPBEXexcBad7 2 10 2" xfId="60714"/>
    <cellStyle name="SAPBEXexcBad7 2 11" xfId="6681"/>
    <cellStyle name="SAPBEXexcBad7 2 2" xfId="6682"/>
    <cellStyle name="SAPBEXexcBad7 2 2 2" xfId="60715"/>
    <cellStyle name="SAPBEXexcBad7 2 3" xfId="6683"/>
    <cellStyle name="SAPBEXexcBad7 2 3 2" xfId="60716"/>
    <cellStyle name="SAPBEXexcBad7 2 4" xfId="6684"/>
    <cellStyle name="SAPBEXexcBad7 2 4 2" xfId="60717"/>
    <cellStyle name="SAPBEXexcBad7 2 5" xfId="6685"/>
    <cellStyle name="SAPBEXexcBad7 2 5 2" xfId="60718"/>
    <cellStyle name="SAPBEXexcBad7 2 6" xfId="6686"/>
    <cellStyle name="SAPBEXexcBad7 2 6 2" xfId="60719"/>
    <cellStyle name="SAPBEXexcBad7 2 7" xfId="6687"/>
    <cellStyle name="SAPBEXexcBad7 2 7 2" xfId="60720"/>
    <cellStyle name="SAPBEXexcBad7 2 8" xfId="6688"/>
    <cellStyle name="SAPBEXexcBad7 2 8 2" xfId="60721"/>
    <cellStyle name="SAPBEXexcBad7 2 9" xfId="6689"/>
    <cellStyle name="SAPBEXexcBad7 2 9 2" xfId="60722"/>
    <cellStyle name="SAPBEXexcBad7 3" xfId="6690"/>
    <cellStyle name="SAPBEXexcBad7 3 2" xfId="60723"/>
    <cellStyle name="SAPBEXexcBad7 4" xfId="6691"/>
    <cellStyle name="SAPBEXexcBad7 4 2" xfId="60724"/>
    <cellStyle name="SAPBEXexcBad7 5" xfId="6692"/>
    <cellStyle name="SAPBEXexcBad7 5 2" xfId="60725"/>
    <cellStyle name="SAPBEXexcBad7 6" xfId="6693"/>
    <cellStyle name="SAPBEXexcBad7 6 2" xfId="60726"/>
    <cellStyle name="SAPBEXexcBad7 7" xfId="6694"/>
    <cellStyle name="SAPBEXexcBad7 7 2" xfId="60727"/>
    <cellStyle name="SAPBEXexcBad7 8" xfId="6695"/>
    <cellStyle name="SAPBEXexcBad7 8 2" xfId="60728"/>
    <cellStyle name="SAPBEXexcBad7 9" xfId="6696"/>
    <cellStyle name="SAPBEXexcBad7 9 2" xfId="60729"/>
    <cellStyle name="SAPBEXexcBad8" xfId="6697"/>
    <cellStyle name="SAPBEXexcBad8 10" xfId="6698"/>
    <cellStyle name="SAPBEXexcBad8 10 2" xfId="60730"/>
    <cellStyle name="SAPBEXexcBad8 11" xfId="6699"/>
    <cellStyle name="SAPBEXexcBad8 2" xfId="6700"/>
    <cellStyle name="SAPBEXexcBad8 2 2" xfId="60731"/>
    <cellStyle name="SAPBEXexcBad8 3" xfId="6701"/>
    <cellStyle name="SAPBEXexcBad8 3 2" xfId="60732"/>
    <cellStyle name="SAPBEXexcBad8 4" xfId="6702"/>
    <cellStyle name="SAPBEXexcBad8 4 2" xfId="60733"/>
    <cellStyle name="SAPBEXexcBad8 5" xfId="6703"/>
    <cellStyle name="SAPBEXexcBad8 5 2" xfId="60734"/>
    <cellStyle name="SAPBEXexcBad8 6" xfId="6704"/>
    <cellStyle name="SAPBEXexcBad8 6 2" xfId="60735"/>
    <cellStyle name="SAPBEXexcBad8 7" xfId="6705"/>
    <cellStyle name="SAPBEXexcBad8 7 2" xfId="60736"/>
    <cellStyle name="SAPBEXexcBad8 8" xfId="6706"/>
    <cellStyle name="SAPBEXexcBad8 8 2" xfId="60737"/>
    <cellStyle name="SAPBEXexcBad8 9" xfId="6707"/>
    <cellStyle name="SAPBEXexcBad8 9 2" xfId="60738"/>
    <cellStyle name="SAPBEXexcBad9" xfId="6708"/>
    <cellStyle name="SAPBEXexcBad9 10" xfId="6709"/>
    <cellStyle name="SAPBEXexcBad9 10 2" xfId="60739"/>
    <cellStyle name="SAPBEXexcBad9 11" xfId="6710"/>
    <cellStyle name="SAPBEXexcBad9 2" xfId="6711"/>
    <cellStyle name="SAPBEXexcBad9 2 2" xfId="60740"/>
    <cellStyle name="SAPBEXexcBad9 3" xfId="6712"/>
    <cellStyle name="SAPBEXexcBad9 3 2" xfId="60741"/>
    <cellStyle name="SAPBEXexcBad9 4" xfId="6713"/>
    <cellStyle name="SAPBEXexcBad9 4 2" xfId="60742"/>
    <cellStyle name="SAPBEXexcBad9 5" xfId="6714"/>
    <cellStyle name="SAPBEXexcBad9 5 2" xfId="60743"/>
    <cellStyle name="SAPBEXexcBad9 6" xfId="6715"/>
    <cellStyle name="SAPBEXexcBad9 6 2" xfId="60744"/>
    <cellStyle name="SAPBEXexcBad9 7" xfId="6716"/>
    <cellStyle name="SAPBEXexcBad9 7 2" xfId="60745"/>
    <cellStyle name="SAPBEXexcBad9 8" xfId="6717"/>
    <cellStyle name="SAPBEXexcBad9 8 2" xfId="60746"/>
    <cellStyle name="SAPBEXexcBad9 9" xfId="6718"/>
    <cellStyle name="SAPBEXexcBad9 9 2" xfId="60747"/>
    <cellStyle name="SAPBEXexcCritical4" xfId="6719"/>
    <cellStyle name="SAPBEXexcCritical4 10" xfId="6720"/>
    <cellStyle name="SAPBEXexcCritical4 10 2" xfId="60748"/>
    <cellStyle name="SAPBEXexcCritical4 11" xfId="6721"/>
    <cellStyle name="SAPBEXexcCritical4 11 2" xfId="60749"/>
    <cellStyle name="SAPBEXexcCritical4 12" xfId="6722"/>
    <cellStyle name="SAPBEXexcCritical4 2" xfId="6723"/>
    <cellStyle name="SAPBEXexcCritical4 2 10" xfId="6724"/>
    <cellStyle name="SAPBEXexcCritical4 2 10 2" xfId="60750"/>
    <cellStyle name="SAPBEXexcCritical4 2 11" xfId="6725"/>
    <cellStyle name="SAPBEXexcCritical4 2 2" xfId="6726"/>
    <cellStyle name="SAPBEXexcCritical4 2 2 2" xfId="60751"/>
    <cellStyle name="SAPBEXexcCritical4 2 3" xfId="6727"/>
    <cellStyle name="SAPBEXexcCritical4 2 3 2" xfId="60752"/>
    <cellStyle name="SAPBEXexcCritical4 2 4" xfId="6728"/>
    <cellStyle name="SAPBEXexcCritical4 2 4 2" xfId="60753"/>
    <cellStyle name="SAPBEXexcCritical4 2 5" xfId="6729"/>
    <cellStyle name="SAPBEXexcCritical4 2 5 2" xfId="60754"/>
    <cellStyle name="SAPBEXexcCritical4 2 6" xfId="6730"/>
    <cellStyle name="SAPBEXexcCritical4 2 6 2" xfId="60755"/>
    <cellStyle name="SAPBEXexcCritical4 2 7" xfId="6731"/>
    <cellStyle name="SAPBEXexcCritical4 2 7 2" xfId="60756"/>
    <cellStyle name="SAPBEXexcCritical4 2 8" xfId="6732"/>
    <cellStyle name="SAPBEXexcCritical4 2 8 2" xfId="60757"/>
    <cellStyle name="SAPBEXexcCritical4 2 9" xfId="6733"/>
    <cellStyle name="SAPBEXexcCritical4 2 9 2" xfId="60758"/>
    <cellStyle name="SAPBEXexcCritical4 3" xfId="6734"/>
    <cellStyle name="SAPBEXexcCritical4 3 2" xfId="60759"/>
    <cellStyle name="SAPBEXexcCritical4 4" xfId="6735"/>
    <cellStyle name="SAPBEXexcCritical4 4 2" xfId="60760"/>
    <cellStyle name="SAPBEXexcCritical4 5" xfId="6736"/>
    <cellStyle name="SAPBEXexcCritical4 5 2" xfId="60761"/>
    <cellStyle name="SAPBEXexcCritical4 6" xfId="6737"/>
    <cellStyle name="SAPBEXexcCritical4 6 2" xfId="60762"/>
    <cellStyle name="SAPBEXexcCritical4 7" xfId="6738"/>
    <cellStyle name="SAPBEXexcCritical4 7 2" xfId="60763"/>
    <cellStyle name="SAPBEXexcCritical4 8" xfId="6739"/>
    <cellStyle name="SAPBEXexcCritical4 8 2" xfId="60764"/>
    <cellStyle name="SAPBEXexcCritical4 9" xfId="6740"/>
    <cellStyle name="SAPBEXexcCritical4 9 2" xfId="60765"/>
    <cellStyle name="SAPBEXexcCritical5" xfId="6741"/>
    <cellStyle name="SAPBEXexcCritical5 10" xfId="6742"/>
    <cellStyle name="SAPBEXexcCritical5 10 2" xfId="60766"/>
    <cellStyle name="SAPBEXexcCritical5 11" xfId="6743"/>
    <cellStyle name="SAPBEXexcCritical5 11 2" xfId="60767"/>
    <cellStyle name="SAPBEXexcCritical5 12" xfId="6744"/>
    <cellStyle name="SAPBEXexcCritical5 2" xfId="6745"/>
    <cellStyle name="SAPBEXexcCritical5 2 10" xfId="6746"/>
    <cellStyle name="SAPBEXexcCritical5 2 10 2" xfId="60768"/>
    <cellStyle name="SAPBEXexcCritical5 2 11" xfId="6747"/>
    <cellStyle name="SAPBEXexcCritical5 2 2" xfId="6748"/>
    <cellStyle name="SAPBEXexcCritical5 2 2 2" xfId="60769"/>
    <cellStyle name="SAPBEXexcCritical5 2 3" xfId="6749"/>
    <cellStyle name="SAPBEXexcCritical5 2 3 2" xfId="60770"/>
    <cellStyle name="SAPBEXexcCritical5 2 4" xfId="6750"/>
    <cellStyle name="SAPBEXexcCritical5 2 4 2" xfId="60771"/>
    <cellStyle name="SAPBEXexcCritical5 2 5" xfId="6751"/>
    <cellStyle name="SAPBEXexcCritical5 2 5 2" xfId="60772"/>
    <cellStyle name="SAPBEXexcCritical5 2 6" xfId="6752"/>
    <cellStyle name="SAPBEXexcCritical5 2 6 2" xfId="60773"/>
    <cellStyle name="SAPBEXexcCritical5 2 7" xfId="6753"/>
    <cellStyle name="SAPBEXexcCritical5 2 7 2" xfId="60774"/>
    <cellStyle name="SAPBEXexcCritical5 2 8" xfId="6754"/>
    <cellStyle name="SAPBEXexcCritical5 2 8 2" xfId="60775"/>
    <cellStyle name="SAPBEXexcCritical5 2 9" xfId="6755"/>
    <cellStyle name="SAPBEXexcCritical5 2 9 2" xfId="60776"/>
    <cellStyle name="SAPBEXexcCritical5 3" xfId="6756"/>
    <cellStyle name="SAPBEXexcCritical5 3 2" xfId="60777"/>
    <cellStyle name="SAPBEXexcCritical5 4" xfId="6757"/>
    <cellStyle name="SAPBEXexcCritical5 4 2" xfId="60778"/>
    <cellStyle name="SAPBEXexcCritical5 5" xfId="6758"/>
    <cellStyle name="SAPBEXexcCritical5 5 2" xfId="60779"/>
    <cellStyle name="SAPBEXexcCritical5 6" xfId="6759"/>
    <cellStyle name="SAPBEXexcCritical5 6 2" xfId="60780"/>
    <cellStyle name="SAPBEXexcCritical5 7" xfId="6760"/>
    <cellStyle name="SAPBEXexcCritical5 7 2" xfId="60781"/>
    <cellStyle name="SAPBEXexcCritical5 8" xfId="6761"/>
    <cellStyle name="SAPBEXexcCritical5 8 2" xfId="60782"/>
    <cellStyle name="SAPBEXexcCritical5 9" xfId="6762"/>
    <cellStyle name="SAPBEXexcCritical5 9 2" xfId="60783"/>
    <cellStyle name="SAPBEXexcCritical6" xfId="6763"/>
    <cellStyle name="SAPBEXexcCritical6 10" xfId="6764"/>
    <cellStyle name="SAPBEXexcCritical6 10 2" xfId="60784"/>
    <cellStyle name="SAPBEXexcCritical6 11" xfId="6765"/>
    <cellStyle name="SAPBEXexcCritical6 11 2" xfId="60785"/>
    <cellStyle name="SAPBEXexcCritical6 12" xfId="6766"/>
    <cellStyle name="SAPBEXexcCritical6 2" xfId="6767"/>
    <cellStyle name="SAPBEXexcCritical6 2 10" xfId="6768"/>
    <cellStyle name="SAPBEXexcCritical6 2 10 2" xfId="60786"/>
    <cellStyle name="SAPBEXexcCritical6 2 11" xfId="6769"/>
    <cellStyle name="SAPBEXexcCritical6 2 2" xfId="6770"/>
    <cellStyle name="SAPBEXexcCritical6 2 2 2" xfId="60787"/>
    <cellStyle name="SAPBEXexcCritical6 2 3" xfId="6771"/>
    <cellStyle name="SAPBEXexcCritical6 2 3 2" xfId="60788"/>
    <cellStyle name="SAPBEXexcCritical6 2 4" xfId="6772"/>
    <cellStyle name="SAPBEXexcCritical6 2 4 2" xfId="60789"/>
    <cellStyle name="SAPBEXexcCritical6 2 5" xfId="6773"/>
    <cellStyle name="SAPBEXexcCritical6 2 5 2" xfId="60790"/>
    <cellStyle name="SAPBEXexcCritical6 2 6" xfId="6774"/>
    <cellStyle name="SAPBEXexcCritical6 2 6 2" xfId="60791"/>
    <cellStyle name="SAPBEXexcCritical6 2 7" xfId="6775"/>
    <cellStyle name="SAPBEXexcCritical6 2 7 2" xfId="60792"/>
    <cellStyle name="SAPBEXexcCritical6 2 8" xfId="6776"/>
    <cellStyle name="SAPBEXexcCritical6 2 8 2" xfId="60793"/>
    <cellStyle name="SAPBEXexcCritical6 2 9" xfId="6777"/>
    <cellStyle name="SAPBEXexcCritical6 2 9 2" xfId="60794"/>
    <cellStyle name="SAPBEXexcCritical6 3" xfId="6778"/>
    <cellStyle name="SAPBEXexcCritical6 3 2" xfId="60795"/>
    <cellStyle name="SAPBEXexcCritical6 4" xfId="6779"/>
    <cellStyle name="SAPBEXexcCritical6 4 2" xfId="60796"/>
    <cellStyle name="SAPBEXexcCritical6 5" xfId="6780"/>
    <cellStyle name="SAPBEXexcCritical6 5 2" xfId="60797"/>
    <cellStyle name="SAPBEXexcCritical6 6" xfId="6781"/>
    <cellStyle name="SAPBEXexcCritical6 6 2" xfId="60798"/>
    <cellStyle name="SAPBEXexcCritical6 7" xfId="6782"/>
    <cellStyle name="SAPBEXexcCritical6 7 2" xfId="60799"/>
    <cellStyle name="SAPBEXexcCritical6 8" xfId="6783"/>
    <cellStyle name="SAPBEXexcCritical6 8 2" xfId="60800"/>
    <cellStyle name="SAPBEXexcCritical6 9" xfId="6784"/>
    <cellStyle name="SAPBEXexcCritical6 9 2" xfId="60801"/>
    <cellStyle name="SAPBEXexcGood1" xfId="6785"/>
    <cellStyle name="SAPBEXexcGood1 10" xfId="6786"/>
    <cellStyle name="SAPBEXexcGood1 10 2" xfId="60802"/>
    <cellStyle name="SAPBEXexcGood1 11" xfId="6787"/>
    <cellStyle name="SAPBEXexcGood1 2" xfId="6788"/>
    <cellStyle name="SAPBEXexcGood1 2 2" xfId="60803"/>
    <cellStyle name="SAPBEXexcGood1 3" xfId="6789"/>
    <cellStyle name="SAPBEXexcGood1 3 2" xfId="60804"/>
    <cellStyle name="SAPBEXexcGood1 4" xfId="6790"/>
    <cellStyle name="SAPBEXexcGood1 4 2" xfId="60805"/>
    <cellStyle name="SAPBEXexcGood1 5" xfId="6791"/>
    <cellStyle name="SAPBEXexcGood1 5 2" xfId="60806"/>
    <cellStyle name="SAPBEXexcGood1 6" xfId="6792"/>
    <cellStyle name="SAPBEXexcGood1 6 2" xfId="60807"/>
    <cellStyle name="SAPBEXexcGood1 7" xfId="6793"/>
    <cellStyle name="SAPBEXexcGood1 7 2" xfId="60808"/>
    <cellStyle name="SAPBEXexcGood1 8" xfId="6794"/>
    <cellStyle name="SAPBEXexcGood1 8 2" xfId="60809"/>
    <cellStyle name="SAPBEXexcGood1 9" xfId="6795"/>
    <cellStyle name="SAPBEXexcGood1 9 2" xfId="60810"/>
    <cellStyle name="SAPBEXexcGood2" xfId="6796"/>
    <cellStyle name="SAPBEXexcGood2 10" xfId="6797"/>
    <cellStyle name="SAPBEXexcGood2 10 2" xfId="60811"/>
    <cellStyle name="SAPBEXexcGood2 11" xfId="6798"/>
    <cellStyle name="SAPBEXexcGood2 2" xfId="6799"/>
    <cellStyle name="SAPBEXexcGood2 2 2" xfId="60812"/>
    <cellStyle name="SAPBEXexcGood2 3" xfId="6800"/>
    <cellStyle name="SAPBEXexcGood2 3 2" xfId="60813"/>
    <cellStyle name="SAPBEXexcGood2 4" xfId="6801"/>
    <cellStyle name="SAPBEXexcGood2 4 2" xfId="60814"/>
    <cellStyle name="SAPBEXexcGood2 5" xfId="6802"/>
    <cellStyle name="SAPBEXexcGood2 5 2" xfId="60815"/>
    <cellStyle name="SAPBEXexcGood2 6" xfId="6803"/>
    <cellStyle name="SAPBEXexcGood2 6 2" xfId="60816"/>
    <cellStyle name="SAPBEXexcGood2 7" xfId="6804"/>
    <cellStyle name="SAPBEXexcGood2 7 2" xfId="60817"/>
    <cellStyle name="SAPBEXexcGood2 8" xfId="6805"/>
    <cellStyle name="SAPBEXexcGood2 8 2" xfId="60818"/>
    <cellStyle name="SAPBEXexcGood2 9" xfId="6806"/>
    <cellStyle name="SAPBEXexcGood2 9 2" xfId="60819"/>
    <cellStyle name="SAPBEXexcGood3" xfId="6807"/>
    <cellStyle name="SAPBEXexcGood3 10" xfId="6808"/>
    <cellStyle name="SAPBEXexcGood3 10 2" xfId="60820"/>
    <cellStyle name="SAPBEXexcGood3 11" xfId="6809"/>
    <cellStyle name="SAPBEXexcGood3 11 2" xfId="60821"/>
    <cellStyle name="SAPBEXexcGood3 12" xfId="6810"/>
    <cellStyle name="SAPBEXexcGood3 2" xfId="6811"/>
    <cellStyle name="SAPBEXexcGood3 2 10" xfId="6812"/>
    <cellStyle name="SAPBEXexcGood3 2 10 2" xfId="60822"/>
    <cellStyle name="SAPBEXexcGood3 2 11" xfId="6813"/>
    <cellStyle name="SAPBEXexcGood3 2 2" xfId="6814"/>
    <cellStyle name="SAPBEXexcGood3 2 2 2" xfId="60823"/>
    <cellStyle name="SAPBEXexcGood3 2 3" xfId="6815"/>
    <cellStyle name="SAPBEXexcGood3 2 3 2" xfId="60824"/>
    <cellStyle name="SAPBEXexcGood3 2 4" xfId="6816"/>
    <cellStyle name="SAPBEXexcGood3 2 4 2" xfId="60825"/>
    <cellStyle name="SAPBEXexcGood3 2 5" xfId="6817"/>
    <cellStyle name="SAPBEXexcGood3 2 5 2" xfId="60826"/>
    <cellStyle name="SAPBEXexcGood3 2 6" xfId="6818"/>
    <cellStyle name="SAPBEXexcGood3 2 6 2" xfId="60827"/>
    <cellStyle name="SAPBEXexcGood3 2 7" xfId="6819"/>
    <cellStyle name="SAPBEXexcGood3 2 7 2" xfId="60828"/>
    <cellStyle name="SAPBEXexcGood3 2 8" xfId="6820"/>
    <cellStyle name="SAPBEXexcGood3 2 8 2" xfId="60829"/>
    <cellStyle name="SAPBEXexcGood3 2 9" xfId="6821"/>
    <cellStyle name="SAPBEXexcGood3 2 9 2" xfId="60830"/>
    <cellStyle name="SAPBEXexcGood3 3" xfId="6822"/>
    <cellStyle name="SAPBEXexcGood3 3 2" xfId="60831"/>
    <cellStyle name="SAPBEXexcGood3 4" xfId="6823"/>
    <cellStyle name="SAPBEXexcGood3 4 2" xfId="60832"/>
    <cellStyle name="SAPBEXexcGood3 5" xfId="6824"/>
    <cellStyle name="SAPBEXexcGood3 5 2" xfId="60833"/>
    <cellStyle name="SAPBEXexcGood3 6" xfId="6825"/>
    <cellStyle name="SAPBEXexcGood3 6 2" xfId="60834"/>
    <cellStyle name="SAPBEXexcGood3 7" xfId="6826"/>
    <cellStyle name="SAPBEXexcGood3 7 2" xfId="60835"/>
    <cellStyle name="SAPBEXexcGood3 8" xfId="6827"/>
    <cellStyle name="SAPBEXexcGood3 8 2" xfId="60836"/>
    <cellStyle name="SAPBEXexcGood3 9" xfId="6828"/>
    <cellStyle name="SAPBEXexcGood3 9 2" xfId="60837"/>
    <cellStyle name="SAPBEXfilterDrill" xfId="6829"/>
    <cellStyle name="SAPBEXfilterDrill 2" xfId="6830"/>
    <cellStyle name="SAPBEXfilterItem" xfId="6831"/>
    <cellStyle name="SAPBEXfilterItem 2" xfId="6832"/>
    <cellStyle name="SAPBEXfilterText" xfId="6833"/>
    <cellStyle name="SAPBEXfilterText 2" xfId="6834"/>
    <cellStyle name="SAPBEXformats" xfId="6835"/>
    <cellStyle name="SAPBEXformats 10" xfId="6836"/>
    <cellStyle name="SAPBEXformats 10 2" xfId="60838"/>
    <cellStyle name="SAPBEXformats 11" xfId="6837"/>
    <cellStyle name="SAPBEXformats 11 2" xfId="60839"/>
    <cellStyle name="SAPBEXformats 12" xfId="6838"/>
    <cellStyle name="SAPBEXformats 2" xfId="6839"/>
    <cellStyle name="SAPBEXformats 2 10" xfId="6840"/>
    <cellStyle name="SAPBEXformats 2 10 2" xfId="60840"/>
    <cellStyle name="SAPBEXformats 2 11" xfId="6841"/>
    <cellStyle name="SAPBEXformats 2 2" xfId="6842"/>
    <cellStyle name="SAPBEXformats 2 2 2" xfId="60841"/>
    <cellStyle name="SAPBEXformats 2 3" xfId="6843"/>
    <cellStyle name="SAPBEXformats 2 3 2" xfId="60842"/>
    <cellStyle name="SAPBEXformats 2 4" xfId="6844"/>
    <cellStyle name="SAPBEXformats 2 4 2" xfId="60843"/>
    <cellStyle name="SAPBEXformats 2 5" xfId="6845"/>
    <cellStyle name="SAPBEXformats 2 5 2" xfId="60844"/>
    <cellStyle name="SAPBEXformats 2 6" xfId="6846"/>
    <cellStyle name="SAPBEXformats 2 6 2" xfId="60845"/>
    <cellStyle name="SAPBEXformats 2 7" xfId="6847"/>
    <cellStyle name="SAPBEXformats 2 7 2" xfId="60846"/>
    <cellStyle name="SAPBEXformats 2 8" xfId="6848"/>
    <cellStyle name="SAPBEXformats 2 8 2" xfId="60847"/>
    <cellStyle name="SAPBEXformats 2 9" xfId="6849"/>
    <cellStyle name="SAPBEXformats 2 9 2" xfId="60848"/>
    <cellStyle name="SAPBEXformats 3" xfId="6850"/>
    <cellStyle name="SAPBEXformats 3 2" xfId="60849"/>
    <cellStyle name="SAPBEXformats 4" xfId="6851"/>
    <cellStyle name="SAPBEXformats 4 2" xfId="60850"/>
    <cellStyle name="SAPBEXformats 5" xfId="6852"/>
    <cellStyle name="SAPBEXformats 5 2" xfId="60851"/>
    <cellStyle name="SAPBEXformats 6" xfId="6853"/>
    <cellStyle name="SAPBEXformats 6 2" xfId="60852"/>
    <cellStyle name="SAPBEXformats 7" xfId="6854"/>
    <cellStyle name="SAPBEXformats 7 2" xfId="60853"/>
    <cellStyle name="SAPBEXformats 8" xfId="6855"/>
    <cellStyle name="SAPBEXformats 8 2" xfId="60854"/>
    <cellStyle name="SAPBEXformats 9" xfId="6856"/>
    <cellStyle name="SAPBEXformats 9 2" xfId="60855"/>
    <cellStyle name="SAPBEXheaderItem" xfId="6857"/>
    <cellStyle name="SAPBEXheaderItem 2" xfId="6858"/>
    <cellStyle name="SAPBEXheaderText" xfId="6859"/>
    <cellStyle name="SAPBEXheaderText 2" xfId="6860"/>
    <cellStyle name="SAPBEXHLevel0" xfId="6861"/>
    <cellStyle name="SAPBEXHLevel0 10" xfId="6862"/>
    <cellStyle name="SAPBEXHLevel0 10 2" xfId="60856"/>
    <cellStyle name="SAPBEXHLevel0 11" xfId="6863"/>
    <cellStyle name="SAPBEXHLevel0 11 2" xfId="60857"/>
    <cellStyle name="SAPBEXHLevel0 12" xfId="6864"/>
    <cellStyle name="SAPBEXHLevel0 2" xfId="6865"/>
    <cellStyle name="SAPBEXHLevel0 2 10" xfId="6866"/>
    <cellStyle name="SAPBEXHLevel0 2 10 2" xfId="60858"/>
    <cellStyle name="SAPBEXHLevel0 2 11" xfId="6867"/>
    <cellStyle name="SAPBEXHLevel0 2 2" xfId="6868"/>
    <cellStyle name="SAPBEXHLevel0 2 2 2" xfId="60859"/>
    <cellStyle name="SAPBEXHLevel0 2 3" xfId="6869"/>
    <cellStyle name="SAPBEXHLevel0 2 3 2" xfId="60860"/>
    <cellStyle name="SAPBEXHLevel0 2 4" xfId="6870"/>
    <cellStyle name="SAPBEXHLevel0 2 4 2" xfId="60861"/>
    <cellStyle name="SAPBEXHLevel0 2 5" xfId="6871"/>
    <cellStyle name="SAPBEXHLevel0 2 5 2" xfId="60862"/>
    <cellStyle name="SAPBEXHLevel0 2 6" xfId="6872"/>
    <cellStyle name="SAPBEXHLevel0 2 6 2" xfId="60863"/>
    <cellStyle name="SAPBEXHLevel0 2 7" xfId="6873"/>
    <cellStyle name="SAPBEXHLevel0 2 7 2" xfId="60864"/>
    <cellStyle name="SAPBEXHLevel0 2 8" xfId="6874"/>
    <cellStyle name="SAPBEXHLevel0 2 8 2" xfId="60865"/>
    <cellStyle name="SAPBEXHLevel0 2 9" xfId="6875"/>
    <cellStyle name="SAPBEXHLevel0 2 9 2" xfId="60866"/>
    <cellStyle name="SAPBEXHLevel0 3" xfId="6876"/>
    <cellStyle name="SAPBEXHLevel0 3 2" xfId="60867"/>
    <cellStyle name="SAPBEXHLevel0 4" xfId="6877"/>
    <cellStyle name="SAPBEXHLevel0 4 2" xfId="60868"/>
    <cellStyle name="SAPBEXHLevel0 5" xfId="6878"/>
    <cellStyle name="SAPBEXHLevel0 5 2" xfId="60869"/>
    <cellStyle name="SAPBEXHLevel0 6" xfId="6879"/>
    <cellStyle name="SAPBEXHLevel0 6 2" xfId="60870"/>
    <cellStyle name="SAPBEXHLevel0 7" xfId="6880"/>
    <cellStyle name="SAPBEXHLevel0 7 2" xfId="60871"/>
    <cellStyle name="SAPBEXHLevel0 8" xfId="6881"/>
    <cellStyle name="SAPBEXHLevel0 8 2" xfId="60872"/>
    <cellStyle name="SAPBEXHLevel0 9" xfId="6882"/>
    <cellStyle name="SAPBEXHLevel0 9 2" xfId="60873"/>
    <cellStyle name="SAPBEXHLevel0X" xfId="6883"/>
    <cellStyle name="SAPBEXHLevel0X 10" xfId="6884"/>
    <cellStyle name="SAPBEXHLevel0X 10 2" xfId="60874"/>
    <cellStyle name="SAPBEXHLevel0X 11" xfId="6885"/>
    <cellStyle name="SAPBEXHLevel0X 11 2" xfId="60875"/>
    <cellStyle name="SAPBEXHLevel0X 12" xfId="6886"/>
    <cellStyle name="SAPBEXHLevel0X 2" xfId="6887"/>
    <cellStyle name="SAPBEXHLevel0X 2 10" xfId="6888"/>
    <cellStyle name="SAPBEXHLevel0X 2 10 2" xfId="60876"/>
    <cellStyle name="SAPBEXHLevel0X 2 11" xfId="6889"/>
    <cellStyle name="SAPBEXHLevel0X 2 2" xfId="6890"/>
    <cellStyle name="SAPBEXHLevel0X 2 2 2" xfId="60877"/>
    <cellStyle name="SAPBEXHLevel0X 2 3" xfId="6891"/>
    <cellStyle name="SAPBEXHLevel0X 2 3 2" xfId="60878"/>
    <cellStyle name="SAPBEXHLevel0X 2 4" xfId="6892"/>
    <cellStyle name="SAPBEXHLevel0X 2 4 2" xfId="60879"/>
    <cellStyle name="SAPBEXHLevel0X 2 5" xfId="6893"/>
    <cellStyle name="SAPBEXHLevel0X 2 5 2" xfId="60880"/>
    <cellStyle name="SAPBEXHLevel0X 2 6" xfId="6894"/>
    <cellStyle name="SAPBEXHLevel0X 2 6 2" xfId="60881"/>
    <cellStyle name="SAPBEXHLevel0X 2 7" xfId="6895"/>
    <cellStyle name="SAPBEXHLevel0X 2 7 2" xfId="60882"/>
    <cellStyle name="SAPBEXHLevel0X 2 8" xfId="6896"/>
    <cellStyle name="SAPBEXHLevel0X 2 8 2" xfId="60883"/>
    <cellStyle name="SAPBEXHLevel0X 2 9" xfId="6897"/>
    <cellStyle name="SAPBEXHLevel0X 2 9 2" xfId="60884"/>
    <cellStyle name="SAPBEXHLevel0X 3" xfId="6898"/>
    <cellStyle name="SAPBEXHLevel0X 3 2" xfId="60885"/>
    <cellStyle name="SAPBEXHLevel0X 4" xfId="6899"/>
    <cellStyle name="SAPBEXHLevel0X 4 2" xfId="60886"/>
    <cellStyle name="SAPBEXHLevel0X 5" xfId="6900"/>
    <cellStyle name="SAPBEXHLevel0X 5 2" xfId="60887"/>
    <cellStyle name="SAPBEXHLevel0X 6" xfId="6901"/>
    <cellStyle name="SAPBEXHLevel0X 6 2" xfId="60888"/>
    <cellStyle name="SAPBEXHLevel0X 7" xfId="6902"/>
    <cellStyle name="SAPBEXHLevel0X 7 2" xfId="60889"/>
    <cellStyle name="SAPBEXHLevel0X 8" xfId="6903"/>
    <cellStyle name="SAPBEXHLevel0X 8 2" xfId="60890"/>
    <cellStyle name="SAPBEXHLevel0X 9" xfId="6904"/>
    <cellStyle name="SAPBEXHLevel0X 9 2" xfId="60891"/>
    <cellStyle name="SAPBEXHLevel1" xfId="6905"/>
    <cellStyle name="SAPBEXHLevel1 10" xfId="6906"/>
    <cellStyle name="SAPBEXHLevel1 10 2" xfId="60892"/>
    <cellStyle name="SAPBEXHLevel1 11" xfId="6907"/>
    <cellStyle name="SAPBEXHLevel1 11 2" xfId="60893"/>
    <cellStyle name="SAPBEXHLevel1 12" xfId="6908"/>
    <cellStyle name="SAPBEXHLevel1 2" xfId="6909"/>
    <cellStyle name="SAPBEXHLevel1 2 10" xfId="6910"/>
    <cellStyle name="SAPBEXHLevel1 2 10 2" xfId="60894"/>
    <cellStyle name="SAPBEXHLevel1 2 11" xfId="6911"/>
    <cellStyle name="SAPBEXHLevel1 2 2" xfId="6912"/>
    <cellStyle name="SAPBEXHLevel1 2 2 2" xfId="60895"/>
    <cellStyle name="SAPBEXHLevel1 2 3" xfId="6913"/>
    <cellStyle name="SAPBEXHLevel1 2 3 2" xfId="60896"/>
    <cellStyle name="SAPBEXHLevel1 2 4" xfId="6914"/>
    <cellStyle name="SAPBEXHLevel1 2 4 2" xfId="60897"/>
    <cellStyle name="SAPBEXHLevel1 2 5" xfId="6915"/>
    <cellStyle name="SAPBEXHLevel1 2 5 2" xfId="60898"/>
    <cellStyle name="SAPBEXHLevel1 2 6" xfId="6916"/>
    <cellStyle name="SAPBEXHLevel1 2 6 2" xfId="60899"/>
    <cellStyle name="SAPBEXHLevel1 2 7" xfId="6917"/>
    <cellStyle name="SAPBEXHLevel1 2 7 2" xfId="60900"/>
    <cellStyle name="SAPBEXHLevel1 2 8" xfId="6918"/>
    <cellStyle name="SAPBEXHLevel1 2 8 2" xfId="60901"/>
    <cellStyle name="SAPBEXHLevel1 2 9" xfId="6919"/>
    <cellStyle name="SAPBEXHLevel1 2 9 2" xfId="60902"/>
    <cellStyle name="SAPBEXHLevel1 3" xfId="6920"/>
    <cellStyle name="SAPBEXHLevel1 3 2" xfId="60903"/>
    <cellStyle name="SAPBEXHLevel1 4" xfId="6921"/>
    <cellStyle name="SAPBEXHLevel1 4 2" xfId="60904"/>
    <cellStyle name="SAPBEXHLevel1 5" xfId="6922"/>
    <cellStyle name="SAPBEXHLevel1 5 2" xfId="60905"/>
    <cellStyle name="SAPBEXHLevel1 6" xfId="6923"/>
    <cellStyle name="SAPBEXHLevel1 6 2" xfId="60906"/>
    <cellStyle name="SAPBEXHLevel1 7" xfId="6924"/>
    <cellStyle name="SAPBEXHLevel1 7 2" xfId="60907"/>
    <cellStyle name="SAPBEXHLevel1 8" xfId="6925"/>
    <cellStyle name="SAPBEXHLevel1 8 2" xfId="60908"/>
    <cellStyle name="SAPBEXHLevel1 9" xfId="6926"/>
    <cellStyle name="SAPBEXHLevel1 9 2" xfId="60909"/>
    <cellStyle name="SAPBEXHLevel1X" xfId="6927"/>
    <cellStyle name="SAPBEXHLevel1X 10" xfId="6928"/>
    <cellStyle name="SAPBEXHLevel1X 10 2" xfId="60910"/>
    <cellStyle name="SAPBEXHLevel1X 11" xfId="6929"/>
    <cellStyle name="SAPBEXHLevel1X 11 2" xfId="60911"/>
    <cellStyle name="SAPBEXHLevel1X 12" xfId="6930"/>
    <cellStyle name="SAPBEXHLevel1X 2" xfId="6931"/>
    <cellStyle name="SAPBEXHLevel1X 2 10" xfId="6932"/>
    <cellStyle name="SAPBEXHLevel1X 2 10 2" xfId="60912"/>
    <cellStyle name="SAPBEXHLevel1X 2 11" xfId="6933"/>
    <cellStyle name="SAPBEXHLevel1X 2 2" xfId="6934"/>
    <cellStyle name="SAPBEXHLevel1X 2 2 2" xfId="60913"/>
    <cellStyle name="SAPBEXHLevel1X 2 3" xfId="6935"/>
    <cellStyle name="SAPBEXHLevel1X 2 3 2" xfId="60914"/>
    <cellStyle name="SAPBEXHLevel1X 2 4" xfId="6936"/>
    <cellStyle name="SAPBEXHLevel1X 2 4 2" xfId="60915"/>
    <cellStyle name="SAPBEXHLevel1X 2 5" xfId="6937"/>
    <cellStyle name="SAPBEXHLevel1X 2 5 2" xfId="60916"/>
    <cellStyle name="SAPBEXHLevel1X 2 6" xfId="6938"/>
    <cellStyle name="SAPBEXHLevel1X 2 6 2" xfId="60917"/>
    <cellStyle name="SAPBEXHLevel1X 2 7" xfId="6939"/>
    <cellStyle name="SAPBEXHLevel1X 2 7 2" xfId="60918"/>
    <cellStyle name="SAPBEXHLevel1X 2 8" xfId="6940"/>
    <cellStyle name="SAPBEXHLevel1X 2 8 2" xfId="60919"/>
    <cellStyle name="SAPBEXHLevel1X 2 9" xfId="6941"/>
    <cellStyle name="SAPBEXHLevel1X 2 9 2" xfId="60920"/>
    <cellStyle name="SAPBEXHLevel1X 3" xfId="6942"/>
    <cellStyle name="SAPBEXHLevel1X 3 2" xfId="60921"/>
    <cellStyle name="SAPBEXHLevel1X 4" xfId="6943"/>
    <cellStyle name="SAPBEXHLevel1X 4 2" xfId="60922"/>
    <cellStyle name="SAPBEXHLevel1X 5" xfId="6944"/>
    <cellStyle name="SAPBEXHLevel1X 5 2" xfId="60923"/>
    <cellStyle name="SAPBEXHLevel1X 6" xfId="6945"/>
    <cellStyle name="SAPBEXHLevel1X 6 2" xfId="60924"/>
    <cellStyle name="SAPBEXHLevel1X 7" xfId="6946"/>
    <cellStyle name="SAPBEXHLevel1X 7 2" xfId="60925"/>
    <cellStyle name="SAPBEXHLevel1X 8" xfId="6947"/>
    <cellStyle name="SAPBEXHLevel1X 8 2" xfId="60926"/>
    <cellStyle name="SAPBEXHLevel1X 9" xfId="6948"/>
    <cellStyle name="SAPBEXHLevel1X 9 2" xfId="60927"/>
    <cellStyle name="SAPBEXHLevel2" xfId="6949"/>
    <cellStyle name="SAPBEXHLevel2 10" xfId="6950"/>
    <cellStyle name="SAPBEXHLevel2 10 2" xfId="60928"/>
    <cellStyle name="SAPBEXHLevel2 11" xfId="6951"/>
    <cellStyle name="SAPBEXHLevel2 11 2" xfId="60929"/>
    <cellStyle name="SAPBEXHLevel2 12" xfId="6952"/>
    <cellStyle name="SAPBEXHLevel2 2" xfId="6953"/>
    <cellStyle name="SAPBEXHLevel2 2 10" xfId="6954"/>
    <cellStyle name="SAPBEXHLevel2 2 10 2" xfId="60930"/>
    <cellStyle name="SAPBEXHLevel2 2 11" xfId="6955"/>
    <cellStyle name="SAPBEXHLevel2 2 2" xfId="6956"/>
    <cellStyle name="SAPBEXHLevel2 2 2 2" xfId="60931"/>
    <cellStyle name="SAPBEXHLevel2 2 3" xfId="6957"/>
    <cellStyle name="SAPBEXHLevel2 2 3 2" xfId="60932"/>
    <cellStyle name="SAPBEXHLevel2 2 4" xfId="6958"/>
    <cellStyle name="SAPBEXHLevel2 2 4 2" xfId="60933"/>
    <cellStyle name="SAPBEXHLevel2 2 5" xfId="6959"/>
    <cellStyle name="SAPBEXHLevel2 2 5 2" xfId="60934"/>
    <cellStyle name="SAPBEXHLevel2 2 6" xfId="6960"/>
    <cellStyle name="SAPBEXHLevel2 2 6 2" xfId="60935"/>
    <cellStyle name="SAPBEXHLevel2 2 7" xfId="6961"/>
    <cellStyle name="SAPBEXHLevel2 2 7 2" xfId="60936"/>
    <cellStyle name="SAPBEXHLevel2 2 8" xfId="6962"/>
    <cellStyle name="SAPBEXHLevel2 2 8 2" xfId="60937"/>
    <cellStyle name="SAPBEXHLevel2 2 9" xfId="6963"/>
    <cellStyle name="SAPBEXHLevel2 2 9 2" xfId="60938"/>
    <cellStyle name="SAPBEXHLevel2 3" xfId="6964"/>
    <cellStyle name="SAPBEXHLevel2 3 2" xfId="60939"/>
    <cellStyle name="SAPBEXHLevel2 4" xfId="6965"/>
    <cellStyle name="SAPBEXHLevel2 4 2" xfId="60940"/>
    <cellStyle name="SAPBEXHLevel2 5" xfId="6966"/>
    <cellStyle name="SAPBEXHLevel2 5 2" xfId="60941"/>
    <cellStyle name="SAPBEXHLevel2 6" xfId="6967"/>
    <cellStyle name="SAPBEXHLevel2 6 2" xfId="60942"/>
    <cellStyle name="SAPBEXHLevel2 7" xfId="6968"/>
    <cellStyle name="SAPBEXHLevel2 7 2" xfId="60943"/>
    <cellStyle name="SAPBEXHLevel2 8" xfId="6969"/>
    <cellStyle name="SAPBEXHLevel2 8 2" xfId="60944"/>
    <cellStyle name="SAPBEXHLevel2 9" xfId="6970"/>
    <cellStyle name="SAPBEXHLevel2 9 2" xfId="60945"/>
    <cellStyle name="SAPBEXHLevel2X" xfId="6971"/>
    <cellStyle name="SAPBEXHLevel2X 10" xfId="6972"/>
    <cellStyle name="SAPBEXHLevel2X 10 2" xfId="60946"/>
    <cellStyle name="SAPBEXHLevel2X 11" xfId="6973"/>
    <cellStyle name="SAPBEXHLevel2X 11 2" xfId="60947"/>
    <cellStyle name="SAPBEXHLevel2X 12" xfId="6974"/>
    <cellStyle name="SAPBEXHLevel2X 2" xfId="6975"/>
    <cellStyle name="SAPBEXHLevel2X 2 10" xfId="6976"/>
    <cellStyle name="SAPBEXHLevel2X 2 10 2" xfId="60948"/>
    <cellStyle name="SAPBEXHLevel2X 2 11" xfId="6977"/>
    <cellStyle name="SAPBEXHLevel2X 2 2" xfId="6978"/>
    <cellStyle name="SAPBEXHLevel2X 2 2 2" xfId="60949"/>
    <cellStyle name="SAPBEXHLevel2X 2 3" xfId="6979"/>
    <cellStyle name="SAPBEXHLevel2X 2 3 2" xfId="60950"/>
    <cellStyle name="SAPBEXHLevel2X 2 4" xfId="6980"/>
    <cellStyle name="SAPBEXHLevel2X 2 4 2" xfId="60951"/>
    <cellStyle name="SAPBEXHLevel2X 2 5" xfId="6981"/>
    <cellStyle name="SAPBEXHLevel2X 2 5 2" xfId="60952"/>
    <cellStyle name="SAPBEXHLevel2X 2 6" xfId="6982"/>
    <cellStyle name="SAPBEXHLevel2X 2 6 2" xfId="60953"/>
    <cellStyle name="SAPBEXHLevel2X 2 7" xfId="6983"/>
    <cellStyle name="SAPBEXHLevel2X 2 7 2" xfId="60954"/>
    <cellStyle name="SAPBEXHLevel2X 2 8" xfId="6984"/>
    <cellStyle name="SAPBEXHLevel2X 2 8 2" xfId="60955"/>
    <cellStyle name="SAPBEXHLevel2X 2 9" xfId="6985"/>
    <cellStyle name="SAPBEXHLevel2X 2 9 2" xfId="60956"/>
    <cellStyle name="SAPBEXHLevel2X 3" xfId="6986"/>
    <cellStyle name="SAPBEXHLevel2X 3 2" xfId="60957"/>
    <cellStyle name="SAPBEXHLevel2X 4" xfId="6987"/>
    <cellStyle name="SAPBEXHLevel2X 4 2" xfId="60958"/>
    <cellStyle name="SAPBEXHLevel2X 5" xfId="6988"/>
    <cellStyle name="SAPBEXHLevel2X 5 2" xfId="60959"/>
    <cellStyle name="SAPBEXHLevel2X 6" xfId="6989"/>
    <cellStyle name="SAPBEXHLevel2X 6 2" xfId="60960"/>
    <cellStyle name="SAPBEXHLevel2X 7" xfId="6990"/>
    <cellStyle name="SAPBEXHLevel2X 7 2" xfId="60961"/>
    <cellStyle name="SAPBEXHLevel2X 8" xfId="6991"/>
    <cellStyle name="SAPBEXHLevel2X 8 2" xfId="60962"/>
    <cellStyle name="SAPBEXHLevel2X 9" xfId="6992"/>
    <cellStyle name="SAPBEXHLevel2X 9 2" xfId="60963"/>
    <cellStyle name="SAPBEXHLevel3" xfId="6993"/>
    <cellStyle name="SAPBEXHLevel3 10" xfId="6994"/>
    <cellStyle name="SAPBEXHLevel3 10 2" xfId="60964"/>
    <cellStyle name="SAPBEXHLevel3 11" xfId="6995"/>
    <cellStyle name="SAPBEXHLevel3 11 2" xfId="60965"/>
    <cellStyle name="SAPBEXHLevel3 12" xfId="6996"/>
    <cellStyle name="SAPBEXHLevel3 2" xfId="6997"/>
    <cellStyle name="SAPBEXHLevel3 2 10" xfId="6998"/>
    <cellStyle name="SAPBEXHLevel3 2 10 2" xfId="60966"/>
    <cellStyle name="SAPBEXHLevel3 2 11" xfId="6999"/>
    <cellStyle name="SAPBEXHLevel3 2 2" xfId="7000"/>
    <cellStyle name="SAPBEXHLevel3 2 2 2" xfId="60967"/>
    <cellStyle name="SAPBEXHLevel3 2 3" xfId="7001"/>
    <cellStyle name="SAPBEXHLevel3 2 3 2" xfId="60968"/>
    <cellStyle name="SAPBEXHLevel3 2 4" xfId="7002"/>
    <cellStyle name="SAPBEXHLevel3 2 4 2" xfId="60969"/>
    <cellStyle name="SAPBEXHLevel3 2 5" xfId="7003"/>
    <cellStyle name="SAPBEXHLevel3 2 5 2" xfId="60970"/>
    <cellStyle name="SAPBEXHLevel3 2 6" xfId="7004"/>
    <cellStyle name="SAPBEXHLevel3 2 6 2" xfId="60971"/>
    <cellStyle name="SAPBEXHLevel3 2 7" xfId="7005"/>
    <cellStyle name="SAPBEXHLevel3 2 7 2" xfId="60972"/>
    <cellStyle name="SAPBEXHLevel3 2 8" xfId="7006"/>
    <cellStyle name="SAPBEXHLevel3 2 8 2" xfId="60973"/>
    <cellStyle name="SAPBEXHLevel3 2 9" xfId="7007"/>
    <cellStyle name="SAPBEXHLevel3 2 9 2" xfId="60974"/>
    <cellStyle name="SAPBEXHLevel3 3" xfId="7008"/>
    <cellStyle name="SAPBEXHLevel3 3 2" xfId="60975"/>
    <cellStyle name="SAPBEXHLevel3 4" xfId="7009"/>
    <cellStyle name="SAPBEXHLevel3 4 2" xfId="60976"/>
    <cellStyle name="SAPBEXHLevel3 5" xfId="7010"/>
    <cellStyle name="SAPBEXHLevel3 5 2" xfId="60977"/>
    <cellStyle name="SAPBEXHLevel3 6" xfId="7011"/>
    <cellStyle name="SAPBEXHLevel3 6 2" xfId="60978"/>
    <cellStyle name="SAPBEXHLevel3 7" xfId="7012"/>
    <cellStyle name="SAPBEXHLevel3 7 2" xfId="60979"/>
    <cellStyle name="SAPBEXHLevel3 8" xfId="7013"/>
    <cellStyle name="SAPBEXHLevel3 8 2" xfId="60980"/>
    <cellStyle name="SAPBEXHLevel3 9" xfId="7014"/>
    <cellStyle name="SAPBEXHLevel3 9 2" xfId="60981"/>
    <cellStyle name="SAPBEXHLevel3X" xfId="7015"/>
    <cellStyle name="SAPBEXHLevel3X 10" xfId="7016"/>
    <cellStyle name="SAPBEXHLevel3X 10 2" xfId="60982"/>
    <cellStyle name="SAPBEXHLevel3X 11" xfId="7017"/>
    <cellStyle name="SAPBEXHLevel3X 11 2" xfId="60983"/>
    <cellStyle name="SAPBEXHLevel3X 12" xfId="7018"/>
    <cellStyle name="SAPBEXHLevel3X 2" xfId="7019"/>
    <cellStyle name="SAPBEXHLevel3X 2 10" xfId="7020"/>
    <cellStyle name="SAPBEXHLevel3X 2 10 2" xfId="60984"/>
    <cellStyle name="SAPBEXHLevel3X 2 11" xfId="7021"/>
    <cellStyle name="SAPBEXHLevel3X 2 2" xfId="7022"/>
    <cellStyle name="SAPBEXHLevel3X 2 2 2" xfId="60985"/>
    <cellStyle name="SAPBEXHLevel3X 2 3" xfId="7023"/>
    <cellStyle name="SAPBEXHLevel3X 2 3 2" xfId="60986"/>
    <cellStyle name="SAPBEXHLevel3X 2 4" xfId="7024"/>
    <cellStyle name="SAPBEXHLevel3X 2 4 2" xfId="60987"/>
    <cellStyle name="SAPBEXHLevel3X 2 5" xfId="7025"/>
    <cellStyle name="SAPBEXHLevel3X 2 5 2" xfId="60988"/>
    <cellStyle name="SAPBEXHLevel3X 2 6" xfId="7026"/>
    <cellStyle name="SAPBEXHLevel3X 2 6 2" xfId="60989"/>
    <cellStyle name="SAPBEXHLevel3X 2 7" xfId="7027"/>
    <cellStyle name="SAPBEXHLevel3X 2 7 2" xfId="60990"/>
    <cellStyle name="SAPBEXHLevel3X 2 8" xfId="7028"/>
    <cellStyle name="SAPBEXHLevel3X 2 8 2" xfId="60991"/>
    <cellStyle name="SAPBEXHLevel3X 2 9" xfId="7029"/>
    <cellStyle name="SAPBEXHLevel3X 2 9 2" xfId="60992"/>
    <cellStyle name="SAPBEXHLevel3X 3" xfId="7030"/>
    <cellStyle name="SAPBEXHLevel3X 3 2" xfId="60993"/>
    <cellStyle name="SAPBEXHLevel3X 4" xfId="7031"/>
    <cellStyle name="SAPBEXHLevel3X 4 2" xfId="60994"/>
    <cellStyle name="SAPBEXHLevel3X 5" xfId="7032"/>
    <cellStyle name="SAPBEXHLevel3X 5 2" xfId="60995"/>
    <cellStyle name="SAPBEXHLevel3X 6" xfId="7033"/>
    <cellStyle name="SAPBEXHLevel3X 6 2" xfId="60996"/>
    <cellStyle name="SAPBEXHLevel3X 7" xfId="7034"/>
    <cellStyle name="SAPBEXHLevel3X 7 2" xfId="60997"/>
    <cellStyle name="SAPBEXHLevel3X 8" xfId="7035"/>
    <cellStyle name="SAPBEXHLevel3X 8 2" xfId="60998"/>
    <cellStyle name="SAPBEXHLevel3X 9" xfId="7036"/>
    <cellStyle name="SAPBEXHLevel3X 9 2" xfId="60999"/>
    <cellStyle name="SAPBEXresData" xfId="7037"/>
    <cellStyle name="SAPBEXresData 10" xfId="7038"/>
    <cellStyle name="SAPBEXresData 10 2" xfId="61000"/>
    <cellStyle name="SAPBEXresData 11" xfId="7039"/>
    <cellStyle name="SAPBEXresData 2" xfId="7040"/>
    <cellStyle name="SAPBEXresData 2 2" xfId="61001"/>
    <cellStyle name="SAPBEXresData 3" xfId="7041"/>
    <cellStyle name="SAPBEXresData 3 2" xfId="61002"/>
    <cellStyle name="SAPBEXresData 4" xfId="7042"/>
    <cellStyle name="SAPBEXresData 4 2" xfId="61003"/>
    <cellStyle name="SAPBEXresData 5" xfId="7043"/>
    <cellStyle name="SAPBEXresData 5 2" xfId="61004"/>
    <cellStyle name="SAPBEXresData 6" xfId="7044"/>
    <cellStyle name="SAPBEXresData 6 2" xfId="61005"/>
    <cellStyle name="SAPBEXresData 7" xfId="7045"/>
    <cellStyle name="SAPBEXresData 7 2" xfId="61006"/>
    <cellStyle name="SAPBEXresData 8" xfId="7046"/>
    <cellStyle name="SAPBEXresData 8 2" xfId="61007"/>
    <cellStyle name="SAPBEXresData 9" xfId="7047"/>
    <cellStyle name="SAPBEXresData 9 2" xfId="61008"/>
    <cellStyle name="SAPBEXresDataEmph" xfId="7048"/>
    <cellStyle name="SAPBEXresDataEmph 10" xfId="7049"/>
    <cellStyle name="SAPBEXresDataEmph 10 2" xfId="61009"/>
    <cellStyle name="SAPBEXresDataEmph 11" xfId="7050"/>
    <cellStyle name="SAPBEXresDataEmph 2" xfId="7051"/>
    <cellStyle name="SAPBEXresDataEmph 2 2" xfId="61010"/>
    <cellStyle name="SAPBEXresDataEmph 3" xfId="7052"/>
    <cellStyle name="SAPBEXresDataEmph 3 2" xfId="61011"/>
    <cellStyle name="SAPBEXresDataEmph 4" xfId="7053"/>
    <cellStyle name="SAPBEXresDataEmph 4 2" xfId="61012"/>
    <cellStyle name="SAPBEXresDataEmph 5" xfId="7054"/>
    <cellStyle name="SAPBEXresDataEmph 5 2" xfId="61013"/>
    <cellStyle name="SAPBEXresDataEmph 6" xfId="7055"/>
    <cellStyle name="SAPBEXresDataEmph 6 2" xfId="61014"/>
    <cellStyle name="SAPBEXresDataEmph 7" xfId="7056"/>
    <cellStyle name="SAPBEXresDataEmph 7 2" xfId="61015"/>
    <cellStyle name="SAPBEXresDataEmph 8" xfId="7057"/>
    <cellStyle name="SAPBEXresDataEmph 8 2" xfId="61016"/>
    <cellStyle name="SAPBEXresDataEmph 9" xfId="7058"/>
    <cellStyle name="SAPBEXresDataEmph 9 2" xfId="61017"/>
    <cellStyle name="SAPBEXresItem" xfId="7059"/>
    <cellStyle name="SAPBEXresItem 10" xfId="7060"/>
    <cellStyle name="SAPBEXresItem 10 2" xfId="61018"/>
    <cellStyle name="SAPBEXresItem 11" xfId="7061"/>
    <cellStyle name="SAPBEXresItem 11 2" xfId="61019"/>
    <cellStyle name="SAPBEXresItem 12" xfId="7062"/>
    <cellStyle name="SAPBEXresItem 2" xfId="7063"/>
    <cellStyle name="SAPBEXresItem 2 10" xfId="7064"/>
    <cellStyle name="SAPBEXresItem 2 10 2" xfId="61020"/>
    <cellStyle name="SAPBEXresItem 2 11" xfId="7065"/>
    <cellStyle name="SAPBEXresItem 2 2" xfId="7066"/>
    <cellStyle name="SAPBEXresItem 2 2 2" xfId="61021"/>
    <cellStyle name="SAPBEXresItem 2 3" xfId="7067"/>
    <cellStyle name="SAPBEXresItem 2 3 2" xfId="61022"/>
    <cellStyle name="SAPBEXresItem 2 4" xfId="7068"/>
    <cellStyle name="SAPBEXresItem 2 4 2" xfId="61023"/>
    <cellStyle name="SAPBEXresItem 2 5" xfId="7069"/>
    <cellStyle name="SAPBEXresItem 2 5 2" xfId="61024"/>
    <cellStyle name="SAPBEXresItem 2 6" xfId="7070"/>
    <cellStyle name="SAPBEXresItem 2 6 2" xfId="61025"/>
    <cellStyle name="SAPBEXresItem 2 7" xfId="7071"/>
    <cellStyle name="SAPBEXresItem 2 7 2" xfId="61026"/>
    <cellStyle name="SAPBEXresItem 2 8" xfId="7072"/>
    <cellStyle name="SAPBEXresItem 2 8 2" xfId="61027"/>
    <cellStyle name="SAPBEXresItem 2 9" xfId="7073"/>
    <cellStyle name="SAPBEXresItem 2 9 2" xfId="61028"/>
    <cellStyle name="SAPBEXresItem 3" xfId="7074"/>
    <cellStyle name="SAPBEXresItem 3 2" xfId="61029"/>
    <cellStyle name="SAPBEXresItem 4" xfId="7075"/>
    <cellStyle name="SAPBEXresItem 4 2" xfId="61030"/>
    <cellStyle name="SAPBEXresItem 5" xfId="7076"/>
    <cellStyle name="SAPBEXresItem 5 2" xfId="61031"/>
    <cellStyle name="SAPBEXresItem 6" xfId="7077"/>
    <cellStyle name="SAPBEXresItem 6 2" xfId="61032"/>
    <cellStyle name="SAPBEXresItem 7" xfId="7078"/>
    <cellStyle name="SAPBEXresItem 7 2" xfId="61033"/>
    <cellStyle name="SAPBEXresItem 8" xfId="7079"/>
    <cellStyle name="SAPBEXresItem 8 2" xfId="61034"/>
    <cellStyle name="SAPBEXresItem 9" xfId="7080"/>
    <cellStyle name="SAPBEXresItem 9 2" xfId="61035"/>
    <cellStyle name="SAPBEXresItemX" xfId="7081"/>
    <cellStyle name="SAPBEXresItemX 10" xfId="7082"/>
    <cellStyle name="SAPBEXresItemX 10 2" xfId="61036"/>
    <cellStyle name="SAPBEXresItemX 11" xfId="7083"/>
    <cellStyle name="SAPBEXresItemX 11 2" xfId="61037"/>
    <cellStyle name="SAPBEXresItemX 12" xfId="7084"/>
    <cellStyle name="SAPBEXresItemX 2" xfId="7085"/>
    <cellStyle name="SAPBEXresItemX 2 10" xfId="7086"/>
    <cellStyle name="SAPBEXresItemX 2 10 2" xfId="61038"/>
    <cellStyle name="SAPBEXresItemX 2 11" xfId="7087"/>
    <cellStyle name="SAPBEXresItemX 2 2" xfId="7088"/>
    <cellStyle name="SAPBEXresItemX 2 2 2" xfId="61039"/>
    <cellStyle name="SAPBEXresItemX 2 3" xfId="7089"/>
    <cellStyle name="SAPBEXresItemX 2 3 2" xfId="61040"/>
    <cellStyle name="SAPBEXresItemX 2 4" xfId="7090"/>
    <cellStyle name="SAPBEXresItemX 2 4 2" xfId="61041"/>
    <cellStyle name="SAPBEXresItemX 2 5" xfId="7091"/>
    <cellStyle name="SAPBEXresItemX 2 5 2" xfId="61042"/>
    <cellStyle name="SAPBEXresItemX 2 6" xfId="7092"/>
    <cellStyle name="SAPBEXresItemX 2 6 2" xfId="61043"/>
    <cellStyle name="SAPBEXresItemX 2 7" xfId="7093"/>
    <cellStyle name="SAPBEXresItemX 2 7 2" xfId="61044"/>
    <cellStyle name="SAPBEXresItemX 2 8" xfId="7094"/>
    <cellStyle name="SAPBEXresItemX 2 8 2" xfId="61045"/>
    <cellStyle name="SAPBEXresItemX 2 9" xfId="7095"/>
    <cellStyle name="SAPBEXresItemX 2 9 2" xfId="61046"/>
    <cellStyle name="SAPBEXresItemX 3" xfId="7096"/>
    <cellStyle name="SAPBEXresItemX 3 2" xfId="61047"/>
    <cellStyle name="SAPBEXresItemX 4" xfId="7097"/>
    <cellStyle name="SAPBEXresItemX 4 2" xfId="61048"/>
    <cellStyle name="SAPBEXresItemX 5" xfId="7098"/>
    <cellStyle name="SAPBEXresItemX 5 2" xfId="61049"/>
    <cellStyle name="SAPBEXresItemX 6" xfId="7099"/>
    <cellStyle name="SAPBEXresItemX 6 2" xfId="61050"/>
    <cellStyle name="SAPBEXresItemX 7" xfId="7100"/>
    <cellStyle name="SAPBEXresItemX 7 2" xfId="61051"/>
    <cellStyle name="SAPBEXresItemX 8" xfId="7101"/>
    <cellStyle name="SAPBEXresItemX 8 2" xfId="61052"/>
    <cellStyle name="SAPBEXresItemX 9" xfId="7102"/>
    <cellStyle name="SAPBEXresItemX 9 2" xfId="61053"/>
    <cellStyle name="SAPBEXstdData" xfId="7103"/>
    <cellStyle name="SAPBEXstdData 10" xfId="7104"/>
    <cellStyle name="SAPBEXstdData 10 2" xfId="61054"/>
    <cellStyle name="SAPBEXstdData 11" xfId="7105"/>
    <cellStyle name="SAPBEXstdData 11 2" xfId="61055"/>
    <cellStyle name="SAPBEXstdData 12" xfId="7106"/>
    <cellStyle name="SAPBEXstdData 2" xfId="7107"/>
    <cellStyle name="SAPBEXstdData 2 10" xfId="7108"/>
    <cellStyle name="SAPBEXstdData 2 10 2" xfId="61056"/>
    <cellStyle name="SAPBEXstdData 2 11" xfId="7109"/>
    <cellStyle name="SAPBEXstdData 2 2" xfId="7110"/>
    <cellStyle name="SAPBEXstdData 2 2 2" xfId="61057"/>
    <cellStyle name="SAPBEXstdData 2 3" xfId="7111"/>
    <cellStyle name="SAPBEXstdData 2 3 2" xfId="61058"/>
    <cellStyle name="SAPBEXstdData 2 4" xfId="7112"/>
    <cellStyle name="SAPBEXstdData 2 4 2" xfId="61059"/>
    <cellStyle name="SAPBEXstdData 2 5" xfId="7113"/>
    <cellStyle name="SAPBEXstdData 2 5 2" xfId="61060"/>
    <cellStyle name="SAPBEXstdData 2 6" xfId="7114"/>
    <cellStyle name="SAPBEXstdData 2 6 2" xfId="61061"/>
    <cellStyle name="SAPBEXstdData 2 7" xfId="7115"/>
    <cellStyle name="SAPBEXstdData 2 7 2" xfId="61062"/>
    <cellStyle name="SAPBEXstdData 2 8" xfId="7116"/>
    <cellStyle name="SAPBEXstdData 2 8 2" xfId="61063"/>
    <cellStyle name="SAPBEXstdData 2 9" xfId="7117"/>
    <cellStyle name="SAPBEXstdData 2 9 2" xfId="61064"/>
    <cellStyle name="SAPBEXstdData 3" xfId="7118"/>
    <cellStyle name="SAPBEXstdData 3 2" xfId="61065"/>
    <cellStyle name="SAPBEXstdData 4" xfId="7119"/>
    <cellStyle name="SAPBEXstdData 4 2" xfId="61066"/>
    <cellStyle name="SAPBEXstdData 5" xfId="7120"/>
    <cellStyle name="SAPBEXstdData 5 2" xfId="61067"/>
    <cellStyle name="SAPBEXstdData 6" xfId="7121"/>
    <cellStyle name="SAPBEXstdData 6 2" xfId="61068"/>
    <cellStyle name="SAPBEXstdData 7" xfId="7122"/>
    <cellStyle name="SAPBEXstdData 7 2" xfId="61069"/>
    <cellStyle name="SAPBEXstdData 8" xfId="7123"/>
    <cellStyle name="SAPBEXstdData 8 2" xfId="61070"/>
    <cellStyle name="SAPBEXstdData 9" xfId="7124"/>
    <cellStyle name="SAPBEXstdData 9 2" xfId="61071"/>
    <cellStyle name="SAPBEXstdDataEmph" xfId="7125"/>
    <cellStyle name="SAPBEXstdDataEmph 10" xfId="7126"/>
    <cellStyle name="SAPBEXstdDataEmph 10 2" xfId="61072"/>
    <cellStyle name="SAPBEXstdDataEmph 11" xfId="7127"/>
    <cellStyle name="SAPBEXstdDataEmph 11 2" xfId="61073"/>
    <cellStyle name="SAPBEXstdDataEmph 12" xfId="7128"/>
    <cellStyle name="SAPBEXstdDataEmph 2" xfId="7129"/>
    <cellStyle name="SAPBEXstdDataEmph 2 10" xfId="7130"/>
    <cellStyle name="SAPBEXstdDataEmph 2 10 2" xfId="61074"/>
    <cellStyle name="SAPBEXstdDataEmph 2 11" xfId="7131"/>
    <cellStyle name="SAPBEXstdDataEmph 2 2" xfId="7132"/>
    <cellStyle name="SAPBEXstdDataEmph 2 2 2" xfId="61075"/>
    <cellStyle name="SAPBEXstdDataEmph 2 3" xfId="7133"/>
    <cellStyle name="SAPBEXstdDataEmph 2 3 2" xfId="61076"/>
    <cellStyle name="SAPBEXstdDataEmph 2 4" xfId="7134"/>
    <cellStyle name="SAPBEXstdDataEmph 2 4 2" xfId="61077"/>
    <cellStyle name="SAPBEXstdDataEmph 2 5" xfId="7135"/>
    <cellStyle name="SAPBEXstdDataEmph 2 5 2" xfId="61078"/>
    <cellStyle name="SAPBEXstdDataEmph 2 6" xfId="7136"/>
    <cellStyle name="SAPBEXstdDataEmph 2 6 2" xfId="61079"/>
    <cellStyle name="SAPBEXstdDataEmph 2 7" xfId="7137"/>
    <cellStyle name="SAPBEXstdDataEmph 2 7 2" xfId="61080"/>
    <cellStyle name="SAPBEXstdDataEmph 2 8" xfId="7138"/>
    <cellStyle name="SAPBEXstdDataEmph 2 8 2" xfId="61081"/>
    <cellStyle name="SAPBEXstdDataEmph 2 9" xfId="7139"/>
    <cellStyle name="SAPBEXstdDataEmph 2 9 2" xfId="61082"/>
    <cellStyle name="SAPBEXstdDataEmph 3" xfId="7140"/>
    <cellStyle name="SAPBEXstdDataEmph 3 2" xfId="61083"/>
    <cellStyle name="SAPBEXstdDataEmph 4" xfId="7141"/>
    <cellStyle name="SAPBEXstdDataEmph 4 2" xfId="61084"/>
    <cellStyle name="SAPBEXstdDataEmph 5" xfId="7142"/>
    <cellStyle name="SAPBEXstdDataEmph 5 2" xfId="61085"/>
    <cellStyle name="SAPBEXstdDataEmph 6" xfId="7143"/>
    <cellStyle name="SAPBEXstdDataEmph 6 2" xfId="61086"/>
    <cellStyle name="SAPBEXstdDataEmph 7" xfId="7144"/>
    <cellStyle name="SAPBEXstdDataEmph 7 2" xfId="61087"/>
    <cellStyle name="SAPBEXstdDataEmph 8" xfId="7145"/>
    <cellStyle name="SAPBEXstdDataEmph 8 2" xfId="61088"/>
    <cellStyle name="SAPBEXstdDataEmph 9" xfId="7146"/>
    <cellStyle name="SAPBEXstdDataEmph 9 2" xfId="61089"/>
    <cellStyle name="SAPBEXstdItem" xfId="7147"/>
    <cellStyle name="SAPBEXstdItem 10" xfId="7148"/>
    <cellStyle name="SAPBEXstdItem 10 2" xfId="61090"/>
    <cellStyle name="SAPBEXstdItem 11" xfId="7149"/>
    <cellStyle name="SAPBEXstdItem 11 2" xfId="61091"/>
    <cellStyle name="SAPBEXstdItem 12" xfId="7150"/>
    <cellStyle name="SAPBEXstdItem 2" xfId="7151"/>
    <cellStyle name="SAPBEXstdItem 2 10" xfId="7152"/>
    <cellStyle name="SAPBEXstdItem 2 10 2" xfId="61092"/>
    <cellStyle name="SAPBEXstdItem 2 11" xfId="7153"/>
    <cellStyle name="SAPBEXstdItem 2 2" xfId="7154"/>
    <cellStyle name="SAPBEXstdItem 2 2 2" xfId="61093"/>
    <cellStyle name="SAPBEXstdItem 2 3" xfId="7155"/>
    <cellStyle name="SAPBEXstdItem 2 3 2" xfId="61094"/>
    <cellStyle name="SAPBEXstdItem 2 4" xfId="7156"/>
    <cellStyle name="SAPBEXstdItem 2 4 2" xfId="61095"/>
    <cellStyle name="SAPBEXstdItem 2 5" xfId="7157"/>
    <cellStyle name="SAPBEXstdItem 2 5 2" xfId="61096"/>
    <cellStyle name="SAPBEXstdItem 2 6" xfId="7158"/>
    <cellStyle name="SAPBEXstdItem 2 6 2" xfId="61097"/>
    <cellStyle name="SAPBEXstdItem 2 7" xfId="7159"/>
    <cellStyle name="SAPBEXstdItem 2 7 2" xfId="61098"/>
    <cellStyle name="SAPBEXstdItem 2 8" xfId="7160"/>
    <cellStyle name="SAPBEXstdItem 2 8 2" xfId="61099"/>
    <cellStyle name="SAPBEXstdItem 2 9" xfId="7161"/>
    <cellStyle name="SAPBEXstdItem 2 9 2" xfId="61100"/>
    <cellStyle name="SAPBEXstdItem 3" xfId="7162"/>
    <cellStyle name="SAPBEXstdItem 3 2" xfId="61101"/>
    <cellStyle name="SAPBEXstdItem 4" xfId="7163"/>
    <cellStyle name="SAPBEXstdItem 4 2" xfId="61102"/>
    <cellStyle name="SAPBEXstdItem 5" xfId="7164"/>
    <cellStyle name="SAPBEXstdItem 5 2" xfId="61103"/>
    <cellStyle name="SAPBEXstdItem 6" xfId="7165"/>
    <cellStyle name="SAPBEXstdItem 6 2" xfId="61104"/>
    <cellStyle name="SAPBEXstdItem 7" xfId="7166"/>
    <cellStyle name="SAPBEXstdItem 7 2" xfId="61105"/>
    <cellStyle name="SAPBEXstdItem 8" xfId="7167"/>
    <cellStyle name="SAPBEXstdItem 8 2" xfId="61106"/>
    <cellStyle name="SAPBEXstdItem 9" xfId="7168"/>
    <cellStyle name="SAPBEXstdItem 9 2" xfId="61107"/>
    <cellStyle name="SAPBEXstdItemX" xfId="7169"/>
    <cellStyle name="SAPBEXstdItemX 10" xfId="7170"/>
    <cellStyle name="SAPBEXstdItemX 10 2" xfId="61108"/>
    <cellStyle name="SAPBEXstdItemX 11" xfId="7171"/>
    <cellStyle name="SAPBEXstdItemX 11 2" xfId="61109"/>
    <cellStyle name="SAPBEXstdItemX 12" xfId="7172"/>
    <cellStyle name="SAPBEXstdItemX 2" xfId="7173"/>
    <cellStyle name="SAPBEXstdItemX 2 10" xfId="7174"/>
    <cellStyle name="SAPBEXstdItemX 2 10 2" xfId="61110"/>
    <cellStyle name="SAPBEXstdItemX 2 11" xfId="7175"/>
    <cellStyle name="SAPBEXstdItemX 2 2" xfId="7176"/>
    <cellStyle name="SAPBEXstdItemX 2 2 2" xfId="61111"/>
    <cellStyle name="SAPBEXstdItemX 2 3" xfId="7177"/>
    <cellStyle name="SAPBEXstdItemX 2 3 2" xfId="61112"/>
    <cellStyle name="SAPBEXstdItemX 2 4" xfId="7178"/>
    <cellStyle name="SAPBEXstdItemX 2 4 2" xfId="61113"/>
    <cellStyle name="SAPBEXstdItemX 2 5" xfId="7179"/>
    <cellStyle name="SAPBEXstdItemX 2 5 2" xfId="61114"/>
    <cellStyle name="SAPBEXstdItemX 2 6" xfId="7180"/>
    <cellStyle name="SAPBEXstdItemX 2 6 2" xfId="61115"/>
    <cellStyle name="SAPBEXstdItemX 2 7" xfId="7181"/>
    <cellStyle name="SAPBEXstdItemX 2 7 2" xfId="61116"/>
    <cellStyle name="SAPBEXstdItemX 2 8" xfId="7182"/>
    <cellStyle name="SAPBEXstdItemX 2 8 2" xfId="61117"/>
    <cellStyle name="SAPBEXstdItemX 2 9" xfId="7183"/>
    <cellStyle name="SAPBEXstdItemX 2 9 2" xfId="61118"/>
    <cellStyle name="SAPBEXstdItemX 3" xfId="7184"/>
    <cellStyle name="SAPBEXstdItemX 3 2" xfId="61119"/>
    <cellStyle name="SAPBEXstdItemX 4" xfId="7185"/>
    <cellStyle name="SAPBEXstdItemX 4 2" xfId="61120"/>
    <cellStyle name="SAPBEXstdItemX 5" xfId="7186"/>
    <cellStyle name="SAPBEXstdItemX 5 2" xfId="61121"/>
    <cellStyle name="SAPBEXstdItemX 6" xfId="7187"/>
    <cellStyle name="SAPBEXstdItemX 6 2" xfId="61122"/>
    <cellStyle name="SAPBEXstdItemX 7" xfId="7188"/>
    <cellStyle name="SAPBEXstdItemX 7 2" xfId="61123"/>
    <cellStyle name="SAPBEXstdItemX 8" xfId="7189"/>
    <cellStyle name="SAPBEXstdItemX 8 2" xfId="61124"/>
    <cellStyle name="SAPBEXstdItemX 9" xfId="7190"/>
    <cellStyle name="SAPBEXstdItemX 9 2" xfId="61125"/>
    <cellStyle name="SAPBEXtitle" xfId="7191"/>
    <cellStyle name="SAPBEXundefined" xfId="7192"/>
    <cellStyle name="SAPBEXundefined 10" xfId="7193"/>
    <cellStyle name="SAPBEXundefined 10 2" xfId="61126"/>
    <cellStyle name="SAPBEXundefined 11" xfId="7194"/>
    <cellStyle name="SAPBEXundefined 11 2" xfId="61127"/>
    <cellStyle name="SAPBEXundefined 12" xfId="7195"/>
    <cellStyle name="SAPBEXundefined 2" xfId="7196"/>
    <cellStyle name="SAPBEXundefined 2 10" xfId="7197"/>
    <cellStyle name="SAPBEXundefined 2 10 2" xfId="61128"/>
    <cellStyle name="SAPBEXundefined 2 11" xfId="7198"/>
    <cellStyle name="SAPBEXundefined 2 2" xfId="7199"/>
    <cellStyle name="SAPBEXundefined 2 2 2" xfId="61129"/>
    <cellStyle name="SAPBEXundefined 2 3" xfId="7200"/>
    <cellStyle name="SAPBEXundefined 2 3 2" xfId="61130"/>
    <cellStyle name="SAPBEXundefined 2 4" xfId="7201"/>
    <cellStyle name="SAPBEXundefined 2 4 2" xfId="61131"/>
    <cellStyle name="SAPBEXundefined 2 5" xfId="7202"/>
    <cellStyle name="SAPBEXundefined 2 5 2" xfId="61132"/>
    <cellStyle name="SAPBEXundefined 2 6" xfId="7203"/>
    <cellStyle name="SAPBEXundefined 2 6 2" xfId="61133"/>
    <cellStyle name="SAPBEXundefined 2 7" xfId="7204"/>
    <cellStyle name="SAPBEXundefined 2 7 2" xfId="61134"/>
    <cellStyle name="SAPBEXundefined 2 8" xfId="7205"/>
    <cellStyle name="SAPBEXundefined 2 8 2" xfId="61135"/>
    <cellStyle name="SAPBEXundefined 2 9" xfId="7206"/>
    <cellStyle name="SAPBEXundefined 2 9 2" xfId="61136"/>
    <cellStyle name="SAPBEXundefined 3" xfId="7207"/>
    <cellStyle name="SAPBEXundefined 3 2" xfId="61137"/>
    <cellStyle name="SAPBEXundefined 4" xfId="7208"/>
    <cellStyle name="SAPBEXundefined 4 2" xfId="61138"/>
    <cellStyle name="SAPBEXundefined 5" xfId="7209"/>
    <cellStyle name="SAPBEXundefined 5 2" xfId="61139"/>
    <cellStyle name="SAPBEXundefined 6" xfId="7210"/>
    <cellStyle name="SAPBEXundefined 6 2" xfId="61140"/>
    <cellStyle name="SAPBEXundefined 7" xfId="7211"/>
    <cellStyle name="SAPBEXundefined 7 2" xfId="61141"/>
    <cellStyle name="SAPBEXundefined 8" xfId="7212"/>
    <cellStyle name="SAPBEXundefined 8 2" xfId="61142"/>
    <cellStyle name="SAPBEXundefined 9" xfId="7213"/>
    <cellStyle name="SAPBEXundefined 9 2" xfId="61143"/>
    <cellStyle name="SAPDataCell" xfId="61144"/>
    <cellStyle name="SAPDataTotalCell" xfId="61145"/>
    <cellStyle name="SAPDimensionCell" xfId="61146"/>
    <cellStyle name="SAPEmphasized" xfId="61147"/>
    <cellStyle name="SAPHierarchyCell0" xfId="61148"/>
    <cellStyle name="SAPHierarchyCell1" xfId="61149"/>
    <cellStyle name="SAPHierarchyCell2" xfId="61150"/>
    <cellStyle name="SAPHierarchyCell3" xfId="61151"/>
    <cellStyle name="SAPHierarchyCell4" xfId="61152"/>
    <cellStyle name="SAPLocked" xfId="7214"/>
    <cellStyle name="SAPLocked 10" xfId="7215"/>
    <cellStyle name="SAPLocked 10 10" xfId="7216"/>
    <cellStyle name="SAPLocked 10 10 2" xfId="61153"/>
    <cellStyle name="SAPLocked 10 11" xfId="7217"/>
    <cellStyle name="SAPLocked 10 11 2" xfId="61154"/>
    <cellStyle name="SAPLocked 10 12" xfId="7218"/>
    <cellStyle name="SAPLocked 10 12 2" xfId="61155"/>
    <cellStyle name="SAPLocked 10 13" xfId="7219"/>
    <cellStyle name="SAPLocked 10 2" xfId="7220"/>
    <cellStyle name="SAPLocked 10 2 10" xfId="7221"/>
    <cellStyle name="SAPLocked 10 2 10 2" xfId="61156"/>
    <cellStyle name="SAPLocked 10 2 11" xfId="7222"/>
    <cellStyle name="SAPLocked 10 2 11 2" xfId="61157"/>
    <cellStyle name="SAPLocked 10 2 12" xfId="7223"/>
    <cellStyle name="SAPLocked 10 2 2" xfId="7224"/>
    <cellStyle name="SAPLocked 10 2 2 2" xfId="61158"/>
    <cellStyle name="SAPLocked 10 2 3" xfId="7225"/>
    <cellStyle name="SAPLocked 10 2 3 2" xfId="61159"/>
    <cellStyle name="SAPLocked 10 2 4" xfId="7226"/>
    <cellStyle name="SAPLocked 10 2 4 2" xfId="61160"/>
    <cellStyle name="SAPLocked 10 2 5" xfId="7227"/>
    <cellStyle name="SAPLocked 10 2 5 2" xfId="61161"/>
    <cellStyle name="SAPLocked 10 2 6" xfId="7228"/>
    <cellStyle name="SAPLocked 10 2 6 2" xfId="61162"/>
    <cellStyle name="SAPLocked 10 2 7" xfId="7229"/>
    <cellStyle name="SAPLocked 10 2 7 2" xfId="61163"/>
    <cellStyle name="SAPLocked 10 2 8" xfId="7230"/>
    <cellStyle name="SAPLocked 10 2 8 2" xfId="61164"/>
    <cellStyle name="SAPLocked 10 2 9" xfId="7231"/>
    <cellStyle name="SAPLocked 10 2 9 2" xfId="61165"/>
    <cellStyle name="SAPLocked 10 3" xfId="7232"/>
    <cellStyle name="SAPLocked 10 3 2" xfId="61166"/>
    <cellStyle name="SAPLocked 10 4" xfId="7233"/>
    <cellStyle name="SAPLocked 10 4 2" xfId="61167"/>
    <cellStyle name="SAPLocked 10 5" xfId="7234"/>
    <cellStyle name="SAPLocked 10 5 2" xfId="61168"/>
    <cellStyle name="SAPLocked 10 6" xfId="7235"/>
    <cellStyle name="SAPLocked 10 6 2" xfId="61169"/>
    <cellStyle name="SAPLocked 10 7" xfId="7236"/>
    <cellStyle name="SAPLocked 10 7 2" xfId="61170"/>
    <cellStyle name="SAPLocked 10 8" xfId="7237"/>
    <cellStyle name="SAPLocked 10 8 2" xfId="61171"/>
    <cellStyle name="SAPLocked 10 9" xfId="7238"/>
    <cellStyle name="SAPLocked 10 9 2" xfId="61172"/>
    <cellStyle name="SAPLocked 11" xfId="7239"/>
    <cellStyle name="SAPLocked 11 10" xfId="7240"/>
    <cellStyle name="SAPLocked 11 10 2" xfId="61173"/>
    <cellStyle name="SAPLocked 11 11" xfId="7241"/>
    <cellStyle name="SAPLocked 11 11 2" xfId="61174"/>
    <cellStyle name="SAPLocked 11 12" xfId="7242"/>
    <cellStyle name="SAPLocked 11 12 2" xfId="61175"/>
    <cellStyle name="SAPLocked 11 13" xfId="7243"/>
    <cellStyle name="SAPLocked 11 2" xfId="7244"/>
    <cellStyle name="SAPLocked 11 2 10" xfId="7245"/>
    <cellStyle name="SAPLocked 11 2 10 2" xfId="61176"/>
    <cellStyle name="SAPLocked 11 2 11" xfId="7246"/>
    <cellStyle name="SAPLocked 11 2 11 2" xfId="61177"/>
    <cellStyle name="SAPLocked 11 2 12" xfId="7247"/>
    <cellStyle name="SAPLocked 11 2 2" xfId="7248"/>
    <cellStyle name="SAPLocked 11 2 2 2" xfId="61178"/>
    <cellStyle name="SAPLocked 11 2 3" xfId="7249"/>
    <cellStyle name="SAPLocked 11 2 3 2" xfId="61179"/>
    <cellStyle name="SAPLocked 11 2 4" xfId="7250"/>
    <cellStyle name="SAPLocked 11 2 4 2" xfId="61180"/>
    <cellStyle name="SAPLocked 11 2 5" xfId="7251"/>
    <cellStyle name="SAPLocked 11 2 5 2" xfId="61181"/>
    <cellStyle name="SAPLocked 11 2 6" xfId="7252"/>
    <cellStyle name="SAPLocked 11 2 6 2" xfId="61182"/>
    <cellStyle name="SAPLocked 11 2 7" xfId="7253"/>
    <cellStyle name="SAPLocked 11 2 7 2" xfId="61183"/>
    <cellStyle name="SAPLocked 11 2 8" xfId="7254"/>
    <cellStyle name="SAPLocked 11 2 8 2" xfId="61184"/>
    <cellStyle name="SAPLocked 11 2 9" xfId="7255"/>
    <cellStyle name="SAPLocked 11 2 9 2" xfId="61185"/>
    <cellStyle name="SAPLocked 11 3" xfId="7256"/>
    <cellStyle name="SAPLocked 11 3 2" xfId="61186"/>
    <cellStyle name="SAPLocked 11 4" xfId="7257"/>
    <cellStyle name="SAPLocked 11 4 2" xfId="61187"/>
    <cellStyle name="SAPLocked 11 5" xfId="7258"/>
    <cellStyle name="SAPLocked 11 5 2" xfId="61188"/>
    <cellStyle name="SAPLocked 11 6" xfId="7259"/>
    <cellStyle name="SAPLocked 11 6 2" xfId="61189"/>
    <cellStyle name="SAPLocked 11 7" xfId="7260"/>
    <cellStyle name="SAPLocked 11 7 2" xfId="61190"/>
    <cellStyle name="SAPLocked 11 8" xfId="7261"/>
    <cellStyle name="SAPLocked 11 8 2" xfId="61191"/>
    <cellStyle name="SAPLocked 11 9" xfId="7262"/>
    <cellStyle name="SAPLocked 11 9 2" xfId="61192"/>
    <cellStyle name="SAPLocked 12" xfId="7263"/>
    <cellStyle name="SAPLocked 12 10" xfId="7264"/>
    <cellStyle name="SAPLocked 12 10 2" xfId="61193"/>
    <cellStyle name="SAPLocked 12 11" xfId="7265"/>
    <cellStyle name="SAPLocked 12 11 2" xfId="61194"/>
    <cellStyle name="SAPLocked 12 12" xfId="7266"/>
    <cellStyle name="SAPLocked 12 12 2" xfId="61195"/>
    <cellStyle name="SAPLocked 12 13" xfId="7267"/>
    <cellStyle name="SAPLocked 12 2" xfId="7268"/>
    <cellStyle name="SAPLocked 12 2 10" xfId="7269"/>
    <cellStyle name="SAPLocked 12 2 10 2" xfId="61196"/>
    <cellStyle name="SAPLocked 12 2 11" xfId="7270"/>
    <cellStyle name="SAPLocked 12 2 11 2" xfId="61197"/>
    <cellStyle name="SAPLocked 12 2 12" xfId="7271"/>
    <cellStyle name="SAPLocked 12 2 2" xfId="7272"/>
    <cellStyle name="SAPLocked 12 2 2 2" xfId="61198"/>
    <cellStyle name="SAPLocked 12 2 3" xfId="7273"/>
    <cellStyle name="SAPLocked 12 2 3 2" xfId="61199"/>
    <cellStyle name="SAPLocked 12 2 4" xfId="7274"/>
    <cellStyle name="SAPLocked 12 2 4 2" xfId="61200"/>
    <cellStyle name="SAPLocked 12 2 5" xfId="7275"/>
    <cellStyle name="SAPLocked 12 2 5 2" xfId="61201"/>
    <cellStyle name="SAPLocked 12 2 6" xfId="7276"/>
    <cellStyle name="SAPLocked 12 2 6 2" xfId="61202"/>
    <cellStyle name="SAPLocked 12 2 7" xfId="7277"/>
    <cellStyle name="SAPLocked 12 2 7 2" xfId="61203"/>
    <cellStyle name="SAPLocked 12 2 8" xfId="7278"/>
    <cellStyle name="SAPLocked 12 2 8 2" xfId="61204"/>
    <cellStyle name="SAPLocked 12 2 9" xfId="7279"/>
    <cellStyle name="SAPLocked 12 2 9 2" xfId="61205"/>
    <cellStyle name="SAPLocked 12 3" xfId="7280"/>
    <cellStyle name="SAPLocked 12 3 2" xfId="61206"/>
    <cellStyle name="SAPLocked 12 4" xfId="7281"/>
    <cellStyle name="SAPLocked 12 4 2" xfId="61207"/>
    <cellStyle name="SAPLocked 12 5" xfId="7282"/>
    <cellStyle name="SAPLocked 12 5 2" xfId="61208"/>
    <cellStyle name="SAPLocked 12 6" xfId="7283"/>
    <cellStyle name="SAPLocked 12 6 2" xfId="61209"/>
    <cellStyle name="SAPLocked 12 7" xfId="7284"/>
    <cellStyle name="SAPLocked 12 7 2" xfId="61210"/>
    <cellStyle name="SAPLocked 12 8" xfId="7285"/>
    <cellStyle name="SAPLocked 12 8 2" xfId="61211"/>
    <cellStyle name="SAPLocked 12 9" xfId="7286"/>
    <cellStyle name="SAPLocked 12 9 2" xfId="61212"/>
    <cellStyle name="SAPLocked 13" xfId="7287"/>
    <cellStyle name="SAPLocked 13 10" xfId="7288"/>
    <cellStyle name="SAPLocked 13 10 2" xfId="61213"/>
    <cellStyle name="SAPLocked 13 11" xfId="7289"/>
    <cellStyle name="SAPLocked 13 11 2" xfId="61214"/>
    <cellStyle name="SAPLocked 13 12" xfId="7290"/>
    <cellStyle name="SAPLocked 13 12 2" xfId="61215"/>
    <cellStyle name="SAPLocked 13 13" xfId="7291"/>
    <cellStyle name="SAPLocked 13 2" xfId="7292"/>
    <cellStyle name="SAPLocked 13 2 10" xfId="7293"/>
    <cellStyle name="SAPLocked 13 2 10 2" xfId="61216"/>
    <cellStyle name="SAPLocked 13 2 11" xfId="7294"/>
    <cellStyle name="SAPLocked 13 2 11 2" xfId="61217"/>
    <cellStyle name="SAPLocked 13 2 12" xfId="7295"/>
    <cellStyle name="SAPLocked 13 2 2" xfId="7296"/>
    <cellStyle name="SAPLocked 13 2 2 2" xfId="61218"/>
    <cellStyle name="SAPLocked 13 2 3" xfId="7297"/>
    <cellStyle name="SAPLocked 13 2 3 2" xfId="61219"/>
    <cellStyle name="SAPLocked 13 2 4" xfId="7298"/>
    <cellStyle name="SAPLocked 13 2 4 2" xfId="61220"/>
    <cellStyle name="SAPLocked 13 2 5" xfId="7299"/>
    <cellStyle name="SAPLocked 13 2 5 2" xfId="61221"/>
    <cellStyle name="SAPLocked 13 2 6" xfId="7300"/>
    <cellStyle name="SAPLocked 13 2 6 2" xfId="61222"/>
    <cellStyle name="SAPLocked 13 2 7" xfId="7301"/>
    <cellStyle name="SAPLocked 13 2 7 2" xfId="61223"/>
    <cellStyle name="SAPLocked 13 2 8" xfId="7302"/>
    <cellStyle name="SAPLocked 13 2 8 2" xfId="61224"/>
    <cellStyle name="SAPLocked 13 2 9" xfId="7303"/>
    <cellStyle name="SAPLocked 13 2 9 2" xfId="61225"/>
    <cellStyle name="SAPLocked 13 3" xfId="7304"/>
    <cellStyle name="SAPLocked 13 3 2" xfId="61226"/>
    <cellStyle name="SAPLocked 13 4" xfId="7305"/>
    <cellStyle name="SAPLocked 13 4 2" xfId="61227"/>
    <cellStyle name="SAPLocked 13 5" xfId="7306"/>
    <cellStyle name="SAPLocked 13 5 2" xfId="61228"/>
    <cellStyle name="SAPLocked 13 6" xfId="7307"/>
    <cellStyle name="SAPLocked 13 6 2" xfId="61229"/>
    <cellStyle name="SAPLocked 13 7" xfId="7308"/>
    <cellStyle name="SAPLocked 13 7 2" xfId="61230"/>
    <cellStyle name="SAPLocked 13 8" xfId="7309"/>
    <cellStyle name="SAPLocked 13 8 2" xfId="61231"/>
    <cellStyle name="SAPLocked 13 9" xfId="7310"/>
    <cellStyle name="SAPLocked 13 9 2" xfId="61232"/>
    <cellStyle name="SAPLocked 14" xfId="7311"/>
    <cellStyle name="SAPLocked 14 10" xfId="7312"/>
    <cellStyle name="SAPLocked 14 10 2" xfId="61233"/>
    <cellStyle name="SAPLocked 14 11" xfId="7313"/>
    <cellStyle name="SAPLocked 14 11 2" xfId="61234"/>
    <cellStyle name="SAPLocked 14 12" xfId="7314"/>
    <cellStyle name="SAPLocked 14 12 2" xfId="61235"/>
    <cellStyle name="SAPLocked 14 13" xfId="7315"/>
    <cellStyle name="SAPLocked 14 2" xfId="7316"/>
    <cellStyle name="SAPLocked 14 2 10" xfId="7317"/>
    <cellStyle name="SAPLocked 14 2 10 2" xfId="61236"/>
    <cellStyle name="SAPLocked 14 2 11" xfId="7318"/>
    <cellStyle name="SAPLocked 14 2 11 2" xfId="61237"/>
    <cellStyle name="SAPLocked 14 2 12" xfId="7319"/>
    <cellStyle name="SAPLocked 14 2 2" xfId="7320"/>
    <cellStyle name="SAPLocked 14 2 2 2" xfId="61238"/>
    <cellStyle name="SAPLocked 14 2 3" xfId="7321"/>
    <cellStyle name="SAPLocked 14 2 3 2" xfId="61239"/>
    <cellStyle name="SAPLocked 14 2 4" xfId="7322"/>
    <cellStyle name="SAPLocked 14 2 4 2" xfId="61240"/>
    <cellStyle name="SAPLocked 14 2 5" xfId="7323"/>
    <cellStyle name="SAPLocked 14 2 5 2" xfId="61241"/>
    <cellStyle name="SAPLocked 14 2 6" xfId="7324"/>
    <cellStyle name="SAPLocked 14 2 6 2" xfId="61242"/>
    <cellStyle name="SAPLocked 14 2 7" xfId="7325"/>
    <cellStyle name="SAPLocked 14 2 7 2" xfId="61243"/>
    <cellStyle name="SAPLocked 14 2 8" xfId="7326"/>
    <cellStyle name="SAPLocked 14 2 8 2" xfId="61244"/>
    <cellStyle name="SAPLocked 14 2 9" xfId="7327"/>
    <cellStyle name="SAPLocked 14 2 9 2" xfId="61245"/>
    <cellStyle name="SAPLocked 14 3" xfId="7328"/>
    <cellStyle name="SAPLocked 14 3 2" xfId="61246"/>
    <cellStyle name="SAPLocked 14 4" xfId="7329"/>
    <cellStyle name="SAPLocked 14 4 2" xfId="61247"/>
    <cellStyle name="SAPLocked 14 5" xfId="7330"/>
    <cellStyle name="SAPLocked 14 5 2" xfId="61248"/>
    <cellStyle name="SAPLocked 14 6" xfId="7331"/>
    <cellStyle name="SAPLocked 14 6 2" xfId="61249"/>
    <cellStyle name="SAPLocked 14 7" xfId="7332"/>
    <cellStyle name="SAPLocked 14 7 2" xfId="61250"/>
    <cellStyle name="SAPLocked 14 8" xfId="7333"/>
    <cellStyle name="SAPLocked 14 8 2" xfId="61251"/>
    <cellStyle name="SAPLocked 14 9" xfId="7334"/>
    <cellStyle name="SAPLocked 14 9 2" xfId="61252"/>
    <cellStyle name="SAPLocked 15" xfId="7335"/>
    <cellStyle name="SAPLocked 15 10" xfId="7336"/>
    <cellStyle name="SAPLocked 15 10 2" xfId="61253"/>
    <cellStyle name="SAPLocked 15 11" xfId="7337"/>
    <cellStyle name="SAPLocked 15 11 2" xfId="61254"/>
    <cellStyle name="SAPLocked 15 12" xfId="7338"/>
    <cellStyle name="SAPLocked 15 12 2" xfId="61255"/>
    <cellStyle name="SAPLocked 15 13" xfId="7339"/>
    <cellStyle name="SAPLocked 15 2" xfId="7340"/>
    <cellStyle name="SAPLocked 15 2 10" xfId="7341"/>
    <cellStyle name="SAPLocked 15 2 10 2" xfId="61256"/>
    <cellStyle name="SAPLocked 15 2 11" xfId="7342"/>
    <cellStyle name="SAPLocked 15 2 11 2" xfId="61257"/>
    <cellStyle name="SAPLocked 15 2 12" xfId="7343"/>
    <cellStyle name="SAPLocked 15 2 2" xfId="7344"/>
    <cellStyle name="SAPLocked 15 2 2 2" xfId="61258"/>
    <cellStyle name="SAPLocked 15 2 3" xfId="7345"/>
    <cellStyle name="SAPLocked 15 2 3 2" xfId="61259"/>
    <cellStyle name="SAPLocked 15 2 4" xfId="7346"/>
    <cellStyle name="SAPLocked 15 2 4 2" xfId="61260"/>
    <cellStyle name="SAPLocked 15 2 5" xfId="7347"/>
    <cellStyle name="SAPLocked 15 2 5 2" xfId="61261"/>
    <cellStyle name="SAPLocked 15 2 6" xfId="7348"/>
    <cellStyle name="SAPLocked 15 2 6 2" xfId="61262"/>
    <cellStyle name="SAPLocked 15 2 7" xfId="7349"/>
    <cellStyle name="SAPLocked 15 2 7 2" xfId="61263"/>
    <cellStyle name="SAPLocked 15 2 8" xfId="7350"/>
    <cellStyle name="SAPLocked 15 2 8 2" xfId="61264"/>
    <cellStyle name="SAPLocked 15 2 9" xfId="7351"/>
    <cellStyle name="SAPLocked 15 2 9 2" xfId="61265"/>
    <cellStyle name="SAPLocked 15 3" xfId="7352"/>
    <cellStyle name="SAPLocked 15 3 2" xfId="61266"/>
    <cellStyle name="SAPLocked 15 4" xfId="7353"/>
    <cellStyle name="SAPLocked 15 4 2" xfId="61267"/>
    <cellStyle name="SAPLocked 15 5" xfId="7354"/>
    <cellStyle name="SAPLocked 15 5 2" xfId="61268"/>
    <cellStyle name="SAPLocked 15 6" xfId="7355"/>
    <cellStyle name="SAPLocked 15 6 2" xfId="61269"/>
    <cellStyle name="SAPLocked 15 7" xfId="7356"/>
    <cellStyle name="SAPLocked 15 7 2" xfId="61270"/>
    <cellStyle name="SAPLocked 15 8" xfId="7357"/>
    <cellStyle name="SAPLocked 15 8 2" xfId="61271"/>
    <cellStyle name="SAPLocked 15 9" xfId="7358"/>
    <cellStyle name="SAPLocked 15 9 2" xfId="61272"/>
    <cellStyle name="SAPLocked 16" xfId="7359"/>
    <cellStyle name="SAPLocked 16 10" xfId="7360"/>
    <cellStyle name="SAPLocked 16 10 2" xfId="61273"/>
    <cellStyle name="SAPLocked 16 11" xfId="7361"/>
    <cellStyle name="SAPLocked 16 11 2" xfId="61274"/>
    <cellStyle name="SAPLocked 16 12" xfId="7362"/>
    <cellStyle name="SAPLocked 16 12 2" xfId="61275"/>
    <cellStyle name="SAPLocked 16 13" xfId="7363"/>
    <cellStyle name="SAPLocked 16 2" xfId="7364"/>
    <cellStyle name="SAPLocked 16 2 10" xfId="7365"/>
    <cellStyle name="SAPLocked 16 2 10 2" xfId="61276"/>
    <cellStyle name="SAPLocked 16 2 11" xfId="7366"/>
    <cellStyle name="SAPLocked 16 2 11 2" xfId="61277"/>
    <cellStyle name="SAPLocked 16 2 12" xfId="7367"/>
    <cellStyle name="SAPLocked 16 2 2" xfId="7368"/>
    <cellStyle name="SAPLocked 16 2 2 2" xfId="61278"/>
    <cellStyle name="SAPLocked 16 2 3" xfId="7369"/>
    <cellStyle name="SAPLocked 16 2 3 2" xfId="61279"/>
    <cellStyle name="SAPLocked 16 2 4" xfId="7370"/>
    <cellStyle name="SAPLocked 16 2 4 2" xfId="61280"/>
    <cellStyle name="SAPLocked 16 2 5" xfId="7371"/>
    <cellStyle name="SAPLocked 16 2 5 2" xfId="61281"/>
    <cellStyle name="SAPLocked 16 2 6" xfId="7372"/>
    <cellStyle name="SAPLocked 16 2 6 2" xfId="61282"/>
    <cellStyle name="SAPLocked 16 2 7" xfId="7373"/>
    <cellStyle name="SAPLocked 16 2 7 2" xfId="61283"/>
    <cellStyle name="SAPLocked 16 2 8" xfId="7374"/>
    <cellStyle name="SAPLocked 16 2 8 2" xfId="61284"/>
    <cellStyle name="SAPLocked 16 2 9" xfId="7375"/>
    <cellStyle name="SAPLocked 16 2 9 2" xfId="61285"/>
    <cellStyle name="SAPLocked 16 3" xfId="7376"/>
    <cellStyle name="SAPLocked 16 3 2" xfId="61286"/>
    <cellStyle name="SAPLocked 16 4" xfId="7377"/>
    <cellStyle name="SAPLocked 16 4 2" xfId="61287"/>
    <cellStyle name="SAPLocked 16 5" xfId="7378"/>
    <cellStyle name="SAPLocked 16 5 2" xfId="61288"/>
    <cellStyle name="SAPLocked 16 6" xfId="7379"/>
    <cellStyle name="SAPLocked 16 6 2" xfId="61289"/>
    <cellStyle name="SAPLocked 16 7" xfId="7380"/>
    <cellStyle name="SAPLocked 16 7 2" xfId="61290"/>
    <cellStyle name="SAPLocked 16 8" xfId="7381"/>
    <cellStyle name="SAPLocked 16 8 2" xfId="61291"/>
    <cellStyle name="SAPLocked 16 9" xfId="7382"/>
    <cellStyle name="SAPLocked 16 9 2" xfId="61292"/>
    <cellStyle name="SAPLocked 17" xfId="7383"/>
    <cellStyle name="SAPLocked 17 10" xfId="7384"/>
    <cellStyle name="SAPLocked 17 10 2" xfId="61293"/>
    <cellStyle name="SAPLocked 17 11" xfId="7385"/>
    <cellStyle name="SAPLocked 17 11 2" xfId="61294"/>
    <cellStyle name="SAPLocked 17 12" xfId="7386"/>
    <cellStyle name="SAPLocked 17 12 2" xfId="61295"/>
    <cellStyle name="SAPLocked 17 13" xfId="7387"/>
    <cellStyle name="SAPLocked 17 2" xfId="7388"/>
    <cellStyle name="SAPLocked 17 2 10" xfId="7389"/>
    <cellStyle name="SAPLocked 17 2 10 2" xfId="61296"/>
    <cellStyle name="SAPLocked 17 2 11" xfId="7390"/>
    <cellStyle name="SAPLocked 17 2 11 2" xfId="61297"/>
    <cellStyle name="SAPLocked 17 2 12" xfId="7391"/>
    <cellStyle name="SAPLocked 17 2 2" xfId="7392"/>
    <cellStyle name="SAPLocked 17 2 2 2" xfId="61298"/>
    <cellStyle name="SAPLocked 17 2 3" xfId="7393"/>
    <cellStyle name="SAPLocked 17 2 3 2" xfId="61299"/>
    <cellStyle name="SAPLocked 17 2 4" xfId="7394"/>
    <cellStyle name="SAPLocked 17 2 4 2" xfId="61300"/>
    <cellStyle name="SAPLocked 17 2 5" xfId="7395"/>
    <cellStyle name="SAPLocked 17 2 5 2" xfId="61301"/>
    <cellStyle name="SAPLocked 17 2 6" xfId="7396"/>
    <cellStyle name="SAPLocked 17 2 6 2" xfId="61302"/>
    <cellStyle name="SAPLocked 17 2 7" xfId="7397"/>
    <cellStyle name="SAPLocked 17 2 7 2" xfId="61303"/>
    <cellStyle name="SAPLocked 17 2 8" xfId="7398"/>
    <cellStyle name="SAPLocked 17 2 8 2" xfId="61304"/>
    <cellStyle name="SAPLocked 17 2 9" xfId="7399"/>
    <cellStyle name="SAPLocked 17 2 9 2" xfId="61305"/>
    <cellStyle name="SAPLocked 17 3" xfId="7400"/>
    <cellStyle name="SAPLocked 17 3 2" xfId="61306"/>
    <cellStyle name="SAPLocked 17 4" xfId="7401"/>
    <cellStyle name="SAPLocked 17 4 2" xfId="61307"/>
    <cellStyle name="SAPLocked 17 5" xfId="7402"/>
    <cellStyle name="SAPLocked 17 5 2" xfId="61308"/>
    <cellStyle name="SAPLocked 17 6" xfId="7403"/>
    <cellStyle name="SAPLocked 17 6 2" xfId="61309"/>
    <cellStyle name="SAPLocked 17 7" xfId="7404"/>
    <cellStyle name="SAPLocked 17 7 2" xfId="61310"/>
    <cellStyle name="SAPLocked 17 8" xfId="7405"/>
    <cellStyle name="SAPLocked 17 8 2" xfId="61311"/>
    <cellStyle name="SAPLocked 17 9" xfId="7406"/>
    <cellStyle name="SAPLocked 17 9 2" xfId="61312"/>
    <cellStyle name="SAPLocked 18" xfId="7407"/>
    <cellStyle name="SAPLocked 18 10" xfId="7408"/>
    <cellStyle name="SAPLocked 18 10 2" xfId="61313"/>
    <cellStyle name="SAPLocked 18 11" xfId="7409"/>
    <cellStyle name="SAPLocked 18 11 2" xfId="61314"/>
    <cellStyle name="SAPLocked 18 12" xfId="7410"/>
    <cellStyle name="SAPLocked 18 12 2" xfId="61315"/>
    <cellStyle name="SAPLocked 18 13" xfId="7411"/>
    <cellStyle name="SAPLocked 18 2" xfId="7412"/>
    <cellStyle name="SAPLocked 18 2 10" xfId="7413"/>
    <cellStyle name="SAPLocked 18 2 10 2" xfId="61316"/>
    <cellStyle name="SAPLocked 18 2 11" xfId="7414"/>
    <cellStyle name="SAPLocked 18 2 11 2" xfId="61317"/>
    <cellStyle name="SAPLocked 18 2 12" xfId="7415"/>
    <cellStyle name="SAPLocked 18 2 2" xfId="7416"/>
    <cellStyle name="SAPLocked 18 2 2 2" xfId="61318"/>
    <cellStyle name="SAPLocked 18 2 3" xfId="7417"/>
    <cellStyle name="SAPLocked 18 2 3 2" xfId="61319"/>
    <cellStyle name="SAPLocked 18 2 4" xfId="7418"/>
    <cellStyle name="SAPLocked 18 2 4 2" xfId="61320"/>
    <cellStyle name="SAPLocked 18 2 5" xfId="7419"/>
    <cellStyle name="SAPLocked 18 2 5 2" xfId="61321"/>
    <cellStyle name="SAPLocked 18 2 6" xfId="7420"/>
    <cellStyle name="SAPLocked 18 2 6 2" xfId="61322"/>
    <cellStyle name="SAPLocked 18 2 7" xfId="7421"/>
    <cellStyle name="SAPLocked 18 2 7 2" xfId="61323"/>
    <cellStyle name="SAPLocked 18 2 8" xfId="7422"/>
    <cellStyle name="SAPLocked 18 2 8 2" xfId="61324"/>
    <cellStyle name="SAPLocked 18 2 9" xfId="7423"/>
    <cellStyle name="SAPLocked 18 2 9 2" xfId="61325"/>
    <cellStyle name="SAPLocked 18 3" xfId="7424"/>
    <cellStyle name="SAPLocked 18 3 2" xfId="61326"/>
    <cellStyle name="SAPLocked 18 4" xfId="7425"/>
    <cellStyle name="SAPLocked 18 4 2" xfId="61327"/>
    <cellStyle name="SAPLocked 18 5" xfId="7426"/>
    <cellStyle name="SAPLocked 18 5 2" xfId="61328"/>
    <cellStyle name="SAPLocked 18 6" xfId="7427"/>
    <cellStyle name="SAPLocked 18 6 2" xfId="61329"/>
    <cellStyle name="SAPLocked 18 7" xfId="7428"/>
    <cellStyle name="SAPLocked 18 7 2" xfId="61330"/>
    <cellStyle name="SAPLocked 18 8" xfId="7429"/>
    <cellStyle name="SAPLocked 18 8 2" xfId="61331"/>
    <cellStyle name="SAPLocked 18 9" xfId="7430"/>
    <cellStyle name="SAPLocked 18 9 2" xfId="61332"/>
    <cellStyle name="SAPLocked 19" xfId="7431"/>
    <cellStyle name="SAPLocked 19 10" xfId="7432"/>
    <cellStyle name="SAPLocked 19 10 2" xfId="61333"/>
    <cellStyle name="SAPLocked 19 11" xfId="7433"/>
    <cellStyle name="SAPLocked 19 11 2" xfId="61334"/>
    <cellStyle name="SAPLocked 19 12" xfId="7434"/>
    <cellStyle name="SAPLocked 19 12 2" xfId="61335"/>
    <cellStyle name="SAPLocked 19 13" xfId="7435"/>
    <cellStyle name="SAPLocked 19 2" xfId="7436"/>
    <cellStyle name="SAPLocked 19 2 10" xfId="7437"/>
    <cellStyle name="SAPLocked 19 2 10 2" xfId="61336"/>
    <cellStyle name="SAPLocked 19 2 11" xfId="7438"/>
    <cellStyle name="SAPLocked 19 2 11 2" xfId="61337"/>
    <cellStyle name="SAPLocked 19 2 12" xfId="7439"/>
    <cellStyle name="SAPLocked 19 2 2" xfId="7440"/>
    <cellStyle name="SAPLocked 19 2 2 2" xfId="61338"/>
    <cellStyle name="SAPLocked 19 2 3" xfId="7441"/>
    <cellStyle name="SAPLocked 19 2 3 2" xfId="61339"/>
    <cellStyle name="SAPLocked 19 2 4" xfId="7442"/>
    <cellStyle name="SAPLocked 19 2 4 2" xfId="61340"/>
    <cellStyle name="SAPLocked 19 2 5" xfId="7443"/>
    <cellStyle name="SAPLocked 19 2 5 2" xfId="61341"/>
    <cellStyle name="SAPLocked 19 2 6" xfId="7444"/>
    <cellStyle name="SAPLocked 19 2 6 2" xfId="61342"/>
    <cellStyle name="SAPLocked 19 2 7" xfId="7445"/>
    <cellStyle name="SAPLocked 19 2 7 2" xfId="61343"/>
    <cellStyle name="SAPLocked 19 2 8" xfId="7446"/>
    <cellStyle name="SAPLocked 19 2 8 2" xfId="61344"/>
    <cellStyle name="SAPLocked 19 2 9" xfId="7447"/>
    <cellStyle name="SAPLocked 19 2 9 2" xfId="61345"/>
    <cellStyle name="SAPLocked 19 3" xfId="7448"/>
    <cellStyle name="SAPLocked 19 3 2" xfId="61346"/>
    <cellStyle name="SAPLocked 19 4" xfId="7449"/>
    <cellStyle name="SAPLocked 19 4 2" xfId="61347"/>
    <cellStyle name="SAPLocked 19 5" xfId="7450"/>
    <cellStyle name="SAPLocked 19 5 2" xfId="61348"/>
    <cellStyle name="SAPLocked 19 6" xfId="7451"/>
    <cellStyle name="SAPLocked 19 6 2" xfId="61349"/>
    <cellStyle name="SAPLocked 19 7" xfId="7452"/>
    <cellStyle name="SAPLocked 19 7 2" xfId="61350"/>
    <cellStyle name="SAPLocked 19 8" xfId="7453"/>
    <cellStyle name="SAPLocked 19 8 2" xfId="61351"/>
    <cellStyle name="SAPLocked 19 9" xfId="7454"/>
    <cellStyle name="SAPLocked 19 9 2" xfId="61352"/>
    <cellStyle name="SAPLocked 2" xfId="7455"/>
    <cellStyle name="SAPLocked 2 10" xfId="7456"/>
    <cellStyle name="SAPLocked 2 10 10" xfId="7457"/>
    <cellStyle name="SAPLocked 2 10 10 2" xfId="61353"/>
    <cellStyle name="SAPLocked 2 10 11" xfId="7458"/>
    <cellStyle name="SAPLocked 2 10 11 2" xfId="61354"/>
    <cellStyle name="SAPLocked 2 10 12" xfId="7459"/>
    <cellStyle name="SAPLocked 2 10 12 2" xfId="61355"/>
    <cellStyle name="SAPLocked 2 10 13" xfId="7460"/>
    <cellStyle name="SAPLocked 2 10 2" xfId="7461"/>
    <cellStyle name="SAPLocked 2 10 2 10" xfId="7462"/>
    <cellStyle name="SAPLocked 2 10 2 10 2" xfId="61356"/>
    <cellStyle name="SAPLocked 2 10 2 11" xfId="7463"/>
    <cellStyle name="SAPLocked 2 10 2 11 2" xfId="61357"/>
    <cellStyle name="SAPLocked 2 10 2 12" xfId="7464"/>
    <cellStyle name="SAPLocked 2 10 2 2" xfId="7465"/>
    <cellStyle name="SAPLocked 2 10 2 2 2" xfId="61358"/>
    <cellStyle name="SAPLocked 2 10 2 3" xfId="7466"/>
    <cellStyle name="SAPLocked 2 10 2 3 2" xfId="61359"/>
    <cellStyle name="SAPLocked 2 10 2 4" xfId="7467"/>
    <cellStyle name="SAPLocked 2 10 2 4 2" xfId="61360"/>
    <cellStyle name="SAPLocked 2 10 2 5" xfId="7468"/>
    <cellStyle name="SAPLocked 2 10 2 5 2" xfId="61361"/>
    <cellStyle name="SAPLocked 2 10 2 6" xfId="7469"/>
    <cellStyle name="SAPLocked 2 10 2 6 2" xfId="61362"/>
    <cellStyle name="SAPLocked 2 10 2 7" xfId="7470"/>
    <cellStyle name="SAPLocked 2 10 2 7 2" xfId="61363"/>
    <cellStyle name="SAPLocked 2 10 2 8" xfId="7471"/>
    <cellStyle name="SAPLocked 2 10 2 8 2" xfId="61364"/>
    <cellStyle name="SAPLocked 2 10 2 9" xfId="7472"/>
    <cellStyle name="SAPLocked 2 10 2 9 2" xfId="61365"/>
    <cellStyle name="SAPLocked 2 10 3" xfId="7473"/>
    <cellStyle name="SAPLocked 2 10 3 2" xfId="61366"/>
    <cellStyle name="SAPLocked 2 10 4" xfId="7474"/>
    <cellStyle name="SAPLocked 2 10 4 2" xfId="61367"/>
    <cellStyle name="SAPLocked 2 10 5" xfId="7475"/>
    <cellStyle name="SAPLocked 2 10 5 2" xfId="61368"/>
    <cellStyle name="SAPLocked 2 10 6" xfId="7476"/>
    <cellStyle name="SAPLocked 2 10 6 2" xfId="61369"/>
    <cellStyle name="SAPLocked 2 10 7" xfId="7477"/>
    <cellStyle name="SAPLocked 2 10 7 2" xfId="61370"/>
    <cellStyle name="SAPLocked 2 10 8" xfId="7478"/>
    <cellStyle name="SAPLocked 2 10 8 2" xfId="61371"/>
    <cellStyle name="SAPLocked 2 10 9" xfId="7479"/>
    <cellStyle name="SAPLocked 2 10 9 2" xfId="61372"/>
    <cellStyle name="SAPLocked 2 11" xfId="7480"/>
    <cellStyle name="SAPLocked 2 11 10" xfId="7481"/>
    <cellStyle name="SAPLocked 2 11 10 2" xfId="61373"/>
    <cellStyle name="SAPLocked 2 11 11" xfId="7482"/>
    <cellStyle name="SAPLocked 2 11 11 2" xfId="61374"/>
    <cellStyle name="SAPLocked 2 11 12" xfId="7483"/>
    <cellStyle name="SAPLocked 2 11 12 2" xfId="61375"/>
    <cellStyle name="SAPLocked 2 11 13" xfId="7484"/>
    <cellStyle name="SAPLocked 2 11 2" xfId="7485"/>
    <cellStyle name="SAPLocked 2 11 2 10" xfId="7486"/>
    <cellStyle name="SAPLocked 2 11 2 10 2" xfId="61376"/>
    <cellStyle name="SAPLocked 2 11 2 11" xfId="7487"/>
    <cellStyle name="SAPLocked 2 11 2 11 2" xfId="61377"/>
    <cellStyle name="SAPLocked 2 11 2 12" xfId="7488"/>
    <cellStyle name="SAPLocked 2 11 2 2" xfId="7489"/>
    <cellStyle name="SAPLocked 2 11 2 2 2" xfId="61378"/>
    <cellStyle name="SAPLocked 2 11 2 3" xfId="7490"/>
    <cellStyle name="SAPLocked 2 11 2 3 2" xfId="61379"/>
    <cellStyle name="SAPLocked 2 11 2 4" xfId="7491"/>
    <cellStyle name="SAPLocked 2 11 2 4 2" xfId="61380"/>
    <cellStyle name="SAPLocked 2 11 2 5" xfId="7492"/>
    <cellStyle name="SAPLocked 2 11 2 5 2" xfId="61381"/>
    <cellStyle name="SAPLocked 2 11 2 6" xfId="7493"/>
    <cellStyle name="SAPLocked 2 11 2 6 2" xfId="61382"/>
    <cellStyle name="SAPLocked 2 11 2 7" xfId="7494"/>
    <cellStyle name="SAPLocked 2 11 2 7 2" xfId="61383"/>
    <cellStyle name="SAPLocked 2 11 2 8" xfId="7495"/>
    <cellStyle name="SAPLocked 2 11 2 8 2" xfId="61384"/>
    <cellStyle name="SAPLocked 2 11 2 9" xfId="7496"/>
    <cellStyle name="SAPLocked 2 11 2 9 2" xfId="61385"/>
    <cellStyle name="SAPLocked 2 11 3" xfId="7497"/>
    <cellStyle name="SAPLocked 2 11 3 2" xfId="61386"/>
    <cellStyle name="SAPLocked 2 11 4" xfId="7498"/>
    <cellStyle name="SAPLocked 2 11 4 2" xfId="61387"/>
    <cellStyle name="SAPLocked 2 11 5" xfId="7499"/>
    <cellStyle name="SAPLocked 2 11 5 2" xfId="61388"/>
    <cellStyle name="SAPLocked 2 11 6" xfId="7500"/>
    <cellStyle name="SAPLocked 2 11 6 2" xfId="61389"/>
    <cellStyle name="SAPLocked 2 11 7" xfId="7501"/>
    <cellStyle name="SAPLocked 2 11 7 2" xfId="61390"/>
    <cellStyle name="SAPLocked 2 11 8" xfId="7502"/>
    <cellStyle name="SAPLocked 2 11 8 2" xfId="61391"/>
    <cellStyle name="SAPLocked 2 11 9" xfId="7503"/>
    <cellStyle name="SAPLocked 2 11 9 2" xfId="61392"/>
    <cellStyle name="SAPLocked 2 12" xfId="7504"/>
    <cellStyle name="SAPLocked 2 12 10" xfId="7505"/>
    <cellStyle name="SAPLocked 2 12 10 2" xfId="61393"/>
    <cellStyle name="SAPLocked 2 12 11" xfId="7506"/>
    <cellStyle name="SAPLocked 2 12 11 2" xfId="61394"/>
    <cellStyle name="SAPLocked 2 12 12" xfId="7507"/>
    <cellStyle name="SAPLocked 2 12 12 2" xfId="61395"/>
    <cellStyle name="SAPLocked 2 12 13" xfId="7508"/>
    <cellStyle name="SAPLocked 2 12 2" xfId="7509"/>
    <cellStyle name="SAPLocked 2 12 2 10" xfId="7510"/>
    <cellStyle name="SAPLocked 2 12 2 10 2" xfId="61396"/>
    <cellStyle name="SAPLocked 2 12 2 11" xfId="7511"/>
    <cellStyle name="SAPLocked 2 12 2 11 2" xfId="61397"/>
    <cellStyle name="SAPLocked 2 12 2 12" xfId="7512"/>
    <cellStyle name="SAPLocked 2 12 2 2" xfId="7513"/>
    <cellStyle name="SAPLocked 2 12 2 2 2" xfId="61398"/>
    <cellStyle name="SAPLocked 2 12 2 3" xfId="7514"/>
    <cellStyle name="SAPLocked 2 12 2 3 2" xfId="61399"/>
    <cellStyle name="SAPLocked 2 12 2 4" xfId="7515"/>
    <cellStyle name="SAPLocked 2 12 2 4 2" xfId="61400"/>
    <cellStyle name="SAPLocked 2 12 2 5" xfId="7516"/>
    <cellStyle name="SAPLocked 2 12 2 5 2" xfId="61401"/>
    <cellStyle name="SAPLocked 2 12 2 6" xfId="7517"/>
    <cellStyle name="SAPLocked 2 12 2 6 2" xfId="61402"/>
    <cellStyle name="SAPLocked 2 12 2 7" xfId="7518"/>
    <cellStyle name="SAPLocked 2 12 2 7 2" xfId="61403"/>
    <cellStyle name="SAPLocked 2 12 2 8" xfId="7519"/>
    <cellStyle name="SAPLocked 2 12 2 8 2" xfId="61404"/>
    <cellStyle name="SAPLocked 2 12 2 9" xfId="7520"/>
    <cellStyle name="SAPLocked 2 12 2 9 2" xfId="61405"/>
    <cellStyle name="SAPLocked 2 12 3" xfId="7521"/>
    <cellStyle name="SAPLocked 2 12 3 2" xfId="61406"/>
    <cellStyle name="SAPLocked 2 12 4" xfId="7522"/>
    <cellStyle name="SAPLocked 2 12 4 2" xfId="61407"/>
    <cellStyle name="SAPLocked 2 12 5" xfId="7523"/>
    <cellStyle name="SAPLocked 2 12 5 2" xfId="61408"/>
    <cellStyle name="SAPLocked 2 12 6" xfId="7524"/>
    <cellStyle name="SAPLocked 2 12 6 2" xfId="61409"/>
    <cellStyle name="SAPLocked 2 12 7" xfId="7525"/>
    <cellStyle name="SAPLocked 2 12 7 2" xfId="61410"/>
    <cellStyle name="SAPLocked 2 12 8" xfId="7526"/>
    <cellStyle name="SAPLocked 2 12 8 2" xfId="61411"/>
    <cellStyle name="SAPLocked 2 12 9" xfId="7527"/>
    <cellStyle name="SAPLocked 2 12 9 2" xfId="61412"/>
    <cellStyle name="SAPLocked 2 13" xfId="7528"/>
    <cellStyle name="SAPLocked 2 13 10" xfId="7529"/>
    <cellStyle name="SAPLocked 2 13 10 2" xfId="61413"/>
    <cellStyle name="SAPLocked 2 13 11" xfId="7530"/>
    <cellStyle name="SAPLocked 2 13 11 2" xfId="61414"/>
    <cellStyle name="SAPLocked 2 13 12" xfId="7531"/>
    <cellStyle name="SAPLocked 2 13 12 2" xfId="61415"/>
    <cellStyle name="SAPLocked 2 13 13" xfId="7532"/>
    <cellStyle name="SAPLocked 2 13 2" xfId="7533"/>
    <cellStyle name="SAPLocked 2 13 2 10" xfId="7534"/>
    <cellStyle name="SAPLocked 2 13 2 10 2" xfId="61416"/>
    <cellStyle name="SAPLocked 2 13 2 11" xfId="7535"/>
    <cellStyle name="SAPLocked 2 13 2 11 2" xfId="61417"/>
    <cellStyle name="SAPLocked 2 13 2 12" xfId="7536"/>
    <cellStyle name="SAPLocked 2 13 2 2" xfId="7537"/>
    <cellStyle name="SAPLocked 2 13 2 2 2" xfId="61418"/>
    <cellStyle name="SAPLocked 2 13 2 3" xfId="7538"/>
    <cellStyle name="SAPLocked 2 13 2 3 2" xfId="61419"/>
    <cellStyle name="SAPLocked 2 13 2 4" xfId="7539"/>
    <cellStyle name="SAPLocked 2 13 2 4 2" xfId="61420"/>
    <cellStyle name="SAPLocked 2 13 2 5" xfId="7540"/>
    <cellStyle name="SAPLocked 2 13 2 5 2" xfId="61421"/>
    <cellStyle name="SAPLocked 2 13 2 6" xfId="7541"/>
    <cellStyle name="SAPLocked 2 13 2 6 2" xfId="61422"/>
    <cellStyle name="SAPLocked 2 13 2 7" xfId="7542"/>
    <cellStyle name="SAPLocked 2 13 2 7 2" xfId="61423"/>
    <cellStyle name="SAPLocked 2 13 2 8" xfId="7543"/>
    <cellStyle name="SAPLocked 2 13 2 8 2" xfId="61424"/>
    <cellStyle name="SAPLocked 2 13 2 9" xfId="7544"/>
    <cellStyle name="SAPLocked 2 13 2 9 2" xfId="61425"/>
    <cellStyle name="SAPLocked 2 13 3" xfId="7545"/>
    <cellStyle name="SAPLocked 2 13 3 2" xfId="61426"/>
    <cellStyle name="SAPLocked 2 13 4" xfId="7546"/>
    <cellStyle name="SAPLocked 2 13 4 2" xfId="61427"/>
    <cellStyle name="SAPLocked 2 13 5" xfId="7547"/>
    <cellStyle name="SAPLocked 2 13 5 2" xfId="61428"/>
    <cellStyle name="SAPLocked 2 13 6" xfId="7548"/>
    <cellStyle name="SAPLocked 2 13 6 2" xfId="61429"/>
    <cellStyle name="SAPLocked 2 13 7" xfId="7549"/>
    <cellStyle name="SAPLocked 2 13 7 2" xfId="61430"/>
    <cellStyle name="SAPLocked 2 13 8" xfId="7550"/>
    <cellStyle name="SAPLocked 2 13 8 2" xfId="61431"/>
    <cellStyle name="SAPLocked 2 13 9" xfId="7551"/>
    <cellStyle name="SAPLocked 2 13 9 2" xfId="61432"/>
    <cellStyle name="SAPLocked 2 14" xfId="7552"/>
    <cellStyle name="SAPLocked 2 14 10" xfId="7553"/>
    <cellStyle name="SAPLocked 2 14 10 2" xfId="61433"/>
    <cellStyle name="SAPLocked 2 14 11" xfId="7554"/>
    <cellStyle name="SAPLocked 2 14 11 2" xfId="61434"/>
    <cellStyle name="SAPLocked 2 14 12" xfId="7555"/>
    <cellStyle name="SAPLocked 2 14 12 2" xfId="61435"/>
    <cellStyle name="SAPLocked 2 14 13" xfId="7556"/>
    <cellStyle name="SAPLocked 2 14 2" xfId="7557"/>
    <cellStyle name="SAPLocked 2 14 2 10" xfId="7558"/>
    <cellStyle name="SAPLocked 2 14 2 10 2" xfId="61436"/>
    <cellStyle name="SAPLocked 2 14 2 11" xfId="7559"/>
    <cellStyle name="SAPLocked 2 14 2 11 2" xfId="61437"/>
    <cellStyle name="SAPLocked 2 14 2 12" xfId="7560"/>
    <cellStyle name="SAPLocked 2 14 2 2" xfId="7561"/>
    <cellStyle name="SAPLocked 2 14 2 2 2" xfId="61438"/>
    <cellStyle name="SAPLocked 2 14 2 3" xfId="7562"/>
    <cellStyle name="SAPLocked 2 14 2 3 2" xfId="61439"/>
    <cellStyle name="SAPLocked 2 14 2 4" xfId="7563"/>
    <cellStyle name="SAPLocked 2 14 2 4 2" xfId="61440"/>
    <cellStyle name="SAPLocked 2 14 2 5" xfId="7564"/>
    <cellStyle name="SAPLocked 2 14 2 5 2" xfId="61441"/>
    <cellStyle name="SAPLocked 2 14 2 6" xfId="7565"/>
    <cellStyle name="SAPLocked 2 14 2 6 2" xfId="61442"/>
    <cellStyle name="SAPLocked 2 14 2 7" xfId="7566"/>
    <cellStyle name="SAPLocked 2 14 2 7 2" xfId="61443"/>
    <cellStyle name="SAPLocked 2 14 2 8" xfId="7567"/>
    <cellStyle name="SAPLocked 2 14 2 8 2" xfId="61444"/>
    <cellStyle name="SAPLocked 2 14 2 9" xfId="7568"/>
    <cellStyle name="SAPLocked 2 14 2 9 2" xfId="61445"/>
    <cellStyle name="SAPLocked 2 14 3" xfId="7569"/>
    <cellStyle name="SAPLocked 2 14 3 2" xfId="61446"/>
    <cellStyle name="SAPLocked 2 14 4" xfId="7570"/>
    <cellStyle name="SAPLocked 2 14 4 2" xfId="61447"/>
    <cellStyle name="SAPLocked 2 14 5" xfId="7571"/>
    <cellStyle name="SAPLocked 2 14 5 2" xfId="61448"/>
    <cellStyle name="SAPLocked 2 14 6" xfId="7572"/>
    <cellStyle name="SAPLocked 2 14 6 2" xfId="61449"/>
    <cellStyle name="SAPLocked 2 14 7" xfId="7573"/>
    <cellStyle name="SAPLocked 2 14 7 2" xfId="61450"/>
    <cellStyle name="SAPLocked 2 14 8" xfId="7574"/>
    <cellStyle name="SAPLocked 2 14 8 2" xfId="61451"/>
    <cellStyle name="SAPLocked 2 14 9" xfId="7575"/>
    <cellStyle name="SAPLocked 2 14 9 2" xfId="61452"/>
    <cellStyle name="SAPLocked 2 15" xfId="7576"/>
    <cellStyle name="SAPLocked 2 15 10" xfId="7577"/>
    <cellStyle name="SAPLocked 2 15 10 2" xfId="61453"/>
    <cellStyle name="SAPLocked 2 15 11" xfId="7578"/>
    <cellStyle name="SAPLocked 2 15 11 2" xfId="61454"/>
    <cellStyle name="SAPLocked 2 15 12" xfId="7579"/>
    <cellStyle name="SAPLocked 2 15 12 2" xfId="61455"/>
    <cellStyle name="SAPLocked 2 15 13" xfId="7580"/>
    <cellStyle name="SAPLocked 2 15 2" xfId="7581"/>
    <cellStyle name="SAPLocked 2 15 2 10" xfId="7582"/>
    <cellStyle name="SAPLocked 2 15 2 10 2" xfId="61456"/>
    <cellStyle name="SAPLocked 2 15 2 11" xfId="7583"/>
    <cellStyle name="SAPLocked 2 15 2 11 2" xfId="61457"/>
    <cellStyle name="SAPLocked 2 15 2 12" xfId="7584"/>
    <cellStyle name="SAPLocked 2 15 2 2" xfId="7585"/>
    <cellStyle name="SAPLocked 2 15 2 2 2" xfId="61458"/>
    <cellStyle name="SAPLocked 2 15 2 3" xfId="7586"/>
    <cellStyle name="SAPLocked 2 15 2 3 2" xfId="61459"/>
    <cellStyle name="SAPLocked 2 15 2 4" xfId="7587"/>
    <cellStyle name="SAPLocked 2 15 2 4 2" xfId="61460"/>
    <cellStyle name="SAPLocked 2 15 2 5" xfId="7588"/>
    <cellStyle name="SAPLocked 2 15 2 5 2" xfId="61461"/>
    <cellStyle name="SAPLocked 2 15 2 6" xfId="7589"/>
    <cellStyle name="SAPLocked 2 15 2 6 2" xfId="61462"/>
    <cellStyle name="SAPLocked 2 15 2 7" xfId="7590"/>
    <cellStyle name="SAPLocked 2 15 2 7 2" xfId="61463"/>
    <cellStyle name="SAPLocked 2 15 2 8" xfId="7591"/>
    <cellStyle name="SAPLocked 2 15 2 8 2" xfId="61464"/>
    <cellStyle name="SAPLocked 2 15 2 9" xfId="7592"/>
    <cellStyle name="SAPLocked 2 15 2 9 2" xfId="61465"/>
    <cellStyle name="SAPLocked 2 15 3" xfId="7593"/>
    <cellStyle name="SAPLocked 2 15 3 2" xfId="61466"/>
    <cellStyle name="SAPLocked 2 15 4" xfId="7594"/>
    <cellStyle name="SAPLocked 2 15 4 2" xfId="61467"/>
    <cellStyle name="SAPLocked 2 15 5" xfId="7595"/>
    <cellStyle name="SAPLocked 2 15 5 2" xfId="61468"/>
    <cellStyle name="SAPLocked 2 15 6" xfId="7596"/>
    <cellStyle name="SAPLocked 2 15 6 2" xfId="61469"/>
    <cellStyle name="SAPLocked 2 15 7" xfId="7597"/>
    <cellStyle name="SAPLocked 2 15 7 2" xfId="61470"/>
    <cellStyle name="SAPLocked 2 15 8" xfId="7598"/>
    <cellStyle name="SAPLocked 2 15 8 2" xfId="61471"/>
    <cellStyle name="SAPLocked 2 15 9" xfId="7599"/>
    <cellStyle name="SAPLocked 2 15 9 2" xfId="61472"/>
    <cellStyle name="SAPLocked 2 16" xfId="7600"/>
    <cellStyle name="SAPLocked 2 16 10" xfId="7601"/>
    <cellStyle name="SAPLocked 2 16 10 2" xfId="61473"/>
    <cellStyle name="SAPLocked 2 16 11" xfId="7602"/>
    <cellStyle name="SAPLocked 2 16 11 2" xfId="61474"/>
    <cellStyle name="SAPLocked 2 16 12" xfId="7603"/>
    <cellStyle name="SAPLocked 2 16 12 2" xfId="61475"/>
    <cellStyle name="SAPLocked 2 16 13" xfId="7604"/>
    <cellStyle name="SAPLocked 2 16 2" xfId="7605"/>
    <cellStyle name="SAPLocked 2 16 2 10" xfId="7606"/>
    <cellStyle name="SAPLocked 2 16 2 10 2" xfId="61476"/>
    <cellStyle name="SAPLocked 2 16 2 11" xfId="7607"/>
    <cellStyle name="SAPLocked 2 16 2 11 2" xfId="61477"/>
    <cellStyle name="SAPLocked 2 16 2 12" xfId="7608"/>
    <cellStyle name="SAPLocked 2 16 2 2" xfId="7609"/>
    <cellStyle name="SAPLocked 2 16 2 2 2" xfId="61478"/>
    <cellStyle name="SAPLocked 2 16 2 3" xfId="7610"/>
    <cellStyle name="SAPLocked 2 16 2 3 2" xfId="61479"/>
    <cellStyle name="SAPLocked 2 16 2 4" xfId="7611"/>
    <cellStyle name="SAPLocked 2 16 2 4 2" xfId="61480"/>
    <cellStyle name="SAPLocked 2 16 2 5" xfId="7612"/>
    <cellStyle name="SAPLocked 2 16 2 5 2" xfId="61481"/>
    <cellStyle name="SAPLocked 2 16 2 6" xfId="7613"/>
    <cellStyle name="SAPLocked 2 16 2 6 2" xfId="61482"/>
    <cellStyle name="SAPLocked 2 16 2 7" xfId="7614"/>
    <cellStyle name="SAPLocked 2 16 2 7 2" xfId="61483"/>
    <cellStyle name="SAPLocked 2 16 2 8" xfId="7615"/>
    <cellStyle name="SAPLocked 2 16 2 8 2" xfId="61484"/>
    <cellStyle name="SAPLocked 2 16 2 9" xfId="7616"/>
    <cellStyle name="SAPLocked 2 16 2 9 2" xfId="61485"/>
    <cellStyle name="SAPLocked 2 16 3" xfId="7617"/>
    <cellStyle name="SAPLocked 2 16 3 2" xfId="61486"/>
    <cellStyle name="SAPLocked 2 16 4" xfId="7618"/>
    <cellStyle name="SAPLocked 2 16 4 2" xfId="61487"/>
    <cellStyle name="SAPLocked 2 16 5" xfId="7619"/>
    <cellStyle name="SAPLocked 2 16 5 2" xfId="61488"/>
    <cellStyle name="SAPLocked 2 16 6" xfId="7620"/>
    <cellStyle name="SAPLocked 2 16 6 2" xfId="61489"/>
    <cellStyle name="SAPLocked 2 16 7" xfId="7621"/>
    <cellStyle name="SAPLocked 2 16 7 2" xfId="61490"/>
    <cellStyle name="SAPLocked 2 16 8" xfId="7622"/>
    <cellStyle name="SAPLocked 2 16 8 2" xfId="61491"/>
    <cellStyle name="SAPLocked 2 16 9" xfId="7623"/>
    <cellStyle name="SAPLocked 2 16 9 2" xfId="61492"/>
    <cellStyle name="SAPLocked 2 17" xfId="7624"/>
    <cellStyle name="SAPLocked 2 17 10" xfId="7625"/>
    <cellStyle name="SAPLocked 2 17 10 2" xfId="61493"/>
    <cellStyle name="SAPLocked 2 17 11" xfId="7626"/>
    <cellStyle name="SAPLocked 2 17 11 2" xfId="61494"/>
    <cellStyle name="SAPLocked 2 17 12" xfId="7627"/>
    <cellStyle name="SAPLocked 2 17 12 2" xfId="61495"/>
    <cellStyle name="SAPLocked 2 17 13" xfId="7628"/>
    <cellStyle name="SAPLocked 2 17 2" xfId="7629"/>
    <cellStyle name="SAPLocked 2 17 2 10" xfId="7630"/>
    <cellStyle name="SAPLocked 2 17 2 10 2" xfId="61496"/>
    <cellStyle name="SAPLocked 2 17 2 11" xfId="7631"/>
    <cellStyle name="SAPLocked 2 17 2 11 2" xfId="61497"/>
    <cellStyle name="SAPLocked 2 17 2 12" xfId="7632"/>
    <cellStyle name="SAPLocked 2 17 2 2" xfId="7633"/>
    <cellStyle name="SAPLocked 2 17 2 2 2" xfId="61498"/>
    <cellStyle name="SAPLocked 2 17 2 3" xfId="7634"/>
    <cellStyle name="SAPLocked 2 17 2 3 2" xfId="61499"/>
    <cellStyle name="SAPLocked 2 17 2 4" xfId="7635"/>
    <cellStyle name="SAPLocked 2 17 2 4 2" xfId="61500"/>
    <cellStyle name="SAPLocked 2 17 2 5" xfId="7636"/>
    <cellStyle name="SAPLocked 2 17 2 5 2" xfId="61501"/>
    <cellStyle name="SAPLocked 2 17 2 6" xfId="7637"/>
    <cellStyle name="SAPLocked 2 17 2 6 2" xfId="61502"/>
    <cellStyle name="SAPLocked 2 17 2 7" xfId="7638"/>
    <cellStyle name="SAPLocked 2 17 2 7 2" xfId="61503"/>
    <cellStyle name="SAPLocked 2 17 2 8" xfId="7639"/>
    <cellStyle name="SAPLocked 2 17 2 8 2" xfId="61504"/>
    <cellStyle name="SAPLocked 2 17 2 9" xfId="7640"/>
    <cellStyle name="SAPLocked 2 17 2 9 2" xfId="61505"/>
    <cellStyle name="SAPLocked 2 17 3" xfId="7641"/>
    <cellStyle name="SAPLocked 2 17 3 2" xfId="61506"/>
    <cellStyle name="SAPLocked 2 17 4" xfId="7642"/>
    <cellStyle name="SAPLocked 2 17 4 2" xfId="61507"/>
    <cellStyle name="SAPLocked 2 17 5" xfId="7643"/>
    <cellStyle name="SAPLocked 2 17 5 2" xfId="61508"/>
    <cellStyle name="SAPLocked 2 17 6" xfId="7644"/>
    <cellStyle name="SAPLocked 2 17 6 2" xfId="61509"/>
    <cellStyle name="SAPLocked 2 17 7" xfId="7645"/>
    <cellStyle name="SAPLocked 2 17 7 2" xfId="61510"/>
    <cellStyle name="SAPLocked 2 17 8" xfId="7646"/>
    <cellStyle name="SAPLocked 2 17 8 2" xfId="61511"/>
    <cellStyle name="SAPLocked 2 17 9" xfId="7647"/>
    <cellStyle name="SAPLocked 2 17 9 2" xfId="61512"/>
    <cellStyle name="SAPLocked 2 18" xfId="7648"/>
    <cellStyle name="SAPLocked 2 18 10" xfId="7649"/>
    <cellStyle name="SAPLocked 2 18 10 2" xfId="61513"/>
    <cellStyle name="SAPLocked 2 18 11" xfId="7650"/>
    <cellStyle name="SAPLocked 2 18 11 2" xfId="61514"/>
    <cellStyle name="SAPLocked 2 18 12" xfId="7651"/>
    <cellStyle name="SAPLocked 2 18 12 2" xfId="61515"/>
    <cellStyle name="SAPLocked 2 18 13" xfId="7652"/>
    <cellStyle name="SAPLocked 2 18 2" xfId="7653"/>
    <cellStyle name="SAPLocked 2 18 2 10" xfId="7654"/>
    <cellStyle name="SAPLocked 2 18 2 10 2" xfId="61516"/>
    <cellStyle name="SAPLocked 2 18 2 11" xfId="7655"/>
    <cellStyle name="SAPLocked 2 18 2 11 2" xfId="61517"/>
    <cellStyle name="SAPLocked 2 18 2 12" xfId="7656"/>
    <cellStyle name="SAPLocked 2 18 2 2" xfId="7657"/>
    <cellStyle name="SAPLocked 2 18 2 2 2" xfId="61518"/>
    <cellStyle name="SAPLocked 2 18 2 3" xfId="7658"/>
    <cellStyle name="SAPLocked 2 18 2 3 2" xfId="61519"/>
    <cellStyle name="SAPLocked 2 18 2 4" xfId="7659"/>
    <cellStyle name="SAPLocked 2 18 2 4 2" xfId="61520"/>
    <cellStyle name="SAPLocked 2 18 2 5" xfId="7660"/>
    <cellStyle name="SAPLocked 2 18 2 5 2" xfId="61521"/>
    <cellStyle name="SAPLocked 2 18 2 6" xfId="7661"/>
    <cellStyle name="SAPLocked 2 18 2 6 2" xfId="61522"/>
    <cellStyle name="SAPLocked 2 18 2 7" xfId="7662"/>
    <cellStyle name="SAPLocked 2 18 2 7 2" xfId="61523"/>
    <cellStyle name="SAPLocked 2 18 2 8" xfId="7663"/>
    <cellStyle name="SAPLocked 2 18 2 8 2" xfId="61524"/>
    <cellStyle name="SAPLocked 2 18 2 9" xfId="7664"/>
    <cellStyle name="SAPLocked 2 18 2 9 2" xfId="61525"/>
    <cellStyle name="SAPLocked 2 18 3" xfId="7665"/>
    <cellStyle name="SAPLocked 2 18 3 2" xfId="61526"/>
    <cellStyle name="SAPLocked 2 18 4" xfId="7666"/>
    <cellStyle name="SAPLocked 2 18 4 2" xfId="61527"/>
    <cellStyle name="SAPLocked 2 18 5" xfId="7667"/>
    <cellStyle name="SAPLocked 2 18 5 2" xfId="61528"/>
    <cellStyle name="SAPLocked 2 18 6" xfId="7668"/>
    <cellStyle name="SAPLocked 2 18 6 2" xfId="61529"/>
    <cellStyle name="SAPLocked 2 18 7" xfId="7669"/>
    <cellStyle name="SAPLocked 2 18 7 2" xfId="61530"/>
    <cellStyle name="SAPLocked 2 18 8" xfId="7670"/>
    <cellStyle name="SAPLocked 2 18 8 2" xfId="61531"/>
    <cellStyle name="SAPLocked 2 18 9" xfId="7671"/>
    <cellStyle name="SAPLocked 2 18 9 2" xfId="61532"/>
    <cellStyle name="SAPLocked 2 19" xfId="7672"/>
    <cellStyle name="SAPLocked 2 19 10" xfId="7673"/>
    <cellStyle name="SAPLocked 2 19 10 2" xfId="61533"/>
    <cellStyle name="SAPLocked 2 19 11" xfId="7674"/>
    <cellStyle name="SAPLocked 2 19 11 2" xfId="61534"/>
    <cellStyle name="SAPLocked 2 19 12" xfId="7675"/>
    <cellStyle name="SAPLocked 2 19 12 2" xfId="61535"/>
    <cellStyle name="SAPLocked 2 19 13" xfId="7676"/>
    <cellStyle name="SAPLocked 2 19 2" xfId="7677"/>
    <cellStyle name="SAPLocked 2 19 2 10" xfId="7678"/>
    <cellStyle name="SAPLocked 2 19 2 10 2" xfId="61536"/>
    <cellStyle name="SAPLocked 2 19 2 11" xfId="7679"/>
    <cellStyle name="SAPLocked 2 19 2 11 2" xfId="61537"/>
    <cellStyle name="SAPLocked 2 19 2 12" xfId="7680"/>
    <cellStyle name="SAPLocked 2 19 2 2" xfId="7681"/>
    <cellStyle name="SAPLocked 2 19 2 2 2" xfId="61538"/>
    <cellStyle name="SAPLocked 2 19 2 3" xfId="7682"/>
    <cellStyle name="SAPLocked 2 19 2 3 2" xfId="61539"/>
    <cellStyle name="SAPLocked 2 19 2 4" xfId="7683"/>
    <cellStyle name="SAPLocked 2 19 2 4 2" xfId="61540"/>
    <cellStyle name="SAPLocked 2 19 2 5" xfId="7684"/>
    <cellStyle name="SAPLocked 2 19 2 5 2" xfId="61541"/>
    <cellStyle name="SAPLocked 2 19 2 6" xfId="7685"/>
    <cellStyle name="SAPLocked 2 19 2 6 2" xfId="61542"/>
    <cellStyle name="SAPLocked 2 19 2 7" xfId="7686"/>
    <cellStyle name="SAPLocked 2 19 2 7 2" xfId="61543"/>
    <cellStyle name="SAPLocked 2 19 2 8" xfId="7687"/>
    <cellStyle name="SAPLocked 2 19 2 8 2" xfId="61544"/>
    <cellStyle name="SAPLocked 2 19 2 9" xfId="7688"/>
    <cellStyle name="SAPLocked 2 19 2 9 2" xfId="61545"/>
    <cellStyle name="SAPLocked 2 19 3" xfId="7689"/>
    <cellStyle name="SAPLocked 2 19 3 2" xfId="61546"/>
    <cellStyle name="SAPLocked 2 19 4" xfId="7690"/>
    <cellStyle name="SAPLocked 2 19 4 2" xfId="61547"/>
    <cellStyle name="SAPLocked 2 19 5" xfId="7691"/>
    <cellStyle name="SAPLocked 2 19 5 2" xfId="61548"/>
    <cellStyle name="SAPLocked 2 19 6" xfId="7692"/>
    <cellStyle name="SAPLocked 2 19 6 2" xfId="61549"/>
    <cellStyle name="SAPLocked 2 19 7" xfId="7693"/>
    <cellStyle name="SAPLocked 2 19 7 2" xfId="61550"/>
    <cellStyle name="SAPLocked 2 19 8" xfId="7694"/>
    <cellStyle name="SAPLocked 2 19 8 2" xfId="61551"/>
    <cellStyle name="SAPLocked 2 19 9" xfId="7695"/>
    <cellStyle name="SAPLocked 2 19 9 2" xfId="61552"/>
    <cellStyle name="SAPLocked 2 2" xfId="7696"/>
    <cellStyle name="SAPLocked 2 2 10" xfId="7697"/>
    <cellStyle name="SAPLocked 2 2 10 2" xfId="61553"/>
    <cellStyle name="SAPLocked 2 2 11" xfId="7698"/>
    <cellStyle name="SAPLocked 2 2 11 2" xfId="61554"/>
    <cellStyle name="SAPLocked 2 2 12" xfId="7699"/>
    <cellStyle name="SAPLocked 2 2 12 2" xfId="61555"/>
    <cellStyle name="SAPLocked 2 2 13" xfId="7700"/>
    <cellStyle name="SAPLocked 2 2 2" xfId="7701"/>
    <cellStyle name="SAPLocked 2 2 2 10" xfId="7702"/>
    <cellStyle name="SAPLocked 2 2 2 10 2" xfId="61556"/>
    <cellStyle name="SAPLocked 2 2 2 11" xfId="7703"/>
    <cellStyle name="SAPLocked 2 2 2 11 2" xfId="61557"/>
    <cellStyle name="SAPLocked 2 2 2 12" xfId="7704"/>
    <cellStyle name="SAPLocked 2 2 2 2" xfId="7705"/>
    <cellStyle name="SAPLocked 2 2 2 2 2" xfId="61558"/>
    <cellStyle name="SAPLocked 2 2 2 3" xfId="7706"/>
    <cellStyle name="SAPLocked 2 2 2 3 2" xfId="61559"/>
    <cellStyle name="SAPLocked 2 2 2 4" xfId="7707"/>
    <cellStyle name="SAPLocked 2 2 2 4 2" xfId="61560"/>
    <cellStyle name="SAPLocked 2 2 2 5" xfId="7708"/>
    <cellStyle name="SAPLocked 2 2 2 5 2" xfId="61561"/>
    <cellStyle name="SAPLocked 2 2 2 6" xfId="7709"/>
    <cellStyle name="SAPLocked 2 2 2 6 2" xfId="61562"/>
    <cellStyle name="SAPLocked 2 2 2 7" xfId="7710"/>
    <cellStyle name="SAPLocked 2 2 2 7 2" xfId="61563"/>
    <cellStyle name="SAPLocked 2 2 2 8" xfId="7711"/>
    <cellStyle name="SAPLocked 2 2 2 8 2" xfId="61564"/>
    <cellStyle name="SAPLocked 2 2 2 9" xfId="7712"/>
    <cellStyle name="SAPLocked 2 2 2 9 2" xfId="61565"/>
    <cellStyle name="SAPLocked 2 2 3" xfId="7713"/>
    <cellStyle name="SAPLocked 2 2 3 2" xfId="61566"/>
    <cellStyle name="SAPLocked 2 2 4" xfId="7714"/>
    <cellStyle name="SAPLocked 2 2 4 2" xfId="61567"/>
    <cellStyle name="SAPLocked 2 2 5" xfId="7715"/>
    <cellStyle name="SAPLocked 2 2 5 2" xfId="61568"/>
    <cellStyle name="SAPLocked 2 2 6" xfId="7716"/>
    <cellStyle name="SAPLocked 2 2 6 2" xfId="61569"/>
    <cellStyle name="SAPLocked 2 2 7" xfId="7717"/>
    <cellStyle name="SAPLocked 2 2 7 2" xfId="61570"/>
    <cellStyle name="SAPLocked 2 2 8" xfId="7718"/>
    <cellStyle name="SAPLocked 2 2 8 2" xfId="61571"/>
    <cellStyle name="SAPLocked 2 2 9" xfId="7719"/>
    <cellStyle name="SAPLocked 2 2 9 2" xfId="61572"/>
    <cellStyle name="SAPLocked 2 20" xfId="7720"/>
    <cellStyle name="SAPLocked 2 20 10" xfId="7721"/>
    <cellStyle name="SAPLocked 2 20 10 2" xfId="61573"/>
    <cellStyle name="SAPLocked 2 20 11" xfId="7722"/>
    <cellStyle name="SAPLocked 2 20 11 2" xfId="61574"/>
    <cellStyle name="SAPLocked 2 20 12" xfId="7723"/>
    <cellStyle name="SAPLocked 2 20 12 2" xfId="61575"/>
    <cellStyle name="SAPLocked 2 20 13" xfId="7724"/>
    <cellStyle name="SAPLocked 2 20 2" xfId="7725"/>
    <cellStyle name="SAPLocked 2 20 2 10" xfId="7726"/>
    <cellStyle name="SAPLocked 2 20 2 10 2" xfId="61576"/>
    <cellStyle name="SAPLocked 2 20 2 11" xfId="7727"/>
    <cellStyle name="SAPLocked 2 20 2 11 2" xfId="61577"/>
    <cellStyle name="SAPLocked 2 20 2 12" xfId="7728"/>
    <cellStyle name="SAPLocked 2 20 2 2" xfId="7729"/>
    <cellStyle name="SAPLocked 2 20 2 2 2" xfId="61578"/>
    <cellStyle name="SAPLocked 2 20 2 3" xfId="7730"/>
    <cellStyle name="SAPLocked 2 20 2 3 2" xfId="61579"/>
    <cellStyle name="SAPLocked 2 20 2 4" xfId="7731"/>
    <cellStyle name="SAPLocked 2 20 2 4 2" xfId="61580"/>
    <cellStyle name="SAPLocked 2 20 2 5" xfId="7732"/>
    <cellStyle name="SAPLocked 2 20 2 5 2" xfId="61581"/>
    <cellStyle name="SAPLocked 2 20 2 6" xfId="7733"/>
    <cellStyle name="SAPLocked 2 20 2 6 2" xfId="61582"/>
    <cellStyle name="SAPLocked 2 20 2 7" xfId="7734"/>
    <cellStyle name="SAPLocked 2 20 2 7 2" xfId="61583"/>
    <cellStyle name="SAPLocked 2 20 2 8" xfId="7735"/>
    <cellStyle name="SAPLocked 2 20 2 8 2" xfId="61584"/>
    <cellStyle name="SAPLocked 2 20 2 9" xfId="7736"/>
    <cellStyle name="SAPLocked 2 20 2 9 2" xfId="61585"/>
    <cellStyle name="SAPLocked 2 20 3" xfId="7737"/>
    <cellStyle name="SAPLocked 2 20 3 2" xfId="61586"/>
    <cellStyle name="SAPLocked 2 20 4" xfId="7738"/>
    <cellStyle name="SAPLocked 2 20 4 2" xfId="61587"/>
    <cellStyle name="SAPLocked 2 20 5" xfId="7739"/>
    <cellStyle name="SAPLocked 2 20 5 2" xfId="61588"/>
    <cellStyle name="SAPLocked 2 20 6" xfId="7740"/>
    <cellStyle name="SAPLocked 2 20 6 2" xfId="61589"/>
    <cellStyle name="SAPLocked 2 20 7" xfId="7741"/>
    <cellStyle name="SAPLocked 2 20 7 2" xfId="61590"/>
    <cellStyle name="SAPLocked 2 20 8" xfId="7742"/>
    <cellStyle name="SAPLocked 2 20 8 2" xfId="61591"/>
    <cellStyle name="SAPLocked 2 20 9" xfId="7743"/>
    <cellStyle name="SAPLocked 2 20 9 2" xfId="61592"/>
    <cellStyle name="SAPLocked 2 21" xfId="7744"/>
    <cellStyle name="SAPLocked 2 21 10" xfId="7745"/>
    <cellStyle name="SAPLocked 2 21 10 2" xfId="61593"/>
    <cellStyle name="SAPLocked 2 21 11" xfId="7746"/>
    <cellStyle name="SAPLocked 2 21 11 2" xfId="61594"/>
    <cellStyle name="SAPLocked 2 21 12" xfId="7747"/>
    <cellStyle name="SAPLocked 2 21 2" xfId="7748"/>
    <cellStyle name="SAPLocked 2 21 2 2" xfId="61595"/>
    <cellStyle name="SAPLocked 2 21 3" xfId="7749"/>
    <cellStyle name="SAPLocked 2 21 3 2" xfId="61596"/>
    <cellStyle name="SAPLocked 2 21 4" xfId="7750"/>
    <cellStyle name="SAPLocked 2 21 4 2" xfId="61597"/>
    <cellStyle name="SAPLocked 2 21 5" xfId="7751"/>
    <cellStyle name="SAPLocked 2 21 5 2" xfId="61598"/>
    <cellStyle name="SAPLocked 2 21 6" xfId="7752"/>
    <cellStyle name="SAPLocked 2 21 6 2" xfId="61599"/>
    <cellStyle name="SAPLocked 2 21 7" xfId="7753"/>
    <cellStyle name="SAPLocked 2 21 7 2" xfId="61600"/>
    <cellStyle name="SAPLocked 2 21 8" xfId="7754"/>
    <cellStyle name="SAPLocked 2 21 8 2" xfId="61601"/>
    <cellStyle name="SAPLocked 2 21 9" xfId="7755"/>
    <cellStyle name="SAPLocked 2 21 9 2" xfId="61602"/>
    <cellStyle name="SAPLocked 2 22" xfId="7756"/>
    <cellStyle name="SAPLocked 2 22 2" xfId="61603"/>
    <cellStyle name="SAPLocked 2 23" xfId="7757"/>
    <cellStyle name="SAPLocked 2 23 2" xfId="61604"/>
    <cellStyle name="SAPLocked 2 24" xfId="7758"/>
    <cellStyle name="SAPLocked 2 24 2" xfId="61605"/>
    <cellStyle name="SAPLocked 2 25" xfId="7759"/>
    <cellStyle name="SAPLocked 2 25 2" xfId="61606"/>
    <cellStyle name="SAPLocked 2 26" xfId="7760"/>
    <cellStyle name="SAPLocked 2 26 2" xfId="61607"/>
    <cellStyle name="SAPLocked 2 27" xfId="7761"/>
    <cellStyle name="SAPLocked 2 27 2" xfId="61608"/>
    <cellStyle name="SAPLocked 2 28" xfId="7762"/>
    <cellStyle name="SAPLocked 2 28 2" xfId="61609"/>
    <cellStyle name="SAPLocked 2 29" xfId="7763"/>
    <cellStyle name="SAPLocked 2 29 2" xfId="61610"/>
    <cellStyle name="SAPLocked 2 3" xfId="7764"/>
    <cellStyle name="SAPLocked 2 3 10" xfId="7765"/>
    <cellStyle name="SAPLocked 2 3 10 2" xfId="61611"/>
    <cellStyle name="SAPLocked 2 3 11" xfId="7766"/>
    <cellStyle name="SAPLocked 2 3 11 2" xfId="61612"/>
    <cellStyle name="SAPLocked 2 3 12" xfId="7767"/>
    <cellStyle name="SAPLocked 2 3 12 2" xfId="61613"/>
    <cellStyle name="SAPLocked 2 3 13" xfId="7768"/>
    <cellStyle name="SAPLocked 2 3 2" xfId="7769"/>
    <cellStyle name="SAPLocked 2 3 2 10" xfId="7770"/>
    <cellStyle name="SAPLocked 2 3 2 10 2" xfId="61614"/>
    <cellStyle name="SAPLocked 2 3 2 11" xfId="7771"/>
    <cellStyle name="SAPLocked 2 3 2 11 2" xfId="61615"/>
    <cellStyle name="SAPLocked 2 3 2 12" xfId="7772"/>
    <cellStyle name="SAPLocked 2 3 2 2" xfId="7773"/>
    <cellStyle name="SAPLocked 2 3 2 2 2" xfId="61616"/>
    <cellStyle name="SAPLocked 2 3 2 3" xfId="7774"/>
    <cellStyle name="SAPLocked 2 3 2 3 2" xfId="61617"/>
    <cellStyle name="SAPLocked 2 3 2 4" xfId="7775"/>
    <cellStyle name="SAPLocked 2 3 2 4 2" xfId="61618"/>
    <cellStyle name="SAPLocked 2 3 2 5" xfId="7776"/>
    <cellStyle name="SAPLocked 2 3 2 5 2" xfId="61619"/>
    <cellStyle name="SAPLocked 2 3 2 6" xfId="7777"/>
    <cellStyle name="SAPLocked 2 3 2 6 2" xfId="61620"/>
    <cellStyle name="SAPLocked 2 3 2 7" xfId="7778"/>
    <cellStyle name="SAPLocked 2 3 2 7 2" xfId="61621"/>
    <cellStyle name="SAPLocked 2 3 2 8" xfId="7779"/>
    <cellStyle name="SAPLocked 2 3 2 8 2" xfId="61622"/>
    <cellStyle name="SAPLocked 2 3 2 9" xfId="7780"/>
    <cellStyle name="SAPLocked 2 3 2 9 2" xfId="61623"/>
    <cellStyle name="SAPLocked 2 3 3" xfId="7781"/>
    <cellStyle name="SAPLocked 2 3 3 2" xfId="61624"/>
    <cellStyle name="SAPLocked 2 3 4" xfId="7782"/>
    <cellStyle name="SAPLocked 2 3 4 2" xfId="61625"/>
    <cellStyle name="SAPLocked 2 3 5" xfId="7783"/>
    <cellStyle name="SAPLocked 2 3 5 2" xfId="61626"/>
    <cellStyle name="SAPLocked 2 3 6" xfId="7784"/>
    <cellStyle name="SAPLocked 2 3 6 2" xfId="61627"/>
    <cellStyle name="SAPLocked 2 3 7" xfId="7785"/>
    <cellStyle name="SAPLocked 2 3 7 2" xfId="61628"/>
    <cellStyle name="SAPLocked 2 3 8" xfId="7786"/>
    <cellStyle name="SAPLocked 2 3 8 2" xfId="61629"/>
    <cellStyle name="SAPLocked 2 3 9" xfId="7787"/>
    <cellStyle name="SAPLocked 2 3 9 2" xfId="61630"/>
    <cellStyle name="SAPLocked 2 30" xfId="7788"/>
    <cellStyle name="SAPLocked 2 4" xfId="7789"/>
    <cellStyle name="SAPLocked 2 4 10" xfId="7790"/>
    <cellStyle name="SAPLocked 2 4 10 2" xfId="61631"/>
    <cellStyle name="SAPLocked 2 4 11" xfId="7791"/>
    <cellStyle name="SAPLocked 2 4 11 2" xfId="61632"/>
    <cellStyle name="SAPLocked 2 4 12" xfId="7792"/>
    <cellStyle name="SAPLocked 2 4 12 2" xfId="61633"/>
    <cellStyle name="SAPLocked 2 4 13" xfId="7793"/>
    <cellStyle name="SAPLocked 2 4 2" xfId="7794"/>
    <cellStyle name="SAPLocked 2 4 2 10" xfId="7795"/>
    <cellStyle name="SAPLocked 2 4 2 10 2" xfId="61634"/>
    <cellStyle name="SAPLocked 2 4 2 11" xfId="7796"/>
    <cellStyle name="SAPLocked 2 4 2 11 2" xfId="61635"/>
    <cellStyle name="SAPLocked 2 4 2 12" xfId="7797"/>
    <cellStyle name="SAPLocked 2 4 2 2" xfId="7798"/>
    <cellStyle name="SAPLocked 2 4 2 2 2" xfId="61636"/>
    <cellStyle name="SAPLocked 2 4 2 3" xfId="7799"/>
    <cellStyle name="SAPLocked 2 4 2 3 2" xfId="61637"/>
    <cellStyle name="SAPLocked 2 4 2 4" xfId="7800"/>
    <cellStyle name="SAPLocked 2 4 2 4 2" xfId="61638"/>
    <cellStyle name="SAPLocked 2 4 2 5" xfId="7801"/>
    <cellStyle name="SAPLocked 2 4 2 5 2" xfId="61639"/>
    <cellStyle name="SAPLocked 2 4 2 6" xfId="7802"/>
    <cellStyle name="SAPLocked 2 4 2 6 2" xfId="61640"/>
    <cellStyle name="SAPLocked 2 4 2 7" xfId="7803"/>
    <cellStyle name="SAPLocked 2 4 2 7 2" xfId="61641"/>
    <cellStyle name="SAPLocked 2 4 2 8" xfId="7804"/>
    <cellStyle name="SAPLocked 2 4 2 8 2" xfId="61642"/>
    <cellStyle name="SAPLocked 2 4 2 9" xfId="7805"/>
    <cellStyle name="SAPLocked 2 4 2 9 2" xfId="61643"/>
    <cellStyle name="SAPLocked 2 4 3" xfId="7806"/>
    <cellStyle name="SAPLocked 2 4 3 2" xfId="61644"/>
    <cellStyle name="SAPLocked 2 4 4" xfId="7807"/>
    <cellStyle name="SAPLocked 2 4 4 2" xfId="61645"/>
    <cellStyle name="SAPLocked 2 4 5" xfId="7808"/>
    <cellStyle name="SAPLocked 2 4 5 2" xfId="61646"/>
    <cellStyle name="SAPLocked 2 4 6" xfId="7809"/>
    <cellStyle name="SAPLocked 2 4 6 2" xfId="61647"/>
    <cellStyle name="SAPLocked 2 4 7" xfId="7810"/>
    <cellStyle name="SAPLocked 2 4 7 2" xfId="61648"/>
    <cellStyle name="SAPLocked 2 4 8" xfId="7811"/>
    <cellStyle name="SAPLocked 2 4 8 2" xfId="61649"/>
    <cellStyle name="SAPLocked 2 4 9" xfId="7812"/>
    <cellStyle name="SAPLocked 2 4 9 2" xfId="61650"/>
    <cellStyle name="SAPLocked 2 5" xfId="7813"/>
    <cellStyle name="SAPLocked 2 5 10" xfId="7814"/>
    <cellStyle name="SAPLocked 2 5 10 2" xfId="61651"/>
    <cellStyle name="SAPLocked 2 5 11" xfId="7815"/>
    <cellStyle name="SAPLocked 2 5 11 2" xfId="61652"/>
    <cellStyle name="SAPLocked 2 5 12" xfId="7816"/>
    <cellStyle name="SAPLocked 2 5 12 2" xfId="61653"/>
    <cellStyle name="SAPLocked 2 5 13" xfId="7817"/>
    <cellStyle name="SAPLocked 2 5 2" xfId="7818"/>
    <cellStyle name="SAPLocked 2 5 2 10" xfId="7819"/>
    <cellStyle name="SAPLocked 2 5 2 10 2" xfId="61654"/>
    <cellStyle name="SAPLocked 2 5 2 11" xfId="7820"/>
    <cellStyle name="SAPLocked 2 5 2 11 2" xfId="61655"/>
    <cellStyle name="SAPLocked 2 5 2 12" xfId="7821"/>
    <cellStyle name="SAPLocked 2 5 2 2" xfId="7822"/>
    <cellStyle name="SAPLocked 2 5 2 2 2" xfId="61656"/>
    <cellStyle name="SAPLocked 2 5 2 3" xfId="7823"/>
    <cellStyle name="SAPLocked 2 5 2 3 2" xfId="61657"/>
    <cellStyle name="SAPLocked 2 5 2 4" xfId="7824"/>
    <cellStyle name="SAPLocked 2 5 2 4 2" xfId="61658"/>
    <cellStyle name="SAPLocked 2 5 2 5" xfId="7825"/>
    <cellStyle name="SAPLocked 2 5 2 5 2" xfId="61659"/>
    <cellStyle name="SAPLocked 2 5 2 6" xfId="7826"/>
    <cellStyle name="SAPLocked 2 5 2 6 2" xfId="61660"/>
    <cellStyle name="SAPLocked 2 5 2 7" xfId="7827"/>
    <cellStyle name="SAPLocked 2 5 2 7 2" xfId="61661"/>
    <cellStyle name="SAPLocked 2 5 2 8" xfId="7828"/>
    <cellStyle name="SAPLocked 2 5 2 8 2" xfId="61662"/>
    <cellStyle name="SAPLocked 2 5 2 9" xfId="7829"/>
    <cellStyle name="SAPLocked 2 5 2 9 2" xfId="61663"/>
    <cellStyle name="SAPLocked 2 5 3" xfId="7830"/>
    <cellStyle name="SAPLocked 2 5 3 2" xfId="61664"/>
    <cellStyle name="SAPLocked 2 5 4" xfId="7831"/>
    <cellStyle name="SAPLocked 2 5 4 2" xfId="61665"/>
    <cellStyle name="SAPLocked 2 5 5" xfId="7832"/>
    <cellStyle name="SAPLocked 2 5 5 2" xfId="61666"/>
    <cellStyle name="SAPLocked 2 5 6" xfId="7833"/>
    <cellStyle name="SAPLocked 2 5 6 2" xfId="61667"/>
    <cellStyle name="SAPLocked 2 5 7" xfId="7834"/>
    <cellStyle name="SAPLocked 2 5 7 2" xfId="61668"/>
    <cellStyle name="SAPLocked 2 5 8" xfId="7835"/>
    <cellStyle name="SAPLocked 2 5 8 2" xfId="61669"/>
    <cellStyle name="SAPLocked 2 5 9" xfId="7836"/>
    <cellStyle name="SAPLocked 2 5 9 2" xfId="61670"/>
    <cellStyle name="SAPLocked 2 6" xfId="7837"/>
    <cellStyle name="SAPLocked 2 6 10" xfId="7838"/>
    <cellStyle name="SAPLocked 2 6 10 2" xfId="61671"/>
    <cellStyle name="SAPLocked 2 6 11" xfId="7839"/>
    <cellStyle name="SAPLocked 2 6 11 2" xfId="61672"/>
    <cellStyle name="SAPLocked 2 6 12" xfId="7840"/>
    <cellStyle name="SAPLocked 2 6 12 2" xfId="61673"/>
    <cellStyle name="SAPLocked 2 6 13" xfId="7841"/>
    <cellStyle name="SAPLocked 2 6 2" xfId="7842"/>
    <cellStyle name="SAPLocked 2 6 2 10" xfId="7843"/>
    <cellStyle name="SAPLocked 2 6 2 10 2" xfId="61674"/>
    <cellStyle name="SAPLocked 2 6 2 11" xfId="7844"/>
    <cellStyle name="SAPLocked 2 6 2 11 2" xfId="61675"/>
    <cellStyle name="SAPLocked 2 6 2 12" xfId="7845"/>
    <cellStyle name="SAPLocked 2 6 2 2" xfId="7846"/>
    <cellStyle name="SAPLocked 2 6 2 2 2" xfId="61676"/>
    <cellStyle name="SAPLocked 2 6 2 3" xfId="7847"/>
    <cellStyle name="SAPLocked 2 6 2 3 2" xfId="61677"/>
    <cellStyle name="SAPLocked 2 6 2 4" xfId="7848"/>
    <cellStyle name="SAPLocked 2 6 2 4 2" xfId="61678"/>
    <cellStyle name="SAPLocked 2 6 2 5" xfId="7849"/>
    <cellStyle name="SAPLocked 2 6 2 5 2" xfId="61679"/>
    <cellStyle name="SAPLocked 2 6 2 6" xfId="7850"/>
    <cellStyle name="SAPLocked 2 6 2 6 2" xfId="61680"/>
    <cellStyle name="SAPLocked 2 6 2 7" xfId="7851"/>
    <cellStyle name="SAPLocked 2 6 2 7 2" xfId="61681"/>
    <cellStyle name="SAPLocked 2 6 2 8" xfId="7852"/>
    <cellStyle name="SAPLocked 2 6 2 8 2" xfId="61682"/>
    <cellStyle name="SAPLocked 2 6 2 9" xfId="7853"/>
    <cellStyle name="SAPLocked 2 6 2 9 2" xfId="61683"/>
    <cellStyle name="SAPLocked 2 6 3" xfId="7854"/>
    <cellStyle name="SAPLocked 2 6 3 2" xfId="61684"/>
    <cellStyle name="SAPLocked 2 6 4" xfId="7855"/>
    <cellStyle name="SAPLocked 2 6 4 2" xfId="61685"/>
    <cellStyle name="SAPLocked 2 6 5" xfId="7856"/>
    <cellStyle name="SAPLocked 2 6 5 2" xfId="61686"/>
    <cellStyle name="SAPLocked 2 6 6" xfId="7857"/>
    <cellStyle name="SAPLocked 2 6 6 2" xfId="61687"/>
    <cellStyle name="SAPLocked 2 6 7" xfId="7858"/>
    <cellStyle name="SAPLocked 2 6 7 2" xfId="61688"/>
    <cellStyle name="SAPLocked 2 6 8" xfId="7859"/>
    <cellStyle name="SAPLocked 2 6 8 2" xfId="61689"/>
    <cellStyle name="SAPLocked 2 6 9" xfId="7860"/>
    <cellStyle name="SAPLocked 2 6 9 2" xfId="61690"/>
    <cellStyle name="SAPLocked 2 7" xfId="7861"/>
    <cellStyle name="SAPLocked 2 7 10" xfId="7862"/>
    <cellStyle name="SAPLocked 2 7 10 2" xfId="61691"/>
    <cellStyle name="SAPLocked 2 7 11" xfId="7863"/>
    <cellStyle name="SAPLocked 2 7 11 2" xfId="61692"/>
    <cellStyle name="SAPLocked 2 7 12" xfId="7864"/>
    <cellStyle name="SAPLocked 2 7 12 2" xfId="61693"/>
    <cellStyle name="SAPLocked 2 7 13" xfId="7865"/>
    <cellStyle name="SAPLocked 2 7 2" xfId="7866"/>
    <cellStyle name="SAPLocked 2 7 2 10" xfId="7867"/>
    <cellStyle name="SAPLocked 2 7 2 10 2" xfId="61694"/>
    <cellStyle name="SAPLocked 2 7 2 11" xfId="7868"/>
    <cellStyle name="SAPLocked 2 7 2 11 2" xfId="61695"/>
    <cellStyle name="SAPLocked 2 7 2 12" xfId="7869"/>
    <cellStyle name="SAPLocked 2 7 2 2" xfId="7870"/>
    <cellStyle name="SAPLocked 2 7 2 2 2" xfId="61696"/>
    <cellStyle name="SAPLocked 2 7 2 3" xfId="7871"/>
    <cellStyle name="SAPLocked 2 7 2 3 2" xfId="61697"/>
    <cellStyle name="SAPLocked 2 7 2 4" xfId="7872"/>
    <cellStyle name="SAPLocked 2 7 2 4 2" xfId="61698"/>
    <cellStyle name="SAPLocked 2 7 2 5" xfId="7873"/>
    <cellStyle name="SAPLocked 2 7 2 5 2" xfId="61699"/>
    <cellStyle name="SAPLocked 2 7 2 6" xfId="7874"/>
    <cellStyle name="SAPLocked 2 7 2 6 2" xfId="61700"/>
    <cellStyle name="SAPLocked 2 7 2 7" xfId="7875"/>
    <cellStyle name="SAPLocked 2 7 2 7 2" xfId="61701"/>
    <cellStyle name="SAPLocked 2 7 2 8" xfId="7876"/>
    <cellStyle name="SAPLocked 2 7 2 8 2" xfId="61702"/>
    <cellStyle name="SAPLocked 2 7 2 9" xfId="7877"/>
    <cellStyle name="SAPLocked 2 7 2 9 2" xfId="61703"/>
    <cellStyle name="SAPLocked 2 7 3" xfId="7878"/>
    <cellStyle name="SAPLocked 2 7 3 2" xfId="61704"/>
    <cellStyle name="SAPLocked 2 7 4" xfId="7879"/>
    <cellStyle name="SAPLocked 2 7 4 2" xfId="61705"/>
    <cellStyle name="SAPLocked 2 7 5" xfId="7880"/>
    <cellStyle name="SAPLocked 2 7 5 2" xfId="61706"/>
    <cellStyle name="SAPLocked 2 7 6" xfId="7881"/>
    <cellStyle name="SAPLocked 2 7 6 2" xfId="61707"/>
    <cellStyle name="SAPLocked 2 7 7" xfId="7882"/>
    <cellStyle name="SAPLocked 2 7 7 2" xfId="61708"/>
    <cellStyle name="SAPLocked 2 7 8" xfId="7883"/>
    <cellStyle name="SAPLocked 2 7 8 2" xfId="61709"/>
    <cellStyle name="SAPLocked 2 7 9" xfId="7884"/>
    <cellStyle name="SAPLocked 2 7 9 2" xfId="61710"/>
    <cellStyle name="SAPLocked 2 8" xfId="7885"/>
    <cellStyle name="SAPLocked 2 8 10" xfId="7886"/>
    <cellStyle name="SAPLocked 2 8 10 2" xfId="61711"/>
    <cellStyle name="SAPLocked 2 8 11" xfId="7887"/>
    <cellStyle name="SAPLocked 2 8 11 2" xfId="61712"/>
    <cellStyle name="SAPLocked 2 8 12" xfId="7888"/>
    <cellStyle name="SAPLocked 2 8 12 2" xfId="61713"/>
    <cellStyle name="SAPLocked 2 8 13" xfId="7889"/>
    <cellStyle name="SAPLocked 2 8 2" xfId="7890"/>
    <cellStyle name="SAPLocked 2 8 2 10" xfId="7891"/>
    <cellStyle name="SAPLocked 2 8 2 10 2" xfId="61714"/>
    <cellStyle name="SAPLocked 2 8 2 11" xfId="7892"/>
    <cellStyle name="SAPLocked 2 8 2 11 2" xfId="61715"/>
    <cellStyle name="SAPLocked 2 8 2 12" xfId="7893"/>
    <cellStyle name="SAPLocked 2 8 2 2" xfId="7894"/>
    <cellStyle name="SAPLocked 2 8 2 2 2" xfId="61716"/>
    <cellStyle name="SAPLocked 2 8 2 3" xfId="7895"/>
    <cellStyle name="SAPLocked 2 8 2 3 2" xfId="61717"/>
    <cellStyle name="SAPLocked 2 8 2 4" xfId="7896"/>
    <cellStyle name="SAPLocked 2 8 2 4 2" xfId="61718"/>
    <cellStyle name="SAPLocked 2 8 2 5" xfId="7897"/>
    <cellStyle name="SAPLocked 2 8 2 5 2" xfId="61719"/>
    <cellStyle name="SAPLocked 2 8 2 6" xfId="7898"/>
    <cellStyle name="SAPLocked 2 8 2 6 2" xfId="61720"/>
    <cellStyle name="SAPLocked 2 8 2 7" xfId="7899"/>
    <cellStyle name="SAPLocked 2 8 2 7 2" xfId="61721"/>
    <cellStyle name="SAPLocked 2 8 2 8" xfId="7900"/>
    <cellStyle name="SAPLocked 2 8 2 8 2" xfId="61722"/>
    <cellStyle name="SAPLocked 2 8 2 9" xfId="7901"/>
    <cellStyle name="SAPLocked 2 8 2 9 2" xfId="61723"/>
    <cellStyle name="SAPLocked 2 8 3" xfId="7902"/>
    <cellStyle name="SAPLocked 2 8 3 2" xfId="61724"/>
    <cellStyle name="SAPLocked 2 8 4" xfId="7903"/>
    <cellStyle name="SAPLocked 2 8 4 2" xfId="61725"/>
    <cellStyle name="SAPLocked 2 8 5" xfId="7904"/>
    <cellStyle name="SAPLocked 2 8 5 2" xfId="61726"/>
    <cellStyle name="SAPLocked 2 8 6" xfId="7905"/>
    <cellStyle name="SAPLocked 2 8 6 2" xfId="61727"/>
    <cellStyle name="SAPLocked 2 8 7" xfId="7906"/>
    <cellStyle name="SAPLocked 2 8 7 2" xfId="61728"/>
    <cellStyle name="SAPLocked 2 8 8" xfId="7907"/>
    <cellStyle name="SAPLocked 2 8 8 2" xfId="61729"/>
    <cellStyle name="SAPLocked 2 8 9" xfId="7908"/>
    <cellStyle name="SAPLocked 2 8 9 2" xfId="61730"/>
    <cellStyle name="SAPLocked 2 9" xfId="7909"/>
    <cellStyle name="SAPLocked 2 9 10" xfId="7910"/>
    <cellStyle name="SAPLocked 2 9 10 2" xfId="61731"/>
    <cellStyle name="SAPLocked 2 9 11" xfId="7911"/>
    <cellStyle name="SAPLocked 2 9 11 2" xfId="61732"/>
    <cellStyle name="SAPLocked 2 9 12" xfId="7912"/>
    <cellStyle name="SAPLocked 2 9 12 2" xfId="61733"/>
    <cellStyle name="SAPLocked 2 9 13" xfId="7913"/>
    <cellStyle name="SAPLocked 2 9 2" xfId="7914"/>
    <cellStyle name="SAPLocked 2 9 2 10" xfId="7915"/>
    <cellStyle name="SAPLocked 2 9 2 10 2" xfId="61734"/>
    <cellStyle name="SAPLocked 2 9 2 11" xfId="7916"/>
    <cellStyle name="SAPLocked 2 9 2 11 2" xfId="61735"/>
    <cellStyle name="SAPLocked 2 9 2 12" xfId="7917"/>
    <cellStyle name="SAPLocked 2 9 2 2" xfId="7918"/>
    <cellStyle name="SAPLocked 2 9 2 2 2" xfId="61736"/>
    <cellStyle name="SAPLocked 2 9 2 3" xfId="7919"/>
    <cellStyle name="SAPLocked 2 9 2 3 2" xfId="61737"/>
    <cellStyle name="SAPLocked 2 9 2 4" xfId="7920"/>
    <cellStyle name="SAPLocked 2 9 2 4 2" xfId="61738"/>
    <cellStyle name="SAPLocked 2 9 2 5" xfId="7921"/>
    <cellStyle name="SAPLocked 2 9 2 5 2" xfId="61739"/>
    <cellStyle name="SAPLocked 2 9 2 6" xfId="7922"/>
    <cellStyle name="SAPLocked 2 9 2 6 2" xfId="61740"/>
    <cellStyle name="SAPLocked 2 9 2 7" xfId="7923"/>
    <cellStyle name="SAPLocked 2 9 2 7 2" xfId="61741"/>
    <cellStyle name="SAPLocked 2 9 2 8" xfId="7924"/>
    <cellStyle name="SAPLocked 2 9 2 8 2" xfId="61742"/>
    <cellStyle name="SAPLocked 2 9 2 9" xfId="7925"/>
    <cellStyle name="SAPLocked 2 9 2 9 2" xfId="61743"/>
    <cellStyle name="SAPLocked 2 9 3" xfId="7926"/>
    <cellStyle name="SAPLocked 2 9 3 2" xfId="61744"/>
    <cellStyle name="SAPLocked 2 9 4" xfId="7927"/>
    <cellStyle name="SAPLocked 2 9 4 2" xfId="61745"/>
    <cellStyle name="SAPLocked 2 9 5" xfId="7928"/>
    <cellStyle name="SAPLocked 2 9 5 2" xfId="61746"/>
    <cellStyle name="SAPLocked 2 9 6" xfId="7929"/>
    <cellStyle name="SAPLocked 2 9 6 2" xfId="61747"/>
    <cellStyle name="SAPLocked 2 9 7" xfId="7930"/>
    <cellStyle name="SAPLocked 2 9 7 2" xfId="61748"/>
    <cellStyle name="SAPLocked 2 9 8" xfId="7931"/>
    <cellStyle name="SAPLocked 2 9 8 2" xfId="61749"/>
    <cellStyle name="SAPLocked 2 9 9" xfId="7932"/>
    <cellStyle name="SAPLocked 2 9 9 2" xfId="61750"/>
    <cellStyle name="SAPLocked 20" xfId="7933"/>
    <cellStyle name="SAPLocked 20 10" xfId="7934"/>
    <cellStyle name="SAPLocked 20 10 2" xfId="61751"/>
    <cellStyle name="SAPLocked 20 11" xfId="7935"/>
    <cellStyle name="SAPLocked 20 11 2" xfId="61752"/>
    <cellStyle name="SAPLocked 20 12" xfId="7936"/>
    <cellStyle name="SAPLocked 20 12 2" xfId="61753"/>
    <cellStyle name="SAPLocked 20 13" xfId="7937"/>
    <cellStyle name="SAPLocked 20 2" xfId="7938"/>
    <cellStyle name="SAPLocked 20 2 10" xfId="7939"/>
    <cellStyle name="SAPLocked 20 2 10 2" xfId="61754"/>
    <cellStyle name="SAPLocked 20 2 11" xfId="7940"/>
    <cellStyle name="SAPLocked 20 2 11 2" xfId="61755"/>
    <cellStyle name="SAPLocked 20 2 12" xfId="7941"/>
    <cellStyle name="SAPLocked 20 2 2" xfId="7942"/>
    <cellStyle name="SAPLocked 20 2 2 2" xfId="61756"/>
    <cellStyle name="SAPLocked 20 2 3" xfId="7943"/>
    <cellStyle name="SAPLocked 20 2 3 2" xfId="61757"/>
    <cellStyle name="SAPLocked 20 2 4" xfId="7944"/>
    <cellStyle name="SAPLocked 20 2 4 2" xfId="61758"/>
    <cellStyle name="SAPLocked 20 2 5" xfId="7945"/>
    <cellStyle name="SAPLocked 20 2 5 2" xfId="61759"/>
    <cellStyle name="SAPLocked 20 2 6" xfId="7946"/>
    <cellStyle name="SAPLocked 20 2 6 2" xfId="61760"/>
    <cellStyle name="SAPLocked 20 2 7" xfId="7947"/>
    <cellStyle name="SAPLocked 20 2 7 2" xfId="61761"/>
    <cellStyle name="SAPLocked 20 2 8" xfId="7948"/>
    <cellStyle name="SAPLocked 20 2 8 2" xfId="61762"/>
    <cellStyle name="SAPLocked 20 2 9" xfId="7949"/>
    <cellStyle name="SAPLocked 20 2 9 2" xfId="61763"/>
    <cellStyle name="SAPLocked 20 3" xfId="7950"/>
    <cellStyle name="SAPLocked 20 3 2" xfId="61764"/>
    <cellStyle name="SAPLocked 20 4" xfId="7951"/>
    <cellStyle name="SAPLocked 20 4 2" xfId="61765"/>
    <cellStyle name="SAPLocked 20 5" xfId="7952"/>
    <cellStyle name="SAPLocked 20 5 2" xfId="61766"/>
    <cellStyle name="SAPLocked 20 6" xfId="7953"/>
    <cellStyle name="SAPLocked 20 6 2" xfId="61767"/>
    <cellStyle name="SAPLocked 20 7" xfId="7954"/>
    <cellStyle name="SAPLocked 20 7 2" xfId="61768"/>
    <cellStyle name="SAPLocked 20 8" xfId="7955"/>
    <cellStyle name="SAPLocked 20 8 2" xfId="61769"/>
    <cellStyle name="SAPLocked 20 9" xfId="7956"/>
    <cellStyle name="SAPLocked 20 9 2" xfId="61770"/>
    <cellStyle name="SAPLocked 21" xfId="7957"/>
    <cellStyle name="SAPLocked 21 10" xfId="7958"/>
    <cellStyle name="SAPLocked 21 10 2" xfId="61771"/>
    <cellStyle name="SAPLocked 21 11" xfId="7959"/>
    <cellStyle name="SAPLocked 21 11 2" xfId="61772"/>
    <cellStyle name="SAPLocked 21 12" xfId="7960"/>
    <cellStyle name="SAPLocked 21 12 2" xfId="61773"/>
    <cellStyle name="SAPLocked 21 13" xfId="7961"/>
    <cellStyle name="SAPLocked 21 2" xfId="7962"/>
    <cellStyle name="SAPLocked 21 2 10" xfId="7963"/>
    <cellStyle name="SAPLocked 21 2 10 2" xfId="61774"/>
    <cellStyle name="SAPLocked 21 2 11" xfId="7964"/>
    <cellStyle name="SAPLocked 21 2 11 2" xfId="61775"/>
    <cellStyle name="SAPLocked 21 2 12" xfId="7965"/>
    <cellStyle name="SAPLocked 21 2 2" xfId="7966"/>
    <cellStyle name="SAPLocked 21 2 2 2" xfId="61776"/>
    <cellStyle name="SAPLocked 21 2 3" xfId="7967"/>
    <cellStyle name="SAPLocked 21 2 3 2" xfId="61777"/>
    <cellStyle name="SAPLocked 21 2 4" xfId="7968"/>
    <cellStyle name="SAPLocked 21 2 4 2" xfId="61778"/>
    <cellStyle name="SAPLocked 21 2 5" xfId="7969"/>
    <cellStyle name="SAPLocked 21 2 5 2" xfId="61779"/>
    <cellStyle name="SAPLocked 21 2 6" xfId="7970"/>
    <cellStyle name="SAPLocked 21 2 6 2" xfId="61780"/>
    <cellStyle name="SAPLocked 21 2 7" xfId="7971"/>
    <cellStyle name="SAPLocked 21 2 7 2" xfId="61781"/>
    <cellStyle name="SAPLocked 21 2 8" xfId="7972"/>
    <cellStyle name="SAPLocked 21 2 8 2" xfId="61782"/>
    <cellStyle name="SAPLocked 21 2 9" xfId="7973"/>
    <cellStyle name="SAPLocked 21 2 9 2" xfId="61783"/>
    <cellStyle name="SAPLocked 21 3" xfId="7974"/>
    <cellStyle name="SAPLocked 21 3 2" xfId="61784"/>
    <cellStyle name="SAPLocked 21 4" xfId="7975"/>
    <cellStyle name="SAPLocked 21 4 2" xfId="61785"/>
    <cellStyle name="SAPLocked 21 5" xfId="7976"/>
    <cellStyle name="SAPLocked 21 5 2" xfId="61786"/>
    <cellStyle name="SAPLocked 21 6" xfId="7977"/>
    <cellStyle name="SAPLocked 21 6 2" xfId="61787"/>
    <cellStyle name="SAPLocked 21 7" xfId="7978"/>
    <cellStyle name="SAPLocked 21 7 2" xfId="61788"/>
    <cellStyle name="SAPLocked 21 8" xfId="7979"/>
    <cellStyle name="SAPLocked 21 8 2" xfId="61789"/>
    <cellStyle name="SAPLocked 21 9" xfId="7980"/>
    <cellStyle name="SAPLocked 21 9 2" xfId="61790"/>
    <cellStyle name="SAPLocked 22" xfId="7981"/>
    <cellStyle name="SAPLocked 22 10" xfId="7982"/>
    <cellStyle name="SAPLocked 22 10 2" xfId="61791"/>
    <cellStyle name="SAPLocked 22 11" xfId="7983"/>
    <cellStyle name="SAPLocked 22 11 2" xfId="61792"/>
    <cellStyle name="SAPLocked 22 12" xfId="7984"/>
    <cellStyle name="SAPLocked 22 2" xfId="7985"/>
    <cellStyle name="SAPLocked 22 2 2" xfId="61793"/>
    <cellStyle name="SAPLocked 22 3" xfId="7986"/>
    <cellStyle name="SAPLocked 22 3 2" xfId="61794"/>
    <cellStyle name="SAPLocked 22 4" xfId="7987"/>
    <cellStyle name="SAPLocked 22 4 2" xfId="61795"/>
    <cellStyle name="SAPLocked 22 5" xfId="7988"/>
    <cellStyle name="SAPLocked 22 5 2" xfId="61796"/>
    <cellStyle name="SAPLocked 22 6" xfId="7989"/>
    <cellStyle name="SAPLocked 22 6 2" xfId="61797"/>
    <cellStyle name="SAPLocked 22 7" xfId="7990"/>
    <cellStyle name="SAPLocked 22 7 2" xfId="61798"/>
    <cellStyle name="SAPLocked 22 8" xfId="7991"/>
    <cellStyle name="SAPLocked 22 8 2" xfId="61799"/>
    <cellStyle name="SAPLocked 22 9" xfId="7992"/>
    <cellStyle name="SAPLocked 22 9 2" xfId="61800"/>
    <cellStyle name="SAPLocked 23" xfId="7993"/>
    <cellStyle name="SAPLocked 23 2" xfId="61801"/>
    <cellStyle name="SAPLocked 24" xfId="7994"/>
    <cellStyle name="SAPLocked 24 2" xfId="61802"/>
    <cellStyle name="SAPLocked 25" xfId="7995"/>
    <cellStyle name="SAPLocked 25 2" xfId="61803"/>
    <cellStyle name="SAPLocked 26" xfId="7996"/>
    <cellStyle name="SAPLocked 26 2" xfId="61804"/>
    <cellStyle name="SAPLocked 27" xfId="7997"/>
    <cellStyle name="SAPLocked 27 2" xfId="61805"/>
    <cellStyle name="SAPLocked 28" xfId="7998"/>
    <cellStyle name="SAPLocked 28 2" xfId="61806"/>
    <cellStyle name="SAPLocked 29" xfId="7999"/>
    <cellStyle name="SAPLocked 29 2" xfId="61807"/>
    <cellStyle name="SAPLocked 3" xfId="8000"/>
    <cellStyle name="SAPLocked 3 10" xfId="8001"/>
    <cellStyle name="SAPLocked 3 10 2" xfId="61808"/>
    <cellStyle name="SAPLocked 3 11" xfId="8002"/>
    <cellStyle name="SAPLocked 3 11 2" xfId="61809"/>
    <cellStyle name="SAPLocked 3 12" xfId="8003"/>
    <cellStyle name="SAPLocked 3 12 2" xfId="61810"/>
    <cellStyle name="SAPLocked 3 13" xfId="8004"/>
    <cellStyle name="SAPLocked 3 2" xfId="8005"/>
    <cellStyle name="SAPLocked 3 2 10" xfId="8006"/>
    <cellStyle name="SAPLocked 3 2 10 2" xfId="61811"/>
    <cellStyle name="SAPLocked 3 2 11" xfId="8007"/>
    <cellStyle name="SAPLocked 3 2 11 2" xfId="61812"/>
    <cellStyle name="SAPLocked 3 2 12" xfId="8008"/>
    <cellStyle name="SAPLocked 3 2 2" xfId="8009"/>
    <cellStyle name="SAPLocked 3 2 2 2" xfId="61813"/>
    <cellStyle name="SAPLocked 3 2 3" xfId="8010"/>
    <cellStyle name="SAPLocked 3 2 3 2" xfId="61814"/>
    <cellStyle name="SAPLocked 3 2 4" xfId="8011"/>
    <cellStyle name="SAPLocked 3 2 4 2" xfId="61815"/>
    <cellStyle name="SAPLocked 3 2 5" xfId="8012"/>
    <cellStyle name="SAPLocked 3 2 5 2" xfId="61816"/>
    <cellStyle name="SAPLocked 3 2 6" xfId="8013"/>
    <cellStyle name="SAPLocked 3 2 6 2" xfId="61817"/>
    <cellStyle name="SAPLocked 3 2 7" xfId="8014"/>
    <cellStyle name="SAPLocked 3 2 7 2" xfId="61818"/>
    <cellStyle name="SAPLocked 3 2 8" xfId="8015"/>
    <cellStyle name="SAPLocked 3 2 8 2" xfId="61819"/>
    <cellStyle name="SAPLocked 3 2 9" xfId="8016"/>
    <cellStyle name="SAPLocked 3 2 9 2" xfId="61820"/>
    <cellStyle name="SAPLocked 3 3" xfId="8017"/>
    <cellStyle name="SAPLocked 3 3 2" xfId="61821"/>
    <cellStyle name="SAPLocked 3 4" xfId="8018"/>
    <cellStyle name="SAPLocked 3 4 2" xfId="61822"/>
    <cellStyle name="SAPLocked 3 5" xfId="8019"/>
    <cellStyle name="SAPLocked 3 5 2" xfId="61823"/>
    <cellStyle name="SAPLocked 3 6" xfId="8020"/>
    <cellStyle name="SAPLocked 3 6 2" xfId="61824"/>
    <cellStyle name="SAPLocked 3 7" xfId="8021"/>
    <cellStyle name="SAPLocked 3 7 2" xfId="61825"/>
    <cellStyle name="SAPLocked 3 8" xfId="8022"/>
    <cellStyle name="SAPLocked 3 8 2" xfId="61826"/>
    <cellStyle name="SAPLocked 3 9" xfId="8023"/>
    <cellStyle name="SAPLocked 3 9 2" xfId="61827"/>
    <cellStyle name="SAPLocked 30" xfId="8024"/>
    <cellStyle name="SAPLocked 30 2" xfId="61828"/>
    <cellStyle name="SAPLocked 31" xfId="8025"/>
    <cellStyle name="SAPLocked 4" xfId="8026"/>
    <cellStyle name="SAPLocked 4 10" xfId="8027"/>
    <cellStyle name="SAPLocked 4 10 2" xfId="61829"/>
    <cellStyle name="SAPLocked 4 11" xfId="8028"/>
    <cellStyle name="SAPLocked 4 11 2" xfId="61830"/>
    <cellStyle name="SAPLocked 4 12" xfId="8029"/>
    <cellStyle name="SAPLocked 4 12 2" xfId="61831"/>
    <cellStyle name="SAPLocked 4 13" xfId="8030"/>
    <cellStyle name="SAPLocked 4 2" xfId="8031"/>
    <cellStyle name="SAPLocked 4 2 10" xfId="8032"/>
    <cellStyle name="SAPLocked 4 2 10 2" xfId="61832"/>
    <cellStyle name="SAPLocked 4 2 11" xfId="8033"/>
    <cellStyle name="SAPLocked 4 2 11 2" xfId="61833"/>
    <cellStyle name="SAPLocked 4 2 12" xfId="8034"/>
    <cellStyle name="SAPLocked 4 2 2" xfId="8035"/>
    <cellStyle name="SAPLocked 4 2 2 2" xfId="61834"/>
    <cellStyle name="SAPLocked 4 2 3" xfId="8036"/>
    <cellStyle name="SAPLocked 4 2 3 2" xfId="61835"/>
    <cellStyle name="SAPLocked 4 2 4" xfId="8037"/>
    <cellStyle name="SAPLocked 4 2 4 2" xfId="61836"/>
    <cellStyle name="SAPLocked 4 2 5" xfId="8038"/>
    <cellStyle name="SAPLocked 4 2 5 2" xfId="61837"/>
    <cellStyle name="SAPLocked 4 2 6" xfId="8039"/>
    <cellStyle name="SAPLocked 4 2 6 2" xfId="61838"/>
    <cellStyle name="SAPLocked 4 2 7" xfId="8040"/>
    <cellStyle name="SAPLocked 4 2 7 2" xfId="61839"/>
    <cellStyle name="SAPLocked 4 2 8" xfId="8041"/>
    <cellStyle name="SAPLocked 4 2 8 2" xfId="61840"/>
    <cellStyle name="SAPLocked 4 2 9" xfId="8042"/>
    <cellStyle name="SAPLocked 4 2 9 2" xfId="61841"/>
    <cellStyle name="SAPLocked 4 3" xfId="8043"/>
    <cellStyle name="SAPLocked 4 3 2" xfId="61842"/>
    <cellStyle name="SAPLocked 4 4" xfId="8044"/>
    <cellStyle name="SAPLocked 4 4 2" xfId="61843"/>
    <cellStyle name="SAPLocked 4 5" xfId="8045"/>
    <cellStyle name="SAPLocked 4 5 2" xfId="61844"/>
    <cellStyle name="SAPLocked 4 6" xfId="8046"/>
    <cellStyle name="SAPLocked 4 6 2" xfId="61845"/>
    <cellStyle name="SAPLocked 4 7" xfId="8047"/>
    <cellStyle name="SAPLocked 4 7 2" xfId="61846"/>
    <cellStyle name="SAPLocked 4 8" xfId="8048"/>
    <cellStyle name="SAPLocked 4 8 2" xfId="61847"/>
    <cellStyle name="SAPLocked 4 9" xfId="8049"/>
    <cellStyle name="SAPLocked 4 9 2" xfId="61848"/>
    <cellStyle name="SAPLocked 5" xfId="8050"/>
    <cellStyle name="SAPLocked 5 10" xfId="8051"/>
    <cellStyle name="SAPLocked 5 10 2" xfId="61849"/>
    <cellStyle name="SAPLocked 5 11" xfId="8052"/>
    <cellStyle name="SAPLocked 5 11 2" xfId="61850"/>
    <cellStyle name="SAPLocked 5 12" xfId="8053"/>
    <cellStyle name="SAPLocked 5 12 2" xfId="61851"/>
    <cellStyle name="SAPLocked 5 13" xfId="8054"/>
    <cellStyle name="SAPLocked 5 2" xfId="8055"/>
    <cellStyle name="SAPLocked 5 2 10" xfId="8056"/>
    <cellStyle name="SAPLocked 5 2 10 2" xfId="61852"/>
    <cellStyle name="SAPLocked 5 2 11" xfId="8057"/>
    <cellStyle name="SAPLocked 5 2 11 2" xfId="61853"/>
    <cellStyle name="SAPLocked 5 2 12" xfId="8058"/>
    <cellStyle name="SAPLocked 5 2 2" xfId="8059"/>
    <cellStyle name="SAPLocked 5 2 2 2" xfId="61854"/>
    <cellStyle name="SAPLocked 5 2 3" xfId="8060"/>
    <cellStyle name="SAPLocked 5 2 3 2" xfId="61855"/>
    <cellStyle name="SAPLocked 5 2 4" xfId="8061"/>
    <cellStyle name="SAPLocked 5 2 4 2" xfId="61856"/>
    <cellStyle name="SAPLocked 5 2 5" xfId="8062"/>
    <cellStyle name="SAPLocked 5 2 5 2" xfId="61857"/>
    <cellStyle name="SAPLocked 5 2 6" xfId="8063"/>
    <cellStyle name="SAPLocked 5 2 6 2" xfId="61858"/>
    <cellStyle name="SAPLocked 5 2 7" xfId="8064"/>
    <cellStyle name="SAPLocked 5 2 7 2" xfId="61859"/>
    <cellStyle name="SAPLocked 5 2 8" xfId="8065"/>
    <cellStyle name="SAPLocked 5 2 8 2" xfId="61860"/>
    <cellStyle name="SAPLocked 5 2 9" xfId="8066"/>
    <cellStyle name="SAPLocked 5 2 9 2" xfId="61861"/>
    <cellStyle name="SAPLocked 5 3" xfId="8067"/>
    <cellStyle name="SAPLocked 5 3 2" xfId="61862"/>
    <cellStyle name="SAPLocked 5 4" xfId="8068"/>
    <cellStyle name="SAPLocked 5 4 2" xfId="61863"/>
    <cellStyle name="SAPLocked 5 5" xfId="8069"/>
    <cellStyle name="SAPLocked 5 5 2" xfId="61864"/>
    <cellStyle name="SAPLocked 5 6" xfId="8070"/>
    <cellStyle name="SAPLocked 5 6 2" xfId="61865"/>
    <cellStyle name="SAPLocked 5 7" xfId="8071"/>
    <cellStyle name="SAPLocked 5 7 2" xfId="61866"/>
    <cellStyle name="SAPLocked 5 8" xfId="8072"/>
    <cellStyle name="SAPLocked 5 8 2" xfId="61867"/>
    <cellStyle name="SAPLocked 5 9" xfId="8073"/>
    <cellStyle name="SAPLocked 5 9 2" xfId="61868"/>
    <cellStyle name="SAPLocked 6" xfId="8074"/>
    <cellStyle name="SAPLocked 6 10" xfId="8075"/>
    <cellStyle name="SAPLocked 6 10 2" xfId="61869"/>
    <cellStyle name="SAPLocked 6 11" xfId="8076"/>
    <cellStyle name="SAPLocked 6 11 2" xfId="61870"/>
    <cellStyle name="SAPLocked 6 12" xfId="8077"/>
    <cellStyle name="SAPLocked 6 12 2" xfId="61871"/>
    <cellStyle name="SAPLocked 6 13" xfId="8078"/>
    <cellStyle name="SAPLocked 6 2" xfId="8079"/>
    <cellStyle name="SAPLocked 6 2 10" xfId="8080"/>
    <cellStyle name="SAPLocked 6 2 10 2" xfId="61872"/>
    <cellStyle name="SAPLocked 6 2 11" xfId="8081"/>
    <cellStyle name="SAPLocked 6 2 11 2" xfId="61873"/>
    <cellStyle name="SAPLocked 6 2 12" xfId="8082"/>
    <cellStyle name="SAPLocked 6 2 2" xfId="8083"/>
    <cellStyle name="SAPLocked 6 2 2 2" xfId="61874"/>
    <cellStyle name="SAPLocked 6 2 3" xfId="8084"/>
    <cellStyle name="SAPLocked 6 2 3 2" xfId="61875"/>
    <cellStyle name="SAPLocked 6 2 4" xfId="8085"/>
    <cellStyle name="SAPLocked 6 2 4 2" xfId="61876"/>
    <cellStyle name="SAPLocked 6 2 5" xfId="8086"/>
    <cellStyle name="SAPLocked 6 2 5 2" xfId="61877"/>
    <cellStyle name="SAPLocked 6 2 6" xfId="8087"/>
    <cellStyle name="SAPLocked 6 2 6 2" xfId="61878"/>
    <cellStyle name="SAPLocked 6 2 7" xfId="8088"/>
    <cellStyle name="SAPLocked 6 2 7 2" xfId="61879"/>
    <cellStyle name="SAPLocked 6 2 8" xfId="8089"/>
    <cellStyle name="SAPLocked 6 2 8 2" xfId="61880"/>
    <cellStyle name="SAPLocked 6 2 9" xfId="8090"/>
    <cellStyle name="SAPLocked 6 2 9 2" xfId="61881"/>
    <cellStyle name="SAPLocked 6 3" xfId="8091"/>
    <cellStyle name="SAPLocked 6 3 2" xfId="61882"/>
    <cellStyle name="SAPLocked 6 4" xfId="8092"/>
    <cellStyle name="SAPLocked 6 4 2" xfId="61883"/>
    <cellStyle name="SAPLocked 6 5" xfId="8093"/>
    <cellStyle name="SAPLocked 6 5 2" xfId="61884"/>
    <cellStyle name="SAPLocked 6 6" xfId="8094"/>
    <cellStyle name="SAPLocked 6 6 2" xfId="61885"/>
    <cellStyle name="SAPLocked 6 7" xfId="8095"/>
    <cellStyle name="SAPLocked 6 7 2" xfId="61886"/>
    <cellStyle name="SAPLocked 6 8" xfId="8096"/>
    <cellStyle name="SAPLocked 6 8 2" xfId="61887"/>
    <cellStyle name="SAPLocked 6 9" xfId="8097"/>
    <cellStyle name="SAPLocked 6 9 2" xfId="61888"/>
    <cellStyle name="SAPLocked 7" xfId="8098"/>
    <cellStyle name="SAPLocked 7 10" xfId="8099"/>
    <cellStyle name="SAPLocked 7 10 2" xfId="61889"/>
    <cellStyle name="SAPLocked 7 11" xfId="8100"/>
    <cellStyle name="SAPLocked 7 11 2" xfId="61890"/>
    <cellStyle name="SAPLocked 7 12" xfId="8101"/>
    <cellStyle name="SAPLocked 7 12 2" xfId="61891"/>
    <cellStyle name="SAPLocked 7 13" xfId="8102"/>
    <cellStyle name="SAPLocked 7 2" xfId="8103"/>
    <cellStyle name="SAPLocked 7 2 10" xfId="8104"/>
    <cellStyle name="SAPLocked 7 2 10 2" xfId="61892"/>
    <cellStyle name="SAPLocked 7 2 11" xfId="8105"/>
    <cellStyle name="SAPLocked 7 2 11 2" xfId="61893"/>
    <cellStyle name="SAPLocked 7 2 12" xfId="8106"/>
    <cellStyle name="SAPLocked 7 2 2" xfId="8107"/>
    <cellStyle name="SAPLocked 7 2 2 2" xfId="61894"/>
    <cellStyle name="SAPLocked 7 2 3" xfId="8108"/>
    <cellStyle name="SAPLocked 7 2 3 2" xfId="61895"/>
    <cellStyle name="SAPLocked 7 2 4" xfId="8109"/>
    <cellStyle name="SAPLocked 7 2 4 2" xfId="61896"/>
    <cellStyle name="SAPLocked 7 2 5" xfId="8110"/>
    <cellStyle name="SAPLocked 7 2 5 2" xfId="61897"/>
    <cellStyle name="SAPLocked 7 2 6" xfId="8111"/>
    <cellStyle name="SAPLocked 7 2 6 2" xfId="61898"/>
    <cellStyle name="SAPLocked 7 2 7" xfId="8112"/>
    <cellStyle name="SAPLocked 7 2 7 2" xfId="61899"/>
    <cellStyle name="SAPLocked 7 2 8" xfId="8113"/>
    <cellStyle name="SAPLocked 7 2 8 2" xfId="61900"/>
    <cellStyle name="SAPLocked 7 2 9" xfId="8114"/>
    <cellStyle name="SAPLocked 7 2 9 2" xfId="61901"/>
    <cellStyle name="SAPLocked 7 3" xfId="8115"/>
    <cellStyle name="SAPLocked 7 3 2" xfId="61902"/>
    <cellStyle name="SAPLocked 7 4" xfId="8116"/>
    <cellStyle name="SAPLocked 7 4 2" xfId="61903"/>
    <cellStyle name="SAPLocked 7 5" xfId="8117"/>
    <cellStyle name="SAPLocked 7 5 2" xfId="61904"/>
    <cellStyle name="SAPLocked 7 6" xfId="8118"/>
    <cellStyle name="SAPLocked 7 6 2" xfId="61905"/>
    <cellStyle name="SAPLocked 7 7" xfId="8119"/>
    <cellStyle name="SAPLocked 7 7 2" xfId="61906"/>
    <cellStyle name="SAPLocked 7 8" xfId="8120"/>
    <cellStyle name="SAPLocked 7 8 2" xfId="61907"/>
    <cellStyle name="SAPLocked 7 9" xfId="8121"/>
    <cellStyle name="SAPLocked 7 9 2" xfId="61908"/>
    <cellStyle name="SAPLocked 8" xfId="8122"/>
    <cellStyle name="SAPLocked 8 10" xfId="8123"/>
    <cellStyle name="SAPLocked 8 10 2" xfId="61909"/>
    <cellStyle name="SAPLocked 8 11" xfId="8124"/>
    <cellStyle name="SAPLocked 8 11 2" xfId="61910"/>
    <cellStyle name="SAPLocked 8 12" xfId="8125"/>
    <cellStyle name="SAPLocked 8 12 2" xfId="61911"/>
    <cellStyle name="SAPLocked 8 13" xfId="8126"/>
    <cellStyle name="SAPLocked 8 2" xfId="8127"/>
    <cellStyle name="SAPLocked 8 2 10" xfId="8128"/>
    <cellStyle name="SAPLocked 8 2 10 2" xfId="61912"/>
    <cellStyle name="SAPLocked 8 2 11" xfId="8129"/>
    <cellStyle name="SAPLocked 8 2 11 2" xfId="61913"/>
    <cellStyle name="SAPLocked 8 2 12" xfId="8130"/>
    <cellStyle name="SAPLocked 8 2 2" xfId="8131"/>
    <cellStyle name="SAPLocked 8 2 2 2" xfId="61914"/>
    <cellStyle name="SAPLocked 8 2 3" xfId="8132"/>
    <cellStyle name="SAPLocked 8 2 3 2" xfId="61915"/>
    <cellStyle name="SAPLocked 8 2 4" xfId="8133"/>
    <cellStyle name="SAPLocked 8 2 4 2" xfId="61916"/>
    <cellStyle name="SAPLocked 8 2 5" xfId="8134"/>
    <cellStyle name="SAPLocked 8 2 5 2" xfId="61917"/>
    <cellStyle name="SAPLocked 8 2 6" xfId="8135"/>
    <cellStyle name="SAPLocked 8 2 6 2" xfId="61918"/>
    <cellStyle name="SAPLocked 8 2 7" xfId="8136"/>
    <cellStyle name="SAPLocked 8 2 7 2" xfId="61919"/>
    <cellStyle name="SAPLocked 8 2 8" xfId="8137"/>
    <cellStyle name="SAPLocked 8 2 8 2" xfId="61920"/>
    <cellStyle name="SAPLocked 8 2 9" xfId="8138"/>
    <cellStyle name="SAPLocked 8 2 9 2" xfId="61921"/>
    <cellStyle name="SAPLocked 8 3" xfId="8139"/>
    <cellStyle name="SAPLocked 8 3 2" xfId="61922"/>
    <cellStyle name="SAPLocked 8 4" xfId="8140"/>
    <cellStyle name="SAPLocked 8 4 2" xfId="61923"/>
    <cellStyle name="SAPLocked 8 5" xfId="8141"/>
    <cellStyle name="SAPLocked 8 5 2" xfId="61924"/>
    <cellStyle name="SAPLocked 8 6" xfId="8142"/>
    <cellStyle name="SAPLocked 8 6 2" xfId="61925"/>
    <cellStyle name="SAPLocked 8 7" xfId="8143"/>
    <cellStyle name="SAPLocked 8 7 2" xfId="61926"/>
    <cellStyle name="SAPLocked 8 8" xfId="8144"/>
    <cellStyle name="SAPLocked 8 8 2" xfId="61927"/>
    <cellStyle name="SAPLocked 8 9" xfId="8145"/>
    <cellStyle name="SAPLocked 8 9 2" xfId="61928"/>
    <cellStyle name="SAPLocked 9" xfId="8146"/>
    <cellStyle name="SAPLocked 9 10" xfId="8147"/>
    <cellStyle name="SAPLocked 9 10 2" xfId="61929"/>
    <cellStyle name="SAPLocked 9 11" xfId="8148"/>
    <cellStyle name="SAPLocked 9 11 2" xfId="61930"/>
    <cellStyle name="SAPLocked 9 12" xfId="8149"/>
    <cellStyle name="SAPLocked 9 12 2" xfId="61931"/>
    <cellStyle name="SAPLocked 9 13" xfId="8150"/>
    <cellStyle name="SAPLocked 9 2" xfId="8151"/>
    <cellStyle name="SAPLocked 9 2 10" xfId="8152"/>
    <cellStyle name="SAPLocked 9 2 10 2" xfId="61932"/>
    <cellStyle name="SAPLocked 9 2 11" xfId="8153"/>
    <cellStyle name="SAPLocked 9 2 11 2" xfId="61933"/>
    <cellStyle name="SAPLocked 9 2 12" xfId="8154"/>
    <cellStyle name="SAPLocked 9 2 2" xfId="8155"/>
    <cellStyle name="SAPLocked 9 2 2 2" xfId="61934"/>
    <cellStyle name="SAPLocked 9 2 3" xfId="8156"/>
    <cellStyle name="SAPLocked 9 2 3 2" xfId="61935"/>
    <cellStyle name="SAPLocked 9 2 4" xfId="8157"/>
    <cellStyle name="SAPLocked 9 2 4 2" xfId="61936"/>
    <cellStyle name="SAPLocked 9 2 5" xfId="8158"/>
    <cellStyle name="SAPLocked 9 2 5 2" xfId="61937"/>
    <cellStyle name="SAPLocked 9 2 6" xfId="8159"/>
    <cellStyle name="SAPLocked 9 2 6 2" xfId="61938"/>
    <cellStyle name="SAPLocked 9 2 7" xfId="8160"/>
    <cellStyle name="SAPLocked 9 2 7 2" xfId="61939"/>
    <cellStyle name="SAPLocked 9 2 8" xfId="8161"/>
    <cellStyle name="SAPLocked 9 2 8 2" xfId="61940"/>
    <cellStyle name="SAPLocked 9 2 9" xfId="8162"/>
    <cellStyle name="SAPLocked 9 2 9 2" xfId="61941"/>
    <cellStyle name="SAPLocked 9 3" xfId="8163"/>
    <cellStyle name="SAPLocked 9 3 2" xfId="61942"/>
    <cellStyle name="SAPLocked 9 4" xfId="8164"/>
    <cellStyle name="SAPLocked 9 4 2" xfId="61943"/>
    <cellStyle name="SAPLocked 9 5" xfId="8165"/>
    <cellStyle name="SAPLocked 9 5 2" xfId="61944"/>
    <cellStyle name="SAPLocked 9 6" xfId="8166"/>
    <cellStyle name="SAPLocked 9 6 2" xfId="61945"/>
    <cellStyle name="SAPLocked 9 7" xfId="8167"/>
    <cellStyle name="SAPLocked 9 7 2" xfId="61946"/>
    <cellStyle name="SAPLocked 9 8" xfId="8168"/>
    <cellStyle name="SAPLocked 9 8 2" xfId="61947"/>
    <cellStyle name="SAPLocked 9 9" xfId="8169"/>
    <cellStyle name="SAPLocked 9 9 2" xfId="61948"/>
    <cellStyle name="SAPMemberCell" xfId="61949"/>
    <cellStyle name="SAPMemberTotalCell" xfId="61950"/>
    <cellStyle name="Shade" xfId="9362"/>
    <cellStyle name="Standard_CORE_20040805_Movement types_Sets_V0.1_e" xfId="8170"/>
    <cellStyle name="STYL5 - Style5" xfId="8171"/>
    <cellStyle name="STYL5 - Style5 2" xfId="8172"/>
    <cellStyle name="STYL5 - Style5 2 2" xfId="9949"/>
    <cellStyle name="STYL5 - Style5 3" xfId="9950"/>
    <cellStyle name="STYL5 - Style5 3 2" xfId="9951"/>
    <cellStyle name="STYL6 - Style6" xfId="8173"/>
    <cellStyle name="STYL6 - Style6 2" xfId="8174"/>
    <cellStyle name="STYL6 - Style6 2 2" xfId="9952"/>
    <cellStyle name="STYL6 - Style6 3" xfId="9953"/>
    <cellStyle name="STYL6 - Style6 3 2" xfId="9954"/>
    <cellStyle name="Style 1" xfId="8765"/>
    <cellStyle name="STYLE1 - Style1" xfId="8175"/>
    <cellStyle name="STYLE1 - Style1 2" xfId="8176"/>
    <cellStyle name="STYLE1 - Style1 2 2" xfId="9955"/>
    <cellStyle name="STYLE1 - Style1 3" xfId="9956"/>
    <cellStyle name="STYLE1 - Style1 3 2" xfId="9957"/>
    <cellStyle name="STYLE2 - Style2" xfId="8177"/>
    <cellStyle name="STYLE2 - Style2 2" xfId="8178"/>
    <cellStyle name="STYLE2 - Style2 2 2" xfId="9958"/>
    <cellStyle name="STYLE2 - Style2 3" xfId="9959"/>
    <cellStyle name="STYLE2 - Style2 3 2" xfId="9960"/>
    <cellStyle name="STYLE3 - Style3" xfId="8179"/>
    <cellStyle name="STYLE3 - Style3 2" xfId="8180"/>
    <cellStyle name="STYLE3 - Style3 2 2" xfId="9961"/>
    <cellStyle name="STYLE3 - Style3 3" xfId="9962"/>
    <cellStyle name="STYLE3 - Style3 3 2" xfId="9963"/>
    <cellStyle name="STYLE4 - Style4" xfId="8181"/>
    <cellStyle name="STYLE4 - Style4 2" xfId="8182"/>
    <cellStyle name="STYLE4 - Style4 2 2" xfId="9964"/>
    <cellStyle name="STYLE4 - Style4 3" xfId="9965"/>
    <cellStyle name="STYLE4 - Style4 3 2" xfId="9966"/>
    <cellStyle name="Table  - Style5" xfId="61951"/>
    <cellStyle name="Text" xfId="57797"/>
    <cellStyle name="Title  - Style6" xfId="61952"/>
    <cellStyle name="Title 10" xfId="9967"/>
    <cellStyle name="Title 11" xfId="9968"/>
    <cellStyle name="Title 12" xfId="9969"/>
    <cellStyle name="Title 13" xfId="9970"/>
    <cellStyle name="Title 14" xfId="9971"/>
    <cellStyle name="Title 15" xfId="9972"/>
    <cellStyle name="Title 16" xfId="9973"/>
    <cellStyle name="Title 17" xfId="9974"/>
    <cellStyle name="Title 17 2" xfId="61953"/>
    <cellStyle name="Title 18" xfId="61954"/>
    <cellStyle name="Title 19" xfId="61955"/>
    <cellStyle name="Title 2" xfId="8183"/>
    <cellStyle name="Title 2 2" xfId="8184"/>
    <cellStyle name="Title 2 2 2" xfId="57798"/>
    <cellStyle name="Title 2 3" xfId="57799"/>
    <cellStyle name="Title 20" xfId="61956"/>
    <cellStyle name="Title 3" xfId="8185"/>
    <cellStyle name="Title 3 2" xfId="9363"/>
    <cellStyle name="Title 4" xfId="9975"/>
    <cellStyle name="Title 5" xfId="9976"/>
    <cellStyle name="Title 6" xfId="9977"/>
    <cellStyle name="Title 7" xfId="9978"/>
    <cellStyle name="Title 8" xfId="9979"/>
    <cellStyle name="Title 9" xfId="9980"/>
    <cellStyle name="Total 10" xfId="9981"/>
    <cellStyle name="Total 11" xfId="9982"/>
    <cellStyle name="Total 12" xfId="9983"/>
    <cellStyle name="Total 13" xfId="9984"/>
    <cellStyle name="Total 14" xfId="9985"/>
    <cellStyle name="Total 15" xfId="9986"/>
    <cellStyle name="Total 16" xfId="9987"/>
    <cellStyle name="Total 17" xfId="9988"/>
    <cellStyle name="Total 17 2" xfId="61957"/>
    <cellStyle name="Total 17 3" xfId="61958"/>
    <cellStyle name="Total 17 4" xfId="61959"/>
    <cellStyle name="Total 18" xfId="61960"/>
    <cellStyle name="Total 2" xfId="8186"/>
    <cellStyle name="Total 2 2" xfId="8187"/>
    <cellStyle name="Total 2 2 2" xfId="8188"/>
    <cellStyle name="Total 2 2 3" xfId="61961"/>
    <cellStyle name="Total 2 3" xfId="8189"/>
    <cellStyle name="Total 2 3 2" xfId="61962"/>
    <cellStyle name="Total 2 4" xfId="8190"/>
    <cellStyle name="Total 2 4 2" xfId="61963"/>
    <cellStyle name="Total 2 5" xfId="8191"/>
    <cellStyle name="Total 2 5 2" xfId="61964"/>
    <cellStyle name="Total 2 6" xfId="8192"/>
    <cellStyle name="Total 2 6 2" xfId="61965"/>
    <cellStyle name="Total 2 7" xfId="8193"/>
    <cellStyle name="Total 2 7 2" xfId="61966"/>
    <cellStyle name="Total 2 8" xfId="8194"/>
    <cellStyle name="Total 2 9" xfId="8195"/>
    <cellStyle name="Total 3" xfId="8196"/>
    <cellStyle name="Total 3 2" xfId="8197"/>
    <cellStyle name="Total 3 2 2" xfId="61967"/>
    <cellStyle name="Total 3 3" xfId="8198"/>
    <cellStyle name="Total 4" xfId="9364"/>
    <cellStyle name="Total 4 2" xfId="57800"/>
    <cellStyle name="Total 5" xfId="9365"/>
    <cellStyle name="Total 5 2" xfId="57801"/>
    <cellStyle name="Total 6" xfId="9989"/>
    <cellStyle name="Total 6 2" xfId="57802"/>
    <cellStyle name="Total 7" xfId="9990"/>
    <cellStyle name="Total 7 2" xfId="57803"/>
    <cellStyle name="Total 8" xfId="9991"/>
    <cellStyle name="Total 9" xfId="9992"/>
    <cellStyle name="TotCol - Style7" xfId="61968"/>
    <cellStyle name="TotRow - Style8" xfId="61969"/>
    <cellStyle name="Undefiniert" xfId="8199"/>
    <cellStyle name="Undefiniert 2" xfId="9993"/>
    <cellStyle name="UploadThisRowValue" xfId="8200"/>
    <cellStyle name="UploadThisRowValue 2" xfId="8201"/>
    <cellStyle name="UploadThisRowValue 2 2" xfId="57804"/>
    <cellStyle name="UploadThisRowValue 3" xfId="8202"/>
    <cellStyle name="UploadThisRowValue 4" xfId="9366"/>
    <cellStyle name="Währung_KURSE3Q" xfId="9367"/>
    <cellStyle name="Warning Text 10" xfId="9994"/>
    <cellStyle name="Warning Text 11" xfId="9995"/>
    <cellStyle name="Warning Text 12" xfId="9996"/>
    <cellStyle name="Warning Text 13" xfId="9997"/>
    <cellStyle name="Warning Text 14" xfId="9998"/>
    <cellStyle name="Warning Text 15" xfId="9999"/>
    <cellStyle name="Warning Text 16" xfId="10000"/>
    <cellStyle name="Warning Text 17" xfId="10001"/>
    <cellStyle name="Warning Text 2" xfId="8203"/>
    <cellStyle name="Warning Text 2 2" xfId="8204"/>
    <cellStyle name="Warning Text 2 2 2" xfId="61970"/>
    <cellStyle name="Warning Text 2 3" xfId="57805"/>
    <cellStyle name="Warning Text 2 4" xfId="57806"/>
    <cellStyle name="Warning Text 2 5" xfId="57807"/>
    <cellStyle name="Warning Text 2 6" xfId="57808"/>
    <cellStyle name="Warning Text 3" xfId="8205"/>
    <cellStyle name="Warning Text 3 2" xfId="9368"/>
    <cellStyle name="Warning Text 3 3" xfId="57809"/>
    <cellStyle name="Warning Text 4" xfId="8206"/>
    <cellStyle name="Warning Text 4 2" xfId="57810"/>
    <cellStyle name="Warning Text 5" xfId="9369"/>
    <cellStyle name="Warning Text 5 2" xfId="57811"/>
    <cellStyle name="Warning Text 6" xfId="10002"/>
    <cellStyle name="Warning Text 6 2" xfId="57812"/>
    <cellStyle name="Warning Text 7" xfId="10003"/>
    <cellStyle name="Warning Text 7 2" xfId="57813"/>
    <cellStyle name="Warning Text 8" xfId="10004"/>
    <cellStyle name="Warning Text 8 2" xfId="57814"/>
    <cellStyle name="Warning Text 9" xfId="10005"/>
  </cellStyles>
  <dxfs count="1"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V84"/>
  <sheetViews>
    <sheetView showGridLines="0" zoomScale="70" zoomScaleNormal="70" zoomScaleSheetLayoutView="75" workbookViewId="0">
      <selection activeCell="J79" sqref="J79"/>
    </sheetView>
  </sheetViews>
  <sheetFormatPr defaultColWidth="9" defaultRowHeight="15.75"/>
  <cols>
    <col min="1" max="1" width="4.21875" style="312" bestFit="1" customWidth="1"/>
    <col min="2" max="2" width="53" style="313" customWidth="1"/>
    <col min="3" max="3" width="1.6640625" style="314" customWidth="1"/>
    <col min="4" max="4" width="18.6640625" style="313" customWidth="1"/>
    <col min="5" max="5" width="1.6640625" style="314" customWidth="1"/>
    <col min="6" max="6" width="18.6640625" style="313" customWidth="1"/>
    <col min="7" max="7" width="1.6640625" style="314" customWidth="1"/>
    <col min="8" max="8" width="16.6640625" style="313" customWidth="1"/>
    <col min="9" max="9" width="1.6640625" style="314" customWidth="1"/>
    <col min="10" max="10" width="16.6640625" style="313" customWidth="1"/>
    <col min="11" max="11" width="1.6640625" style="314" customWidth="1"/>
    <col min="12" max="12" width="16.6640625" style="313" customWidth="1"/>
    <col min="13" max="13" width="1.6640625" style="314" customWidth="1"/>
    <col min="14" max="14" width="18.6640625" style="313" customWidth="1"/>
    <col min="15" max="15" width="1.6640625" style="314" customWidth="1"/>
    <col min="16" max="16" width="18.6640625" style="313" customWidth="1"/>
    <col min="17" max="17" width="1.6640625" style="314" customWidth="1"/>
    <col min="18" max="18" width="18.6640625" style="313" customWidth="1"/>
    <col min="19" max="19" width="9.44140625" style="316" bestFit="1" customWidth="1"/>
    <col min="20" max="20" width="18.109375" style="313" customWidth="1"/>
    <col min="21" max="21" width="10.6640625" style="313" bestFit="1" customWidth="1"/>
    <col min="22" max="22" width="15.33203125" style="313" bestFit="1" customWidth="1"/>
    <col min="23" max="16384" width="9" style="313"/>
  </cols>
  <sheetData>
    <row r="1" spans="1:22" ht="18" customHeight="1">
      <c r="B1" s="396" t="s">
        <v>136</v>
      </c>
      <c r="R1" s="393" t="s">
        <v>2155</v>
      </c>
    </row>
    <row r="2" spans="1:22" ht="18" customHeight="1">
      <c r="B2" s="397" t="str">
        <f>'Rate Case Constants'!C29</f>
        <v>TYPE OF FILING: __X__ ORIGINAL  _____ UPDATED  _____ REVISED</v>
      </c>
      <c r="R2" s="394" t="str">
        <f>'Rate Case Constants'!C38</f>
        <v>WITNESS:   D. K. ARBOUGH</v>
      </c>
      <c r="T2" s="315"/>
    </row>
    <row r="3" spans="1:22" ht="18" customHeight="1">
      <c r="R3" s="395" t="s">
        <v>2156</v>
      </c>
    </row>
    <row r="4" spans="1:22" ht="18" customHeight="1"/>
    <row r="5" spans="1:22" ht="18" customHeight="1">
      <c r="A5" s="700" t="str">
        <f>'Rate Case Constants'!C9</f>
        <v>KENTUCKY UTILITIES COMPANY</v>
      </c>
      <c r="B5" s="700"/>
      <c r="C5" s="700"/>
      <c r="D5" s="700"/>
      <c r="E5" s="700"/>
      <c r="F5" s="700"/>
      <c r="G5" s="700"/>
      <c r="H5" s="700"/>
      <c r="I5" s="700"/>
      <c r="J5" s="700"/>
      <c r="K5" s="700"/>
      <c r="L5" s="700"/>
      <c r="M5" s="700"/>
      <c r="N5" s="700"/>
      <c r="O5" s="700"/>
      <c r="P5" s="700"/>
      <c r="Q5" s="700"/>
      <c r="R5" s="700"/>
    </row>
    <row r="6" spans="1:22" ht="18" customHeight="1"/>
    <row r="7" spans="1:22" ht="18" customHeight="1">
      <c r="A7" s="701" t="s">
        <v>2488</v>
      </c>
      <c r="B7" s="701"/>
      <c r="C7" s="701"/>
      <c r="D7" s="701"/>
      <c r="E7" s="701"/>
      <c r="F7" s="701"/>
      <c r="G7" s="701"/>
      <c r="H7" s="701"/>
      <c r="I7" s="701"/>
      <c r="J7" s="701"/>
      <c r="K7" s="701"/>
      <c r="L7" s="701"/>
      <c r="M7" s="701"/>
      <c r="N7" s="701"/>
      <c r="O7" s="701"/>
      <c r="P7" s="701"/>
      <c r="Q7" s="701"/>
      <c r="R7" s="701"/>
    </row>
    <row r="8" spans="1:22" ht="18" customHeight="1">
      <c r="A8" s="702"/>
      <c r="B8" s="702"/>
      <c r="C8" s="702"/>
      <c r="D8" s="702"/>
      <c r="E8" s="702"/>
      <c r="F8" s="702"/>
      <c r="G8" s="702"/>
      <c r="H8" s="702"/>
      <c r="I8" s="702"/>
      <c r="J8" s="702"/>
      <c r="K8" s="702"/>
      <c r="L8" s="702"/>
      <c r="M8" s="702"/>
      <c r="N8" s="702"/>
      <c r="O8" s="702"/>
      <c r="P8" s="702"/>
      <c r="Q8" s="702"/>
      <c r="R8" s="702"/>
    </row>
    <row r="9" spans="1:22" ht="18" customHeight="1">
      <c r="A9" s="699"/>
      <c r="B9" s="699"/>
      <c r="C9" s="699"/>
      <c r="D9" s="699"/>
      <c r="E9" s="699"/>
      <c r="F9" s="699"/>
      <c r="G9" s="699"/>
      <c r="H9" s="699"/>
      <c r="I9" s="699"/>
      <c r="J9" s="699"/>
      <c r="K9" s="699"/>
      <c r="L9" s="699"/>
      <c r="M9" s="699"/>
      <c r="N9" s="699"/>
      <c r="O9" s="699"/>
      <c r="P9" s="699"/>
      <c r="Q9" s="699"/>
      <c r="R9" s="699"/>
    </row>
    <row r="10" spans="1:22" ht="18" customHeight="1">
      <c r="A10" s="317"/>
    </row>
    <row r="11" spans="1:22" ht="18" customHeight="1">
      <c r="A11" s="317"/>
      <c r="B11" s="318"/>
      <c r="C11" s="319"/>
      <c r="D11" s="320"/>
      <c r="E11" s="319"/>
      <c r="F11" s="318"/>
      <c r="G11" s="319"/>
      <c r="H11" s="318"/>
      <c r="I11" s="319"/>
      <c r="J11" s="318"/>
      <c r="K11" s="319"/>
      <c r="L11" s="318"/>
      <c r="M11" s="319"/>
      <c r="N11" s="318"/>
      <c r="O11" s="319"/>
      <c r="P11" s="318"/>
      <c r="Q11" s="319"/>
      <c r="R11" s="318"/>
    </row>
    <row r="12" spans="1:22" ht="18" customHeight="1">
      <c r="A12" s="317"/>
      <c r="B12" s="321"/>
      <c r="L12" s="323" t="s">
        <v>2101</v>
      </c>
      <c r="N12" s="323" t="s">
        <v>2101</v>
      </c>
    </row>
    <row r="13" spans="1:22" ht="18" customHeight="1">
      <c r="A13" s="317"/>
      <c r="B13" s="318"/>
      <c r="C13" s="319"/>
      <c r="D13" s="322" t="s">
        <v>2101</v>
      </c>
      <c r="E13" s="319"/>
      <c r="F13" s="322" t="s">
        <v>2101</v>
      </c>
      <c r="G13" s="319"/>
      <c r="H13" s="323" t="s">
        <v>2101</v>
      </c>
      <c r="I13" s="319"/>
      <c r="J13" s="323" t="s">
        <v>2101</v>
      </c>
      <c r="K13" s="319"/>
      <c r="L13" s="323" t="s">
        <v>2104</v>
      </c>
      <c r="M13" s="319"/>
      <c r="N13" s="323" t="s">
        <v>2104</v>
      </c>
      <c r="O13" s="319"/>
      <c r="P13" s="322" t="s">
        <v>2102</v>
      </c>
      <c r="Q13" s="319"/>
      <c r="R13" s="322" t="s">
        <v>2103</v>
      </c>
    </row>
    <row r="14" spans="1:22" ht="18" customHeight="1">
      <c r="A14" s="317"/>
      <c r="B14" s="318"/>
      <c r="C14" s="319"/>
      <c r="D14" s="322" t="s">
        <v>2104</v>
      </c>
      <c r="E14" s="319"/>
      <c r="F14" s="322" t="s">
        <v>2104</v>
      </c>
      <c r="G14" s="319"/>
      <c r="H14" s="323" t="s">
        <v>2104</v>
      </c>
      <c r="I14" s="319"/>
      <c r="J14" s="323" t="s">
        <v>2104</v>
      </c>
      <c r="K14" s="319"/>
      <c r="L14" s="324" t="s">
        <v>2150</v>
      </c>
      <c r="M14" s="319"/>
      <c r="N14" s="324" t="s">
        <v>2150</v>
      </c>
      <c r="O14" s="319"/>
      <c r="P14" s="322" t="s">
        <v>2104</v>
      </c>
      <c r="Q14" s="319"/>
      <c r="R14" s="322" t="s">
        <v>2105</v>
      </c>
    </row>
    <row r="15" spans="1:22" ht="18" customHeight="1">
      <c r="A15" s="317"/>
      <c r="B15" s="318" t="s">
        <v>2106</v>
      </c>
      <c r="C15" s="319"/>
      <c r="D15" s="324" t="s">
        <v>2107</v>
      </c>
      <c r="E15" s="319"/>
      <c r="F15" s="324" t="s">
        <v>2108</v>
      </c>
      <c r="G15" s="319"/>
      <c r="H15" s="324" t="s">
        <v>2148</v>
      </c>
      <c r="I15" s="319"/>
      <c r="J15" s="324" t="s">
        <v>2149</v>
      </c>
      <c r="K15" s="319"/>
      <c r="L15" s="324" t="s">
        <v>9</v>
      </c>
      <c r="M15" s="319"/>
      <c r="N15" s="324" t="s">
        <v>2109</v>
      </c>
      <c r="O15" s="319"/>
      <c r="P15" s="324" t="s">
        <v>2110</v>
      </c>
      <c r="Q15" s="319"/>
      <c r="R15" s="324" t="s">
        <v>2110</v>
      </c>
    </row>
    <row r="16" spans="1:22" ht="18" customHeight="1">
      <c r="A16" s="317"/>
      <c r="B16" s="325">
        <v>-1</v>
      </c>
      <c r="C16" s="319"/>
      <c r="D16" s="326">
        <v>-2</v>
      </c>
      <c r="E16" s="319"/>
      <c r="F16" s="325">
        <v>-3</v>
      </c>
      <c r="G16" s="319"/>
      <c r="H16" s="325">
        <v>-4</v>
      </c>
      <c r="I16" s="319"/>
      <c r="J16" s="325">
        <v>-5</v>
      </c>
      <c r="K16" s="319"/>
      <c r="L16" s="325">
        <v>-6</v>
      </c>
      <c r="M16" s="319"/>
      <c r="N16" s="325">
        <v>-7</v>
      </c>
      <c r="O16" s="319"/>
      <c r="P16" s="325">
        <v>-8</v>
      </c>
      <c r="Q16" s="319"/>
      <c r="R16" s="325">
        <v>-9</v>
      </c>
      <c r="T16" s="327"/>
      <c r="U16" s="314"/>
      <c r="V16" s="314"/>
    </row>
    <row r="17" spans="1:22" ht="18" customHeight="1">
      <c r="A17" s="317"/>
      <c r="B17" s="318"/>
      <c r="C17" s="319"/>
      <c r="D17" s="318"/>
      <c r="E17" s="319"/>
      <c r="F17" s="322"/>
      <c r="G17" s="319"/>
      <c r="H17" s="318"/>
      <c r="I17" s="319"/>
      <c r="J17" s="318"/>
      <c r="K17" s="319"/>
      <c r="L17" s="318"/>
      <c r="M17" s="319"/>
      <c r="N17" s="324" t="s">
        <v>2152</v>
      </c>
      <c r="O17" s="319"/>
      <c r="P17" s="318"/>
      <c r="Q17" s="319"/>
      <c r="R17" s="318" t="s">
        <v>2151</v>
      </c>
      <c r="T17" s="314"/>
      <c r="U17" s="314"/>
      <c r="V17" s="314"/>
    </row>
    <row r="18" spans="1:22" ht="21" customHeight="1">
      <c r="A18" s="328">
        <f>1</f>
        <v>1</v>
      </c>
      <c r="B18" s="329" t="s">
        <v>2111</v>
      </c>
      <c r="C18" s="330"/>
      <c r="D18" s="332">
        <f>'SCH B-2'!E27+SUM('SCH B-2.6'!G13:G15)+'SCH B-4'!H22</f>
        <v>8362938048.5732384</v>
      </c>
      <c r="E18" s="331"/>
      <c r="F18" s="332">
        <f>SUM('SCH B-2.2'!F12:F16,'SCH B-2.2'!F21:F24,'SCH B-2.2'!F26,'SCH B-4.1'!E12)*-1</f>
        <v>1227939151.0368636</v>
      </c>
      <c r="G18" s="331"/>
      <c r="H18" s="332">
        <f>SUM('SCH B-2.2'!F27)*-1</f>
        <v>9232004.7799999993</v>
      </c>
      <c r="I18" s="331"/>
      <c r="J18" s="332">
        <f>SUM('SCH B-2.2'!F17:F20,'SCH B-2.2'!F25)*-1</f>
        <v>291777956.66230756</v>
      </c>
      <c r="K18" s="331"/>
      <c r="L18" s="332">
        <v>0</v>
      </c>
      <c r="M18" s="331"/>
      <c r="N18" s="332">
        <f>D18-SUM(F18:L18)</f>
        <v>6833988936.0940676</v>
      </c>
      <c r="O18" s="331"/>
      <c r="P18" s="332">
        <f>R18-D18</f>
        <v>1060121105.1367569</v>
      </c>
      <c r="Q18" s="331"/>
      <c r="R18" s="332">
        <f>SUM('SCH B-2'!C27+SUM('SCH B-2.6'!D13:D15)+'SCH B-4'!F22)</f>
        <v>9423059153.7099953</v>
      </c>
      <c r="T18" s="314"/>
      <c r="U18" s="314"/>
      <c r="V18" s="333"/>
    </row>
    <row r="19" spans="1:22" ht="13.5" customHeight="1">
      <c r="A19" s="317"/>
      <c r="B19" s="329"/>
      <c r="C19" s="330"/>
      <c r="D19" s="334"/>
      <c r="E19" s="331"/>
      <c r="F19" s="334"/>
      <c r="G19" s="331"/>
      <c r="H19" s="334"/>
      <c r="I19" s="331"/>
      <c r="J19" s="334"/>
      <c r="K19" s="331"/>
      <c r="L19" s="334"/>
      <c r="M19" s="331"/>
      <c r="N19" s="334"/>
      <c r="O19" s="331"/>
      <c r="P19" s="334"/>
      <c r="Q19" s="331"/>
      <c r="R19" s="334"/>
      <c r="T19" s="314"/>
      <c r="U19" s="314"/>
      <c r="V19" s="314"/>
    </row>
    <row r="20" spans="1:22" ht="21" customHeight="1">
      <c r="A20" s="328">
        <f>1+A18</f>
        <v>2</v>
      </c>
      <c r="B20" s="329" t="s">
        <v>2112</v>
      </c>
      <c r="C20" s="330"/>
      <c r="D20" s="334"/>
      <c r="E20" s="331"/>
      <c r="F20" s="334"/>
      <c r="G20" s="331"/>
      <c r="H20" s="334"/>
      <c r="I20" s="331"/>
      <c r="J20" s="334"/>
      <c r="K20" s="331"/>
      <c r="L20" s="334"/>
      <c r="M20" s="331"/>
      <c r="N20" s="334"/>
      <c r="O20" s="331"/>
      <c r="P20" s="334"/>
      <c r="Q20" s="331"/>
      <c r="R20" s="334"/>
      <c r="T20" s="314"/>
      <c r="U20" s="314"/>
      <c r="V20" s="314"/>
    </row>
    <row r="21" spans="1:22" ht="21" customHeight="1">
      <c r="A21" s="328">
        <f>1+A20</f>
        <v>3</v>
      </c>
      <c r="B21" s="329" t="s">
        <v>2113</v>
      </c>
      <c r="C21" s="330"/>
      <c r="D21" s="334">
        <f>-'SCH B-3 B'!G116</f>
        <v>2720167536.5356679</v>
      </c>
      <c r="E21" s="331"/>
      <c r="F21" s="334">
        <f>SUM('SCH B-3.1'!F12:F15,'SCH B-3.1'!F20:F23,'SCH B-3.1'!F25)</f>
        <v>52580597.523426369</v>
      </c>
      <c r="G21" s="331"/>
      <c r="H21" s="334">
        <f>'SCH B-3.1'!F26</f>
        <v>981867.29705200007</v>
      </c>
      <c r="I21" s="331"/>
      <c r="J21" s="334">
        <f>SUM('SCH B-3.1'!F16:F19,'SCH B-3.1'!F24)</f>
        <v>92918157.306038857</v>
      </c>
      <c r="K21" s="331"/>
      <c r="L21" s="334">
        <v>0</v>
      </c>
      <c r="M21" s="331"/>
      <c r="N21" s="334">
        <f>D21-SUM(F21:L21)</f>
        <v>2573686914.4091506</v>
      </c>
      <c r="O21" s="331"/>
      <c r="P21" s="334">
        <f>R21-D21</f>
        <v>362844957.61173391</v>
      </c>
      <c r="Q21" s="331"/>
      <c r="R21" s="334">
        <f>-'SCH B-3 B'!E116</f>
        <v>3083012494.1474018</v>
      </c>
      <c r="T21" s="314"/>
      <c r="U21" s="314"/>
      <c r="V21" s="333"/>
    </row>
    <row r="22" spans="1:22" ht="13.5" customHeight="1">
      <c r="A22" s="328"/>
      <c r="B22" s="329"/>
      <c r="C22" s="330"/>
      <c r="D22" s="334"/>
      <c r="E22" s="331"/>
      <c r="F22" s="334"/>
      <c r="G22" s="331"/>
      <c r="H22" s="334"/>
      <c r="I22" s="331"/>
      <c r="J22" s="334"/>
      <c r="K22" s="331"/>
      <c r="L22" s="334"/>
      <c r="M22" s="331"/>
      <c r="N22" s="334"/>
      <c r="O22" s="331"/>
      <c r="P22" s="334"/>
      <c r="Q22" s="331"/>
      <c r="R22" s="334"/>
      <c r="T22" s="314"/>
      <c r="U22" s="314"/>
      <c r="V22" s="314"/>
    </row>
    <row r="23" spans="1:22" ht="21" customHeight="1">
      <c r="A23" s="328">
        <f>1+A21</f>
        <v>4</v>
      </c>
      <c r="B23" s="329" t="s">
        <v>1551</v>
      </c>
      <c r="C23" s="330"/>
      <c r="D23" s="335">
        <f>D18-D21</f>
        <v>5642770512.037571</v>
      </c>
      <c r="E23" s="331"/>
      <c r="F23" s="335">
        <f>+F18-F21</f>
        <v>1175358553.5134373</v>
      </c>
      <c r="G23" s="331"/>
      <c r="H23" s="335">
        <f>+H18-H21</f>
        <v>8250137.4829479996</v>
      </c>
      <c r="I23" s="331"/>
      <c r="J23" s="335">
        <f>+J18-J21</f>
        <v>198859799.3562687</v>
      </c>
      <c r="K23" s="331"/>
      <c r="L23" s="335">
        <f>+L18-L21</f>
        <v>0</v>
      </c>
      <c r="M23" s="331"/>
      <c r="N23" s="335">
        <f>+N18-N21</f>
        <v>4260302021.684917</v>
      </c>
      <c r="O23" s="331"/>
      <c r="P23" s="335">
        <f>P18-P21</f>
        <v>697276147.52502298</v>
      </c>
      <c r="Q23" s="331"/>
      <c r="R23" s="335">
        <f>+R18-R21</f>
        <v>6340046659.5625935</v>
      </c>
      <c r="T23" s="314"/>
      <c r="U23" s="314"/>
      <c r="V23" s="331"/>
    </row>
    <row r="24" spans="1:22" ht="13.5" customHeight="1">
      <c r="A24" s="328"/>
      <c r="B24" s="329"/>
      <c r="C24" s="330"/>
      <c r="D24" s="334"/>
      <c r="E24" s="331"/>
      <c r="F24" s="334"/>
      <c r="G24" s="331"/>
      <c r="H24" s="334"/>
      <c r="I24" s="331"/>
      <c r="J24" s="334"/>
      <c r="K24" s="331"/>
      <c r="L24" s="334"/>
      <c r="M24" s="331"/>
      <c r="N24" s="334"/>
      <c r="O24" s="331"/>
      <c r="P24" s="334"/>
      <c r="Q24" s="331"/>
      <c r="R24" s="334"/>
    </row>
    <row r="25" spans="1:22" ht="21" customHeight="1">
      <c r="A25" s="328">
        <f>1+A23</f>
        <v>5</v>
      </c>
      <c r="B25" s="329" t="s">
        <v>2112</v>
      </c>
      <c r="C25" s="330"/>
      <c r="D25" s="334"/>
      <c r="E25" s="331"/>
      <c r="F25" s="334"/>
      <c r="G25" s="331"/>
      <c r="H25" s="334"/>
      <c r="I25" s="331"/>
      <c r="J25" s="334"/>
      <c r="K25" s="331"/>
      <c r="L25" s="334"/>
      <c r="M25" s="331"/>
      <c r="N25" s="334"/>
      <c r="O25" s="331"/>
      <c r="P25" s="334"/>
      <c r="Q25" s="331"/>
      <c r="R25" s="334"/>
      <c r="S25" s="336"/>
    </row>
    <row r="26" spans="1:22" ht="21" customHeight="1">
      <c r="A26" s="328">
        <f>1+A25</f>
        <v>6</v>
      </c>
      <c r="B26" s="329" t="s">
        <v>2114</v>
      </c>
      <c r="C26" s="330"/>
      <c r="D26" s="334">
        <f>'SCH B-6'!F12</f>
        <v>1549703.6162990495</v>
      </c>
      <c r="E26" s="331"/>
      <c r="F26" s="334">
        <v>0</v>
      </c>
      <c r="G26" s="331"/>
      <c r="H26" s="334">
        <v>0</v>
      </c>
      <c r="I26" s="331"/>
      <c r="J26" s="334">
        <v>0</v>
      </c>
      <c r="K26" s="331"/>
      <c r="L26" s="334">
        <v>0</v>
      </c>
      <c r="M26" s="331"/>
      <c r="N26" s="334">
        <f t="shared" ref="N26:N28" si="0">D26-SUM(F26:L26)</f>
        <v>1549703.6162990495</v>
      </c>
      <c r="O26" s="331"/>
      <c r="P26" s="334">
        <f t="shared" ref="P26:P28" si="1">R26-D26</f>
        <v>26702.423700950574</v>
      </c>
      <c r="Q26" s="331"/>
      <c r="R26" s="334">
        <f>'SCH B-6'!D12</f>
        <v>1576406.04</v>
      </c>
      <c r="T26" s="337"/>
    </row>
    <row r="27" spans="1:22" ht="21" customHeight="1">
      <c r="A27" s="328">
        <f>1+A26</f>
        <v>7</v>
      </c>
      <c r="B27" s="329" t="s">
        <v>2115</v>
      </c>
      <c r="C27" s="330"/>
      <c r="D27" s="334">
        <f>'SCH B-6'!F16</f>
        <v>1066958828.2050856</v>
      </c>
      <c r="E27" s="338"/>
      <c r="F27" s="339">
        <f>-'ECR DEFTAX'!H4</f>
        <v>245493332.11112621</v>
      </c>
      <c r="G27" s="338"/>
      <c r="H27" s="339">
        <f>-'DSM DEFTAX'!O2</f>
        <v>1882102.0076857801</v>
      </c>
      <c r="I27" s="338"/>
      <c r="J27" s="339">
        <v>0</v>
      </c>
      <c r="K27" s="338"/>
      <c r="L27" s="339">
        <v>0</v>
      </c>
      <c r="M27" s="338"/>
      <c r="N27" s="339">
        <f t="shared" si="0"/>
        <v>819583394.08627367</v>
      </c>
      <c r="O27" s="338"/>
      <c r="P27" s="334">
        <f t="shared" si="1"/>
        <v>131841466.79491436</v>
      </c>
      <c r="Q27" s="338"/>
      <c r="R27" s="334">
        <f>'SCH B-6'!D16</f>
        <v>1198800295</v>
      </c>
    </row>
    <row r="28" spans="1:22" ht="21" customHeight="1">
      <c r="A28" s="328">
        <f>A27+1</f>
        <v>8</v>
      </c>
      <c r="B28" s="342" t="s">
        <v>2116</v>
      </c>
      <c r="C28" s="330"/>
      <c r="D28" s="334">
        <f>'SCH B-6'!F14</f>
        <v>82538337.052132368</v>
      </c>
      <c r="E28" s="331"/>
      <c r="F28" s="331">
        <v>0</v>
      </c>
      <c r="G28" s="331"/>
      <c r="H28" s="331">
        <v>0</v>
      </c>
      <c r="I28" s="331"/>
      <c r="J28" s="331">
        <v>0</v>
      </c>
      <c r="K28" s="331"/>
      <c r="L28" s="331">
        <v>0</v>
      </c>
      <c r="M28" s="331"/>
      <c r="N28" s="331">
        <f t="shared" si="0"/>
        <v>82538337.052132368</v>
      </c>
      <c r="O28" s="331"/>
      <c r="P28" s="334">
        <f t="shared" si="1"/>
        <v>12326699.01786755</v>
      </c>
      <c r="Q28" s="331"/>
      <c r="R28" s="334">
        <f>'SCH B-6'!D14</f>
        <v>94865036.069999918</v>
      </c>
    </row>
    <row r="29" spans="1:22" ht="12" customHeight="1">
      <c r="A29" s="328"/>
      <c r="B29" s="329"/>
      <c r="C29" s="330"/>
      <c r="D29" s="331"/>
      <c r="E29" s="331"/>
      <c r="F29" s="331"/>
      <c r="G29" s="331"/>
      <c r="H29" s="331"/>
      <c r="I29" s="331"/>
      <c r="J29" s="331"/>
      <c r="K29" s="331"/>
      <c r="L29" s="331"/>
      <c r="M29" s="331"/>
      <c r="N29" s="331"/>
      <c r="O29" s="331"/>
      <c r="P29" s="331"/>
      <c r="Q29" s="331"/>
      <c r="R29" s="331"/>
    </row>
    <row r="30" spans="1:22" ht="21" customHeight="1">
      <c r="A30" s="328">
        <f>1+A28</f>
        <v>9</v>
      </c>
      <c r="B30" s="329" t="s">
        <v>2117</v>
      </c>
      <c r="C30" s="330"/>
      <c r="D30" s="335">
        <f>SUM(D26:D29)</f>
        <v>1151046868.873517</v>
      </c>
      <c r="E30" s="331"/>
      <c r="F30" s="335">
        <f>SUM(F26:F29)</f>
        <v>245493332.11112621</v>
      </c>
      <c r="G30" s="331"/>
      <c r="H30" s="335">
        <f>SUM(H26:H29)</f>
        <v>1882102.0076857801</v>
      </c>
      <c r="I30" s="331"/>
      <c r="J30" s="335">
        <f>SUM(J26:J29)</f>
        <v>0</v>
      </c>
      <c r="K30" s="331"/>
      <c r="L30" s="335">
        <f>SUM(L26:L29)</f>
        <v>0</v>
      </c>
      <c r="M30" s="331"/>
      <c r="N30" s="335">
        <f>SUM(N26:N29)</f>
        <v>903671434.75470507</v>
      </c>
      <c r="O30" s="331"/>
      <c r="P30" s="335">
        <f>SUM(P26:P29)</f>
        <v>144194868.23648286</v>
      </c>
      <c r="Q30" s="331"/>
      <c r="R30" s="335">
        <f>SUM(R26:R29)</f>
        <v>1295241737.1099999</v>
      </c>
    </row>
    <row r="31" spans="1:22" ht="13.5" customHeight="1">
      <c r="A31" s="317"/>
      <c r="B31" s="329"/>
      <c r="C31" s="330"/>
      <c r="D31" s="334"/>
      <c r="E31" s="331"/>
      <c r="F31" s="334"/>
      <c r="G31" s="331"/>
      <c r="H31" s="334"/>
      <c r="I31" s="331"/>
      <c r="J31" s="334"/>
      <c r="K31" s="331"/>
      <c r="L31" s="334"/>
      <c r="M31" s="331"/>
      <c r="N31" s="334"/>
      <c r="O31" s="331"/>
      <c r="P31" s="334"/>
      <c r="Q31" s="331"/>
      <c r="R31" s="334"/>
    </row>
    <row r="32" spans="1:22" ht="21" customHeight="1">
      <c r="A32" s="317">
        <f>1+A30</f>
        <v>10</v>
      </c>
      <c r="B32" s="329" t="s">
        <v>2118</v>
      </c>
      <c r="C32" s="330"/>
      <c r="D32" s="335">
        <f>D23-D30</f>
        <v>4491723643.1640539</v>
      </c>
      <c r="E32" s="331"/>
      <c r="F32" s="335">
        <f>+F23-F30</f>
        <v>929865221.40231109</v>
      </c>
      <c r="G32" s="331"/>
      <c r="H32" s="335">
        <f>+H23-H30</f>
        <v>6368035.4752622191</v>
      </c>
      <c r="I32" s="331"/>
      <c r="J32" s="335">
        <f>+J23-J30</f>
        <v>198859799.3562687</v>
      </c>
      <c r="K32" s="331"/>
      <c r="L32" s="335">
        <f>+L23-L30</f>
        <v>0</v>
      </c>
      <c r="M32" s="331"/>
      <c r="N32" s="335">
        <f>+N23-N30</f>
        <v>3356630586.930212</v>
      </c>
      <c r="O32" s="331"/>
      <c r="P32" s="335">
        <f>P23-P30</f>
        <v>553081279.28854012</v>
      </c>
      <c r="Q32" s="331"/>
      <c r="R32" s="335">
        <f>+R23-R30</f>
        <v>5044804922.4525938</v>
      </c>
    </row>
    <row r="33" spans="1:19" ht="15" customHeight="1">
      <c r="A33" s="317"/>
      <c r="B33" s="329"/>
      <c r="C33" s="330"/>
      <c r="D33" s="334"/>
      <c r="E33" s="331"/>
      <c r="F33" s="334"/>
      <c r="G33" s="331"/>
      <c r="H33" s="334"/>
      <c r="I33" s="331"/>
      <c r="J33" s="334"/>
      <c r="K33" s="331"/>
      <c r="L33" s="334"/>
      <c r="M33" s="331"/>
      <c r="N33" s="334"/>
      <c r="O33" s="331"/>
      <c r="P33" s="334"/>
      <c r="Q33" s="331"/>
      <c r="R33" s="334"/>
    </row>
    <row r="34" spans="1:19" ht="21" customHeight="1">
      <c r="A34" s="317">
        <f>1+A32</f>
        <v>11</v>
      </c>
      <c r="B34" s="329" t="s">
        <v>2119</v>
      </c>
      <c r="C34" s="330"/>
      <c r="D34" s="334"/>
      <c r="E34" s="331"/>
      <c r="F34" s="334"/>
      <c r="G34" s="331"/>
      <c r="H34" s="334"/>
      <c r="I34" s="331"/>
      <c r="J34" s="334"/>
      <c r="K34" s="331"/>
      <c r="L34" s="334"/>
      <c r="M34" s="331"/>
      <c r="N34" s="334"/>
      <c r="O34" s="331"/>
      <c r="P34" s="334"/>
      <c r="Q34" s="331"/>
      <c r="R34" s="334"/>
    </row>
    <row r="35" spans="1:19" ht="21" customHeight="1">
      <c r="A35" s="328">
        <f>1+A34</f>
        <v>12</v>
      </c>
      <c r="B35" s="342" t="s">
        <v>2120</v>
      </c>
      <c r="C35" s="330"/>
      <c r="D35" s="339">
        <f>'SCH B-5'!G13+'SCH B-5'!G15</f>
        <v>136624416.57245255</v>
      </c>
      <c r="E35" s="331"/>
      <c r="F35" s="334">
        <v>0</v>
      </c>
      <c r="G35" s="331"/>
      <c r="H35" s="334">
        <v>0</v>
      </c>
      <c r="I35" s="331"/>
      <c r="J35" s="334">
        <v>0</v>
      </c>
      <c r="K35" s="331"/>
      <c r="L35" s="334">
        <v>0</v>
      </c>
      <c r="M35" s="331"/>
      <c r="N35" s="334">
        <f t="shared" ref="N35:N37" si="2">D35-SUM(F35:L35)</f>
        <v>136624416.57245255</v>
      </c>
      <c r="O35" s="331"/>
      <c r="P35" s="339">
        <f t="shared" ref="P35:P38" si="3">R35-D35</f>
        <v>18415759.427547425</v>
      </c>
      <c r="Q35" s="331"/>
      <c r="R35" s="339">
        <f>'SCH B-5'!E13+'SCH B-5'!E15</f>
        <v>155040175.99999997</v>
      </c>
    </row>
    <row r="36" spans="1:19" ht="21" customHeight="1">
      <c r="A36" s="328">
        <f>1+A35</f>
        <v>13</v>
      </c>
      <c r="B36" s="343" t="s">
        <v>2121</v>
      </c>
      <c r="C36" s="330"/>
      <c r="D36" s="339">
        <f>'SCH B-5'!G17</f>
        <v>13556945.731400739</v>
      </c>
      <c r="E36" s="331"/>
      <c r="F36" s="334">
        <v>0</v>
      </c>
      <c r="G36" s="331"/>
      <c r="H36" s="334">
        <v>0</v>
      </c>
      <c r="I36" s="331"/>
      <c r="J36" s="334">
        <v>0</v>
      </c>
      <c r="K36" s="331"/>
      <c r="L36" s="334">
        <v>0</v>
      </c>
      <c r="M36" s="331"/>
      <c r="N36" s="334">
        <f t="shared" si="2"/>
        <v>13556945.731400739</v>
      </c>
      <c r="O36" s="331"/>
      <c r="P36" s="339">
        <f t="shared" si="3"/>
        <v>876496.31091752276</v>
      </c>
      <c r="Q36" s="331"/>
      <c r="R36" s="339">
        <f>'SCH B-5'!E17</f>
        <v>14433442.042318262</v>
      </c>
    </row>
    <row r="37" spans="1:19" ht="21" customHeight="1">
      <c r="A37" s="328">
        <f>1+A36</f>
        <v>14</v>
      </c>
      <c r="B37" s="329" t="s">
        <v>2122</v>
      </c>
      <c r="C37" s="330"/>
      <c r="D37" s="339">
        <f>'SCH B-5'!G19+F37</f>
        <v>120320.41009857248</v>
      </c>
      <c r="E37" s="331"/>
      <c r="F37" s="339">
        <f>'ECR ALLOW'!P7*1000</f>
        <v>120320.34273109114</v>
      </c>
      <c r="G37" s="331"/>
      <c r="H37" s="334">
        <v>0</v>
      </c>
      <c r="I37" s="331"/>
      <c r="J37" s="334">
        <v>0</v>
      </c>
      <c r="K37" s="331"/>
      <c r="L37" s="334">
        <v>0</v>
      </c>
      <c r="M37" s="331"/>
      <c r="N37" s="334">
        <f t="shared" si="2"/>
        <v>6.7367481344263069E-2</v>
      </c>
      <c r="O37" s="331"/>
      <c r="P37" s="339">
        <f t="shared" si="3"/>
        <v>17066.58990142752</v>
      </c>
      <c r="Q37" s="331"/>
      <c r="R37" s="339">
        <f>'JURISSEP B'!$E$30</f>
        <v>137387</v>
      </c>
      <c r="S37" s="341"/>
    </row>
    <row r="38" spans="1:19" ht="21" customHeight="1">
      <c r="A38" s="328">
        <f>1+A37</f>
        <v>15</v>
      </c>
      <c r="B38" s="329" t="s">
        <v>2123</v>
      </c>
      <c r="C38" s="330"/>
      <c r="D38" s="331">
        <f>D80</f>
        <v>103768560</v>
      </c>
      <c r="E38" s="331"/>
      <c r="F38" s="334">
        <f ca="1">F80</f>
        <v>2766333</v>
      </c>
      <c r="G38" s="331"/>
      <c r="H38" s="331">
        <v>0</v>
      </c>
      <c r="I38" s="331"/>
      <c r="J38" s="331">
        <v>0</v>
      </c>
      <c r="K38" s="331"/>
      <c r="L38" s="331">
        <v>0</v>
      </c>
      <c r="M38" s="331"/>
      <c r="N38" s="331">
        <f ca="1">D38-SUM(F38:L38)</f>
        <v>101002227</v>
      </c>
      <c r="O38" s="331"/>
      <c r="P38" s="331">
        <f t="shared" si="3"/>
        <v>7878706.3158059567</v>
      </c>
      <c r="Q38" s="331"/>
      <c r="R38" s="331">
        <f>'JURISSEP B'!$E$29</f>
        <v>111647266.31580596</v>
      </c>
    </row>
    <row r="39" spans="1:19" ht="21" customHeight="1">
      <c r="A39" s="328">
        <f t="shared" ref="A39" si="4">A38+1</f>
        <v>16</v>
      </c>
      <c r="B39" s="543" t="s">
        <v>2484</v>
      </c>
      <c r="C39" s="368"/>
      <c r="D39" s="368">
        <f>-'SCH B-6'!F18</f>
        <v>3755355.0393790752</v>
      </c>
      <c r="E39" s="368"/>
      <c r="F39" s="368">
        <f>'SCH B-6'!G18</f>
        <v>3755355.0393790752</v>
      </c>
      <c r="G39" s="368"/>
      <c r="H39" s="334">
        <v>0</v>
      </c>
      <c r="I39" s="331"/>
      <c r="J39" s="334">
        <v>0</v>
      </c>
      <c r="K39" s="331"/>
      <c r="L39" s="334">
        <v>0</v>
      </c>
      <c r="M39" s="331"/>
      <c r="N39" s="334">
        <f t="shared" ref="N39" si="5">D39-SUM(F39:L39)</f>
        <v>0</v>
      </c>
      <c r="O39" s="331"/>
      <c r="P39" s="339">
        <f t="shared" ref="P39" si="6">R39-D39</f>
        <v>532670.26216778439</v>
      </c>
      <c r="Q39" s="331"/>
      <c r="R39" s="334">
        <f>-'SCH B-6'!D18</f>
        <v>4288025.3015468596</v>
      </c>
      <c r="S39" s="341"/>
    </row>
    <row r="40" spans="1:19" ht="13.5" customHeight="1">
      <c r="A40" s="328"/>
      <c r="B40" s="329"/>
      <c r="C40" s="330"/>
      <c r="D40" s="331"/>
      <c r="E40" s="331"/>
      <c r="F40" s="331"/>
      <c r="G40" s="331"/>
      <c r="H40" s="331"/>
      <c r="I40" s="331"/>
      <c r="J40" s="331"/>
      <c r="K40" s="331"/>
      <c r="L40" s="331"/>
      <c r="M40" s="331"/>
      <c r="N40" s="331"/>
      <c r="O40" s="331"/>
      <c r="P40" s="331"/>
      <c r="Q40" s="331"/>
      <c r="R40" s="331"/>
    </row>
    <row r="41" spans="1:19" ht="21" customHeight="1">
      <c r="A41" s="328">
        <f>A39+1</f>
        <v>17</v>
      </c>
      <c r="B41" s="340" t="s">
        <v>2124</v>
      </c>
      <c r="C41" s="330"/>
      <c r="D41" s="335">
        <f>SUM(D35:D39)</f>
        <v>257825597.75333095</v>
      </c>
      <c r="E41" s="331"/>
      <c r="F41" s="335">
        <f ca="1">SUM(F35:F39)</f>
        <v>6642008.3821101664</v>
      </c>
      <c r="G41" s="331"/>
      <c r="H41" s="335">
        <f>SUM(H35:H39)</f>
        <v>0</v>
      </c>
      <c r="I41" s="331"/>
      <c r="J41" s="335">
        <f>SUM(J35:J39)</f>
        <v>0</v>
      </c>
      <c r="K41" s="331"/>
      <c r="L41" s="335">
        <f>SUM(L35:L39)</f>
        <v>0</v>
      </c>
      <c r="M41" s="331"/>
      <c r="N41" s="335">
        <f ca="1">SUM(N35:N39)</f>
        <v>251183589.37122077</v>
      </c>
      <c r="O41" s="331"/>
      <c r="P41" s="335">
        <f>SUM(P35:P39)</f>
        <v>27720698.906340118</v>
      </c>
      <c r="Q41" s="331"/>
      <c r="R41" s="335">
        <f>SUM(R35:R39)</f>
        <v>285546296.65967107</v>
      </c>
    </row>
    <row r="42" spans="1:19" ht="13.5" customHeight="1">
      <c r="A42" s="328"/>
      <c r="B42" s="329"/>
      <c r="C42" s="330"/>
      <c r="D42" s="334"/>
      <c r="E42" s="331"/>
      <c r="F42" s="334"/>
      <c r="G42" s="331"/>
      <c r="H42" s="334"/>
      <c r="I42" s="331"/>
      <c r="J42" s="334"/>
      <c r="K42" s="331"/>
      <c r="L42" s="334"/>
      <c r="M42" s="331"/>
      <c r="N42" s="334"/>
      <c r="O42" s="331"/>
      <c r="P42" s="334"/>
      <c r="Q42" s="331"/>
      <c r="R42" s="334"/>
    </row>
    <row r="43" spans="1:19" ht="21" customHeight="1" thickBot="1">
      <c r="A43" s="328">
        <f>1+A41</f>
        <v>18</v>
      </c>
      <c r="B43" s="342" t="s">
        <v>2125</v>
      </c>
      <c r="C43" s="330"/>
      <c r="D43" s="344">
        <f>+D32+D41</f>
        <v>4749549240.9173851</v>
      </c>
      <c r="E43" s="345"/>
      <c r="F43" s="344">
        <f ca="1">+F32+F41</f>
        <v>936507229.78442121</v>
      </c>
      <c r="G43" s="345"/>
      <c r="H43" s="344">
        <f>+H32+H41</f>
        <v>6368035.4752622191</v>
      </c>
      <c r="I43" s="345"/>
      <c r="J43" s="344">
        <f>+J32+J41</f>
        <v>198859799.3562687</v>
      </c>
      <c r="K43" s="345"/>
      <c r="L43" s="344">
        <f>+L32+L41</f>
        <v>0</v>
      </c>
      <c r="M43" s="345"/>
      <c r="N43" s="344">
        <f ca="1">+N32+N41</f>
        <v>3607814176.3014326</v>
      </c>
      <c r="O43" s="345"/>
      <c r="P43" s="344">
        <f>+P32+P41</f>
        <v>580801978.19488025</v>
      </c>
      <c r="Q43" s="345"/>
      <c r="R43" s="344">
        <f>+R32+R41</f>
        <v>5330351219.1122646</v>
      </c>
    </row>
    <row r="44" spans="1:19" ht="13.5" customHeight="1" thickTop="1">
      <c r="A44" s="328"/>
      <c r="B44" s="329"/>
      <c r="C44" s="330"/>
      <c r="D44" s="334"/>
      <c r="E44" s="331"/>
      <c r="F44" s="334"/>
      <c r="G44" s="331"/>
      <c r="H44" s="334"/>
      <c r="I44" s="331"/>
      <c r="J44" s="334"/>
      <c r="K44" s="331"/>
      <c r="L44" s="334"/>
      <c r="M44" s="331"/>
      <c r="N44" s="334"/>
      <c r="O44" s="331"/>
      <c r="P44" s="334"/>
      <c r="Q44" s="331"/>
      <c r="R44" s="334"/>
    </row>
    <row r="45" spans="1:19" ht="21" customHeight="1">
      <c r="A45" s="328">
        <f>1+A43</f>
        <v>19</v>
      </c>
      <c r="B45" s="343" t="s">
        <v>2153</v>
      </c>
      <c r="C45" s="330"/>
      <c r="D45" s="339"/>
      <c r="E45" s="331"/>
      <c r="F45" s="334"/>
      <c r="G45" s="331"/>
      <c r="H45" s="334"/>
      <c r="I45" s="331"/>
      <c r="J45" s="334">
        <f>-J43</f>
        <v>-198859799.3562687</v>
      </c>
      <c r="K45" s="331"/>
      <c r="L45" s="334">
        <v>0</v>
      </c>
      <c r="M45" s="331"/>
      <c r="N45" s="334">
        <f t="shared" ref="N45" si="7">D45-SUM(F45:L45)</f>
        <v>198859799.3562687</v>
      </c>
      <c r="O45" s="331"/>
      <c r="P45" s="339"/>
      <c r="Q45" s="331"/>
      <c r="R45" s="339">
        <f>SUM(D45,P45)</f>
        <v>0</v>
      </c>
    </row>
    <row r="46" spans="1:19" ht="15.75" customHeight="1">
      <c r="A46" s="328"/>
      <c r="C46" s="330"/>
      <c r="D46" s="334"/>
      <c r="E46" s="331"/>
      <c r="F46" s="334"/>
      <c r="G46" s="331"/>
      <c r="H46" s="334"/>
      <c r="I46" s="331"/>
      <c r="J46" s="334"/>
      <c r="K46" s="331"/>
      <c r="L46" s="334"/>
      <c r="M46" s="331"/>
      <c r="N46" s="334"/>
      <c r="O46" s="331"/>
      <c r="P46" s="334"/>
      <c r="Q46" s="331"/>
      <c r="R46" s="334"/>
    </row>
    <row r="47" spans="1:19" ht="21" customHeight="1" thickBot="1">
      <c r="A47" s="328">
        <f>1+A45</f>
        <v>20</v>
      </c>
      <c r="B47" s="368" t="s">
        <v>2154</v>
      </c>
      <c r="C47" s="330"/>
      <c r="D47" s="344">
        <f>D43+D45</f>
        <v>4749549240.9173851</v>
      </c>
      <c r="E47" s="345"/>
      <c r="F47" s="344">
        <f ca="1">F43+F45</f>
        <v>936507229.78442121</v>
      </c>
      <c r="G47" s="345"/>
      <c r="H47" s="344">
        <f>H43+H45</f>
        <v>6368035.4752622191</v>
      </c>
      <c r="I47" s="345"/>
      <c r="J47" s="344">
        <f>J43+J45</f>
        <v>0</v>
      </c>
      <c r="K47" s="345"/>
      <c r="L47" s="344">
        <f>L43+L45</f>
        <v>0</v>
      </c>
      <c r="M47" s="345"/>
      <c r="N47" s="344">
        <f ca="1">N43+N45</f>
        <v>3806673975.6577015</v>
      </c>
      <c r="O47" s="345"/>
      <c r="P47" s="344">
        <f>P43+P45</f>
        <v>580801978.19488025</v>
      </c>
      <c r="Q47" s="345"/>
      <c r="R47" s="344">
        <f>R43+R45</f>
        <v>5330351219.1122646</v>
      </c>
    </row>
    <row r="48" spans="1:19" ht="13.5" customHeight="1" thickTop="1">
      <c r="A48" s="328"/>
      <c r="B48" s="329"/>
      <c r="C48" s="330"/>
      <c r="D48" s="334"/>
      <c r="E48" s="331"/>
      <c r="F48" s="334"/>
      <c r="G48" s="331"/>
      <c r="H48" s="334"/>
      <c r="I48" s="331"/>
      <c r="J48" s="334"/>
      <c r="K48" s="331"/>
      <c r="L48" s="334"/>
      <c r="M48" s="331"/>
      <c r="N48" s="334"/>
      <c r="O48" s="331"/>
      <c r="P48" s="334"/>
      <c r="Q48" s="331"/>
      <c r="R48" s="334"/>
    </row>
    <row r="49" spans="1:21" ht="21" customHeight="1" thickBot="1">
      <c r="A49" s="346">
        <f>1+A47</f>
        <v>21</v>
      </c>
      <c r="B49" s="342" t="s">
        <v>2126</v>
      </c>
      <c r="C49" s="313"/>
      <c r="D49" s="347">
        <f>ROUND(D47/$R47,4)</f>
        <v>0.89100000000000001</v>
      </c>
      <c r="E49" s="313"/>
      <c r="F49" s="347">
        <f ca="1">ROUND(F47/$R47,4)</f>
        <v>0.1757</v>
      </c>
      <c r="G49" s="313"/>
      <c r="H49" s="347">
        <f>ROUND(H47/$R47,4)</f>
        <v>1.1999999999999999E-3</v>
      </c>
      <c r="I49" s="313"/>
      <c r="J49" s="347">
        <f>ROUND(J47/$R47,4)</f>
        <v>0</v>
      </c>
      <c r="K49" s="313"/>
      <c r="L49" s="347">
        <f>ROUND(L47/$R47,4)</f>
        <v>0</v>
      </c>
      <c r="M49" s="313"/>
      <c r="N49" s="347">
        <f ca="1">ROUND(N47/$R47,4)</f>
        <v>0.71419999999999995</v>
      </c>
      <c r="O49" s="313"/>
      <c r="P49" s="347">
        <f>ROUND(P47/$R47,4)</f>
        <v>0.109</v>
      </c>
      <c r="Q49" s="313"/>
      <c r="R49" s="347">
        <f>ROUND(R47/$R47,4)</f>
        <v>1</v>
      </c>
    </row>
    <row r="50" spans="1:21" ht="18.95" customHeight="1" thickTop="1">
      <c r="A50" s="313"/>
      <c r="C50" s="313"/>
      <c r="E50" s="313"/>
      <c r="F50" s="348"/>
      <c r="G50" s="313"/>
      <c r="I50" s="313"/>
      <c r="K50" s="313"/>
      <c r="M50" s="313"/>
      <c r="N50" s="349"/>
      <c r="O50" s="313"/>
      <c r="Q50" s="313"/>
    </row>
    <row r="51" spans="1:21" ht="18.95" customHeight="1">
      <c r="A51" s="350" t="s">
        <v>2127</v>
      </c>
      <c r="B51" s="342" t="s">
        <v>2128</v>
      </c>
      <c r="C51" s="313"/>
      <c r="E51" s="313"/>
      <c r="F51" s="348"/>
      <c r="G51" s="313"/>
      <c r="I51" s="313"/>
      <c r="K51" s="313"/>
      <c r="M51" s="313"/>
      <c r="N51" s="367"/>
      <c r="O51" s="313"/>
      <c r="Q51" s="313"/>
    </row>
    <row r="52" spans="1:21" ht="18.95" customHeight="1">
      <c r="A52" s="351" t="s">
        <v>2129</v>
      </c>
      <c r="B52" s="352" t="s">
        <v>2130</v>
      </c>
      <c r="C52" s="313"/>
      <c r="E52" s="313"/>
      <c r="F52" s="353"/>
      <c r="G52" s="313"/>
      <c r="I52" s="313"/>
      <c r="K52" s="313"/>
      <c r="M52" s="313"/>
      <c r="O52" s="313"/>
      <c r="Q52" s="313"/>
    </row>
    <row r="53" spans="1:21" ht="18.95" customHeight="1">
      <c r="A53" s="351" t="s">
        <v>2131</v>
      </c>
      <c r="B53" s="313" t="s">
        <v>2132</v>
      </c>
      <c r="C53" s="313"/>
      <c r="E53" s="313"/>
      <c r="G53" s="313"/>
      <c r="I53" s="313"/>
      <c r="K53" s="313"/>
      <c r="M53" s="313"/>
      <c r="O53" s="313"/>
      <c r="Q53" s="313"/>
      <c r="T53" s="354"/>
      <c r="U53" s="354"/>
    </row>
    <row r="54" spans="1:21" ht="18" customHeight="1">
      <c r="B54" s="396" t="str">
        <f>B1</f>
        <v>DATA:__X__BASE  PERIOD____FORECASTED  PERIOD</v>
      </c>
      <c r="M54" s="313"/>
      <c r="O54" s="313"/>
      <c r="Q54" s="313"/>
      <c r="R54" s="393" t="str">
        <f>R1</f>
        <v>SUPPORTING SCHEDULE B-1.1</v>
      </c>
    </row>
    <row r="55" spans="1:21" ht="18" customHeight="1">
      <c r="B55" s="397" t="str">
        <f>B2</f>
        <v>TYPE OF FILING: __X__ ORIGINAL  _____ UPDATED  _____ REVISED</v>
      </c>
      <c r="M55" s="313"/>
      <c r="O55" s="313"/>
      <c r="Q55" s="313"/>
      <c r="R55" s="394" t="str">
        <f>R2</f>
        <v>WITNESS:   D. K. ARBOUGH</v>
      </c>
    </row>
    <row r="56" spans="1:21" ht="18" customHeight="1">
      <c r="M56" s="313"/>
      <c r="O56" s="313"/>
      <c r="Q56" s="313"/>
      <c r="R56" s="395" t="s">
        <v>2157</v>
      </c>
    </row>
    <row r="57" spans="1:21" ht="18" customHeight="1">
      <c r="M57" s="313"/>
      <c r="O57" s="313"/>
      <c r="Q57" s="313"/>
    </row>
    <row r="58" spans="1:21" ht="18" customHeight="1">
      <c r="A58" s="700" t="s">
        <v>2100</v>
      </c>
      <c r="B58" s="700"/>
      <c r="C58" s="700"/>
      <c r="D58" s="700"/>
      <c r="E58" s="700"/>
      <c r="F58" s="700"/>
      <c r="G58" s="700"/>
      <c r="H58" s="700"/>
      <c r="I58" s="700"/>
      <c r="J58" s="700"/>
      <c r="K58" s="700"/>
      <c r="L58" s="700"/>
      <c r="M58" s="700"/>
      <c r="N58" s="700"/>
      <c r="O58" s="700"/>
      <c r="P58" s="700"/>
      <c r="Q58" s="700"/>
      <c r="R58" s="700"/>
    </row>
    <row r="59" spans="1:21" ht="18" customHeight="1"/>
    <row r="60" spans="1:21" ht="18" customHeight="1">
      <c r="A60" s="701" t="s">
        <v>2133</v>
      </c>
      <c r="B60" s="701"/>
      <c r="C60" s="701"/>
      <c r="D60" s="701"/>
      <c r="E60" s="701"/>
      <c r="F60" s="701"/>
      <c r="G60" s="701"/>
      <c r="H60" s="701"/>
      <c r="I60" s="701"/>
      <c r="J60" s="701"/>
      <c r="K60" s="701"/>
      <c r="L60" s="701"/>
      <c r="M60" s="701"/>
      <c r="N60" s="701"/>
      <c r="O60" s="701"/>
      <c r="P60" s="701"/>
      <c r="Q60" s="701"/>
      <c r="R60" s="701"/>
    </row>
    <row r="61" spans="1:21" ht="18" customHeight="1">
      <c r="A61" s="699" t="s">
        <v>3272</v>
      </c>
      <c r="B61" s="699"/>
      <c r="C61" s="699"/>
      <c r="D61" s="699"/>
      <c r="E61" s="699"/>
      <c r="F61" s="699"/>
      <c r="G61" s="699"/>
      <c r="H61" s="699"/>
      <c r="I61" s="699"/>
      <c r="J61" s="699"/>
      <c r="K61" s="699"/>
      <c r="L61" s="699"/>
      <c r="M61" s="699"/>
      <c r="N61" s="699"/>
      <c r="O61" s="699"/>
      <c r="P61" s="699"/>
      <c r="Q61" s="699"/>
      <c r="R61" s="699"/>
    </row>
    <row r="62" spans="1:21" ht="18" customHeight="1">
      <c r="A62" s="317"/>
      <c r="B62" s="318"/>
      <c r="C62" s="319"/>
      <c r="D62" s="318"/>
      <c r="E62" s="319"/>
      <c r="F62" s="318"/>
      <c r="G62" s="319"/>
      <c r="H62" s="318"/>
      <c r="I62" s="319"/>
      <c r="J62" s="318"/>
      <c r="K62" s="319"/>
      <c r="L62" s="318"/>
      <c r="M62" s="313"/>
      <c r="O62" s="313"/>
      <c r="Q62" s="313"/>
    </row>
    <row r="63" spans="1:21" ht="18" customHeight="1">
      <c r="A63" s="317"/>
      <c r="M63" s="313"/>
      <c r="O63" s="313"/>
      <c r="Q63" s="313"/>
    </row>
    <row r="64" spans="1:21" ht="18" customHeight="1">
      <c r="A64" s="317"/>
      <c r="B64" s="318"/>
      <c r="C64" s="319"/>
      <c r="D64" s="318"/>
      <c r="E64" s="319"/>
      <c r="F64" s="318"/>
      <c r="G64" s="319"/>
      <c r="H64" s="318"/>
      <c r="I64" s="319"/>
      <c r="J64" s="318"/>
      <c r="K64" s="319"/>
      <c r="L64" s="318"/>
      <c r="M64" s="313"/>
      <c r="O64" s="313"/>
      <c r="Q64" s="313"/>
    </row>
    <row r="65" spans="1:19" ht="18" customHeight="1">
      <c r="A65" s="317"/>
      <c r="L65" s="323" t="s">
        <v>2101</v>
      </c>
      <c r="N65" s="323" t="s">
        <v>2101</v>
      </c>
    </row>
    <row r="66" spans="1:19" ht="18" customHeight="1">
      <c r="A66" s="317"/>
      <c r="B66" s="318"/>
      <c r="C66" s="319"/>
      <c r="D66" s="322" t="s">
        <v>2101</v>
      </c>
      <c r="E66" s="319"/>
      <c r="F66" s="322" t="s">
        <v>2101</v>
      </c>
      <c r="G66" s="319"/>
      <c r="H66" s="323" t="s">
        <v>2101</v>
      </c>
      <c r="I66" s="319"/>
      <c r="J66" s="323" t="s">
        <v>2101</v>
      </c>
      <c r="K66" s="319"/>
      <c r="L66" s="323" t="s">
        <v>2104</v>
      </c>
      <c r="M66" s="319"/>
      <c r="N66" s="323" t="s">
        <v>2104</v>
      </c>
      <c r="O66" s="319"/>
      <c r="P66" s="322" t="s">
        <v>2102</v>
      </c>
      <c r="Q66" s="319"/>
      <c r="R66" s="322" t="s">
        <v>2103</v>
      </c>
    </row>
    <row r="67" spans="1:19" ht="18" customHeight="1">
      <c r="A67" s="317"/>
      <c r="B67" s="318"/>
      <c r="C67" s="319"/>
      <c r="D67" s="322" t="s">
        <v>2104</v>
      </c>
      <c r="E67" s="319"/>
      <c r="F67" s="322" t="s">
        <v>2104</v>
      </c>
      <c r="G67" s="319"/>
      <c r="H67" s="323" t="s">
        <v>2104</v>
      </c>
      <c r="I67" s="319"/>
      <c r="J67" s="323" t="s">
        <v>2104</v>
      </c>
      <c r="K67" s="319"/>
      <c r="L67" s="324" t="s">
        <v>2150</v>
      </c>
      <c r="M67" s="319"/>
      <c r="N67" s="324" t="s">
        <v>2150</v>
      </c>
      <c r="O67" s="319"/>
      <c r="P67" s="322" t="s">
        <v>2104</v>
      </c>
      <c r="Q67" s="319"/>
      <c r="R67" s="322" t="s">
        <v>2105</v>
      </c>
    </row>
    <row r="68" spans="1:19" ht="18" customHeight="1">
      <c r="A68" s="317"/>
      <c r="B68" s="318" t="s">
        <v>2106</v>
      </c>
      <c r="C68" s="319"/>
      <c r="D68" s="324" t="s">
        <v>2107</v>
      </c>
      <c r="E68" s="319"/>
      <c r="F68" s="324" t="s">
        <v>2108</v>
      </c>
      <c r="G68" s="319"/>
      <c r="H68" s="324" t="s">
        <v>2148</v>
      </c>
      <c r="I68" s="319"/>
      <c r="J68" s="324" t="s">
        <v>2149</v>
      </c>
      <c r="K68" s="319"/>
      <c r="L68" s="324" t="s">
        <v>9</v>
      </c>
      <c r="M68" s="319"/>
      <c r="N68" s="324" t="s">
        <v>2109</v>
      </c>
      <c r="O68" s="319"/>
      <c r="P68" s="324" t="s">
        <v>2110</v>
      </c>
      <c r="Q68" s="319"/>
      <c r="R68" s="324" t="s">
        <v>2110</v>
      </c>
    </row>
    <row r="69" spans="1:19" ht="18" customHeight="1">
      <c r="A69" s="317"/>
      <c r="B69" s="325">
        <v>-1</v>
      </c>
      <c r="C69" s="319"/>
      <c r="D69" s="326">
        <v>-2</v>
      </c>
      <c r="E69" s="319"/>
      <c r="F69" s="325">
        <v>-3</v>
      </c>
      <c r="G69" s="319"/>
      <c r="H69" s="325">
        <v>-4</v>
      </c>
      <c r="I69" s="319"/>
      <c r="J69" s="325">
        <v>-5</v>
      </c>
      <c r="K69" s="319"/>
      <c r="L69" s="325">
        <v>-6</v>
      </c>
      <c r="M69" s="319"/>
      <c r="N69" s="325">
        <v>-7</v>
      </c>
      <c r="O69" s="319"/>
      <c r="P69" s="325">
        <v>-8</v>
      </c>
      <c r="Q69" s="319"/>
      <c r="R69" s="325">
        <v>-9</v>
      </c>
    </row>
    <row r="70" spans="1:19" ht="18" customHeight="1">
      <c r="A70" s="317"/>
      <c r="B70" s="318"/>
      <c r="C70" s="319"/>
      <c r="D70" s="318"/>
      <c r="E70" s="319"/>
      <c r="F70" s="322"/>
      <c r="G70" s="319"/>
      <c r="H70" s="318"/>
      <c r="I70" s="319"/>
      <c r="J70" s="318"/>
      <c r="K70" s="319"/>
      <c r="L70" s="318"/>
      <c r="M70" s="319"/>
      <c r="N70" s="324" t="s">
        <v>2152</v>
      </c>
      <c r="O70" s="319"/>
      <c r="P70" s="318"/>
      <c r="Q70" s="319"/>
      <c r="R70" s="318" t="s">
        <v>2151</v>
      </c>
    </row>
    <row r="71" spans="1:19" ht="21" customHeight="1">
      <c r="A71" s="355" t="s">
        <v>2134</v>
      </c>
      <c r="B71" s="352" t="s">
        <v>2135</v>
      </c>
      <c r="G71" s="313"/>
      <c r="I71" s="313"/>
      <c r="K71" s="313"/>
      <c r="M71" s="313"/>
      <c r="O71" s="313"/>
    </row>
    <row r="72" spans="1:19" ht="21" customHeight="1">
      <c r="A72" s="355"/>
      <c r="B72" s="342" t="s">
        <v>3271</v>
      </c>
      <c r="D72" s="332">
        <f>'JURISSEP B'!$G$593</f>
        <v>870328948.4387362</v>
      </c>
      <c r="F72" s="332">
        <f ca="1">D72-'SCH B-5.2'!E13</f>
        <v>22130661.038723588</v>
      </c>
      <c r="G72" s="356"/>
      <c r="H72" s="332">
        <v>0</v>
      </c>
      <c r="I72" s="356"/>
      <c r="J72" s="332">
        <v>0</v>
      </c>
      <c r="K72" s="356"/>
      <c r="L72" s="332">
        <v>0</v>
      </c>
      <c r="M72" s="313"/>
      <c r="N72" s="332">
        <f ca="1">D72-SUM(F72:L72)</f>
        <v>848198287.40001261</v>
      </c>
      <c r="O72" s="313"/>
      <c r="P72" s="332">
        <f>R72-D72</f>
        <v>107888497.64950681</v>
      </c>
      <c r="R72" s="332">
        <f>'JURISSEP B'!$E$593</f>
        <v>978217446.08824301</v>
      </c>
    </row>
    <row r="73" spans="1:19" ht="15" customHeight="1">
      <c r="A73" s="355"/>
      <c r="B73" s="352"/>
      <c r="G73" s="313"/>
      <c r="I73" s="313"/>
      <c r="K73" s="313"/>
      <c r="M73" s="313"/>
      <c r="O73" s="313"/>
    </row>
    <row r="74" spans="1:19" ht="21" customHeight="1">
      <c r="A74" s="357" t="s">
        <v>2136</v>
      </c>
      <c r="B74" s="352" t="s">
        <v>2112</v>
      </c>
      <c r="G74" s="313"/>
      <c r="I74" s="313"/>
      <c r="K74" s="313"/>
      <c r="M74" s="313"/>
      <c r="O74" s="313"/>
    </row>
    <row r="75" spans="1:19" ht="21" customHeight="1">
      <c r="A75" s="357" t="s">
        <v>2137</v>
      </c>
      <c r="B75" s="358" t="s">
        <v>2138</v>
      </c>
      <c r="D75" s="359">
        <f>'SCH B-5.2'!E15</f>
        <v>40180467.410892852</v>
      </c>
      <c r="F75" s="359">
        <v>0</v>
      </c>
      <c r="G75" s="313"/>
      <c r="H75" s="359">
        <v>0</v>
      </c>
      <c r="I75" s="313"/>
      <c r="J75" s="359">
        <v>0</v>
      </c>
      <c r="K75" s="313"/>
      <c r="L75" s="359">
        <v>0</v>
      </c>
      <c r="M75" s="313"/>
      <c r="N75" s="359">
        <f>D75-SUM(F75:L75)</f>
        <v>40180467.410892852</v>
      </c>
      <c r="O75" s="313"/>
      <c r="P75" s="359">
        <f>R75-D75</f>
        <v>5543406.3085071519</v>
      </c>
      <c r="Q75" s="334"/>
      <c r="R75" s="359">
        <f>'SCH B-5.2'!C15</f>
        <v>45723873.719400004</v>
      </c>
      <c r="S75" s="341"/>
    </row>
    <row r="76" spans="1:19" ht="21" customHeight="1">
      <c r="A76" s="357" t="s">
        <v>2139</v>
      </c>
      <c r="B76" s="360" t="s">
        <v>2140</v>
      </c>
      <c r="D76" s="332">
        <f>SUM(D75)</f>
        <v>40180467.410892852</v>
      </c>
      <c r="F76" s="332">
        <f>SUM(F75)</f>
        <v>0</v>
      </c>
      <c r="G76" s="313"/>
      <c r="H76" s="332">
        <f>SUM(H75)</f>
        <v>0</v>
      </c>
      <c r="I76" s="313"/>
      <c r="J76" s="332">
        <f>SUM(J75)</f>
        <v>0</v>
      </c>
      <c r="K76" s="313"/>
      <c r="L76" s="332">
        <f>SUM(L75)</f>
        <v>0</v>
      </c>
      <c r="M76" s="313"/>
      <c r="N76" s="332">
        <f>SUM(N75)</f>
        <v>40180467.410892852</v>
      </c>
      <c r="O76" s="313"/>
      <c r="P76" s="332">
        <f>SUM(P75)</f>
        <v>5543406.3085071519</v>
      </c>
      <c r="R76" s="332">
        <f>SUM(R75)</f>
        <v>45723873.719400004</v>
      </c>
    </row>
    <row r="77" spans="1:19" ht="13.5" customHeight="1">
      <c r="A77" s="357"/>
      <c r="B77" s="361"/>
      <c r="D77" s="362"/>
      <c r="F77" s="362"/>
      <c r="G77" s="313"/>
      <c r="H77" s="362"/>
      <c r="I77" s="313"/>
      <c r="J77" s="362"/>
      <c r="K77" s="313"/>
      <c r="L77" s="362"/>
      <c r="M77" s="313"/>
      <c r="N77" s="362"/>
      <c r="O77" s="313"/>
      <c r="P77" s="362"/>
      <c r="R77" s="362"/>
    </row>
    <row r="78" spans="1:19" ht="21" customHeight="1" thickBot="1">
      <c r="A78" s="357" t="s">
        <v>2141</v>
      </c>
      <c r="B78" s="361" t="s">
        <v>2142</v>
      </c>
      <c r="D78" s="344">
        <f>D72-D76</f>
        <v>830148481.02784336</v>
      </c>
      <c r="F78" s="344">
        <f ca="1">F72-F76</f>
        <v>22130661.038723588</v>
      </c>
      <c r="G78" s="313"/>
      <c r="H78" s="344">
        <f>H72-H76</f>
        <v>0</v>
      </c>
      <c r="I78" s="313"/>
      <c r="J78" s="344">
        <f>J72-J76</f>
        <v>0</v>
      </c>
      <c r="K78" s="313"/>
      <c r="L78" s="344">
        <f>L72-L76</f>
        <v>0</v>
      </c>
      <c r="M78" s="313"/>
      <c r="N78" s="344">
        <f ca="1">N72-N76</f>
        <v>808017819.98911977</v>
      </c>
      <c r="O78" s="313"/>
      <c r="P78" s="344">
        <f>P72-P76</f>
        <v>102345091.34099966</v>
      </c>
      <c r="R78" s="344">
        <f>R72-R76</f>
        <v>932493572.36884296</v>
      </c>
    </row>
    <row r="79" spans="1:19" ht="15" customHeight="1" thickTop="1">
      <c r="A79" s="357"/>
      <c r="B79" s="361"/>
      <c r="G79" s="313"/>
      <c r="I79" s="313"/>
      <c r="K79" s="313"/>
      <c r="M79" s="313"/>
      <c r="O79" s="313"/>
    </row>
    <row r="80" spans="1:19" ht="21" customHeight="1" thickBot="1">
      <c r="A80" s="357" t="s">
        <v>2143</v>
      </c>
      <c r="B80" s="361" t="s">
        <v>2144</v>
      </c>
      <c r="D80" s="363">
        <f>ROUND(+D78*0.125,0)</f>
        <v>103768560</v>
      </c>
      <c r="E80" s="361"/>
      <c r="F80" s="363">
        <f ca="1">ROUND(+F78*0.125,0)</f>
        <v>2766333</v>
      </c>
      <c r="G80" s="313"/>
      <c r="H80" s="363">
        <f>ROUND(+H78*0.125,0)</f>
        <v>0</v>
      </c>
      <c r="I80" s="313"/>
      <c r="J80" s="363">
        <f>ROUND(+J78*0.125,0)</f>
        <v>0</v>
      </c>
      <c r="K80" s="313"/>
      <c r="L80" s="363">
        <f>ROUND(+L78*0.125,0)</f>
        <v>0</v>
      </c>
      <c r="M80" s="313"/>
      <c r="N80" s="363">
        <f ca="1">ROUND(+N78*0.125,0)</f>
        <v>101002227</v>
      </c>
      <c r="O80" s="313"/>
      <c r="P80" s="363">
        <f>P38</f>
        <v>7878706.3158059567</v>
      </c>
      <c r="Q80" s="361"/>
      <c r="R80" s="363">
        <f>R38</f>
        <v>111647266.31580596</v>
      </c>
    </row>
    <row r="81" spans="1:20" ht="21" customHeight="1" thickTop="1">
      <c r="A81" s="357"/>
      <c r="B81" s="361"/>
      <c r="D81" s="364"/>
      <c r="E81" s="361"/>
      <c r="F81" s="364"/>
      <c r="G81" s="313"/>
      <c r="H81" s="364"/>
      <c r="I81" s="313"/>
      <c r="J81" s="364"/>
      <c r="K81" s="313"/>
      <c r="L81" s="364"/>
      <c r="M81" s="313"/>
      <c r="N81" s="364"/>
      <c r="O81" s="313"/>
      <c r="P81" s="364"/>
      <c r="Q81" s="361"/>
      <c r="R81" s="364"/>
    </row>
    <row r="82" spans="1:20" ht="18.95" customHeight="1">
      <c r="A82" s="313"/>
      <c r="B82" s="361" t="s">
        <v>2145</v>
      </c>
      <c r="F82" s="366"/>
      <c r="M82" s="313"/>
      <c r="O82" s="313"/>
      <c r="Q82" s="313"/>
      <c r="T82" s="365"/>
    </row>
    <row r="83" spans="1:20" ht="18.95" customHeight="1">
      <c r="A83" s="313"/>
      <c r="B83" s="361" t="s">
        <v>2146</v>
      </c>
      <c r="M83" s="313"/>
      <c r="O83" s="313"/>
      <c r="Q83" s="313"/>
    </row>
    <row r="84" spans="1:20" ht="18.95" customHeight="1">
      <c r="A84" s="313"/>
      <c r="B84" s="313" t="s">
        <v>2147</v>
      </c>
      <c r="M84" s="313"/>
      <c r="O84" s="313"/>
      <c r="Q84" s="313"/>
    </row>
  </sheetData>
  <mergeCells count="7">
    <mergeCell ref="A61:R61"/>
    <mergeCell ref="A5:R5"/>
    <mergeCell ref="A7:R7"/>
    <mergeCell ref="A8:R8"/>
    <mergeCell ref="A9:R9"/>
    <mergeCell ref="A58:R58"/>
    <mergeCell ref="A60:R60"/>
  </mergeCells>
  <printOptions horizontalCentered="1"/>
  <pageMargins left="0" right="0" top="0.75" bottom="0" header="0.75" footer="0.5"/>
  <pageSetup scale="51" orientation="landscape" r:id="rId1"/>
  <headerFooter alignWithMargins="0"/>
  <rowBreaks count="1" manualBreakCount="1">
    <brk id="53" max="15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K67"/>
  <sheetViews>
    <sheetView zoomScaleNormal="100" workbookViewId="0">
      <selection activeCell="K51" sqref="K51"/>
    </sheetView>
  </sheetViews>
  <sheetFormatPr defaultColWidth="9" defaultRowHeight="12.75"/>
  <cols>
    <col min="1" max="1" width="6" style="29" customWidth="1"/>
    <col min="2" max="2" width="7.6640625" style="29" customWidth="1"/>
    <col min="3" max="3" width="29.77734375" style="29" customWidth="1"/>
    <col min="4" max="4" width="13.21875" style="29" customWidth="1"/>
    <col min="5" max="5" width="14.88671875" style="29" customWidth="1"/>
    <col min="6" max="6" width="14.77734375" style="29" customWidth="1"/>
    <col min="7" max="7" width="15.33203125" style="29" customWidth="1"/>
    <col min="8" max="8" width="33" style="29" customWidth="1"/>
    <col min="9" max="9" width="1.6640625" style="29" customWidth="1"/>
    <col min="10" max="10" width="9" style="29"/>
    <col min="11" max="11" width="18" style="29" customWidth="1"/>
    <col min="12" max="16384" width="9" style="29"/>
  </cols>
  <sheetData>
    <row r="1" spans="1:10" s="28" customFormat="1" ht="20.100000000000001" customHeight="1">
      <c r="A1" s="706" t="str">
        <f>'Rate Case Constants'!C9</f>
        <v>KENTUCKY UTILITIES COMPANY</v>
      </c>
      <c r="B1" s="706"/>
      <c r="C1" s="706"/>
      <c r="D1" s="706"/>
      <c r="E1" s="706"/>
      <c r="F1" s="706"/>
      <c r="G1" s="706"/>
      <c r="H1" s="706"/>
    </row>
    <row r="2" spans="1:10" s="28" customFormat="1" ht="20.100000000000001" customHeight="1">
      <c r="A2" s="706" t="str">
        <f>'Rate Case Constants'!C10</f>
        <v>CASE NO. 2016-00370</v>
      </c>
      <c r="B2" s="706"/>
      <c r="C2" s="706"/>
      <c r="D2" s="706"/>
      <c r="E2" s="706"/>
      <c r="F2" s="706"/>
      <c r="G2" s="706"/>
      <c r="H2" s="706"/>
    </row>
    <row r="3" spans="1:10" s="28" customFormat="1" ht="20.100000000000001" customHeight="1">
      <c r="A3" s="706" t="s">
        <v>218</v>
      </c>
      <c r="B3" s="706"/>
      <c r="C3" s="706"/>
      <c r="D3" s="706"/>
      <c r="E3" s="706"/>
      <c r="F3" s="706"/>
      <c r="G3" s="706"/>
      <c r="H3" s="706"/>
    </row>
    <row r="4" spans="1:10" s="28" customFormat="1" ht="20.100000000000001" customHeight="1">
      <c r="A4" s="706" t="str">
        <f>'Rate Case Constants'!C12</f>
        <v>AS OF FEBRUARY 28, 2017</v>
      </c>
      <c r="B4" s="706"/>
      <c r="C4" s="706"/>
      <c r="D4" s="706"/>
      <c r="E4" s="706"/>
      <c r="F4" s="706"/>
      <c r="G4" s="706"/>
      <c r="H4" s="706"/>
    </row>
    <row r="5" spans="1:10" s="28" customFormat="1" ht="20.100000000000001" customHeight="1">
      <c r="A5" s="44"/>
      <c r="B5" s="44"/>
      <c r="C5" s="44"/>
      <c r="D5" s="44"/>
      <c r="E5" s="44"/>
      <c r="F5" s="44"/>
      <c r="G5" s="44"/>
      <c r="H5" s="44"/>
    </row>
    <row r="6" spans="1:10" s="28" customFormat="1" ht="20.100000000000001" customHeight="1">
      <c r="A6" s="27" t="s">
        <v>136</v>
      </c>
      <c r="B6" s="27"/>
      <c r="G6" s="34"/>
      <c r="H6" s="34" t="s">
        <v>217</v>
      </c>
    </row>
    <row r="7" spans="1:10" s="28" customFormat="1" ht="20.100000000000001" customHeight="1">
      <c r="A7" s="28" t="str">
        <f>'Rate Case Constants'!C29</f>
        <v>TYPE OF FILING: __X__ ORIGINAL  _____ UPDATED  _____ REVISED</v>
      </c>
      <c r="G7" s="34"/>
      <c r="H7" s="34" t="s">
        <v>180</v>
      </c>
    </row>
    <row r="8" spans="1:10" s="28" customFormat="1" ht="20.100000000000001" customHeight="1">
      <c r="A8" s="27" t="s">
        <v>1204</v>
      </c>
      <c r="B8" s="27"/>
      <c r="F8" s="27"/>
      <c r="G8" s="35"/>
      <c r="H8" s="35" t="str">
        <f>'Rate Case Constants'!C36</f>
        <v>WITNESS:   C. M. GARRETT</v>
      </c>
    </row>
    <row r="9" spans="1:10" s="28" customFormat="1" ht="20.100000000000001" customHeight="1"/>
    <row r="10" spans="1:10" ht="58.5" customHeight="1">
      <c r="A10" s="36" t="s">
        <v>134</v>
      </c>
      <c r="B10" s="36" t="s">
        <v>137</v>
      </c>
      <c r="C10" s="39" t="s">
        <v>138</v>
      </c>
      <c r="D10" s="36" t="s">
        <v>219</v>
      </c>
      <c r="E10" s="36" t="s">
        <v>220</v>
      </c>
      <c r="F10" s="36" t="s">
        <v>221</v>
      </c>
      <c r="G10" s="36" t="s">
        <v>222</v>
      </c>
      <c r="H10" s="36" t="s">
        <v>223</v>
      </c>
    </row>
    <row r="11" spans="1:10" ht="23.1" customHeight="1">
      <c r="A11" s="40"/>
      <c r="B11" s="40"/>
      <c r="C11" s="41"/>
      <c r="D11" s="42" t="s">
        <v>145</v>
      </c>
      <c r="E11" s="373"/>
      <c r="F11" s="42" t="s">
        <v>145</v>
      </c>
      <c r="G11" s="42"/>
      <c r="H11" s="42"/>
    </row>
    <row r="12" spans="1:10" ht="18.95" customHeight="1">
      <c r="A12" s="276">
        <v>1</v>
      </c>
      <c r="B12" s="416">
        <v>310</v>
      </c>
      <c r="C12" s="27" t="s">
        <v>157</v>
      </c>
      <c r="D12" s="422">
        <f>SUMIFS('FCPIS B'!$S$6:$S$140,'FCPIS B'!$E$6:$E$140,$J12,'FCPIS B'!$C$6:$C$140,$B12)*-1000</f>
        <v>-11813294.720000001</v>
      </c>
      <c r="E12" s="102">
        <f>'SCH B-2.1 B'!E19</f>
        <v>0.87577725766318859</v>
      </c>
      <c r="F12" s="422">
        <f t="shared" ref="F12:F15" si="0">D12*E12</f>
        <v>-10345814.853848625</v>
      </c>
      <c r="H12" s="28" t="s">
        <v>2076</v>
      </c>
      <c r="J12" s="28" t="s">
        <v>2312</v>
      </c>
    </row>
    <row r="13" spans="1:10" ht="18.95" customHeight="1">
      <c r="A13" s="276">
        <f>A12+1</f>
        <v>2</v>
      </c>
      <c r="B13" s="416">
        <v>311</v>
      </c>
      <c r="C13" s="27" t="s">
        <v>151</v>
      </c>
      <c r="D13" s="422">
        <f>SUMIFS('FCPIS B'!$S$6:$S$140,'FCPIS B'!$E$6:$E$140,$J13,'FCPIS B'!$C$6:$C$140,$B13)*-1000</f>
        <v>-12022485.410000002</v>
      </c>
      <c r="E13" s="102">
        <f>'SCH B-2.1 B'!E20</f>
        <v>0.86648156962096645</v>
      </c>
      <c r="F13" s="422">
        <f t="shared" si="0"/>
        <v>-10417262.02880197</v>
      </c>
      <c r="H13" s="28" t="s">
        <v>2076</v>
      </c>
      <c r="J13" s="28" t="s">
        <v>2312</v>
      </c>
    </row>
    <row r="14" spans="1:10" ht="18.95" customHeight="1">
      <c r="A14" s="276">
        <f>A13+1</f>
        <v>3</v>
      </c>
      <c r="B14" s="416">
        <v>312</v>
      </c>
      <c r="C14" s="27" t="s">
        <v>1682</v>
      </c>
      <c r="D14" s="422">
        <f>SUMIFS('FCPIS B'!$S$6:$S$140,'FCPIS B'!$E$6:$E$140,$J14,'FCPIS B'!$C$6:$C$140,$B14)*-1000+'ECR Exclusions'!$G$6</f>
        <v>-1311416207.190001</v>
      </c>
      <c r="E14" s="102">
        <f>'SCH B-2.1 B'!E21</f>
        <v>0.86957205161688755</v>
      </c>
      <c r="F14" s="422">
        <f t="shared" si="0"/>
        <v>-1140370881.8098464</v>
      </c>
      <c r="H14" s="28" t="s">
        <v>2076</v>
      </c>
      <c r="J14" s="28" t="s">
        <v>2312</v>
      </c>
    </row>
    <row r="15" spans="1:10" ht="18.95" customHeight="1">
      <c r="A15" s="276">
        <f>A14+1</f>
        <v>4</v>
      </c>
      <c r="B15" s="416">
        <v>315</v>
      </c>
      <c r="C15" s="27" t="s">
        <v>1686</v>
      </c>
      <c r="D15" s="422">
        <f>SUMIFS('FCPIS B'!$S$6:$S$140,'FCPIS B'!$E$6:$E$140,$J15,'FCPIS B'!$C$6:$C$140,$B15)*-1000</f>
        <v>-9523638.8499999903</v>
      </c>
      <c r="E15" s="102">
        <f>'SCH B-2.1 B'!E24</f>
        <v>0.86462119266145265</v>
      </c>
      <c r="F15" s="422">
        <f t="shared" si="0"/>
        <v>-8234339.980963937</v>
      </c>
      <c r="H15" s="28" t="s">
        <v>2076</v>
      </c>
      <c r="J15" s="28" t="s">
        <v>2312</v>
      </c>
    </row>
    <row r="16" spans="1:10" ht="18.95" customHeight="1">
      <c r="A16" s="464">
        <f t="shared" ref="A16:A27" si="1">A15+1</f>
        <v>5</v>
      </c>
      <c r="B16" s="463">
        <v>316</v>
      </c>
      <c r="C16" s="38" t="s">
        <v>1688</v>
      </c>
      <c r="D16" s="422">
        <f>SUMIFS('FCPIS B'!$S$6:$S$140,'FCPIS B'!$E$6:$E$140,$J16,'FCPIS B'!$C$6:$C$140,$B16)*-1000</f>
        <v>-824923.38</v>
      </c>
      <c r="E16" s="102">
        <f>'SCH B-2.1 B'!E25</f>
        <v>0.86968991129891327</v>
      </c>
      <c r="F16" s="422">
        <f t="shared" ref="F16" si="2">D16*E16</f>
        <v>-717427.54118059971</v>
      </c>
      <c r="H16" s="28" t="s">
        <v>2076</v>
      </c>
      <c r="J16" s="28" t="s">
        <v>2312</v>
      </c>
    </row>
    <row r="17" spans="1:10" ht="18.95" customHeight="1">
      <c r="A17" s="464">
        <f t="shared" si="1"/>
        <v>6</v>
      </c>
      <c r="B17" s="416" t="str">
        <f>'SCH B-2.1 B'!B$26</f>
        <v>317</v>
      </c>
      <c r="C17" s="27" t="str">
        <f>'SCH B-2.1 B'!C$26</f>
        <v>ARO Cost Steam Production</v>
      </c>
      <c r="D17" s="422">
        <f>-'SCH B-2.1 B'!D$26</f>
        <v>-331002428.38999999</v>
      </c>
      <c r="E17" s="102">
        <f>'SCH B-2.1 B'!E$26</f>
        <v>0.87577725766318837</v>
      </c>
      <c r="F17" s="422">
        <f>D17*E17</f>
        <v>-289884399.01525009</v>
      </c>
      <c r="H17" s="28" t="s">
        <v>1461</v>
      </c>
      <c r="J17" s="28" t="s">
        <v>2312</v>
      </c>
    </row>
    <row r="18" spans="1:10" ht="18.95" customHeight="1">
      <c r="A18" s="464">
        <f t="shared" si="1"/>
        <v>7</v>
      </c>
      <c r="B18" s="416" t="str">
        <f>'SCH B-2.1 B'!B$37</f>
        <v>337</v>
      </c>
      <c r="C18" s="27" t="str">
        <f>'SCH B-2.1 B'!C$37</f>
        <v>ARO Cost Hydro Production</v>
      </c>
      <c r="D18" s="422">
        <f>-'SCH B-2.1 B'!D$37</f>
        <v>-274310.53999999998</v>
      </c>
      <c r="E18" s="102">
        <f>'SCH B-2.1 B'!E$37</f>
        <v>0.87577725766318848</v>
      </c>
      <c r="F18" s="422">
        <f>D18*E18</f>
        <v>-240234.93246930835</v>
      </c>
      <c r="H18" s="28" t="s">
        <v>1461</v>
      </c>
      <c r="J18" s="28" t="s">
        <v>2313</v>
      </c>
    </row>
    <row r="19" spans="1:10" ht="18.95" customHeight="1">
      <c r="A19" s="464">
        <f t="shared" si="1"/>
        <v>8</v>
      </c>
      <c r="B19" s="463" t="str">
        <f>'SCH B-2.1 B'!B$59</f>
        <v>347</v>
      </c>
      <c r="C19" s="27" t="str">
        <f>'SCH B-2.1 B'!C$59</f>
        <v>ARO Cost Other Production</v>
      </c>
      <c r="D19" s="422">
        <f>-'SCH B-2.1 B'!D$59</f>
        <v>-403344.08999999997</v>
      </c>
      <c r="E19" s="102">
        <f>'SCH B-2.1 B'!E$59</f>
        <v>0.87577725766318837</v>
      </c>
      <c r="F19" s="422">
        <f>D19*E19</f>
        <v>-353239.58103485423</v>
      </c>
      <c r="H19" s="28" t="s">
        <v>1461</v>
      </c>
      <c r="J19" s="28" t="s">
        <v>2313</v>
      </c>
    </row>
    <row r="20" spans="1:10" ht="18.95" customHeight="1">
      <c r="A20" s="464">
        <f t="shared" si="1"/>
        <v>9</v>
      </c>
      <c r="B20" s="416" t="str">
        <f>'SCH B-2.1 B'!B$71</f>
        <v>359</v>
      </c>
      <c r="C20" s="27" t="str">
        <f>'SCH B-2.1 B'!C$71</f>
        <v>ARO Cost Elec Transmission</v>
      </c>
      <c r="D20" s="422">
        <f>-'SCH B-2.1 B'!D$71</f>
        <v>-413450.63</v>
      </c>
      <c r="E20" s="102">
        <f>'SCH B-2.1 B'!E71</f>
        <v>0.95582457705600388</v>
      </c>
      <c r="F20" s="422">
        <f>D20*E20</f>
        <v>-395186.27355328837</v>
      </c>
      <c r="H20" s="28" t="s">
        <v>1461</v>
      </c>
      <c r="J20" s="28" t="s">
        <v>2313</v>
      </c>
    </row>
    <row r="21" spans="1:10" ht="18.95" customHeight="1">
      <c r="A21" s="464">
        <f t="shared" si="1"/>
        <v>10</v>
      </c>
      <c r="B21" s="463">
        <v>364</v>
      </c>
      <c r="C21" s="38" t="s">
        <v>1734</v>
      </c>
      <c r="D21" s="422">
        <f>SUMIFS('FCPIS B'!$S$6:$S$140,'FCPIS B'!$E$6:$E$140,$J21,'FCPIS B'!$C$6:$C$140,$B21)*-1000</f>
        <v>-26531.199999999997</v>
      </c>
      <c r="E21" s="102">
        <f>'SCH B-2.1 B'!E78</f>
        <v>0.92393308491309389</v>
      </c>
      <c r="F21" s="422">
        <f t="shared" ref="F21:F24" si="3">D21*E21</f>
        <v>-24513.053462446274</v>
      </c>
      <c r="H21" s="28" t="s">
        <v>2076</v>
      </c>
      <c r="J21" s="28" t="s">
        <v>2312</v>
      </c>
    </row>
    <row r="22" spans="1:10" ht="18.95" customHeight="1">
      <c r="A22" s="464">
        <f t="shared" si="1"/>
        <v>11</v>
      </c>
      <c r="B22" s="463">
        <v>365</v>
      </c>
      <c r="C22" s="38" t="s">
        <v>1723</v>
      </c>
      <c r="D22" s="422">
        <f>SUMIFS('FCPIS B'!$S$6:$S$140,'FCPIS B'!$E$6:$E$140,$J22,'FCPIS B'!$C$6:$C$140,$B22)*-1000</f>
        <v>-23599.41</v>
      </c>
      <c r="E22" s="102">
        <f>'SCH B-2.1 B'!E79</f>
        <v>0.92961431610636136</v>
      </c>
      <c r="F22" s="422">
        <f t="shared" si="3"/>
        <v>-21938.349387663624</v>
      </c>
      <c r="H22" s="28" t="s">
        <v>2076</v>
      </c>
      <c r="J22" s="28" t="s">
        <v>2312</v>
      </c>
    </row>
    <row r="23" spans="1:10" ht="18.95" customHeight="1">
      <c r="A23" s="464">
        <f t="shared" si="1"/>
        <v>12</v>
      </c>
      <c r="B23" s="463">
        <v>366</v>
      </c>
      <c r="C23" s="38" t="s">
        <v>1725</v>
      </c>
      <c r="D23" s="422">
        <f>SUMIFS('FCPIS B'!$S$6:$S$140,'FCPIS B'!$E$6:$E$140,$J23,'FCPIS B'!$C$6:$C$140,$B23)*-1000</f>
        <v>-171002.52000000002</v>
      </c>
      <c r="E23" s="102">
        <f>'SCH B-2.1 B'!E80</f>
        <v>1</v>
      </c>
      <c r="F23" s="422">
        <f t="shared" si="3"/>
        <v>-171002.52000000002</v>
      </c>
      <c r="H23" s="28" t="s">
        <v>2076</v>
      </c>
      <c r="J23" s="28" t="s">
        <v>2312</v>
      </c>
    </row>
    <row r="24" spans="1:10" ht="18.95" customHeight="1">
      <c r="A24" s="464">
        <f t="shared" si="1"/>
        <v>13</v>
      </c>
      <c r="B24" s="463">
        <v>367</v>
      </c>
      <c r="C24" s="38" t="s">
        <v>1727</v>
      </c>
      <c r="D24" s="422">
        <f>SUMIFS('FCPIS B'!$S$6:$S$140,'FCPIS B'!$E$6:$E$140,$J24,'FCPIS B'!$C$6:$C$140,$B24)*-1000</f>
        <v>-1326115.3699999999</v>
      </c>
      <c r="E24" s="102">
        <f>'SCH B-2.1 B'!E81</f>
        <v>0.9730471121704487</v>
      </c>
      <c r="F24" s="422">
        <f t="shared" si="3"/>
        <v>-1290372.7311833459</v>
      </c>
      <c r="H24" s="28" t="s">
        <v>2076</v>
      </c>
      <c r="J24" s="28" t="s">
        <v>2312</v>
      </c>
    </row>
    <row r="25" spans="1:10" ht="18.95" customHeight="1">
      <c r="A25" s="464">
        <f t="shared" si="1"/>
        <v>14</v>
      </c>
      <c r="B25" s="416" t="str">
        <f>'SCH B-2.1 B'!B$87</f>
        <v>374</v>
      </c>
      <c r="C25" s="27" t="str">
        <f>'SCH B-2.1 B'!C$87</f>
        <v>ARO Cost Elec Distribution</v>
      </c>
      <c r="D25" s="422">
        <f>-'SCH B-2.1 B'!D$87</f>
        <v>-904896.85999999894</v>
      </c>
      <c r="E25" s="102">
        <f>'SCH B-2.1 B'!E$87</f>
        <v>1</v>
      </c>
      <c r="F25" s="422">
        <f>D25*E25</f>
        <v>-904896.85999999894</v>
      </c>
      <c r="H25" s="28" t="s">
        <v>1461</v>
      </c>
      <c r="J25" s="28" t="s">
        <v>2313</v>
      </c>
    </row>
    <row r="26" spans="1:10" ht="18.95" customHeight="1">
      <c r="A26" s="464">
        <f t="shared" si="1"/>
        <v>15</v>
      </c>
      <c r="B26" s="416">
        <v>392</v>
      </c>
      <c r="C26" s="27" t="s">
        <v>158</v>
      </c>
      <c r="D26" s="422">
        <f>SUMIFS('FCPIS B'!$S$6:$S$140,'FCPIS B'!$E$6:$E$140,$J26,'FCPIS B'!$C$6:$C$140,$B26)*-1000</f>
        <v>-145263.44</v>
      </c>
      <c r="E26" s="421">
        <f>'SCH B-2.1 B'!E$104</f>
        <v>0.90241299825518828</v>
      </c>
      <c r="F26" s="422">
        <f t="shared" ref="F26" si="4">D26*E26</f>
        <v>-131087.61642726266</v>
      </c>
      <c r="H26" s="28" t="s">
        <v>2076</v>
      </c>
      <c r="J26" s="28" t="s">
        <v>2312</v>
      </c>
    </row>
    <row r="27" spans="1:10" ht="18.95" customHeight="1">
      <c r="A27" s="464">
        <f t="shared" si="1"/>
        <v>16</v>
      </c>
      <c r="B27" s="416">
        <v>397</v>
      </c>
      <c r="C27" s="27" t="s">
        <v>160</v>
      </c>
      <c r="D27" s="422">
        <f>SUMIFS('FCPIS B'!$S$6:$S$140,'FCPIS B'!$E$6:$E$140,$J27,'FCPIS B'!$C$6:$C$140,$B27)*-1000</f>
        <v>-9232004.7799999993</v>
      </c>
      <c r="E27" s="421">
        <v>1</v>
      </c>
      <c r="F27" s="422">
        <f t="shared" ref="F27" si="5">D27*E27</f>
        <v>-9232004.7799999993</v>
      </c>
      <c r="H27" s="28" t="s">
        <v>2077</v>
      </c>
      <c r="J27" s="28" t="s">
        <v>2314</v>
      </c>
    </row>
    <row r="28" spans="1:10" ht="18.95" customHeight="1">
      <c r="A28" s="311"/>
      <c r="B28" s="416"/>
      <c r="C28" s="27"/>
      <c r="D28" s="422"/>
      <c r="E28" s="421"/>
      <c r="F28" s="422"/>
      <c r="H28" s="28"/>
    </row>
    <row r="29" spans="1:10" ht="18.95" customHeight="1" thickBot="1">
      <c r="A29" s="311">
        <f>A27+1</f>
        <v>17</v>
      </c>
      <c r="B29" s="416"/>
      <c r="C29" s="27" t="s">
        <v>2099</v>
      </c>
      <c r="D29" s="420">
        <f>SUM(D12:D28)</f>
        <v>-1689523496.7800009</v>
      </c>
      <c r="E29" s="421"/>
      <c r="F29" s="420">
        <f>SUM(F12:F28)</f>
        <v>-1472734601.9274099</v>
      </c>
      <c r="H29" s="28"/>
    </row>
    <row r="30" spans="1:10" ht="18.95" customHeight="1" thickTop="1">
      <c r="B30" s="31"/>
      <c r="D30" s="51"/>
    </row>
    <row r="31" spans="1:10" s="28" customFormat="1" ht="20.100000000000001" customHeight="1">
      <c r="A31" s="706" t="str">
        <f>$A$1</f>
        <v>KENTUCKY UTILITIES COMPANY</v>
      </c>
      <c r="B31" s="706"/>
      <c r="C31" s="706"/>
      <c r="D31" s="706"/>
      <c r="E31" s="706"/>
      <c r="F31" s="706"/>
      <c r="G31" s="706"/>
      <c r="H31" s="706"/>
    </row>
    <row r="32" spans="1:10" s="28" customFormat="1" ht="20.100000000000001" customHeight="1">
      <c r="A32" s="706" t="str">
        <f>$A$2</f>
        <v>CASE NO. 2016-00370</v>
      </c>
      <c r="B32" s="706"/>
      <c r="C32" s="706"/>
      <c r="D32" s="706"/>
      <c r="E32" s="706"/>
      <c r="F32" s="706"/>
      <c r="G32" s="706"/>
      <c r="H32" s="706"/>
    </row>
    <row r="33" spans="1:11" s="28" customFormat="1" ht="20.100000000000001" customHeight="1">
      <c r="A33" s="706" t="str">
        <f>$A$3</f>
        <v>PROPOSED ADJUSTMENTS TO PLANT IN SERVICE</v>
      </c>
      <c r="B33" s="706"/>
      <c r="C33" s="706"/>
      <c r="D33" s="706"/>
      <c r="E33" s="706"/>
      <c r="F33" s="706"/>
      <c r="G33" s="706"/>
      <c r="H33" s="706"/>
    </row>
    <row r="34" spans="1:11" s="28" customFormat="1" ht="20.100000000000001" customHeight="1">
      <c r="A34" s="706" t="str">
        <f>'Rate Case Constants'!C18</f>
        <v>AS OF JUNE 30, 2018</v>
      </c>
      <c r="B34" s="706"/>
      <c r="C34" s="706"/>
      <c r="D34" s="706"/>
      <c r="E34" s="706"/>
      <c r="F34" s="706"/>
      <c r="G34" s="706"/>
      <c r="H34" s="706"/>
    </row>
    <row r="35" spans="1:11" s="28" customFormat="1" ht="20.100000000000001" customHeight="1">
      <c r="A35" s="44"/>
      <c r="B35" s="44"/>
      <c r="C35" s="44"/>
      <c r="D35" s="44"/>
      <c r="E35" s="44"/>
      <c r="F35" s="44"/>
      <c r="G35" s="44"/>
      <c r="H35" s="44"/>
    </row>
    <row r="36" spans="1:11" s="28" customFormat="1" ht="20.100000000000001" customHeight="1">
      <c r="A36" s="27" t="s">
        <v>164</v>
      </c>
      <c r="B36" s="27"/>
      <c r="G36" s="34"/>
      <c r="H36" s="34" t="s">
        <v>217</v>
      </c>
    </row>
    <row r="37" spans="1:11" s="28" customFormat="1" ht="20.100000000000001" customHeight="1">
      <c r="A37" s="27" t="str">
        <f>$A$7</f>
        <v>TYPE OF FILING: __X__ ORIGINAL  _____ UPDATED  _____ REVISED</v>
      </c>
      <c r="G37" s="34"/>
      <c r="H37" s="34" t="s">
        <v>188</v>
      </c>
    </row>
    <row r="38" spans="1:11" s="28" customFormat="1" ht="20.100000000000001" customHeight="1">
      <c r="A38" s="27" t="str">
        <f>$A$8</f>
        <v>WORKPAPER REFERENCE NO(S).:</v>
      </c>
      <c r="B38" s="27"/>
      <c r="F38" s="27"/>
      <c r="G38" s="35"/>
      <c r="H38" s="35" t="str">
        <f>$H$8</f>
        <v>WITNESS:   C. M. GARRETT</v>
      </c>
    </row>
    <row r="39" spans="1:11" s="28" customFormat="1" ht="20.100000000000001" customHeight="1"/>
    <row r="40" spans="1:11" ht="58.5" customHeight="1">
      <c r="A40" s="36" t="s">
        <v>134</v>
      </c>
      <c r="B40" s="36" t="s">
        <v>137</v>
      </c>
      <c r="C40" s="39" t="s">
        <v>138</v>
      </c>
      <c r="D40" s="36" t="s">
        <v>219</v>
      </c>
      <c r="E40" s="36" t="s">
        <v>220</v>
      </c>
      <c r="F40" s="36" t="s">
        <v>221</v>
      </c>
      <c r="G40" s="36" t="s">
        <v>222</v>
      </c>
      <c r="H40" s="36" t="s">
        <v>223</v>
      </c>
      <c r="K40" s="460"/>
    </row>
    <row r="41" spans="1:11" ht="23.1" customHeight="1">
      <c r="A41" s="40"/>
      <c r="B41" s="40"/>
      <c r="C41" s="41"/>
      <c r="D41" s="42" t="s">
        <v>145</v>
      </c>
      <c r="E41" s="42"/>
      <c r="F41" s="42" t="s">
        <v>145</v>
      </c>
      <c r="G41" s="42"/>
      <c r="H41" s="42"/>
      <c r="K41" s="461"/>
    </row>
    <row r="42" spans="1:11" ht="18.95" customHeight="1">
      <c r="A42" s="279">
        <v>1</v>
      </c>
      <c r="B42" s="416">
        <f t="shared" ref="B42:B48" si="6">B12</f>
        <v>310</v>
      </c>
      <c r="C42" s="27" t="s">
        <v>157</v>
      </c>
      <c r="D42" s="422">
        <f>SUMIFS('FCPIS F'!$T$6:$T$135,'FCPIS F'!$E$6:$E$135,$J42,'FCPIS F'!$C$6:$C$135,$B42)*-1000</f>
        <v>-12801493.669230713</v>
      </c>
      <c r="E42" s="102">
        <f>'SCH B-2.1 F'!E19</f>
        <v>0.87577725766318848</v>
      </c>
      <c r="F42" s="422">
        <f t="shared" ref="F42:F45" si="7">D42*E42</f>
        <v>-11211257.019631542</v>
      </c>
      <c r="H42" s="28" t="s">
        <v>2076</v>
      </c>
      <c r="J42" s="28" t="s">
        <v>2312</v>
      </c>
      <c r="K42" s="53"/>
    </row>
    <row r="43" spans="1:11" ht="18.95" customHeight="1">
      <c r="A43" s="279">
        <f>A42+1</f>
        <v>2</v>
      </c>
      <c r="B43" s="463">
        <f t="shared" si="6"/>
        <v>311</v>
      </c>
      <c r="C43" s="27" t="s">
        <v>151</v>
      </c>
      <c r="D43" s="422">
        <f>SUMIFS('FCPIS F'!$T$6:$T$135,'FCPIS F'!$E$6:$E$135,$J43,'FCPIS F'!$C$6:$C$135,$B43)*-1000</f>
        <v>-12022485.410000002</v>
      </c>
      <c r="E43" s="102">
        <f>'SCH B-2.1 F'!E20</f>
        <v>0.86659618008520101</v>
      </c>
      <c r="F43" s="422">
        <f t="shared" si="7"/>
        <v>-10418639.931436064</v>
      </c>
      <c r="H43" s="28" t="s">
        <v>2076</v>
      </c>
      <c r="J43" s="28" t="s">
        <v>2312</v>
      </c>
      <c r="K43" s="53"/>
    </row>
    <row r="44" spans="1:11" ht="18.95" customHeight="1">
      <c r="A44" s="279">
        <f>A43+1</f>
        <v>3</v>
      </c>
      <c r="B44" s="463">
        <f t="shared" si="6"/>
        <v>312</v>
      </c>
      <c r="C44" s="27" t="s">
        <v>1682</v>
      </c>
      <c r="D44" s="422">
        <f>SUMIFS('FCPIS F'!$T$6:$T$135,'FCPIS F'!$E$6:$E$135,$J44,'FCPIS F'!$C$6:$C$135,$B44)*-1000+'ECR Exclusions'!$G$6</f>
        <v>-1331272896.3215394</v>
      </c>
      <c r="E44" s="102">
        <f>'SCH B-2.1 F'!E21</f>
        <v>0.86962055387934112</v>
      </c>
      <c r="F44" s="422">
        <f t="shared" si="7"/>
        <v>-1157702273.4636917</v>
      </c>
      <c r="H44" s="28" t="s">
        <v>2076</v>
      </c>
      <c r="J44" s="28" t="s">
        <v>2312</v>
      </c>
      <c r="K44" s="53"/>
    </row>
    <row r="45" spans="1:11" ht="18.95" customHeight="1">
      <c r="A45" s="279">
        <f>A44+1</f>
        <v>4</v>
      </c>
      <c r="B45" s="463">
        <f t="shared" si="6"/>
        <v>315</v>
      </c>
      <c r="C45" s="27" t="s">
        <v>1686</v>
      </c>
      <c r="D45" s="422">
        <f>SUMIFS('FCPIS F'!$T$6:$T$135,'FCPIS F'!$E$6:$E$135,$J45,'FCPIS F'!$C$6:$C$135,$B45)*-1000</f>
        <v>-9523638.8499999903</v>
      </c>
      <c r="E45" s="102">
        <f>'SCH B-2.1 F'!E24</f>
        <v>0.8646345032724303</v>
      </c>
      <c r="F45" s="422">
        <f t="shared" si="7"/>
        <v>-8234466.7464157613</v>
      </c>
      <c r="H45" s="28" t="s">
        <v>2076</v>
      </c>
      <c r="J45" s="28" t="s">
        <v>2312</v>
      </c>
    </row>
    <row r="46" spans="1:11" ht="18.95" customHeight="1">
      <c r="A46" s="464">
        <f t="shared" ref="A46:A57" si="8">A45+1</f>
        <v>5</v>
      </c>
      <c r="B46" s="463">
        <f t="shared" si="6"/>
        <v>316</v>
      </c>
      <c r="C46" s="38" t="s">
        <v>1688</v>
      </c>
      <c r="D46" s="422">
        <f>SUMIFS('FCPIS F'!$T$6:$T$135,'FCPIS F'!$E$6:$E$135,$J46,'FCPIS F'!$C$6:$C$135,$B46)*-1000</f>
        <v>-824923.38000000012</v>
      </c>
      <c r="E46" s="102">
        <f>'SCH B-2.1 F'!E25</f>
        <v>0.87014955342948153</v>
      </c>
      <c r="F46" s="422">
        <f t="shared" ref="F46" si="9">D46*E46</f>
        <v>-717806.71072053863</v>
      </c>
      <c r="H46" s="28" t="s">
        <v>2076</v>
      </c>
      <c r="J46" s="28" t="s">
        <v>2312</v>
      </c>
      <c r="K46" s="461"/>
    </row>
    <row r="47" spans="1:11" ht="18.95" customHeight="1">
      <c r="A47" s="464">
        <f t="shared" si="8"/>
        <v>6</v>
      </c>
      <c r="B47" s="463" t="str">
        <f t="shared" si="6"/>
        <v>317</v>
      </c>
      <c r="C47" s="27" t="str">
        <f>'SCH B-2.1 F'!C$26</f>
        <v>ARO Cost Steam Production</v>
      </c>
      <c r="D47" s="422">
        <f>-'SCH B-2.1 F'!D$26</f>
        <v>-331002428.3300001</v>
      </c>
      <c r="E47" s="102">
        <f>'SCH B-2.1 F'!E$26</f>
        <v>0.87577725766318848</v>
      </c>
      <c r="F47" s="422">
        <f>D47*E47</f>
        <v>-289884398.96270359</v>
      </c>
      <c r="H47" s="28" t="s">
        <v>1461</v>
      </c>
      <c r="J47" s="28" t="s">
        <v>2312</v>
      </c>
      <c r="K47" s="53"/>
    </row>
    <row r="48" spans="1:11" ht="18.95" customHeight="1">
      <c r="A48" s="464">
        <f t="shared" si="8"/>
        <v>7</v>
      </c>
      <c r="B48" s="463" t="str">
        <f t="shared" si="6"/>
        <v>337</v>
      </c>
      <c r="C48" s="27" t="str">
        <f>'SCH B-2.1 F'!C$37</f>
        <v>ARO Cost Hydro Production</v>
      </c>
      <c r="D48" s="422">
        <f>-'SCH B-2.1 F'!D$37</f>
        <v>-274310.53999999998</v>
      </c>
      <c r="E48" s="102">
        <f>'SCH B-2.1 F'!E$37</f>
        <v>0.87577725766318848</v>
      </c>
      <c r="F48" s="422">
        <f>D48*E48</f>
        <v>-240234.93246930835</v>
      </c>
      <c r="H48" s="28" t="s">
        <v>1461</v>
      </c>
      <c r="J48" s="28" t="s">
        <v>2313</v>
      </c>
      <c r="K48" s="53"/>
    </row>
    <row r="49" spans="1:11" ht="18.95" customHeight="1">
      <c r="A49" s="464">
        <f t="shared" si="8"/>
        <v>8</v>
      </c>
      <c r="B49" s="463" t="str">
        <f>'SCH B-2.1 B'!B$59</f>
        <v>347</v>
      </c>
      <c r="C49" s="27" t="str">
        <f>'SCH B-2.1 F'!C$59</f>
        <v>ARO Cost Other Production</v>
      </c>
      <c r="D49" s="422">
        <f>-'SCH B-2.1 F'!D$59</f>
        <v>-403344.08999999991</v>
      </c>
      <c r="E49" s="102">
        <f>'SCH B-2.1 F'!E$59</f>
        <v>0.87577725766318859</v>
      </c>
      <c r="F49" s="422">
        <f>D49*E49</f>
        <v>-353239.58103485423</v>
      </c>
      <c r="H49" s="28" t="s">
        <v>1461</v>
      </c>
      <c r="J49" s="28" t="s">
        <v>2313</v>
      </c>
      <c r="K49" s="53"/>
    </row>
    <row r="50" spans="1:11" ht="18.95" customHeight="1">
      <c r="A50" s="464">
        <f t="shared" si="8"/>
        <v>9</v>
      </c>
      <c r="B50" s="463" t="str">
        <f t="shared" ref="B50:B57" si="10">B20</f>
        <v>359</v>
      </c>
      <c r="C50" s="27" t="str">
        <f>'SCH B-2.1 F'!C$71</f>
        <v>ARO Cost Elec Transmission</v>
      </c>
      <c r="D50" s="422">
        <f>-'SCH B-2.1 F'!D$71</f>
        <v>-413450.63</v>
      </c>
      <c r="E50" s="102">
        <f>'SCH B-2.1 F'!E$71</f>
        <v>0.95582457705600388</v>
      </c>
      <c r="F50" s="422">
        <f>D50*E50</f>
        <v>-395186.27355328837</v>
      </c>
      <c r="H50" s="28" t="s">
        <v>1461</v>
      </c>
      <c r="J50" s="28" t="s">
        <v>2313</v>
      </c>
    </row>
    <row r="51" spans="1:11" ht="18.95" customHeight="1">
      <c r="A51" s="464">
        <f t="shared" si="8"/>
        <v>10</v>
      </c>
      <c r="B51" s="463">
        <f t="shared" si="10"/>
        <v>364</v>
      </c>
      <c r="C51" s="38" t="s">
        <v>1734</v>
      </c>
      <c r="D51" s="422">
        <f>SUMIFS('FCPIS F'!$T$6:$T$135,'FCPIS F'!$E$6:$E$135,$J51,'FCPIS F'!$C$6:$C$135,$B51)*-1000</f>
        <v>-26531.200000000008</v>
      </c>
      <c r="E51" s="102">
        <f>'SCH B-2.1 F'!E78</f>
        <v>0.92542080803460847</v>
      </c>
      <c r="F51" s="422">
        <f t="shared" ref="F51:F54" si="11">D51*E51</f>
        <v>-24552.524542127812</v>
      </c>
      <c r="H51" s="28" t="s">
        <v>2076</v>
      </c>
      <c r="J51" s="28" t="s">
        <v>2312</v>
      </c>
      <c r="K51" s="461"/>
    </row>
    <row r="52" spans="1:11" ht="18.95" customHeight="1">
      <c r="A52" s="464">
        <f t="shared" si="8"/>
        <v>11</v>
      </c>
      <c r="B52" s="463">
        <f t="shared" si="10"/>
        <v>365</v>
      </c>
      <c r="C52" s="38" t="s">
        <v>1723</v>
      </c>
      <c r="D52" s="422">
        <f>SUMIFS('FCPIS F'!$T$6:$T$135,'FCPIS F'!$E$6:$E$135,$J52,'FCPIS F'!$C$6:$C$135,$B52)*-1000</f>
        <v>-23599.41</v>
      </c>
      <c r="E52" s="102">
        <f>'SCH B-2.1 F'!E79</f>
        <v>0.9289023594904563</v>
      </c>
      <c r="F52" s="422">
        <f t="shared" si="11"/>
        <v>-21921.547631582671</v>
      </c>
      <c r="H52" s="28" t="s">
        <v>2076</v>
      </c>
      <c r="J52" s="28" t="s">
        <v>2312</v>
      </c>
      <c r="K52" s="53"/>
    </row>
    <row r="53" spans="1:11" ht="18.95" customHeight="1">
      <c r="A53" s="464">
        <f t="shared" si="8"/>
        <v>12</v>
      </c>
      <c r="B53" s="463">
        <f t="shared" si="10"/>
        <v>366</v>
      </c>
      <c r="C53" s="38" t="s">
        <v>1725</v>
      </c>
      <c r="D53" s="422">
        <f>SUMIFS('FCPIS F'!$T$6:$T$135,'FCPIS F'!$E$6:$E$135,$J53,'FCPIS F'!$C$6:$C$135,$B53)*-1000</f>
        <v>-171002.52000000002</v>
      </c>
      <c r="E53" s="102">
        <f>'SCH B-2.1 F'!E80</f>
        <v>1</v>
      </c>
      <c r="F53" s="422">
        <f t="shared" si="11"/>
        <v>-171002.52000000002</v>
      </c>
      <c r="H53" s="28" t="s">
        <v>2076</v>
      </c>
      <c r="J53" s="28" t="s">
        <v>2312</v>
      </c>
      <c r="K53" s="53"/>
    </row>
    <row r="54" spans="1:11" ht="18.95" customHeight="1">
      <c r="A54" s="464">
        <f t="shared" si="8"/>
        <v>13</v>
      </c>
      <c r="B54" s="463">
        <f t="shared" si="10"/>
        <v>367</v>
      </c>
      <c r="C54" s="38" t="s">
        <v>1727</v>
      </c>
      <c r="D54" s="422">
        <f>SUMIFS('FCPIS F'!$T$6:$T$135,'FCPIS F'!$E$6:$E$135,$J54,'FCPIS F'!$C$6:$C$135,$B54)*-1000</f>
        <v>-1326115.3699999996</v>
      </c>
      <c r="E54" s="102">
        <f>'SCH B-2.1 F'!E81</f>
        <v>0.97288491647552067</v>
      </c>
      <c r="F54" s="422">
        <f t="shared" si="11"/>
        <v>-1290157.6409793538</v>
      </c>
      <c r="H54" s="28" t="s">
        <v>2076</v>
      </c>
      <c r="J54" s="28" t="s">
        <v>2312</v>
      </c>
      <c r="K54" s="53"/>
    </row>
    <row r="55" spans="1:11" ht="18.95" customHeight="1">
      <c r="A55" s="464">
        <f t="shared" si="8"/>
        <v>14</v>
      </c>
      <c r="B55" s="463" t="str">
        <f t="shared" si="10"/>
        <v>374</v>
      </c>
      <c r="C55" s="27" t="str">
        <f>'SCH B-2.1 F'!C$87</f>
        <v>ARO Cost Elec Distribution</v>
      </c>
      <c r="D55" s="422">
        <f>-'SCH B-2.1 F'!D$87</f>
        <v>-904896.86000000022</v>
      </c>
      <c r="E55" s="102">
        <f>'SCH B-2.1 F'!E$87</f>
        <v>1</v>
      </c>
      <c r="F55" s="422">
        <f>D55*E55</f>
        <v>-904896.86000000022</v>
      </c>
      <c r="H55" s="28" t="s">
        <v>1461</v>
      </c>
      <c r="J55" s="28" t="s">
        <v>2313</v>
      </c>
    </row>
    <row r="56" spans="1:11" ht="18.95" customHeight="1">
      <c r="A56" s="464">
        <f t="shared" si="8"/>
        <v>15</v>
      </c>
      <c r="B56" s="463">
        <f t="shared" si="10"/>
        <v>392</v>
      </c>
      <c r="C56" s="27" t="s">
        <v>158</v>
      </c>
      <c r="D56" s="422">
        <f>SUMIFS('FCPIS F'!$T$6:$T$135,'FCPIS F'!$E$6:$E$135,$J56,'FCPIS F'!$C$6:$C$135,$B56)*-1000</f>
        <v>-451375.43999999989</v>
      </c>
      <c r="E56" s="421">
        <f>'SCH B-2.1 F'!E$104</f>
        <v>0.90371060862444874</v>
      </c>
      <c r="F56" s="422">
        <f t="shared" ref="F56:F57" si="12">D56*E56</f>
        <v>-407912.77360052825</v>
      </c>
      <c r="H56" s="28" t="s">
        <v>2076</v>
      </c>
      <c r="J56" s="28" t="s">
        <v>2312</v>
      </c>
    </row>
    <row r="57" spans="1:11" ht="18.95" customHeight="1">
      <c r="A57" s="464">
        <f t="shared" si="8"/>
        <v>16</v>
      </c>
      <c r="B57" s="463">
        <f t="shared" si="10"/>
        <v>397</v>
      </c>
      <c r="C57" s="27" t="s">
        <v>160</v>
      </c>
      <c r="D57" s="422">
        <f>SUMIFS('FCPIS F'!$T$6:$T$135,'FCPIS F'!$E$6:$E$135,$J57,'FCPIS F'!$C$6:$C$135,$B57)*-1000</f>
        <v>-10795860.003846154</v>
      </c>
      <c r="E57" s="421">
        <v>1</v>
      </c>
      <c r="F57" s="422">
        <f t="shared" si="12"/>
        <v>-10795860.003846154</v>
      </c>
      <c r="H57" s="28" t="s">
        <v>2077</v>
      </c>
      <c r="J57" s="28" t="s">
        <v>2314</v>
      </c>
    </row>
    <row r="58" spans="1:11" ht="18.95" customHeight="1"/>
    <row r="59" spans="1:11" ht="18.95" customHeight="1" thickBot="1">
      <c r="A59" s="311">
        <f>A57+1</f>
        <v>17</v>
      </c>
      <c r="B59" s="416"/>
      <c r="C59" s="27" t="s">
        <v>2099</v>
      </c>
      <c r="D59" s="420">
        <f>SUM(D42:D58)</f>
        <v>-1712238352.0246165</v>
      </c>
      <c r="E59" s="421"/>
      <c r="F59" s="420">
        <f>SUM(F42:F58)</f>
        <v>-1492773807.4922566</v>
      </c>
      <c r="H59" s="28"/>
    </row>
    <row r="60" spans="1:11" ht="18.95" customHeight="1" thickTop="1"/>
    <row r="61" spans="1:11" ht="18.95" customHeight="1"/>
    <row r="62" spans="1:11" ht="18.95" customHeight="1"/>
    <row r="63" spans="1:11" ht="18.95" customHeight="1"/>
    <row r="64" spans="1:11" ht="18.95" customHeight="1"/>
    <row r="65" ht="18.95" customHeight="1"/>
    <row r="66" ht="18.95" customHeight="1"/>
    <row r="67" ht="18.95" customHeight="1"/>
  </sheetData>
  <mergeCells count="8">
    <mergeCell ref="A33:H33"/>
    <mergeCell ref="A34:H34"/>
    <mergeCell ref="A1:H1"/>
    <mergeCell ref="A2:H2"/>
    <mergeCell ref="A3:H3"/>
    <mergeCell ref="A4:H4"/>
    <mergeCell ref="A31:H31"/>
    <mergeCell ref="A32:H32"/>
  </mergeCells>
  <pageMargins left="0.95" right="0.5" top="0.75" bottom="0.75" header="0.3" footer="0.3"/>
  <pageSetup scale="61" fitToHeight="0" orientation="portrait" r:id="rId1"/>
  <rowBreaks count="1" manualBreakCount="1">
    <brk id="30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H131"/>
  <sheetViews>
    <sheetView zoomScaleNormal="100" workbookViewId="0">
      <selection activeCell="D116" sqref="D116"/>
    </sheetView>
  </sheetViews>
  <sheetFormatPr defaultColWidth="9" defaultRowHeight="12.75"/>
  <cols>
    <col min="1" max="1" width="6" style="29" customWidth="1"/>
    <col min="2" max="2" width="7.6640625" style="29" customWidth="1"/>
    <col min="3" max="3" width="38.33203125" style="29" customWidth="1"/>
    <col min="4" max="8" width="13.6640625" style="29" customWidth="1"/>
    <col min="9" max="9" width="1.6640625" style="29" customWidth="1"/>
    <col min="10" max="16384" width="9" style="29"/>
  </cols>
  <sheetData>
    <row r="1" spans="1:8" s="28" customFormat="1" ht="20.100000000000001" customHeight="1">
      <c r="A1" s="706" t="str">
        <f>'Rate Case Constants'!C9</f>
        <v>KENTUCKY UTILITIES COMPANY</v>
      </c>
      <c r="B1" s="706"/>
      <c r="C1" s="706"/>
      <c r="D1" s="706"/>
      <c r="E1" s="706"/>
      <c r="F1" s="706"/>
      <c r="G1" s="706"/>
      <c r="H1" s="706"/>
    </row>
    <row r="2" spans="1:8" s="28" customFormat="1" ht="20.100000000000001" customHeight="1">
      <c r="A2" s="706" t="str">
        <f>'Rate Case Constants'!C10</f>
        <v>CASE NO. 2016-00370</v>
      </c>
      <c r="B2" s="706"/>
      <c r="C2" s="706"/>
      <c r="D2" s="706"/>
      <c r="E2" s="706"/>
      <c r="F2" s="706"/>
      <c r="G2" s="706"/>
      <c r="H2" s="706"/>
    </row>
    <row r="3" spans="1:8" s="28" customFormat="1" ht="20.100000000000001" customHeight="1">
      <c r="A3" s="706" t="s">
        <v>135</v>
      </c>
      <c r="B3" s="706"/>
      <c r="C3" s="706"/>
      <c r="D3" s="706"/>
      <c r="E3" s="706"/>
      <c r="F3" s="706"/>
      <c r="G3" s="706"/>
      <c r="H3" s="706"/>
    </row>
    <row r="4" spans="1:8" s="28" customFormat="1" ht="20.100000000000001" customHeight="1">
      <c r="A4" s="706" t="str">
        <f>'Rate Case Constants'!C14</f>
        <v>FROM MARCH 1, 2016 TO FEBRUARY 28, 2017</v>
      </c>
      <c r="B4" s="706"/>
      <c r="C4" s="706"/>
      <c r="D4" s="706"/>
      <c r="E4" s="706"/>
      <c r="F4" s="706"/>
      <c r="G4" s="706"/>
      <c r="H4" s="706"/>
    </row>
    <row r="5" spans="1:8" s="28" customFormat="1" ht="20.100000000000001" customHeight="1">
      <c r="A5" s="43"/>
      <c r="B5" s="43"/>
      <c r="C5" s="43"/>
      <c r="D5" s="43"/>
      <c r="E5" s="43"/>
      <c r="F5" s="43"/>
      <c r="G5" s="43"/>
      <c r="H5" s="43"/>
    </row>
    <row r="6" spans="1:8" s="28" customFormat="1" ht="20.100000000000001" customHeight="1">
      <c r="A6" s="27" t="s">
        <v>136</v>
      </c>
      <c r="B6" s="27"/>
      <c r="G6" s="34"/>
      <c r="H6" s="34" t="s">
        <v>142</v>
      </c>
    </row>
    <row r="7" spans="1:8" s="28" customFormat="1" ht="20.100000000000001" customHeight="1">
      <c r="A7" s="28" t="str">
        <f>'Rate Case Constants'!C29</f>
        <v>TYPE OF FILING: __X__ ORIGINAL  _____ UPDATED  _____ REVISED</v>
      </c>
      <c r="G7" s="34"/>
      <c r="H7" s="34" t="s">
        <v>176</v>
      </c>
    </row>
    <row r="8" spans="1:8" s="28" customFormat="1" ht="20.100000000000001" customHeight="1">
      <c r="A8" s="27" t="s">
        <v>1204</v>
      </c>
      <c r="B8" s="27"/>
      <c r="F8" s="27"/>
      <c r="G8" s="35"/>
      <c r="H8" s="35" t="str">
        <f>'Rate Case Constants'!C36</f>
        <v>WITNESS:   C. M. GARRETT</v>
      </c>
    </row>
    <row r="9" spans="1:8" s="28" customFormat="1" ht="20.100000000000001" customHeight="1"/>
    <row r="10" spans="1:8" ht="58.5" customHeight="1">
      <c r="A10" s="36" t="s">
        <v>134</v>
      </c>
      <c r="B10" s="36" t="s">
        <v>137</v>
      </c>
      <c r="C10" s="39" t="s">
        <v>138</v>
      </c>
      <c r="D10" s="36" t="s">
        <v>139</v>
      </c>
      <c r="E10" s="36" t="s">
        <v>140</v>
      </c>
      <c r="F10" s="36" t="s">
        <v>141</v>
      </c>
      <c r="G10" s="36" t="s">
        <v>143</v>
      </c>
      <c r="H10" s="36" t="s">
        <v>144</v>
      </c>
    </row>
    <row r="11" spans="1:8" ht="23.1" customHeight="1">
      <c r="A11" s="40"/>
      <c r="B11" s="40"/>
      <c r="C11" s="41"/>
      <c r="D11" s="42" t="s">
        <v>145</v>
      </c>
      <c r="E11" s="42" t="s">
        <v>145</v>
      </c>
      <c r="F11" s="42" t="s">
        <v>145</v>
      </c>
      <c r="G11" s="42" t="s">
        <v>145</v>
      </c>
      <c r="H11" s="42" t="s">
        <v>145</v>
      </c>
    </row>
    <row r="12" spans="1:8" ht="23.1" customHeight="1">
      <c r="A12" s="33">
        <v>1</v>
      </c>
      <c r="B12" s="33"/>
      <c r="C12" s="45" t="s">
        <v>58</v>
      </c>
      <c r="D12" s="37"/>
      <c r="E12" s="37"/>
      <c r="F12" s="37"/>
      <c r="G12" s="37"/>
      <c r="H12" s="37"/>
    </row>
    <row r="13" spans="1:8" ht="18.95" customHeight="1">
      <c r="A13" s="30">
        <f>A12+1</f>
        <v>2</v>
      </c>
      <c r="B13" s="31" t="s">
        <v>1673</v>
      </c>
      <c r="C13" s="38" t="s">
        <v>1674</v>
      </c>
      <c r="D13" s="51">
        <f>SUMIFS('PIS B'!$D$11:$D$338,'PIS B'!$B$11:$B$338,'SCH B-2.3 B'!$B13)</f>
        <v>44455.58</v>
      </c>
      <c r="E13" s="51">
        <f>SUMIFS('PIS B'!$F$11:$F$338,'PIS B'!$B$11:$B$338,'SCH B-2.3 B'!$B13)</f>
        <v>0</v>
      </c>
      <c r="F13" s="51">
        <f>SUMIFS('PIS B'!$H$11:$H$338,'PIS B'!$B$11:$B$338,'SCH B-2.3 B'!$B13)</f>
        <v>0</v>
      </c>
      <c r="G13" s="51">
        <f>SUMIFS('PIS B'!$J$11:$J$338,'PIS B'!$B$11:$B$338,'SCH B-2.3 B'!$B13)</f>
        <v>0</v>
      </c>
      <c r="H13" s="51">
        <f>SUM(D13:G13)</f>
        <v>44455.58</v>
      </c>
    </row>
    <row r="14" spans="1:8" ht="18.95" customHeight="1">
      <c r="A14" s="30">
        <f t="shared" ref="A14:A88" si="0">A13+1</f>
        <v>3</v>
      </c>
      <c r="B14" s="31" t="s">
        <v>1675</v>
      </c>
      <c r="C14" s="38" t="s">
        <v>1676</v>
      </c>
      <c r="D14" s="51">
        <f>SUMIFS('PIS B'!$D$11:$D$338,'PIS B'!$B$11:$B$338,'SCH B-2.3 B'!$B14)</f>
        <v>55918.83</v>
      </c>
      <c r="E14" s="51">
        <f>SUMIFS('PIS B'!$F$11:$F$338,'PIS B'!$B$11:$B$338,'SCH B-2.3 B'!$B14)</f>
        <v>0</v>
      </c>
      <c r="F14" s="52">
        <f>SUMIFS('PIS B'!$H$11:$H$338,'PIS B'!$B$11:$B$338,'SCH B-2.3 B'!$B14)</f>
        <v>0</v>
      </c>
      <c r="G14" s="52">
        <f>SUMIFS('PIS B'!$J$11:$J$338,'PIS B'!$B$11:$B$338,'SCH B-2.3 B'!$B14)</f>
        <v>0</v>
      </c>
      <c r="H14" s="52">
        <f t="shared" ref="H14:H15" si="1">SUM(D14:G14)</f>
        <v>55918.83</v>
      </c>
    </row>
    <row r="15" spans="1:8" ht="18.95" customHeight="1">
      <c r="A15" s="30">
        <f t="shared" si="0"/>
        <v>4</v>
      </c>
      <c r="B15" s="31" t="s">
        <v>1677</v>
      </c>
      <c r="C15" s="38" t="s">
        <v>1678</v>
      </c>
      <c r="D15" s="54">
        <f>SUMIFS('PIS B'!$D$11:$D$338,'PIS B'!$B$11:$B$338,'SCH B-2.3 B'!$B15)</f>
        <v>93497218.569999993</v>
      </c>
      <c r="E15" s="54">
        <f>SUMIFS('PIS B'!$F$11:$F$338,'PIS B'!$B$11:$B$338,'SCH B-2.3 B'!$B15)</f>
        <v>13594707.169999991</v>
      </c>
      <c r="F15" s="54">
        <f>SUMIFS('PIS B'!$H$11:$H$338,'PIS B'!$B$11:$B$338,'SCH B-2.3 B'!$B15)</f>
        <v>-5834513.9799999986</v>
      </c>
      <c r="G15" s="54">
        <f>SUMIFS('PIS B'!$J$11:$J$338,'PIS B'!$B$11:$B$338,'SCH B-2.3 B'!$B15)</f>
        <v>0</v>
      </c>
      <c r="H15" s="54">
        <f t="shared" si="1"/>
        <v>101257411.75999998</v>
      </c>
    </row>
    <row r="16" spans="1:8" ht="18.95" customHeight="1">
      <c r="A16" s="30">
        <f t="shared" si="0"/>
        <v>5</v>
      </c>
      <c r="B16" s="30"/>
      <c r="C16" s="38" t="s">
        <v>146</v>
      </c>
      <c r="D16" s="51">
        <f>SUM(D13:D15)</f>
        <v>93597592.979999989</v>
      </c>
      <c r="E16" s="51">
        <f>SUM(E13:E15)</f>
        <v>13594707.169999991</v>
      </c>
      <c r="F16" s="51">
        <f>SUM(F13:F15)</f>
        <v>-5834513.9799999986</v>
      </c>
      <c r="G16" s="51">
        <f>SUM(G13:G15)</f>
        <v>0</v>
      </c>
      <c r="H16" s="51">
        <f>SUM(H13:H15)</f>
        <v>101357786.16999997</v>
      </c>
    </row>
    <row r="17" spans="1:8" ht="18.95" customHeight="1">
      <c r="A17" s="30"/>
      <c r="B17" s="30"/>
      <c r="D17" s="32"/>
      <c r="E17" s="32"/>
      <c r="F17" s="32"/>
      <c r="G17" s="32"/>
      <c r="H17" s="32"/>
    </row>
    <row r="18" spans="1:8" ht="18.95" customHeight="1">
      <c r="A18" s="30">
        <f>A16+1</f>
        <v>6</v>
      </c>
      <c r="B18" s="30"/>
      <c r="C18" s="55" t="s">
        <v>74</v>
      </c>
      <c r="D18" s="32"/>
      <c r="E18" s="32"/>
      <c r="F18" s="32"/>
      <c r="G18" s="32"/>
      <c r="H18" s="32"/>
    </row>
    <row r="19" spans="1:8" ht="18.95" customHeight="1">
      <c r="A19" s="30">
        <f t="shared" si="0"/>
        <v>7</v>
      </c>
      <c r="B19" s="31" t="s">
        <v>1679</v>
      </c>
      <c r="C19" s="38" t="s">
        <v>157</v>
      </c>
      <c r="D19" s="53">
        <f>SUMIFS('PIS B'!$D$11:$D$338,'PIS B'!$B$11:$B$338,'SCH B-2.3 B'!$B19)</f>
        <v>22958202.420000002</v>
      </c>
      <c r="E19" s="53">
        <f>SUMIFS('PIS B'!$F$11:$F$338,'PIS B'!$B$11:$B$338,'SCH B-2.3 B'!$B19)</f>
        <v>475000</v>
      </c>
      <c r="F19" s="53">
        <f>SUMIFS('PIS B'!$H$11:$H$338,'PIS B'!$B$11:$B$338,'SCH B-2.3 B'!$B19)</f>
        <v>-103618.65000000001</v>
      </c>
      <c r="G19" s="53">
        <f>SUMIFS('PIS B'!$J$11:$J$338,'PIS B'!$B$11:$B$338,'SCH B-2.3 B'!$B19)</f>
        <v>-162070.19</v>
      </c>
      <c r="H19" s="53">
        <f t="shared" ref="H19:H26" si="2">SUM(D19:G19)</f>
        <v>23167513.580000002</v>
      </c>
    </row>
    <row r="20" spans="1:8" ht="18" customHeight="1">
      <c r="A20" s="30">
        <f t="shared" si="0"/>
        <v>8</v>
      </c>
      <c r="B20" s="31" t="s">
        <v>1680</v>
      </c>
      <c r="C20" s="38" t="s">
        <v>151</v>
      </c>
      <c r="D20" s="53">
        <f>SUMIFS('PIS B'!$D$11:$D$338,'PIS B'!$B$11:$B$338,'SCH B-2.3 B'!$B20)</f>
        <v>338074045.20000005</v>
      </c>
      <c r="E20" s="53">
        <f>SUMIFS('PIS B'!$F$11:$F$338,'PIS B'!$B$11:$B$338,'SCH B-2.3 B'!$B20)</f>
        <v>3122812.9599999972</v>
      </c>
      <c r="F20" s="53">
        <f>SUMIFS('PIS B'!$H$11:$H$338,'PIS B'!$B$11:$B$338,'SCH B-2.3 B'!$B20)</f>
        <v>-877459.00999999896</v>
      </c>
      <c r="G20" s="53">
        <f>SUMIFS('PIS B'!$J$11:$J$338,'PIS B'!$B$11:$B$338,'SCH B-2.3 B'!$B20)</f>
        <v>-4924909.3999999994</v>
      </c>
      <c r="H20" s="53">
        <f t="shared" si="2"/>
        <v>335394489.75000006</v>
      </c>
    </row>
    <row r="21" spans="1:8" ht="18.95" customHeight="1">
      <c r="A21" s="30">
        <f t="shared" si="0"/>
        <v>9</v>
      </c>
      <c r="B21" s="31" t="s">
        <v>1681</v>
      </c>
      <c r="C21" s="38" t="s">
        <v>1682</v>
      </c>
      <c r="D21" s="53">
        <f>SUMIFS('PIS B'!$D$11:$D$338,'PIS B'!$B$11:$B$338,'SCH B-2.3 B'!$B21)</f>
        <v>3791160275.0299997</v>
      </c>
      <c r="E21" s="53">
        <f>SUMIFS('PIS B'!$F$11:$F$338,'PIS B'!$B$11:$B$338,'SCH B-2.3 B'!$B21)</f>
        <v>201337084.54999989</v>
      </c>
      <c r="F21" s="53">
        <f>SUMIFS('PIS B'!$H$11:$H$338,'PIS B'!$B$11:$B$338,'SCH B-2.3 B'!$B21)</f>
        <v>-13077808.029999992</v>
      </c>
      <c r="G21" s="53">
        <f>SUMIFS('PIS B'!$J$11:$J$338,'PIS B'!$B$11:$B$338,'SCH B-2.3 B'!$B21)</f>
        <v>4982726.8599999994</v>
      </c>
      <c r="H21" s="53">
        <f t="shared" si="2"/>
        <v>3984402278.4099994</v>
      </c>
    </row>
    <row r="22" spans="1:8" ht="18.95" customHeight="1">
      <c r="A22" s="30">
        <f>A20+1</f>
        <v>9</v>
      </c>
      <c r="B22" s="31">
        <v>313</v>
      </c>
      <c r="C22" s="38" t="s">
        <v>147</v>
      </c>
      <c r="D22" s="53">
        <f>SUMIFS('PIS B'!$D$11:$D$338,'PIS B'!$B$11:$B$338,'SCH B-2.3 B'!$B22)</f>
        <v>0</v>
      </c>
      <c r="E22" s="53">
        <f>SUMIFS('PIS B'!$F$11:$F$338,'PIS B'!$B$11:$B$338,'SCH B-2.3 B'!$B22)</f>
        <v>0</v>
      </c>
      <c r="F22" s="53">
        <f>SUMIFS('PIS B'!$H$11:$H$338,'PIS B'!$B$11:$B$338,'SCH B-2.3 B'!$B22)</f>
        <v>0</v>
      </c>
      <c r="G22" s="53">
        <f>SUMIFS('PIS B'!$J$11:$J$338,'PIS B'!$B$11:$B$338,'SCH B-2.3 B'!$B22)</f>
        <v>0</v>
      </c>
      <c r="H22" s="53">
        <f t="shared" ref="H22" si="3">SUM(D22:G22)</f>
        <v>0</v>
      </c>
    </row>
    <row r="23" spans="1:8" ht="18.95" customHeight="1">
      <c r="A23" s="30">
        <f>A21+1</f>
        <v>10</v>
      </c>
      <c r="B23" s="31" t="s">
        <v>1683</v>
      </c>
      <c r="C23" s="38" t="s">
        <v>1684</v>
      </c>
      <c r="D23" s="53">
        <f>SUMIFS('PIS B'!$D$11:$D$338,'PIS B'!$B$11:$B$338,'SCH B-2.3 B'!$B23)</f>
        <v>329044971.06</v>
      </c>
      <c r="E23" s="53">
        <f>SUMIFS('PIS B'!$F$11:$F$338,'PIS B'!$B$11:$B$338,'SCH B-2.3 B'!$B23)</f>
        <v>6810367.4500000002</v>
      </c>
      <c r="F23" s="53">
        <f>SUMIFS('PIS B'!$H$11:$H$338,'PIS B'!$B$11:$B$338,'SCH B-2.3 B'!$B23)</f>
        <v>-371149.22999999986</v>
      </c>
      <c r="G23" s="53">
        <f>SUMIFS('PIS B'!$J$11:$J$338,'PIS B'!$B$11:$B$338,'SCH B-2.3 B'!$B23)</f>
        <v>0</v>
      </c>
      <c r="H23" s="53">
        <f t="shared" si="2"/>
        <v>335484189.27999997</v>
      </c>
    </row>
    <row r="24" spans="1:8" ht="18.95" customHeight="1">
      <c r="A24" s="30">
        <f t="shared" si="0"/>
        <v>11</v>
      </c>
      <c r="B24" s="31" t="s">
        <v>1685</v>
      </c>
      <c r="C24" s="38" t="s">
        <v>1686</v>
      </c>
      <c r="D24" s="53">
        <f>SUMIFS('PIS B'!$D$11:$D$338,'PIS B'!$B$11:$B$338,'SCH B-2.3 B'!$B24)</f>
        <v>221766132.29999897</v>
      </c>
      <c r="E24" s="53">
        <f>SUMIFS('PIS B'!$F$11:$F$338,'PIS B'!$B$11:$B$338,'SCH B-2.3 B'!$B24)</f>
        <v>4639489.3199999994</v>
      </c>
      <c r="F24" s="53">
        <f>SUMIFS('PIS B'!$H$11:$H$338,'PIS B'!$B$11:$B$338,'SCH B-2.3 B'!$B24)</f>
        <v>-128517.06999999999</v>
      </c>
      <c r="G24" s="53">
        <f>SUMIFS('PIS B'!$J$11:$J$338,'PIS B'!$B$11:$B$338,'SCH B-2.3 B'!$B24)</f>
        <v>0</v>
      </c>
      <c r="H24" s="53">
        <f t="shared" si="2"/>
        <v>226277104.54999897</v>
      </c>
    </row>
    <row r="25" spans="1:8" ht="18.95" customHeight="1">
      <c r="A25" s="30">
        <f t="shared" si="0"/>
        <v>12</v>
      </c>
      <c r="B25" s="31" t="s">
        <v>1687</v>
      </c>
      <c r="C25" s="38" t="s">
        <v>1688</v>
      </c>
      <c r="D25" s="53">
        <f>SUMIFS('PIS B'!$D$11:$D$338,'PIS B'!$B$11:$B$338,'SCH B-2.3 B'!$B25)</f>
        <v>36595259.339999996</v>
      </c>
      <c r="E25" s="53">
        <f>SUMIFS('PIS B'!$F$11:$F$338,'PIS B'!$B$11:$B$338,'SCH B-2.3 B'!$B25)</f>
        <v>1183204.6900000004</v>
      </c>
      <c r="F25" s="53">
        <f>SUMIFS('PIS B'!$H$11:$H$338,'PIS B'!$B$11:$B$338,'SCH B-2.3 B'!$B25)</f>
        <v>-51721.18</v>
      </c>
      <c r="G25" s="53">
        <f>SUMIFS('PIS B'!$J$11:$J$338,'PIS B'!$B$11:$B$338,'SCH B-2.3 B'!$B25)</f>
        <v>-57817.46</v>
      </c>
      <c r="H25" s="53">
        <f t="shared" si="2"/>
        <v>37668925.389999993</v>
      </c>
    </row>
    <row r="26" spans="1:8" ht="18.95" customHeight="1">
      <c r="A26" s="30">
        <f t="shared" si="0"/>
        <v>13</v>
      </c>
      <c r="B26" s="31" t="s">
        <v>1689</v>
      </c>
      <c r="C26" s="38" t="s">
        <v>1708</v>
      </c>
      <c r="D26" s="54">
        <f>SUMIFS('PIS B'!$D$11:$D$338,'PIS B'!$B$11:$B$338,'SCH B-2.3 B'!$B26)</f>
        <v>329221435.30000001</v>
      </c>
      <c r="E26" s="54">
        <f>SUMIFS('PIS B'!$F$11:$F$338,'PIS B'!$B$11:$B$338,'SCH B-2.3 B'!$B26)</f>
        <v>1780993.0899999999</v>
      </c>
      <c r="F26" s="54">
        <f>SUMIFS('PIS B'!$H$11:$H$338,'PIS B'!$B$11:$B$338,'SCH B-2.3 B'!$B26)</f>
        <v>0</v>
      </c>
      <c r="G26" s="54">
        <f>SUMIFS('PIS B'!$J$11:$J$338,'PIS B'!$B$11:$B$338,'SCH B-2.3 B'!$B26)</f>
        <v>0</v>
      </c>
      <c r="H26" s="54">
        <f t="shared" si="2"/>
        <v>331002428.38999999</v>
      </c>
    </row>
    <row r="27" spans="1:8" ht="18.95" customHeight="1">
      <c r="A27" s="30">
        <f t="shared" si="0"/>
        <v>14</v>
      </c>
      <c r="C27" s="38" t="s">
        <v>149</v>
      </c>
      <c r="D27" s="51">
        <f>SUM(D19:D26)</f>
        <v>5068820320.6499996</v>
      </c>
      <c r="E27" s="51">
        <f>SUM(E19:E26)</f>
        <v>219348952.05999988</v>
      </c>
      <c r="F27" s="51">
        <f>SUM(F19:F26)</f>
        <v>-14610273.169999991</v>
      </c>
      <c r="G27" s="51">
        <f>SUM(G19:G26)</f>
        <v>-162070.19000000044</v>
      </c>
      <c r="H27" s="51">
        <f>SUM(H19:H26)</f>
        <v>5273396929.3499994</v>
      </c>
    </row>
    <row r="28" spans="1:8" ht="18.95" customHeight="1">
      <c r="A28" s="30"/>
      <c r="C28" s="38"/>
    </row>
    <row r="29" spans="1:8" ht="18.95" customHeight="1">
      <c r="A29" s="30">
        <f>A27+1</f>
        <v>15</v>
      </c>
      <c r="C29" s="55" t="s">
        <v>49</v>
      </c>
    </row>
    <row r="30" spans="1:8" ht="18.95" customHeight="1">
      <c r="A30" s="30">
        <f t="shared" si="0"/>
        <v>16</v>
      </c>
      <c r="B30" s="31" t="s">
        <v>1690</v>
      </c>
      <c r="C30" s="38" t="s">
        <v>157</v>
      </c>
      <c r="D30" s="53">
        <f>SUMIFS('PIS B'!$D$11:$D$338,'PIS B'!$B$11:$B$338,'SCH B-2.3 B'!$B30)</f>
        <v>879311.47</v>
      </c>
      <c r="E30" s="53">
        <f>SUMIFS('PIS B'!$F$11:$F$338,'PIS B'!$B$11:$B$338,'SCH B-2.3 B'!$B30)</f>
        <v>0</v>
      </c>
      <c r="F30" s="53">
        <f>SUMIFS('PIS B'!$H$11:$H$338,'PIS B'!$B$11:$B$338,'SCH B-2.3 B'!$B30)</f>
        <v>0</v>
      </c>
      <c r="G30" s="53">
        <f>SUMIFS('PIS B'!$J$11:$J$338,'PIS B'!$B$11:$B$338,'SCH B-2.3 B'!$B30)</f>
        <v>0</v>
      </c>
      <c r="H30" s="53">
        <f t="shared" ref="H30:H37" si="4">SUM(D30:G30)</f>
        <v>879311.47</v>
      </c>
    </row>
    <row r="31" spans="1:8" ht="18.95" customHeight="1">
      <c r="A31" s="30">
        <f t="shared" si="0"/>
        <v>17</v>
      </c>
      <c r="B31" s="31" t="s">
        <v>1691</v>
      </c>
      <c r="C31" s="38" t="s">
        <v>151</v>
      </c>
      <c r="D31" s="53">
        <f>SUMIFS('PIS B'!$D$11:$D$338,'PIS B'!$B$11:$B$338,'SCH B-2.3 B'!$B31)</f>
        <v>2928676.76</v>
      </c>
      <c r="E31" s="53">
        <f>SUMIFS('PIS B'!$F$11:$F$338,'PIS B'!$B$11:$B$338,'SCH B-2.3 B'!$B31)</f>
        <v>1487.17</v>
      </c>
      <c r="F31" s="53">
        <f>SUMIFS('PIS B'!$H$11:$H$338,'PIS B'!$B$11:$B$338,'SCH B-2.3 B'!$B31)</f>
        <v>0</v>
      </c>
      <c r="G31" s="53">
        <f>SUMIFS('PIS B'!$J$11:$J$338,'PIS B'!$B$11:$B$338,'SCH B-2.3 B'!$B31)</f>
        <v>0</v>
      </c>
      <c r="H31" s="53">
        <f t="shared" si="4"/>
        <v>2930163.9299999997</v>
      </c>
    </row>
    <row r="32" spans="1:8" ht="18.95" customHeight="1">
      <c r="A32" s="30">
        <f t="shared" si="0"/>
        <v>18</v>
      </c>
      <c r="B32" s="31" t="s">
        <v>1692</v>
      </c>
      <c r="C32" s="38" t="s">
        <v>1693</v>
      </c>
      <c r="D32" s="53">
        <f>SUMIFS('PIS B'!$D$11:$D$338,'PIS B'!$B$11:$B$338,'SCH B-2.3 B'!$B32)</f>
        <v>21885646.369999997</v>
      </c>
      <c r="E32" s="53">
        <f>SUMIFS('PIS B'!$F$11:$F$338,'PIS B'!$B$11:$B$338,'SCH B-2.3 B'!$B32)</f>
        <v>0</v>
      </c>
      <c r="F32" s="53">
        <f>SUMIFS('PIS B'!$H$11:$H$338,'PIS B'!$B$11:$B$338,'SCH B-2.3 B'!$B32)</f>
        <v>0</v>
      </c>
      <c r="G32" s="53">
        <f>SUMIFS('PIS B'!$J$11:$J$338,'PIS B'!$B$11:$B$338,'SCH B-2.3 B'!$B32)</f>
        <v>0</v>
      </c>
      <c r="H32" s="53">
        <f t="shared" si="4"/>
        <v>21885646.369999997</v>
      </c>
    </row>
    <row r="33" spans="1:8" ht="18.95" customHeight="1">
      <c r="A33" s="30">
        <f t="shared" si="0"/>
        <v>19</v>
      </c>
      <c r="B33" s="31" t="s">
        <v>1694</v>
      </c>
      <c r="C33" s="38" t="s">
        <v>1695</v>
      </c>
      <c r="D33" s="53">
        <f>SUMIFS('PIS B'!$D$11:$D$338,'PIS B'!$B$11:$B$338,'SCH B-2.3 B'!$B33)</f>
        <v>14046741.58</v>
      </c>
      <c r="E33" s="53">
        <f>SUMIFS('PIS B'!$F$11:$F$338,'PIS B'!$B$11:$B$338,'SCH B-2.3 B'!$B33)</f>
        <v>0</v>
      </c>
      <c r="F33" s="53">
        <f>SUMIFS('PIS B'!$H$11:$H$338,'PIS B'!$B$11:$B$338,'SCH B-2.3 B'!$B33)</f>
        <v>0</v>
      </c>
      <c r="G33" s="53">
        <f>SUMIFS('PIS B'!$J$11:$J$338,'PIS B'!$B$11:$B$338,'SCH B-2.3 B'!$B33)</f>
        <v>0</v>
      </c>
      <c r="H33" s="53">
        <f t="shared" si="4"/>
        <v>14046741.58</v>
      </c>
    </row>
    <row r="34" spans="1:8" ht="18.95" customHeight="1">
      <c r="A34" s="30">
        <f t="shared" si="0"/>
        <v>20</v>
      </c>
      <c r="B34" s="31" t="s">
        <v>1696</v>
      </c>
      <c r="C34" s="38" t="s">
        <v>1686</v>
      </c>
      <c r="D34" s="53">
        <f>SUMIFS('PIS B'!$D$11:$D$338,'PIS B'!$B$11:$B$338,'SCH B-2.3 B'!$B34)</f>
        <v>1368153.67</v>
      </c>
      <c r="E34" s="53">
        <f>SUMIFS('PIS B'!$F$11:$F$338,'PIS B'!$B$11:$B$338,'SCH B-2.3 B'!$B34)</f>
        <v>-5568.88</v>
      </c>
      <c r="F34" s="53">
        <f>SUMIFS('PIS B'!$H$11:$H$338,'PIS B'!$B$11:$B$338,'SCH B-2.3 B'!$B34)</f>
        <v>0</v>
      </c>
      <c r="G34" s="53">
        <f>SUMIFS('PIS B'!$J$11:$J$338,'PIS B'!$B$11:$B$338,'SCH B-2.3 B'!$B34)</f>
        <v>0</v>
      </c>
      <c r="H34" s="53">
        <f t="shared" si="4"/>
        <v>1362584.79</v>
      </c>
    </row>
    <row r="35" spans="1:8" ht="18.95" customHeight="1">
      <c r="A35" s="30">
        <f t="shared" si="0"/>
        <v>21</v>
      </c>
      <c r="B35" s="31" t="s">
        <v>1697</v>
      </c>
      <c r="C35" s="38" t="s">
        <v>1698</v>
      </c>
      <c r="D35" s="53">
        <f>SUMIFS('PIS B'!$D$11:$D$338,'PIS B'!$B$11:$B$338,'SCH B-2.3 B'!$B35)</f>
        <v>316946.74</v>
      </c>
      <c r="E35" s="53">
        <f>SUMIFS('PIS B'!$F$11:$F$338,'PIS B'!$B$11:$B$338,'SCH B-2.3 B'!$B35)</f>
        <v>0</v>
      </c>
      <c r="F35" s="53">
        <f>SUMIFS('PIS B'!$H$11:$H$338,'PIS B'!$B$11:$B$338,'SCH B-2.3 B'!$B35)</f>
        <v>0</v>
      </c>
      <c r="G35" s="53">
        <f>SUMIFS('PIS B'!$J$11:$J$338,'PIS B'!$B$11:$B$338,'SCH B-2.3 B'!$B35)</f>
        <v>0</v>
      </c>
      <c r="H35" s="53">
        <f t="shared" si="4"/>
        <v>316946.74</v>
      </c>
    </row>
    <row r="36" spans="1:8" ht="18.95" customHeight="1">
      <c r="A36" s="30">
        <f t="shared" si="0"/>
        <v>22</v>
      </c>
      <c r="B36" s="31" t="s">
        <v>1699</v>
      </c>
      <c r="C36" s="38" t="s">
        <v>1700</v>
      </c>
      <c r="D36" s="53">
        <f>SUMIFS('PIS B'!$D$11:$D$338,'PIS B'!$B$11:$B$338,'SCH B-2.3 B'!$B36)</f>
        <v>234509.13</v>
      </c>
      <c r="E36" s="53">
        <f>SUMIFS('PIS B'!$F$11:$F$338,'PIS B'!$B$11:$B$338,'SCH B-2.3 B'!$B36)</f>
        <v>0</v>
      </c>
      <c r="F36" s="53">
        <f>SUMIFS('PIS B'!$H$11:$H$338,'PIS B'!$B$11:$B$338,'SCH B-2.3 B'!$B36)</f>
        <v>0</v>
      </c>
      <c r="G36" s="53">
        <f>SUMIFS('PIS B'!$J$11:$J$338,'PIS B'!$B$11:$B$338,'SCH B-2.3 B'!$B36)</f>
        <v>0</v>
      </c>
      <c r="H36" s="53">
        <f t="shared" si="4"/>
        <v>234509.13</v>
      </c>
    </row>
    <row r="37" spans="1:8" ht="18.95" customHeight="1">
      <c r="A37" s="30">
        <f t="shared" si="0"/>
        <v>23</v>
      </c>
      <c r="B37" s="31" t="s">
        <v>1701</v>
      </c>
      <c r="C37" s="38" t="s">
        <v>1709</v>
      </c>
      <c r="D37" s="54">
        <f>SUMIFS('PIS B'!$D$11:$D$338,'PIS B'!$B$11:$B$338,'SCH B-2.3 B'!$B37)</f>
        <v>274310.53999999998</v>
      </c>
      <c r="E37" s="54">
        <f>SUMIFS('PIS B'!$F$11:$F$338,'PIS B'!$B$11:$B$338,'SCH B-2.3 B'!$B37)</f>
        <v>0</v>
      </c>
      <c r="F37" s="54">
        <f>SUMIFS('PIS B'!$H$11:$H$338,'PIS B'!$B$11:$B$338,'SCH B-2.3 B'!$B37)</f>
        <v>0</v>
      </c>
      <c r="G37" s="54">
        <f>SUMIFS('PIS B'!$J$11:$J$338,'PIS B'!$B$11:$B$338,'SCH B-2.3 B'!$B37)</f>
        <v>0</v>
      </c>
      <c r="H37" s="54">
        <f t="shared" si="4"/>
        <v>274310.53999999998</v>
      </c>
    </row>
    <row r="38" spans="1:8" ht="18.95" customHeight="1">
      <c r="A38" s="30">
        <f t="shared" si="0"/>
        <v>24</v>
      </c>
      <c r="B38" s="31" t="s">
        <v>254</v>
      </c>
      <c r="C38" s="38" t="s">
        <v>150</v>
      </c>
      <c r="D38" s="51">
        <f>SUM(D30:D37)</f>
        <v>41934296.260000005</v>
      </c>
      <c r="E38" s="51">
        <f t="shared" ref="E38:H38" si="5">SUM(E30:E37)</f>
        <v>-4081.71</v>
      </c>
      <c r="F38" s="51">
        <f t="shared" si="5"/>
        <v>0</v>
      </c>
      <c r="G38" s="51">
        <f t="shared" si="5"/>
        <v>0</v>
      </c>
      <c r="H38" s="51">
        <f t="shared" si="5"/>
        <v>41930214.549999997</v>
      </c>
    </row>
    <row r="39" spans="1:8" ht="18.95" customHeight="1">
      <c r="A39" s="30"/>
      <c r="B39" s="31"/>
      <c r="C39" s="38"/>
      <c r="D39" s="51"/>
      <c r="E39" s="51"/>
      <c r="F39" s="51"/>
      <c r="G39" s="51"/>
      <c r="H39" s="51"/>
    </row>
    <row r="40" spans="1:8" ht="18.95" customHeight="1">
      <c r="A40" s="30">
        <f>A38+1</f>
        <v>25</v>
      </c>
      <c r="C40" s="55" t="s">
        <v>63</v>
      </c>
    </row>
    <row r="41" spans="1:8" ht="18.95" customHeight="1">
      <c r="A41" s="30">
        <f t="shared" si="0"/>
        <v>26</v>
      </c>
      <c r="B41" s="31" t="s">
        <v>1702</v>
      </c>
      <c r="C41" s="38" t="s">
        <v>157</v>
      </c>
      <c r="D41" s="53">
        <f>SUMIFS('PIS B'!$D$11:$D$338,'PIS B'!$B$11:$B$338,'SCH B-2.3 B'!$B41)</f>
        <v>311508.32999999996</v>
      </c>
      <c r="E41" s="53">
        <f>SUMIFS('PIS B'!$F$11:$F$338,'PIS B'!$B$11:$B$338,'SCH B-2.3 B'!$B41)</f>
        <v>0</v>
      </c>
      <c r="F41" s="53">
        <f>SUMIFS('PIS B'!$H$11:$H$338,'PIS B'!$B$11:$B$338,'SCH B-2.3 B'!$B41)</f>
        <v>0</v>
      </c>
      <c r="G41" s="53">
        <f>SUMIFS('PIS B'!$J$11:$J$338,'PIS B'!$B$11:$B$338,'SCH B-2.3 B'!$B41)</f>
        <v>162070.19</v>
      </c>
      <c r="H41" s="53">
        <f t="shared" ref="H41:H59" si="6">SUM(D41:G41)</f>
        <v>473578.51999999996</v>
      </c>
    </row>
    <row r="42" spans="1:8" ht="18.95" customHeight="1">
      <c r="A42" s="30">
        <f t="shared" si="0"/>
        <v>27</v>
      </c>
      <c r="B42" s="31" t="s">
        <v>1703</v>
      </c>
      <c r="C42" s="38" t="s">
        <v>151</v>
      </c>
      <c r="D42" s="53">
        <f>SUMIFS('PIS B'!$D$11:$D$338,'PIS B'!$B$11:$B$338,'SCH B-2.3 B'!$B42)</f>
        <v>83427929.420000002</v>
      </c>
      <c r="E42" s="53">
        <f>SUMIFS('PIS B'!$F$11:$F$338,'PIS B'!$B$11:$B$338,'SCH B-2.3 B'!$B42)</f>
        <v>1827280.02</v>
      </c>
      <c r="F42" s="53">
        <f>SUMIFS('PIS B'!$H$11:$H$338,'PIS B'!$B$11:$B$338,'SCH B-2.3 B'!$B42)</f>
        <v>-178421.0499999999</v>
      </c>
      <c r="G42" s="53">
        <f>SUMIFS('PIS B'!$J$11:$J$338,'PIS B'!$B$11:$B$338,'SCH B-2.3 B'!$B42)</f>
        <v>0</v>
      </c>
      <c r="H42" s="53">
        <f t="shared" si="6"/>
        <v>85076788.390000001</v>
      </c>
    </row>
    <row r="43" spans="1:8" ht="18.95" customHeight="1">
      <c r="A43" s="30">
        <f t="shared" si="0"/>
        <v>28</v>
      </c>
      <c r="B43" s="31" t="s">
        <v>1704</v>
      </c>
      <c r="C43" s="38" t="s">
        <v>1705</v>
      </c>
      <c r="D43" s="53">
        <f>SUMIFS('PIS B'!$D$11:$D$338,'PIS B'!$B$11:$B$338,'SCH B-2.3 B'!$B43)</f>
        <v>160059128.18999898</v>
      </c>
      <c r="E43" s="53">
        <f>SUMIFS('PIS B'!$F$11:$F$338,'PIS B'!$B$11:$B$338,'SCH B-2.3 B'!$B43)</f>
        <v>-98408040.210000008</v>
      </c>
      <c r="F43" s="53">
        <f>SUMIFS('PIS B'!$H$11:$H$338,'PIS B'!$B$11:$B$338,'SCH B-2.3 B'!$B43)</f>
        <v>0</v>
      </c>
      <c r="G43" s="53">
        <f>SUMIFS('PIS B'!$J$11:$J$338,'PIS B'!$B$11:$B$338,'SCH B-2.3 B'!$B43)</f>
        <v>0</v>
      </c>
      <c r="H43" s="53">
        <f t="shared" si="6"/>
        <v>61651087.979998976</v>
      </c>
    </row>
    <row r="44" spans="1:8" ht="18.95" customHeight="1">
      <c r="A44" s="30">
        <f t="shared" si="0"/>
        <v>29</v>
      </c>
      <c r="B44" s="31" t="s">
        <v>1706</v>
      </c>
      <c r="C44" s="38" t="s">
        <v>1707</v>
      </c>
      <c r="D44" s="53">
        <f>SUMIFS('PIS B'!$D$11:$D$338,'PIS B'!$B$11:$B$338,'SCH B-2.3 B'!$B44)</f>
        <v>473841058.48999995</v>
      </c>
      <c r="E44" s="53">
        <f>SUMIFS('PIS B'!$F$11:$F$338,'PIS B'!$B$11:$B$338,'SCH B-2.3 B'!$B44)</f>
        <v>173545766.21000001</v>
      </c>
      <c r="F44" s="53">
        <f>SUMIFS('PIS B'!$H$11:$H$338,'PIS B'!$B$11:$B$338,'SCH B-2.3 B'!$B44)</f>
        <v>-4311.63</v>
      </c>
      <c r="G44" s="53">
        <f>SUMIFS('PIS B'!$J$11:$J$338,'PIS B'!$B$11:$B$338,'SCH B-2.3 B'!$B44)</f>
        <v>0</v>
      </c>
      <c r="H44" s="53">
        <f t="shared" si="6"/>
        <v>647382513.06999993</v>
      </c>
    </row>
    <row r="45" spans="1:8" s="28" customFormat="1" ht="20.100000000000001" customHeight="1">
      <c r="A45" s="706" t="str">
        <f>$A$1</f>
        <v>KENTUCKY UTILITIES COMPANY</v>
      </c>
      <c r="B45" s="706"/>
      <c r="C45" s="706"/>
      <c r="D45" s="706"/>
      <c r="E45" s="706"/>
      <c r="F45" s="706"/>
      <c r="G45" s="706"/>
      <c r="H45" s="706"/>
    </row>
    <row r="46" spans="1:8" s="28" customFormat="1" ht="20.100000000000001" customHeight="1">
      <c r="A46" s="706" t="str">
        <f>$A$2</f>
        <v>CASE NO. 2016-00370</v>
      </c>
      <c r="B46" s="706"/>
      <c r="C46" s="706"/>
      <c r="D46" s="706"/>
      <c r="E46" s="706"/>
      <c r="F46" s="706"/>
      <c r="G46" s="706"/>
      <c r="H46" s="706"/>
    </row>
    <row r="47" spans="1:8" s="28" customFormat="1" ht="20.100000000000001" customHeight="1">
      <c r="A47" s="706" t="str">
        <f>$A$3</f>
        <v>GROSS ADDITIONS, RETIREMENTS, AND TRANSFERS</v>
      </c>
      <c r="B47" s="706"/>
      <c r="C47" s="706"/>
      <c r="D47" s="706"/>
      <c r="E47" s="706"/>
      <c r="F47" s="706"/>
      <c r="G47" s="706"/>
      <c r="H47" s="706"/>
    </row>
    <row r="48" spans="1:8" s="28" customFormat="1" ht="20.100000000000001" customHeight="1">
      <c r="A48" s="705" t="str">
        <f>$A$4</f>
        <v>FROM MARCH 1, 2016 TO FEBRUARY 28, 2017</v>
      </c>
      <c r="B48" s="706"/>
      <c r="C48" s="706"/>
      <c r="D48" s="706"/>
      <c r="E48" s="706"/>
      <c r="F48" s="706"/>
      <c r="G48" s="706"/>
      <c r="H48" s="706"/>
    </row>
    <row r="49" spans="1:8" s="28" customFormat="1" ht="20.100000000000001" customHeight="1">
      <c r="A49" s="44"/>
      <c r="B49" s="44"/>
      <c r="C49" s="44"/>
      <c r="D49" s="44"/>
      <c r="E49" s="44"/>
      <c r="F49" s="44"/>
      <c r="G49" s="44"/>
      <c r="H49" s="44"/>
    </row>
    <row r="50" spans="1:8" s="28" customFormat="1" ht="20.100000000000001" customHeight="1">
      <c r="A50" s="27" t="str">
        <f>$A$6</f>
        <v>DATA:__X__BASE  PERIOD____FORECASTED  PERIOD</v>
      </c>
      <c r="B50" s="27"/>
      <c r="G50" s="34"/>
      <c r="H50" s="35" t="str">
        <f>$H$6</f>
        <v>SCHEDULE B-2.3</v>
      </c>
    </row>
    <row r="51" spans="1:8" s="28" customFormat="1" ht="20.100000000000001" customHeight="1">
      <c r="A51" s="27" t="str">
        <f>$A$7</f>
        <v>TYPE OF FILING: __X__ ORIGINAL  _____ UPDATED  _____ REVISED</v>
      </c>
      <c r="G51" s="34"/>
      <c r="H51" s="34" t="s">
        <v>175</v>
      </c>
    </row>
    <row r="52" spans="1:8" s="28" customFormat="1" ht="20.100000000000001" customHeight="1">
      <c r="A52" s="27" t="str">
        <f>$A$8</f>
        <v>WORKPAPER REFERENCE NO(S).:</v>
      </c>
      <c r="B52" s="27"/>
      <c r="F52" s="27"/>
      <c r="G52" s="35"/>
      <c r="H52" s="35" t="str">
        <f>$H$8</f>
        <v>WITNESS:   C. M. GARRETT</v>
      </c>
    </row>
    <row r="53" spans="1:8" s="28" customFormat="1" ht="20.100000000000001" customHeight="1"/>
    <row r="54" spans="1:8" ht="58.5" customHeight="1">
      <c r="A54" s="36" t="s">
        <v>134</v>
      </c>
      <c r="B54" s="36" t="s">
        <v>137</v>
      </c>
      <c r="C54" s="39" t="s">
        <v>138</v>
      </c>
      <c r="D54" s="36" t="s">
        <v>139</v>
      </c>
      <c r="E54" s="36" t="s">
        <v>140</v>
      </c>
      <c r="F54" s="36" t="s">
        <v>141</v>
      </c>
      <c r="G54" s="36" t="s">
        <v>143</v>
      </c>
      <c r="H54" s="36" t="s">
        <v>144</v>
      </c>
    </row>
    <row r="55" spans="1:8" ht="23.1" customHeight="1">
      <c r="A55" s="40"/>
      <c r="B55" s="40"/>
      <c r="C55" s="41"/>
      <c r="D55" s="42" t="s">
        <v>145</v>
      </c>
      <c r="E55" s="42" t="s">
        <v>145</v>
      </c>
      <c r="F55" s="42" t="s">
        <v>145</v>
      </c>
      <c r="G55" s="42" t="s">
        <v>145</v>
      </c>
      <c r="H55" s="42" t="s">
        <v>145</v>
      </c>
    </row>
    <row r="56" spans="1:8" ht="18.95" customHeight="1">
      <c r="A56" s="30">
        <f>A44+1</f>
        <v>30</v>
      </c>
      <c r="B56" s="31" t="s">
        <v>1710</v>
      </c>
      <c r="C56" s="38" t="s">
        <v>1711</v>
      </c>
      <c r="D56" s="53">
        <f>SUMIFS('PIS B'!$D$11:$D$338,'PIS B'!$B$11:$B$338,'SCH B-2.3 B'!$B56)</f>
        <v>172529396.389999</v>
      </c>
      <c r="E56" s="53">
        <f>SUMIFS('PIS B'!$F$11:$F$338,'PIS B'!$B$11:$B$338,'SCH B-2.3 B'!$B56)</f>
        <v>-41425535.460000008</v>
      </c>
      <c r="F56" s="53">
        <f>SUMIFS('PIS B'!$H$11:$H$338,'PIS B'!$B$11:$B$338,'SCH B-2.3 B'!$B56)</f>
        <v>-370394.99</v>
      </c>
      <c r="G56" s="53">
        <f>SUMIFS('PIS B'!$J$11:$J$338,'PIS B'!$B$11:$B$338,'SCH B-2.3 B'!$B56)</f>
        <v>0</v>
      </c>
      <c r="H56" s="53">
        <f t="shared" si="6"/>
        <v>130733465.939999</v>
      </c>
    </row>
    <row r="57" spans="1:8" ht="18.95" customHeight="1">
      <c r="A57" s="30">
        <f t="shared" si="0"/>
        <v>31</v>
      </c>
      <c r="B57" s="31" t="s">
        <v>1712</v>
      </c>
      <c r="C57" s="38" t="s">
        <v>1686</v>
      </c>
      <c r="D57" s="53">
        <f>SUMIFS('PIS B'!$D$11:$D$338,'PIS B'!$B$11:$B$338,'SCH B-2.3 B'!$B57)</f>
        <v>73546590.530000001</v>
      </c>
      <c r="E57" s="53">
        <f>SUMIFS('PIS B'!$F$11:$F$338,'PIS B'!$B$11:$B$338,'SCH B-2.3 B'!$B57)</f>
        <v>-6221421.7999999998</v>
      </c>
      <c r="F57" s="53">
        <f>SUMIFS('PIS B'!$H$11:$H$338,'PIS B'!$B$11:$B$338,'SCH B-2.3 B'!$B57)</f>
        <v>0</v>
      </c>
      <c r="G57" s="53">
        <f>SUMIFS('PIS B'!$J$11:$J$338,'PIS B'!$B$11:$B$338,'SCH B-2.3 B'!$B57)</f>
        <v>0</v>
      </c>
      <c r="H57" s="53">
        <f t="shared" si="6"/>
        <v>67325168.730000004</v>
      </c>
    </row>
    <row r="58" spans="1:8" ht="18.95" customHeight="1">
      <c r="A58" s="30">
        <f t="shared" si="0"/>
        <v>32</v>
      </c>
      <c r="B58" s="31" t="s">
        <v>1713</v>
      </c>
      <c r="C58" s="38" t="s">
        <v>1698</v>
      </c>
      <c r="D58" s="53">
        <f>SUMIFS('PIS B'!$D$11:$D$338,'PIS B'!$B$11:$B$338,'SCH B-2.3 B'!$B58)</f>
        <v>5655608.4400000004</v>
      </c>
      <c r="E58" s="53">
        <f>SUMIFS('PIS B'!$F$11:$F$338,'PIS B'!$B$11:$B$338,'SCH B-2.3 B'!$B58)</f>
        <v>3461465.78</v>
      </c>
      <c r="F58" s="53">
        <f>SUMIFS('PIS B'!$H$11:$H$338,'PIS B'!$B$11:$B$338,'SCH B-2.3 B'!$B58)</f>
        <v>-7505.72</v>
      </c>
      <c r="G58" s="53">
        <f>SUMIFS('PIS B'!$J$11:$J$338,'PIS B'!$B$11:$B$338,'SCH B-2.3 B'!$B58)</f>
        <v>0</v>
      </c>
      <c r="H58" s="53">
        <f t="shared" si="6"/>
        <v>9109568.5</v>
      </c>
    </row>
    <row r="59" spans="1:8" ht="18.95" customHeight="1">
      <c r="A59" s="30">
        <f t="shared" si="0"/>
        <v>33</v>
      </c>
      <c r="B59" s="31" t="s">
        <v>1714</v>
      </c>
      <c r="C59" s="38" t="s">
        <v>1749</v>
      </c>
      <c r="D59" s="54">
        <f>SUMIFS('PIS B'!$D$11:$D$338,'PIS B'!$B$11:$B$338,'SCH B-2.3 B'!$B59)</f>
        <v>403344.08999999997</v>
      </c>
      <c r="E59" s="54">
        <f>SUMIFS('PIS B'!$F$11:$F$338,'PIS B'!$B$11:$B$338,'SCH B-2.3 B'!$B59)</f>
        <v>0</v>
      </c>
      <c r="F59" s="54">
        <f>SUMIFS('PIS B'!$H$11:$H$338,'PIS B'!$B$11:$B$338,'SCH B-2.3 B'!$B59)</f>
        <v>0</v>
      </c>
      <c r="G59" s="54">
        <f>SUMIFS('PIS B'!$J$11:$J$338,'PIS B'!$B$11:$B$338,'SCH B-2.3 B'!$B59)</f>
        <v>0</v>
      </c>
      <c r="H59" s="54">
        <f t="shared" si="6"/>
        <v>403344.08999999997</v>
      </c>
    </row>
    <row r="60" spans="1:8" ht="18.95" customHeight="1">
      <c r="A60" s="30">
        <f t="shared" si="0"/>
        <v>34</v>
      </c>
      <c r="C60" s="38" t="s">
        <v>148</v>
      </c>
      <c r="D60" s="51">
        <f>SUM(D41:D44,D56:D59)</f>
        <v>969774563.87999797</v>
      </c>
      <c r="E60" s="51">
        <f t="shared" ref="E60:H60" si="7">SUM(E41:E44,E56:E59)</f>
        <v>32779514.539999988</v>
      </c>
      <c r="F60" s="51">
        <f t="shared" si="7"/>
        <v>-560633.3899999999</v>
      </c>
      <c r="G60" s="51">
        <f t="shared" si="7"/>
        <v>162070.19</v>
      </c>
      <c r="H60" s="51">
        <f t="shared" si="7"/>
        <v>1002155515.2199979</v>
      </c>
    </row>
    <row r="61" spans="1:8" ht="18.95" customHeight="1">
      <c r="A61" s="30"/>
    </row>
    <row r="62" spans="1:8" ht="18.95" customHeight="1">
      <c r="A62" s="30">
        <f>A60+1</f>
        <v>35</v>
      </c>
      <c r="C62" s="55" t="s">
        <v>86</v>
      </c>
    </row>
    <row r="63" spans="1:8" ht="18.95" customHeight="1">
      <c r="A63" s="30">
        <f t="shared" si="0"/>
        <v>36</v>
      </c>
      <c r="B63" s="31" t="s">
        <v>1715</v>
      </c>
      <c r="C63" s="38" t="s">
        <v>157</v>
      </c>
      <c r="D63" s="53">
        <f>SUMIFS('PIS B'!$D$11:$D$338,'PIS B'!$B$11:$B$338,'SCH B-2.3 B'!$B63)</f>
        <v>31789265.370000001</v>
      </c>
      <c r="E63" s="53">
        <f>SUMIFS('PIS B'!$F$11:$F$338,'PIS B'!$B$11:$B$338,'SCH B-2.3 B'!$B63)</f>
        <v>0</v>
      </c>
      <c r="F63" s="53">
        <f>SUMIFS('PIS B'!$H$11:$H$338,'PIS B'!$B$11:$B$338,'SCH B-2.3 B'!$B63)</f>
        <v>0</v>
      </c>
      <c r="G63" s="53">
        <f>SUMIFS('PIS B'!$J$11:$J$338,'PIS B'!$B$11:$B$338,'SCH B-2.3 B'!$B63)</f>
        <v>0</v>
      </c>
      <c r="H63" s="53">
        <f t="shared" ref="H63:H71" si="8">SUM(D63:G63)</f>
        <v>31789265.370000001</v>
      </c>
    </row>
    <row r="64" spans="1:8" ht="18.95" customHeight="1">
      <c r="A64" s="30">
        <f t="shared" si="0"/>
        <v>37</v>
      </c>
      <c r="B64" s="31" t="s">
        <v>1716</v>
      </c>
      <c r="C64" s="38" t="s">
        <v>151</v>
      </c>
      <c r="D64" s="53">
        <f>SUMIFS('PIS B'!$D$11:$D$338,'PIS B'!$B$11:$B$338,'SCH B-2.3 B'!$B64)</f>
        <v>25510117.330000002</v>
      </c>
      <c r="E64" s="53">
        <f>SUMIFS('PIS B'!$F$11:$F$338,'PIS B'!$B$11:$B$338,'SCH B-2.3 B'!$B64)</f>
        <v>3328398.4199999985</v>
      </c>
      <c r="F64" s="53">
        <f>SUMIFS('PIS B'!$H$11:$H$338,'PIS B'!$B$11:$B$338,'SCH B-2.3 B'!$B64)</f>
        <v>-8794.34</v>
      </c>
      <c r="G64" s="53">
        <f>SUMIFS('PIS B'!$J$11:$J$338,'PIS B'!$B$11:$B$338,'SCH B-2.3 B'!$B64)</f>
        <v>0</v>
      </c>
      <c r="H64" s="53">
        <f t="shared" si="8"/>
        <v>28829721.41</v>
      </c>
    </row>
    <row r="65" spans="1:8" ht="18.95" customHeight="1">
      <c r="A65" s="30">
        <f t="shared" si="0"/>
        <v>38</v>
      </c>
      <c r="B65" s="31" t="s">
        <v>1717</v>
      </c>
      <c r="C65" s="38" t="s">
        <v>152</v>
      </c>
      <c r="D65" s="53">
        <f>SUMIFS('PIS B'!$D$11:$D$338,'PIS B'!$B$11:$B$338,'SCH B-2.3 B'!$B65)</f>
        <v>266144623.70999998</v>
      </c>
      <c r="E65" s="53">
        <f>SUMIFS('PIS B'!$F$11:$F$338,'PIS B'!$B$11:$B$338,'SCH B-2.3 B'!$B65)</f>
        <v>34061172.719999976</v>
      </c>
      <c r="F65" s="53">
        <f>SUMIFS('PIS B'!$H$11:$H$338,'PIS B'!$B$11:$B$338,'SCH B-2.3 B'!$B65)</f>
        <v>-1277560.5499999998</v>
      </c>
      <c r="G65" s="53">
        <f>SUMIFS('PIS B'!$J$11:$J$338,'PIS B'!$B$11:$B$338,'SCH B-2.3 B'!$B65)</f>
        <v>306616.83</v>
      </c>
      <c r="H65" s="53">
        <f t="shared" si="8"/>
        <v>299234852.70999992</v>
      </c>
    </row>
    <row r="66" spans="1:8" ht="18.95" customHeight="1">
      <c r="A66" s="30">
        <f t="shared" si="0"/>
        <v>39</v>
      </c>
      <c r="B66" s="31" t="s">
        <v>1718</v>
      </c>
      <c r="C66" s="38" t="s">
        <v>1719</v>
      </c>
      <c r="D66" s="53">
        <f>SUMIFS('PIS B'!$D$11:$D$338,'PIS B'!$B$11:$B$338,'SCH B-2.3 B'!$B66)</f>
        <v>76386995.719999999</v>
      </c>
      <c r="E66" s="53">
        <f>SUMIFS('PIS B'!$F$11:$F$338,'PIS B'!$B$11:$B$338,'SCH B-2.3 B'!$B66)</f>
        <v>2911.85</v>
      </c>
      <c r="F66" s="53">
        <f>SUMIFS('PIS B'!$H$11:$H$338,'PIS B'!$B$11:$B$338,'SCH B-2.3 B'!$B66)</f>
        <v>-18894.93</v>
      </c>
      <c r="G66" s="53">
        <f>SUMIFS('PIS B'!$J$11:$J$338,'PIS B'!$B$11:$B$338,'SCH B-2.3 B'!$B66)</f>
        <v>0</v>
      </c>
      <c r="H66" s="53">
        <f t="shared" si="8"/>
        <v>76371012.639999986</v>
      </c>
    </row>
    <row r="67" spans="1:8" ht="18.95" customHeight="1">
      <c r="A67" s="30">
        <f t="shared" si="0"/>
        <v>40</v>
      </c>
      <c r="B67" s="31" t="s">
        <v>1720</v>
      </c>
      <c r="C67" s="38" t="s">
        <v>1721</v>
      </c>
      <c r="D67" s="53">
        <f>SUMIFS('PIS B'!$D$11:$D$338,'PIS B'!$B$11:$B$338,'SCH B-2.3 B'!$B67)</f>
        <v>231267996.77000001</v>
      </c>
      <c r="E67" s="53">
        <f>SUMIFS('PIS B'!$F$11:$F$338,'PIS B'!$B$11:$B$338,'SCH B-2.3 B'!$B67)</f>
        <v>56636547.839999989</v>
      </c>
      <c r="F67" s="53">
        <f>SUMIFS('PIS B'!$H$11:$H$338,'PIS B'!$B$11:$B$338,'SCH B-2.3 B'!$B67)</f>
        <v>-1743504.2200000002</v>
      </c>
      <c r="G67" s="53">
        <f>SUMIFS('PIS B'!$J$11:$J$338,'PIS B'!$B$11:$B$338,'SCH B-2.3 B'!$B67)</f>
        <v>-136459.46</v>
      </c>
      <c r="H67" s="53">
        <f t="shared" si="8"/>
        <v>286024580.93000001</v>
      </c>
    </row>
    <row r="68" spans="1:8" ht="18.95" customHeight="1">
      <c r="A68" s="30">
        <f t="shared" si="0"/>
        <v>41</v>
      </c>
      <c r="B68" s="31" t="s">
        <v>1722</v>
      </c>
      <c r="C68" s="38" t="s">
        <v>1723</v>
      </c>
      <c r="D68" s="53">
        <f>SUMIFS('PIS B'!$D$11:$D$338,'PIS B'!$B$11:$B$338,'SCH B-2.3 B'!$B68)</f>
        <v>179410948.17999896</v>
      </c>
      <c r="E68" s="53">
        <f>SUMIFS('PIS B'!$F$11:$F$338,'PIS B'!$B$11:$B$338,'SCH B-2.3 B'!$B68)</f>
        <v>3812705.3400000008</v>
      </c>
      <c r="F68" s="53">
        <f>SUMIFS('PIS B'!$H$11:$H$338,'PIS B'!$B$11:$B$338,'SCH B-2.3 B'!$B68)</f>
        <v>-1192260.2800000003</v>
      </c>
      <c r="G68" s="53">
        <f>SUMIFS('PIS B'!$J$11:$J$338,'PIS B'!$B$11:$B$338,'SCH B-2.3 B'!$B68)</f>
        <v>0</v>
      </c>
      <c r="H68" s="53">
        <f t="shared" si="8"/>
        <v>182031393.23999897</v>
      </c>
    </row>
    <row r="69" spans="1:8" ht="18.95" customHeight="1">
      <c r="A69" s="30">
        <f t="shared" si="0"/>
        <v>42</v>
      </c>
      <c r="B69" s="31" t="s">
        <v>1724</v>
      </c>
      <c r="C69" s="38" t="s">
        <v>1725</v>
      </c>
      <c r="D69" s="53">
        <f>SUMIFS('PIS B'!$D$11:$D$338,'PIS B'!$B$11:$B$338,'SCH B-2.3 B'!$B69)</f>
        <v>448760.26</v>
      </c>
      <c r="E69" s="53">
        <f>SUMIFS('PIS B'!$F$11:$F$338,'PIS B'!$B$11:$B$338,'SCH B-2.3 B'!$B69)</f>
        <v>0</v>
      </c>
      <c r="F69" s="53">
        <f>SUMIFS('PIS B'!$H$11:$H$338,'PIS B'!$B$11:$B$338,'SCH B-2.3 B'!$B69)</f>
        <v>0</v>
      </c>
      <c r="G69" s="53">
        <f>SUMIFS('PIS B'!$J$11:$J$338,'PIS B'!$B$11:$B$338,'SCH B-2.3 B'!$B69)</f>
        <v>0</v>
      </c>
      <c r="H69" s="53">
        <f t="shared" si="8"/>
        <v>448760.26</v>
      </c>
    </row>
    <row r="70" spans="1:8" ht="18.95" customHeight="1">
      <c r="A70" s="30">
        <f t="shared" si="0"/>
        <v>43</v>
      </c>
      <c r="B70" s="31" t="s">
        <v>1726</v>
      </c>
      <c r="C70" s="38" t="s">
        <v>1727</v>
      </c>
      <c r="D70" s="53">
        <f>SUMIFS('PIS B'!$D$11:$D$338,'PIS B'!$B$11:$B$338,'SCH B-2.3 B'!$B70)</f>
        <v>1173303.32</v>
      </c>
      <c r="E70" s="53">
        <f>SUMIFS('PIS B'!$F$11:$F$338,'PIS B'!$B$11:$B$338,'SCH B-2.3 B'!$B70)</f>
        <v>0</v>
      </c>
      <c r="F70" s="53">
        <f>SUMIFS('PIS B'!$H$11:$H$338,'PIS B'!$B$11:$B$338,'SCH B-2.3 B'!$B70)</f>
        <v>-2412.09</v>
      </c>
      <c r="G70" s="53">
        <f>SUMIFS('PIS B'!$J$11:$J$338,'PIS B'!$B$11:$B$338,'SCH B-2.3 B'!$B70)</f>
        <v>-54177.149999999994</v>
      </c>
      <c r="H70" s="53">
        <f t="shared" si="8"/>
        <v>1116714.08</v>
      </c>
    </row>
    <row r="71" spans="1:8" ht="18.95" customHeight="1">
      <c r="A71" s="30">
        <f t="shared" si="0"/>
        <v>44</v>
      </c>
      <c r="B71" s="31" t="s">
        <v>1728</v>
      </c>
      <c r="C71" s="38" t="s">
        <v>155</v>
      </c>
      <c r="D71" s="54">
        <f>SUMIFS('PIS B'!$D$11:$D$338,'PIS B'!$B$11:$B$338,'SCH B-2.3 B'!$B71)</f>
        <v>413450.63</v>
      </c>
      <c r="E71" s="54">
        <f>SUMIFS('PIS B'!$F$11:$F$338,'PIS B'!$B$11:$B$338,'SCH B-2.3 B'!$B71)</f>
        <v>0</v>
      </c>
      <c r="F71" s="54">
        <f>SUMIFS('PIS B'!$H$11:$H$338,'PIS B'!$B$11:$B$338,'SCH B-2.3 B'!$B71)</f>
        <v>0</v>
      </c>
      <c r="G71" s="54">
        <f>SUMIFS('PIS B'!$J$11:$J$338,'PIS B'!$B$11:$B$338,'SCH B-2.3 B'!$B71)</f>
        <v>0</v>
      </c>
      <c r="H71" s="54">
        <f t="shared" si="8"/>
        <v>413450.63</v>
      </c>
    </row>
    <row r="72" spans="1:8" ht="18.95" customHeight="1">
      <c r="A72" s="30">
        <f t="shared" si="0"/>
        <v>45</v>
      </c>
      <c r="C72" s="38" t="s">
        <v>153</v>
      </c>
      <c r="D72" s="51">
        <f>SUM(D63:D71)</f>
        <v>812545461.28999901</v>
      </c>
      <c r="E72" s="51">
        <f t="shared" ref="E72:H72" si="9">SUM(E63:E71)</f>
        <v>97841736.169999972</v>
      </c>
      <c r="F72" s="51">
        <f t="shared" si="9"/>
        <v>-4243426.41</v>
      </c>
      <c r="G72" s="51">
        <f t="shared" si="9"/>
        <v>115980.22000000003</v>
      </c>
      <c r="H72" s="51">
        <f t="shared" si="9"/>
        <v>906259751.26999891</v>
      </c>
    </row>
    <row r="73" spans="1:8" ht="18.95" customHeight="1">
      <c r="A73" s="30"/>
      <c r="B73" s="31"/>
    </row>
    <row r="74" spans="1:8" ht="18.95" customHeight="1">
      <c r="A74" s="30">
        <f>A72+1</f>
        <v>46</v>
      </c>
      <c r="B74" s="31" t="s">
        <v>254</v>
      </c>
      <c r="C74" s="55" t="s">
        <v>16</v>
      </c>
    </row>
    <row r="75" spans="1:8" ht="18.95" customHeight="1">
      <c r="A75" s="30">
        <f t="shared" si="0"/>
        <v>47</v>
      </c>
      <c r="B75" s="31" t="s">
        <v>1729</v>
      </c>
      <c r="C75" s="38" t="s">
        <v>157</v>
      </c>
      <c r="D75" s="53">
        <f>SUMIFS('PIS B'!$D$11:$D$338,'PIS B'!$B$11:$B$338,'SCH B-2.3 B'!$B75)</f>
        <v>7842857.2599999914</v>
      </c>
      <c r="E75" s="53">
        <f>SUMIFS('PIS B'!$F$11:$F$338,'PIS B'!$B$11:$B$338,'SCH B-2.3 B'!$B75)</f>
        <v>897070.85000000009</v>
      </c>
      <c r="F75" s="53">
        <f>SUMIFS('PIS B'!$H$11:$H$338,'PIS B'!$B$11:$B$338,'SCH B-2.3 B'!$B75)</f>
        <v>0</v>
      </c>
      <c r="G75" s="53">
        <f>SUMIFS('PIS B'!$J$11:$J$338,'PIS B'!$B$11:$B$338,'SCH B-2.3 B'!$B75)</f>
        <v>-113882.25</v>
      </c>
      <c r="H75" s="53">
        <f t="shared" ref="H75:H87" si="10">SUM(D75:G75)</f>
        <v>8626045.859999992</v>
      </c>
    </row>
    <row r="76" spans="1:8" ht="18.95" customHeight="1">
      <c r="A76" s="30">
        <f t="shared" si="0"/>
        <v>48</v>
      </c>
      <c r="B76" s="31" t="s">
        <v>1730</v>
      </c>
      <c r="C76" s="38" t="s">
        <v>151</v>
      </c>
      <c r="D76" s="53">
        <f>SUMIFS('PIS B'!$D$11:$D$338,'PIS B'!$B$11:$B$338,'SCH B-2.3 B'!$B76)</f>
        <v>12363663.980000002</v>
      </c>
      <c r="E76" s="53">
        <f>SUMIFS('PIS B'!$F$11:$F$338,'PIS B'!$B$11:$B$338,'SCH B-2.3 B'!$B76)</f>
        <v>156279.53</v>
      </c>
      <c r="F76" s="53">
        <f>SUMIFS('PIS B'!$H$11:$H$338,'PIS B'!$B$11:$B$338,'SCH B-2.3 B'!$B76)</f>
        <v>-10279.950000000001</v>
      </c>
      <c r="G76" s="53">
        <f>SUMIFS('PIS B'!$J$11:$J$338,'PIS B'!$B$11:$B$338,'SCH B-2.3 B'!$B76)</f>
        <v>0</v>
      </c>
      <c r="H76" s="53">
        <f t="shared" si="10"/>
        <v>12509663.560000002</v>
      </c>
    </row>
    <row r="77" spans="1:8" ht="18.95" customHeight="1">
      <c r="A77" s="30">
        <f t="shared" si="0"/>
        <v>49</v>
      </c>
      <c r="B77" s="31" t="s">
        <v>1731</v>
      </c>
      <c r="C77" s="38" t="s">
        <v>1732</v>
      </c>
      <c r="D77" s="53">
        <f>SUMIFS('PIS B'!$D$11:$D$338,'PIS B'!$B$11:$B$338,'SCH B-2.3 B'!$B77)</f>
        <v>177353780.30000001</v>
      </c>
      <c r="E77" s="53">
        <f>SUMIFS('PIS B'!$F$11:$F$338,'PIS B'!$B$11:$B$338,'SCH B-2.3 B'!$B77)</f>
        <v>14674425.34</v>
      </c>
      <c r="F77" s="53">
        <f>SUMIFS('PIS B'!$H$11:$H$338,'PIS B'!$B$11:$B$338,'SCH B-2.3 B'!$B77)</f>
        <v>-890069.70000000007</v>
      </c>
      <c r="G77" s="53">
        <f>SUMIFS('PIS B'!$J$11:$J$338,'PIS B'!$B$11:$B$338,'SCH B-2.3 B'!$B77)</f>
        <v>-170157.37</v>
      </c>
      <c r="H77" s="53">
        <f t="shared" si="10"/>
        <v>190967978.57000002</v>
      </c>
    </row>
    <row r="78" spans="1:8" ht="18.95" customHeight="1">
      <c r="A78" s="30">
        <f t="shared" si="0"/>
        <v>50</v>
      </c>
      <c r="B78" s="31" t="s">
        <v>1733</v>
      </c>
      <c r="C78" s="38" t="s">
        <v>1734</v>
      </c>
      <c r="D78" s="53">
        <f>SUMIFS('PIS B'!$D$11:$D$338,'PIS B'!$B$11:$B$338,'SCH B-2.3 B'!$B78)</f>
        <v>363606044.97000003</v>
      </c>
      <c r="E78" s="53">
        <f>SUMIFS('PIS B'!$F$11:$F$338,'PIS B'!$B$11:$B$338,'SCH B-2.3 B'!$B78)</f>
        <v>15500444.729999999</v>
      </c>
      <c r="F78" s="53">
        <f>SUMIFS('PIS B'!$H$11:$H$338,'PIS B'!$B$11:$B$338,'SCH B-2.3 B'!$B78)</f>
        <v>-2060002.18</v>
      </c>
      <c r="G78" s="53">
        <f>SUMIFS('PIS B'!$J$11:$J$338,'PIS B'!$B$11:$B$338,'SCH B-2.3 B'!$B78)</f>
        <v>0</v>
      </c>
      <c r="H78" s="53">
        <f t="shared" si="10"/>
        <v>377046487.52000004</v>
      </c>
    </row>
    <row r="79" spans="1:8" ht="18.95" customHeight="1">
      <c r="A79" s="30">
        <f t="shared" si="0"/>
        <v>51</v>
      </c>
      <c r="B79" s="31" t="s">
        <v>1735</v>
      </c>
      <c r="C79" s="38" t="s">
        <v>1723</v>
      </c>
      <c r="D79" s="53">
        <f>SUMIFS('PIS B'!$D$11:$D$338,'PIS B'!$B$11:$B$338,'SCH B-2.3 B'!$B79)</f>
        <v>347947250.56000006</v>
      </c>
      <c r="E79" s="53">
        <f>SUMIFS('PIS B'!$F$11:$F$338,'PIS B'!$B$11:$B$338,'SCH B-2.3 B'!$B79)</f>
        <v>31764800.24999997</v>
      </c>
      <c r="F79" s="53">
        <f>SUMIFS('PIS B'!$H$11:$H$338,'PIS B'!$B$11:$B$338,'SCH B-2.3 B'!$B79)</f>
        <v>-10380379.989999998</v>
      </c>
      <c r="G79" s="53">
        <f>SUMIFS('PIS B'!$J$11:$J$338,'PIS B'!$B$11:$B$338,'SCH B-2.3 B'!$B79)</f>
        <v>54177.149999999994</v>
      </c>
      <c r="H79" s="53">
        <f t="shared" si="10"/>
        <v>369385847.97000003</v>
      </c>
    </row>
    <row r="80" spans="1:8" ht="18.95" customHeight="1">
      <c r="A80" s="30">
        <f t="shared" si="0"/>
        <v>52</v>
      </c>
      <c r="B80" s="31" t="s">
        <v>1736</v>
      </c>
      <c r="C80" s="38" t="s">
        <v>1725</v>
      </c>
      <c r="D80" s="53">
        <f>SUMIFS('PIS B'!$D$11:$D$338,'PIS B'!$B$11:$B$338,'SCH B-2.3 B'!$B80)</f>
        <v>2175967.46</v>
      </c>
      <c r="E80" s="53">
        <f>SUMIFS('PIS B'!$F$11:$F$338,'PIS B'!$B$11:$B$338,'SCH B-2.3 B'!$B80)</f>
        <v>207446.27</v>
      </c>
      <c r="F80" s="53">
        <f>SUMIFS('PIS B'!$H$11:$H$338,'PIS B'!$B$11:$B$338,'SCH B-2.3 B'!$B80)</f>
        <v>-2186.06</v>
      </c>
      <c r="G80" s="53">
        <f>SUMIFS('PIS B'!$J$11:$J$338,'PIS B'!$B$11:$B$338,'SCH B-2.3 B'!$B80)</f>
        <v>0</v>
      </c>
      <c r="H80" s="53">
        <f t="shared" si="10"/>
        <v>2381227.67</v>
      </c>
    </row>
    <row r="81" spans="1:8" ht="18.95" customHeight="1">
      <c r="A81" s="30">
        <f t="shared" si="0"/>
        <v>53</v>
      </c>
      <c r="B81" s="31" t="s">
        <v>1737</v>
      </c>
      <c r="C81" s="38" t="s">
        <v>1727</v>
      </c>
      <c r="D81" s="53">
        <f>SUMIFS('PIS B'!$D$11:$D$338,'PIS B'!$B$11:$B$338,'SCH B-2.3 B'!$B81)</f>
        <v>183771556.08000001</v>
      </c>
      <c r="E81" s="53">
        <f>SUMIFS('PIS B'!$F$11:$F$338,'PIS B'!$B$11:$B$338,'SCH B-2.3 B'!$B81)</f>
        <v>9872280.6600000001</v>
      </c>
      <c r="F81" s="53">
        <f>SUMIFS('PIS B'!$H$11:$H$338,'PIS B'!$B$11:$B$338,'SCH B-2.3 B'!$B81)</f>
        <v>-689072.75000000012</v>
      </c>
      <c r="G81" s="53">
        <f>SUMIFS('PIS B'!$J$11:$J$338,'PIS B'!$B$11:$B$338,'SCH B-2.3 B'!$B81)</f>
        <v>0</v>
      </c>
      <c r="H81" s="53">
        <f t="shared" si="10"/>
        <v>192954763.99000001</v>
      </c>
    </row>
    <row r="82" spans="1:8" ht="18.95" customHeight="1">
      <c r="A82" s="30">
        <f t="shared" si="0"/>
        <v>54</v>
      </c>
      <c r="B82" s="31" t="s">
        <v>1738</v>
      </c>
      <c r="C82" s="38" t="s">
        <v>1739</v>
      </c>
      <c r="D82" s="53">
        <f>SUMIFS('PIS B'!$D$11:$D$338,'PIS B'!$B$11:$B$338,'SCH B-2.3 B'!$B82)</f>
        <v>308657327.31999999</v>
      </c>
      <c r="E82" s="53">
        <f>SUMIFS('PIS B'!$F$11:$F$338,'PIS B'!$B$11:$B$338,'SCH B-2.3 B'!$B82)</f>
        <v>8810906.9800000004</v>
      </c>
      <c r="F82" s="53">
        <f>SUMIFS('PIS B'!$H$11:$H$338,'PIS B'!$B$11:$B$338,'SCH B-2.3 B'!$B82)</f>
        <v>-2198631.7800000003</v>
      </c>
      <c r="G82" s="53">
        <f>SUMIFS('PIS B'!$J$11:$J$338,'PIS B'!$B$11:$B$338,'SCH B-2.3 B'!$B82)</f>
        <v>0</v>
      </c>
      <c r="H82" s="53">
        <f t="shared" si="10"/>
        <v>315269602.52000004</v>
      </c>
    </row>
    <row r="83" spans="1:8" ht="18.95" customHeight="1">
      <c r="A83" s="30">
        <f t="shared" si="0"/>
        <v>55</v>
      </c>
      <c r="B83" s="31" t="s">
        <v>1740</v>
      </c>
      <c r="C83" s="38" t="s">
        <v>1741</v>
      </c>
      <c r="D83" s="53">
        <f>SUMIFS('PIS B'!$D$11:$D$338,'PIS B'!$B$11:$B$338,'SCH B-2.3 B'!$B83)</f>
        <v>94952824.530000016</v>
      </c>
      <c r="E83" s="53">
        <f>SUMIFS('PIS B'!$F$11:$F$338,'PIS B'!$B$11:$B$338,'SCH B-2.3 B'!$B83)</f>
        <v>8040797.3399999989</v>
      </c>
      <c r="F83" s="53">
        <f>SUMIFS('PIS B'!$H$11:$H$338,'PIS B'!$B$11:$B$338,'SCH B-2.3 B'!$B83)</f>
        <v>-231803.14</v>
      </c>
      <c r="G83" s="53">
        <f>SUMIFS('PIS B'!$J$11:$J$338,'PIS B'!$B$11:$B$338,'SCH B-2.3 B'!$B83)</f>
        <v>0</v>
      </c>
      <c r="H83" s="53">
        <f t="shared" si="10"/>
        <v>102761818.73000002</v>
      </c>
    </row>
    <row r="84" spans="1:8" ht="18.95" customHeight="1">
      <c r="A84" s="30">
        <f>A83+1</f>
        <v>56</v>
      </c>
      <c r="B84" s="31" t="s">
        <v>1742</v>
      </c>
      <c r="C84" s="38" t="s">
        <v>1743</v>
      </c>
      <c r="D84" s="53">
        <f>SUMIFS('PIS B'!$D$11:$D$338,'PIS B'!$B$11:$B$338,'SCH B-2.3 B'!$B84)</f>
        <v>76867763.659999996</v>
      </c>
      <c r="E84" s="53">
        <f>SUMIFS('PIS B'!$F$11:$F$338,'PIS B'!$B$11:$B$338,'SCH B-2.3 B'!$B84)</f>
        <v>1731461.4900000002</v>
      </c>
      <c r="F84" s="53">
        <f>SUMIFS('PIS B'!$H$11:$H$338,'PIS B'!$B$11:$B$338,'SCH B-2.3 B'!$B84)</f>
        <v>-153454.97</v>
      </c>
      <c r="G84" s="53">
        <f>SUMIFS('PIS B'!$J$11:$J$338,'PIS B'!$B$11:$B$338,'SCH B-2.3 B'!$B84)</f>
        <v>0</v>
      </c>
      <c r="H84" s="53">
        <f t="shared" si="10"/>
        <v>78445770.179999992</v>
      </c>
    </row>
    <row r="85" spans="1:8" ht="18.95" customHeight="1">
      <c r="A85" s="30">
        <f t="shared" si="0"/>
        <v>57</v>
      </c>
      <c r="B85" s="31" t="s">
        <v>1744</v>
      </c>
      <c r="C85" s="38" t="s">
        <v>1745</v>
      </c>
      <c r="D85" s="53">
        <f>SUMIFS('PIS B'!$D$11:$D$338,'PIS B'!$B$11:$B$338,'SCH B-2.3 B'!$B85)</f>
        <v>17053369.489999998</v>
      </c>
      <c r="E85" s="53">
        <f>SUMIFS('PIS B'!$F$11:$F$338,'PIS B'!$B$11:$B$338,'SCH B-2.3 B'!$B85)</f>
        <v>209833.34000000003</v>
      </c>
      <c r="F85" s="53">
        <f>SUMIFS('PIS B'!$H$11:$H$338,'PIS B'!$B$11:$B$338,'SCH B-2.3 B'!$B85)</f>
        <v>0</v>
      </c>
      <c r="G85" s="53">
        <f>SUMIFS('PIS B'!$J$11:$J$338,'PIS B'!$B$11:$B$338,'SCH B-2.3 B'!$B85)</f>
        <v>-17057827.280000001</v>
      </c>
      <c r="H85" s="53">
        <f t="shared" si="10"/>
        <v>205375.54999999702</v>
      </c>
    </row>
    <row r="86" spans="1:8" ht="18.95" customHeight="1">
      <c r="A86" s="30">
        <f t="shared" si="0"/>
        <v>58</v>
      </c>
      <c r="B86" s="31" t="s">
        <v>1746</v>
      </c>
      <c r="C86" s="38" t="s">
        <v>1747</v>
      </c>
      <c r="D86" s="53">
        <f>SUMIFS('PIS B'!$D$11:$D$338,'PIS B'!$B$11:$B$338,'SCH B-2.3 B'!$B86)</f>
        <v>97550422.139999896</v>
      </c>
      <c r="E86" s="53">
        <f>SUMIFS('PIS B'!$F$11:$F$338,'PIS B'!$B$11:$B$338,'SCH B-2.3 B'!$B86)</f>
        <v>6503099.3600000013</v>
      </c>
      <c r="F86" s="53">
        <f>SUMIFS('PIS B'!$H$11:$H$338,'PIS B'!$B$11:$B$338,'SCH B-2.3 B'!$B86)</f>
        <v>-5702357.0599999996</v>
      </c>
      <c r="G86" s="53">
        <f>SUMIFS('PIS B'!$J$11:$J$338,'PIS B'!$B$11:$B$338,'SCH B-2.3 B'!$B86)</f>
        <v>17057827.280000001</v>
      </c>
      <c r="H86" s="53">
        <f t="shared" si="10"/>
        <v>115408991.71999989</v>
      </c>
    </row>
    <row r="87" spans="1:8" ht="18.95" customHeight="1">
      <c r="A87" s="30">
        <f t="shared" si="0"/>
        <v>59</v>
      </c>
      <c r="B87" s="31" t="s">
        <v>1748</v>
      </c>
      <c r="C87" s="38" t="s">
        <v>154</v>
      </c>
      <c r="D87" s="54">
        <f>SUMIFS('PIS B'!$D$11:$D$338,'PIS B'!$B$11:$B$338,'SCH B-2.3 B'!$B87)</f>
        <v>907695.38999999897</v>
      </c>
      <c r="E87" s="54">
        <f>SUMIFS('PIS B'!$F$11:$F$338,'PIS B'!$B$11:$B$338,'SCH B-2.3 B'!$B87)</f>
        <v>0</v>
      </c>
      <c r="F87" s="54">
        <f>SUMIFS('PIS B'!$H$11:$H$338,'PIS B'!$B$11:$B$338,'SCH B-2.3 B'!$B87)</f>
        <v>-2798.5299999999997</v>
      </c>
      <c r="G87" s="54">
        <f>SUMIFS('PIS B'!$J$11:$J$338,'PIS B'!$B$11:$B$338,'SCH B-2.3 B'!$B87)</f>
        <v>0</v>
      </c>
      <c r="H87" s="54">
        <f t="shared" si="10"/>
        <v>904896.85999999894</v>
      </c>
    </row>
    <row r="88" spans="1:8" ht="18.95" customHeight="1">
      <c r="A88" s="30">
        <f t="shared" si="0"/>
        <v>60</v>
      </c>
      <c r="B88" s="31"/>
      <c r="C88" s="38" t="s">
        <v>156</v>
      </c>
      <c r="D88" s="51">
        <f>SUM(D75:D87)</f>
        <v>1691050523.1400001</v>
      </c>
      <c r="E88" s="51">
        <f t="shared" ref="E88:H88" si="11">SUM(E75:E87)</f>
        <v>98368846.139999986</v>
      </c>
      <c r="F88" s="51">
        <f t="shared" si="11"/>
        <v>-22321036.110000003</v>
      </c>
      <c r="G88" s="51">
        <f t="shared" si="11"/>
        <v>-229862.46999999881</v>
      </c>
      <c r="H88" s="51">
        <f t="shared" si="11"/>
        <v>1766868470.6999996</v>
      </c>
    </row>
    <row r="89" spans="1:8" s="28" customFormat="1" ht="20.100000000000001" customHeight="1">
      <c r="A89" s="706" t="str">
        <f>$A$1</f>
        <v>KENTUCKY UTILITIES COMPANY</v>
      </c>
      <c r="B89" s="706"/>
      <c r="C89" s="706"/>
      <c r="D89" s="706"/>
      <c r="E89" s="706"/>
      <c r="F89" s="706"/>
      <c r="G89" s="706"/>
      <c r="H89" s="706"/>
    </row>
    <row r="90" spans="1:8" s="28" customFormat="1" ht="20.100000000000001" customHeight="1">
      <c r="A90" s="706" t="str">
        <f>$A$2</f>
        <v>CASE NO. 2016-00370</v>
      </c>
      <c r="B90" s="706"/>
      <c r="C90" s="706"/>
      <c r="D90" s="706"/>
      <c r="E90" s="706"/>
      <c r="F90" s="706"/>
      <c r="G90" s="706"/>
      <c r="H90" s="706"/>
    </row>
    <row r="91" spans="1:8" s="28" customFormat="1" ht="20.100000000000001" customHeight="1">
      <c r="A91" s="706" t="str">
        <f>$A$3</f>
        <v>GROSS ADDITIONS, RETIREMENTS, AND TRANSFERS</v>
      </c>
      <c r="B91" s="706"/>
      <c r="C91" s="706"/>
      <c r="D91" s="706"/>
      <c r="E91" s="706"/>
      <c r="F91" s="706"/>
      <c r="G91" s="706"/>
      <c r="H91" s="706"/>
    </row>
    <row r="92" spans="1:8" s="28" customFormat="1" ht="20.100000000000001" customHeight="1">
      <c r="A92" s="705" t="str">
        <f>$A$4</f>
        <v>FROM MARCH 1, 2016 TO FEBRUARY 28, 2017</v>
      </c>
      <c r="B92" s="706"/>
      <c r="C92" s="706"/>
      <c r="D92" s="706"/>
      <c r="E92" s="706"/>
      <c r="F92" s="706"/>
      <c r="G92" s="706"/>
      <c r="H92" s="706"/>
    </row>
    <row r="93" spans="1:8" s="28" customFormat="1" ht="20.100000000000001" customHeight="1">
      <c r="A93" s="44"/>
      <c r="B93" s="44"/>
      <c r="C93" s="44"/>
      <c r="D93" s="44"/>
      <c r="E93" s="44"/>
      <c r="F93" s="44"/>
      <c r="G93" s="44"/>
      <c r="H93" s="44"/>
    </row>
    <row r="94" spans="1:8" s="28" customFormat="1" ht="20.100000000000001" customHeight="1">
      <c r="A94" s="27" t="str">
        <f>$A$6</f>
        <v>DATA:__X__BASE  PERIOD____FORECASTED  PERIOD</v>
      </c>
      <c r="B94" s="27"/>
      <c r="G94" s="34"/>
      <c r="H94" s="35" t="str">
        <f>$H$6</f>
        <v>SCHEDULE B-2.3</v>
      </c>
    </row>
    <row r="95" spans="1:8" s="28" customFormat="1" ht="20.100000000000001" customHeight="1">
      <c r="A95" s="27" t="str">
        <f>$A$7</f>
        <v>TYPE OF FILING: __X__ ORIGINAL  _____ UPDATED  _____ REVISED</v>
      </c>
      <c r="G95" s="34"/>
      <c r="H95" s="34" t="s">
        <v>174</v>
      </c>
    </row>
    <row r="96" spans="1:8" s="28" customFormat="1" ht="20.100000000000001" customHeight="1">
      <c r="A96" s="27" t="str">
        <f>$A$8</f>
        <v>WORKPAPER REFERENCE NO(S).:</v>
      </c>
      <c r="B96" s="27"/>
      <c r="F96" s="27"/>
      <c r="G96" s="35"/>
      <c r="H96" s="35" t="str">
        <f>$H$8</f>
        <v>WITNESS:   C. M. GARRETT</v>
      </c>
    </row>
    <row r="97" spans="1:8" s="28" customFormat="1" ht="20.100000000000001" customHeight="1"/>
    <row r="98" spans="1:8" ht="58.5" customHeight="1">
      <c r="A98" s="36" t="s">
        <v>134</v>
      </c>
      <c r="B98" s="36" t="s">
        <v>137</v>
      </c>
      <c r="C98" s="39" t="s">
        <v>138</v>
      </c>
      <c r="D98" s="36" t="s">
        <v>139</v>
      </c>
      <c r="E98" s="36" t="s">
        <v>140</v>
      </c>
      <c r="F98" s="36" t="s">
        <v>141</v>
      </c>
      <c r="G98" s="36" t="s">
        <v>143</v>
      </c>
      <c r="H98" s="36" t="s">
        <v>144</v>
      </c>
    </row>
    <row r="99" spans="1:8" ht="23.1" customHeight="1">
      <c r="A99" s="40"/>
      <c r="B99" s="40"/>
      <c r="C99" s="41"/>
      <c r="D99" s="42" t="s">
        <v>145</v>
      </c>
      <c r="E99" s="42" t="s">
        <v>145</v>
      </c>
      <c r="F99" s="42" t="s">
        <v>145</v>
      </c>
      <c r="G99" s="42" t="s">
        <v>145</v>
      </c>
      <c r="H99" s="42" t="s">
        <v>145</v>
      </c>
    </row>
    <row r="100" spans="1:8" ht="18.95" customHeight="1">
      <c r="A100" s="30">
        <f>A88+1</f>
        <v>61</v>
      </c>
      <c r="C100" s="55" t="s">
        <v>33</v>
      </c>
    </row>
    <row r="101" spans="1:8" ht="18.95" customHeight="1">
      <c r="A101" s="30">
        <f t="shared" ref="A101:A111" si="12">A100+1</f>
        <v>62</v>
      </c>
      <c r="B101" s="31" t="s">
        <v>1750</v>
      </c>
      <c r="C101" s="38" t="s">
        <v>157</v>
      </c>
      <c r="D101" s="53">
        <f>SUMIFS('PIS B'!$D$11:$D$338,'PIS B'!$B$11:$B$338,'SCH B-2.3 B'!$B101)</f>
        <v>2810081.6</v>
      </c>
      <c r="E101" s="53">
        <f>SUMIFS('PIS B'!$F$11:$F$338,'PIS B'!$B$11:$B$338,'SCH B-2.3 B'!$B101)</f>
        <v>600710.47</v>
      </c>
      <c r="F101" s="53">
        <f>SUMIFS('PIS B'!$H$11:$H$338,'PIS B'!$B$11:$B$338,'SCH B-2.3 B'!$B101)</f>
        <v>0</v>
      </c>
      <c r="G101" s="53">
        <f>SUMIFS('PIS B'!$J$11:$J$338,'PIS B'!$B$11:$B$338,'SCH B-2.3 B'!$B101)</f>
        <v>0</v>
      </c>
      <c r="H101" s="53">
        <f t="shared" ref="H101:H110" si="13">SUM(D101:G101)</f>
        <v>3410792.0700000003</v>
      </c>
    </row>
    <row r="102" spans="1:8" ht="18.95" customHeight="1">
      <c r="A102" s="30">
        <f t="shared" si="12"/>
        <v>63</v>
      </c>
      <c r="B102" s="31" t="s">
        <v>1751</v>
      </c>
      <c r="C102" s="38" t="s">
        <v>151</v>
      </c>
      <c r="D102" s="53">
        <f>SUMIFS('PIS B'!$D$11:$D$338,'PIS B'!$B$11:$B$338,'SCH B-2.3 B'!$B102)</f>
        <v>57339357.179999992</v>
      </c>
      <c r="E102" s="53">
        <f>SUMIFS('PIS B'!$F$11:$F$338,'PIS B'!$B$11:$B$338,'SCH B-2.3 B'!$B102)</f>
        <v>4743709.7899999982</v>
      </c>
      <c r="F102" s="53">
        <f>SUMIFS('PIS B'!$H$11:$H$338,'PIS B'!$B$11:$B$338,'SCH B-2.3 B'!$B102)</f>
        <v>-324542.11000000004</v>
      </c>
      <c r="G102" s="53">
        <f>SUMIFS('PIS B'!$J$11:$J$338,'PIS B'!$B$11:$B$338,'SCH B-2.3 B'!$B102)</f>
        <v>0</v>
      </c>
      <c r="H102" s="53">
        <f t="shared" si="13"/>
        <v>61758524.859999992</v>
      </c>
    </row>
    <row r="103" spans="1:8" ht="18.95" customHeight="1">
      <c r="A103" s="30">
        <f t="shared" si="12"/>
        <v>64</v>
      </c>
      <c r="B103" s="31" t="s">
        <v>1752</v>
      </c>
      <c r="C103" s="38" t="s">
        <v>159</v>
      </c>
      <c r="D103" s="53">
        <f>SUMIFS('PIS B'!$D$11:$D$338,'PIS B'!$B$11:$B$338,'SCH B-2.3 B'!$B103)</f>
        <v>44899879.179999992</v>
      </c>
      <c r="E103" s="53">
        <f>SUMIFS('PIS B'!$F$11:$F$338,'PIS B'!$B$11:$B$338,'SCH B-2.3 B'!$B103)</f>
        <v>8902110.7099999785</v>
      </c>
      <c r="F103" s="53">
        <f>SUMIFS('PIS B'!$H$11:$H$338,'PIS B'!$B$11:$B$338,'SCH B-2.3 B'!$B103)</f>
        <v>-8755959.7200000007</v>
      </c>
      <c r="G103" s="53">
        <f>SUMIFS('PIS B'!$J$11:$J$338,'PIS B'!$B$11:$B$338,'SCH B-2.3 B'!$B103)</f>
        <v>0</v>
      </c>
      <c r="H103" s="53">
        <f t="shared" si="13"/>
        <v>45046030.169999972</v>
      </c>
    </row>
    <row r="104" spans="1:8" ht="18.95" customHeight="1">
      <c r="A104" s="30">
        <f t="shared" si="12"/>
        <v>65</v>
      </c>
      <c r="B104" s="31" t="s">
        <v>1753</v>
      </c>
      <c r="C104" s="38" t="s">
        <v>158</v>
      </c>
      <c r="D104" s="53">
        <f>SUMIFS('PIS B'!$D$11:$D$338,'PIS B'!$B$11:$B$338,'SCH B-2.3 B'!$B104)</f>
        <v>5576344.3500000006</v>
      </c>
      <c r="E104" s="53">
        <f>SUMIFS('PIS B'!$F$11:$F$338,'PIS B'!$B$11:$B$338,'SCH B-2.3 B'!$B104)</f>
        <v>1967963.8599999999</v>
      </c>
      <c r="F104" s="53">
        <f>SUMIFS('PIS B'!$H$11:$H$338,'PIS B'!$B$11:$B$338,'SCH B-2.3 B'!$B104)</f>
        <v>-266588.79000000004</v>
      </c>
      <c r="G104" s="53">
        <f>SUMIFS('PIS B'!$J$11:$J$338,'PIS B'!$B$11:$B$338,'SCH B-2.3 B'!$B104)</f>
        <v>0</v>
      </c>
      <c r="H104" s="53">
        <f t="shared" si="13"/>
        <v>7277719.4200000009</v>
      </c>
    </row>
    <row r="105" spans="1:8" ht="18.95" customHeight="1">
      <c r="A105" s="30">
        <f t="shared" si="12"/>
        <v>66</v>
      </c>
      <c r="B105" s="31" t="s">
        <v>1754</v>
      </c>
      <c r="C105" s="38" t="s">
        <v>1755</v>
      </c>
      <c r="D105" s="53">
        <f>SUMIFS('PIS B'!$D$11:$D$338,'PIS B'!$B$11:$B$338,'SCH B-2.3 B'!$B105)</f>
        <v>1507725.91</v>
      </c>
      <c r="E105" s="53">
        <f>SUMIFS('PIS B'!$F$11:$F$338,'PIS B'!$B$11:$B$338,'SCH B-2.3 B'!$B105)</f>
        <v>5915.78</v>
      </c>
      <c r="F105" s="53">
        <f>SUMIFS('PIS B'!$H$11:$H$338,'PIS B'!$B$11:$B$338,'SCH B-2.3 B'!$B105)</f>
        <v>0</v>
      </c>
      <c r="G105" s="53">
        <f>SUMIFS('PIS B'!$J$11:$J$338,'PIS B'!$B$11:$B$338,'SCH B-2.3 B'!$B105)</f>
        <v>0</v>
      </c>
      <c r="H105" s="53">
        <f t="shared" si="13"/>
        <v>1513641.69</v>
      </c>
    </row>
    <row r="106" spans="1:8" ht="18.95" customHeight="1">
      <c r="A106" s="30">
        <f t="shared" si="12"/>
        <v>67</v>
      </c>
      <c r="B106" s="31" t="s">
        <v>1756</v>
      </c>
      <c r="C106" s="38" t="s">
        <v>1757</v>
      </c>
      <c r="D106" s="53">
        <f>SUMIFS('PIS B'!$D$11:$D$338,'PIS B'!$B$11:$B$338,'SCH B-2.3 B'!$B106)</f>
        <v>12507894.640000001</v>
      </c>
      <c r="E106" s="53">
        <f>SUMIFS('PIS B'!$F$11:$F$338,'PIS B'!$B$11:$B$338,'SCH B-2.3 B'!$B106)</f>
        <v>912259.36999999895</v>
      </c>
      <c r="F106" s="53">
        <f>SUMIFS('PIS B'!$H$11:$H$338,'PIS B'!$B$11:$B$338,'SCH B-2.3 B'!$B106)</f>
        <v>-98355.680000000008</v>
      </c>
      <c r="G106" s="53">
        <f>SUMIFS('PIS B'!$J$11:$J$338,'PIS B'!$B$11:$B$338,'SCH B-2.3 B'!$B106)</f>
        <v>0</v>
      </c>
      <c r="H106" s="53">
        <f t="shared" si="13"/>
        <v>13321798.33</v>
      </c>
    </row>
    <row r="107" spans="1:8" ht="18.95" customHeight="1">
      <c r="A107" s="30">
        <f t="shared" si="12"/>
        <v>68</v>
      </c>
      <c r="B107" s="31" t="s">
        <v>1758</v>
      </c>
      <c r="C107" s="38" t="s">
        <v>1759</v>
      </c>
      <c r="D107" s="53">
        <f>SUMIFS('PIS B'!$D$11:$D$338,'PIS B'!$B$11:$B$338,'SCH B-2.3 B'!$B107)</f>
        <v>0</v>
      </c>
      <c r="E107" s="53">
        <f>SUMIFS('PIS B'!$F$11:$F$338,'PIS B'!$B$11:$B$338,'SCH B-2.3 B'!$B107)</f>
        <v>0</v>
      </c>
      <c r="F107" s="53">
        <f>SUMIFS('PIS B'!$H$11:$H$338,'PIS B'!$B$11:$B$338,'SCH B-2.3 B'!$B107)</f>
        <v>0</v>
      </c>
      <c r="G107" s="53">
        <f>SUMIFS('PIS B'!$J$11:$J$338,'PIS B'!$B$11:$B$338,'SCH B-2.3 B'!$B107)</f>
        <v>0</v>
      </c>
      <c r="H107" s="53">
        <f t="shared" si="13"/>
        <v>0</v>
      </c>
    </row>
    <row r="108" spans="1:8" ht="18.95" customHeight="1">
      <c r="A108" s="30">
        <f t="shared" si="12"/>
        <v>69</v>
      </c>
      <c r="B108" s="31" t="s">
        <v>1760</v>
      </c>
      <c r="C108" s="38" t="s">
        <v>1761</v>
      </c>
      <c r="D108" s="53">
        <f>SUMIFS('PIS B'!$D$11:$D$338,'PIS B'!$B$11:$B$338,'SCH B-2.3 B'!$B108)</f>
        <v>2278514.5999999996</v>
      </c>
      <c r="E108" s="53">
        <f>SUMIFS('PIS B'!$F$11:$F$338,'PIS B'!$B$11:$B$338,'SCH B-2.3 B'!$B108)</f>
        <v>92362.16</v>
      </c>
      <c r="F108" s="53">
        <f>SUMIFS('PIS B'!$H$11:$H$338,'PIS B'!$B$11:$B$338,'SCH B-2.3 B'!$B108)</f>
        <v>0</v>
      </c>
      <c r="G108" s="53">
        <f>SUMIFS('PIS B'!$J$11:$J$338,'PIS B'!$B$11:$B$338,'SCH B-2.3 B'!$B108)</f>
        <v>0</v>
      </c>
      <c r="H108" s="53">
        <f t="shared" si="13"/>
        <v>2370876.7599999998</v>
      </c>
    </row>
    <row r="109" spans="1:8" ht="18.95" customHeight="1">
      <c r="A109" s="30">
        <f t="shared" si="12"/>
        <v>70</v>
      </c>
      <c r="B109" s="31" t="s">
        <v>1762</v>
      </c>
      <c r="C109" s="38" t="s">
        <v>160</v>
      </c>
      <c r="D109" s="53">
        <f>SUMIFS('PIS B'!$D$11:$D$338,'PIS B'!$B$11:$B$338,'SCH B-2.3 B'!$B109)</f>
        <v>52570949.620000005</v>
      </c>
      <c r="E109" s="53">
        <f>SUMIFS('PIS B'!$F$11:$F$338,'PIS B'!$B$11:$B$338,'SCH B-2.3 B'!$B109)</f>
        <v>3400661.5499999984</v>
      </c>
      <c r="F109" s="53">
        <f>SUMIFS('PIS B'!$H$11:$H$338,'PIS B'!$B$11:$B$338,'SCH B-2.3 B'!$B109)</f>
        <v>0</v>
      </c>
      <c r="G109" s="53">
        <f>SUMIFS('PIS B'!$J$11:$J$338,'PIS B'!$B$11:$B$338,'SCH B-2.3 B'!$B109)</f>
        <v>0</v>
      </c>
      <c r="H109" s="53">
        <f t="shared" si="13"/>
        <v>55971611.170000002</v>
      </c>
    </row>
    <row r="110" spans="1:8" ht="18.95" customHeight="1">
      <c r="A110" s="30">
        <f t="shared" si="12"/>
        <v>71</v>
      </c>
      <c r="B110" s="31" t="s">
        <v>1763</v>
      </c>
      <c r="C110" s="38" t="s">
        <v>1764</v>
      </c>
      <c r="D110" s="54">
        <f>SUMIFS('PIS B'!$D$11:$D$338,'PIS B'!$B$11:$B$338,'SCH B-2.3 B'!$B110)</f>
        <v>0</v>
      </c>
      <c r="E110" s="54">
        <f>SUMIFS('PIS B'!$F$11:$F$338,'PIS B'!$B$11:$B$338,'SCH B-2.3 B'!$B110)</f>
        <v>0</v>
      </c>
      <c r="F110" s="54">
        <f>SUMIFS('PIS B'!$H$11:$H$338,'PIS B'!$B$11:$B$338,'SCH B-2.3 B'!$B110)</f>
        <v>0</v>
      </c>
      <c r="G110" s="54">
        <f>SUMIFS('PIS B'!$J$11:$J$338,'PIS B'!$B$11:$B$338,'SCH B-2.3 B'!$B110)</f>
        <v>0</v>
      </c>
      <c r="H110" s="54">
        <f t="shared" si="13"/>
        <v>0</v>
      </c>
    </row>
    <row r="111" spans="1:8" ht="18.95" customHeight="1">
      <c r="A111" s="30">
        <f t="shared" si="12"/>
        <v>72</v>
      </c>
      <c r="B111" s="31"/>
      <c r="C111" s="38" t="s">
        <v>161</v>
      </c>
      <c r="D111" s="51">
        <f>SUM(D101:D110)</f>
        <v>179490747.07999998</v>
      </c>
      <c r="E111" s="51">
        <f t="shared" ref="E111:H111" si="14">SUM(E101:E110)</f>
        <v>20625693.689999972</v>
      </c>
      <c r="F111" s="51">
        <f t="shared" si="14"/>
        <v>-9445446.3000000007</v>
      </c>
      <c r="G111" s="51">
        <f t="shared" si="14"/>
        <v>0</v>
      </c>
      <c r="H111" s="51">
        <f t="shared" si="14"/>
        <v>190670994.46999997</v>
      </c>
    </row>
    <row r="112" spans="1:8" ht="18.95" customHeight="1">
      <c r="A112" s="30"/>
      <c r="B112" s="31"/>
    </row>
    <row r="113" spans="1:8" ht="18.95" customHeight="1" thickBot="1">
      <c r="A113" s="30">
        <f>A111+1</f>
        <v>73</v>
      </c>
      <c r="B113" s="31"/>
      <c r="C113" s="28" t="s">
        <v>162</v>
      </c>
      <c r="D113" s="59">
        <f>SUM(D16,D27,D38,D60,D72,D88,D111)</f>
        <v>8857213505.2799969</v>
      </c>
      <c r="E113" s="59">
        <f>SUM(E16,E27,E38,E60,E72,E88,E111)</f>
        <v>482555368.05999982</v>
      </c>
      <c r="F113" s="59">
        <f>SUM(F16,F27,F38,F60,F72,F88,F111)</f>
        <v>-57015329.359999999</v>
      </c>
      <c r="G113" s="59">
        <f>SUM(G16,G27,G38,G60,G72,G88,G111)</f>
        <v>-113882.24999999921</v>
      </c>
      <c r="H113" s="59">
        <f>SUM(H16,H27,H38,H60,H72,H88,H111)</f>
        <v>9282639661.7299938</v>
      </c>
    </row>
    <row r="114" spans="1:8" ht="18.95" customHeight="1" thickTop="1">
      <c r="B114" s="31"/>
    </row>
    <row r="115" spans="1:8" ht="18.95" customHeight="1">
      <c r="B115" s="31"/>
      <c r="D115" s="51"/>
    </row>
    <row r="116" spans="1:8" ht="18.95" customHeight="1">
      <c r="B116" s="31"/>
      <c r="C116" s="471" t="s">
        <v>2309</v>
      </c>
      <c r="D116" s="53">
        <f>'PIS B'!D113+'PIS B'!D245+'PIS B'!D310</f>
        <v>8857213505.2799969</v>
      </c>
      <c r="H116" s="53">
        <f>'PIS B'!N113+'PIS B'!N245+'PIS B'!N310</f>
        <v>9282639661.7299976</v>
      </c>
    </row>
    <row r="117" spans="1:8" ht="18.95" customHeight="1">
      <c r="B117" s="31"/>
      <c r="D117" s="53">
        <f>D113-D116</f>
        <v>0</v>
      </c>
      <c r="H117" s="53">
        <f>H113-H116</f>
        <v>0</v>
      </c>
    </row>
    <row r="118" spans="1:8" ht="18.95" customHeight="1">
      <c r="B118" s="31"/>
    </row>
    <row r="119" spans="1:8" ht="18.95" customHeight="1">
      <c r="D119" s="29" t="s">
        <v>163</v>
      </c>
    </row>
    <row r="120" spans="1:8" ht="18.95" customHeight="1"/>
    <row r="121" spans="1:8" ht="18.95" customHeight="1"/>
    <row r="122" spans="1:8" ht="18.95" customHeight="1"/>
    <row r="123" spans="1:8" ht="18.95" customHeight="1"/>
    <row r="124" spans="1:8" ht="18.95" customHeight="1"/>
    <row r="125" spans="1:8" ht="18.95" customHeight="1"/>
    <row r="126" spans="1:8" ht="18.95" customHeight="1"/>
    <row r="127" spans="1:8" ht="18.95" customHeight="1"/>
    <row r="128" spans="1:8" ht="18.95" customHeight="1"/>
    <row r="129" ht="18.95" customHeight="1"/>
    <row r="130" ht="18.95" customHeight="1"/>
    <row r="131" ht="18.95" customHeight="1"/>
  </sheetData>
  <mergeCells count="12">
    <mergeCell ref="A1:H1"/>
    <mergeCell ref="A2:H2"/>
    <mergeCell ref="A3:H3"/>
    <mergeCell ref="A4:H4"/>
    <mergeCell ref="A89:H89"/>
    <mergeCell ref="A90:H90"/>
    <mergeCell ref="A91:H91"/>
    <mergeCell ref="A92:H92"/>
    <mergeCell ref="A45:H45"/>
    <mergeCell ref="A46:H46"/>
    <mergeCell ref="A47:H47"/>
    <mergeCell ref="A48:H48"/>
  </mergeCells>
  <pageMargins left="0.95" right="0.5" top="0.75" bottom="0.75" header="0.3" footer="0.3"/>
  <pageSetup scale="69" fitToHeight="0" orientation="portrait" r:id="rId1"/>
  <rowBreaks count="2" manualBreakCount="2">
    <brk id="44" max="16383" man="1"/>
    <brk id="88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I132"/>
  <sheetViews>
    <sheetView zoomScaleNormal="100" workbookViewId="0">
      <selection activeCell="E9" sqref="E9"/>
    </sheetView>
  </sheetViews>
  <sheetFormatPr defaultColWidth="9" defaultRowHeight="12.75"/>
  <cols>
    <col min="1" max="1" width="6" style="29" customWidth="1"/>
    <col min="2" max="2" width="7.6640625" style="29" customWidth="1"/>
    <col min="3" max="3" width="38.33203125" style="29" customWidth="1"/>
    <col min="4" max="9" width="13.6640625" style="29" customWidth="1"/>
    <col min="10" max="10" width="1.6640625" style="29" customWidth="1"/>
    <col min="11" max="16384" width="9" style="29"/>
  </cols>
  <sheetData>
    <row r="1" spans="1:9" s="28" customFormat="1" ht="20.100000000000001" customHeight="1">
      <c r="A1" s="706" t="str">
        <f>'Rate Case Constants'!C9</f>
        <v>KENTUCKY UTILITIES COMPANY</v>
      </c>
      <c r="B1" s="706"/>
      <c r="C1" s="706"/>
      <c r="D1" s="706"/>
      <c r="E1" s="706"/>
      <c r="F1" s="706"/>
      <c r="G1" s="706"/>
      <c r="H1" s="706"/>
      <c r="I1" s="706"/>
    </row>
    <row r="2" spans="1:9" s="28" customFormat="1" ht="20.100000000000001" customHeight="1">
      <c r="A2" s="706" t="str">
        <f>'Rate Case Constants'!C10</f>
        <v>CASE NO. 2016-00370</v>
      </c>
      <c r="B2" s="706"/>
      <c r="C2" s="706"/>
      <c r="D2" s="706"/>
      <c r="E2" s="706"/>
      <c r="F2" s="706"/>
      <c r="G2" s="706"/>
      <c r="H2" s="706"/>
      <c r="I2" s="706"/>
    </row>
    <row r="3" spans="1:9" s="28" customFormat="1" ht="20.100000000000001" customHeight="1">
      <c r="A3" s="706" t="s">
        <v>135</v>
      </c>
      <c r="B3" s="706"/>
      <c r="C3" s="706"/>
      <c r="D3" s="706"/>
      <c r="E3" s="706"/>
      <c r="F3" s="706"/>
      <c r="G3" s="706"/>
      <c r="H3" s="706"/>
      <c r="I3" s="706"/>
    </row>
    <row r="4" spans="1:9" s="28" customFormat="1" ht="20.100000000000001" customHeight="1">
      <c r="A4" s="706" t="str">
        <f>'Rate Case Constants'!C20</f>
        <v>FROM JULY 1, 2017 TO JUNE 30, 2018</v>
      </c>
      <c r="B4" s="706"/>
      <c r="C4" s="706"/>
      <c r="D4" s="706"/>
      <c r="E4" s="706"/>
      <c r="F4" s="706"/>
      <c r="G4" s="706"/>
      <c r="H4" s="706"/>
      <c r="I4" s="706"/>
    </row>
    <row r="5" spans="1:9" s="28" customFormat="1" ht="20.100000000000001" customHeight="1">
      <c r="A5" s="44"/>
      <c r="B5" s="44"/>
      <c r="C5" s="44"/>
      <c r="D5" s="44"/>
      <c r="E5" s="44"/>
      <c r="F5" s="44"/>
      <c r="G5" s="44"/>
      <c r="H5" s="44"/>
      <c r="I5" s="44"/>
    </row>
    <row r="6" spans="1:9" s="28" customFormat="1" ht="20.100000000000001" customHeight="1">
      <c r="A6" s="27" t="s">
        <v>164</v>
      </c>
      <c r="B6" s="27"/>
      <c r="G6" s="34"/>
      <c r="H6" s="34"/>
      <c r="I6" s="34" t="s">
        <v>142</v>
      </c>
    </row>
    <row r="7" spans="1:9" s="28" customFormat="1" ht="20.100000000000001" customHeight="1">
      <c r="A7" s="28" t="str">
        <f>'Rate Case Constants'!C29</f>
        <v>TYPE OF FILING: __X__ ORIGINAL  _____ UPDATED  _____ REVISED</v>
      </c>
      <c r="G7" s="34"/>
      <c r="H7" s="34"/>
      <c r="I7" s="34" t="s">
        <v>171</v>
      </c>
    </row>
    <row r="8" spans="1:9" s="28" customFormat="1" ht="20.100000000000001" customHeight="1">
      <c r="A8" s="27" t="s">
        <v>1204</v>
      </c>
      <c r="B8" s="27"/>
      <c r="F8" s="27"/>
      <c r="G8" s="35"/>
      <c r="H8" s="35"/>
      <c r="I8" s="35" t="str">
        <f>'Rate Case Constants'!C36</f>
        <v>WITNESS:   C. M. GARRETT</v>
      </c>
    </row>
    <row r="9" spans="1:9" s="28" customFormat="1" ht="20.100000000000001" customHeight="1"/>
    <row r="10" spans="1:9" ht="66" customHeight="1">
      <c r="A10" s="36" t="s">
        <v>134</v>
      </c>
      <c r="B10" s="36" t="s">
        <v>137</v>
      </c>
      <c r="C10" s="39" t="s">
        <v>138</v>
      </c>
      <c r="D10" s="36" t="s">
        <v>165</v>
      </c>
      <c r="E10" s="36" t="s">
        <v>140</v>
      </c>
      <c r="F10" s="36" t="s">
        <v>141</v>
      </c>
      <c r="G10" s="36" t="s">
        <v>143</v>
      </c>
      <c r="H10" s="36" t="s">
        <v>166</v>
      </c>
      <c r="I10" s="36" t="s">
        <v>167</v>
      </c>
    </row>
    <row r="11" spans="1:9" ht="23.1" customHeight="1">
      <c r="A11" s="40"/>
      <c r="B11" s="40"/>
      <c r="C11" s="41"/>
      <c r="D11" s="42" t="s">
        <v>145</v>
      </c>
      <c r="E11" s="42" t="s">
        <v>145</v>
      </c>
      <c r="F11" s="42" t="s">
        <v>145</v>
      </c>
      <c r="G11" s="42" t="s">
        <v>145</v>
      </c>
      <c r="H11" s="42" t="s">
        <v>145</v>
      </c>
      <c r="I11" s="42" t="s">
        <v>145</v>
      </c>
    </row>
    <row r="12" spans="1:9" ht="23.1" customHeight="1">
      <c r="A12" s="33">
        <v>1</v>
      </c>
      <c r="B12" s="33"/>
      <c r="C12" s="45" t="s">
        <v>58</v>
      </c>
      <c r="D12" s="37"/>
      <c r="E12" s="37"/>
      <c r="F12" s="37"/>
      <c r="G12" s="37"/>
      <c r="H12" s="37"/>
      <c r="I12" s="37"/>
    </row>
    <row r="13" spans="1:9" ht="18.95" customHeight="1">
      <c r="A13" s="30">
        <f>A12+1</f>
        <v>2</v>
      </c>
      <c r="B13" s="31" t="s">
        <v>1673</v>
      </c>
      <c r="C13" s="38" t="s">
        <v>1674</v>
      </c>
      <c r="D13" s="51">
        <f>SUMIFS('PIS F'!$D$11:$D$344,'PIS F'!$B$11:$B$344,'SCH B-2.3 F'!$B13)</f>
        <v>44455.58</v>
      </c>
      <c r="E13" s="51">
        <f>SUMIFS('PIS F'!$F$11:$F$344,'PIS F'!$B$11:$B$344,'SCH B-2.3 F'!$B13)</f>
        <v>0</v>
      </c>
      <c r="F13" s="51">
        <f>SUMIFS('PIS F'!$H$11:$H$344,'PIS F'!$B$11:$B$344,'SCH B-2.3 F'!$B13)</f>
        <v>0</v>
      </c>
      <c r="G13" s="51">
        <f>SUMIFS('PIS F'!$J$11:$J$344,'PIS F'!$B$11:$B$344,'SCH B-2.3 F'!$B13)</f>
        <v>0</v>
      </c>
      <c r="H13" s="51">
        <f>SUM(D13:G13)</f>
        <v>44455.58</v>
      </c>
      <c r="I13" s="51">
        <f>SUMIFS('PIS F'!$P$11:$P$344,'PIS F'!$B$11:$B$344,'SCH B-2.3 F'!$B13)</f>
        <v>44455.580000000009</v>
      </c>
    </row>
    <row r="14" spans="1:9" ht="18.95" customHeight="1">
      <c r="A14" s="30">
        <f t="shared" ref="A14:A77" si="0">A13+1</f>
        <v>3</v>
      </c>
      <c r="B14" s="31" t="s">
        <v>1675</v>
      </c>
      <c r="C14" s="38" t="s">
        <v>1676</v>
      </c>
      <c r="D14" s="51">
        <f>SUMIFS('PIS F'!$D$11:$D$344,'PIS F'!$B$11:$B$344,'SCH B-2.3 F'!$B14)</f>
        <v>55918.83</v>
      </c>
      <c r="E14" s="51">
        <f>SUMIFS('PIS F'!$F$11:$F$344,'PIS F'!$B$11:$B$344,'SCH B-2.3 F'!$B14)</f>
        <v>0</v>
      </c>
      <c r="F14" s="52">
        <f>SUMIFS('PIS F'!$H$11:$H$344,'PIS F'!$B$11:$B$344,'SCH B-2.3 F'!$B14)</f>
        <v>0</v>
      </c>
      <c r="G14" s="52">
        <f>SUMIFS('PIS F'!$J$11:$J$344,'PIS F'!$B$11:$B$344,'SCH B-2.3 F'!$B14)</f>
        <v>0</v>
      </c>
      <c r="H14" s="52">
        <f t="shared" ref="H14:H15" si="1">SUM(D14:G14)</f>
        <v>55918.83</v>
      </c>
      <c r="I14" s="51">
        <f>SUMIFS('PIS F'!$P$11:$P$344,'PIS F'!$B$11:$B$344,'SCH B-2.3 F'!$B14)</f>
        <v>55918.829999999994</v>
      </c>
    </row>
    <row r="15" spans="1:9" ht="18.95" customHeight="1">
      <c r="A15" s="30">
        <f t="shared" si="0"/>
        <v>4</v>
      </c>
      <c r="B15" s="31" t="s">
        <v>1677</v>
      </c>
      <c r="C15" s="38" t="s">
        <v>1678</v>
      </c>
      <c r="D15" s="54">
        <f>SUMIFS('PIS F'!$D$11:$D$344,'PIS F'!$B$11:$B$344,'SCH B-2.3 F'!$B15)</f>
        <v>100266855.68999991</v>
      </c>
      <c r="E15" s="54">
        <f>SUMIFS('PIS F'!$F$11:$F$344,'PIS F'!$B$11:$B$344,'SCH B-2.3 F'!$B15)</f>
        <v>28469529.819999982</v>
      </c>
      <c r="F15" s="54">
        <f>SUMIFS('PIS F'!$H$11:$H$344,'PIS F'!$B$11:$B$344,'SCH B-2.3 F'!$B15)</f>
        <v>-8247620.0000000009</v>
      </c>
      <c r="G15" s="54">
        <f>SUMIFS('PIS F'!$J$11:$J$344,'PIS F'!$B$11:$B$344,'SCH B-2.3 F'!$B15)</f>
        <v>0</v>
      </c>
      <c r="H15" s="54">
        <f t="shared" si="1"/>
        <v>120488765.50999989</v>
      </c>
      <c r="I15" s="54">
        <f>SUMIFS('PIS F'!$P$11:$P$344,'PIS F'!$B$11:$B$344,'SCH B-2.3 F'!$B15)</f>
        <v>115922918.55923072</v>
      </c>
    </row>
    <row r="16" spans="1:9" ht="18.95" customHeight="1">
      <c r="A16" s="30">
        <f t="shared" si="0"/>
        <v>5</v>
      </c>
      <c r="B16" s="30"/>
      <c r="C16" s="38" t="s">
        <v>146</v>
      </c>
      <c r="D16" s="51">
        <f t="shared" ref="D16:H16" si="2">SUM(D13:D15)</f>
        <v>100367230.0999999</v>
      </c>
      <c r="E16" s="51">
        <f t="shared" si="2"/>
        <v>28469529.819999982</v>
      </c>
      <c r="F16" s="51">
        <f t="shared" si="2"/>
        <v>-8247620.0000000009</v>
      </c>
      <c r="G16" s="51">
        <f t="shared" si="2"/>
        <v>0</v>
      </c>
      <c r="H16" s="51">
        <f t="shared" si="2"/>
        <v>120589139.91999988</v>
      </c>
      <c r="I16" s="51">
        <f t="shared" ref="I16" si="3">SUM(I13:I15)</f>
        <v>116023292.96923071</v>
      </c>
    </row>
    <row r="17" spans="1:9" ht="18.95" customHeight="1">
      <c r="A17" s="30"/>
      <c r="B17" s="30"/>
      <c r="D17" s="32"/>
      <c r="E17" s="32"/>
      <c r="F17" s="32"/>
      <c r="G17" s="32"/>
      <c r="H17" s="32"/>
      <c r="I17" s="32"/>
    </row>
    <row r="18" spans="1:9" ht="18.95" customHeight="1">
      <c r="A18" s="30">
        <f>A16+1</f>
        <v>6</v>
      </c>
      <c r="B18" s="30"/>
      <c r="C18" s="55" t="s">
        <v>74</v>
      </c>
      <c r="D18" s="32"/>
      <c r="E18" s="32"/>
      <c r="F18" s="32"/>
      <c r="G18" s="32"/>
      <c r="H18" s="32"/>
      <c r="I18" s="32"/>
    </row>
    <row r="19" spans="1:9" ht="18.95" customHeight="1">
      <c r="A19" s="30">
        <f t="shared" si="0"/>
        <v>7</v>
      </c>
      <c r="B19" s="31" t="s">
        <v>1679</v>
      </c>
      <c r="C19" s="38" t="s">
        <v>157</v>
      </c>
      <c r="D19" s="53">
        <f>SUMIFS('PIS F'!$D$11:$D$344,'PIS F'!$B$11:$B$344,'SCH B-2.3 F'!$B19)</f>
        <v>23167513.579999998</v>
      </c>
      <c r="E19" s="53">
        <f>SUMIFS('PIS F'!$F$11:$F$344,'PIS F'!$B$11:$B$344,'SCH B-2.3 F'!$B19)</f>
        <v>1835226.6199999999</v>
      </c>
      <c r="F19" s="53">
        <f>SUMIFS('PIS F'!$H$11:$H$344,'PIS F'!$B$11:$B$344,'SCH B-2.3 F'!$B19)</f>
        <v>0</v>
      </c>
      <c r="G19" s="53">
        <f>SUMIFS('PIS F'!$J$11:$J$344,'PIS F'!$B$11:$B$344,'SCH B-2.3 F'!$B19)</f>
        <v>0</v>
      </c>
      <c r="H19" s="53">
        <f t="shared" ref="H19:H26" si="4">SUM(D19:G19)</f>
        <v>25002740.199999999</v>
      </c>
      <c r="I19" s="53">
        <f>SUMIFS('PIS F'!$P$11:$P$344,'PIS F'!$B$11:$B$344,'SCH B-2.3 F'!$B19)</f>
        <v>24155712.52923071</v>
      </c>
    </row>
    <row r="20" spans="1:9" ht="18" customHeight="1">
      <c r="A20" s="30">
        <f t="shared" si="0"/>
        <v>8</v>
      </c>
      <c r="B20" s="31" t="s">
        <v>1680</v>
      </c>
      <c r="C20" s="38" t="s">
        <v>151</v>
      </c>
      <c r="D20" s="53">
        <f>SUMIFS('PIS F'!$D$11:$D$344,'PIS F'!$B$11:$B$344,'SCH B-2.3 F'!$B20)</f>
        <v>336901274.62000006</v>
      </c>
      <c r="E20" s="53">
        <f>SUMIFS('PIS F'!$F$11:$F$344,'PIS F'!$B$11:$B$344,'SCH B-2.3 F'!$B20)</f>
        <v>7860803.7700000005</v>
      </c>
      <c r="F20" s="53">
        <f>SUMIFS('PIS F'!$H$11:$H$344,'PIS F'!$B$11:$B$344,'SCH B-2.3 F'!$B20)</f>
        <v>0</v>
      </c>
      <c r="G20" s="53">
        <f>SUMIFS('PIS F'!$J$11:$J$344,'PIS F'!$B$11:$B$344,'SCH B-2.3 F'!$B20)</f>
        <v>0</v>
      </c>
      <c r="H20" s="53">
        <f t="shared" si="4"/>
        <v>344762078.39000005</v>
      </c>
      <c r="I20" s="53">
        <f>SUMIFS('PIS F'!$P$11:$P$344,'PIS F'!$B$11:$B$344,'SCH B-2.3 F'!$B20)</f>
        <v>339581331.41923082</v>
      </c>
    </row>
    <row r="21" spans="1:9" ht="18.95" customHeight="1">
      <c r="A21" s="30">
        <f t="shared" si="0"/>
        <v>9</v>
      </c>
      <c r="B21" s="31" t="s">
        <v>1681</v>
      </c>
      <c r="C21" s="38" t="s">
        <v>1682</v>
      </c>
      <c r="D21" s="53">
        <f>SUMIFS('PIS F'!$D$11:$D$344,'PIS F'!$B$11:$B$344,'SCH B-2.3 F'!$B21)</f>
        <v>4003541396.3199997</v>
      </c>
      <c r="E21" s="53">
        <f>SUMIFS('PIS F'!$F$11:$F$344,'PIS F'!$B$11:$B$344,'SCH B-2.3 F'!$B21)</f>
        <v>42662483.269999996</v>
      </c>
      <c r="F21" s="53">
        <f>SUMIFS('PIS F'!$H$11:$H$344,'PIS F'!$B$11:$B$344,'SCH B-2.3 F'!$B21)</f>
        <v>-16651556</v>
      </c>
      <c r="G21" s="53">
        <f>SUMIFS('PIS F'!$J$11:$J$344,'PIS F'!$B$11:$B$344,'SCH B-2.3 F'!$B21)</f>
        <v>0</v>
      </c>
      <c r="H21" s="53">
        <f t="shared" si="4"/>
        <v>4029552323.5899997</v>
      </c>
      <c r="I21" s="53">
        <f>SUMIFS('PIS F'!$P$11:$P$344,'PIS F'!$B$11:$B$344,'SCH B-2.3 F'!$B21)</f>
        <v>4015791237.7969227</v>
      </c>
    </row>
    <row r="22" spans="1:9" ht="18.95" customHeight="1">
      <c r="A22" s="30">
        <f>A20+1</f>
        <v>9</v>
      </c>
      <c r="B22" s="31">
        <v>313</v>
      </c>
      <c r="C22" s="38" t="s">
        <v>147</v>
      </c>
      <c r="D22" s="53">
        <f>SUMIFS('PIS F'!$D$11:$D$344,'PIS F'!$B$11:$B$344,'SCH B-2.3 F'!$B22)</f>
        <v>0</v>
      </c>
      <c r="E22" s="53">
        <f>SUMIFS('PIS F'!$F$11:$F$344,'PIS F'!$B$11:$B$344,'SCH B-2.3 F'!$B22)</f>
        <v>0</v>
      </c>
      <c r="F22" s="53">
        <f>SUMIFS('PIS F'!$H$11:$H$344,'PIS F'!$B$11:$B$344,'SCH B-2.3 F'!$B22)</f>
        <v>0</v>
      </c>
      <c r="G22" s="53">
        <f>SUMIFS('PIS F'!$J$11:$J$344,'PIS F'!$B$11:$B$344,'SCH B-2.3 F'!$B22)</f>
        <v>0</v>
      </c>
      <c r="H22" s="53">
        <f t="shared" si="4"/>
        <v>0</v>
      </c>
      <c r="I22" s="53">
        <f>SUMIFS('PIS F'!$P$11:$P$344,'PIS F'!$B$11:$B$344,'SCH B-2.3 F'!$B22)</f>
        <v>0</v>
      </c>
    </row>
    <row r="23" spans="1:9" ht="18.95" customHeight="1">
      <c r="A23" s="30">
        <f>A21+1</f>
        <v>10</v>
      </c>
      <c r="B23" s="31" t="s">
        <v>1683</v>
      </c>
      <c r="C23" s="38" t="s">
        <v>1684</v>
      </c>
      <c r="D23" s="53">
        <f>SUMIFS('PIS F'!$D$11:$D$344,'PIS F'!$B$11:$B$344,'SCH B-2.3 F'!$B23)</f>
        <v>337471527.21999997</v>
      </c>
      <c r="E23" s="53">
        <f>SUMIFS('PIS F'!$F$11:$F$344,'PIS F'!$B$11:$B$344,'SCH B-2.3 F'!$B23)</f>
        <v>7347609.1600000001</v>
      </c>
      <c r="F23" s="53">
        <f>SUMIFS('PIS F'!$H$11:$H$344,'PIS F'!$B$11:$B$344,'SCH B-2.3 F'!$B23)</f>
        <v>0</v>
      </c>
      <c r="G23" s="53">
        <f>SUMIFS('PIS F'!$J$11:$J$344,'PIS F'!$B$11:$B$344,'SCH B-2.3 F'!$B23)</f>
        <v>0</v>
      </c>
      <c r="H23" s="53">
        <f t="shared" si="4"/>
        <v>344819136.38</v>
      </c>
      <c r="I23" s="53">
        <f>SUMIFS('PIS F'!$P$11:$P$344,'PIS F'!$B$11:$B$344,'SCH B-2.3 F'!$B23)</f>
        <v>340427141.15230733</v>
      </c>
    </row>
    <row r="24" spans="1:9" ht="18.95" customHeight="1">
      <c r="A24" s="30">
        <f t="shared" si="0"/>
        <v>11</v>
      </c>
      <c r="B24" s="31" t="s">
        <v>1685</v>
      </c>
      <c r="C24" s="38" t="s">
        <v>1686</v>
      </c>
      <c r="D24" s="53">
        <f>SUMIFS('PIS F'!$D$11:$D$344,'PIS F'!$B$11:$B$344,'SCH B-2.3 F'!$B24)</f>
        <v>226547404.54999998</v>
      </c>
      <c r="E24" s="53">
        <f>SUMIFS('PIS F'!$F$11:$F$344,'PIS F'!$B$11:$B$344,'SCH B-2.3 F'!$B24)</f>
        <v>0</v>
      </c>
      <c r="F24" s="53">
        <f>SUMIFS('PIS F'!$H$11:$H$344,'PIS F'!$B$11:$B$344,'SCH B-2.3 F'!$B24)</f>
        <v>0</v>
      </c>
      <c r="G24" s="53">
        <f>SUMIFS('PIS F'!$J$11:$J$344,'PIS F'!$B$11:$B$344,'SCH B-2.3 F'!$B24)</f>
        <v>0</v>
      </c>
      <c r="H24" s="53">
        <f t="shared" si="4"/>
        <v>226547404.54999998</v>
      </c>
      <c r="I24" s="53">
        <f>SUMIFS('PIS F'!$P$11:$P$344,'PIS F'!$B$11:$B$344,'SCH B-2.3 F'!$B24)</f>
        <v>226547404.54999989</v>
      </c>
    </row>
    <row r="25" spans="1:9" ht="18.95" customHeight="1">
      <c r="A25" s="30">
        <f t="shared" si="0"/>
        <v>12</v>
      </c>
      <c r="B25" s="31" t="s">
        <v>1687</v>
      </c>
      <c r="C25" s="38" t="s">
        <v>1688</v>
      </c>
      <c r="D25" s="53">
        <f>SUMIFS('PIS F'!$D$11:$D$344,'PIS F'!$B$11:$B$344,'SCH B-2.3 F'!$B25)</f>
        <v>39172020.559999906</v>
      </c>
      <c r="E25" s="53">
        <f>SUMIFS('PIS F'!$F$11:$F$344,'PIS F'!$B$11:$B$344,'SCH B-2.3 F'!$B25)</f>
        <v>3356608.8199999994</v>
      </c>
      <c r="F25" s="53">
        <f>SUMIFS('PIS F'!$H$11:$H$344,'PIS F'!$B$11:$B$344,'SCH B-2.3 F'!$B25)</f>
        <v>0</v>
      </c>
      <c r="G25" s="53">
        <f>SUMIFS('PIS F'!$J$11:$J$344,'PIS F'!$B$11:$B$344,'SCH B-2.3 F'!$B25)</f>
        <v>0</v>
      </c>
      <c r="H25" s="53">
        <f t="shared" si="4"/>
        <v>42528629.379999906</v>
      </c>
      <c r="I25" s="53">
        <f>SUMIFS('PIS F'!$P$11:$P$344,'PIS F'!$B$11:$B$344,'SCH B-2.3 F'!$B25)</f>
        <v>40745530.769999906</v>
      </c>
    </row>
    <row r="26" spans="1:9" ht="18.95" customHeight="1">
      <c r="A26" s="30">
        <f t="shared" si="0"/>
        <v>13</v>
      </c>
      <c r="B26" s="31" t="s">
        <v>1689</v>
      </c>
      <c r="C26" s="38" t="s">
        <v>1708</v>
      </c>
      <c r="D26" s="54">
        <f>SUMIFS('PIS F'!$D$11:$D$344,'PIS F'!$B$11:$B$344,'SCH B-2.3 F'!$B26)</f>
        <v>331002428.33000004</v>
      </c>
      <c r="E26" s="54">
        <f>SUMIFS('PIS F'!$F$11:$F$344,'PIS F'!$B$11:$B$344,'SCH B-2.3 F'!$B26)</f>
        <v>0</v>
      </c>
      <c r="F26" s="54">
        <f>SUMIFS('PIS F'!$H$11:$H$344,'PIS F'!$B$11:$B$344,'SCH B-2.3 F'!$B26)</f>
        <v>0</v>
      </c>
      <c r="G26" s="54">
        <f>SUMIFS('PIS F'!$J$11:$J$344,'PIS F'!$B$11:$B$344,'SCH B-2.3 F'!$B26)</f>
        <v>0</v>
      </c>
      <c r="H26" s="54">
        <f t="shared" si="4"/>
        <v>331002428.33000004</v>
      </c>
      <c r="I26" s="54">
        <f>SUMIFS('PIS F'!$P$11:$P$344,'PIS F'!$B$11:$B$344,'SCH B-2.3 F'!$B26)</f>
        <v>331002428.3300001</v>
      </c>
    </row>
    <row r="27" spans="1:9" ht="18.95" customHeight="1">
      <c r="A27" s="30">
        <f t="shared" si="0"/>
        <v>14</v>
      </c>
      <c r="C27" s="38" t="s">
        <v>149</v>
      </c>
      <c r="D27" s="51">
        <f t="shared" ref="D27:H27" si="5">SUM(D19:D26)</f>
        <v>5297803565.1799994</v>
      </c>
      <c r="E27" s="51">
        <f t="shared" si="5"/>
        <v>63062731.639999993</v>
      </c>
      <c r="F27" s="51">
        <f t="shared" si="5"/>
        <v>-16651556</v>
      </c>
      <c r="G27" s="51">
        <f t="shared" si="5"/>
        <v>0</v>
      </c>
      <c r="H27" s="51">
        <f t="shared" si="5"/>
        <v>5344214740.8199997</v>
      </c>
      <c r="I27" s="51">
        <f t="shared" ref="I27" si="6">SUM(I19:I26)</f>
        <v>5318250786.5476913</v>
      </c>
    </row>
    <row r="28" spans="1:9" ht="18.95" customHeight="1">
      <c r="A28" s="30"/>
      <c r="C28" s="38"/>
    </row>
    <row r="29" spans="1:9" ht="18.95" customHeight="1">
      <c r="A29" s="30">
        <f>A27+1</f>
        <v>15</v>
      </c>
      <c r="C29" s="55" t="s">
        <v>49</v>
      </c>
    </row>
    <row r="30" spans="1:9" ht="18.95" customHeight="1">
      <c r="A30" s="30">
        <f t="shared" si="0"/>
        <v>16</v>
      </c>
      <c r="B30" s="31" t="s">
        <v>1690</v>
      </c>
      <c r="C30" s="38" t="s">
        <v>157</v>
      </c>
      <c r="D30" s="53">
        <f>SUMIFS('PIS F'!$D$11:$D$344,'PIS F'!$B$11:$B$344,'SCH B-2.3 F'!$B30)</f>
        <v>879311.47</v>
      </c>
      <c r="E30" s="53">
        <f>SUMIFS('PIS F'!$F$11:$F$344,'PIS F'!$B$11:$B$344,'SCH B-2.3 F'!$B30)</f>
        <v>0</v>
      </c>
      <c r="F30" s="53">
        <f>SUMIFS('PIS F'!$H$11:$H$344,'PIS F'!$B$11:$B$344,'SCH B-2.3 F'!$B30)</f>
        <v>0</v>
      </c>
      <c r="G30" s="53">
        <f>SUMIFS('PIS F'!$J$11:$J$344,'PIS F'!$B$11:$B$344,'SCH B-2.3 F'!$B30)</f>
        <v>0</v>
      </c>
      <c r="H30" s="53">
        <f t="shared" ref="H30:H37" si="7">SUM(D30:G30)</f>
        <v>879311.47</v>
      </c>
      <c r="I30" s="53">
        <f>SUMIFS('PIS F'!$P$11:$P$344,'PIS F'!$B$11:$B$344,'SCH B-2.3 F'!$B30)</f>
        <v>879311.47</v>
      </c>
    </row>
    <row r="31" spans="1:9" ht="18.95" customHeight="1">
      <c r="A31" s="30">
        <f t="shared" si="0"/>
        <v>17</v>
      </c>
      <c r="B31" s="31" t="s">
        <v>1691</v>
      </c>
      <c r="C31" s="38" t="s">
        <v>151</v>
      </c>
      <c r="D31" s="53">
        <f>SUMIFS('PIS F'!$D$11:$D$344,'PIS F'!$B$11:$B$344,'SCH B-2.3 F'!$B31)</f>
        <v>2930163.93</v>
      </c>
      <c r="E31" s="53">
        <f>SUMIFS('PIS F'!$F$11:$F$344,'PIS F'!$B$11:$B$344,'SCH B-2.3 F'!$B31)</f>
        <v>0</v>
      </c>
      <c r="F31" s="53">
        <f>SUMIFS('PIS F'!$H$11:$H$344,'PIS F'!$B$11:$B$344,'SCH B-2.3 F'!$B31)</f>
        <v>0</v>
      </c>
      <c r="G31" s="53">
        <f>SUMIFS('PIS F'!$J$11:$J$344,'PIS F'!$B$11:$B$344,'SCH B-2.3 F'!$B31)</f>
        <v>0</v>
      </c>
      <c r="H31" s="53">
        <f t="shared" si="7"/>
        <v>2930163.93</v>
      </c>
      <c r="I31" s="53">
        <f>SUMIFS('PIS F'!$P$11:$P$344,'PIS F'!$B$11:$B$344,'SCH B-2.3 F'!$B31)</f>
        <v>2930163.9299999997</v>
      </c>
    </row>
    <row r="32" spans="1:9" ht="18.95" customHeight="1">
      <c r="A32" s="30">
        <f t="shared" si="0"/>
        <v>18</v>
      </c>
      <c r="B32" s="31" t="s">
        <v>1692</v>
      </c>
      <c r="C32" s="38" t="s">
        <v>1693</v>
      </c>
      <c r="D32" s="53">
        <f>SUMIFS('PIS F'!$D$11:$D$344,'PIS F'!$B$11:$B$344,'SCH B-2.3 F'!$B32)</f>
        <v>21885646.369999997</v>
      </c>
      <c r="E32" s="53">
        <f>SUMIFS('PIS F'!$F$11:$F$344,'PIS F'!$B$11:$B$344,'SCH B-2.3 F'!$B32)</f>
        <v>0</v>
      </c>
      <c r="F32" s="53">
        <f>SUMIFS('PIS F'!$H$11:$H$344,'PIS F'!$B$11:$B$344,'SCH B-2.3 F'!$B32)</f>
        <v>0</v>
      </c>
      <c r="G32" s="53">
        <f>SUMIFS('PIS F'!$J$11:$J$344,'PIS F'!$B$11:$B$344,'SCH B-2.3 F'!$B32)</f>
        <v>0</v>
      </c>
      <c r="H32" s="53">
        <f t="shared" si="7"/>
        <v>21885646.369999997</v>
      </c>
      <c r="I32" s="53">
        <f>SUMIFS('PIS F'!$P$11:$P$344,'PIS F'!$B$11:$B$344,'SCH B-2.3 F'!$B32)</f>
        <v>21885646.369999994</v>
      </c>
    </row>
    <row r="33" spans="1:9" ht="18.95" customHeight="1">
      <c r="A33" s="30">
        <f t="shared" si="0"/>
        <v>19</v>
      </c>
      <c r="B33" s="31" t="s">
        <v>1694</v>
      </c>
      <c r="C33" s="38" t="s">
        <v>1695</v>
      </c>
      <c r="D33" s="53">
        <f>SUMIFS('PIS F'!$D$11:$D$344,'PIS F'!$B$11:$B$344,'SCH B-2.3 F'!$B33)</f>
        <v>14046741.58</v>
      </c>
      <c r="E33" s="53">
        <f>SUMIFS('PIS F'!$F$11:$F$344,'PIS F'!$B$11:$B$344,'SCH B-2.3 F'!$B33)</f>
        <v>0</v>
      </c>
      <c r="F33" s="53">
        <f>SUMIFS('PIS F'!$H$11:$H$344,'PIS F'!$B$11:$B$344,'SCH B-2.3 F'!$B33)</f>
        <v>0</v>
      </c>
      <c r="G33" s="53">
        <f>SUMIFS('PIS F'!$J$11:$J$344,'PIS F'!$B$11:$B$344,'SCH B-2.3 F'!$B33)</f>
        <v>0</v>
      </c>
      <c r="H33" s="53">
        <f t="shared" si="7"/>
        <v>14046741.58</v>
      </c>
      <c r="I33" s="53">
        <f>SUMIFS('PIS F'!$P$11:$P$344,'PIS F'!$B$11:$B$344,'SCH B-2.3 F'!$B33)</f>
        <v>14046741.58</v>
      </c>
    </row>
    <row r="34" spans="1:9" ht="18.95" customHeight="1">
      <c r="A34" s="30">
        <f t="shared" si="0"/>
        <v>20</v>
      </c>
      <c r="B34" s="31" t="s">
        <v>1696</v>
      </c>
      <c r="C34" s="38" t="s">
        <v>1686</v>
      </c>
      <c r="D34" s="53">
        <f>SUMIFS('PIS F'!$D$11:$D$344,'PIS F'!$B$11:$B$344,'SCH B-2.3 F'!$B34)</f>
        <v>1362584.79</v>
      </c>
      <c r="E34" s="53">
        <f>SUMIFS('PIS F'!$F$11:$F$344,'PIS F'!$B$11:$B$344,'SCH B-2.3 F'!$B34)</f>
        <v>0</v>
      </c>
      <c r="F34" s="53">
        <f>SUMIFS('PIS F'!$H$11:$H$344,'PIS F'!$B$11:$B$344,'SCH B-2.3 F'!$B34)</f>
        <v>0</v>
      </c>
      <c r="G34" s="53">
        <f>SUMIFS('PIS F'!$J$11:$J$344,'PIS F'!$B$11:$B$344,'SCH B-2.3 F'!$B34)</f>
        <v>0</v>
      </c>
      <c r="H34" s="53">
        <f t="shared" si="7"/>
        <v>1362584.79</v>
      </c>
      <c r="I34" s="53">
        <f>SUMIFS('PIS F'!$P$11:$P$344,'PIS F'!$B$11:$B$344,'SCH B-2.3 F'!$B34)</f>
        <v>1362584.7900000003</v>
      </c>
    </row>
    <row r="35" spans="1:9" ht="18.95" customHeight="1">
      <c r="A35" s="30">
        <f t="shared" si="0"/>
        <v>21</v>
      </c>
      <c r="B35" s="31" t="s">
        <v>1697</v>
      </c>
      <c r="C35" s="38" t="s">
        <v>1698</v>
      </c>
      <c r="D35" s="53">
        <f>SUMIFS('PIS F'!$D$11:$D$344,'PIS F'!$B$11:$B$344,'SCH B-2.3 F'!$B35)</f>
        <v>316946.74</v>
      </c>
      <c r="E35" s="53">
        <f>SUMIFS('PIS F'!$F$11:$F$344,'PIS F'!$B$11:$B$344,'SCH B-2.3 F'!$B35)</f>
        <v>0</v>
      </c>
      <c r="F35" s="53">
        <f>SUMIFS('PIS F'!$H$11:$H$344,'PIS F'!$B$11:$B$344,'SCH B-2.3 F'!$B35)</f>
        <v>0</v>
      </c>
      <c r="G35" s="53">
        <f>SUMIFS('PIS F'!$J$11:$J$344,'PIS F'!$B$11:$B$344,'SCH B-2.3 F'!$B35)</f>
        <v>0</v>
      </c>
      <c r="H35" s="53">
        <f t="shared" si="7"/>
        <v>316946.74</v>
      </c>
      <c r="I35" s="53">
        <f>SUMIFS('PIS F'!$P$11:$P$344,'PIS F'!$B$11:$B$344,'SCH B-2.3 F'!$B35)</f>
        <v>316946.73999999993</v>
      </c>
    </row>
    <row r="36" spans="1:9" ht="18.95" customHeight="1">
      <c r="A36" s="30">
        <f t="shared" si="0"/>
        <v>22</v>
      </c>
      <c r="B36" s="31" t="s">
        <v>1699</v>
      </c>
      <c r="C36" s="38" t="s">
        <v>1700</v>
      </c>
      <c r="D36" s="53">
        <f>SUMIFS('PIS F'!$D$11:$D$344,'PIS F'!$B$11:$B$344,'SCH B-2.3 F'!$B36)</f>
        <v>234509.13</v>
      </c>
      <c r="E36" s="53">
        <f>SUMIFS('PIS F'!$F$11:$F$344,'PIS F'!$B$11:$B$344,'SCH B-2.3 F'!$B36)</f>
        <v>775000</v>
      </c>
      <c r="F36" s="53">
        <f>SUMIFS('PIS F'!$H$11:$H$344,'PIS F'!$B$11:$B$344,'SCH B-2.3 F'!$B36)</f>
        <v>0</v>
      </c>
      <c r="G36" s="53">
        <f>SUMIFS('PIS F'!$J$11:$J$344,'PIS F'!$B$11:$B$344,'SCH B-2.3 F'!$B36)</f>
        <v>0</v>
      </c>
      <c r="H36" s="53">
        <f t="shared" si="7"/>
        <v>1009509.13</v>
      </c>
      <c r="I36" s="53">
        <f>SUMIFS('PIS F'!$P$11:$P$344,'PIS F'!$B$11:$B$344,'SCH B-2.3 F'!$B36)</f>
        <v>890278.36076923099</v>
      </c>
    </row>
    <row r="37" spans="1:9" ht="18.95" customHeight="1">
      <c r="A37" s="30">
        <f t="shared" si="0"/>
        <v>23</v>
      </c>
      <c r="B37" s="31" t="s">
        <v>1701</v>
      </c>
      <c r="C37" s="38" t="s">
        <v>1709</v>
      </c>
      <c r="D37" s="54">
        <f>SUMIFS('PIS F'!$D$11:$D$344,'PIS F'!$B$11:$B$344,'SCH B-2.3 F'!$B37)</f>
        <v>274310.53999999998</v>
      </c>
      <c r="E37" s="54">
        <f>SUMIFS('PIS F'!$F$11:$F$344,'PIS F'!$B$11:$B$344,'SCH B-2.3 F'!$B37)</f>
        <v>0</v>
      </c>
      <c r="F37" s="54">
        <f>SUMIFS('PIS F'!$H$11:$H$344,'PIS F'!$B$11:$B$344,'SCH B-2.3 F'!$B37)</f>
        <v>0</v>
      </c>
      <c r="G37" s="54">
        <f>SUMIFS('PIS F'!$J$11:$J$344,'PIS F'!$B$11:$B$344,'SCH B-2.3 F'!$B37)</f>
        <v>0</v>
      </c>
      <c r="H37" s="54">
        <f t="shared" si="7"/>
        <v>274310.53999999998</v>
      </c>
      <c r="I37" s="54">
        <f>SUMIFS('PIS F'!$P$11:$P$344,'PIS F'!$B$11:$B$344,'SCH B-2.3 F'!$B37)</f>
        <v>274310.53999999998</v>
      </c>
    </row>
    <row r="38" spans="1:9" ht="18.95" customHeight="1">
      <c r="A38" s="30">
        <f t="shared" si="0"/>
        <v>24</v>
      </c>
      <c r="B38" s="31" t="s">
        <v>254</v>
      </c>
      <c r="C38" s="38" t="s">
        <v>150</v>
      </c>
      <c r="D38" s="51">
        <f>SUM(D30:D37)</f>
        <v>41930214.549999997</v>
      </c>
      <c r="E38" s="51">
        <f t="shared" ref="E38:H38" si="8">SUM(E30:E37)</f>
        <v>775000</v>
      </c>
      <c r="F38" s="51">
        <f t="shared" si="8"/>
        <v>0</v>
      </c>
      <c r="G38" s="51">
        <f t="shared" si="8"/>
        <v>0</v>
      </c>
      <c r="H38" s="51">
        <f t="shared" si="8"/>
        <v>42705214.549999997</v>
      </c>
      <c r="I38" s="51">
        <f>SUM(I30:I37)</f>
        <v>42585983.780769229</v>
      </c>
    </row>
    <row r="39" spans="1:9" ht="18.95" customHeight="1">
      <c r="A39" s="30"/>
      <c r="B39" s="31"/>
      <c r="C39" s="38"/>
      <c r="D39" s="51"/>
      <c r="E39" s="51"/>
      <c r="F39" s="51"/>
      <c r="G39" s="51"/>
      <c r="H39" s="51"/>
      <c r="I39" s="51"/>
    </row>
    <row r="40" spans="1:9" ht="18.95" customHeight="1">
      <c r="A40" s="30">
        <f>A38+1</f>
        <v>25</v>
      </c>
      <c r="C40" s="55" t="s">
        <v>63</v>
      </c>
    </row>
    <row r="41" spans="1:9" ht="18.95" customHeight="1">
      <c r="A41" s="30">
        <f t="shared" si="0"/>
        <v>26</v>
      </c>
      <c r="B41" s="31" t="s">
        <v>1702</v>
      </c>
      <c r="C41" s="38" t="s">
        <v>157</v>
      </c>
      <c r="D41" s="53">
        <f>SUMIFS('PIS F'!$D$11:$D$344,'PIS F'!$B$11:$B$344,'SCH B-2.3 F'!$B41)</f>
        <v>473578.52</v>
      </c>
      <c r="E41" s="53">
        <f>SUMIFS('PIS F'!$F$11:$F$344,'PIS F'!$B$11:$B$344,'SCH B-2.3 F'!$B41)</f>
        <v>0</v>
      </c>
      <c r="F41" s="53">
        <f>SUMIFS('PIS F'!$H$11:$H$344,'PIS F'!$B$11:$B$344,'SCH B-2.3 F'!$B41)</f>
        <v>0</v>
      </c>
      <c r="G41" s="53">
        <f>SUMIFS('PIS F'!$J$11:$J$344,'PIS F'!$B$11:$B$344,'SCH B-2.3 F'!$B41)</f>
        <v>0</v>
      </c>
      <c r="H41" s="53">
        <f t="shared" ref="H41:H48" si="9">SUM(D41:G41)</f>
        <v>473578.52</v>
      </c>
      <c r="I41" s="53">
        <f>SUMIFS('PIS F'!$P$11:$P$344,'PIS F'!$B$11:$B$344,'SCH B-2.3 F'!$B41)</f>
        <v>473578.5199999999</v>
      </c>
    </row>
    <row r="42" spans="1:9" ht="18.95" customHeight="1">
      <c r="A42" s="30">
        <f t="shared" si="0"/>
        <v>27</v>
      </c>
      <c r="B42" s="31" t="s">
        <v>1703</v>
      </c>
      <c r="C42" s="38" t="s">
        <v>151</v>
      </c>
      <c r="D42" s="53">
        <f>SUMIFS('PIS F'!$D$11:$D$344,'PIS F'!$B$11:$B$344,'SCH B-2.3 F'!$B42)</f>
        <v>85076788.390000001</v>
      </c>
      <c r="E42" s="53">
        <f>SUMIFS('PIS F'!$F$11:$F$344,'PIS F'!$B$11:$B$344,'SCH B-2.3 F'!$B42)</f>
        <v>484000</v>
      </c>
      <c r="F42" s="53">
        <f>SUMIFS('PIS F'!$H$11:$H$344,'PIS F'!$B$11:$B$344,'SCH B-2.3 F'!$B42)</f>
        <v>0</v>
      </c>
      <c r="G42" s="53">
        <f>SUMIFS('PIS F'!$J$11:$J$344,'PIS F'!$B$11:$B$344,'SCH B-2.3 F'!$B42)</f>
        <v>0</v>
      </c>
      <c r="H42" s="53">
        <f t="shared" si="9"/>
        <v>85560788.390000001</v>
      </c>
      <c r="I42" s="53">
        <f>SUMIFS('PIS F'!$P$11:$P$344,'PIS F'!$B$11:$B$344,'SCH B-2.3 F'!$B42)</f>
        <v>85397942.236153856</v>
      </c>
    </row>
    <row r="43" spans="1:9" ht="18.95" customHeight="1">
      <c r="A43" s="30">
        <f t="shared" si="0"/>
        <v>28</v>
      </c>
      <c r="B43" s="31" t="s">
        <v>1704</v>
      </c>
      <c r="C43" s="38" t="s">
        <v>1705</v>
      </c>
      <c r="D43" s="53">
        <f>SUMIFS('PIS F'!$D$11:$D$344,'PIS F'!$B$11:$B$344,'SCH B-2.3 F'!$B43)</f>
        <v>61751087.969999991</v>
      </c>
      <c r="E43" s="53">
        <f>SUMIFS('PIS F'!$F$11:$F$344,'PIS F'!$B$11:$B$344,'SCH B-2.3 F'!$B43)</f>
        <v>0</v>
      </c>
      <c r="F43" s="53">
        <f>SUMIFS('PIS F'!$H$11:$H$344,'PIS F'!$B$11:$B$344,'SCH B-2.3 F'!$B43)</f>
        <v>0</v>
      </c>
      <c r="G43" s="53">
        <f>SUMIFS('PIS F'!$J$11:$J$344,'PIS F'!$B$11:$B$344,'SCH B-2.3 F'!$B43)</f>
        <v>0</v>
      </c>
      <c r="H43" s="53">
        <f t="shared" si="9"/>
        <v>61751087.969999991</v>
      </c>
      <c r="I43" s="53">
        <f>SUMIFS('PIS F'!$P$11:$P$344,'PIS F'!$B$11:$B$344,'SCH B-2.3 F'!$B43)</f>
        <v>61751087.970000006</v>
      </c>
    </row>
    <row r="44" spans="1:9" ht="18.95" customHeight="1">
      <c r="A44" s="30">
        <f t="shared" si="0"/>
        <v>29</v>
      </c>
      <c r="B44" s="31" t="s">
        <v>1706</v>
      </c>
      <c r="C44" s="38" t="s">
        <v>1707</v>
      </c>
      <c r="D44" s="53">
        <f>SUMIFS('PIS F'!$D$11:$D$344,'PIS F'!$B$11:$B$344,'SCH B-2.3 F'!$B44)</f>
        <v>647382513.04999995</v>
      </c>
      <c r="E44" s="53">
        <f>SUMIFS('PIS F'!$F$11:$F$344,'PIS F'!$B$11:$B$344,'SCH B-2.3 F'!$B44)</f>
        <v>14409501.439999999</v>
      </c>
      <c r="F44" s="53">
        <f>SUMIFS('PIS F'!$H$11:$H$344,'PIS F'!$B$11:$B$344,'SCH B-2.3 F'!$B44)</f>
        <v>0</v>
      </c>
      <c r="G44" s="53">
        <f>SUMIFS('PIS F'!$J$11:$J$344,'PIS F'!$B$11:$B$344,'SCH B-2.3 F'!$B44)</f>
        <v>0</v>
      </c>
      <c r="H44" s="53">
        <f t="shared" si="9"/>
        <v>661792014.49000001</v>
      </c>
      <c r="I44" s="53">
        <f>SUMIFS('PIS F'!$P$11:$P$344,'PIS F'!$B$11:$B$344,'SCH B-2.3 F'!$B44)</f>
        <v>656944962.10230768</v>
      </c>
    </row>
    <row r="45" spans="1:9" ht="18.95" customHeight="1">
      <c r="A45" s="30">
        <f>A44+1</f>
        <v>30</v>
      </c>
      <c r="B45" s="31" t="s">
        <v>1710</v>
      </c>
      <c r="C45" s="38" t="s">
        <v>1711</v>
      </c>
      <c r="D45" s="53">
        <f>SUMIFS('PIS F'!$D$11:$D$344,'PIS F'!$B$11:$B$344,'SCH B-2.3 F'!$B45)</f>
        <v>131343465.90999991</v>
      </c>
      <c r="E45" s="53">
        <f>SUMIFS('PIS F'!$F$11:$F$344,'PIS F'!$B$11:$B$344,'SCH B-2.3 F'!$B45)</f>
        <v>0</v>
      </c>
      <c r="F45" s="53">
        <f>SUMIFS('PIS F'!$H$11:$H$344,'PIS F'!$B$11:$B$344,'SCH B-2.3 F'!$B45)</f>
        <v>0</v>
      </c>
      <c r="G45" s="53">
        <f>SUMIFS('PIS F'!$J$11:$J$344,'PIS F'!$B$11:$B$344,'SCH B-2.3 F'!$B45)</f>
        <v>0</v>
      </c>
      <c r="H45" s="53">
        <f t="shared" si="9"/>
        <v>131343465.90999991</v>
      </c>
      <c r="I45" s="53">
        <f>SUMIFS('PIS F'!$P$11:$P$344,'PIS F'!$B$11:$B$344,'SCH B-2.3 F'!$B45)</f>
        <v>131343465.90999991</v>
      </c>
    </row>
    <row r="46" spans="1:9" ht="18.95" customHeight="1">
      <c r="A46" s="30">
        <f t="shared" si="0"/>
        <v>31</v>
      </c>
      <c r="B46" s="31" t="s">
        <v>1712</v>
      </c>
      <c r="C46" s="38" t="s">
        <v>1686</v>
      </c>
      <c r="D46" s="53">
        <f>SUMIFS('PIS F'!$D$11:$D$344,'PIS F'!$B$11:$B$344,'SCH B-2.3 F'!$B46)</f>
        <v>67325168.730000004</v>
      </c>
      <c r="E46" s="53">
        <f>SUMIFS('PIS F'!$F$11:$F$344,'PIS F'!$B$11:$B$344,'SCH B-2.3 F'!$B46)</f>
        <v>12772739.239999998</v>
      </c>
      <c r="F46" s="53">
        <f>SUMIFS('PIS F'!$H$11:$H$344,'PIS F'!$B$11:$B$344,'SCH B-2.3 F'!$B46)</f>
        <v>0</v>
      </c>
      <c r="G46" s="53">
        <f>SUMIFS('PIS F'!$J$11:$J$344,'PIS F'!$B$11:$B$344,'SCH B-2.3 F'!$B46)</f>
        <v>0</v>
      </c>
      <c r="H46" s="53">
        <f t="shared" si="9"/>
        <v>80097907.969999999</v>
      </c>
      <c r="I46" s="53">
        <f>SUMIFS('PIS F'!$P$11:$P$344,'PIS F'!$B$11:$B$344,'SCH B-2.3 F'!$B46)</f>
        <v>75937065.126923069</v>
      </c>
    </row>
    <row r="47" spans="1:9" ht="18.95" customHeight="1">
      <c r="A47" s="30">
        <f t="shared" si="0"/>
        <v>32</v>
      </c>
      <c r="B47" s="31" t="s">
        <v>1713</v>
      </c>
      <c r="C47" s="38" t="s">
        <v>1698</v>
      </c>
      <c r="D47" s="53">
        <f>SUMIFS('PIS F'!$D$11:$D$344,'PIS F'!$B$11:$B$344,'SCH B-2.3 F'!$B47)</f>
        <v>11512268.5</v>
      </c>
      <c r="E47" s="53">
        <f>SUMIFS('PIS F'!$F$11:$F$344,'PIS F'!$B$11:$B$344,'SCH B-2.3 F'!$B47)</f>
        <v>464500</v>
      </c>
      <c r="F47" s="53">
        <f>SUMIFS('PIS F'!$H$11:$H$344,'PIS F'!$B$11:$B$344,'SCH B-2.3 F'!$B47)</f>
        <v>0</v>
      </c>
      <c r="G47" s="53">
        <f>SUMIFS('PIS F'!$J$11:$J$344,'PIS F'!$B$11:$B$344,'SCH B-2.3 F'!$B47)</f>
        <v>0</v>
      </c>
      <c r="H47" s="53">
        <f t="shared" si="9"/>
        <v>11976768.5</v>
      </c>
      <c r="I47" s="53">
        <f>SUMIFS('PIS F'!$P$11:$P$344,'PIS F'!$B$11:$B$344,'SCH B-2.3 F'!$B47)</f>
        <v>11867345.423076926</v>
      </c>
    </row>
    <row r="48" spans="1:9" ht="18.95" customHeight="1">
      <c r="A48" s="30">
        <f t="shared" si="0"/>
        <v>33</v>
      </c>
      <c r="B48" s="31" t="s">
        <v>1714</v>
      </c>
      <c r="C48" s="38" t="s">
        <v>1749</v>
      </c>
      <c r="D48" s="54">
        <f>SUMIFS('PIS F'!$D$11:$D$344,'PIS F'!$B$11:$B$344,'SCH B-2.3 F'!$B48)</f>
        <v>403344.08999999997</v>
      </c>
      <c r="E48" s="54">
        <f>SUMIFS('PIS F'!$F$11:$F$344,'PIS F'!$B$11:$B$344,'SCH B-2.3 F'!$B48)</f>
        <v>0</v>
      </c>
      <c r="F48" s="54">
        <f>SUMIFS('PIS F'!$H$11:$H$344,'PIS F'!$B$11:$B$344,'SCH B-2.3 F'!$B48)</f>
        <v>0</v>
      </c>
      <c r="G48" s="54">
        <f>SUMIFS('PIS F'!$J$11:$J$344,'PIS F'!$B$11:$B$344,'SCH B-2.3 F'!$B48)</f>
        <v>0</v>
      </c>
      <c r="H48" s="54">
        <f t="shared" si="9"/>
        <v>403344.08999999997</v>
      </c>
      <c r="I48" s="54">
        <f>SUMIFS('PIS F'!$P$11:$P$344,'PIS F'!$B$11:$B$344,'SCH B-2.3 F'!$B48)</f>
        <v>403344.08999999991</v>
      </c>
    </row>
    <row r="49" spans="1:9" ht="18.95" customHeight="1">
      <c r="A49" s="30">
        <f t="shared" si="0"/>
        <v>34</v>
      </c>
      <c r="C49" s="38" t="s">
        <v>148</v>
      </c>
      <c r="D49" s="51">
        <f t="shared" ref="D49:H49" si="10">SUM(D41:D44,D45:D48)</f>
        <v>1005268215.16</v>
      </c>
      <c r="E49" s="51">
        <f t="shared" si="10"/>
        <v>28130740.68</v>
      </c>
      <c r="F49" s="51">
        <f t="shared" si="10"/>
        <v>0</v>
      </c>
      <c r="G49" s="51">
        <f t="shared" si="10"/>
        <v>0</v>
      </c>
      <c r="H49" s="51">
        <f t="shared" si="10"/>
        <v>1033398955.84</v>
      </c>
      <c r="I49" s="51">
        <f t="shared" ref="I49" si="11">SUM(I41:I44,I45:I48)</f>
        <v>1024118791.3784615</v>
      </c>
    </row>
    <row r="50" spans="1:9" ht="18.95" customHeight="1">
      <c r="A50" s="30"/>
    </row>
    <row r="51" spans="1:9" s="28" customFormat="1" ht="20.100000000000001" customHeight="1">
      <c r="A51" s="706" t="str">
        <f>$A$1</f>
        <v>KENTUCKY UTILITIES COMPANY</v>
      </c>
      <c r="B51" s="706"/>
      <c r="C51" s="706"/>
      <c r="D51" s="706"/>
      <c r="E51" s="706"/>
      <c r="F51" s="706"/>
      <c r="G51" s="706"/>
      <c r="H51" s="706"/>
      <c r="I51" s="706"/>
    </row>
    <row r="52" spans="1:9" s="28" customFormat="1" ht="20.100000000000001" customHeight="1">
      <c r="A52" s="706" t="str">
        <f>$A$2</f>
        <v>CASE NO. 2016-00370</v>
      </c>
      <c r="B52" s="706"/>
      <c r="C52" s="706"/>
      <c r="D52" s="706"/>
      <c r="E52" s="706"/>
      <c r="F52" s="706"/>
      <c r="G52" s="706"/>
      <c r="H52" s="706"/>
      <c r="I52" s="706"/>
    </row>
    <row r="53" spans="1:9" s="28" customFormat="1" ht="20.100000000000001" customHeight="1">
      <c r="A53" s="706" t="str">
        <f>$A$3</f>
        <v>GROSS ADDITIONS, RETIREMENTS, AND TRANSFERS</v>
      </c>
      <c r="B53" s="706"/>
      <c r="C53" s="706"/>
      <c r="D53" s="706"/>
      <c r="E53" s="706"/>
      <c r="F53" s="706"/>
      <c r="G53" s="706"/>
      <c r="H53" s="706"/>
      <c r="I53" s="706"/>
    </row>
    <row r="54" spans="1:9" s="28" customFormat="1" ht="20.100000000000001" customHeight="1">
      <c r="A54" s="705" t="str">
        <f>$A$4</f>
        <v>FROM JULY 1, 2017 TO JUNE 30, 2018</v>
      </c>
      <c r="B54" s="705"/>
      <c r="C54" s="705"/>
      <c r="D54" s="705"/>
      <c r="E54" s="705"/>
      <c r="F54" s="705"/>
      <c r="G54" s="705"/>
      <c r="H54" s="705"/>
      <c r="I54" s="705"/>
    </row>
    <row r="55" spans="1:9" s="28" customFormat="1" ht="20.100000000000001" customHeight="1">
      <c r="A55" s="44"/>
      <c r="B55" s="44"/>
      <c r="C55" s="44"/>
      <c r="D55" s="44"/>
      <c r="E55" s="44"/>
      <c r="F55" s="44"/>
      <c r="G55" s="44"/>
      <c r="H55" s="44"/>
      <c r="I55" s="44"/>
    </row>
    <row r="56" spans="1:9" s="28" customFormat="1" ht="20.100000000000001" customHeight="1">
      <c r="A56" s="27" t="str">
        <f>$A$6</f>
        <v>DATA:____BASE  PERIOD__X__FORECASTED  PERIOD</v>
      </c>
      <c r="B56" s="27"/>
      <c r="G56" s="34"/>
      <c r="H56" s="34"/>
      <c r="I56" s="35" t="str">
        <f>$I$6</f>
        <v>SCHEDULE B-2.3</v>
      </c>
    </row>
    <row r="57" spans="1:9" s="28" customFormat="1" ht="20.100000000000001" customHeight="1">
      <c r="A57" s="27" t="str">
        <f>$A$7</f>
        <v>TYPE OF FILING: __X__ ORIGINAL  _____ UPDATED  _____ REVISED</v>
      </c>
      <c r="G57" s="34"/>
      <c r="H57" s="34"/>
      <c r="I57" s="34" t="s">
        <v>172</v>
      </c>
    </row>
    <row r="58" spans="1:9" s="28" customFormat="1" ht="20.100000000000001" customHeight="1">
      <c r="A58" s="27" t="str">
        <f>$A$8</f>
        <v>WORKPAPER REFERENCE NO(S).:</v>
      </c>
      <c r="B58" s="27"/>
      <c r="F58" s="27"/>
      <c r="G58" s="35"/>
      <c r="H58" s="35"/>
      <c r="I58" s="35" t="str">
        <f>$I$8</f>
        <v>WITNESS:   C. M. GARRETT</v>
      </c>
    </row>
    <row r="59" spans="1:9" s="28" customFormat="1" ht="20.100000000000001" customHeight="1"/>
    <row r="60" spans="1:9" ht="66" customHeight="1">
      <c r="A60" s="36" t="s">
        <v>134</v>
      </c>
      <c r="B60" s="36" t="s">
        <v>137</v>
      </c>
      <c r="C60" s="39" t="s">
        <v>138</v>
      </c>
      <c r="D60" s="36" t="s">
        <v>165</v>
      </c>
      <c r="E60" s="36" t="s">
        <v>140</v>
      </c>
      <c r="F60" s="36" t="s">
        <v>141</v>
      </c>
      <c r="G60" s="36" t="s">
        <v>143</v>
      </c>
      <c r="H60" s="36" t="s">
        <v>166</v>
      </c>
      <c r="I60" s="36" t="s">
        <v>167</v>
      </c>
    </row>
    <row r="61" spans="1:9" ht="23.1" customHeight="1">
      <c r="A61" s="40"/>
      <c r="B61" s="40"/>
      <c r="C61" s="41"/>
      <c r="D61" s="42" t="s">
        <v>145</v>
      </c>
      <c r="E61" s="42" t="s">
        <v>145</v>
      </c>
      <c r="F61" s="42" t="s">
        <v>145</v>
      </c>
      <c r="G61" s="42" t="s">
        <v>145</v>
      </c>
      <c r="H61" s="42" t="s">
        <v>145</v>
      </c>
      <c r="I61" s="42" t="s">
        <v>145</v>
      </c>
    </row>
    <row r="62" spans="1:9" ht="18.95" customHeight="1">
      <c r="A62" s="30">
        <f>A49+1</f>
        <v>35</v>
      </c>
      <c r="C62" s="55" t="s">
        <v>86</v>
      </c>
    </row>
    <row r="63" spans="1:9" ht="18.95" customHeight="1">
      <c r="A63" s="30">
        <f t="shared" si="0"/>
        <v>36</v>
      </c>
      <c r="B63" s="31" t="s">
        <v>1715</v>
      </c>
      <c r="C63" s="38" t="s">
        <v>157</v>
      </c>
      <c r="D63" s="53">
        <f>SUMIFS('PIS F'!$D$11:$D$344,'PIS F'!$B$11:$B$344,'SCH B-2.3 F'!$B63)</f>
        <v>31789265.370000001</v>
      </c>
      <c r="E63" s="53">
        <f>SUMIFS('PIS F'!$F$11:$F$344,'PIS F'!$B$11:$B$344,'SCH B-2.3 F'!$B63)</f>
        <v>0</v>
      </c>
      <c r="F63" s="53">
        <f>SUMIFS('PIS F'!$H$11:$H$344,'PIS F'!$B$11:$B$344,'SCH B-2.3 F'!$B63)</f>
        <v>0</v>
      </c>
      <c r="G63" s="53">
        <f>SUMIFS('PIS F'!$J$11:$J$344,'PIS F'!$B$11:$B$344,'SCH B-2.3 F'!$B63)</f>
        <v>0</v>
      </c>
      <c r="H63" s="53">
        <f t="shared" ref="H63:H71" si="12">SUM(D63:G63)</f>
        <v>31789265.370000001</v>
      </c>
      <c r="I63" s="53">
        <f>SUMIFS('PIS F'!$P$11:$P$344,'PIS F'!$B$11:$B$344,'SCH B-2.3 F'!$B63)</f>
        <v>31789265.369999997</v>
      </c>
    </row>
    <row r="64" spans="1:9" ht="18.95" customHeight="1">
      <c r="A64" s="30">
        <f t="shared" si="0"/>
        <v>37</v>
      </c>
      <c r="B64" s="31" t="s">
        <v>1716</v>
      </c>
      <c r="C64" s="38" t="s">
        <v>151</v>
      </c>
      <c r="D64" s="53">
        <f>SUMIFS('PIS F'!$D$11:$D$344,'PIS F'!$B$11:$B$344,'SCH B-2.3 F'!$B64)</f>
        <v>28829721.41</v>
      </c>
      <c r="E64" s="53">
        <f>SUMIFS('PIS F'!$F$11:$F$344,'PIS F'!$B$11:$B$344,'SCH B-2.3 F'!$B64)</f>
        <v>0</v>
      </c>
      <c r="F64" s="53">
        <f>SUMIFS('PIS F'!$H$11:$H$344,'PIS F'!$B$11:$B$344,'SCH B-2.3 F'!$B64)</f>
        <v>0</v>
      </c>
      <c r="G64" s="53">
        <f>SUMIFS('PIS F'!$J$11:$J$344,'PIS F'!$B$11:$B$344,'SCH B-2.3 F'!$B64)</f>
        <v>0</v>
      </c>
      <c r="H64" s="53">
        <f t="shared" si="12"/>
        <v>28829721.41</v>
      </c>
      <c r="I64" s="53">
        <f>SUMIFS('PIS F'!$P$11:$P$344,'PIS F'!$B$11:$B$344,'SCH B-2.3 F'!$B64)</f>
        <v>28829721.41</v>
      </c>
    </row>
    <row r="65" spans="1:9" ht="18.95" customHeight="1">
      <c r="A65" s="30">
        <f t="shared" si="0"/>
        <v>38</v>
      </c>
      <c r="B65" s="31" t="s">
        <v>1717</v>
      </c>
      <c r="C65" s="38" t="s">
        <v>152</v>
      </c>
      <c r="D65" s="53">
        <f>SUMIFS('PIS F'!$D$11:$D$344,'PIS F'!$B$11:$B$344,'SCH B-2.3 F'!$B65)</f>
        <v>301239964.39000005</v>
      </c>
      <c r="E65" s="53">
        <f>SUMIFS('PIS F'!$F$11:$F$344,'PIS F'!$B$11:$B$344,'SCH B-2.3 F'!$B65)</f>
        <v>30747381.359999992</v>
      </c>
      <c r="F65" s="53">
        <f>SUMIFS('PIS F'!$H$11:$H$344,'PIS F'!$B$11:$B$344,'SCH B-2.3 F'!$B65)</f>
        <v>-1928336</v>
      </c>
      <c r="G65" s="53">
        <f>SUMIFS('PIS F'!$J$11:$J$344,'PIS F'!$B$11:$B$344,'SCH B-2.3 F'!$B65)</f>
        <v>0</v>
      </c>
      <c r="H65" s="53">
        <f t="shared" si="12"/>
        <v>330059009.75000006</v>
      </c>
      <c r="I65" s="53">
        <f>SUMIFS('PIS F'!$P$11:$P$344,'PIS F'!$B$11:$B$344,'SCH B-2.3 F'!$B65)</f>
        <v>314860882.96384615</v>
      </c>
    </row>
    <row r="66" spans="1:9" ht="18.95" customHeight="1">
      <c r="A66" s="30">
        <f t="shared" si="0"/>
        <v>39</v>
      </c>
      <c r="B66" s="31" t="s">
        <v>1718</v>
      </c>
      <c r="C66" s="38" t="s">
        <v>1719</v>
      </c>
      <c r="D66" s="53">
        <f>SUMIFS('PIS F'!$D$11:$D$344,'PIS F'!$B$11:$B$344,'SCH B-2.3 F'!$B66)</f>
        <v>76371012.639999986</v>
      </c>
      <c r="E66" s="53">
        <f>SUMIFS('PIS F'!$F$11:$F$344,'PIS F'!$B$11:$B$344,'SCH B-2.3 F'!$B66)</f>
        <v>0</v>
      </c>
      <c r="F66" s="53">
        <f>SUMIFS('PIS F'!$H$11:$H$344,'PIS F'!$B$11:$B$344,'SCH B-2.3 F'!$B66)</f>
        <v>0</v>
      </c>
      <c r="G66" s="53">
        <f>SUMIFS('PIS F'!$J$11:$J$344,'PIS F'!$B$11:$B$344,'SCH B-2.3 F'!$B66)</f>
        <v>0</v>
      </c>
      <c r="H66" s="53">
        <f t="shared" si="12"/>
        <v>76371012.639999986</v>
      </c>
      <c r="I66" s="53">
        <f>SUMIFS('PIS F'!$P$11:$P$344,'PIS F'!$B$11:$B$344,'SCH B-2.3 F'!$B66)</f>
        <v>76371012.639999986</v>
      </c>
    </row>
    <row r="67" spans="1:9" ht="18.95" customHeight="1">
      <c r="A67" s="30">
        <f t="shared" si="0"/>
        <v>40</v>
      </c>
      <c r="B67" s="31" t="s">
        <v>1720</v>
      </c>
      <c r="C67" s="38" t="s">
        <v>1721</v>
      </c>
      <c r="D67" s="53">
        <f>SUMIFS('PIS F'!$D$11:$D$344,'PIS F'!$B$11:$B$344,'SCH B-2.3 F'!$B67)</f>
        <v>314643850.88999987</v>
      </c>
      <c r="E67" s="53">
        <f>SUMIFS('PIS F'!$F$11:$F$344,'PIS F'!$B$11:$B$344,'SCH B-2.3 F'!$B67)</f>
        <v>60258243.199999973</v>
      </c>
      <c r="F67" s="53">
        <f>SUMIFS('PIS F'!$H$11:$H$344,'PIS F'!$B$11:$B$344,'SCH B-2.3 F'!$B67)</f>
        <v>0</v>
      </c>
      <c r="G67" s="53">
        <f>SUMIFS('PIS F'!$J$11:$J$344,'PIS F'!$B$11:$B$344,'SCH B-2.3 F'!$B67)</f>
        <v>0</v>
      </c>
      <c r="H67" s="53">
        <f t="shared" si="12"/>
        <v>374902094.08999985</v>
      </c>
      <c r="I67" s="53">
        <f>SUMIFS('PIS F'!$P$11:$P$344,'PIS F'!$B$11:$B$344,'SCH B-2.3 F'!$B67)</f>
        <v>342219519.57230759</v>
      </c>
    </row>
    <row r="68" spans="1:9" ht="18.95" customHeight="1">
      <c r="A68" s="30">
        <f t="shared" si="0"/>
        <v>41</v>
      </c>
      <c r="B68" s="31" t="s">
        <v>1722</v>
      </c>
      <c r="C68" s="38" t="s">
        <v>1723</v>
      </c>
      <c r="D68" s="53">
        <f>SUMIFS('PIS F'!$D$11:$D$344,'PIS F'!$B$11:$B$344,'SCH B-2.3 F'!$B68)</f>
        <v>183164636.96000001</v>
      </c>
      <c r="E68" s="53">
        <f>SUMIFS('PIS F'!$F$11:$F$344,'PIS F'!$B$11:$B$344,'SCH B-2.3 F'!$B68)</f>
        <v>3015764.55</v>
      </c>
      <c r="F68" s="53">
        <f>SUMIFS('PIS F'!$H$11:$H$344,'PIS F'!$B$11:$B$344,'SCH B-2.3 F'!$B68)</f>
        <v>0</v>
      </c>
      <c r="G68" s="53">
        <f>SUMIFS('PIS F'!$J$11:$J$344,'PIS F'!$B$11:$B$344,'SCH B-2.3 F'!$B68)</f>
        <v>0</v>
      </c>
      <c r="H68" s="53">
        <f t="shared" si="12"/>
        <v>186180401.51000002</v>
      </c>
      <c r="I68" s="53">
        <f>SUMIFS('PIS F'!$P$11:$P$344,'PIS F'!$B$11:$B$344,'SCH B-2.3 F'!$B68)</f>
        <v>185411222.53769231</v>
      </c>
    </row>
    <row r="69" spans="1:9" ht="18.95" customHeight="1">
      <c r="A69" s="30">
        <f t="shared" si="0"/>
        <v>42</v>
      </c>
      <c r="B69" s="31" t="s">
        <v>1724</v>
      </c>
      <c r="C69" s="38" t="s">
        <v>1725</v>
      </c>
      <c r="D69" s="53">
        <f>SUMIFS('PIS F'!$D$11:$D$344,'PIS F'!$B$11:$B$344,'SCH B-2.3 F'!$B69)</f>
        <v>448760.26</v>
      </c>
      <c r="E69" s="53">
        <f>SUMIFS('PIS F'!$F$11:$F$344,'PIS F'!$B$11:$B$344,'SCH B-2.3 F'!$B69)</f>
        <v>0</v>
      </c>
      <c r="F69" s="53">
        <f>SUMIFS('PIS F'!$H$11:$H$344,'PIS F'!$B$11:$B$344,'SCH B-2.3 F'!$B69)</f>
        <v>0</v>
      </c>
      <c r="G69" s="53">
        <f>SUMIFS('PIS F'!$J$11:$J$344,'PIS F'!$B$11:$B$344,'SCH B-2.3 F'!$B69)</f>
        <v>0</v>
      </c>
      <c r="H69" s="53">
        <f t="shared" si="12"/>
        <v>448760.26</v>
      </c>
      <c r="I69" s="53">
        <f>SUMIFS('PIS F'!$P$11:$P$344,'PIS F'!$B$11:$B$344,'SCH B-2.3 F'!$B69)</f>
        <v>448760.26</v>
      </c>
    </row>
    <row r="70" spans="1:9" ht="18.95" customHeight="1">
      <c r="A70" s="30">
        <f t="shared" si="0"/>
        <v>43</v>
      </c>
      <c r="B70" s="31" t="s">
        <v>1726</v>
      </c>
      <c r="C70" s="38" t="s">
        <v>1727</v>
      </c>
      <c r="D70" s="53">
        <f>SUMIFS('PIS F'!$D$11:$D$344,'PIS F'!$B$11:$B$344,'SCH B-2.3 F'!$B70)</f>
        <v>1116714.08</v>
      </c>
      <c r="E70" s="53">
        <f>SUMIFS('PIS F'!$F$11:$F$344,'PIS F'!$B$11:$B$344,'SCH B-2.3 F'!$B70)</f>
        <v>0</v>
      </c>
      <c r="F70" s="53">
        <f>SUMIFS('PIS F'!$H$11:$H$344,'PIS F'!$B$11:$B$344,'SCH B-2.3 F'!$B70)</f>
        <v>0</v>
      </c>
      <c r="G70" s="53">
        <f>SUMIFS('PIS F'!$J$11:$J$344,'PIS F'!$B$11:$B$344,'SCH B-2.3 F'!$B70)</f>
        <v>0</v>
      </c>
      <c r="H70" s="53">
        <f t="shared" si="12"/>
        <v>1116714.08</v>
      </c>
      <c r="I70" s="53">
        <f>SUMIFS('PIS F'!$P$11:$P$344,'PIS F'!$B$11:$B$344,'SCH B-2.3 F'!$B70)</f>
        <v>1116714.08</v>
      </c>
    </row>
    <row r="71" spans="1:9" ht="18.95" customHeight="1">
      <c r="A71" s="30">
        <f t="shared" si="0"/>
        <v>44</v>
      </c>
      <c r="B71" s="31" t="s">
        <v>1728</v>
      </c>
      <c r="C71" s="38" t="s">
        <v>155</v>
      </c>
      <c r="D71" s="54">
        <f>SUMIFS('PIS F'!$D$11:$D$344,'PIS F'!$B$11:$B$344,'SCH B-2.3 F'!$B71)</f>
        <v>413450.63</v>
      </c>
      <c r="E71" s="54">
        <f>SUMIFS('PIS F'!$F$11:$F$344,'PIS F'!$B$11:$B$344,'SCH B-2.3 F'!$B71)</f>
        <v>0</v>
      </c>
      <c r="F71" s="54">
        <f>SUMIFS('PIS F'!$H$11:$H$344,'PIS F'!$B$11:$B$344,'SCH B-2.3 F'!$B71)</f>
        <v>0</v>
      </c>
      <c r="G71" s="54">
        <f>SUMIFS('PIS F'!$J$11:$J$344,'PIS F'!$B$11:$B$344,'SCH B-2.3 F'!$B71)</f>
        <v>0</v>
      </c>
      <c r="H71" s="54">
        <f t="shared" si="12"/>
        <v>413450.63</v>
      </c>
      <c r="I71" s="54">
        <f>SUMIFS('PIS F'!$P$11:$P$344,'PIS F'!$B$11:$B$344,'SCH B-2.3 F'!$B71)</f>
        <v>413450.63</v>
      </c>
    </row>
    <row r="72" spans="1:9" ht="18.95" customHeight="1">
      <c r="A72" s="30">
        <f t="shared" si="0"/>
        <v>45</v>
      </c>
      <c r="C72" s="38" t="s">
        <v>153</v>
      </c>
      <c r="D72" s="51">
        <f>SUM(D63:D71)</f>
        <v>938017376.63</v>
      </c>
      <c r="E72" s="51">
        <f t="shared" ref="E72:I72" si="13">SUM(E63:E71)</f>
        <v>94021389.10999997</v>
      </c>
      <c r="F72" s="51">
        <f t="shared" si="13"/>
        <v>-1928336</v>
      </c>
      <c r="G72" s="51">
        <f t="shared" si="13"/>
        <v>0</v>
      </c>
      <c r="H72" s="51">
        <f t="shared" si="13"/>
        <v>1030110429.74</v>
      </c>
      <c r="I72" s="51">
        <f t="shared" si="13"/>
        <v>981460549.46384609</v>
      </c>
    </row>
    <row r="73" spans="1:9" ht="18.95" customHeight="1">
      <c r="A73" s="30"/>
      <c r="B73" s="31"/>
    </row>
    <row r="74" spans="1:9" ht="18.95" customHeight="1">
      <c r="A74" s="30">
        <f>A72+1</f>
        <v>46</v>
      </c>
      <c r="B74" s="31" t="s">
        <v>254</v>
      </c>
      <c r="C74" s="55" t="s">
        <v>16</v>
      </c>
    </row>
    <row r="75" spans="1:9" ht="18.95" customHeight="1">
      <c r="A75" s="30">
        <f t="shared" si="0"/>
        <v>47</v>
      </c>
      <c r="B75" s="31" t="s">
        <v>1729</v>
      </c>
      <c r="C75" s="38" t="s">
        <v>157</v>
      </c>
      <c r="D75" s="53">
        <f>SUMIFS('PIS F'!$D$11:$D$344,'PIS F'!$B$11:$B$344,'SCH B-2.3 F'!$B75)</f>
        <v>8626045.8599999994</v>
      </c>
      <c r="E75" s="53">
        <f>SUMIFS('PIS F'!$F$11:$F$344,'PIS F'!$B$11:$B$344,'SCH B-2.3 F'!$B75)</f>
        <v>400750</v>
      </c>
      <c r="F75" s="53">
        <f>SUMIFS('PIS F'!$H$11:$H$344,'PIS F'!$B$11:$B$344,'SCH B-2.3 F'!$B75)</f>
        <v>0</v>
      </c>
      <c r="G75" s="53">
        <f>SUMIFS('PIS F'!$J$11:$J$344,'PIS F'!$B$11:$B$344,'SCH B-2.3 F'!$B75)</f>
        <v>0</v>
      </c>
      <c r="H75" s="53">
        <f t="shared" ref="H75:H87" si="14">SUM(D75:G75)</f>
        <v>9026795.8599999994</v>
      </c>
      <c r="I75" s="53">
        <f>SUMIFS('PIS F'!$P$11:$P$344,'PIS F'!$B$11:$B$344,'SCH B-2.3 F'!$B75)</f>
        <v>8841834.3215384595</v>
      </c>
    </row>
    <row r="76" spans="1:9" ht="18.95" customHeight="1">
      <c r="A76" s="30">
        <f t="shared" si="0"/>
        <v>48</v>
      </c>
      <c r="B76" s="31" t="s">
        <v>1730</v>
      </c>
      <c r="C76" s="38" t="s">
        <v>151</v>
      </c>
      <c r="D76" s="53">
        <f>SUMIFS('PIS F'!$D$11:$D$344,'PIS F'!$B$11:$B$344,'SCH B-2.3 F'!$B76)</f>
        <v>12509663.559999999</v>
      </c>
      <c r="E76" s="53">
        <f>SUMIFS('PIS F'!$F$11:$F$344,'PIS F'!$B$11:$B$344,'SCH B-2.3 F'!$B76)</f>
        <v>1648306.39</v>
      </c>
      <c r="F76" s="53">
        <f>SUMIFS('PIS F'!$H$11:$H$344,'PIS F'!$B$11:$B$344,'SCH B-2.3 F'!$B76)</f>
        <v>0</v>
      </c>
      <c r="G76" s="53">
        <f>SUMIFS('PIS F'!$J$11:$J$344,'PIS F'!$B$11:$B$344,'SCH B-2.3 F'!$B76)</f>
        <v>0</v>
      </c>
      <c r="H76" s="53">
        <f t="shared" si="14"/>
        <v>14157969.949999999</v>
      </c>
      <c r="I76" s="53">
        <f>SUMIFS('PIS F'!$P$11:$P$344,'PIS F'!$B$11:$B$344,'SCH B-2.3 F'!$B76)</f>
        <v>13999366.996923074</v>
      </c>
    </row>
    <row r="77" spans="1:9" ht="18.95" customHeight="1">
      <c r="A77" s="30">
        <f t="shared" si="0"/>
        <v>49</v>
      </c>
      <c r="B77" s="31" t="s">
        <v>1731</v>
      </c>
      <c r="C77" s="38" t="s">
        <v>1732</v>
      </c>
      <c r="D77" s="53">
        <f>SUMIFS('PIS F'!$D$11:$D$344,'PIS F'!$B$11:$B$344,'SCH B-2.3 F'!$B77)</f>
        <v>190615736.51999998</v>
      </c>
      <c r="E77" s="53">
        <f>SUMIFS('PIS F'!$F$11:$F$344,'PIS F'!$B$11:$B$344,'SCH B-2.3 F'!$B77)</f>
        <v>18674231.59</v>
      </c>
      <c r="F77" s="53">
        <f>SUMIFS('PIS F'!$H$11:$H$344,'PIS F'!$B$11:$B$344,'SCH B-2.3 F'!$B77)</f>
        <v>-1138217.9999999998</v>
      </c>
      <c r="G77" s="53">
        <f>SUMIFS('PIS F'!$J$11:$J$344,'PIS F'!$B$11:$B$344,'SCH B-2.3 F'!$B77)</f>
        <v>0</v>
      </c>
      <c r="H77" s="53">
        <f t="shared" si="14"/>
        <v>208151750.10999998</v>
      </c>
      <c r="I77" s="53">
        <f>SUMIFS('PIS F'!$P$11:$P$344,'PIS F'!$B$11:$B$344,'SCH B-2.3 F'!$B77)</f>
        <v>200108094.3461538</v>
      </c>
    </row>
    <row r="78" spans="1:9" ht="18.95" customHeight="1">
      <c r="A78" s="30">
        <f t="shared" ref="A78:A88" si="15">A77+1</f>
        <v>50</v>
      </c>
      <c r="B78" s="31" t="s">
        <v>1733</v>
      </c>
      <c r="C78" s="38" t="s">
        <v>1734</v>
      </c>
      <c r="D78" s="53">
        <f>SUMIFS('PIS F'!$D$11:$D$344,'PIS F'!$B$11:$B$344,'SCH B-2.3 F'!$B78)</f>
        <v>381095393.62999904</v>
      </c>
      <c r="E78" s="53">
        <f>SUMIFS('PIS F'!$F$11:$F$344,'PIS F'!$B$11:$B$344,'SCH B-2.3 F'!$B78)</f>
        <v>13760510.519999977</v>
      </c>
      <c r="F78" s="53">
        <f>SUMIFS('PIS F'!$H$11:$H$344,'PIS F'!$B$11:$B$344,'SCH B-2.3 F'!$B78)</f>
        <v>-1491576</v>
      </c>
      <c r="G78" s="53">
        <f>SUMIFS('PIS F'!$J$11:$J$344,'PIS F'!$B$11:$B$344,'SCH B-2.3 F'!$B78)</f>
        <v>0</v>
      </c>
      <c r="H78" s="53">
        <f t="shared" si="14"/>
        <v>393364328.14999902</v>
      </c>
      <c r="I78" s="53">
        <f>SUMIFS('PIS F'!$P$11:$P$344,'PIS F'!$B$11:$B$344,'SCH B-2.3 F'!$B78)</f>
        <v>387247022.39922982</v>
      </c>
    </row>
    <row r="79" spans="1:9" ht="18.95" customHeight="1">
      <c r="A79" s="30">
        <f t="shared" si="15"/>
        <v>51</v>
      </c>
      <c r="B79" s="31" t="s">
        <v>1735</v>
      </c>
      <c r="C79" s="38" t="s">
        <v>1723</v>
      </c>
      <c r="D79" s="53">
        <f>SUMIFS('PIS F'!$D$11:$D$344,'PIS F'!$B$11:$B$344,'SCH B-2.3 F'!$B79)</f>
        <v>375869830.65999901</v>
      </c>
      <c r="E79" s="53">
        <f>SUMIFS('PIS F'!$F$11:$F$344,'PIS F'!$B$11:$B$344,'SCH B-2.3 F'!$B79)</f>
        <v>25664434.909999918</v>
      </c>
      <c r="F79" s="53">
        <f>SUMIFS('PIS F'!$H$11:$H$344,'PIS F'!$B$11:$B$344,'SCH B-2.3 F'!$B79)</f>
        <v>-4566109</v>
      </c>
      <c r="G79" s="53">
        <f>SUMIFS('PIS F'!$J$11:$J$344,'PIS F'!$B$11:$B$344,'SCH B-2.3 F'!$B79)</f>
        <v>0</v>
      </c>
      <c r="H79" s="53">
        <f t="shared" si="14"/>
        <v>396968156.56999892</v>
      </c>
      <c r="I79" s="53">
        <f>SUMIFS('PIS F'!$P$11:$P$344,'PIS F'!$B$11:$B$344,'SCH B-2.3 F'!$B79)</f>
        <v>386260065.67153758</v>
      </c>
    </row>
    <row r="80" spans="1:9" ht="18.95" customHeight="1">
      <c r="A80" s="30">
        <f t="shared" si="15"/>
        <v>52</v>
      </c>
      <c r="B80" s="31" t="s">
        <v>1736</v>
      </c>
      <c r="C80" s="38" t="s">
        <v>1725</v>
      </c>
      <c r="D80" s="53">
        <f>SUMIFS('PIS F'!$D$11:$D$344,'PIS F'!$B$11:$B$344,'SCH B-2.3 F'!$B80)</f>
        <v>2381227.6699999901</v>
      </c>
      <c r="E80" s="53">
        <f>SUMIFS('PIS F'!$F$11:$F$344,'PIS F'!$B$11:$B$344,'SCH B-2.3 F'!$B80)</f>
        <v>0</v>
      </c>
      <c r="F80" s="53">
        <f>SUMIFS('PIS F'!$H$11:$H$344,'PIS F'!$B$11:$B$344,'SCH B-2.3 F'!$B80)</f>
        <v>0</v>
      </c>
      <c r="G80" s="53">
        <f>SUMIFS('PIS F'!$J$11:$J$344,'PIS F'!$B$11:$B$344,'SCH B-2.3 F'!$B80)</f>
        <v>0</v>
      </c>
      <c r="H80" s="53">
        <f t="shared" si="14"/>
        <v>2381227.6699999901</v>
      </c>
      <c r="I80" s="53">
        <f>SUMIFS('PIS F'!$P$11:$P$344,'PIS F'!$B$11:$B$344,'SCH B-2.3 F'!$B80)</f>
        <v>2381227.6699999906</v>
      </c>
    </row>
    <row r="81" spans="1:9" ht="18.95" customHeight="1">
      <c r="A81" s="30">
        <f t="shared" si="15"/>
        <v>53</v>
      </c>
      <c r="B81" s="31" t="s">
        <v>1737</v>
      </c>
      <c r="C81" s="38" t="s">
        <v>1727</v>
      </c>
      <c r="D81" s="53">
        <f>SUMIFS('PIS F'!$D$11:$D$344,'PIS F'!$B$11:$B$344,'SCH B-2.3 F'!$B81)</f>
        <v>198059971.51000002</v>
      </c>
      <c r="E81" s="53">
        <f>SUMIFS('PIS F'!$F$11:$F$344,'PIS F'!$B$11:$B$344,'SCH B-2.3 F'!$B81)</f>
        <v>15078563.66999995</v>
      </c>
      <c r="F81" s="53">
        <f>SUMIFS('PIS F'!$H$11:$H$344,'PIS F'!$B$11:$B$344,'SCH B-2.3 F'!$B81)</f>
        <v>0</v>
      </c>
      <c r="G81" s="53">
        <f>SUMIFS('PIS F'!$J$11:$J$344,'PIS F'!$B$11:$B$344,'SCH B-2.3 F'!$B81)</f>
        <v>0</v>
      </c>
      <c r="H81" s="53">
        <f t="shared" si="14"/>
        <v>213138535.17999998</v>
      </c>
      <c r="I81" s="53">
        <f>SUMIFS('PIS F'!$P$11:$P$344,'PIS F'!$B$11:$B$344,'SCH B-2.3 F'!$B81)</f>
        <v>205579046.56384617</v>
      </c>
    </row>
    <row r="82" spans="1:9" ht="18.95" customHeight="1">
      <c r="A82" s="30">
        <f t="shared" si="15"/>
        <v>54</v>
      </c>
      <c r="B82" s="31" t="s">
        <v>1738</v>
      </c>
      <c r="C82" s="38" t="s">
        <v>1739</v>
      </c>
      <c r="D82" s="53">
        <f>SUMIFS('PIS F'!$D$11:$D$344,'PIS F'!$B$11:$B$344,'SCH B-2.3 F'!$B82)</f>
        <v>317713097.47999901</v>
      </c>
      <c r="E82" s="53">
        <f>SUMIFS('PIS F'!$F$11:$F$344,'PIS F'!$B$11:$B$344,'SCH B-2.3 F'!$B82)</f>
        <v>9367556.4499999974</v>
      </c>
      <c r="F82" s="53">
        <f>SUMIFS('PIS F'!$H$11:$H$344,'PIS F'!$B$11:$B$344,'SCH B-2.3 F'!$B82)</f>
        <v>-1505672.9999999995</v>
      </c>
      <c r="G82" s="53">
        <f>SUMIFS('PIS F'!$J$11:$J$344,'PIS F'!$B$11:$B$344,'SCH B-2.3 F'!$B82)</f>
        <v>0</v>
      </c>
      <c r="H82" s="53">
        <f t="shared" si="14"/>
        <v>325574980.92999899</v>
      </c>
      <c r="I82" s="53">
        <f>SUMIFS('PIS F'!$P$11:$P$344,'PIS F'!$B$11:$B$344,'SCH B-2.3 F'!$B82)</f>
        <v>321787311.83846045</v>
      </c>
    </row>
    <row r="83" spans="1:9" ht="18.95" customHeight="1">
      <c r="A83" s="30">
        <f t="shared" si="15"/>
        <v>55</v>
      </c>
      <c r="B83" s="31" t="s">
        <v>1740</v>
      </c>
      <c r="C83" s="38" t="s">
        <v>1741</v>
      </c>
      <c r="D83" s="53">
        <f>SUMIFS('PIS F'!$D$11:$D$344,'PIS F'!$B$11:$B$344,'SCH B-2.3 F'!$B83)</f>
        <v>102761818.7299999</v>
      </c>
      <c r="E83" s="53">
        <f>SUMIFS('PIS F'!$F$11:$F$344,'PIS F'!$B$11:$B$344,'SCH B-2.3 F'!$B83)</f>
        <v>0</v>
      </c>
      <c r="F83" s="53">
        <f>SUMIFS('PIS F'!$H$11:$H$344,'PIS F'!$B$11:$B$344,'SCH B-2.3 F'!$B83)</f>
        <v>0</v>
      </c>
      <c r="G83" s="53">
        <f>SUMIFS('PIS F'!$J$11:$J$344,'PIS F'!$B$11:$B$344,'SCH B-2.3 F'!$B83)</f>
        <v>0</v>
      </c>
      <c r="H83" s="53">
        <f t="shared" si="14"/>
        <v>102761818.7299999</v>
      </c>
      <c r="I83" s="53">
        <f>SUMIFS('PIS F'!$P$11:$P$344,'PIS F'!$B$11:$B$344,'SCH B-2.3 F'!$B83)</f>
        <v>102761818.72999987</v>
      </c>
    </row>
    <row r="84" spans="1:9" ht="18.95" customHeight="1">
      <c r="A84" s="30">
        <f>A83+1</f>
        <v>56</v>
      </c>
      <c r="B84" s="31" t="s">
        <v>1742</v>
      </c>
      <c r="C84" s="38" t="s">
        <v>1743</v>
      </c>
      <c r="D84" s="53">
        <f>SUMIFS('PIS F'!$D$11:$D$344,'PIS F'!$B$11:$B$344,'SCH B-2.3 F'!$B84)</f>
        <v>78874711.799999997</v>
      </c>
      <c r="E84" s="53">
        <f>SUMIFS('PIS F'!$F$11:$F$344,'PIS F'!$B$11:$B$344,'SCH B-2.3 F'!$B84)</f>
        <v>32403512.199999996</v>
      </c>
      <c r="F84" s="53">
        <f>SUMIFS('PIS F'!$H$11:$H$344,'PIS F'!$B$11:$B$344,'SCH B-2.3 F'!$B84)</f>
        <v>-17157407.649999991</v>
      </c>
      <c r="G84" s="53">
        <f>SUMIFS('PIS F'!$J$11:$J$344,'PIS F'!$B$11:$B$344,'SCH B-2.3 F'!$B84)</f>
        <v>0</v>
      </c>
      <c r="H84" s="53">
        <f t="shared" si="14"/>
        <v>94120816.350000009</v>
      </c>
      <c r="I84" s="53">
        <f>SUMIFS('PIS F'!$P$11:$P$344,'PIS F'!$B$11:$B$344,'SCH B-2.3 F'!$B84)</f>
        <v>87291433.274615362</v>
      </c>
    </row>
    <row r="85" spans="1:9" ht="18.95" customHeight="1">
      <c r="A85" s="30">
        <f t="shared" si="15"/>
        <v>57</v>
      </c>
      <c r="B85" s="31" t="s">
        <v>1744</v>
      </c>
      <c r="C85" s="38" t="s">
        <v>1745</v>
      </c>
      <c r="D85" s="53">
        <f>SUMIFS('PIS F'!$D$11:$D$344,'PIS F'!$B$11:$B$344,'SCH B-2.3 F'!$B85)</f>
        <v>237042.22999999998</v>
      </c>
      <c r="E85" s="53">
        <f>SUMIFS('PIS F'!$F$11:$F$344,'PIS F'!$B$11:$B$344,'SCH B-2.3 F'!$B85)</f>
        <v>88500.000000000015</v>
      </c>
      <c r="F85" s="53">
        <f>SUMIFS('PIS F'!$H$11:$H$344,'PIS F'!$B$11:$B$344,'SCH B-2.3 F'!$B85)</f>
        <v>0</v>
      </c>
      <c r="G85" s="53">
        <f>SUMIFS('PIS F'!$J$11:$J$344,'PIS F'!$B$11:$B$344,'SCH B-2.3 F'!$B85)</f>
        <v>0</v>
      </c>
      <c r="H85" s="53">
        <f t="shared" si="14"/>
        <v>325542.23</v>
      </c>
      <c r="I85" s="53">
        <f>SUMIFS('PIS F'!$P$11:$P$344,'PIS F'!$B$11:$B$344,'SCH B-2.3 F'!$B85)</f>
        <v>282792.23923076928</v>
      </c>
    </row>
    <row r="86" spans="1:9" ht="18.95" customHeight="1">
      <c r="A86" s="30">
        <f t="shared" si="15"/>
        <v>58</v>
      </c>
      <c r="B86" s="31" t="s">
        <v>1746</v>
      </c>
      <c r="C86" s="38" t="s">
        <v>1747</v>
      </c>
      <c r="D86" s="53">
        <f>SUMIFS('PIS F'!$D$11:$D$344,'PIS F'!$B$11:$B$344,'SCH B-2.3 F'!$B86)</f>
        <v>116712710.95999999</v>
      </c>
      <c r="E86" s="53">
        <f>SUMIFS('PIS F'!$F$11:$F$344,'PIS F'!$B$11:$B$344,'SCH B-2.3 F'!$B86)</f>
        <v>6964318.959999999</v>
      </c>
      <c r="F86" s="53">
        <f>SUMIFS('PIS F'!$H$11:$H$344,'PIS F'!$B$11:$B$344,'SCH B-2.3 F'!$B86)</f>
        <v>-2899256.9999999995</v>
      </c>
      <c r="G86" s="53">
        <f>SUMIFS('PIS F'!$J$11:$J$344,'PIS F'!$B$11:$B$344,'SCH B-2.3 F'!$B86)</f>
        <v>0</v>
      </c>
      <c r="H86" s="53">
        <f t="shared" si="14"/>
        <v>120777772.91999999</v>
      </c>
      <c r="I86" s="53">
        <f>SUMIFS('PIS F'!$P$11:$P$344,'PIS F'!$B$11:$B$344,'SCH B-2.3 F'!$B86)</f>
        <v>118728679.84538461</v>
      </c>
    </row>
    <row r="87" spans="1:9" ht="18.95" customHeight="1">
      <c r="A87" s="30">
        <f t="shared" si="15"/>
        <v>59</v>
      </c>
      <c r="B87" s="31" t="s">
        <v>1748</v>
      </c>
      <c r="C87" s="38" t="s">
        <v>154</v>
      </c>
      <c r="D87" s="54">
        <f>SUMIFS('PIS F'!$D$11:$D$344,'PIS F'!$B$11:$B$344,'SCH B-2.3 F'!$B87)</f>
        <v>904896.86</v>
      </c>
      <c r="E87" s="54">
        <f>SUMIFS('PIS F'!$F$11:$F$344,'PIS F'!$B$11:$B$344,'SCH B-2.3 F'!$B87)</f>
        <v>0</v>
      </c>
      <c r="F87" s="54">
        <f>SUMIFS('PIS F'!$H$11:$H$344,'PIS F'!$B$11:$B$344,'SCH B-2.3 F'!$B87)</f>
        <v>0</v>
      </c>
      <c r="G87" s="54">
        <f>SUMIFS('PIS F'!$J$11:$J$344,'PIS F'!$B$11:$B$344,'SCH B-2.3 F'!$B87)</f>
        <v>0</v>
      </c>
      <c r="H87" s="54">
        <f t="shared" si="14"/>
        <v>904896.86</v>
      </c>
      <c r="I87" s="54">
        <f>SUMIFS('PIS F'!$P$11:$P$344,'PIS F'!$B$11:$B$344,'SCH B-2.3 F'!$B87)</f>
        <v>904896.86000000022</v>
      </c>
    </row>
    <row r="88" spans="1:9" ht="18.95" customHeight="1">
      <c r="A88" s="30">
        <f t="shared" si="15"/>
        <v>60</v>
      </c>
      <c r="B88" s="31"/>
      <c r="C88" s="38" t="s">
        <v>156</v>
      </c>
      <c r="D88" s="51">
        <f>SUM(D75:D87)</f>
        <v>1786362147.4699969</v>
      </c>
      <c r="E88" s="51">
        <f t="shared" ref="E88:I88" si="16">SUM(E75:E87)</f>
        <v>124050684.68999983</v>
      </c>
      <c r="F88" s="51">
        <f t="shared" si="16"/>
        <v>-28758240.649999991</v>
      </c>
      <c r="G88" s="51">
        <f t="shared" si="16"/>
        <v>0</v>
      </c>
      <c r="H88" s="51">
        <f t="shared" si="16"/>
        <v>1881654591.5099967</v>
      </c>
      <c r="I88" s="51">
        <f t="shared" si="16"/>
        <v>1836173590.7569199</v>
      </c>
    </row>
    <row r="89" spans="1:9" ht="18.95" customHeight="1">
      <c r="A89" s="30"/>
      <c r="B89" s="31"/>
      <c r="C89" s="38"/>
      <c r="D89" s="51"/>
      <c r="E89" s="51"/>
      <c r="F89" s="51"/>
      <c r="G89" s="51"/>
      <c r="H89" s="51"/>
      <c r="I89" s="51"/>
    </row>
    <row r="90" spans="1:9" ht="18.95" customHeight="1">
      <c r="A90" s="30">
        <f>A88+1</f>
        <v>61</v>
      </c>
      <c r="C90" s="55" t="s">
        <v>33</v>
      </c>
    </row>
    <row r="91" spans="1:9" ht="18.95" customHeight="1">
      <c r="A91" s="30">
        <f t="shared" ref="A91:A112" si="17">A90+1</f>
        <v>62</v>
      </c>
      <c r="B91" s="31" t="s">
        <v>1750</v>
      </c>
      <c r="C91" s="38" t="s">
        <v>157</v>
      </c>
      <c r="D91" s="53">
        <f>SUMIFS('PIS F'!$D$11:$D$344,'PIS F'!$B$11:$B$344,'SCH B-2.3 F'!$B91)</f>
        <v>3410792.0699999989</v>
      </c>
      <c r="E91" s="53">
        <f>SUMIFS('PIS F'!$F$11:$F$344,'PIS F'!$B$11:$B$344,'SCH B-2.3 F'!$B91)</f>
        <v>1000000</v>
      </c>
      <c r="F91" s="53">
        <f>SUMIFS('PIS F'!$H$11:$H$344,'PIS F'!$B$11:$B$344,'SCH B-2.3 F'!$B91)</f>
        <v>0</v>
      </c>
      <c r="G91" s="53">
        <f>SUMIFS('PIS F'!$J$11:$J$344,'PIS F'!$B$11:$B$344,'SCH B-2.3 F'!$B91)</f>
        <v>0</v>
      </c>
      <c r="H91" s="53">
        <f t="shared" ref="H91:H111" si="18">SUM(D91:G91)</f>
        <v>4410792.0699999984</v>
      </c>
      <c r="I91" s="53">
        <f>SUMIFS('PIS F'!$P$11:$P$344,'PIS F'!$B$11:$B$344,'SCH B-2.3 F'!$B91)</f>
        <v>3987715.1469230764</v>
      </c>
    </row>
    <row r="92" spans="1:9" ht="18.95" customHeight="1">
      <c r="A92" s="30">
        <f t="shared" si="17"/>
        <v>63</v>
      </c>
      <c r="B92" s="31" t="s">
        <v>1751</v>
      </c>
      <c r="C92" s="38" t="s">
        <v>151</v>
      </c>
      <c r="D92" s="53">
        <f>SUMIFS('PIS F'!$D$11:$D$344,'PIS F'!$B$11:$B$344,'SCH B-2.3 F'!$B92)</f>
        <v>67763103.169999897</v>
      </c>
      <c r="E92" s="53">
        <f>SUMIFS('PIS F'!$F$11:$F$344,'PIS F'!$B$11:$B$344,'SCH B-2.3 F'!$B92)</f>
        <v>7661544.3600000003</v>
      </c>
      <c r="F92" s="53">
        <f>SUMIFS('PIS F'!$H$11:$H$344,'PIS F'!$B$11:$B$344,'SCH B-2.3 F'!$B92)</f>
        <v>0</v>
      </c>
      <c r="G92" s="53">
        <f>SUMIFS('PIS F'!$J$11:$J$344,'PIS F'!$B$11:$B$344,'SCH B-2.3 F'!$B92)</f>
        <v>0</v>
      </c>
      <c r="H92" s="53">
        <f t="shared" si="18"/>
        <v>75424647.529999897</v>
      </c>
      <c r="I92" s="53">
        <f>SUMIFS('PIS F'!$P$11:$P$344,'PIS F'!$B$11:$B$344,'SCH B-2.3 F'!$B92)</f>
        <v>72437002.853076816</v>
      </c>
    </row>
    <row r="93" spans="1:9" ht="18.95" customHeight="1">
      <c r="A93" s="30">
        <f t="shared" si="17"/>
        <v>64</v>
      </c>
      <c r="B93" s="31" t="s">
        <v>1752</v>
      </c>
      <c r="C93" s="38" t="s">
        <v>159</v>
      </c>
      <c r="D93" s="53">
        <f>SUMIFS('PIS F'!$D$11:$D$344,'PIS F'!$B$11:$B$344,'SCH B-2.3 F'!$B93)</f>
        <v>43110948.669999994</v>
      </c>
      <c r="E93" s="53">
        <f>SUMIFS('PIS F'!$F$11:$F$344,'PIS F'!$B$11:$B$344,'SCH B-2.3 F'!$B93)</f>
        <v>6027530.7799999956</v>
      </c>
      <c r="F93" s="53">
        <f>SUMIFS('PIS F'!$H$11:$H$344,'PIS F'!$B$11:$B$344,'SCH B-2.3 F'!$B93)</f>
        <v>-3631008.0000000005</v>
      </c>
      <c r="G93" s="53">
        <f>SUMIFS('PIS F'!$J$11:$J$344,'PIS F'!$B$11:$B$344,'SCH B-2.3 F'!$B93)</f>
        <v>0</v>
      </c>
      <c r="H93" s="53">
        <f t="shared" si="18"/>
        <v>45507471.449999988</v>
      </c>
      <c r="I93" s="53">
        <f>SUMIFS('PIS F'!$P$11:$P$344,'PIS F'!$B$11:$B$344,'SCH B-2.3 F'!$B93)</f>
        <v>44896469.019230746</v>
      </c>
    </row>
    <row r="94" spans="1:9" ht="18.95" customHeight="1">
      <c r="A94" s="30">
        <f t="shared" si="17"/>
        <v>65</v>
      </c>
      <c r="B94" s="31" t="s">
        <v>1753</v>
      </c>
      <c r="C94" s="38" t="s">
        <v>158</v>
      </c>
      <c r="D94" s="53">
        <f>SUMIFS('PIS F'!$D$11:$D$344,'PIS F'!$B$11:$B$344,'SCH B-2.3 F'!$B94)</f>
        <v>7277719.419999999</v>
      </c>
      <c r="E94" s="53">
        <f>SUMIFS('PIS F'!$F$11:$F$344,'PIS F'!$B$11:$B$344,'SCH B-2.3 F'!$B94)</f>
        <v>497432</v>
      </c>
      <c r="F94" s="53">
        <f>SUMIFS('PIS F'!$H$11:$H$344,'PIS F'!$B$11:$B$344,'SCH B-2.3 F'!$B94)</f>
        <v>0</v>
      </c>
      <c r="G94" s="53">
        <f>SUMIFS('PIS F'!$J$11:$J$344,'PIS F'!$B$11:$B$344,'SCH B-2.3 F'!$B94)</f>
        <v>0</v>
      </c>
      <c r="H94" s="53">
        <f t="shared" si="18"/>
        <v>7775151.419999999</v>
      </c>
      <c r="I94" s="53">
        <f>SUMIFS('PIS F'!$P$11:$P$344,'PIS F'!$B$11:$B$344,'SCH B-2.3 F'!$B94)</f>
        <v>7583831.4199999999</v>
      </c>
    </row>
    <row r="95" spans="1:9" ht="18.95" customHeight="1">
      <c r="A95" s="30">
        <f t="shared" si="17"/>
        <v>66</v>
      </c>
      <c r="B95" s="31" t="s">
        <v>1754</v>
      </c>
      <c r="C95" s="38" t="s">
        <v>1755</v>
      </c>
      <c r="D95" s="53">
        <f>SUMIFS('PIS F'!$D$11:$D$344,'PIS F'!$B$11:$B$344,'SCH B-2.3 F'!$B95)</f>
        <v>1513641.69</v>
      </c>
      <c r="E95" s="53">
        <f>SUMIFS('PIS F'!$F$11:$F$344,'PIS F'!$B$11:$B$344,'SCH B-2.3 F'!$B95)</f>
        <v>0</v>
      </c>
      <c r="F95" s="53">
        <f>SUMIFS('PIS F'!$H$11:$H$344,'PIS F'!$B$11:$B$344,'SCH B-2.3 F'!$B95)</f>
        <v>0</v>
      </c>
      <c r="G95" s="53">
        <f>SUMIFS('PIS F'!$J$11:$J$344,'PIS F'!$B$11:$B$344,'SCH B-2.3 F'!$B95)</f>
        <v>0</v>
      </c>
      <c r="H95" s="53">
        <f t="shared" si="18"/>
        <v>1513641.69</v>
      </c>
      <c r="I95" s="53">
        <f>SUMIFS('PIS F'!$P$11:$P$344,'PIS F'!$B$11:$B$344,'SCH B-2.3 F'!$B95)</f>
        <v>1513641.6900000004</v>
      </c>
    </row>
    <row r="96" spans="1:9" ht="18.95" customHeight="1">
      <c r="A96" s="30">
        <f t="shared" si="17"/>
        <v>67</v>
      </c>
      <c r="B96" s="31" t="s">
        <v>1756</v>
      </c>
      <c r="C96" s="38" t="s">
        <v>1757</v>
      </c>
      <c r="D96" s="53">
        <f>SUMIFS('PIS F'!$D$11:$D$344,'PIS F'!$B$11:$B$344,'SCH B-2.3 F'!$B96)</f>
        <v>13457771.960000001</v>
      </c>
      <c r="E96" s="53">
        <f>SUMIFS('PIS F'!$F$11:$F$344,'PIS F'!$B$11:$B$344,'SCH B-2.3 F'!$B96)</f>
        <v>1068550.19</v>
      </c>
      <c r="F96" s="53">
        <f>SUMIFS('PIS F'!$H$11:$H$344,'PIS F'!$B$11:$B$344,'SCH B-2.3 F'!$B96)</f>
        <v>-231421</v>
      </c>
      <c r="G96" s="53">
        <f>SUMIFS('PIS F'!$J$11:$J$344,'PIS F'!$B$11:$B$344,'SCH B-2.3 F'!$B96)</f>
        <v>0</v>
      </c>
      <c r="H96" s="53">
        <f t="shared" si="18"/>
        <v>14294901.15</v>
      </c>
      <c r="I96" s="53">
        <f>SUMIFS('PIS F'!$P$11:$P$344,'PIS F'!$B$11:$B$344,'SCH B-2.3 F'!$B96)</f>
        <v>13878615.364615384</v>
      </c>
    </row>
    <row r="97" spans="1:9" ht="18.95" customHeight="1">
      <c r="A97" s="30">
        <f t="shared" si="17"/>
        <v>68</v>
      </c>
      <c r="B97" s="31" t="s">
        <v>1758</v>
      </c>
      <c r="C97" s="38" t="s">
        <v>1759</v>
      </c>
      <c r="D97" s="53">
        <f>SUMIFS('PIS F'!$D$11:$D$344,'PIS F'!$B$11:$B$344,'SCH B-2.3 F'!$B97)</f>
        <v>0</v>
      </c>
      <c r="E97" s="53">
        <f>SUMIFS('PIS F'!$F$11:$F$344,'PIS F'!$B$11:$B$344,'SCH B-2.3 F'!$B97)</f>
        <v>0</v>
      </c>
      <c r="F97" s="53">
        <f>SUMIFS('PIS F'!$H$11:$H$344,'PIS F'!$B$11:$B$344,'SCH B-2.3 F'!$B97)</f>
        <v>0</v>
      </c>
      <c r="G97" s="53">
        <f>SUMIFS('PIS F'!$J$11:$J$344,'PIS F'!$B$11:$B$344,'SCH B-2.3 F'!$B97)</f>
        <v>0</v>
      </c>
      <c r="H97" s="53">
        <f t="shared" si="18"/>
        <v>0</v>
      </c>
      <c r="I97" s="53">
        <f>SUMIFS('PIS F'!$P$11:$P$344,'PIS F'!$B$11:$B$344,'SCH B-2.3 F'!$B97)</f>
        <v>0</v>
      </c>
    </row>
    <row r="98" spans="1:9" ht="18.95" customHeight="1">
      <c r="A98" s="30">
        <f>A97+1</f>
        <v>69</v>
      </c>
      <c r="B98" s="31" t="s">
        <v>1760</v>
      </c>
      <c r="C98" s="38" t="s">
        <v>1761</v>
      </c>
      <c r="D98" s="53">
        <f>SUMIFS('PIS F'!$D$11:$D$344,'PIS F'!$B$11:$B$344,'SCH B-2.3 F'!$B98)</f>
        <v>2370876.7599999998</v>
      </c>
      <c r="E98" s="53">
        <f>SUMIFS('PIS F'!$F$11:$F$344,'PIS F'!$B$11:$B$344,'SCH B-2.3 F'!$B98)</f>
        <v>0</v>
      </c>
      <c r="F98" s="53">
        <f>SUMIFS('PIS F'!$H$11:$H$344,'PIS F'!$B$11:$B$344,'SCH B-2.3 F'!$B98)</f>
        <v>0</v>
      </c>
      <c r="G98" s="53">
        <f>SUMIFS('PIS F'!$J$11:$J$344,'PIS F'!$B$11:$B$344,'SCH B-2.3 F'!$B98)</f>
        <v>0</v>
      </c>
      <c r="H98" s="53">
        <f t="shared" si="18"/>
        <v>2370876.7599999998</v>
      </c>
      <c r="I98" s="53">
        <f>SUMIFS('PIS F'!$P$11:$P$344,'PIS F'!$B$11:$B$344,'SCH B-2.3 F'!$B98)</f>
        <v>2370876.7599999998</v>
      </c>
    </row>
    <row r="99" spans="1:9" ht="18.95" customHeight="1">
      <c r="A99" s="30">
        <f t="shared" si="17"/>
        <v>70</v>
      </c>
      <c r="B99" s="31" t="s">
        <v>1762</v>
      </c>
      <c r="C99" s="38" t="s">
        <v>160</v>
      </c>
      <c r="D99" s="53">
        <f>SUMIFS('PIS F'!$D$11:$D$344,'PIS F'!$B$11:$B$344,'SCH B-2.3 F'!$B99)</f>
        <v>57125460.989999995</v>
      </c>
      <c r="E99" s="53">
        <f>SUMIFS('PIS F'!$F$11:$F$344,'PIS F'!$B$11:$B$344,'SCH B-2.3 F'!$B99)</f>
        <v>6233292.5799999982</v>
      </c>
      <c r="F99" s="53">
        <f>SUMIFS('PIS F'!$H$11:$H$344,'PIS F'!$B$11:$B$344,'SCH B-2.3 F'!$B99)</f>
        <v>0</v>
      </c>
      <c r="G99" s="53">
        <f>SUMIFS('PIS F'!$J$11:$J$344,'PIS F'!$B$11:$B$344,'SCH B-2.3 F'!$B99)</f>
        <v>0</v>
      </c>
      <c r="H99" s="53">
        <f t="shared" si="18"/>
        <v>63358753.569999993</v>
      </c>
      <c r="I99" s="53">
        <f>SUMIFS('PIS F'!$P$11:$P$344,'PIS F'!$B$11:$B$344,'SCH B-2.3 F'!$B99)</f>
        <v>61030462.959999911</v>
      </c>
    </row>
    <row r="100" spans="1:9" s="28" customFormat="1" ht="20.100000000000001" customHeight="1">
      <c r="A100" s="706" t="str">
        <f>$A$1</f>
        <v>KENTUCKY UTILITIES COMPANY</v>
      </c>
      <c r="B100" s="706"/>
      <c r="C100" s="706"/>
      <c r="D100" s="706"/>
      <c r="E100" s="706"/>
      <c r="F100" s="706"/>
      <c r="G100" s="706"/>
      <c r="H100" s="706"/>
      <c r="I100" s="706"/>
    </row>
    <row r="101" spans="1:9" s="28" customFormat="1" ht="20.100000000000001" customHeight="1">
      <c r="A101" s="706" t="str">
        <f>$A$2</f>
        <v>CASE NO. 2016-00370</v>
      </c>
      <c r="B101" s="706"/>
      <c r="C101" s="706"/>
      <c r="D101" s="706"/>
      <c r="E101" s="706"/>
      <c r="F101" s="706"/>
      <c r="G101" s="706"/>
      <c r="H101" s="706"/>
      <c r="I101" s="706"/>
    </row>
    <row r="102" spans="1:9" s="28" customFormat="1" ht="20.100000000000001" customHeight="1">
      <c r="A102" s="706" t="str">
        <f>$A$3</f>
        <v>GROSS ADDITIONS, RETIREMENTS, AND TRANSFERS</v>
      </c>
      <c r="B102" s="706"/>
      <c r="C102" s="706"/>
      <c r="D102" s="706"/>
      <c r="E102" s="706"/>
      <c r="F102" s="706"/>
      <c r="G102" s="706"/>
      <c r="H102" s="706"/>
      <c r="I102" s="706"/>
    </row>
    <row r="103" spans="1:9" s="28" customFormat="1" ht="20.100000000000001" customHeight="1">
      <c r="A103" s="705" t="str">
        <f>$A$4</f>
        <v>FROM JULY 1, 2017 TO JUNE 30, 2018</v>
      </c>
      <c r="B103" s="705"/>
      <c r="C103" s="705"/>
      <c r="D103" s="705"/>
      <c r="E103" s="705"/>
      <c r="F103" s="705"/>
      <c r="G103" s="705"/>
      <c r="H103" s="705"/>
      <c r="I103" s="705"/>
    </row>
    <row r="104" spans="1:9" s="28" customFormat="1" ht="20.100000000000001" customHeight="1">
      <c r="A104" s="44"/>
      <c r="B104" s="44"/>
      <c r="C104" s="44"/>
      <c r="D104" s="44"/>
      <c r="E104" s="44"/>
      <c r="F104" s="44"/>
      <c r="G104" s="44"/>
      <c r="H104" s="44"/>
      <c r="I104" s="44"/>
    </row>
    <row r="105" spans="1:9" s="28" customFormat="1" ht="20.100000000000001" customHeight="1">
      <c r="A105" s="27" t="str">
        <f>$A$6</f>
        <v>DATA:____BASE  PERIOD__X__FORECASTED  PERIOD</v>
      </c>
      <c r="B105" s="27"/>
      <c r="G105" s="34"/>
      <c r="H105" s="34"/>
      <c r="I105" s="35" t="str">
        <f>$I$6</f>
        <v>SCHEDULE B-2.3</v>
      </c>
    </row>
    <row r="106" spans="1:9" s="28" customFormat="1" ht="20.100000000000001" customHeight="1">
      <c r="A106" s="27" t="str">
        <f>$A$7</f>
        <v>TYPE OF FILING: __X__ ORIGINAL  _____ UPDATED  _____ REVISED</v>
      </c>
      <c r="G106" s="34"/>
      <c r="H106" s="34"/>
      <c r="I106" s="34" t="s">
        <v>173</v>
      </c>
    </row>
    <row r="107" spans="1:9" s="28" customFormat="1" ht="20.100000000000001" customHeight="1">
      <c r="A107" s="27" t="str">
        <f>$A$8</f>
        <v>WORKPAPER REFERENCE NO(S).:</v>
      </c>
      <c r="B107" s="27"/>
      <c r="F107" s="27"/>
      <c r="G107" s="35"/>
      <c r="H107" s="35"/>
      <c r="I107" s="35" t="str">
        <f>$I$8</f>
        <v>WITNESS:   C. M. GARRETT</v>
      </c>
    </row>
    <row r="108" spans="1:9" s="28" customFormat="1" ht="20.100000000000001" customHeight="1"/>
    <row r="109" spans="1:9" ht="66" customHeight="1">
      <c r="A109" s="36" t="s">
        <v>134</v>
      </c>
      <c r="B109" s="36" t="s">
        <v>137</v>
      </c>
      <c r="C109" s="39" t="s">
        <v>138</v>
      </c>
      <c r="D109" s="36" t="s">
        <v>165</v>
      </c>
      <c r="E109" s="36" t="s">
        <v>140</v>
      </c>
      <c r="F109" s="36" t="s">
        <v>141</v>
      </c>
      <c r="G109" s="36" t="s">
        <v>143</v>
      </c>
      <c r="H109" s="36" t="s">
        <v>166</v>
      </c>
      <c r="I109" s="36" t="s">
        <v>167</v>
      </c>
    </row>
    <row r="110" spans="1:9" ht="23.1" customHeight="1">
      <c r="A110" s="40"/>
      <c r="B110" s="40"/>
      <c r="C110" s="41"/>
      <c r="D110" s="42" t="s">
        <v>145</v>
      </c>
      <c r="E110" s="42" t="s">
        <v>145</v>
      </c>
      <c r="F110" s="42" t="s">
        <v>145</v>
      </c>
      <c r="G110" s="42" t="s">
        <v>145</v>
      </c>
      <c r="H110" s="42" t="s">
        <v>145</v>
      </c>
      <c r="I110" s="42" t="s">
        <v>145</v>
      </c>
    </row>
    <row r="111" spans="1:9" ht="18.95" customHeight="1">
      <c r="A111" s="30">
        <f>A99+1</f>
        <v>71</v>
      </c>
      <c r="B111" s="31" t="s">
        <v>1763</v>
      </c>
      <c r="C111" s="38" t="s">
        <v>1764</v>
      </c>
      <c r="D111" s="54">
        <f>SUMIFS('PIS F'!$D$11:$D$344,'PIS F'!$B$11:$B$344,'SCH B-2.3 F'!$B111)</f>
        <v>0</v>
      </c>
      <c r="E111" s="54">
        <f>SUMIFS('PIS F'!$F$11:$F$344,'PIS F'!$B$11:$B$344,'SCH B-2.3 F'!$B111)</f>
        <v>0</v>
      </c>
      <c r="F111" s="54">
        <f>SUMIFS('PIS F'!$H$11:$H$344,'PIS F'!$B$11:$B$344,'SCH B-2.3 F'!$B111)</f>
        <v>0</v>
      </c>
      <c r="G111" s="54">
        <f>SUMIFS('PIS F'!$J$11:$J$344,'PIS F'!$B$11:$B$344,'SCH B-2.3 F'!$B111)</f>
        <v>0</v>
      </c>
      <c r="H111" s="54">
        <f t="shared" si="18"/>
        <v>0</v>
      </c>
      <c r="I111" s="54">
        <f>SUMIFS('PIS F'!$P$11:$P$344,'PIS F'!$B$11:$B$344,'SCH B-2.3 F'!$B111)</f>
        <v>0</v>
      </c>
    </row>
    <row r="112" spans="1:9" ht="18.95" customHeight="1">
      <c r="A112" s="30">
        <f t="shared" si="17"/>
        <v>72</v>
      </c>
      <c r="B112" s="31"/>
      <c r="C112" s="38" t="s">
        <v>161</v>
      </c>
      <c r="D112" s="51">
        <f>SUM(D91:D99,D111)</f>
        <v>196030314.72999984</v>
      </c>
      <c r="E112" s="51">
        <f t="shared" ref="E112:I112" si="19">SUM(E91:E99,E111)</f>
        <v>22488349.909999993</v>
      </c>
      <c r="F112" s="51">
        <f t="shared" si="19"/>
        <v>-3862429.0000000005</v>
      </c>
      <c r="G112" s="51">
        <f t="shared" si="19"/>
        <v>0</v>
      </c>
      <c r="H112" s="51">
        <f t="shared" si="19"/>
        <v>214656235.63999987</v>
      </c>
      <c r="I112" s="51">
        <f t="shared" si="19"/>
        <v>207698615.21384594</v>
      </c>
    </row>
    <row r="113" spans="1:9" ht="18.95" customHeight="1">
      <c r="A113" s="30"/>
      <c r="B113" s="31"/>
    </row>
    <row r="114" spans="1:9" ht="18.95" customHeight="1" thickBot="1">
      <c r="A114" s="30">
        <f>A112+1</f>
        <v>73</v>
      </c>
      <c r="B114" s="31"/>
      <c r="C114" s="28" t="s">
        <v>162</v>
      </c>
      <c r="D114" s="59">
        <f t="shared" ref="D114:I114" si="20">SUM(D16,D27,D38,D49,D72,D88,D112)</f>
        <v>9365779063.8199959</v>
      </c>
      <c r="E114" s="59">
        <f t="shared" si="20"/>
        <v>360998425.84999973</v>
      </c>
      <c r="F114" s="59">
        <f t="shared" si="20"/>
        <v>-59448181.649999991</v>
      </c>
      <c r="G114" s="59">
        <f t="shared" si="20"/>
        <v>0</v>
      </c>
      <c r="H114" s="59">
        <f t="shared" si="20"/>
        <v>9667329308.0199966</v>
      </c>
      <c r="I114" s="59">
        <f t="shared" si="20"/>
        <v>9526311610.1107655</v>
      </c>
    </row>
    <row r="115" spans="1:9" ht="18.95" customHeight="1" thickTop="1">
      <c r="B115" s="31"/>
    </row>
    <row r="116" spans="1:9" ht="18.95" customHeight="1">
      <c r="B116" s="31"/>
      <c r="C116" s="34" t="s">
        <v>2309</v>
      </c>
      <c r="D116" s="51">
        <f>'PIS F'!D113+'PIS F'!D245+'PIS F'!D310</f>
        <v>9365779063.8199959</v>
      </c>
      <c r="H116" s="51">
        <f>'PIS F'!N113+'PIS F'!N245+'PIS F'!N310</f>
        <v>9667329308.0199966</v>
      </c>
      <c r="I116" s="51">
        <f>'PIS F'!P113+'PIS F'!P245+'PIS F'!P310</f>
        <v>9526311610.1107655</v>
      </c>
    </row>
    <row r="117" spans="1:9" ht="18.95" customHeight="1">
      <c r="B117" s="31"/>
      <c r="C117" s="38"/>
      <c r="D117" s="51">
        <f>D114-D116</f>
        <v>0</v>
      </c>
      <c r="H117" s="51">
        <f t="shared" ref="H117:I117" si="21">H114-H116</f>
        <v>0</v>
      </c>
      <c r="I117" s="51">
        <f t="shared" si="21"/>
        <v>0</v>
      </c>
    </row>
    <row r="118" spans="1:9" ht="18.95" customHeight="1">
      <c r="B118" s="31"/>
    </row>
    <row r="119" spans="1:9" ht="18.95" customHeight="1">
      <c r="B119" s="31"/>
    </row>
    <row r="120" spans="1:9" ht="18.95" customHeight="1">
      <c r="D120" s="29" t="s">
        <v>163</v>
      </c>
    </row>
    <row r="121" spans="1:9" ht="18.95" customHeight="1"/>
    <row r="122" spans="1:9" ht="18.95" customHeight="1"/>
    <row r="123" spans="1:9" ht="18.95" customHeight="1"/>
    <row r="124" spans="1:9" ht="18.95" customHeight="1"/>
    <row r="125" spans="1:9" ht="18.95" customHeight="1"/>
    <row r="126" spans="1:9" ht="18.95" customHeight="1"/>
    <row r="127" spans="1:9" ht="18.95" customHeight="1"/>
    <row r="128" spans="1:9" ht="18.95" customHeight="1"/>
    <row r="129" ht="18.95" customHeight="1"/>
    <row r="130" ht="18.95" customHeight="1"/>
    <row r="131" ht="18.95" customHeight="1"/>
    <row r="132" ht="18.95" customHeight="1"/>
  </sheetData>
  <mergeCells count="12">
    <mergeCell ref="A101:I101"/>
    <mergeCell ref="A102:I102"/>
    <mergeCell ref="A103:I103"/>
    <mergeCell ref="A1:I1"/>
    <mergeCell ref="A2:I2"/>
    <mergeCell ref="A3:I3"/>
    <mergeCell ref="A4:I4"/>
    <mergeCell ref="A51:I51"/>
    <mergeCell ref="A52:I52"/>
    <mergeCell ref="A53:I53"/>
    <mergeCell ref="A54:I54"/>
    <mergeCell ref="A100:I100"/>
  </mergeCells>
  <pageMargins left="0.95" right="0.5" top="0.75" bottom="0.75" header="0.3" footer="0.3"/>
  <pageSetup scale="62" fitToHeight="0" orientation="portrait" r:id="rId1"/>
  <rowBreaks count="2" manualBreakCount="2">
    <brk id="50" max="16383" man="1"/>
    <brk id="99" max="9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I40"/>
  <sheetViews>
    <sheetView zoomScaleNormal="100" workbookViewId="0">
      <selection sqref="A1:I1"/>
    </sheetView>
  </sheetViews>
  <sheetFormatPr defaultColWidth="9" defaultRowHeight="12.75"/>
  <cols>
    <col min="1" max="1" width="6" style="29" customWidth="1"/>
    <col min="2" max="2" width="7.6640625" style="29" customWidth="1"/>
    <col min="3" max="3" width="31.33203125" style="29" customWidth="1"/>
    <col min="4" max="4" width="12.6640625" style="29" customWidth="1"/>
    <col min="5" max="5" width="9.44140625" style="29" customWidth="1"/>
    <col min="6" max="6" width="13.6640625" style="29" customWidth="1"/>
    <col min="7" max="7" width="15.33203125" style="29" customWidth="1"/>
    <col min="8" max="8" width="13.6640625" style="29" customWidth="1"/>
    <col min="9" max="9" width="12.44140625" style="29" customWidth="1"/>
    <col min="10" max="10" width="1.6640625" style="29" customWidth="1"/>
    <col min="11" max="16384" width="9" style="29"/>
  </cols>
  <sheetData>
    <row r="1" spans="1:9" s="28" customFormat="1" ht="20.100000000000001" customHeight="1">
      <c r="A1" s="706" t="str">
        <f>'Rate Case Constants'!C9</f>
        <v>KENTUCKY UTILITIES COMPANY</v>
      </c>
      <c r="B1" s="706"/>
      <c r="C1" s="706"/>
      <c r="D1" s="706"/>
      <c r="E1" s="706"/>
      <c r="F1" s="706"/>
      <c r="G1" s="706"/>
      <c r="H1" s="706"/>
      <c r="I1" s="706"/>
    </row>
    <row r="2" spans="1:9" s="28" customFormat="1" ht="20.100000000000001" customHeight="1">
      <c r="A2" s="706" t="str">
        <f>'Rate Case Constants'!C10</f>
        <v>CASE NO. 2016-00370</v>
      </c>
      <c r="B2" s="706"/>
      <c r="C2" s="706"/>
      <c r="D2" s="706"/>
      <c r="E2" s="706"/>
      <c r="F2" s="706"/>
      <c r="G2" s="706"/>
      <c r="H2" s="706"/>
      <c r="I2" s="706"/>
    </row>
    <row r="3" spans="1:9" s="28" customFormat="1" ht="20.100000000000001" customHeight="1">
      <c r="A3" s="706" t="s">
        <v>182</v>
      </c>
      <c r="B3" s="706"/>
      <c r="C3" s="706"/>
      <c r="D3" s="706"/>
      <c r="E3" s="706"/>
      <c r="F3" s="706"/>
      <c r="G3" s="706"/>
      <c r="H3" s="706"/>
      <c r="I3" s="706"/>
    </row>
    <row r="4" spans="1:9" s="28" customFormat="1" ht="20.100000000000001" customHeight="1">
      <c r="A4" s="706" t="str">
        <f>'Rate Case Constants'!C12</f>
        <v>AS OF FEBRUARY 28, 2017</v>
      </c>
      <c r="B4" s="706"/>
      <c r="C4" s="706"/>
      <c r="D4" s="706"/>
      <c r="E4" s="706"/>
      <c r="F4" s="706"/>
      <c r="G4" s="706"/>
      <c r="H4" s="706"/>
      <c r="I4" s="706"/>
    </row>
    <row r="5" spans="1:9" s="28" customFormat="1" ht="20.100000000000001" customHeight="1">
      <c r="A5" s="44"/>
      <c r="B5" s="44"/>
      <c r="C5" s="44"/>
      <c r="D5" s="44"/>
      <c r="E5" s="44"/>
      <c r="F5" s="44"/>
      <c r="G5" s="44"/>
      <c r="H5" s="44"/>
      <c r="I5" s="44"/>
    </row>
    <row r="6" spans="1:9" s="28" customFormat="1" ht="20.100000000000001" customHeight="1">
      <c r="A6" s="27" t="s">
        <v>136</v>
      </c>
      <c r="B6" s="27"/>
      <c r="G6" s="34"/>
      <c r="H6" s="34"/>
      <c r="I6" s="34" t="s">
        <v>178</v>
      </c>
    </row>
    <row r="7" spans="1:9" s="28" customFormat="1" ht="20.100000000000001" customHeight="1">
      <c r="A7" s="28" t="str">
        <f>'Rate Case Constants'!C29</f>
        <v>TYPE OF FILING: __X__ ORIGINAL  _____ UPDATED  _____ REVISED</v>
      </c>
      <c r="G7" s="34"/>
      <c r="H7" s="34"/>
      <c r="I7" s="34" t="s">
        <v>180</v>
      </c>
    </row>
    <row r="8" spans="1:9" s="28" customFormat="1" ht="20.100000000000001" customHeight="1">
      <c r="A8" s="27" t="s">
        <v>1204</v>
      </c>
      <c r="B8" s="27"/>
      <c r="F8" s="27"/>
      <c r="G8" s="35"/>
      <c r="H8" s="35"/>
      <c r="I8" s="35" t="str">
        <f>'Rate Case Constants'!C36</f>
        <v>WITNESS:   C. M. GARRETT</v>
      </c>
    </row>
    <row r="9" spans="1:9" s="28" customFormat="1" ht="20.100000000000001" customHeight="1"/>
    <row r="10" spans="1:9" ht="58.5" customHeight="1">
      <c r="A10" s="36" t="s">
        <v>134</v>
      </c>
      <c r="B10" s="36" t="s">
        <v>137</v>
      </c>
      <c r="C10" s="39" t="s">
        <v>181</v>
      </c>
      <c r="D10" s="36" t="s">
        <v>1626</v>
      </c>
      <c r="E10" s="36" t="s">
        <v>183</v>
      </c>
      <c r="F10" s="36" t="s">
        <v>184</v>
      </c>
      <c r="G10" s="36" t="s">
        <v>185</v>
      </c>
      <c r="H10" s="36" t="s">
        <v>186</v>
      </c>
      <c r="I10" s="36" t="s">
        <v>187</v>
      </c>
    </row>
    <row r="11" spans="1:9" ht="23.1" customHeight="1">
      <c r="A11" s="40"/>
      <c r="B11" s="40"/>
      <c r="C11" s="41"/>
      <c r="D11" s="42"/>
      <c r="E11" s="42"/>
      <c r="F11" s="42"/>
      <c r="G11" s="42"/>
      <c r="H11" s="42"/>
      <c r="I11" s="42"/>
    </row>
    <row r="12" spans="1:9" ht="18.95" customHeight="1">
      <c r="A12" s="707" t="s">
        <v>1634</v>
      </c>
      <c r="B12" s="707"/>
      <c r="C12" s="707"/>
      <c r="D12" s="707"/>
      <c r="E12" s="707"/>
      <c r="F12" s="707"/>
      <c r="G12" s="707"/>
      <c r="H12" s="707"/>
      <c r="I12" s="707"/>
    </row>
    <row r="13" spans="1:9" ht="18.95" customHeight="1">
      <c r="B13" s="31"/>
      <c r="D13" s="51"/>
    </row>
    <row r="14" spans="1:9" s="28" customFormat="1" ht="20.100000000000001" customHeight="1">
      <c r="A14" s="706" t="str">
        <f>$A$1</f>
        <v>KENTUCKY UTILITIES COMPANY</v>
      </c>
      <c r="B14" s="706"/>
      <c r="C14" s="706"/>
      <c r="D14" s="706"/>
      <c r="E14" s="706"/>
      <c r="F14" s="706"/>
      <c r="G14" s="706"/>
      <c r="H14" s="706"/>
      <c r="I14" s="706"/>
    </row>
    <row r="15" spans="1:9" s="28" customFormat="1" ht="20.100000000000001" customHeight="1">
      <c r="A15" s="706" t="str">
        <f>$A$2</f>
        <v>CASE NO. 2016-00370</v>
      </c>
      <c r="B15" s="706"/>
      <c r="C15" s="706"/>
      <c r="D15" s="706"/>
      <c r="E15" s="706"/>
      <c r="F15" s="706"/>
      <c r="G15" s="706"/>
      <c r="H15" s="706"/>
      <c r="I15" s="706"/>
    </row>
    <row r="16" spans="1:9" s="28" customFormat="1" ht="20.100000000000001" customHeight="1">
      <c r="A16" s="706" t="str">
        <f>$A$3</f>
        <v>PROPERTY MERGED OR ACQUIRED</v>
      </c>
      <c r="B16" s="706"/>
      <c r="C16" s="706"/>
      <c r="D16" s="706"/>
      <c r="E16" s="706"/>
      <c r="F16" s="706"/>
      <c r="G16" s="706"/>
      <c r="H16" s="706"/>
      <c r="I16" s="706"/>
    </row>
    <row r="17" spans="1:9" s="28" customFormat="1" ht="20.100000000000001" customHeight="1">
      <c r="A17" s="706" t="str">
        <f>'Rate Case Constants'!C18</f>
        <v>AS OF JUNE 30, 2018</v>
      </c>
      <c r="B17" s="706"/>
      <c r="C17" s="706"/>
      <c r="D17" s="706"/>
      <c r="E17" s="706"/>
      <c r="F17" s="706"/>
      <c r="G17" s="706"/>
      <c r="H17" s="706"/>
      <c r="I17" s="706"/>
    </row>
    <row r="18" spans="1:9" s="28" customFormat="1" ht="20.100000000000001" customHeight="1">
      <c r="A18" s="44"/>
      <c r="B18" s="44"/>
      <c r="C18" s="44"/>
      <c r="D18" s="44"/>
      <c r="E18" s="44"/>
      <c r="F18" s="44"/>
      <c r="G18" s="44"/>
      <c r="H18" s="44"/>
      <c r="I18" s="44"/>
    </row>
    <row r="19" spans="1:9" s="28" customFormat="1" ht="20.100000000000001" customHeight="1">
      <c r="A19" s="27" t="s">
        <v>164</v>
      </c>
      <c r="B19" s="27"/>
      <c r="G19" s="34"/>
      <c r="H19" s="34"/>
      <c r="I19" s="34" t="s">
        <v>178</v>
      </c>
    </row>
    <row r="20" spans="1:9" s="28" customFormat="1" ht="20.100000000000001" customHeight="1">
      <c r="A20" s="27" t="str">
        <f>$A$7</f>
        <v>TYPE OF FILING: __X__ ORIGINAL  _____ UPDATED  _____ REVISED</v>
      </c>
      <c r="G20" s="34"/>
      <c r="H20" s="34"/>
      <c r="I20" s="34" t="s">
        <v>188</v>
      </c>
    </row>
    <row r="21" spans="1:9" s="28" customFormat="1" ht="20.100000000000001" customHeight="1">
      <c r="A21" s="27" t="str">
        <f>$A$8</f>
        <v>WORKPAPER REFERENCE NO(S).:</v>
      </c>
      <c r="B21" s="27"/>
      <c r="F21" s="27"/>
      <c r="G21" s="35"/>
      <c r="H21" s="35"/>
      <c r="I21" s="35" t="str">
        <f>$I$8</f>
        <v>WITNESS:   C. M. GARRETT</v>
      </c>
    </row>
    <row r="22" spans="1:9" s="28" customFormat="1" ht="20.100000000000001" customHeight="1"/>
    <row r="23" spans="1:9" ht="58.5" customHeight="1">
      <c r="A23" s="36" t="s">
        <v>134</v>
      </c>
      <c r="B23" s="36" t="s">
        <v>137</v>
      </c>
      <c r="C23" s="39" t="s">
        <v>181</v>
      </c>
      <c r="D23" s="36" t="s">
        <v>1626</v>
      </c>
      <c r="E23" s="36" t="s">
        <v>183</v>
      </c>
      <c r="F23" s="36" t="s">
        <v>184</v>
      </c>
      <c r="G23" s="36" t="s">
        <v>185</v>
      </c>
      <c r="H23" s="36" t="s">
        <v>186</v>
      </c>
      <c r="I23" s="36" t="s">
        <v>187</v>
      </c>
    </row>
    <row r="24" spans="1:9" ht="23.1" customHeight="1">
      <c r="A24" s="40"/>
      <c r="B24" s="40"/>
      <c r="C24" s="41"/>
      <c r="D24" s="42"/>
      <c r="E24" s="42"/>
      <c r="F24" s="42"/>
      <c r="G24" s="42"/>
      <c r="H24" s="42"/>
      <c r="I24" s="42"/>
    </row>
    <row r="25" spans="1:9" ht="18.95" customHeight="1">
      <c r="A25" s="707" t="s">
        <v>1634</v>
      </c>
      <c r="B25" s="707"/>
      <c r="C25" s="707"/>
      <c r="D25" s="707"/>
      <c r="E25" s="707"/>
      <c r="F25" s="707"/>
      <c r="G25" s="707"/>
      <c r="H25" s="707"/>
      <c r="I25" s="707"/>
    </row>
    <row r="26" spans="1:9" ht="18.95" customHeight="1">
      <c r="B26" s="31"/>
    </row>
    <row r="27" spans="1:9" ht="18.95" customHeight="1">
      <c r="B27" s="31"/>
    </row>
    <row r="28" spans="1:9" ht="18.95" customHeight="1">
      <c r="D28" s="29" t="s">
        <v>163</v>
      </c>
    </row>
    <row r="29" spans="1:9" ht="18.95" customHeight="1"/>
    <row r="30" spans="1:9" ht="18.95" customHeight="1"/>
    <row r="31" spans="1:9" ht="18.95" customHeight="1"/>
    <row r="32" spans="1:9" ht="18.95" customHeight="1"/>
    <row r="33" ht="18.95" customHeight="1"/>
    <row r="34" ht="18.95" customHeight="1"/>
    <row r="35" ht="18.95" customHeight="1"/>
    <row r="36" ht="18.95" customHeight="1"/>
    <row r="37" ht="18.95" customHeight="1"/>
    <row r="38" ht="18.95" customHeight="1"/>
    <row r="39" ht="18.95" customHeight="1"/>
    <row r="40" ht="18.95" customHeight="1"/>
  </sheetData>
  <mergeCells count="10">
    <mergeCell ref="A25:I25"/>
    <mergeCell ref="A14:I14"/>
    <mergeCell ref="A15:I15"/>
    <mergeCell ref="A16:I16"/>
    <mergeCell ref="A17:I17"/>
    <mergeCell ref="A1:I1"/>
    <mergeCell ref="A2:I2"/>
    <mergeCell ref="A3:I3"/>
    <mergeCell ref="A4:I4"/>
    <mergeCell ref="A12:I12"/>
  </mergeCells>
  <pageMargins left="0.95" right="0.5" top="0.75" bottom="0.75" header="0.3" footer="0.3"/>
  <pageSetup scale="68" fitToHeight="0" orientation="portrait" r:id="rId1"/>
  <rowBreaks count="1" manualBreakCount="1">
    <brk id="13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H40"/>
  <sheetViews>
    <sheetView zoomScaleNormal="100" workbookViewId="0">
      <selection sqref="A1:H1"/>
    </sheetView>
  </sheetViews>
  <sheetFormatPr defaultColWidth="9" defaultRowHeight="12.75"/>
  <cols>
    <col min="1" max="1" width="6" style="29" customWidth="1"/>
    <col min="2" max="2" width="14.44140625" style="29" customWidth="1"/>
    <col min="3" max="3" width="27.77734375" style="29" customWidth="1"/>
    <col min="4" max="4" width="14.21875" style="29" customWidth="1"/>
    <col min="5" max="5" width="13.109375" style="29" customWidth="1"/>
    <col min="6" max="6" width="13.6640625" style="29" customWidth="1"/>
    <col min="7" max="7" width="15.33203125" style="29" customWidth="1"/>
    <col min="8" max="8" width="22.6640625" style="29" customWidth="1"/>
    <col min="9" max="9" width="1.6640625" style="29" customWidth="1"/>
    <col min="10" max="16384" width="9" style="29"/>
  </cols>
  <sheetData>
    <row r="1" spans="1:8" s="28" customFormat="1" ht="20.100000000000001" customHeight="1">
      <c r="A1" s="706" t="str">
        <f>'Rate Case Constants'!C9</f>
        <v>KENTUCKY UTILITIES COMPANY</v>
      </c>
      <c r="B1" s="706"/>
      <c r="C1" s="706"/>
      <c r="D1" s="706"/>
      <c r="E1" s="706"/>
      <c r="F1" s="706"/>
      <c r="G1" s="706"/>
      <c r="H1" s="706"/>
    </row>
    <row r="2" spans="1:8" s="28" customFormat="1" ht="20.100000000000001" customHeight="1">
      <c r="A2" s="706" t="str">
        <f>'Rate Case Constants'!C10</f>
        <v>CASE NO. 2016-00370</v>
      </c>
      <c r="B2" s="706"/>
      <c r="C2" s="706"/>
      <c r="D2" s="706"/>
      <c r="E2" s="706"/>
      <c r="F2" s="706"/>
      <c r="G2" s="706"/>
      <c r="H2" s="706"/>
    </row>
    <row r="3" spans="1:8" s="28" customFormat="1" ht="20.100000000000001" customHeight="1">
      <c r="A3" s="706" t="s">
        <v>189</v>
      </c>
      <c r="B3" s="706"/>
      <c r="C3" s="706"/>
      <c r="D3" s="706"/>
      <c r="E3" s="706"/>
      <c r="F3" s="706"/>
      <c r="G3" s="706"/>
      <c r="H3" s="706"/>
    </row>
    <row r="4" spans="1:8" s="28" customFormat="1" ht="20.100000000000001" customHeight="1">
      <c r="A4" s="706" t="str">
        <f>'Rate Case Constants'!C12</f>
        <v>AS OF FEBRUARY 28, 2017</v>
      </c>
      <c r="B4" s="706"/>
      <c r="C4" s="706"/>
      <c r="D4" s="706"/>
      <c r="E4" s="706"/>
      <c r="F4" s="706"/>
      <c r="G4" s="706"/>
      <c r="H4" s="706"/>
    </row>
    <row r="5" spans="1:8" s="28" customFormat="1" ht="20.100000000000001" customHeight="1">
      <c r="A5" s="44"/>
      <c r="B5" s="44"/>
      <c r="C5" s="44"/>
      <c r="D5" s="44"/>
      <c r="E5" s="44"/>
      <c r="F5" s="44"/>
      <c r="G5" s="44"/>
      <c r="H5" s="44"/>
    </row>
    <row r="6" spans="1:8" s="28" customFormat="1" ht="20.100000000000001" customHeight="1">
      <c r="A6" s="27" t="s">
        <v>136</v>
      </c>
      <c r="B6" s="27"/>
      <c r="G6" s="34"/>
      <c r="H6" s="34" t="s">
        <v>190</v>
      </c>
    </row>
    <row r="7" spans="1:8" s="28" customFormat="1" ht="20.100000000000001" customHeight="1">
      <c r="A7" s="28" t="str">
        <f>'Rate Case Constants'!C29</f>
        <v>TYPE OF FILING: __X__ ORIGINAL  _____ UPDATED  _____ REVISED</v>
      </c>
      <c r="G7" s="34"/>
      <c r="H7" s="34" t="s">
        <v>180</v>
      </c>
    </row>
    <row r="8" spans="1:8" s="28" customFormat="1" ht="20.100000000000001" customHeight="1">
      <c r="A8" s="27" t="s">
        <v>1204</v>
      </c>
      <c r="B8" s="27"/>
      <c r="F8" s="27"/>
      <c r="G8" s="35"/>
      <c r="H8" s="35" t="str">
        <f>'Rate Case Constants'!C36</f>
        <v>WITNESS:   C. M. GARRETT</v>
      </c>
    </row>
    <row r="9" spans="1:8" s="28" customFormat="1" ht="20.100000000000001" customHeight="1"/>
    <row r="10" spans="1:8" ht="58.5" customHeight="1">
      <c r="A10" s="36" t="s">
        <v>134</v>
      </c>
      <c r="B10" s="36" t="s">
        <v>191</v>
      </c>
      <c r="C10" s="39" t="s">
        <v>192</v>
      </c>
      <c r="D10" s="36" t="s">
        <v>193</v>
      </c>
      <c r="E10" s="36" t="s">
        <v>194</v>
      </c>
      <c r="F10" s="36" t="s">
        <v>195</v>
      </c>
      <c r="G10" s="36" t="s">
        <v>196</v>
      </c>
      <c r="H10" s="36" t="s">
        <v>197</v>
      </c>
    </row>
    <row r="11" spans="1:8" ht="23.1" customHeight="1">
      <c r="A11" s="40"/>
      <c r="B11" s="40"/>
      <c r="C11" s="41"/>
      <c r="D11" s="42"/>
      <c r="E11" s="42"/>
      <c r="F11" s="42"/>
      <c r="G11" s="42"/>
      <c r="H11" s="42"/>
    </row>
    <row r="12" spans="1:8" ht="18.95" customHeight="1">
      <c r="A12" s="706" t="s">
        <v>1633</v>
      </c>
      <c r="B12" s="706"/>
      <c r="C12" s="706"/>
      <c r="D12" s="706"/>
      <c r="E12" s="706"/>
      <c r="F12" s="706"/>
      <c r="G12" s="706"/>
      <c r="H12" s="706"/>
    </row>
    <row r="13" spans="1:8" ht="18.95" customHeight="1">
      <c r="B13" s="31"/>
      <c r="D13" s="51"/>
    </row>
    <row r="14" spans="1:8" s="28" customFormat="1" ht="20.100000000000001" customHeight="1">
      <c r="A14" s="706" t="str">
        <f>$A$1</f>
        <v>KENTUCKY UTILITIES COMPANY</v>
      </c>
      <c r="B14" s="706"/>
      <c r="C14" s="706"/>
      <c r="D14" s="706"/>
      <c r="E14" s="706"/>
      <c r="F14" s="706"/>
      <c r="G14" s="706"/>
      <c r="H14" s="706"/>
    </row>
    <row r="15" spans="1:8" s="28" customFormat="1" ht="20.100000000000001" customHeight="1">
      <c r="A15" s="706" t="str">
        <f>$A$2</f>
        <v>CASE NO. 2016-00370</v>
      </c>
      <c r="B15" s="706"/>
      <c r="C15" s="706"/>
      <c r="D15" s="706"/>
      <c r="E15" s="706"/>
      <c r="F15" s="706"/>
      <c r="G15" s="706"/>
      <c r="H15" s="706"/>
    </row>
    <row r="16" spans="1:8" s="28" customFormat="1" ht="20.100000000000001" customHeight="1">
      <c r="A16" s="706" t="str">
        <f>$A$3</f>
        <v>LEASED PROPERTY</v>
      </c>
      <c r="B16" s="706"/>
      <c r="C16" s="706"/>
      <c r="D16" s="706"/>
      <c r="E16" s="706"/>
      <c r="F16" s="706"/>
      <c r="G16" s="706"/>
      <c r="H16" s="706"/>
    </row>
    <row r="17" spans="1:8" s="28" customFormat="1" ht="20.100000000000001" customHeight="1">
      <c r="A17" s="706" t="str">
        <f>'Rate Case Constants'!C18</f>
        <v>AS OF JUNE 30, 2018</v>
      </c>
      <c r="B17" s="706"/>
      <c r="C17" s="706"/>
      <c r="D17" s="706"/>
      <c r="E17" s="706"/>
      <c r="F17" s="706"/>
      <c r="G17" s="706"/>
      <c r="H17" s="706"/>
    </row>
    <row r="18" spans="1:8" s="28" customFormat="1" ht="20.100000000000001" customHeight="1">
      <c r="A18" s="44"/>
      <c r="B18" s="44"/>
      <c r="C18" s="44"/>
      <c r="D18" s="44"/>
      <c r="E18" s="44"/>
      <c r="F18" s="44"/>
      <c r="G18" s="44"/>
      <c r="H18" s="44"/>
    </row>
    <row r="19" spans="1:8" s="28" customFormat="1" ht="20.100000000000001" customHeight="1">
      <c r="A19" s="27" t="s">
        <v>164</v>
      </c>
      <c r="B19" s="27"/>
      <c r="G19" s="34"/>
      <c r="H19" s="34" t="s">
        <v>190</v>
      </c>
    </row>
    <row r="20" spans="1:8" s="28" customFormat="1" ht="20.100000000000001" customHeight="1">
      <c r="A20" s="27" t="str">
        <f>$A$7</f>
        <v>TYPE OF FILING: __X__ ORIGINAL  _____ UPDATED  _____ REVISED</v>
      </c>
      <c r="G20" s="34"/>
      <c r="H20" s="34" t="s">
        <v>188</v>
      </c>
    </row>
    <row r="21" spans="1:8" s="28" customFormat="1" ht="20.100000000000001" customHeight="1">
      <c r="A21" s="27" t="str">
        <f>$A$8</f>
        <v>WORKPAPER REFERENCE NO(S).:</v>
      </c>
      <c r="B21" s="27"/>
      <c r="F21" s="27"/>
      <c r="G21" s="35"/>
      <c r="H21" s="35" t="str">
        <f>$H$8</f>
        <v>WITNESS:   C. M. GARRETT</v>
      </c>
    </row>
    <row r="22" spans="1:8" s="28" customFormat="1" ht="20.100000000000001" customHeight="1"/>
    <row r="23" spans="1:8" ht="58.5" customHeight="1">
      <c r="A23" s="36" t="s">
        <v>134</v>
      </c>
      <c r="B23" s="36" t="s">
        <v>191</v>
      </c>
      <c r="C23" s="39" t="s">
        <v>192</v>
      </c>
      <c r="D23" s="36" t="s">
        <v>193</v>
      </c>
      <c r="E23" s="36" t="s">
        <v>194</v>
      </c>
      <c r="F23" s="36" t="s">
        <v>195</v>
      </c>
      <c r="G23" s="36" t="s">
        <v>196</v>
      </c>
      <c r="H23" s="36" t="s">
        <v>197</v>
      </c>
    </row>
    <row r="24" spans="1:8" ht="23.1" customHeight="1">
      <c r="A24" s="40"/>
      <c r="B24" s="40"/>
      <c r="C24" s="41"/>
      <c r="D24" s="42"/>
      <c r="E24" s="42"/>
      <c r="F24" s="42"/>
      <c r="G24" s="42"/>
      <c r="H24" s="42"/>
    </row>
    <row r="25" spans="1:8" ht="18.95" customHeight="1">
      <c r="A25" s="706" t="s">
        <v>1633</v>
      </c>
      <c r="B25" s="706"/>
      <c r="C25" s="706"/>
      <c r="D25" s="706"/>
      <c r="E25" s="706"/>
      <c r="F25" s="706"/>
      <c r="G25" s="706"/>
      <c r="H25" s="706"/>
    </row>
    <row r="26" spans="1:8" ht="18.95" customHeight="1">
      <c r="B26" s="31"/>
    </row>
    <row r="27" spans="1:8" ht="18.95" customHeight="1">
      <c r="B27" s="31"/>
    </row>
    <row r="28" spans="1:8" ht="18.95" customHeight="1">
      <c r="D28" s="29" t="s">
        <v>163</v>
      </c>
    </row>
    <row r="29" spans="1:8" ht="18.95" customHeight="1"/>
    <row r="30" spans="1:8" ht="18.95" customHeight="1"/>
    <row r="31" spans="1:8" ht="18.95" customHeight="1"/>
    <row r="32" spans="1:8" ht="18.95" customHeight="1"/>
    <row r="33" ht="18.95" customHeight="1"/>
    <row r="34" ht="18.95" customHeight="1"/>
    <row r="35" ht="18.95" customHeight="1"/>
    <row r="36" ht="18.95" customHeight="1"/>
    <row r="37" ht="18.95" customHeight="1"/>
    <row r="38" ht="18.95" customHeight="1"/>
    <row r="39" ht="18.95" customHeight="1"/>
    <row r="40" ht="18.95" customHeight="1"/>
  </sheetData>
  <mergeCells count="10">
    <mergeCell ref="A25:H25"/>
    <mergeCell ref="A16:H16"/>
    <mergeCell ref="A17:H17"/>
    <mergeCell ref="A1:H1"/>
    <mergeCell ref="A2:H2"/>
    <mergeCell ref="A3:H3"/>
    <mergeCell ref="A4:H4"/>
    <mergeCell ref="A14:H14"/>
    <mergeCell ref="A15:H15"/>
    <mergeCell ref="A12:H12"/>
  </mergeCells>
  <pageMargins left="0.95" right="0.5" top="0.75" bottom="0.75" header="0.3" footer="0.3"/>
  <pageSetup scale="65" fitToHeight="0" orientation="portrait" r:id="rId1"/>
  <rowBreaks count="1" manualBreakCount="1">
    <brk id="13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N46"/>
  <sheetViews>
    <sheetView zoomScaleNormal="100" workbookViewId="0">
      <selection activeCell="K24" sqref="K24"/>
    </sheetView>
  </sheetViews>
  <sheetFormatPr defaultColWidth="9" defaultRowHeight="12.75"/>
  <cols>
    <col min="1" max="1" width="6" style="29" customWidth="1"/>
    <col min="2" max="2" width="33.77734375" style="29" customWidth="1"/>
    <col min="3" max="4" width="12.33203125" style="29" customWidth="1"/>
    <col min="5" max="5" width="13.88671875" style="29" customWidth="1"/>
    <col min="6" max="6" width="11.109375" style="29" customWidth="1"/>
    <col min="7" max="7" width="10.77734375" style="29" customWidth="1"/>
    <col min="8" max="8" width="11.6640625" style="29" customWidth="1"/>
    <col min="9" max="9" width="7.77734375" style="29" customWidth="1"/>
    <col min="10" max="10" width="12.77734375" style="29" customWidth="1"/>
    <col min="11" max="11" width="2.21875" style="29" customWidth="1"/>
    <col min="12" max="12" width="11.6640625" style="29" customWidth="1"/>
    <col min="13" max="13" width="7.77734375" style="29" customWidth="1"/>
    <col min="14" max="14" width="12.77734375" style="29" customWidth="1"/>
    <col min="15" max="15" width="1.6640625" style="29" customWidth="1"/>
    <col min="16" max="16384" width="9" style="29"/>
  </cols>
  <sheetData>
    <row r="1" spans="1:14" s="28" customFormat="1" ht="20.100000000000001" customHeight="1">
      <c r="A1" s="706" t="str">
        <f>'Rate Case Constants'!C9</f>
        <v>KENTUCKY UTILITIES COMPANY</v>
      </c>
      <c r="B1" s="706"/>
      <c r="C1" s="706"/>
      <c r="D1" s="706"/>
      <c r="E1" s="706"/>
      <c r="F1" s="706"/>
      <c r="G1" s="706"/>
      <c r="H1" s="706"/>
      <c r="I1" s="706"/>
      <c r="J1" s="706"/>
      <c r="K1" s="706"/>
      <c r="L1" s="706"/>
      <c r="M1" s="706"/>
      <c r="N1" s="706"/>
    </row>
    <row r="2" spans="1:14" s="28" customFormat="1" ht="20.100000000000001" customHeight="1">
      <c r="A2" s="706" t="str">
        <f>'Rate Case Constants'!C10</f>
        <v>CASE NO. 2016-00370</v>
      </c>
      <c r="B2" s="706"/>
      <c r="C2" s="706"/>
      <c r="D2" s="706"/>
      <c r="E2" s="706"/>
      <c r="F2" s="706"/>
      <c r="G2" s="706"/>
      <c r="H2" s="706"/>
      <c r="I2" s="706"/>
      <c r="J2" s="706"/>
      <c r="K2" s="706"/>
      <c r="L2" s="706"/>
      <c r="M2" s="706"/>
      <c r="N2" s="706"/>
    </row>
    <row r="3" spans="1:14" s="28" customFormat="1" ht="20.100000000000001" customHeight="1">
      <c r="A3" s="706" t="s">
        <v>198</v>
      </c>
      <c r="B3" s="706"/>
      <c r="C3" s="706"/>
      <c r="D3" s="706"/>
      <c r="E3" s="706"/>
      <c r="F3" s="706"/>
      <c r="G3" s="706"/>
      <c r="H3" s="706"/>
      <c r="I3" s="706"/>
      <c r="J3" s="706"/>
      <c r="K3" s="706"/>
      <c r="L3" s="706"/>
      <c r="M3" s="706"/>
      <c r="N3" s="706"/>
    </row>
    <row r="4" spans="1:14" s="28" customFormat="1" ht="20.100000000000001" customHeight="1">
      <c r="A4" s="706" t="str">
        <f>'Rate Case Constants'!C12</f>
        <v>AS OF FEBRUARY 28, 2017</v>
      </c>
      <c r="B4" s="706"/>
      <c r="C4" s="706"/>
      <c r="D4" s="706"/>
      <c r="E4" s="706"/>
      <c r="F4" s="706"/>
      <c r="G4" s="706"/>
      <c r="H4" s="706"/>
      <c r="I4" s="706"/>
      <c r="J4" s="706"/>
      <c r="K4" s="706"/>
      <c r="L4" s="706"/>
      <c r="M4" s="706"/>
      <c r="N4" s="706"/>
    </row>
    <row r="5" spans="1:14" s="28" customFormat="1" ht="20.100000000000001" customHeight="1">
      <c r="A5" s="44"/>
      <c r="B5" s="44"/>
      <c r="C5" s="44"/>
      <c r="D5" s="44"/>
      <c r="E5" s="44"/>
      <c r="F5" s="462"/>
      <c r="G5" s="44"/>
      <c r="H5" s="44"/>
      <c r="I5" s="44"/>
      <c r="J5" s="44"/>
      <c r="K5" s="44"/>
      <c r="L5" s="44"/>
      <c r="M5" s="44"/>
      <c r="N5" s="44"/>
    </row>
    <row r="6" spans="1:14" s="28" customFormat="1" ht="20.100000000000001" customHeight="1">
      <c r="A6" s="27" t="s">
        <v>136</v>
      </c>
      <c r="B6" s="27"/>
      <c r="H6" s="34"/>
      <c r="I6" s="34"/>
      <c r="J6" s="34"/>
      <c r="K6" s="34"/>
      <c r="L6" s="34"/>
      <c r="M6" s="34"/>
      <c r="N6" s="34" t="s">
        <v>199</v>
      </c>
    </row>
    <row r="7" spans="1:14" s="28" customFormat="1" ht="20.100000000000001" customHeight="1">
      <c r="A7" s="28" t="str">
        <f>'Rate Case Constants'!C29</f>
        <v>TYPE OF FILING: __X__ ORIGINAL  _____ UPDATED  _____ REVISED</v>
      </c>
      <c r="H7" s="34"/>
      <c r="I7" s="34"/>
      <c r="J7" s="34"/>
      <c r="K7" s="34"/>
      <c r="L7" s="34"/>
      <c r="M7" s="34"/>
      <c r="N7" s="34" t="s">
        <v>180</v>
      </c>
    </row>
    <row r="8" spans="1:14" s="28" customFormat="1" ht="20.100000000000001" customHeight="1">
      <c r="A8" s="27" t="s">
        <v>1204</v>
      </c>
      <c r="B8" s="27"/>
      <c r="G8" s="27"/>
      <c r="H8" s="35"/>
      <c r="I8" s="35"/>
      <c r="J8" s="35"/>
      <c r="K8" s="35"/>
      <c r="L8" s="35"/>
      <c r="M8" s="35"/>
      <c r="N8" s="35" t="str">
        <f>'Rate Case Constants'!C36</f>
        <v>WITNESS:   C. M. GARRETT</v>
      </c>
    </row>
    <row r="9" spans="1:14" s="28" customFormat="1" ht="20.100000000000001" customHeight="1"/>
    <row r="10" spans="1:14" s="28" customFormat="1" ht="20.100000000000001" customHeight="1">
      <c r="A10" s="61"/>
      <c r="B10" s="61"/>
      <c r="C10" s="61"/>
      <c r="D10" s="61"/>
      <c r="E10" s="61"/>
      <c r="F10" s="61"/>
      <c r="G10" s="61"/>
      <c r="H10" s="708" t="s">
        <v>207</v>
      </c>
      <c r="I10" s="708"/>
      <c r="J10" s="708"/>
      <c r="K10" s="62"/>
      <c r="L10" s="708" t="s">
        <v>209</v>
      </c>
      <c r="M10" s="708"/>
      <c r="N10" s="708"/>
    </row>
    <row r="11" spans="1:14" ht="45.95" customHeight="1">
      <c r="A11" s="31" t="s">
        <v>134</v>
      </c>
      <c r="B11" s="31" t="s">
        <v>200</v>
      </c>
      <c r="C11" s="31" t="s">
        <v>201</v>
      </c>
      <c r="D11" s="31" t="s">
        <v>202</v>
      </c>
      <c r="E11" s="31" t="s">
        <v>203</v>
      </c>
      <c r="F11" s="31" t="s">
        <v>2421</v>
      </c>
      <c r="G11" s="31" t="s">
        <v>204</v>
      </c>
      <c r="H11" s="31" t="s">
        <v>205</v>
      </c>
      <c r="I11" s="31" t="s">
        <v>206</v>
      </c>
      <c r="J11" s="31" t="s">
        <v>208</v>
      </c>
      <c r="K11" s="31"/>
      <c r="L11" s="31" t="s">
        <v>205</v>
      </c>
      <c r="M11" s="31" t="s">
        <v>206</v>
      </c>
      <c r="N11" s="31" t="s">
        <v>208</v>
      </c>
    </row>
    <row r="12" spans="1:14" ht="23.1" customHeight="1">
      <c r="A12" s="40"/>
      <c r="B12" s="40"/>
      <c r="C12" s="41"/>
      <c r="D12" s="42" t="s">
        <v>145</v>
      </c>
      <c r="E12" s="42" t="s">
        <v>145</v>
      </c>
      <c r="F12" s="42"/>
      <c r="G12" s="42" t="s">
        <v>145</v>
      </c>
      <c r="H12" s="42" t="s">
        <v>145</v>
      </c>
      <c r="I12" s="42"/>
      <c r="J12" s="42"/>
      <c r="K12" s="42"/>
      <c r="L12" s="42" t="s">
        <v>145</v>
      </c>
      <c r="M12" s="42"/>
      <c r="N12" s="42"/>
    </row>
    <row r="13" spans="1:14" ht="34.5" customHeight="1">
      <c r="A13" s="64">
        <v>1</v>
      </c>
      <c r="B13" s="38" t="s">
        <v>2422</v>
      </c>
      <c r="C13" s="192">
        <v>41821</v>
      </c>
      <c r="D13" s="418">
        <v>309540.84999999998</v>
      </c>
      <c r="E13" s="418">
        <v>0</v>
      </c>
      <c r="F13" s="99">
        <f>G13/D13</f>
        <v>0.87577725766318848</v>
      </c>
      <c r="G13" s="418">
        <f>'JURISSEP B'!G$228</f>
        <v>271088.83674773236</v>
      </c>
      <c r="H13" s="418">
        <v>0</v>
      </c>
      <c r="L13" s="418">
        <v>0</v>
      </c>
    </row>
    <row r="14" spans="1:14" ht="34.5" customHeight="1">
      <c r="A14" s="64">
        <v>2</v>
      </c>
      <c r="B14" s="38" t="s">
        <v>2423</v>
      </c>
      <c r="C14" s="192">
        <v>40756</v>
      </c>
      <c r="D14" s="418">
        <v>113882.25</v>
      </c>
      <c r="E14" s="418">
        <v>0</v>
      </c>
      <c r="F14" s="99">
        <f>G14/D14</f>
        <v>1</v>
      </c>
      <c r="G14" s="418">
        <f>'JURISSEP B'!G$230</f>
        <v>113882.25</v>
      </c>
      <c r="H14" s="418">
        <v>0</v>
      </c>
      <c r="L14" s="418">
        <v>0</v>
      </c>
    </row>
    <row r="15" spans="1:14" ht="34.5" customHeight="1">
      <c r="A15" s="64">
        <v>3</v>
      </c>
      <c r="B15" s="38" t="s">
        <v>1672</v>
      </c>
      <c r="C15" s="192">
        <v>40905</v>
      </c>
      <c r="D15" s="418">
        <v>324087.84000000003</v>
      </c>
      <c r="E15" s="418">
        <v>0</v>
      </c>
      <c r="F15" s="99">
        <f>G15/D15</f>
        <v>0</v>
      </c>
      <c r="G15" s="418">
        <v>0</v>
      </c>
      <c r="H15" s="418">
        <v>0</v>
      </c>
      <c r="L15" s="418">
        <v>0</v>
      </c>
    </row>
    <row r="16" spans="1:14" ht="18.95" customHeight="1">
      <c r="B16" s="31"/>
      <c r="D16" s="51"/>
    </row>
    <row r="17" spans="1:14" s="28" customFormat="1" ht="20.100000000000001" customHeight="1">
      <c r="A17" s="706" t="str">
        <f>$A$1</f>
        <v>KENTUCKY UTILITIES COMPANY</v>
      </c>
      <c r="B17" s="706"/>
      <c r="C17" s="706"/>
      <c r="D17" s="706"/>
      <c r="E17" s="706"/>
      <c r="F17" s="706"/>
      <c r="G17" s="706"/>
      <c r="H17" s="706"/>
      <c r="I17" s="706"/>
      <c r="J17" s="706"/>
      <c r="K17" s="706"/>
      <c r="L17" s="706"/>
      <c r="M17" s="706"/>
      <c r="N17" s="706"/>
    </row>
    <row r="18" spans="1:14" s="28" customFormat="1" ht="20.100000000000001" customHeight="1">
      <c r="A18" s="706" t="str">
        <f>$A$2</f>
        <v>CASE NO. 2016-00370</v>
      </c>
      <c r="B18" s="706"/>
      <c r="C18" s="706"/>
      <c r="D18" s="706"/>
      <c r="E18" s="706"/>
      <c r="F18" s="706"/>
      <c r="G18" s="706"/>
      <c r="H18" s="706"/>
      <c r="I18" s="706"/>
      <c r="J18" s="706"/>
      <c r="K18" s="706"/>
      <c r="L18" s="706"/>
      <c r="M18" s="706"/>
      <c r="N18" s="706"/>
    </row>
    <row r="19" spans="1:14" s="28" customFormat="1" ht="20.100000000000001" customHeight="1">
      <c r="A19" s="706" t="str">
        <f>$A$3</f>
        <v>PROPERTY HELD FOR FUTURE USE INCLUDED IN RATE BASE</v>
      </c>
      <c r="B19" s="706"/>
      <c r="C19" s="706"/>
      <c r="D19" s="706"/>
      <c r="E19" s="706"/>
      <c r="F19" s="706"/>
      <c r="G19" s="706"/>
      <c r="H19" s="706"/>
      <c r="I19" s="706"/>
      <c r="J19" s="706"/>
      <c r="K19" s="706"/>
      <c r="L19" s="706"/>
      <c r="M19" s="706"/>
      <c r="N19" s="706"/>
    </row>
    <row r="20" spans="1:14" s="28" customFormat="1" ht="20.100000000000001" customHeight="1">
      <c r="A20" s="706" t="str">
        <f>'Rate Case Constants'!C18</f>
        <v>AS OF JUNE 30, 2018</v>
      </c>
      <c r="B20" s="706"/>
      <c r="C20" s="706"/>
      <c r="D20" s="706"/>
      <c r="E20" s="706"/>
      <c r="F20" s="706"/>
      <c r="G20" s="706"/>
      <c r="H20" s="706"/>
      <c r="I20" s="706"/>
      <c r="J20" s="706"/>
      <c r="K20" s="706"/>
      <c r="L20" s="706"/>
      <c r="M20" s="706"/>
      <c r="N20" s="706"/>
    </row>
    <row r="21" spans="1:14" s="28" customFormat="1" ht="20.100000000000001" customHeight="1">
      <c r="A21" s="44"/>
      <c r="B21" s="44"/>
      <c r="C21" s="44"/>
      <c r="D21" s="44"/>
      <c r="E21" s="44"/>
      <c r="F21" s="462"/>
      <c r="G21" s="44"/>
      <c r="H21" s="44"/>
      <c r="I21" s="44"/>
      <c r="J21" s="44"/>
      <c r="K21" s="44"/>
      <c r="L21" s="44"/>
      <c r="M21" s="44"/>
      <c r="N21" s="44"/>
    </row>
    <row r="22" spans="1:14" s="28" customFormat="1" ht="20.100000000000001" customHeight="1">
      <c r="A22" s="27" t="s">
        <v>164</v>
      </c>
      <c r="B22" s="27"/>
      <c r="H22" s="34"/>
      <c r="I22" s="34"/>
      <c r="J22" s="34"/>
      <c r="K22" s="34"/>
      <c r="L22" s="34"/>
      <c r="M22" s="34"/>
      <c r="N22" s="34" t="s">
        <v>199</v>
      </c>
    </row>
    <row r="23" spans="1:14" s="28" customFormat="1" ht="20.100000000000001" customHeight="1">
      <c r="A23" s="27" t="str">
        <f>$A$7</f>
        <v>TYPE OF FILING: __X__ ORIGINAL  _____ UPDATED  _____ REVISED</v>
      </c>
      <c r="H23" s="34"/>
      <c r="I23" s="34"/>
      <c r="J23" s="34"/>
      <c r="K23" s="34"/>
      <c r="L23" s="34"/>
      <c r="M23" s="34"/>
      <c r="N23" s="34" t="s">
        <v>188</v>
      </c>
    </row>
    <row r="24" spans="1:14" s="28" customFormat="1" ht="20.100000000000001" customHeight="1">
      <c r="A24" s="27" t="str">
        <f>$A$8</f>
        <v>WORKPAPER REFERENCE NO(S).:</v>
      </c>
      <c r="B24" s="27"/>
      <c r="G24" s="27"/>
      <c r="H24" s="35"/>
      <c r="I24" s="35"/>
      <c r="J24" s="35"/>
      <c r="K24" s="35"/>
      <c r="L24" s="35"/>
      <c r="M24" s="35"/>
      <c r="N24" s="35" t="str">
        <f>$N$8</f>
        <v>WITNESS:   C. M. GARRETT</v>
      </c>
    </row>
    <row r="25" spans="1:14" s="28" customFormat="1" ht="20.100000000000001" customHeight="1"/>
    <row r="26" spans="1:14" s="28" customFormat="1" ht="20.100000000000001" customHeight="1">
      <c r="A26" s="61"/>
      <c r="B26" s="61"/>
      <c r="C26" s="61"/>
      <c r="D26" s="61"/>
      <c r="E26" s="61"/>
      <c r="F26" s="61"/>
      <c r="G26" s="61"/>
      <c r="H26" s="708" t="s">
        <v>207</v>
      </c>
      <c r="I26" s="708"/>
      <c r="J26" s="708"/>
      <c r="K26" s="62"/>
      <c r="L26" s="708" t="s">
        <v>209</v>
      </c>
      <c r="M26" s="708"/>
      <c r="N26" s="708"/>
    </row>
    <row r="27" spans="1:14" ht="45.95" customHeight="1">
      <c r="A27" s="31" t="s">
        <v>134</v>
      </c>
      <c r="B27" s="31" t="s">
        <v>200</v>
      </c>
      <c r="C27" s="31" t="s">
        <v>201</v>
      </c>
      <c r="D27" s="31" t="s">
        <v>202</v>
      </c>
      <c r="E27" s="31" t="s">
        <v>203</v>
      </c>
      <c r="F27" s="31" t="s">
        <v>2421</v>
      </c>
      <c r="G27" s="31" t="s">
        <v>204</v>
      </c>
      <c r="H27" s="31" t="s">
        <v>205</v>
      </c>
      <c r="I27" s="31" t="s">
        <v>206</v>
      </c>
      <c r="J27" s="31" t="s">
        <v>208</v>
      </c>
      <c r="K27" s="31"/>
      <c r="L27" s="31" t="s">
        <v>205</v>
      </c>
      <c r="M27" s="31" t="s">
        <v>206</v>
      </c>
      <c r="N27" s="31" t="s">
        <v>208</v>
      </c>
    </row>
    <row r="28" spans="1:14" ht="23.1" customHeight="1">
      <c r="A28" s="40"/>
      <c r="B28" s="40"/>
      <c r="C28" s="41"/>
      <c r="D28" s="42" t="s">
        <v>145</v>
      </c>
      <c r="E28" s="42" t="s">
        <v>145</v>
      </c>
      <c r="F28" s="42"/>
      <c r="G28" s="42" t="s">
        <v>145</v>
      </c>
      <c r="H28" s="42" t="s">
        <v>145</v>
      </c>
      <c r="I28" s="42"/>
      <c r="J28" s="42"/>
      <c r="K28" s="42"/>
      <c r="L28" s="42" t="s">
        <v>145</v>
      </c>
      <c r="M28" s="42"/>
      <c r="N28" s="42"/>
    </row>
    <row r="29" spans="1:14" ht="34.5" customHeight="1">
      <c r="A29" s="64">
        <v>1</v>
      </c>
      <c r="B29" s="38" t="s">
        <v>2422</v>
      </c>
      <c r="C29" s="192">
        <v>41821</v>
      </c>
      <c r="D29" s="418">
        <v>309540.84999999998</v>
      </c>
      <c r="E29" s="418">
        <v>0</v>
      </c>
      <c r="F29" s="99">
        <f>G29/D29</f>
        <v>0.87577725766318848</v>
      </c>
      <c r="G29" s="418">
        <f>'JURISSEP F'!G$228</f>
        <v>271088.83674773236</v>
      </c>
      <c r="H29" s="418">
        <v>0</v>
      </c>
      <c r="L29" s="418">
        <v>0</v>
      </c>
    </row>
    <row r="30" spans="1:14" ht="34.5" customHeight="1">
      <c r="A30" s="64">
        <v>2</v>
      </c>
      <c r="B30" s="38" t="s">
        <v>2423</v>
      </c>
      <c r="C30" s="192">
        <v>40756</v>
      </c>
      <c r="D30" s="418">
        <v>113882.25</v>
      </c>
      <c r="E30" s="418">
        <v>0</v>
      </c>
      <c r="F30" s="99">
        <f>G30/D30</f>
        <v>1</v>
      </c>
      <c r="G30" s="418">
        <f>'JURISSEP F'!G$230</f>
        <v>113882.25</v>
      </c>
      <c r="H30" s="418">
        <v>0</v>
      </c>
      <c r="L30" s="418">
        <v>0</v>
      </c>
    </row>
    <row r="31" spans="1:14" ht="34.5" customHeight="1">
      <c r="A31" s="64">
        <v>3</v>
      </c>
      <c r="B31" s="38" t="s">
        <v>1672</v>
      </c>
      <c r="C31" s="192">
        <v>40905</v>
      </c>
      <c r="D31" s="418">
        <v>324087.84000000003</v>
      </c>
      <c r="E31" s="418">
        <v>0</v>
      </c>
      <c r="F31" s="99">
        <f>G31/D31</f>
        <v>0</v>
      </c>
      <c r="G31" s="418">
        <v>0</v>
      </c>
      <c r="H31" s="418">
        <v>0</v>
      </c>
      <c r="L31" s="418">
        <v>0</v>
      </c>
    </row>
    <row r="32" spans="1:14" ht="18.95" customHeight="1">
      <c r="B32" s="31"/>
    </row>
    <row r="33" spans="2:8" ht="18.95" customHeight="1">
      <c r="B33" s="31"/>
      <c r="D33" s="58"/>
      <c r="G33" s="58"/>
      <c r="H33" s="58"/>
    </row>
    <row r="34" spans="2:8" ht="18.95" customHeight="1">
      <c r="D34" s="29" t="s">
        <v>163</v>
      </c>
    </row>
    <row r="35" spans="2:8" ht="18.95" customHeight="1"/>
    <row r="36" spans="2:8" ht="18.95" customHeight="1"/>
    <row r="37" spans="2:8" ht="18.95" customHeight="1"/>
    <row r="38" spans="2:8" ht="18.95" customHeight="1"/>
    <row r="39" spans="2:8" ht="18.95" customHeight="1"/>
    <row r="40" spans="2:8" ht="18.95" customHeight="1"/>
    <row r="41" spans="2:8" ht="18.95" customHeight="1"/>
    <row r="42" spans="2:8" ht="18.95" customHeight="1"/>
    <row r="43" spans="2:8" ht="18.95" customHeight="1"/>
    <row r="44" spans="2:8" ht="18.95" customHeight="1"/>
    <row r="45" spans="2:8" ht="18.95" customHeight="1"/>
    <row r="46" spans="2:8" ht="18.95" customHeight="1"/>
  </sheetData>
  <mergeCells count="12">
    <mergeCell ref="A1:N1"/>
    <mergeCell ref="A2:N2"/>
    <mergeCell ref="A3:N3"/>
    <mergeCell ref="A4:N4"/>
    <mergeCell ref="A17:N17"/>
    <mergeCell ref="A19:N19"/>
    <mergeCell ref="A20:N20"/>
    <mergeCell ref="H10:J10"/>
    <mergeCell ref="L10:N10"/>
    <mergeCell ref="H26:J26"/>
    <mergeCell ref="L26:N26"/>
    <mergeCell ref="A18:N18"/>
  </mergeCells>
  <pageMargins left="0.95" right="0.5" top="0.75" bottom="0.75" header="0.3" footer="0.3"/>
  <pageSetup scale="50" fitToHeight="0" orientation="portrait" r:id="rId1"/>
  <rowBreaks count="1" manualBreakCount="1">
    <brk id="16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K98"/>
  <sheetViews>
    <sheetView topLeftCell="A6" zoomScaleNormal="100" workbookViewId="0">
      <selection activeCell="D55" sqref="D55"/>
    </sheetView>
  </sheetViews>
  <sheetFormatPr defaultColWidth="9" defaultRowHeight="12.75"/>
  <cols>
    <col min="1" max="1" width="6" style="29" customWidth="1"/>
    <col min="2" max="2" width="7.109375" style="29" customWidth="1"/>
    <col min="3" max="3" width="32" style="29" customWidth="1"/>
    <col min="4" max="4" width="11.44140625" style="29" customWidth="1"/>
    <col min="5" max="5" width="12.33203125" style="29" customWidth="1"/>
    <col min="6" max="6" width="13.88671875" style="29" customWidth="1"/>
    <col min="7" max="7" width="10.77734375" style="29" customWidth="1"/>
    <col min="8" max="8" width="11.6640625" style="29" customWidth="1"/>
    <col min="9" max="9" width="7.77734375" style="29" customWidth="1"/>
    <col min="10" max="10" width="12.77734375" style="29" customWidth="1"/>
    <col min="11" max="11" width="34.77734375" style="29" customWidth="1"/>
    <col min="12" max="12" width="1.6640625" style="29" customWidth="1"/>
    <col min="13" max="16384" width="9" style="29"/>
  </cols>
  <sheetData>
    <row r="1" spans="1:11" s="28" customFormat="1" ht="20.100000000000001" customHeight="1">
      <c r="A1" s="706" t="str">
        <f>'Rate Case Constants'!C9</f>
        <v>KENTUCKY UTILITIES COMPANY</v>
      </c>
      <c r="B1" s="706"/>
      <c r="C1" s="706"/>
      <c r="D1" s="706"/>
      <c r="E1" s="706"/>
      <c r="F1" s="706"/>
      <c r="G1" s="706"/>
      <c r="H1" s="706"/>
      <c r="I1" s="706"/>
      <c r="J1" s="706"/>
      <c r="K1" s="706"/>
    </row>
    <row r="2" spans="1:11" s="28" customFormat="1" ht="20.100000000000001" customHeight="1">
      <c r="A2" s="706" t="str">
        <f>'Rate Case Constants'!C10</f>
        <v>CASE NO. 2016-00370</v>
      </c>
      <c r="B2" s="706"/>
      <c r="C2" s="706"/>
      <c r="D2" s="706"/>
      <c r="E2" s="706"/>
      <c r="F2" s="706"/>
      <c r="G2" s="706"/>
      <c r="H2" s="706"/>
      <c r="I2" s="706"/>
      <c r="J2" s="706"/>
      <c r="K2" s="706"/>
    </row>
    <row r="3" spans="1:11" s="28" customFormat="1" ht="20.100000000000001" customHeight="1">
      <c r="A3" s="706" t="s">
        <v>211</v>
      </c>
      <c r="B3" s="706"/>
      <c r="C3" s="706"/>
      <c r="D3" s="706"/>
      <c r="E3" s="706"/>
      <c r="F3" s="706"/>
      <c r="G3" s="706"/>
      <c r="H3" s="706"/>
      <c r="I3" s="706"/>
      <c r="J3" s="706"/>
      <c r="K3" s="706"/>
    </row>
    <row r="4" spans="1:11" s="28" customFormat="1" ht="20.100000000000001" customHeight="1">
      <c r="A4" s="706" t="s">
        <v>212</v>
      </c>
      <c r="B4" s="706"/>
      <c r="C4" s="706"/>
      <c r="D4" s="706"/>
      <c r="E4" s="706"/>
      <c r="F4" s="706"/>
      <c r="G4" s="706"/>
      <c r="H4" s="706"/>
      <c r="I4" s="706"/>
      <c r="J4" s="706"/>
      <c r="K4" s="706"/>
    </row>
    <row r="5" spans="1:11" s="28" customFormat="1" ht="20.100000000000001" customHeight="1">
      <c r="A5" s="706" t="str">
        <f>'Rate Case Constants'!C12</f>
        <v>AS OF FEBRUARY 28, 2017</v>
      </c>
      <c r="B5" s="706"/>
      <c r="C5" s="706"/>
      <c r="D5" s="706"/>
      <c r="E5" s="706"/>
      <c r="F5" s="706"/>
      <c r="G5" s="706"/>
      <c r="H5" s="706"/>
      <c r="I5" s="706"/>
      <c r="J5" s="706"/>
      <c r="K5" s="706"/>
    </row>
    <row r="6" spans="1:11" s="28" customFormat="1" ht="20.100000000000001" customHeight="1">
      <c r="A6" s="44"/>
      <c r="B6" s="44"/>
      <c r="C6" s="44"/>
      <c r="D6" s="44"/>
      <c r="E6" s="44"/>
      <c r="F6" s="44"/>
      <c r="G6" s="44"/>
      <c r="H6" s="44"/>
      <c r="I6" s="44"/>
      <c r="J6" s="44"/>
      <c r="K6" s="44"/>
    </row>
    <row r="7" spans="1:11" s="28" customFormat="1" ht="20.100000000000001" customHeight="1">
      <c r="A7" s="27" t="s">
        <v>136</v>
      </c>
      <c r="B7" s="27"/>
      <c r="H7" s="34"/>
      <c r="I7" s="34"/>
      <c r="J7" s="34"/>
      <c r="K7" s="34" t="s">
        <v>210</v>
      </c>
    </row>
    <row r="8" spans="1:11" s="28" customFormat="1" ht="20.100000000000001" customHeight="1">
      <c r="A8" s="28" t="str">
        <f>'Rate Case Constants'!C29</f>
        <v>TYPE OF FILING: __X__ ORIGINAL  _____ UPDATED  _____ REVISED</v>
      </c>
      <c r="H8" s="34"/>
      <c r="I8" s="34"/>
      <c r="J8" s="34"/>
      <c r="K8" s="34" t="s">
        <v>180</v>
      </c>
    </row>
    <row r="9" spans="1:11" s="28" customFormat="1" ht="20.100000000000001" customHeight="1">
      <c r="A9" s="27" t="s">
        <v>1204</v>
      </c>
      <c r="B9" s="27"/>
      <c r="G9" s="27"/>
      <c r="H9" s="35"/>
      <c r="I9" s="35"/>
      <c r="J9" s="35"/>
      <c r="K9" s="35" t="str">
        <f>'Rate Case Constants'!C36</f>
        <v>WITNESS:   C. M. GARRETT</v>
      </c>
    </row>
    <row r="10" spans="1:11" s="28" customFormat="1" ht="20.100000000000001" customHeight="1"/>
    <row r="11" spans="1:11" s="28" customFormat="1" ht="20.100000000000001" customHeight="1">
      <c r="A11" s="61"/>
      <c r="B11" s="61"/>
      <c r="C11" s="61"/>
      <c r="D11" s="61"/>
      <c r="E11" s="61"/>
      <c r="F11" s="61"/>
      <c r="G11" s="61"/>
      <c r="H11" s="708" t="s">
        <v>214</v>
      </c>
      <c r="I11" s="708"/>
      <c r="J11" s="708"/>
      <c r="K11" s="62"/>
    </row>
    <row r="12" spans="1:11" ht="45.95" customHeight="1">
      <c r="A12" s="31" t="s">
        <v>134</v>
      </c>
      <c r="B12" s="31" t="s">
        <v>137</v>
      </c>
      <c r="C12" s="31" t="s">
        <v>216</v>
      </c>
      <c r="D12" s="31" t="s">
        <v>213</v>
      </c>
      <c r="E12" s="31" t="s">
        <v>202</v>
      </c>
      <c r="F12" s="31" t="s">
        <v>203</v>
      </c>
      <c r="G12" s="31" t="s">
        <v>204</v>
      </c>
      <c r="H12" s="31" t="s">
        <v>205</v>
      </c>
      <c r="I12" s="31" t="s">
        <v>206</v>
      </c>
      <c r="J12" s="31" t="s">
        <v>208</v>
      </c>
      <c r="K12" s="63" t="s">
        <v>215</v>
      </c>
    </row>
    <row r="13" spans="1:11" ht="23.1" customHeight="1">
      <c r="A13" s="40"/>
      <c r="B13" s="40"/>
      <c r="C13" s="41"/>
      <c r="D13" s="42"/>
      <c r="E13" s="42" t="s">
        <v>145</v>
      </c>
      <c r="F13" s="42" t="s">
        <v>145</v>
      </c>
      <c r="G13" s="42" t="s">
        <v>145</v>
      </c>
      <c r="H13" s="42" t="s">
        <v>145</v>
      </c>
      <c r="I13" s="42"/>
      <c r="J13" s="42"/>
      <c r="K13" s="42"/>
    </row>
    <row r="14" spans="1:11" ht="23.1" customHeight="1">
      <c r="A14" s="187">
        <v>1</v>
      </c>
      <c r="B14" s="33"/>
      <c r="C14" s="191" t="s">
        <v>1671</v>
      </c>
      <c r="D14" s="60"/>
      <c r="E14" s="60"/>
      <c r="F14" s="60"/>
      <c r="G14" s="60"/>
      <c r="H14" s="60"/>
      <c r="I14" s="60"/>
      <c r="J14" s="60"/>
      <c r="K14" s="60"/>
    </row>
    <row r="15" spans="1:11" ht="18.95" customHeight="1">
      <c r="A15" s="187">
        <f>A14+1</f>
        <v>2</v>
      </c>
      <c r="B15" s="415">
        <v>121</v>
      </c>
      <c r="C15" s="28" t="s">
        <v>1645</v>
      </c>
      <c r="D15" s="192">
        <v>26876</v>
      </c>
      <c r="E15" s="418">
        <v>7073.06</v>
      </c>
      <c r="F15" s="418">
        <v>0</v>
      </c>
      <c r="G15" s="418">
        <f>E15-F15</f>
        <v>7073.06</v>
      </c>
      <c r="K15" s="112" t="s">
        <v>1629</v>
      </c>
    </row>
    <row r="16" spans="1:11" ht="18.95" customHeight="1">
      <c r="A16" s="187">
        <f t="shared" ref="A16:A40" si="0">A15+1</f>
        <v>3</v>
      </c>
      <c r="B16" s="415">
        <v>121</v>
      </c>
      <c r="C16" s="28" t="s">
        <v>1646</v>
      </c>
      <c r="D16" s="192">
        <v>21915</v>
      </c>
      <c r="E16" s="418">
        <v>2210.35</v>
      </c>
      <c r="F16" s="418">
        <v>0</v>
      </c>
      <c r="G16" s="418">
        <f t="shared" ref="G16:G40" si="1">E16-F16</f>
        <v>2210.35</v>
      </c>
      <c r="K16" s="112" t="s">
        <v>1629</v>
      </c>
    </row>
    <row r="17" spans="1:11" ht="18.95" customHeight="1">
      <c r="A17" s="187">
        <f t="shared" si="0"/>
        <v>4</v>
      </c>
      <c r="B17" s="415">
        <v>121</v>
      </c>
      <c r="C17" s="28" t="s">
        <v>1647</v>
      </c>
      <c r="D17" s="192">
        <v>33450</v>
      </c>
      <c r="E17" s="418">
        <v>29788.73</v>
      </c>
      <c r="F17" s="418">
        <v>0</v>
      </c>
      <c r="G17" s="418">
        <f t="shared" si="1"/>
        <v>29788.73</v>
      </c>
      <c r="K17" s="112" t="s">
        <v>1629</v>
      </c>
    </row>
    <row r="18" spans="1:11" ht="18.95" customHeight="1">
      <c r="A18" s="187">
        <f t="shared" si="0"/>
        <v>5</v>
      </c>
      <c r="B18" s="415">
        <v>121</v>
      </c>
      <c r="C18" s="28" t="s">
        <v>1648</v>
      </c>
      <c r="D18" s="192">
        <v>15341</v>
      </c>
      <c r="E18" s="418">
        <v>75</v>
      </c>
      <c r="F18" s="418">
        <v>0</v>
      </c>
      <c r="G18" s="418">
        <f t="shared" si="1"/>
        <v>75</v>
      </c>
      <c r="K18" s="112" t="s">
        <v>1629</v>
      </c>
    </row>
    <row r="19" spans="1:11" ht="18.95" customHeight="1">
      <c r="A19" s="187">
        <f t="shared" si="0"/>
        <v>6</v>
      </c>
      <c r="B19" s="415">
        <v>121</v>
      </c>
      <c r="C19" s="28" t="s">
        <v>1649</v>
      </c>
      <c r="D19" s="192">
        <v>15219</v>
      </c>
      <c r="E19" s="418">
        <v>500</v>
      </c>
      <c r="F19" s="418">
        <v>0</v>
      </c>
      <c r="G19" s="418">
        <f t="shared" si="1"/>
        <v>500</v>
      </c>
      <c r="K19" s="112" t="s">
        <v>1629</v>
      </c>
    </row>
    <row r="20" spans="1:11" ht="18.95" customHeight="1">
      <c r="A20" s="187">
        <f t="shared" si="0"/>
        <v>7</v>
      </c>
      <c r="B20" s="415">
        <v>121</v>
      </c>
      <c r="C20" s="28" t="s">
        <v>1650</v>
      </c>
      <c r="D20" s="192">
        <v>15035</v>
      </c>
      <c r="E20" s="418">
        <v>961.5</v>
      </c>
      <c r="F20" s="418">
        <v>0</v>
      </c>
      <c r="G20" s="418">
        <f t="shared" si="1"/>
        <v>961.5</v>
      </c>
      <c r="K20" s="112" t="s">
        <v>1629</v>
      </c>
    </row>
    <row r="21" spans="1:11" ht="18.95" customHeight="1">
      <c r="A21" s="187">
        <f t="shared" si="0"/>
        <v>8</v>
      </c>
      <c r="B21" s="415">
        <v>121</v>
      </c>
      <c r="C21" s="28" t="s">
        <v>1651</v>
      </c>
      <c r="D21" s="192">
        <v>19663</v>
      </c>
      <c r="E21" s="418">
        <v>212.25</v>
      </c>
      <c r="F21" s="418">
        <v>0</v>
      </c>
      <c r="G21" s="418">
        <f t="shared" si="1"/>
        <v>212.25</v>
      </c>
      <c r="K21" s="112" t="s">
        <v>1629</v>
      </c>
    </row>
    <row r="22" spans="1:11" ht="18.95" customHeight="1">
      <c r="A22" s="187">
        <f t="shared" si="0"/>
        <v>9</v>
      </c>
      <c r="B22" s="415">
        <v>121</v>
      </c>
      <c r="C22" s="28" t="s">
        <v>1652</v>
      </c>
      <c r="D22" s="192">
        <v>14884</v>
      </c>
      <c r="E22" s="418">
        <v>12950</v>
      </c>
      <c r="F22" s="418">
        <v>0</v>
      </c>
      <c r="G22" s="418">
        <f t="shared" si="1"/>
        <v>12950</v>
      </c>
      <c r="K22" s="112" t="s">
        <v>1629</v>
      </c>
    </row>
    <row r="23" spans="1:11" ht="18.95" customHeight="1">
      <c r="A23" s="187">
        <f t="shared" si="0"/>
        <v>10</v>
      </c>
      <c r="B23" s="415">
        <v>121</v>
      </c>
      <c r="C23" s="28" t="s">
        <v>1653</v>
      </c>
      <c r="D23" s="192">
        <v>24776</v>
      </c>
      <c r="E23" s="418">
        <v>79501.5</v>
      </c>
      <c r="F23" s="418">
        <v>0</v>
      </c>
      <c r="G23" s="418">
        <f t="shared" si="1"/>
        <v>79501.5</v>
      </c>
      <c r="K23" s="112" t="s">
        <v>1629</v>
      </c>
    </row>
    <row r="24" spans="1:11" ht="18.95" customHeight="1">
      <c r="A24" s="187">
        <f t="shared" si="0"/>
        <v>11</v>
      </c>
      <c r="B24" s="415">
        <v>121</v>
      </c>
      <c r="C24" s="28" t="s">
        <v>1654</v>
      </c>
      <c r="D24" s="192">
        <v>15341</v>
      </c>
      <c r="E24" s="418">
        <v>250</v>
      </c>
      <c r="F24" s="418">
        <v>0</v>
      </c>
      <c r="G24" s="418">
        <f t="shared" si="1"/>
        <v>250</v>
      </c>
      <c r="K24" s="112" t="s">
        <v>1629</v>
      </c>
    </row>
    <row r="25" spans="1:11" ht="18.95" customHeight="1">
      <c r="A25" s="187">
        <f t="shared" si="0"/>
        <v>12</v>
      </c>
      <c r="B25" s="415">
        <v>121</v>
      </c>
      <c r="C25" s="28" t="s">
        <v>1655</v>
      </c>
      <c r="D25" s="192">
        <v>18506</v>
      </c>
      <c r="E25" s="418">
        <v>429</v>
      </c>
      <c r="F25" s="418">
        <v>0</v>
      </c>
      <c r="G25" s="418">
        <f t="shared" si="1"/>
        <v>429</v>
      </c>
      <c r="K25" s="112" t="s">
        <v>1629</v>
      </c>
    </row>
    <row r="26" spans="1:11" ht="18.95" customHeight="1">
      <c r="A26" s="187">
        <f t="shared" si="0"/>
        <v>13</v>
      </c>
      <c r="B26" s="415">
        <v>121</v>
      </c>
      <c r="C26" s="28" t="s">
        <v>1656</v>
      </c>
      <c r="D26" s="192">
        <v>15341</v>
      </c>
      <c r="E26" s="418">
        <v>149.88999999999999</v>
      </c>
      <c r="F26" s="418">
        <v>0</v>
      </c>
      <c r="G26" s="418">
        <f t="shared" si="1"/>
        <v>149.88999999999999</v>
      </c>
      <c r="K26" s="112" t="s">
        <v>1629</v>
      </c>
    </row>
    <row r="27" spans="1:11" ht="18.95" customHeight="1">
      <c r="A27" s="187">
        <f t="shared" si="0"/>
        <v>14</v>
      </c>
      <c r="B27" s="415">
        <v>121</v>
      </c>
      <c r="C27" s="28" t="s">
        <v>1657</v>
      </c>
      <c r="D27" s="192">
        <v>40237</v>
      </c>
      <c r="E27" s="418">
        <v>792599.21</v>
      </c>
      <c r="F27" s="418">
        <v>0</v>
      </c>
      <c r="G27" s="418">
        <f t="shared" si="1"/>
        <v>792599.21</v>
      </c>
      <c r="K27" s="112" t="s">
        <v>1629</v>
      </c>
    </row>
    <row r="28" spans="1:11" ht="18.95" customHeight="1">
      <c r="A28" s="187">
        <f t="shared" si="0"/>
        <v>15</v>
      </c>
      <c r="B28" s="415">
        <v>121</v>
      </c>
      <c r="C28" s="28" t="s">
        <v>1658</v>
      </c>
      <c r="D28" s="192">
        <v>15341</v>
      </c>
      <c r="E28" s="418">
        <v>850</v>
      </c>
      <c r="F28" s="418">
        <v>0</v>
      </c>
      <c r="G28" s="418">
        <f t="shared" si="1"/>
        <v>850</v>
      </c>
      <c r="K28" s="112" t="s">
        <v>1629</v>
      </c>
    </row>
    <row r="29" spans="1:11" ht="18.95" customHeight="1">
      <c r="A29" s="187">
        <f t="shared" si="0"/>
        <v>16</v>
      </c>
      <c r="B29" s="415">
        <v>121</v>
      </c>
      <c r="C29" s="28" t="s">
        <v>1659</v>
      </c>
      <c r="D29" s="192">
        <v>18171</v>
      </c>
      <c r="E29" s="418">
        <v>145.62</v>
      </c>
      <c r="F29" s="418">
        <v>0</v>
      </c>
      <c r="G29" s="418">
        <f t="shared" si="1"/>
        <v>145.62</v>
      </c>
      <c r="K29" s="112" t="s">
        <v>1629</v>
      </c>
    </row>
    <row r="30" spans="1:11" ht="18.95" customHeight="1">
      <c r="A30" s="187">
        <f t="shared" si="0"/>
        <v>17</v>
      </c>
      <c r="B30" s="415">
        <v>121</v>
      </c>
      <c r="C30" s="28" t="s">
        <v>1660</v>
      </c>
      <c r="D30" s="192">
        <v>15249</v>
      </c>
      <c r="E30" s="418">
        <v>3590.58</v>
      </c>
      <c r="F30" s="418">
        <v>0</v>
      </c>
      <c r="G30" s="418">
        <f t="shared" si="1"/>
        <v>3590.58</v>
      </c>
      <c r="K30" s="112" t="s">
        <v>1629</v>
      </c>
    </row>
    <row r="31" spans="1:11" ht="18.95" customHeight="1">
      <c r="A31" s="187">
        <f>A30+1</f>
        <v>18</v>
      </c>
      <c r="B31" s="415">
        <v>121</v>
      </c>
      <c r="C31" s="28" t="s">
        <v>1661</v>
      </c>
      <c r="D31" s="192">
        <v>33116</v>
      </c>
      <c r="E31" s="418">
        <v>192.5</v>
      </c>
      <c r="F31" s="418">
        <v>0</v>
      </c>
      <c r="G31" s="418">
        <f t="shared" si="1"/>
        <v>192.5</v>
      </c>
      <c r="K31" s="112" t="s">
        <v>1629</v>
      </c>
    </row>
    <row r="32" spans="1:11" ht="18.95" customHeight="1">
      <c r="A32" s="187">
        <f t="shared" si="0"/>
        <v>19</v>
      </c>
      <c r="B32" s="415">
        <v>121</v>
      </c>
      <c r="C32" s="28" t="s">
        <v>1662</v>
      </c>
      <c r="D32" s="192">
        <v>36191</v>
      </c>
      <c r="E32" s="418">
        <v>3402.5</v>
      </c>
      <c r="F32" s="418">
        <v>0</v>
      </c>
      <c r="G32" s="418">
        <f t="shared" si="1"/>
        <v>3402.5</v>
      </c>
      <c r="K32" s="112" t="s">
        <v>1629</v>
      </c>
    </row>
    <row r="33" spans="1:11" ht="18.95" customHeight="1">
      <c r="A33" s="187">
        <f t="shared" si="0"/>
        <v>20</v>
      </c>
      <c r="B33" s="415">
        <v>121</v>
      </c>
      <c r="C33" s="28" t="s">
        <v>1663</v>
      </c>
      <c r="D33" s="192">
        <v>21397</v>
      </c>
      <c r="E33" s="418">
        <v>160</v>
      </c>
      <c r="F33" s="418">
        <v>0</v>
      </c>
      <c r="G33" s="418">
        <f t="shared" si="1"/>
        <v>160</v>
      </c>
      <c r="K33" s="112" t="s">
        <v>1629</v>
      </c>
    </row>
    <row r="34" spans="1:11" ht="18.95" customHeight="1">
      <c r="A34" s="187">
        <f t="shared" si="0"/>
        <v>21</v>
      </c>
      <c r="B34" s="415">
        <v>121</v>
      </c>
      <c r="C34" s="28" t="s">
        <v>1664</v>
      </c>
      <c r="D34" s="192">
        <v>15341</v>
      </c>
      <c r="E34" s="418">
        <v>73</v>
      </c>
      <c r="F34" s="418">
        <v>0</v>
      </c>
      <c r="G34" s="418">
        <f t="shared" si="1"/>
        <v>73</v>
      </c>
      <c r="K34" s="112" t="s">
        <v>1629</v>
      </c>
    </row>
    <row r="35" spans="1:11" ht="18.95" customHeight="1">
      <c r="A35" s="187">
        <f t="shared" si="0"/>
        <v>22</v>
      </c>
      <c r="B35" s="415">
        <v>121</v>
      </c>
      <c r="C35" s="28" t="s">
        <v>1665</v>
      </c>
      <c r="D35" s="192">
        <v>15341</v>
      </c>
      <c r="E35" s="418">
        <v>59.8</v>
      </c>
      <c r="F35" s="418">
        <v>0</v>
      </c>
      <c r="G35" s="418">
        <f t="shared" si="1"/>
        <v>59.8</v>
      </c>
      <c r="K35" s="112" t="s">
        <v>1629</v>
      </c>
    </row>
    <row r="36" spans="1:11" ht="18.95" customHeight="1">
      <c r="A36" s="187">
        <f t="shared" si="0"/>
        <v>23</v>
      </c>
      <c r="B36" s="415">
        <v>121</v>
      </c>
      <c r="C36" s="28" t="s">
        <v>1666</v>
      </c>
      <c r="D36" s="192">
        <v>31351</v>
      </c>
      <c r="E36" s="418">
        <v>28294.17</v>
      </c>
      <c r="F36" s="418">
        <v>0</v>
      </c>
      <c r="G36" s="418">
        <f t="shared" si="1"/>
        <v>28294.17</v>
      </c>
      <c r="K36" s="112" t="s">
        <v>1629</v>
      </c>
    </row>
    <row r="37" spans="1:11" ht="18.95" customHeight="1">
      <c r="A37" s="187">
        <f t="shared" si="0"/>
        <v>24</v>
      </c>
      <c r="B37" s="415">
        <v>121</v>
      </c>
      <c r="C37" s="28" t="s">
        <v>1667</v>
      </c>
      <c r="D37" s="192">
        <v>15035</v>
      </c>
      <c r="E37" s="418">
        <v>800</v>
      </c>
      <c r="F37" s="418">
        <v>0</v>
      </c>
      <c r="G37" s="418">
        <f t="shared" si="1"/>
        <v>800</v>
      </c>
      <c r="K37" s="112" t="s">
        <v>1629</v>
      </c>
    </row>
    <row r="38" spans="1:11" ht="18.95" customHeight="1">
      <c r="A38" s="187">
        <f t="shared" si="0"/>
        <v>25</v>
      </c>
      <c r="B38" s="415">
        <v>121</v>
      </c>
      <c r="C38" s="28" t="s">
        <v>1668</v>
      </c>
      <c r="D38" s="192">
        <v>15096</v>
      </c>
      <c r="E38" s="418">
        <v>86.96</v>
      </c>
      <c r="F38" s="418">
        <v>0</v>
      </c>
      <c r="G38" s="418">
        <f t="shared" si="1"/>
        <v>86.96</v>
      </c>
      <c r="K38" s="112" t="s">
        <v>1629</v>
      </c>
    </row>
    <row r="39" spans="1:11" ht="18.95" customHeight="1">
      <c r="A39" s="187">
        <f t="shared" si="0"/>
        <v>26</v>
      </c>
      <c r="B39" s="415">
        <v>121</v>
      </c>
      <c r="C39" s="28" t="s">
        <v>1669</v>
      </c>
      <c r="D39" s="192">
        <v>18506</v>
      </c>
      <c r="E39" s="418">
        <v>2857.48</v>
      </c>
      <c r="F39" s="418">
        <v>0</v>
      </c>
      <c r="G39" s="418">
        <f t="shared" si="1"/>
        <v>2857.48</v>
      </c>
      <c r="K39" s="112" t="s">
        <v>1629</v>
      </c>
    </row>
    <row r="40" spans="1:11" ht="18.95" customHeight="1">
      <c r="A40" s="187">
        <f t="shared" si="0"/>
        <v>27</v>
      </c>
      <c r="B40" s="415">
        <v>121</v>
      </c>
      <c r="C40" s="28" t="s">
        <v>1670</v>
      </c>
      <c r="D40" s="192">
        <v>21915</v>
      </c>
      <c r="E40" s="419">
        <v>4100</v>
      </c>
      <c r="F40" s="419">
        <v>0</v>
      </c>
      <c r="G40" s="419">
        <f t="shared" si="1"/>
        <v>4100</v>
      </c>
      <c r="H40" s="193"/>
      <c r="K40" s="112" t="s">
        <v>1629</v>
      </c>
    </row>
    <row r="41" spans="1:11" ht="18.95" customHeight="1" thickBot="1">
      <c r="A41" s="187">
        <f t="shared" ref="A41" si="2">A40+1</f>
        <v>28</v>
      </c>
      <c r="B41" s="31"/>
      <c r="C41" s="28" t="s">
        <v>237</v>
      </c>
      <c r="D41" s="192"/>
      <c r="E41" s="417">
        <f>SUM(E15:E40)</f>
        <v>971313.1</v>
      </c>
      <c r="F41" s="417">
        <v>0</v>
      </c>
      <c r="G41" s="417">
        <f t="shared" ref="G41" si="3">E41-F41</f>
        <v>971313.1</v>
      </c>
      <c r="H41" s="417">
        <f>SUM(H15:H40)</f>
        <v>0</v>
      </c>
      <c r="K41" s="112" t="s">
        <v>1629</v>
      </c>
    </row>
    <row r="42" spans="1:11" ht="18.95" customHeight="1" thickTop="1">
      <c r="B42" s="31"/>
      <c r="C42" s="28"/>
      <c r="E42" s="51"/>
      <c r="K42" s="112"/>
    </row>
    <row r="43" spans="1:11" s="28" customFormat="1" ht="20.100000000000001" customHeight="1">
      <c r="A43" s="706" t="str">
        <f>$A$1</f>
        <v>KENTUCKY UTILITIES COMPANY</v>
      </c>
      <c r="B43" s="706"/>
      <c r="C43" s="706"/>
      <c r="D43" s="706"/>
      <c r="E43" s="706"/>
      <c r="F43" s="706"/>
      <c r="G43" s="706"/>
      <c r="H43" s="706"/>
      <c r="I43" s="706"/>
      <c r="J43" s="706"/>
      <c r="K43" s="706"/>
    </row>
    <row r="44" spans="1:11" s="28" customFormat="1" ht="20.100000000000001" customHeight="1">
      <c r="A44" s="706" t="str">
        <f>$A$2</f>
        <v>CASE NO. 2016-00370</v>
      </c>
      <c r="B44" s="706"/>
      <c r="C44" s="706"/>
      <c r="D44" s="706"/>
      <c r="E44" s="706"/>
      <c r="F44" s="706"/>
      <c r="G44" s="706"/>
      <c r="H44" s="706"/>
      <c r="I44" s="706"/>
      <c r="J44" s="706"/>
      <c r="K44" s="706"/>
    </row>
    <row r="45" spans="1:11" s="28" customFormat="1" ht="20.100000000000001" customHeight="1">
      <c r="A45" s="706" t="str">
        <f>$A$3</f>
        <v>PROPERTY EXCLUDED FROM RATE BASE</v>
      </c>
      <c r="B45" s="706"/>
      <c r="C45" s="706"/>
      <c r="D45" s="706"/>
      <c r="E45" s="706"/>
      <c r="F45" s="706"/>
      <c r="G45" s="706"/>
      <c r="H45" s="706"/>
      <c r="I45" s="706"/>
      <c r="J45" s="706"/>
      <c r="K45" s="706"/>
    </row>
    <row r="46" spans="1:11" s="28" customFormat="1" ht="20.100000000000001" customHeight="1">
      <c r="A46" s="706" t="str">
        <f>$A$4</f>
        <v>(FOR REASONS OTHER THAN JURISDICTIONAL ALLOCATION)</v>
      </c>
      <c r="B46" s="706"/>
      <c r="C46" s="706"/>
      <c r="D46" s="706"/>
      <c r="E46" s="706"/>
      <c r="F46" s="706"/>
      <c r="G46" s="706"/>
      <c r="H46" s="706"/>
      <c r="I46" s="706"/>
      <c r="J46" s="706"/>
      <c r="K46" s="706"/>
    </row>
    <row r="47" spans="1:11" s="28" customFormat="1" ht="20.100000000000001" customHeight="1">
      <c r="A47" s="706" t="str">
        <f>'Rate Case Constants'!C18</f>
        <v>AS OF JUNE 30, 2018</v>
      </c>
      <c r="B47" s="706"/>
      <c r="C47" s="706"/>
      <c r="D47" s="706"/>
      <c r="E47" s="706"/>
      <c r="F47" s="706"/>
      <c r="G47" s="706"/>
      <c r="H47" s="706"/>
      <c r="I47" s="706"/>
      <c r="J47" s="706"/>
      <c r="K47" s="706"/>
    </row>
    <row r="48" spans="1:11" s="28" customFormat="1" ht="20.100000000000001" customHeight="1">
      <c r="A48" s="44"/>
      <c r="B48" s="44"/>
      <c r="C48" s="44"/>
      <c r="D48" s="44"/>
      <c r="E48" s="44"/>
      <c r="F48" s="44"/>
      <c r="G48" s="44"/>
      <c r="H48" s="44"/>
      <c r="I48" s="44"/>
      <c r="J48" s="44"/>
      <c r="K48" s="44"/>
    </row>
    <row r="49" spans="1:11" s="28" customFormat="1" ht="20.100000000000001" customHeight="1">
      <c r="A49" s="27" t="s">
        <v>164</v>
      </c>
      <c r="B49" s="27"/>
      <c r="H49" s="34"/>
      <c r="I49" s="34"/>
      <c r="J49" s="34"/>
      <c r="K49" s="34" t="s">
        <v>210</v>
      </c>
    </row>
    <row r="50" spans="1:11" s="28" customFormat="1" ht="20.100000000000001" customHeight="1">
      <c r="A50" s="27" t="str">
        <f>$A$8</f>
        <v>TYPE OF FILING: __X__ ORIGINAL  _____ UPDATED  _____ REVISED</v>
      </c>
      <c r="H50" s="34"/>
      <c r="I50" s="34"/>
      <c r="J50" s="34"/>
      <c r="K50" s="34" t="s">
        <v>188</v>
      </c>
    </row>
    <row r="51" spans="1:11" s="28" customFormat="1" ht="20.100000000000001" customHeight="1">
      <c r="A51" s="27" t="str">
        <f>$A$9</f>
        <v>WORKPAPER REFERENCE NO(S).:</v>
      </c>
      <c r="B51" s="27"/>
      <c r="G51" s="27"/>
      <c r="H51" s="35"/>
      <c r="I51" s="35"/>
      <c r="J51" s="35"/>
      <c r="K51" s="35" t="str">
        <f>$K$9</f>
        <v>WITNESS:   C. M. GARRETT</v>
      </c>
    </row>
    <row r="52" spans="1:11" s="28" customFormat="1" ht="20.100000000000001" customHeight="1"/>
    <row r="53" spans="1:11" s="28" customFormat="1" ht="20.100000000000001" customHeight="1">
      <c r="A53" s="61"/>
      <c r="B53" s="61"/>
      <c r="C53" s="61"/>
      <c r="D53" s="61"/>
      <c r="E53" s="61"/>
      <c r="F53" s="61"/>
      <c r="G53" s="61"/>
      <c r="H53" s="708" t="s">
        <v>214</v>
      </c>
      <c r="I53" s="708"/>
      <c r="J53" s="708"/>
      <c r="K53" s="62"/>
    </row>
    <row r="54" spans="1:11" ht="45.95" customHeight="1">
      <c r="A54" s="31" t="s">
        <v>134</v>
      </c>
      <c r="B54" s="31" t="s">
        <v>137</v>
      </c>
      <c r="C54" s="31" t="s">
        <v>216</v>
      </c>
      <c r="D54" s="31" t="s">
        <v>213</v>
      </c>
      <c r="E54" s="31" t="s">
        <v>202</v>
      </c>
      <c r="F54" s="31" t="s">
        <v>203</v>
      </c>
      <c r="G54" s="31" t="s">
        <v>204</v>
      </c>
      <c r="H54" s="31" t="s">
        <v>205</v>
      </c>
      <c r="I54" s="31" t="s">
        <v>206</v>
      </c>
      <c r="J54" s="31" t="s">
        <v>208</v>
      </c>
      <c r="K54" s="63" t="s">
        <v>215</v>
      </c>
    </row>
    <row r="55" spans="1:11" ht="23.1" customHeight="1">
      <c r="A55" s="40"/>
      <c r="B55" s="40"/>
      <c r="C55" s="41"/>
      <c r="D55" s="42"/>
      <c r="E55" s="42" t="s">
        <v>145</v>
      </c>
      <c r="F55" s="42" t="s">
        <v>145</v>
      </c>
      <c r="G55" s="42" t="s">
        <v>145</v>
      </c>
      <c r="H55" s="42" t="s">
        <v>145</v>
      </c>
      <c r="I55" s="42"/>
      <c r="J55" s="42"/>
      <c r="K55" s="42"/>
    </row>
    <row r="56" spans="1:11" ht="23.1" customHeight="1">
      <c r="A56" s="187">
        <v>1</v>
      </c>
      <c r="B56" s="33"/>
      <c r="C56" s="191" t="s">
        <v>1671</v>
      </c>
      <c r="D56" s="60"/>
      <c r="E56" s="60"/>
      <c r="F56" s="60"/>
      <c r="G56" s="60"/>
      <c r="H56" s="60"/>
      <c r="I56" s="60"/>
      <c r="J56" s="60"/>
      <c r="K56" s="60"/>
    </row>
    <row r="57" spans="1:11" ht="18.95" customHeight="1">
      <c r="A57" s="187">
        <f>A56+1</f>
        <v>2</v>
      </c>
      <c r="B57" s="415">
        <v>121</v>
      </c>
      <c r="C57" s="28" t="s">
        <v>1645</v>
      </c>
      <c r="D57" s="192">
        <v>26876</v>
      </c>
      <c r="E57" s="418">
        <v>7073.06</v>
      </c>
      <c r="F57" s="418">
        <v>0</v>
      </c>
      <c r="G57" s="418">
        <f>E57-F57</f>
        <v>7073.06</v>
      </c>
      <c r="K57" s="112" t="s">
        <v>1629</v>
      </c>
    </row>
    <row r="58" spans="1:11" ht="18.95" customHeight="1">
      <c r="A58" s="187">
        <f t="shared" ref="A58:A83" si="4">A57+1</f>
        <v>3</v>
      </c>
      <c r="B58" s="415">
        <v>121</v>
      </c>
      <c r="C58" s="28" t="s">
        <v>1646</v>
      </c>
      <c r="D58" s="192">
        <v>21915</v>
      </c>
      <c r="E58" s="418">
        <v>2210.35</v>
      </c>
      <c r="F58" s="418">
        <v>0</v>
      </c>
      <c r="G58" s="418">
        <f t="shared" ref="G58:G83" si="5">E58-F58</f>
        <v>2210.35</v>
      </c>
      <c r="K58" s="112" t="s">
        <v>1629</v>
      </c>
    </row>
    <row r="59" spans="1:11" ht="18.95" customHeight="1">
      <c r="A59" s="187">
        <f t="shared" si="4"/>
        <v>4</v>
      </c>
      <c r="B59" s="415">
        <v>121</v>
      </c>
      <c r="C59" s="28" t="s">
        <v>1647</v>
      </c>
      <c r="D59" s="192">
        <v>33450</v>
      </c>
      <c r="E59" s="418">
        <v>29788.73</v>
      </c>
      <c r="F59" s="418">
        <v>0</v>
      </c>
      <c r="G59" s="418">
        <f t="shared" si="5"/>
        <v>29788.73</v>
      </c>
      <c r="K59" s="112" t="s">
        <v>1629</v>
      </c>
    </row>
    <row r="60" spans="1:11" ht="18.95" customHeight="1">
      <c r="A60" s="187">
        <f t="shared" si="4"/>
        <v>5</v>
      </c>
      <c r="B60" s="415">
        <v>121</v>
      </c>
      <c r="C60" s="28" t="s">
        <v>1648</v>
      </c>
      <c r="D60" s="192">
        <v>15341</v>
      </c>
      <c r="E60" s="418">
        <v>75</v>
      </c>
      <c r="F60" s="418">
        <v>0</v>
      </c>
      <c r="G60" s="418">
        <f t="shared" si="5"/>
        <v>75</v>
      </c>
      <c r="K60" s="112" t="s">
        <v>1629</v>
      </c>
    </row>
    <row r="61" spans="1:11" ht="18.95" customHeight="1">
      <c r="A61" s="187">
        <f t="shared" si="4"/>
        <v>6</v>
      </c>
      <c r="B61" s="415">
        <v>121</v>
      </c>
      <c r="C61" s="28" t="s">
        <v>1649</v>
      </c>
      <c r="D61" s="192">
        <v>15219</v>
      </c>
      <c r="E61" s="418">
        <v>500</v>
      </c>
      <c r="F61" s="418">
        <v>0</v>
      </c>
      <c r="G61" s="418">
        <f t="shared" si="5"/>
        <v>500</v>
      </c>
      <c r="K61" s="112" t="s">
        <v>1629</v>
      </c>
    </row>
    <row r="62" spans="1:11" ht="18.95" customHeight="1">
      <c r="A62" s="187">
        <f t="shared" si="4"/>
        <v>7</v>
      </c>
      <c r="B62" s="415">
        <v>121</v>
      </c>
      <c r="C62" s="28" t="s">
        <v>1650</v>
      </c>
      <c r="D62" s="192">
        <v>15035</v>
      </c>
      <c r="E62" s="418">
        <v>961.5</v>
      </c>
      <c r="F62" s="418">
        <v>0</v>
      </c>
      <c r="G62" s="418">
        <f t="shared" si="5"/>
        <v>961.5</v>
      </c>
      <c r="K62" s="112" t="s">
        <v>1629</v>
      </c>
    </row>
    <row r="63" spans="1:11" ht="18.95" customHeight="1">
      <c r="A63" s="187">
        <f t="shared" si="4"/>
        <v>8</v>
      </c>
      <c r="B63" s="415">
        <v>121</v>
      </c>
      <c r="C63" s="28" t="s">
        <v>1651</v>
      </c>
      <c r="D63" s="192">
        <v>19663</v>
      </c>
      <c r="E63" s="418">
        <v>212.25</v>
      </c>
      <c r="F63" s="418">
        <v>0</v>
      </c>
      <c r="G63" s="418">
        <f t="shared" si="5"/>
        <v>212.25</v>
      </c>
      <c r="K63" s="112" t="s">
        <v>1629</v>
      </c>
    </row>
    <row r="64" spans="1:11" ht="18.95" customHeight="1">
      <c r="A64" s="187">
        <f t="shared" si="4"/>
        <v>9</v>
      </c>
      <c r="B64" s="415">
        <v>121</v>
      </c>
      <c r="C64" s="28" t="s">
        <v>1652</v>
      </c>
      <c r="D64" s="192">
        <v>14884</v>
      </c>
      <c r="E64" s="418">
        <v>12950</v>
      </c>
      <c r="F64" s="418">
        <v>0</v>
      </c>
      <c r="G64" s="418">
        <f t="shared" si="5"/>
        <v>12950</v>
      </c>
      <c r="K64" s="112" t="s">
        <v>1629</v>
      </c>
    </row>
    <row r="65" spans="1:11" ht="18.95" customHeight="1">
      <c r="A65" s="187">
        <f t="shared" si="4"/>
        <v>10</v>
      </c>
      <c r="B65" s="415">
        <v>121</v>
      </c>
      <c r="C65" s="28" t="s">
        <v>1653</v>
      </c>
      <c r="D65" s="192">
        <v>24776</v>
      </c>
      <c r="E65" s="418">
        <v>79501.5</v>
      </c>
      <c r="F65" s="418">
        <v>0</v>
      </c>
      <c r="G65" s="418">
        <f t="shared" si="5"/>
        <v>79501.5</v>
      </c>
      <c r="K65" s="112" t="s">
        <v>1629</v>
      </c>
    </row>
    <row r="66" spans="1:11" ht="18.95" customHeight="1">
      <c r="A66" s="187">
        <f t="shared" si="4"/>
        <v>11</v>
      </c>
      <c r="B66" s="415">
        <v>121</v>
      </c>
      <c r="C66" s="28" t="s">
        <v>1654</v>
      </c>
      <c r="D66" s="192">
        <v>15341</v>
      </c>
      <c r="E66" s="418">
        <v>250</v>
      </c>
      <c r="F66" s="418">
        <v>0</v>
      </c>
      <c r="G66" s="418">
        <f t="shared" si="5"/>
        <v>250</v>
      </c>
      <c r="K66" s="112" t="s">
        <v>1629</v>
      </c>
    </row>
    <row r="67" spans="1:11" ht="18.95" customHeight="1">
      <c r="A67" s="187">
        <f t="shared" si="4"/>
        <v>12</v>
      </c>
      <c r="B67" s="415">
        <v>121</v>
      </c>
      <c r="C67" s="28" t="s">
        <v>1655</v>
      </c>
      <c r="D67" s="192">
        <v>18506</v>
      </c>
      <c r="E67" s="418">
        <v>429</v>
      </c>
      <c r="F67" s="418">
        <v>0</v>
      </c>
      <c r="G67" s="418">
        <f t="shared" si="5"/>
        <v>429</v>
      </c>
      <c r="K67" s="112" t="s">
        <v>1629</v>
      </c>
    </row>
    <row r="68" spans="1:11" ht="18.95" customHeight="1">
      <c r="A68" s="187">
        <f t="shared" si="4"/>
        <v>13</v>
      </c>
      <c r="B68" s="415">
        <v>121</v>
      </c>
      <c r="C68" s="28" t="s">
        <v>1656</v>
      </c>
      <c r="D68" s="192">
        <v>15341</v>
      </c>
      <c r="E68" s="418">
        <v>149.88999999999999</v>
      </c>
      <c r="F68" s="418">
        <v>0</v>
      </c>
      <c r="G68" s="418">
        <f t="shared" si="5"/>
        <v>149.88999999999999</v>
      </c>
      <c r="K68" s="112" t="s">
        <v>1629</v>
      </c>
    </row>
    <row r="69" spans="1:11" ht="18.95" customHeight="1">
      <c r="A69" s="187">
        <f t="shared" si="4"/>
        <v>14</v>
      </c>
      <c r="B69" s="415">
        <v>121</v>
      </c>
      <c r="C69" s="28" t="s">
        <v>1657</v>
      </c>
      <c r="D69" s="192">
        <v>40237</v>
      </c>
      <c r="E69" s="418">
        <v>792599.21</v>
      </c>
      <c r="F69" s="418">
        <v>0</v>
      </c>
      <c r="G69" s="418">
        <f t="shared" si="5"/>
        <v>792599.21</v>
      </c>
      <c r="K69" s="112" t="s">
        <v>1629</v>
      </c>
    </row>
    <row r="70" spans="1:11" ht="18.95" customHeight="1">
      <c r="A70" s="187">
        <f t="shared" si="4"/>
        <v>15</v>
      </c>
      <c r="B70" s="415">
        <v>121</v>
      </c>
      <c r="C70" s="28" t="s">
        <v>1658</v>
      </c>
      <c r="D70" s="192">
        <v>15341</v>
      </c>
      <c r="E70" s="418">
        <v>850</v>
      </c>
      <c r="F70" s="418">
        <v>0</v>
      </c>
      <c r="G70" s="418">
        <f t="shared" si="5"/>
        <v>850</v>
      </c>
      <c r="K70" s="112" t="s">
        <v>1629</v>
      </c>
    </row>
    <row r="71" spans="1:11" ht="18.95" customHeight="1">
      <c r="A71" s="187">
        <f t="shared" si="4"/>
        <v>16</v>
      </c>
      <c r="B71" s="415">
        <v>121</v>
      </c>
      <c r="C71" s="28" t="s">
        <v>1659</v>
      </c>
      <c r="D71" s="192">
        <v>18171</v>
      </c>
      <c r="E71" s="418">
        <v>145.62</v>
      </c>
      <c r="F71" s="418">
        <v>0</v>
      </c>
      <c r="G71" s="418">
        <f t="shared" si="5"/>
        <v>145.62</v>
      </c>
      <c r="K71" s="112" t="s">
        <v>1629</v>
      </c>
    </row>
    <row r="72" spans="1:11" ht="18.95" customHeight="1">
      <c r="A72" s="187">
        <f t="shared" si="4"/>
        <v>17</v>
      </c>
      <c r="B72" s="415">
        <v>121</v>
      </c>
      <c r="C72" s="28" t="s">
        <v>1660</v>
      </c>
      <c r="D72" s="192">
        <v>15249</v>
      </c>
      <c r="E72" s="418">
        <v>3590.58</v>
      </c>
      <c r="F72" s="418">
        <v>0</v>
      </c>
      <c r="G72" s="418">
        <f t="shared" si="5"/>
        <v>3590.58</v>
      </c>
      <c r="K72" s="112" t="s">
        <v>1629</v>
      </c>
    </row>
    <row r="73" spans="1:11" ht="18.95" customHeight="1">
      <c r="A73" s="187">
        <f>A72+1</f>
        <v>18</v>
      </c>
      <c r="B73" s="415">
        <v>121</v>
      </c>
      <c r="C73" s="28" t="s">
        <v>1661</v>
      </c>
      <c r="D73" s="192">
        <v>33116</v>
      </c>
      <c r="E73" s="418">
        <v>192.5</v>
      </c>
      <c r="F73" s="418">
        <v>0</v>
      </c>
      <c r="G73" s="418">
        <f t="shared" si="5"/>
        <v>192.5</v>
      </c>
      <c r="K73" s="112" t="s">
        <v>1629</v>
      </c>
    </row>
    <row r="74" spans="1:11" ht="18.95" customHeight="1">
      <c r="A74" s="187">
        <f t="shared" si="4"/>
        <v>19</v>
      </c>
      <c r="B74" s="415">
        <v>121</v>
      </c>
      <c r="C74" s="28" t="s">
        <v>1662</v>
      </c>
      <c r="D74" s="192">
        <v>36191</v>
      </c>
      <c r="E74" s="418">
        <v>3402.5</v>
      </c>
      <c r="F74" s="418">
        <v>0</v>
      </c>
      <c r="G74" s="418">
        <f t="shared" si="5"/>
        <v>3402.5</v>
      </c>
      <c r="K74" s="112" t="s">
        <v>1629</v>
      </c>
    </row>
    <row r="75" spans="1:11" ht="18.95" customHeight="1">
      <c r="A75" s="187">
        <f t="shared" si="4"/>
        <v>20</v>
      </c>
      <c r="B75" s="415">
        <v>121</v>
      </c>
      <c r="C75" s="28" t="s">
        <v>1663</v>
      </c>
      <c r="D75" s="192">
        <v>21397</v>
      </c>
      <c r="E75" s="418">
        <v>160</v>
      </c>
      <c r="F75" s="418">
        <v>0</v>
      </c>
      <c r="G75" s="418">
        <f t="shared" si="5"/>
        <v>160</v>
      </c>
      <c r="K75" s="112" t="s">
        <v>1629</v>
      </c>
    </row>
    <row r="76" spans="1:11" ht="18.95" customHeight="1">
      <c r="A76" s="187">
        <f t="shared" si="4"/>
        <v>21</v>
      </c>
      <c r="B76" s="415">
        <v>121</v>
      </c>
      <c r="C76" s="28" t="s">
        <v>1664</v>
      </c>
      <c r="D76" s="192">
        <v>15341</v>
      </c>
      <c r="E76" s="418">
        <v>73</v>
      </c>
      <c r="F76" s="418">
        <v>0</v>
      </c>
      <c r="G76" s="418">
        <f t="shared" si="5"/>
        <v>73</v>
      </c>
      <c r="K76" s="112" t="s">
        <v>1629</v>
      </c>
    </row>
    <row r="77" spans="1:11" ht="18.95" customHeight="1">
      <c r="A77" s="187">
        <f t="shared" si="4"/>
        <v>22</v>
      </c>
      <c r="B77" s="415">
        <v>121</v>
      </c>
      <c r="C77" s="28" t="s">
        <v>1665</v>
      </c>
      <c r="D77" s="192">
        <v>15341</v>
      </c>
      <c r="E77" s="418">
        <v>59.8</v>
      </c>
      <c r="F77" s="418">
        <v>0</v>
      </c>
      <c r="G77" s="418">
        <f t="shared" si="5"/>
        <v>59.8</v>
      </c>
      <c r="K77" s="112" t="s">
        <v>1629</v>
      </c>
    </row>
    <row r="78" spans="1:11" ht="18.95" customHeight="1">
      <c r="A78" s="187">
        <f t="shared" si="4"/>
        <v>23</v>
      </c>
      <c r="B78" s="415">
        <v>121</v>
      </c>
      <c r="C78" s="28" t="s">
        <v>1666</v>
      </c>
      <c r="D78" s="192">
        <v>31351</v>
      </c>
      <c r="E78" s="418">
        <v>28294.17</v>
      </c>
      <c r="F78" s="418">
        <v>0</v>
      </c>
      <c r="G78" s="418">
        <f t="shared" si="5"/>
        <v>28294.17</v>
      </c>
      <c r="K78" s="112" t="s">
        <v>1629</v>
      </c>
    </row>
    <row r="79" spans="1:11" ht="18.95" customHeight="1">
      <c r="A79" s="187">
        <f t="shared" si="4"/>
        <v>24</v>
      </c>
      <c r="B79" s="415">
        <v>121</v>
      </c>
      <c r="C79" s="28" t="s">
        <v>1667</v>
      </c>
      <c r="D79" s="192">
        <v>15035</v>
      </c>
      <c r="E79" s="418">
        <v>800</v>
      </c>
      <c r="F79" s="418">
        <v>0</v>
      </c>
      <c r="G79" s="418">
        <f t="shared" si="5"/>
        <v>800</v>
      </c>
      <c r="K79" s="112" t="s">
        <v>1629</v>
      </c>
    </row>
    <row r="80" spans="1:11" ht="18.95" customHeight="1">
      <c r="A80" s="187">
        <f t="shared" si="4"/>
        <v>25</v>
      </c>
      <c r="B80" s="415">
        <v>121</v>
      </c>
      <c r="C80" s="28" t="s">
        <v>1668</v>
      </c>
      <c r="D80" s="192">
        <v>15096</v>
      </c>
      <c r="E80" s="418">
        <v>86.96</v>
      </c>
      <c r="F80" s="418">
        <v>0</v>
      </c>
      <c r="G80" s="418">
        <f t="shared" si="5"/>
        <v>86.96</v>
      </c>
      <c r="K80" s="112" t="s">
        <v>1629</v>
      </c>
    </row>
    <row r="81" spans="1:11" ht="18.95" customHeight="1">
      <c r="A81" s="187">
        <f t="shared" si="4"/>
        <v>26</v>
      </c>
      <c r="B81" s="415">
        <v>121</v>
      </c>
      <c r="C81" s="28" t="s">
        <v>1669</v>
      </c>
      <c r="D81" s="192">
        <v>18506</v>
      </c>
      <c r="E81" s="418">
        <v>2857.48</v>
      </c>
      <c r="F81" s="418">
        <v>0</v>
      </c>
      <c r="G81" s="418">
        <f t="shared" si="5"/>
        <v>2857.48</v>
      </c>
      <c r="K81" s="112" t="s">
        <v>1629</v>
      </c>
    </row>
    <row r="82" spans="1:11" ht="18.95" customHeight="1">
      <c r="A82" s="187">
        <f t="shared" si="4"/>
        <v>27</v>
      </c>
      <c r="B82" s="415">
        <v>121</v>
      </c>
      <c r="C82" s="28" t="s">
        <v>1670</v>
      </c>
      <c r="D82" s="192">
        <v>21915</v>
      </c>
      <c r="E82" s="419">
        <v>4100</v>
      </c>
      <c r="F82" s="419">
        <v>0</v>
      </c>
      <c r="G82" s="419">
        <f t="shared" si="5"/>
        <v>4100</v>
      </c>
      <c r="H82" s="193"/>
      <c r="K82" s="112" t="s">
        <v>1629</v>
      </c>
    </row>
    <row r="83" spans="1:11" ht="18.95" customHeight="1" thickBot="1">
      <c r="A83" s="187">
        <f t="shared" si="4"/>
        <v>28</v>
      </c>
      <c r="B83" s="31"/>
      <c r="C83" s="28" t="s">
        <v>237</v>
      </c>
      <c r="D83" s="192"/>
      <c r="E83" s="417">
        <f>SUM(E57:E82)</f>
        <v>971313.1</v>
      </c>
      <c r="F83" s="417">
        <v>0</v>
      </c>
      <c r="G83" s="417">
        <f t="shared" si="5"/>
        <v>971313.1</v>
      </c>
      <c r="H83" s="417">
        <f>SUM(H57:H82)</f>
        <v>0</v>
      </c>
      <c r="K83" s="112" t="s">
        <v>1629</v>
      </c>
    </row>
    <row r="84" spans="1:11" ht="18.95" customHeight="1" thickTop="1">
      <c r="B84" s="31"/>
      <c r="C84" s="38"/>
    </row>
    <row r="85" spans="1:11" ht="18.95" customHeight="1">
      <c r="B85" s="31"/>
    </row>
    <row r="86" spans="1:11" ht="18.95" customHeight="1">
      <c r="D86" s="29" t="s">
        <v>163</v>
      </c>
      <c r="E86" s="29" t="s">
        <v>163</v>
      </c>
    </row>
    <row r="87" spans="1:11" ht="18.95" customHeight="1"/>
    <row r="88" spans="1:11" ht="18.95" customHeight="1"/>
    <row r="89" spans="1:11" ht="18.95" customHeight="1"/>
    <row r="90" spans="1:11" ht="18.95" customHeight="1"/>
    <row r="91" spans="1:11" ht="18.95" customHeight="1"/>
    <row r="92" spans="1:11" ht="18.95" customHeight="1"/>
    <row r="93" spans="1:11" ht="18.95" customHeight="1"/>
    <row r="94" spans="1:11" ht="18.95" customHeight="1"/>
    <row r="95" spans="1:11" ht="18.95" customHeight="1"/>
    <row r="96" spans="1:11" ht="18.95" customHeight="1"/>
    <row r="97" ht="18.95" customHeight="1"/>
    <row r="98" ht="18.95" customHeight="1"/>
  </sheetData>
  <mergeCells count="12">
    <mergeCell ref="A1:K1"/>
    <mergeCell ref="A2:K2"/>
    <mergeCell ref="A3:K3"/>
    <mergeCell ref="A5:K5"/>
    <mergeCell ref="H11:J11"/>
    <mergeCell ref="A4:K4"/>
    <mergeCell ref="A43:K43"/>
    <mergeCell ref="A44:K44"/>
    <mergeCell ref="A45:K45"/>
    <mergeCell ref="A47:K47"/>
    <mergeCell ref="H53:J53"/>
    <mergeCell ref="A46:K46"/>
  </mergeCells>
  <pageMargins left="0.95" right="0.5" top="0.75" bottom="0.75" header="0.3" footer="0.3"/>
  <pageSetup scale="52" fitToHeight="0" orientation="portrait" r:id="rId1"/>
  <rowBreaks count="1" manualBreakCount="1">
    <brk id="42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P134"/>
  <sheetViews>
    <sheetView zoomScaleNormal="100" workbookViewId="0">
      <selection activeCell="L17" sqref="L17"/>
    </sheetView>
  </sheetViews>
  <sheetFormatPr defaultColWidth="9" defaultRowHeight="12.75"/>
  <cols>
    <col min="1" max="1" width="6" style="29" customWidth="1"/>
    <col min="2" max="2" width="7.6640625" style="29" customWidth="1"/>
    <col min="3" max="3" width="38.33203125" style="29" customWidth="1"/>
    <col min="4" max="5" width="13.6640625" style="29" customWidth="1"/>
    <col min="6" max="6" width="9.88671875" style="29" customWidth="1"/>
    <col min="7" max="7" width="15" style="29" customWidth="1"/>
    <col min="8" max="9" width="13.6640625" style="29" customWidth="1"/>
    <col min="10" max="10" width="1.6640625" style="29" customWidth="1"/>
    <col min="11" max="11" width="9" style="29"/>
    <col min="12" max="12" width="13.109375" style="29" customWidth="1"/>
    <col min="13" max="13" width="11.77734375" style="29" customWidth="1"/>
    <col min="14" max="14" width="12.6640625" style="29" customWidth="1"/>
    <col min="15" max="15" width="12.88671875" style="29" customWidth="1"/>
    <col min="16" max="16384" width="9" style="29"/>
  </cols>
  <sheetData>
    <row r="1" spans="1:16" s="28" customFormat="1" ht="20.100000000000001" customHeight="1">
      <c r="A1" s="706" t="str">
        <f>'Rate Case Constants'!C9</f>
        <v>KENTUCKY UTILITIES COMPANY</v>
      </c>
      <c r="B1" s="706"/>
      <c r="C1" s="706"/>
      <c r="D1" s="706"/>
      <c r="E1" s="706"/>
      <c r="F1" s="706"/>
      <c r="G1" s="706"/>
      <c r="H1" s="706"/>
      <c r="I1" s="706"/>
    </row>
    <row r="2" spans="1:16" s="28" customFormat="1" ht="20.100000000000001" customHeight="1">
      <c r="A2" s="706" t="str">
        <f>'Rate Case Constants'!C10</f>
        <v>CASE NO. 2016-00370</v>
      </c>
      <c r="B2" s="706"/>
      <c r="C2" s="706"/>
      <c r="D2" s="706"/>
      <c r="E2" s="706"/>
      <c r="F2" s="706"/>
      <c r="G2" s="706"/>
      <c r="H2" s="706"/>
      <c r="I2" s="706"/>
    </row>
    <row r="3" spans="1:16" s="28" customFormat="1" ht="20.100000000000001" customHeight="1">
      <c r="A3" s="706" t="s">
        <v>1206</v>
      </c>
      <c r="B3" s="706"/>
      <c r="C3" s="706"/>
      <c r="D3" s="706"/>
      <c r="E3" s="706"/>
      <c r="F3" s="706"/>
      <c r="G3" s="706"/>
      <c r="H3" s="706"/>
      <c r="I3" s="706"/>
    </row>
    <row r="4" spans="1:16" s="28" customFormat="1" ht="20.100000000000001" customHeight="1">
      <c r="A4" s="705" t="str">
        <f>'Rate Case Constants'!C12</f>
        <v>AS OF FEBRUARY 28, 2017</v>
      </c>
      <c r="B4" s="706"/>
      <c r="C4" s="706"/>
      <c r="D4" s="706"/>
      <c r="E4" s="706"/>
      <c r="F4" s="706"/>
      <c r="G4" s="706"/>
      <c r="H4" s="706"/>
      <c r="I4" s="706"/>
    </row>
    <row r="5" spans="1:16" s="28" customFormat="1" ht="20.100000000000001" customHeight="1">
      <c r="A5" s="44"/>
      <c r="B5" s="44"/>
      <c r="C5" s="44"/>
      <c r="D5" s="44"/>
      <c r="E5" s="44"/>
      <c r="F5" s="44"/>
      <c r="G5" s="44"/>
      <c r="H5" s="44"/>
      <c r="I5" s="44"/>
    </row>
    <row r="6" spans="1:16" s="28" customFormat="1" ht="20.100000000000001" customHeight="1">
      <c r="A6" s="27" t="s">
        <v>136</v>
      </c>
      <c r="B6" s="27"/>
      <c r="H6" s="34"/>
      <c r="I6" s="34" t="s">
        <v>1205</v>
      </c>
    </row>
    <row r="7" spans="1:16" s="28" customFormat="1" ht="20.100000000000001" customHeight="1">
      <c r="A7" s="28" t="str">
        <f>'Rate Case Constants'!C29</f>
        <v>TYPE OF FILING: __X__ ORIGINAL  _____ UPDATED  _____ REVISED</v>
      </c>
      <c r="H7" s="34"/>
      <c r="I7" s="34" t="s">
        <v>176</v>
      </c>
    </row>
    <row r="8" spans="1:16" s="28" customFormat="1" ht="20.100000000000001" customHeight="1">
      <c r="A8" s="27" t="s">
        <v>1204</v>
      </c>
      <c r="B8" s="27"/>
      <c r="F8" s="27"/>
      <c r="G8" s="27"/>
      <c r="H8" s="35"/>
      <c r="I8" s="35" t="str">
        <f>'Rate Case Constants'!C36</f>
        <v>WITNESS:   C. M. GARRETT</v>
      </c>
    </row>
    <row r="9" spans="1:16" s="28" customFormat="1" ht="20.100000000000001" customHeight="1"/>
    <row r="10" spans="1:16" s="28" customFormat="1" ht="20.100000000000001" customHeight="1">
      <c r="A10" s="61"/>
      <c r="B10" s="61"/>
      <c r="C10" s="61"/>
      <c r="D10" s="61"/>
      <c r="E10" s="708" t="s">
        <v>1209</v>
      </c>
      <c r="F10" s="708"/>
      <c r="G10" s="708"/>
      <c r="H10" s="708"/>
      <c r="I10" s="708"/>
      <c r="L10" s="427" t="s">
        <v>2310</v>
      </c>
      <c r="M10" s="427"/>
      <c r="N10" s="427"/>
      <c r="O10" s="427"/>
      <c r="P10" s="427"/>
    </row>
    <row r="11" spans="1:16" ht="58.5" customHeight="1">
      <c r="A11" s="31" t="s">
        <v>134</v>
      </c>
      <c r="B11" s="31" t="s">
        <v>137</v>
      </c>
      <c r="C11" s="38" t="s">
        <v>138</v>
      </c>
      <c r="D11" s="31" t="s">
        <v>1207</v>
      </c>
      <c r="E11" s="31" t="s">
        <v>1208</v>
      </c>
      <c r="F11" s="31" t="s">
        <v>227</v>
      </c>
      <c r="G11" s="31" t="s">
        <v>228</v>
      </c>
      <c r="H11" s="31" t="s">
        <v>229</v>
      </c>
      <c r="I11" s="31" t="s">
        <v>230</v>
      </c>
    </row>
    <row r="12" spans="1:16" ht="23.1" customHeight="1">
      <c r="A12" s="40"/>
      <c r="B12" s="40"/>
      <c r="C12" s="41"/>
      <c r="D12" s="42" t="s">
        <v>145</v>
      </c>
      <c r="E12" s="42" t="s">
        <v>145</v>
      </c>
      <c r="F12" s="42"/>
      <c r="G12" s="42" t="s">
        <v>145</v>
      </c>
      <c r="H12" s="42" t="s">
        <v>145</v>
      </c>
      <c r="I12" s="42" t="s">
        <v>145</v>
      </c>
    </row>
    <row r="13" spans="1:16" ht="23.1" customHeight="1">
      <c r="A13" s="33">
        <v>1</v>
      </c>
      <c r="B13" s="33"/>
      <c r="C13" s="45" t="s">
        <v>58</v>
      </c>
      <c r="D13" s="37"/>
      <c r="E13" s="37"/>
      <c r="F13" s="37"/>
      <c r="G13" s="37"/>
      <c r="H13" s="37"/>
      <c r="I13" s="37"/>
    </row>
    <row r="14" spans="1:16" ht="18.95" customHeight="1">
      <c r="A14" s="30">
        <f>A13+1</f>
        <v>2</v>
      </c>
      <c r="B14" s="31" t="s">
        <v>1673</v>
      </c>
      <c r="C14" s="38" t="s">
        <v>1674</v>
      </c>
      <c r="D14" s="51">
        <f>'SCH B-2.1 B'!D13</f>
        <v>44455.58</v>
      </c>
      <c r="E14" s="51">
        <f>SUMIFS('PIS B'!$V$11:$V$338,'PIS B'!$B$11:$B$338,'SCH B-3 B'!$B14)</f>
        <v>0</v>
      </c>
      <c r="F14" s="95">
        <f>$P$17</f>
        <v>0.88727847343853139</v>
      </c>
      <c r="G14" s="51">
        <f>E14*F14</f>
        <v>0</v>
      </c>
      <c r="H14" s="51">
        <f>SUMIFS('SCH B-3.1'!$F$12:$F$26,'SCH B-3.1'!$B$12:$B$26,'SCH B-3 B'!$B14)</f>
        <v>0</v>
      </c>
      <c r="I14" s="51">
        <f t="shared" ref="I14:I15" si="0">SUM(G14:H14)</f>
        <v>0</v>
      </c>
    </row>
    <row r="15" spans="1:16" ht="18.95" customHeight="1">
      <c r="A15" s="30">
        <f t="shared" ref="A15:A79" si="1">A14+1</f>
        <v>3</v>
      </c>
      <c r="B15" s="31" t="s">
        <v>1675</v>
      </c>
      <c r="C15" s="38" t="s">
        <v>1676</v>
      </c>
      <c r="D15" s="51">
        <f>'SCH B-2.1 B'!D14</f>
        <v>55918.83</v>
      </c>
      <c r="E15" s="51">
        <f>SUMIFS('PIS B'!$V$11:$V$338,'PIS B'!$B$11:$B$338,'SCH B-3 B'!$B15)</f>
        <v>-64830.048137000005</v>
      </c>
      <c r="F15" s="99">
        <f>'SCH B-2.1 B'!E14</f>
        <v>1</v>
      </c>
      <c r="G15" s="53">
        <f t="shared" ref="G15:G16" si="2">E15*F15</f>
        <v>-64830.048137000005</v>
      </c>
      <c r="H15" s="52">
        <f>SUMIFS('SCH B-3.1'!$F$12:$F$26,'SCH B-3.1'!$B$12:$B$26,'SCH B-3 B'!$B15)</f>
        <v>0</v>
      </c>
      <c r="I15" s="53">
        <f t="shared" si="0"/>
        <v>-64830.048137000005</v>
      </c>
    </row>
    <row r="16" spans="1:16" ht="18.95" customHeight="1">
      <c r="A16" s="30">
        <f t="shared" si="1"/>
        <v>4</v>
      </c>
      <c r="B16" s="31" t="s">
        <v>1677</v>
      </c>
      <c r="C16" s="38" t="s">
        <v>1678</v>
      </c>
      <c r="D16" s="54">
        <f>'SCH B-2.1 B'!D15</f>
        <v>101257411.75999998</v>
      </c>
      <c r="E16" s="54">
        <f>SUMIFS('PIS B'!$V$11:$V$338,'PIS B'!$B$11:$B$338,'SCH B-3 B'!$B16)</f>
        <v>-52553325.752099998</v>
      </c>
      <c r="F16" s="95">
        <f>$P$17</f>
        <v>0.88727847343853139</v>
      </c>
      <c r="G16" s="54">
        <f t="shared" si="2"/>
        <v>-46629434.647441149</v>
      </c>
      <c r="H16" s="54">
        <f>SUMIFS('SCH B-3.1'!$F$12:$F$26,'SCH B-3.1'!$B$12:$B$26,'SCH B-3 B'!$B16)</f>
        <v>0</v>
      </c>
      <c r="I16" s="54">
        <f>SUM(G16:H16)</f>
        <v>-46629434.647441149</v>
      </c>
    </row>
    <row r="17" spans="1:16" ht="18.95" customHeight="1">
      <c r="A17" s="30">
        <f t="shared" si="1"/>
        <v>5</v>
      </c>
      <c r="B17" s="30"/>
      <c r="C17" s="38" t="s">
        <v>146</v>
      </c>
      <c r="D17" s="51">
        <f>SUM(D14:D16)</f>
        <v>101357786.16999997</v>
      </c>
      <c r="E17" s="51">
        <f>SUM(E14:E16)</f>
        <v>-52618155.800237</v>
      </c>
      <c r="F17" s="95"/>
      <c r="G17" s="51">
        <f>SUM(G14:G16)</f>
        <v>-46694264.69557815</v>
      </c>
      <c r="H17" s="51">
        <f>SUM(H14:H16)</f>
        <v>0</v>
      </c>
      <c r="I17" s="51">
        <f>SUM(I14:I16)</f>
        <v>-46694264.69557815</v>
      </c>
      <c r="L17" s="101">
        <f>'JURISSEP B'!G274+'JURISSEP B'!G275</f>
        <v>46694264.69557815</v>
      </c>
      <c r="M17" s="101">
        <f>G15</f>
        <v>-64830.048137000005</v>
      </c>
      <c r="N17" s="101">
        <f>SUM(L17:M17)</f>
        <v>46629434.647441149</v>
      </c>
      <c r="O17" s="101">
        <f>-E17+M17</f>
        <v>52553325.752099998</v>
      </c>
      <c r="P17" s="102">
        <f>N17/O17</f>
        <v>0.88727847343853139</v>
      </c>
    </row>
    <row r="18" spans="1:16" ht="18.95" customHeight="1">
      <c r="A18" s="30"/>
      <c r="B18" s="30"/>
      <c r="D18" s="32"/>
      <c r="E18" s="32"/>
      <c r="F18" s="98"/>
      <c r="G18" s="32"/>
      <c r="H18" s="32"/>
      <c r="I18" s="32"/>
    </row>
    <row r="19" spans="1:16" ht="18.95" customHeight="1">
      <c r="A19" s="30">
        <f>A17+1</f>
        <v>6</v>
      </c>
      <c r="B19" s="30"/>
      <c r="C19" s="55" t="s">
        <v>74</v>
      </c>
      <c r="D19" s="32"/>
      <c r="E19" s="32"/>
      <c r="F19" s="98"/>
      <c r="G19" s="32"/>
      <c r="H19" s="32"/>
      <c r="I19" s="32"/>
    </row>
    <row r="20" spans="1:16" ht="18.95" customHeight="1">
      <c r="A20" s="30">
        <f t="shared" si="1"/>
        <v>7</v>
      </c>
      <c r="B20" s="31" t="s">
        <v>1679</v>
      </c>
      <c r="C20" s="38" t="s">
        <v>157</v>
      </c>
      <c r="D20" s="53">
        <f>'SCH B-2.1 B'!D19</f>
        <v>23167513.580000002</v>
      </c>
      <c r="E20" s="53">
        <f>SUMIFS('PIS B'!$V$11:$V$338,'PIS B'!$B$11:$B$338,'SCH B-3 B'!$B20)</f>
        <v>0</v>
      </c>
      <c r="F20" s="99">
        <f>$P$28</f>
        <v>0.86366136049473863</v>
      </c>
      <c r="G20" s="53">
        <f t="shared" ref="G20:G27" si="3">E20*F20</f>
        <v>0</v>
      </c>
      <c r="H20" s="53">
        <f>SUMIFS('SCH B-3.1'!$F$12:$F$26,'SCH B-3.1'!$B$12:$B$26,'SCH B-3 B'!$B20)</f>
        <v>0</v>
      </c>
      <c r="I20" s="53">
        <f t="shared" ref="I20:I27" si="4">SUM(G20:H20)</f>
        <v>0</v>
      </c>
    </row>
    <row r="21" spans="1:16" ht="18" customHeight="1">
      <c r="A21" s="30">
        <f t="shared" si="1"/>
        <v>8</v>
      </c>
      <c r="B21" s="31" t="s">
        <v>1680</v>
      </c>
      <c r="C21" s="38" t="s">
        <v>151</v>
      </c>
      <c r="D21" s="53">
        <f>'SCH B-2.1 B'!D20</f>
        <v>335394489.75000006</v>
      </c>
      <c r="E21" s="53">
        <f>SUMIFS('PIS B'!$V$11:$V$338,'PIS B'!$B$11:$B$338,'SCH B-3 B'!$B21)</f>
        <v>-176802708.26621673</v>
      </c>
      <c r="F21" s="99">
        <f t="shared" ref="F21:F27" si="5">$P$28</f>
        <v>0.86366136049473863</v>
      </c>
      <c r="G21" s="53">
        <f t="shared" si="3"/>
        <v>-152697667.5603551</v>
      </c>
      <c r="H21" s="53">
        <f>SUMIFS('SCH B-3.1'!$F$12:$F$26,'SCH B-3.1'!$B$12:$B$26,'SCH B-3 B'!$B21)</f>
        <v>358354.29423840664</v>
      </c>
      <c r="I21" s="53">
        <f t="shared" si="4"/>
        <v>-152339313.26611668</v>
      </c>
    </row>
    <row r="22" spans="1:16" ht="18.95" customHeight="1">
      <c r="A22" s="30">
        <f t="shared" si="1"/>
        <v>9</v>
      </c>
      <c r="B22" s="31" t="s">
        <v>1681</v>
      </c>
      <c r="C22" s="38" t="s">
        <v>1682</v>
      </c>
      <c r="D22" s="53">
        <f>'SCH B-2.1 B'!D21</f>
        <v>3984402278.4099994</v>
      </c>
      <c r="E22" s="53">
        <f>SUMIFS('PIS B'!$V$11:$V$338,'PIS B'!$B$11:$B$338,'SCH B-3 B'!$B22)</f>
        <v>-1092514779.5821128</v>
      </c>
      <c r="F22" s="99">
        <f t="shared" si="5"/>
        <v>0.86366136049473863</v>
      </c>
      <c r="G22" s="53">
        <f t="shared" si="3"/>
        <v>-943562800.89449704</v>
      </c>
      <c r="H22" s="53">
        <f>SUMIFS('SCH B-3.1'!$F$12:$F$26,'SCH B-3.1'!$B$12:$B$26,'SCH B-3 B'!$B22)</f>
        <v>51868779.796957374</v>
      </c>
      <c r="I22" s="53">
        <f t="shared" si="4"/>
        <v>-891694021.09753966</v>
      </c>
    </row>
    <row r="23" spans="1:16" ht="18.95" customHeight="1">
      <c r="A23" s="30">
        <f>A21+1</f>
        <v>9</v>
      </c>
      <c r="B23" s="31">
        <v>313</v>
      </c>
      <c r="C23" s="38" t="s">
        <v>147</v>
      </c>
      <c r="D23" s="53">
        <f>'SCH B-2.1 B'!D22</f>
        <v>0</v>
      </c>
      <c r="E23" s="53">
        <f>SUMIFS('PIS B'!$V$11:$V$338,'PIS B'!$B$11:$B$338,'SCH B-3 B'!$B23)</f>
        <v>0</v>
      </c>
      <c r="F23" s="99">
        <f t="shared" si="5"/>
        <v>0.86366136049473863</v>
      </c>
      <c r="G23" s="53">
        <f t="shared" si="3"/>
        <v>0</v>
      </c>
      <c r="H23" s="53">
        <f>SUMIFS('SCH B-3.1'!$F$12:$F$26,'SCH B-3.1'!$B$12:$B$26,'SCH B-3 B'!$B23)</f>
        <v>0</v>
      </c>
      <c r="I23" s="53">
        <f t="shared" si="4"/>
        <v>0</v>
      </c>
    </row>
    <row r="24" spans="1:16" ht="18.95" customHeight="1">
      <c r="A24" s="30">
        <f>A22+1</f>
        <v>10</v>
      </c>
      <c r="B24" s="31" t="s">
        <v>1683</v>
      </c>
      <c r="C24" s="38" t="s">
        <v>1684</v>
      </c>
      <c r="D24" s="53">
        <f>'SCH B-2.1 B'!D23</f>
        <v>335484189.27999997</v>
      </c>
      <c r="E24" s="53">
        <f>SUMIFS('PIS B'!$V$11:$V$338,'PIS B'!$B$11:$B$338,'SCH B-3 B'!$B24)</f>
        <v>-167256242.64094263</v>
      </c>
      <c r="F24" s="99">
        <f t="shared" si="5"/>
        <v>0.86366136049473863</v>
      </c>
      <c r="G24" s="53">
        <f t="shared" si="3"/>
        <v>-144452754.07051462</v>
      </c>
      <c r="H24" s="53">
        <f>SUMIFS('SCH B-3.1'!$F$12:$F$26,'SCH B-3.1'!$B$12:$B$26,'SCH B-3 B'!$B24)</f>
        <v>0</v>
      </c>
      <c r="I24" s="53">
        <f t="shared" si="4"/>
        <v>-144452754.07051462</v>
      </c>
    </row>
    <row r="25" spans="1:16" ht="18.95" customHeight="1">
      <c r="A25" s="30">
        <f t="shared" si="1"/>
        <v>11</v>
      </c>
      <c r="B25" s="31" t="s">
        <v>1685</v>
      </c>
      <c r="C25" s="38" t="s">
        <v>1686</v>
      </c>
      <c r="D25" s="53">
        <f>'SCH B-2.1 B'!D24</f>
        <v>226277104.54999897</v>
      </c>
      <c r="E25" s="53">
        <f>SUMIFS('PIS B'!$V$11:$V$338,'PIS B'!$B$11:$B$338,'SCH B-3 B'!$B25)</f>
        <v>-105499002.00511663</v>
      </c>
      <c r="F25" s="99">
        <f t="shared" si="5"/>
        <v>0.86366136049473863</v>
      </c>
      <c r="G25" s="53">
        <f t="shared" si="3"/>
        <v>-91115411.602576181</v>
      </c>
      <c r="H25" s="53">
        <f>SUMIFS('SCH B-3.1'!$F$12:$F$26,'SCH B-3.1'!$B$12:$B$26,'SCH B-3 B'!$B25)</f>
        <v>218649.22103566007</v>
      </c>
      <c r="I25" s="53">
        <f t="shared" si="4"/>
        <v>-90896762.381540522</v>
      </c>
    </row>
    <row r="26" spans="1:16" ht="18.95" customHeight="1">
      <c r="A26" s="30">
        <f t="shared" si="1"/>
        <v>12</v>
      </c>
      <c r="B26" s="31" t="s">
        <v>1687</v>
      </c>
      <c r="C26" s="38" t="s">
        <v>1688</v>
      </c>
      <c r="D26" s="53">
        <f>'SCH B-2.1 B'!D25</f>
        <v>37668925.389999993</v>
      </c>
      <c r="E26" s="53">
        <f>SUMIFS('PIS B'!$V$11:$V$338,'PIS B'!$B$11:$B$338,'SCH B-3 B'!$B26)</f>
        <v>-16795961.153626315</v>
      </c>
      <c r="F26" s="99">
        <f t="shared" si="5"/>
        <v>0.86366136049473863</v>
      </c>
      <c r="G26" s="53">
        <f t="shared" si="3"/>
        <v>-14506022.660757683</v>
      </c>
      <c r="H26" s="53">
        <f>SUMIFS('SCH B-3.1'!$F$12:$F$26,'SCH B-3.1'!$B$12:$B$26,'SCH B-3 B'!$B26)</f>
        <v>14949.955620693678</v>
      </c>
      <c r="I26" s="53">
        <f t="shared" si="4"/>
        <v>-14491072.70513699</v>
      </c>
    </row>
    <row r="27" spans="1:16" ht="18.95" customHeight="1">
      <c r="A27" s="30">
        <f t="shared" si="1"/>
        <v>13</v>
      </c>
      <c r="B27" s="31" t="s">
        <v>1689</v>
      </c>
      <c r="C27" s="38" t="s">
        <v>1708</v>
      </c>
      <c r="D27" s="54">
        <f>'SCH B-2.1 B'!D26</f>
        <v>331002428.38999999</v>
      </c>
      <c r="E27" s="54">
        <f>SUMIFS('PIS B'!$V$11:$V$338,'PIS B'!$B$11:$B$338,'SCH B-3 B'!$B27)</f>
        <v>-107311096.05944236</v>
      </c>
      <c r="F27" s="99">
        <f t="shared" si="5"/>
        <v>0.86366136049473863</v>
      </c>
      <c r="G27" s="54">
        <f t="shared" si="3"/>
        <v>-92680447.218879566</v>
      </c>
      <c r="H27" s="54">
        <f>SUMIFS('SCH B-3.1'!$F$12:$F$26,'SCH B-3.1'!$B$12:$B$26,'SCH B-3 B'!$B27)</f>
        <v>92680447.218879566</v>
      </c>
      <c r="I27" s="54">
        <f t="shared" si="4"/>
        <v>0</v>
      </c>
    </row>
    <row r="28" spans="1:16" ht="18.95" customHeight="1">
      <c r="A28" s="30">
        <f t="shared" si="1"/>
        <v>14</v>
      </c>
      <c r="C28" s="38" t="s">
        <v>149</v>
      </c>
      <c r="D28" s="51">
        <f>SUM(D20:D27)</f>
        <v>5273396929.3499994</v>
      </c>
      <c r="E28" s="51">
        <f>SUM(E20:E27)</f>
        <v>-1666179789.7074573</v>
      </c>
      <c r="F28" s="95"/>
      <c r="G28" s="51">
        <f>SUM(G20:G27)</f>
        <v>-1439015104.0075803</v>
      </c>
      <c r="H28" s="51">
        <f>SUM(H20:H27)</f>
        <v>145141180.48673171</v>
      </c>
      <c r="I28" s="51">
        <f>SUM(I20:I27)</f>
        <v>-1293873923.5208485</v>
      </c>
      <c r="L28" s="101">
        <f>'JURISSEP B'!G245</f>
        <v>1439015104.00758</v>
      </c>
      <c r="M28" s="101"/>
      <c r="N28" s="101">
        <f>SUM(L28:M28)</f>
        <v>1439015104.00758</v>
      </c>
      <c r="O28" s="101">
        <f>-E28+M28</f>
        <v>1666179789.7074573</v>
      </c>
      <c r="P28" s="102">
        <f>N28/O28</f>
        <v>0.86366136049473863</v>
      </c>
    </row>
    <row r="29" spans="1:16" ht="18.95" customHeight="1">
      <c r="A29" s="30"/>
      <c r="C29" s="38"/>
      <c r="F29" s="100"/>
    </row>
    <row r="30" spans="1:16" ht="18.95" customHeight="1">
      <c r="A30" s="30">
        <f>A28+1</f>
        <v>15</v>
      </c>
      <c r="C30" s="55" t="s">
        <v>49</v>
      </c>
      <c r="F30" s="100"/>
    </row>
    <row r="31" spans="1:16" ht="18.95" customHeight="1">
      <c r="A31" s="30">
        <f t="shared" si="1"/>
        <v>16</v>
      </c>
      <c r="B31" s="31" t="s">
        <v>1690</v>
      </c>
      <c r="C31" s="38" t="s">
        <v>157</v>
      </c>
      <c r="D31" s="53">
        <f>'SCH B-2.1 B'!D30</f>
        <v>879311.47</v>
      </c>
      <c r="E31" s="53">
        <f>SUMIFS('PIS B'!$V$11:$V$338,'PIS B'!$B$11:$B$338,'SCH B-3 B'!$B31)</f>
        <v>-912332.6</v>
      </c>
      <c r="F31" s="99">
        <f>$P$39</f>
        <v>0.87458077632486475</v>
      </c>
      <c r="G31" s="53">
        <f t="shared" ref="G31:G38" si="6">E31*F31</f>
        <v>-797908.55357448233</v>
      </c>
      <c r="H31" s="53">
        <f>SUMIFS('SCH B-3.1'!$F$12:$F$26,'SCH B-3.1'!$B$12:$B$26,'SCH B-3 B'!$B31)</f>
        <v>0</v>
      </c>
      <c r="I31" s="53">
        <f t="shared" ref="I31:I38" si="7">SUM(G31:H31)</f>
        <v>-797908.55357448233</v>
      </c>
    </row>
    <row r="32" spans="1:16" ht="18.95" customHeight="1">
      <c r="A32" s="30">
        <f t="shared" si="1"/>
        <v>17</v>
      </c>
      <c r="B32" s="31" t="s">
        <v>1691</v>
      </c>
      <c r="C32" s="38" t="s">
        <v>151</v>
      </c>
      <c r="D32" s="53">
        <f>'SCH B-2.1 B'!D31</f>
        <v>2930163.9299999997</v>
      </c>
      <c r="E32" s="53">
        <f>SUMIFS('PIS B'!$V$11:$V$338,'PIS B'!$B$11:$B$338,'SCH B-3 B'!$B32)</f>
        <v>-299237.30783479998</v>
      </c>
      <c r="F32" s="99">
        <f t="shared" ref="F32:F38" si="8">$P$39</f>
        <v>0.87458077632486475</v>
      </c>
      <c r="G32" s="53">
        <f t="shared" si="6"/>
        <v>-261707.19699152189</v>
      </c>
      <c r="H32" s="53">
        <f>SUMIFS('SCH B-3.1'!$F$12:$F$26,'SCH B-3.1'!$B$12:$B$26,'SCH B-3 B'!$B32)</f>
        <v>0</v>
      </c>
      <c r="I32" s="53">
        <f t="shared" si="7"/>
        <v>-261707.19699152189</v>
      </c>
    </row>
    <row r="33" spans="1:16" ht="18.95" customHeight="1">
      <c r="A33" s="30">
        <f t="shared" si="1"/>
        <v>18</v>
      </c>
      <c r="B33" s="31" t="s">
        <v>1692</v>
      </c>
      <c r="C33" s="38" t="s">
        <v>1693</v>
      </c>
      <c r="D33" s="53">
        <f>'SCH B-2.1 B'!D32</f>
        <v>21885646.369999997</v>
      </c>
      <c r="E33" s="53">
        <f>SUMIFS('PIS B'!$V$11:$V$338,'PIS B'!$B$11:$B$338,'SCH B-3 B'!$B33)</f>
        <v>-8849845.0850099996</v>
      </c>
      <c r="F33" s="99">
        <f t="shared" si="8"/>
        <v>0.87458077632486475</v>
      </c>
      <c r="G33" s="53">
        <f t="shared" si="6"/>
        <v>-7739904.3848028341</v>
      </c>
      <c r="H33" s="53">
        <f>SUMIFS('SCH B-3.1'!$F$12:$F$26,'SCH B-3.1'!$B$12:$B$26,'SCH B-3 B'!$B33)</f>
        <v>0</v>
      </c>
      <c r="I33" s="53">
        <f t="shared" si="7"/>
        <v>-7739904.3848028341</v>
      </c>
    </row>
    <row r="34" spans="1:16" ht="18.95" customHeight="1">
      <c r="A34" s="30">
        <f t="shared" si="1"/>
        <v>19</v>
      </c>
      <c r="B34" s="31" t="s">
        <v>1694</v>
      </c>
      <c r="C34" s="38" t="s">
        <v>1695</v>
      </c>
      <c r="D34" s="53">
        <f>'SCH B-2.1 B'!D33</f>
        <v>14046741.58</v>
      </c>
      <c r="E34" s="53">
        <f>SUMIFS('PIS B'!$V$11:$V$338,'PIS B'!$B$11:$B$338,'SCH B-3 B'!$B34)</f>
        <v>-1404735.6809121999</v>
      </c>
      <c r="F34" s="99">
        <f t="shared" si="8"/>
        <v>0.87458077632486475</v>
      </c>
      <c r="G34" s="53">
        <f t="shared" si="6"/>
        <v>-1228554.8223434293</v>
      </c>
      <c r="H34" s="53">
        <f>SUMIFS('SCH B-3.1'!$F$12:$F$26,'SCH B-3.1'!$B$12:$B$26,'SCH B-3 B'!$B34)</f>
        <v>0</v>
      </c>
      <c r="I34" s="53">
        <f t="shared" si="7"/>
        <v>-1228554.8223434293</v>
      </c>
    </row>
    <row r="35" spans="1:16" ht="18.95" customHeight="1">
      <c r="A35" s="30">
        <f t="shared" si="1"/>
        <v>20</v>
      </c>
      <c r="B35" s="31" t="s">
        <v>1696</v>
      </c>
      <c r="C35" s="38" t="s">
        <v>1686</v>
      </c>
      <c r="D35" s="53">
        <f>'SCH B-2.1 B'!D34</f>
        <v>1362584.79</v>
      </c>
      <c r="E35" s="53">
        <f>SUMIFS('PIS B'!$V$11:$V$338,'PIS B'!$B$11:$B$338,'SCH B-3 B'!$B35)</f>
        <v>-276152.45306299999</v>
      </c>
      <c r="F35" s="99">
        <f t="shared" si="8"/>
        <v>0.87458077632486475</v>
      </c>
      <c r="G35" s="53">
        <f t="shared" si="6"/>
        <v>-241517.6267838543</v>
      </c>
      <c r="H35" s="53">
        <f>SUMIFS('SCH B-3.1'!$F$12:$F$26,'SCH B-3.1'!$B$12:$B$26,'SCH B-3 B'!$B35)</f>
        <v>0</v>
      </c>
      <c r="I35" s="53">
        <f t="shared" si="7"/>
        <v>-241517.6267838543</v>
      </c>
    </row>
    <row r="36" spans="1:16" ht="18.95" customHeight="1">
      <c r="A36" s="30">
        <f t="shared" si="1"/>
        <v>21</v>
      </c>
      <c r="B36" s="31" t="s">
        <v>1697</v>
      </c>
      <c r="C36" s="38" t="s">
        <v>1698</v>
      </c>
      <c r="D36" s="53">
        <f>'SCH B-2.1 B'!D35</f>
        <v>316946.74</v>
      </c>
      <c r="E36" s="53">
        <f>SUMIFS('PIS B'!$V$11:$V$338,'PIS B'!$B$11:$B$338,'SCH B-3 B'!$B36)</f>
        <v>-132753.57360498002</v>
      </c>
      <c r="F36" s="99">
        <f t="shared" si="8"/>
        <v>0.87458077632486475</v>
      </c>
      <c r="G36" s="53">
        <f t="shared" si="6"/>
        <v>-116103.7234633435</v>
      </c>
      <c r="H36" s="53">
        <f>SUMIFS('SCH B-3.1'!$F$12:$F$26,'SCH B-3.1'!$B$12:$B$26,'SCH B-3 B'!$B36)</f>
        <v>0</v>
      </c>
      <c r="I36" s="53">
        <f t="shared" si="7"/>
        <v>-116103.7234633435</v>
      </c>
    </row>
    <row r="37" spans="1:16" ht="18.95" customHeight="1">
      <c r="A37" s="30">
        <f t="shared" si="1"/>
        <v>22</v>
      </c>
      <c r="B37" s="31" t="s">
        <v>1699</v>
      </c>
      <c r="C37" s="38" t="s">
        <v>1700</v>
      </c>
      <c r="D37" s="53">
        <f>'SCH B-2.1 B'!D36</f>
        <v>234509.13</v>
      </c>
      <c r="E37" s="53">
        <f>SUMIFS('PIS B'!$V$11:$V$338,'PIS B'!$B$11:$B$338,'SCH B-3 B'!$B37)</f>
        <v>-81100.640752499996</v>
      </c>
      <c r="F37" s="99">
        <f t="shared" si="8"/>
        <v>0.87458077632486475</v>
      </c>
      <c r="G37" s="53">
        <f t="shared" si="6"/>
        <v>-70929.061349765412</v>
      </c>
      <c r="H37" s="53">
        <f>SUMIFS('SCH B-3.1'!$F$12:$F$26,'SCH B-3.1'!$B$12:$B$26,'SCH B-3 B'!$B37)</f>
        <v>0</v>
      </c>
      <c r="I37" s="53">
        <f t="shared" si="7"/>
        <v>-70929.061349765412</v>
      </c>
    </row>
    <row r="38" spans="1:16" ht="18.95" customHeight="1">
      <c r="A38" s="30">
        <f t="shared" si="1"/>
        <v>23</v>
      </c>
      <c r="B38" s="31" t="s">
        <v>1701</v>
      </c>
      <c r="C38" s="38" t="s">
        <v>1709</v>
      </c>
      <c r="D38" s="54">
        <f>'SCH B-2.1 B'!D37</f>
        <v>274310.53999999998</v>
      </c>
      <c r="E38" s="54">
        <f>SUMIFS('PIS B'!$V$11:$V$338,'PIS B'!$B$11:$B$338,'SCH B-3 B'!$B38)</f>
        <v>-33724.080000000002</v>
      </c>
      <c r="F38" s="99">
        <f t="shared" si="8"/>
        <v>0.87458077632486475</v>
      </c>
      <c r="G38" s="54">
        <f t="shared" si="6"/>
        <v>-29494.432067241847</v>
      </c>
      <c r="H38" s="54">
        <f>SUMIFS('SCH B-3.1'!$F$12:$F$26,'SCH B-3.1'!$B$12:$B$26,'SCH B-3 B'!$B38)</f>
        <v>29494.432067241847</v>
      </c>
      <c r="I38" s="54">
        <f t="shared" si="7"/>
        <v>0</v>
      </c>
    </row>
    <row r="39" spans="1:16" ht="18.95" customHeight="1">
      <c r="A39" s="30">
        <f t="shared" si="1"/>
        <v>24</v>
      </c>
      <c r="B39" s="31" t="s">
        <v>254</v>
      </c>
      <c r="C39" s="38" t="s">
        <v>150</v>
      </c>
      <c r="D39" s="51">
        <f>SUM(D31:D38)</f>
        <v>41930214.549999997</v>
      </c>
      <c r="E39" s="51">
        <f t="shared" ref="E39:I39" si="9">SUM(E31:E38)</f>
        <v>-11989881.42117748</v>
      </c>
      <c r="F39" s="95"/>
      <c r="G39" s="51">
        <f t="shared" si="9"/>
        <v>-10486119.801376473</v>
      </c>
      <c r="H39" s="51">
        <f t="shared" si="9"/>
        <v>29494.432067241847</v>
      </c>
      <c r="I39" s="51">
        <f t="shared" si="9"/>
        <v>-10456625.369309232</v>
      </c>
      <c r="L39" s="101">
        <f>'JURISSEP B'!G251</f>
        <v>10486119.801376473</v>
      </c>
      <c r="M39" s="101"/>
      <c r="N39" s="101">
        <f>SUM(L39:M39)</f>
        <v>10486119.801376473</v>
      </c>
      <c r="O39" s="101">
        <f>-E39+M39</f>
        <v>11989881.42117748</v>
      </c>
      <c r="P39" s="102">
        <f>N39/O39</f>
        <v>0.87458077632486475</v>
      </c>
    </row>
    <row r="40" spans="1:16" ht="18.95" customHeight="1">
      <c r="A40" s="30"/>
      <c r="B40" s="31"/>
      <c r="C40" s="38"/>
      <c r="D40" s="51"/>
      <c r="E40" s="51"/>
      <c r="F40" s="95"/>
      <c r="G40" s="51"/>
      <c r="H40" s="51"/>
      <c r="I40" s="51"/>
    </row>
    <row r="41" spans="1:16" ht="18.95" customHeight="1">
      <c r="A41" s="30">
        <f>A39+1</f>
        <v>25</v>
      </c>
      <c r="C41" s="55" t="s">
        <v>63</v>
      </c>
      <c r="F41" s="100"/>
    </row>
    <row r="42" spans="1:16" ht="18.95" customHeight="1">
      <c r="A42" s="30">
        <f t="shared" si="1"/>
        <v>26</v>
      </c>
      <c r="B42" s="31" t="s">
        <v>1702</v>
      </c>
      <c r="C42" s="38" t="s">
        <v>157</v>
      </c>
      <c r="D42" s="53">
        <f>'SCH B-2.1 B'!D41</f>
        <v>473578.51999999996</v>
      </c>
      <c r="E42" s="53">
        <f>SUMIFS('PIS B'!$V$11:$V$338,'PIS B'!$B$11:$B$338,'SCH B-3 B'!$B42)</f>
        <v>-121142.58427219999</v>
      </c>
      <c r="F42" s="99">
        <f t="shared" ref="F42:F45" si="10">$P$62</f>
        <v>0.87192446501955168</v>
      </c>
      <c r="G42" s="53">
        <f t="shared" ref="G42:G45" si="11">E42*F42</f>
        <v>-105627.18298262394</v>
      </c>
      <c r="H42" s="53">
        <f>SUMIFS('SCH B-3.1'!$F$12:$F$26,'SCH B-3.1'!$B$12:$B$26,'SCH B-3 B'!$B42)</f>
        <v>0</v>
      </c>
      <c r="I42" s="53">
        <f t="shared" ref="I42:I45" si="12">SUM(G42:H42)</f>
        <v>-105627.18298262394</v>
      </c>
    </row>
    <row r="43" spans="1:16" ht="18.95" customHeight="1">
      <c r="A43" s="30">
        <f t="shared" si="1"/>
        <v>27</v>
      </c>
      <c r="B43" s="31" t="s">
        <v>1703</v>
      </c>
      <c r="C43" s="38" t="s">
        <v>151</v>
      </c>
      <c r="D43" s="53">
        <f>'SCH B-2.1 B'!D42</f>
        <v>85076788.390000001</v>
      </c>
      <c r="E43" s="53">
        <f>SUMIFS('PIS B'!$V$11:$V$338,'PIS B'!$B$11:$B$338,'SCH B-3 B'!$B43)</f>
        <v>-21299550.934507798</v>
      </c>
      <c r="F43" s="99">
        <f t="shared" si="10"/>
        <v>0.87192446501955168</v>
      </c>
      <c r="G43" s="53">
        <f t="shared" si="11"/>
        <v>-18571599.553727403</v>
      </c>
      <c r="H43" s="53">
        <f>SUMIFS('SCH B-3.1'!$F$12:$F$26,'SCH B-3.1'!$B$12:$B$26,'SCH B-3 B'!$B43)</f>
        <v>0</v>
      </c>
      <c r="I43" s="53">
        <f t="shared" si="12"/>
        <v>-18571599.553727403</v>
      </c>
    </row>
    <row r="44" spans="1:16" ht="18.95" customHeight="1">
      <c r="A44" s="30">
        <f t="shared" si="1"/>
        <v>28</v>
      </c>
      <c r="B44" s="31" t="s">
        <v>1704</v>
      </c>
      <c r="C44" s="38" t="s">
        <v>1705</v>
      </c>
      <c r="D44" s="53">
        <f>'SCH B-2.1 B'!D43</f>
        <v>61651087.979998976</v>
      </c>
      <c r="E44" s="53">
        <f>SUMIFS('PIS B'!$V$11:$V$338,'PIS B'!$B$11:$B$338,'SCH B-3 B'!$B44)</f>
        <v>-17414468.775589891</v>
      </c>
      <c r="F44" s="99">
        <f t="shared" si="10"/>
        <v>0.87192446501955168</v>
      </c>
      <c r="G44" s="53">
        <f t="shared" si="11"/>
        <v>-15184101.370755903</v>
      </c>
      <c r="H44" s="53">
        <f>SUMIFS('SCH B-3.1'!$F$12:$F$26,'SCH B-3.1'!$B$12:$B$26,'SCH B-3 B'!$B44)</f>
        <v>0</v>
      </c>
      <c r="I44" s="53">
        <f t="shared" si="12"/>
        <v>-15184101.370755903</v>
      </c>
    </row>
    <row r="45" spans="1:16" ht="18.95" customHeight="1">
      <c r="A45" s="30">
        <f t="shared" si="1"/>
        <v>29</v>
      </c>
      <c r="B45" s="31" t="s">
        <v>1706</v>
      </c>
      <c r="C45" s="38" t="s">
        <v>1707</v>
      </c>
      <c r="D45" s="53">
        <f>'SCH B-2.1 B'!D44</f>
        <v>647382513.06999993</v>
      </c>
      <c r="E45" s="53">
        <f>SUMIFS('PIS B'!$V$11:$V$338,'PIS B'!$B$11:$B$338,'SCH B-3 B'!$B45)</f>
        <v>-184451323.68433404</v>
      </c>
      <c r="F45" s="99">
        <f t="shared" si="10"/>
        <v>0.87192446501955168</v>
      </c>
      <c r="G45" s="53">
        <f t="shared" si="11"/>
        <v>-160827621.72561112</v>
      </c>
      <c r="H45" s="53">
        <f>SUMIFS('SCH B-3.1'!$F$12:$F$26,'SCH B-3.1'!$B$12:$B$26,'SCH B-3 B'!$B45)</f>
        <v>0</v>
      </c>
      <c r="I45" s="53">
        <f t="shared" si="12"/>
        <v>-160827621.72561112</v>
      </c>
    </row>
    <row r="46" spans="1:16" s="28" customFormat="1" ht="20.100000000000001" customHeight="1">
      <c r="A46" s="706" t="str">
        <f>$A$1</f>
        <v>KENTUCKY UTILITIES COMPANY</v>
      </c>
      <c r="B46" s="706"/>
      <c r="C46" s="706"/>
      <c r="D46" s="706"/>
      <c r="E46" s="706"/>
      <c r="F46" s="706"/>
      <c r="G46" s="706"/>
      <c r="H46" s="706"/>
      <c r="I46" s="706"/>
    </row>
    <row r="47" spans="1:16" s="28" customFormat="1" ht="20.100000000000001" customHeight="1">
      <c r="A47" s="706" t="str">
        <f>$A$2</f>
        <v>CASE NO. 2016-00370</v>
      </c>
      <c r="B47" s="706"/>
      <c r="C47" s="706"/>
      <c r="D47" s="706"/>
      <c r="E47" s="706"/>
      <c r="F47" s="706"/>
      <c r="G47" s="706"/>
      <c r="H47" s="706"/>
      <c r="I47" s="706"/>
    </row>
    <row r="48" spans="1:16" s="28" customFormat="1" ht="20.100000000000001" customHeight="1">
      <c r="A48" s="706" t="str">
        <f>$A$3</f>
        <v>ACCUMULATED DEPRECIATION AND AMORTIZATION</v>
      </c>
      <c r="B48" s="706"/>
      <c r="C48" s="706"/>
      <c r="D48" s="706"/>
      <c r="E48" s="706"/>
      <c r="F48" s="706"/>
      <c r="G48" s="706"/>
      <c r="H48" s="706"/>
      <c r="I48" s="706"/>
    </row>
    <row r="49" spans="1:16" s="28" customFormat="1" ht="20.100000000000001" customHeight="1">
      <c r="A49" s="705" t="str">
        <f>$A$4</f>
        <v>AS OF FEBRUARY 28, 2017</v>
      </c>
      <c r="B49" s="706"/>
      <c r="C49" s="706"/>
      <c r="D49" s="706"/>
      <c r="E49" s="706"/>
      <c r="F49" s="706"/>
      <c r="G49" s="706"/>
      <c r="H49" s="706"/>
      <c r="I49" s="706"/>
    </row>
    <row r="50" spans="1:16" s="28" customFormat="1" ht="20.100000000000001" customHeight="1">
      <c r="A50" s="44"/>
      <c r="B50" s="44"/>
      <c r="C50" s="44"/>
      <c r="D50" s="44"/>
      <c r="E50" s="44"/>
      <c r="F50" s="44"/>
      <c r="G50" s="44"/>
      <c r="H50" s="44"/>
      <c r="I50" s="44"/>
    </row>
    <row r="51" spans="1:16" s="28" customFormat="1" ht="20.100000000000001" customHeight="1">
      <c r="A51" s="27" t="str">
        <f>$A$6</f>
        <v>DATA:__X__BASE  PERIOD____FORECASTED  PERIOD</v>
      </c>
      <c r="B51" s="27"/>
      <c r="H51" s="34"/>
      <c r="I51" s="35" t="str">
        <f>$I$6</f>
        <v>SCHEDULE B-3</v>
      </c>
    </row>
    <row r="52" spans="1:16" s="28" customFormat="1" ht="20.100000000000001" customHeight="1">
      <c r="A52" s="27" t="str">
        <f>$A$7</f>
        <v>TYPE OF FILING: __X__ ORIGINAL  _____ UPDATED  _____ REVISED</v>
      </c>
      <c r="H52" s="34"/>
      <c r="I52" s="34" t="s">
        <v>175</v>
      </c>
    </row>
    <row r="53" spans="1:16" s="28" customFormat="1" ht="20.100000000000001" customHeight="1">
      <c r="A53" s="27" t="str">
        <f>$A$8</f>
        <v>WORKPAPER REFERENCE NO(S).:</v>
      </c>
      <c r="B53" s="27"/>
      <c r="F53" s="27"/>
      <c r="G53" s="27"/>
      <c r="H53" s="35"/>
      <c r="I53" s="35" t="str">
        <f>$I$8</f>
        <v>WITNESS:   C. M. GARRETT</v>
      </c>
    </row>
    <row r="54" spans="1:16" s="28" customFormat="1" ht="20.100000000000001" customHeight="1"/>
    <row r="55" spans="1:16" s="28" customFormat="1" ht="20.100000000000001" customHeight="1">
      <c r="A55" s="61"/>
      <c r="B55" s="61"/>
      <c r="C55" s="61"/>
      <c r="D55" s="61"/>
      <c r="E55" s="708" t="s">
        <v>1209</v>
      </c>
      <c r="F55" s="708"/>
      <c r="G55" s="708"/>
      <c r="H55" s="708"/>
      <c r="I55" s="708"/>
    </row>
    <row r="56" spans="1:16" ht="58.5" customHeight="1">
      <c r="A56" s="31" t="s">
        <v>134</v>
      </c>
      <c r="B56" s="31" t="s">
        <v>137</v>
      </c>
      <c r="C56" s="38" t="s">
        <v>138</v>
      </c>
      <c r="D56" s="31" t="s">
        <v>1207</v>
      </c>
      <c r="E56" s="31" t="s">
        <v>1208</v>
      </c>
      <c r="F56" s="31" t="s">
        <v>227</v>
      </c>
      <c r="G56" s="31" t="s">
        <v>228</v>
      </c>
      <c r="H56" s="31" t="s">
        <v>229</v>
      </c>
      <c r="I56" s="31" t="s">
        <v>230</v>
      </c>
    </row>
    <row r="57" spans="1:16" ht="23.1" customHeight="1">
      <c r="A57" s="40"/>
      <c r="B57" s="40"/>
      <c r="C57" s="41"/>
      <c r="D57" s="42" t="s">
        <v>145</v>
      </c>
      <c r="E57" s="42" t="s">
        <v>145</v>
      </c>
      <c r="F57" s="42"/>
      <c r="G57" s="42" t="s">
        <v>145</v>
      </c>
      <c r="H57" s="42" t="s">
        <v>145</v>
      </c>
      <c r="I57" s="42" t="s">
        <v>145</v>
      </c>
    </row>
    <row r="58" spans="1:16" ht="18.95" customHeight="1">
      <c r="A58" s="30">
        <f>A45+1</f>
        <v>30</v>
      </c>
      <c r="B58" s="31" t="s">
        <v>1710</v>
      </c>
      <c r="C58" s="38" t="s">
        <v>1711</v>
      </c>
      <c r="D58" s="53">
        <f>'SCH B-2.1 B'!D56</f>
        <v>130733465.939999</v>
      </c>
      <c r="E58" s="53">
        <f>SUMIFS('PIS B'!$V$11:$V$338,'PIS B'!$B$11:$B$338,'SCH B-3 B'!$B58)</f>
        <v>-38022104.675155997</v>
      </c>
      <c r="F58" s="99">
        <f>$P$62</f>
        <v>0.87192446501955168</v>
      </c>
      <c r="G58" s="53">
        <f t="shared" ref="G58:G61" si="13">E58*F58</f>
        <v>-33152403.277802788</v>
      </c>
      <c r="H58" s="53">
        <f>SUMIFS('SCH B-3.1'!$F$12:$F$26,'SCH B-3.1'!$B$12:$B$26,'SCH B-3 B'!$B58)</f>
        <v>0</v>
      </c>
      <c r="I58" s="53">
        <f t="shared" ref="I58:I61" si="14">SUM(G58:H58)</f>
        <v>-33152403.277802788</v>
      </c>
    </row>
    <row r="59" spans="1:16" ht="18.95" customHeight="1">
      <c r="A59" s="30">
        <f t="shared" si="1"/>
        <v>31</v>
      </c>
      <c r="B59" s="31" t="s">
        <v>1712</v>
      </c>
      <c r="C59" s="38" t="s">
        <v>1686</v>
      </c>
      <c r="D59" s="53">
        <f>'SCH B-2.1 B'!D57</f>
        <v>67325168.730000004</v>
      </c>
      <c r="E59" s="53">
        <f>SUMIFS('PIS B'!$V$11:$V$338,'PIS B'!$B$11:$B$338,'SCH B-3 B'!$B59)</f>
        <v>-23485418.356872201</v>
      </c>
      <c r="F59" s="99">
        <f t="shared" ref="F59:F61" si="15">$P$62</f>
        <v>0.87192446501955168</v>
      </c>
      <c r="G59" s="53">
        <f t="shared" si="13"/>
        <v>-20477510.836576153</v>
      </c>
      <c r="H59" s="53">
        <f>SUMIFS('SCH B-3.1'!$F$12:$F$26,'SCH B-3.1'!$B$12:$B$26,'SCH B-3 B'!$B59)</f>
        <v>0</v>
      </c>
      <c r="I59" s="53">
        <f t="shared" si="14"/>
        <v>-20477510.836576153</v>
      </c>
    </row>
    <row r="60" spans="1:16" ht="18.95" customHeight="1">
      <c r="A60" s="30">
        <f t="shared" si="1"/>
        <v>32</v>
      </c>
      <c r="B60" s="31" t="s">
        <v>1713</v>
      </c>
      <c r="C60" s="38" t="s">
        <v>1698</v>
      </c>
      <c r="D60" s="53">
        <f>'SCH B-2.1 B'!D58</f>
        <v>9109568.5</v>
      </c>
      <c r="E60" s="53">
        <f>SUMIFS('PIS B'!$V$11:$V$338,'PIS B'!$B$11:$B$338,'SCH B-3 B'!$B60)</f>
        <v>-3237975.3103511697</v>
      </c>
      <c r="F60" s="99">
        <f t="shared" si="15"/>
        <v>0.87192446501955168</v>
      </c>
      <c r="G60" s="53">
        <f t="shared" si="13"/>
        <v>-2823269.8902244605</v>
      </c>
      <c r="H60" s="53">
        <f>SUMIFS('SCH B-3.1'!$F$12:$F$26,'SCH B-3.1'!$B$12:$B$26,'SCH B-3 B'!$B60)</f>
        <v>0</v>
      </c>
      <c r="I60" s="53">
        <f t="shared" si="14"/>
        <v>-2823269.8902244605</v>
      </c>
    </row>
    <row r="61" spans="1:16" ht="18.95" customHeight="1">
      <c r="A61" s="30">
        <f t="shared" si="1"/>
        <v>33</v>
      </c>
      <c r="B61" s="31" t="s">
        <v>1714</v>
      </c>
      <c r="C61" s="38" t="s">
        <v>1749</v>
      </c>
      <c r="D61" s="54">
        <f>'SCH B-2.1 B'!D59</f>
        <v>403344.08999999997</v>
      </c>
      <c r="E61" s="54">
        <f>SUMIFS('PIS B'!$V$11:$V$338,'PIS B'!$B$11:$B$338,'SCH B-3 B'!$B61)</f>
        <v>-36443.819999999905</v>
      </c>
      <c r="F61" s="99">
        <f t="shared" si="15"/>
        <v>0.87192446501955168</v>
      </c>
      <c r="G61" s="54">
        <f t="shared" si="13"/>
        <v>-31776.258256768753</v>
      </c>
      <c r="H61" s="54">
        <f>SUMIFS('SCH B-3.1'!$F$12:$F$26,'SCH B-3.1'!$B$12:$B$26,'SCH B-3 B'!$B61)</f>
        <v>31776.258256768753</v>
      </c>
      <c r="I61" s="54">
        <f t="shared" si="14"/>
        <v>0</v>
      </c>
    </row>
    <row r="62" spans="1:16" ht="18.95" customHeight="1">
      <c r="A62" s="30">
        <f t="shared" si="1"/>
        <v>34</v>
      </c>
      <c r="C62" s="38" t="s">
        <v>148</v>
      </c>
      <c r="D62" s="51">
        <f>SUM(D42:D45,D58:D61)</f>
        <v>1002155515.2199979</v>
      </c>
      <c r="E62" s="51">
        <f t="shared" ref="E62:I62" si="16">SUM(E42:E45,E58:E61)</f>
        <v>-288068428.1410833</v>
      </c>
      <c r="F62" s="51"/>
      <c r="G62" s="51">
        <f t="shared" si="16"/>
        <v>-251173910.09593722</v>
      </c>
      <c r="H62" s="51">
        <f t="shared" si="16"/>
        <v>31776.258256768753</v>
      </c>
      <c r="I62" s="51">
        <f t="shared" si="16"/>
        <v>-251142133.83768046</v>
      </c>
      <c r="L62" s="101">
        <f>'JURISSEP B'!G257</f>
        <v>251173910.09593722</v>
      </c>
      <c r="M62" s="101"/>
      <c r="N62" s="101">
        <f>SUM(L62:M62)</f>
        <v>251173910.09593722</v>
      </c>
      <c r="O62" s="101">
        <f>-E62+M62</f>
        <v>288068428.1410833</v>
      </c>
      <c r="P62" s="102">
        <f>N62/O62</f>
        <v>0.87192446501955168</v>
      </c>
    </row>
    <row r="63" spans="1:16" ht="18.95" customHeight="1">
      <c r="A63" s="30"/>
    </row>
    <row r="64" spans="1:16" ht="18.95" customHeight="1">
      <c r="A64" s="30">
        <f>A62+1</f>
        <v>35</v>
      </c>
      <c r="C64" s="55" t="s">
        <v>86</v>
      </c>
    </row>
    <row r="65" spans="1:16" ht="18.95" customHeight="1">
      <c r="A65" s="30">
        <f t="shared" si="1"/>
        <v>36</v>
      </c>
      <c r="B65" s="31" t="s">
        <v>1715</v>
      </c>
      <c r="C65" s="38" t="s">
        <v>157</v>
      </c>
      <c r="D65" s="53">
        <f>'SCH B-2.1 B'!D63</f>
        <v>31789265.370000001</v>
      </c>
      <c r="E65" s="53">
        <f>SUMIFS('PIS B'!$V$11:$V$338,'PIS B'!$B$11:$B$338,'SCH B-3 B'!$B65)</f>
        <v>-17373662.677439902</v>
      </c>
      <c r="F65" s="99">
        <f>$P$74</f>
        <v>0.87361297093001855</v>
      </c>
      <c r="G65" s="53">
        <f t="shared" ref="G65:G73" si="17">E65*F65</f>
        <v>-15177857.067574253</v>
      </c>
      <c r="H65" s="53">
        <f>SUMIFS('SCH B-3.1'!$F$12:$F$26,'SCH B-3.1'!$B$12:$B$26,'SCH B-3 B'!$B65)</f>
        <v>0</v>
      </c>
      <c r="I65" s="53">
        <f t="shared" ref="I65:I73" si="18">SUM(G65:H65)</f>
        <v>-15177857.067574253</v>
      </c>
    </row>
    <row r="66" spans="1:16" ht="18.95" customHeight="1">
      <c r="A66" s="30">
        <f t="shared" si="1"/>
        <v>37</v>
      </c>
      <c r="B66" s="31" t="s">
        <v>1716</v>
      </c>
      <c r="C66" s="38" t="s">
        <v>151</v>
      </c>
      <c r="D66" s="53">
        <f>'SCH B-2.1 B'!D64</f>
        <v>28829721.41</v>
      </c>
      <c r="E66" s="53">
        <f>SUMIFS('PIS B'!$V$11:$V$338,'PIS B'!$B$11:$B$338,'SCH B-3 B'!$B66)</f>
        <v>-7162678.3184930598</v>
      </c>
      <c r="F66" s="99">
        <f t="shared" ref="F66:F73" si="19">$P$74</f>
        <v>0.87361297093001855</v>
      </c>
      <c r="G66" s="53">
        <f t="shared" si="17"/>
        <v>-6257408.6856347518</v>
      </c>
      <c r="H66" s="53">
        <f>SUMIFS('SCH B-3.1'!$F$12:$F$26,'SCH B-3.1'!$B$12:$B$26,'SCH B-3 B'!$B66)</f>
        <v>0</v>
      </c>
      <c r="I66" s="53">
        <f t="shared" si="18"/>
        <v>-6257408.6856347518</v>
      </c>
    </row>
    <row r="67" spans="1:16" ht="18.95" customHeight="1">
      <c r="A67" s="30">
        <f t="shared" si="1"/>
        <v>38</v>
      </c>
      <c r="B67" s="31" t="s">
        <v>1717</v>
      </c>
      <c r="C67" s="38" t="s">
        <v>152</v>
      </c>
      <c r="D67" s="53">
        <f>'SCH B-2.1 B'!D65</f>
        <v>299234852.70999992</v>
      </c>
      <c r="E67" s="53">
        <f>SUMIFS('PIS B'!$V$11:$V$338,'PIS B'!$B$11:$B$338,'SCH B-3 B'!$B67)</f>
        <v>-80272740.712818205</v>
      </c>
      <c r="F67" s="99">
        <f t="shared" si="19"/>
        <v>0.87361297093001855</v>
      </c>
      <c r="G67" s="53">
        <f t="shared" si="17"/>
        <v>-70127307.498820171</v>
      </c>
      <c r="H67" s="53">
        <f>SUMIFS('SCH B-3.1'!$F$12:$F$26,'SCH B-3.1'!$B$12:$B$26,'SCH B-3 B'!$B67)</f>
        <v>0</v>
      </c>
      <c r="I67" s="53">
        <f t="shared" si="18"/>
        <v>-70127307.498820171</v>
      </c>
    </row>
    <row r="68" spans="1:16" ht="18.95" customHeight="1">
      <c r="A68" s="30">
        <f t="shared" si="1"/>
        <v>39</v>
      </c>
      <c r="B68" s="31" t="s">
        <v>1718</v>
      </c>
      <c r="C68" s="38" t="s">
        <v>1719</v>
      </c>
      <c r="D68" s="53">
        <f>'SCH B-2.1 B'!D66</f>
        <v>76371012.639999986</v>
      </c>
      <c r="E68" s="53">
        <f>SUMIFS('PIS B'!$V$11:$V$338,'PIS B'!$B$11:$B$338,'SCH B-3 B'!$B68)</f>
        <v>-50317317.162070476</v>
      </c>
      <c r="F68" s="99">
        <f t="shared" si="19"/>
        <v>0.87361297093001855</v>
      </c>
      <c r="G68" s="53">
        <f t="shared" si="17"/>
        <v>-43957860.935184397</v>
      </c>
      <c r="H68" s="53">
        <f>SUMIFS('SCH B-3.1'!$F$12:$F$26,'SCH B-3.1'!$B$12:$B$26,'SCH B-3 B'!$B68)</f>
        <v>0</v>
      </c>
      <c r="I68" s="53">
        <f t="shared" si="18"/>
        <v>-43957860.935184397</v>
      </c>
    </row>
    <row r="69" spans="1:16" ht="18.95" customHeight="1">
      <c r="A69" s="30">
        <f t="shared" si="1"/>
        <v>40</v>
      </c>
      <c r="B69" s="31" t="s">
        <v>1720</v>
      </c>
      <c r="C69" s="38" t="s">
        <v>1721</v>
      </c>
      <c r="D69" s="53">
        <f>'SCH B-2.1 B'!D67</f>
        <v>286024580.93000001</v>
      </c>
      <c r="E69" s="53">
        <f>SUMIFS('PIS B'!$V$11:$V$338,'PIS B'!$B$11:$B$338,'SCH B-3 B'!$B69)</f>
        <v>-67492668.128761351</v>
      </c>
      <c r="F69" s="99">
        <f t="shared" si="19"/>
        <v>0.87361297093001855</v>
      </c>
      <c r="G69" s="53">
        <f t="shared" si="17"/>
        <v>-58962470.319960982</v>
      </c>
      <c r="H69" s="53">
        <f>SUMIFS('SCH B-3.1'!$F$12:$F$26,'SCH B-3.1'!$B$12:$B$26,'SCH B-3 B'!$B69)</f>
        <v>0</v>
      </c>
      <c r="I69" s="53">
        <f t="shared" si="18"/>
        <v>-58962470.319960982</v>
      </c>
    </row>
    <row r="70" spans="1:16" ht="18.95" customHeight="1">
      <c r="A70" s="30">
        <f t="shared" si="1"/>
        <v>41</v>
      </c>
      <c r="B70" s="31" t="s">
        <v>1722</v>
      </c>
      <c r="C70" s="38" t="s">
        <v>1723</v>
      </c>
      <c r="D70" s="53">
        <f>'SCH B-2.1 B'!D68</f>
        <v>182031393.23999897</v>
      </c>
      <c r="E70" s="53">
        <f>SUMIFS('PIS B'!$V$11:$V$338,'PIS B'!$B$11:$B$338,'SCH B-3 B'!$B70)</f>
        <v>-115216999.47613838</v>
      </c>
      <c r="F70" s="99">
        <f t="shared" si="19"/>
        <v>0.87361297093001855</v>
      </c>
      <c r="G70" s="53">
        <f t="shared" si="17"/>
        <v>-100655065.21399164</v>
      </c>
      <c r="H70" s="53">
        <f>SUMIFS('SCH B-3.1'!$F$12:$F$26,'SCH B-3.1'!$B$12:$B$26,'SCH B-3 B'!$B70)</f>
        <v>0</v>
      </c>
      <c r="I70" s="53">
        <f t="shared" si="18"/>
        <v>-100655065.21399164</v>
      </c>
    </row>
    <row r="71" spans="1:16" ht="18.95" customHeight="1">
      <c r="A71" s="30">
        <f t="shared" si="1"/>
        <v>42</v>
      </c>
      <c r="B71" s="31" t="s">
        <v>1724</v>
      </c>
      <c r="C71" s="38" t="s">
        <v>1725</v>
      </c>
      <c r="D71" s="53">
        <f>'SCH B-2.1 B'!D69</f>
        <v>448760.26</v>
      </c>
      <c r="E71" s="53">
        <f>SUMIFS('PIS B'!$V$11:$V$338,'PIS B'!$B$11:$B$338,'SCH B-3 B'!$B71)</f>
        <v>-241530.4189512</v>
      </c>
      <c r="F71" s="99">
        <f t="shared" si="19"/>
        <v>0.87361297093001855</v>
      </c>
      <c r="G71" s="53">
        <f t="shared" si="17"/>
        <v>-211004.10686992988</v>
      </c>
      <c r="H71" s="53">
        <f>SUMIFS('SCH B-3.1'!$F$12:$F$26,'SCH B-3.1'!$B$12:$B$26,'SCH B-3 B'!$B71)</f>
        <v>0</v>
      </c>
      <c r="I71" s="53">
        <f t="shared" si="18"/>
        <v>-211004.10686992988</v>
      </c>
    </row>
    <row r="72" spans="1:16" ht="18.95" customHeight="1">
      <c r="A72" s="30">
        <f t="shared" si="1"/>
        <v>43</v>
      </c>
      <c r="B72" s="31" t="s">
        <v>1726</v>
      </c>
      <c r="C72" s="38" t="s">
        <v>1727</v>
      </c>
      <c r="D72" s="53">
        <f>'SCH B-2.1 B'!D70</f>
        <v>1116714.08</v>
      </c>
      <c r="E72" s="53">
        <f>SUMIFS('PIS B'!$V$11:$V$338,'PIS B'!$B$11:$B$338,'SCH B-3 B'!$B72)</f>
        <v>-963579.08899179904</v>
      </c>
      <c r="F72" s="99">
        <f t="shared" si="19"/>
        <v>0.87361297093001855</v>
      </c>
      <c r="G72" s="53">
        <f t="shared" si="17"/>
        <v>-841795.19066016632</v>
      </c>
      <c r="H72" s="53">
        <f>SUMIFS('SCH B-3.1'!$F$12:$F$26,'SCH B-3.1'!$B$12:$B$26,'SCH B-3 B'!$B72)</f>
        <v>0</v>
      </c>
      <c r="I72" s="53">
        <f t="shared" si="18"/>
        <v>-841795.19066016632</v>
      </c>
    </row>
    <row r="73" spans="1:16" ht="18.95" customHeight="1">
      <c r="A73" s="30">
        <f t="shared" si="1"/>
        <v>44</v>
      </c>
      <c r="B73" s="31" t="s">
        <v>1728</v>
      </c>
      <c r="C73" s="38" t="s">
        <v>155</v>
      </c>
      <c r="D73" s="54">
        <f>'SCH B-2.1 B'!D71</f>
        <v>413450.63</v>
      </c>
      <c r="E73" s="54">
        <f>SUMIFS('PIS B'!$V$11:$V$338,'PIS B'!$B$11:$B$338,'SCH B-3 B'!$B73)</f>
        <v>-53493.409999999894</v>
      </c>
      <c r="F73" s="99">
        <f t="shared" si="19"/>
        <v>0.87361297093001855</v>
      </c>
      <c r="G73" s="54">
        <f t="shared" si="17"/>
        <v>-46732.536835277475</v>
      </c>
      <c r="H73" s="54">
        <f>SUMIFS('SCH B-3.1'!$F$12:$F$26,'SCH B-3.1'!$B$12:$B$26,'SCH B-3 B'!$B73)</f>
        <v>46732.536835277475</v>
      </c>
      <c r="I73" s="54">
        <f t="shared" si="18"/>
        <v>0</v>
      </c>
    </row>
    <row r="74" spans="1:16" ht="18.95" customHeight="1">
      <c r="A74" s="30">
        <f t="shared" si="1"/>
        <v>45</v>
      </c>
      <c r="C74" s="38" t="s">
        <v>153</v>
      </c>
      <c r="D74" s="51">
        <f>SUM(D65:D73)</f>
        <v>906259751.26999891</v>
      </c>
      <c r="E74" s="51">
        <f t="shared" ref="E74:I74" si="20">SUM(E65:E73)</f>
        <v>-339094669.39366442</v>
      </c>
      <c r="F74" s="51"/>
      <c r="G74" s="51">
        <f t="shared" si="20"/>
        <v>-296237501.55553156</v>
      </c>
      <c r="H74" s="51">
        <f t="shared" si="20"/>
        <v>46732.536835277475</v>
      </c>
      <c r="I74" s="51">
        <f t="shared" si="20"/>
        <v>-296190769.01869631</v>
      </c>
      <c r="L74" s="101">
        <f>'JURISSEP B'!G266</f>
        <v>296237501.55553162</v>
      </c>
      <c r="M74" s="101"/>
      <c r="N74" s="101">
        <f>SUM(L74:M74)</f>
        <v>296237501.55553162</v>
      </c>
      <c r="O74" s="101">
        <f>-E74+M74</f>
        <v>339094669.39366442</v>
      </c>
      <c r="P74" s="102">
        <f>N74/O74</f>
        <v>0.87361297093001855</v>
      </c>
    </row>
    <row r="75" spans="1:16" ht="18.95" customHeight="1">
      <c r="A75" s="30"/>
      <c r="B75" s="31"/>
    </row>
    <row r="76" spans="1:16" ht="18.95" customHeight="1">
      <c r="A76" s="30">
        <f>A74+1</f>
        <v>46</v>
      </c>
      <c r="B76" s="31" t="s">
        <v>254</v>
      </c>
      <c r="C76" s="55" t="s">
        <v>16</v>
      </c>
    </row>
    <row r="77" spans="1:16" ht="18.95" customHeight="1">
      <c r="A77" s="30">
        <f t="shared" si="1"/>
        <v>47</v>
      </c>
      <c r="B77" s="31" t="s">
        <v>1729</v>
      </c>
      <c r="C77" s="38" t="s">
        <v>157</v>
      </c>
      <c r="D77" s="53">
        <f>'SCH B-2.1 B'!D75</f>
        <v>8626045.859999992</v>
      </c>
      <c r="E77" s="53">
        <f>SUMIFS('PIS B'!$V$11:$V$338,'PIS B'!$B$11:$B$338,'SCH B-3 B'!$B77)</f>
        <v>-1468493.0760661862</v>
      </c>
      <c r="F77" s="99">
        <f>$P$90</f>
        <v>0.935513813820672</v>
      </c>
      <c r="G77" s="53">
        <f t="shared" ref="G77:G89" si="21">E77*F77</f>
        <v>-1373795.5581599281</v>
      </c>
      <c r="H77" s="53">
        <f>SUMIFS('SCH B-3.1'!$F$12:$F$26,'SCH B-3.1'!$B$12:$B$26,'SCH B-3 B'!$B77)</f>
        <v>0</v>
      </c>
      <c r="I77" s="53">
        <f t="shared" ref="I77:I89" si="22">SUM(G77:H77)</f>
        <v>-1373795.5581599281</v>
      </c>
    </row>
    <row r="78" spans="1:16" ht="18.95" customHeight="1">
      <c r="A78" s="30">
        <f t="shared" si="1"/>
        <v>48</v>
      </c>
      <c r="B78" s="31" t="s">
        <v>1730</v>
      </c>
      <c r="C78" s="38" t="s">
        <v>151</v>
      </c>
      <c r="D78" s="53">
        <f>'SCH B-2.1 B'!D76</f>
        <v>12509663.560000002</v>
      </c>
      <c r="E78" s="53">
        <f>SUMIFS('PIS B'!$V$11:$V$338,'PIS B'!$B$11:$B$338,'SCH B-3 B'!$B78)</f>
        <v>-2485969.5702855061</v>
      </c>
      <c r="F78" s="99">
        <f t="shared" ref="F78:F81" si="23">$P$90</f>
        <v>0.935513813820672</v>
      </c>
      <c r="G78" s="53">
        <f t="shared" si="21"/>
        <v>-2325658.8737399308</v>
      </c>
      <c r="H78" s="53">
        <f>SUMIFS('SCH B-3.1'!$F$12:$F$26,'SCH B-3.1'!$B$12:$B$26,'SCH B-3 B'!$B78)</f>
        <v>0</v>
      </c>
      <c r="I78" s="53">
        <f t="shared" si="22"/>
        <v>-2325658.8737399308</v>
      </c>
    </row>
    <row r="79" spans="1:16" ht="18.95" customHeight="1">
      <c r="A79" s="30">
        <f t="shared" si="1"/>
        <v>49</v>
      </c>
      <c r="B79" s="31" t="s">
        <v>1731</v>
      </c>
      <c r="C79" s="38" t="s">
        <v>1732</v>
      </c>
      <c r="D79" s="53">
        <f>'SCH B-2.1 B'!D77</f>
        <v>190967978.57000002</v>
      </c>
      <c r="E79" s="53">
        <f>SUMIFS('PIS B'!$V$11:$V$338,'PIS B'!$B$11:$B$338,'SCH B-3 B'!$B79)</f>
        <v>-49903227.467428222</v>
      </c>
      <c r="F79" s="99">
        <f t="shared" si="23"/>
        <v>0.935513813820672</v>
      </c>
      <c r="G79" s="53">
        <f t="shared" si="21"/>
        <v>-46685158.650014289</v>
      </c>
      <c r="H79" s="53">
        <f>SUMIFS('SCH B-3.1'!$F$12:$F$26,'SCH B-3.1'!$B$12:$B$26,'SCH B-3 B'!$B79)</f>
        <v>0</v>
      </c>
      <c r="I79" s="53">
        <f t="shared" si="22"/>
        <v>-46685158.650014289</v>
      </c>
    </row>
    <row r="80" spans="1:16" ht="18.95" customHeight="1">
      <c r="A80" s="30">
        <f t="shared" ref="A80:A90" si="24">A79+1</f>
        <v>50</v>
      </c>
      <c r="B80" s="31" t="s">
        <v>1733</v>
      </c>
      <c r="C80" s="38" t="s">
        <v>1734</v>
      </c>
      <c r="D80" s="53">
        <f>'SCH B-2.1 B'!D78</f>
        <v>377046487.52000004</v>
      </c>
      <c r="E80" s="53">
        <f>SUMIFS('PIS B'!$V$11:$V$338,'PIS B'!$B$11:$B$338,'SCH B-3 B'!$B80)</f>
        <v>-156712992.69309393</v>
      </c>
      <c r="F80" s="99">
        <f t="shared" si="23"/>
        <v>0.935513813820672</v>
      </c>
      <c r="G80" s="53">
        <f t="shared" si="21"/>
        <v>-146607169.46956739</v>
      </c>
      <c r="H80" s="53">
        <f>SUMIFS('SCH B-3.1'!$F$12:$F$26,'SCH B-3.1'!$B$12:$B$26,'SCH B-3 B'!$B80)</f>
        <v>1421.8018274373387</v>
      </c>
      <c r="I80" s="53">
        <f t="shared" si="22"/>
        <v>-146605747.66773996</v>
      </c>
    </row>
    <row r="81" spans="1:16" ht="18.95" customHeight="1">
      <c r="A81" s="30">
        <f t="shared" si="24"/>
        <v>51</v>
      </c>
      <c r="B81" s="31" t="s">
        <v>1735</v>
      </c>
      <c r="C81" s="38" t="s">
        <v>1723</v>
      </c>
      <c r="D81" s="53">
        <f>'SCH B-2.1 B'!D79</f>
        <v>369385847.97000003</v>
      </c>
      <c r="E81" s="53">
        <f>SUMIFS('PIS B'!$V$11:$V$338,'PIS B'!$B$11:$B$338,'SCH B-3 B'!$B81)</f>
        <v>-117065589.22035536</v>
      </c>
      <c r="F81" s="99">
        <f t="shared" si="23"/>
        <v>0.935513813820672</v>
      </c>
      <c r="G81" s="53">
        <f t="shared" si="21"/>
        <v>-109516475.83869879</v>
      </c>
      <c r="H81" s="53">
        <f>SUMIFS('SCH B-3.1'!$F$12:$F$26,'SCH B-3.1'!$B$12:$B$26,'SCH B-3 B'!$B81)</f>
        <v>1753.2281692998081</v>
      </c>
      <c r="I81" s="53">
        <f t="shared" si="22"/>
        <v>-109514722.61052948</v>
      </c>
    </row>
    <row r="82" spans="1:16" ht="18.95" customHeight="1">
      <c r="A82" s="30">
        <f t="shared" si="24"/>
        <v>52</v>
      </c>
      <c r="B82" s="31" t="s">
        <v>1736</v>
      </c>
      <c r="C82" s="38" t="s">
        <v>1725</v>
      </c>
      <c r="D82" s="53">
        <f>'SCH B-2.1 B'!D80</f>
        <v>2381227.67</v>
      </c>
      <c r="E82" s="53">
        <f>SUMIFS('PIS B'!$V$11:$V$338,'PIS B'!$B$11:$B$338,'SCH B-3 B'!$B82)</f>
        <v>-900571.33648500172</v>
      </c>
      <c r="F82" s="99">
        <f>'SCH B-2.1 B'!E80</f>
        <v>1</v>
      </c>
      <c r="G82" s="53">
        <f t="shared" si="21"/>
        <v>-900571.33648500172</v>
      </c>
      <c r="H82" s="53">
        <f>SUMIFS('SCH B-3.1'!$F$12:$F$26,'SCH B-3.1'!$B$12:$B$26,'SCH B-3 B'!$B82)</f>
        <v>11350.39402</v>
      </c>
      <c r="I82" s="53">
        <f t="shared" si="22"/>
        <v>-889220.94246500172</v>
      </c>
    </row>
    <row r="83" spans="1:16" ht="18.95" customHeight="1">
      <c r="A83" s="30">
        <f t="shared" si="24"/>
        <v>53</v>
      </c>
      <c r="B83" s="31" t="s">
        <v>1737</v>
      </c>
      <c r="C83" s="38" t="s">
        <v>1727</v>
      </c>
      <c r="D83" s="53">
        <f>'SCH B-2.1 B'!D81</f>
        <v>192954763.99000001</v>
      </c>
      <c r="E83" s="53">
        <f>SUMIFS('PIS B'!$V$11:$V$338,'PIS B'!$B$11:$B$338,'SCH B-3 B'!$B83)</f>
        <v>-44432497.561460577</v>
      </c>
      <c r="F83" s="99">
        <f t="shared" ref="F83:F88" si="25">$P$90</f>
        <v>0.935513813820672</v>
      </c>
      <c r="G83" s="53">
        <f t="shared" si="21"/>
        <v>-41567215.251299694</v>
      </c>
      <c r="H83" s="53">
        <f>SUMIFS('SCH B-3.1'!$F$12:$F$26,'SCH B-3.1'!$B$12:$B$26,'SCH B-3 B'!$B83)</f>
        <v>72280.460791965466</v>
      </c>
      <c r="I83" s="53">
        <f t="shared" si="22"/>
        <v>-41494934.790507726</v>
      </c>
    </row>
    <row r="84" spans="1:16" ht="18.95" customHeight="1">
      <c r="A84" s="30">
        <f t="shared" si="24"/>
        <v>54</v>
      </c>
      <c r="B84" s="31" t="s">
        <v>1738</v>
      </c>
      <c r="C84" s="38" t="s">
        <v>1739</v>
      </c>
      <c r="D84" s="53">
        <f>'SCH B-2.1 B'!D82</f>
        <v>315269602.52000004</v>
      </c>
      <c r="E84" s="53">
        <f>SUMIFS('PIS B'!$V$11:$V$338,'PIS B'!$B$11:$B$338,'SCH B-3 B'!$B84)</f>
        <v>-147748585.10932779</v>
      </c>
      <c r="F84" s="99">
        <f t="shared" si="25"/>
        <v>0.935513813820672</v>
      </c>
      <c r="G84" s="53">
        <f t="shared" si="21"/>
        <v>-138220842.34223539</v>
      </c>
      <c r="H84" s="53">
        <f>SUMIFS('SCH B-3.1'!$F$12:$F$26,'SCH B-3.1'!$B$12:$B$26,'SCH B-3 B'!$B84)</f>
        <v>0</v>
      </c>
      <c r="I84" s="53">
        <f t="shared" si="22"/>
        <v>-138220842.34223539</v>
      </c>
    </row>
    <row r="85" spans="1:16" ht="18.95" customHeight="1">
      <c r="A85" s="30">
        <f t="shared" si="24"/>
        <v>55</v>
      </c>
      <c r="B85" s="31" t="s">
        <v>1740</v>
      </c>
      <c r="C85" s="38" t="s">
        <v>1741</v>
      </c>
      <c r="D85" s="53">
        <f>'SCH B-2.1 B'!D83</f>
        <v>102761818.73000002</v>
      </c>
      <c r="E85" s="53">
        <f>SUMIFS('PIS B'!$V$11:$V$338,'PIS B'!$B$11:$B$338,'SCH B-3 B'!$B85)</f>
        <v>-63544691.358944029</v>
      </c>
      <c r="F85" s="99">
        <f t="shared" si="25"/>
        <v>0.935513813820672</v>
      </c>
      <c r="G85" s="53">
        <f t="shared" si="21"/>
        <v>-59446936.561263226</v>
      </c>
      <c r="H85" s="53">
        <f>SUMIFS('SCH B-3.1'!$F$12:$F$26,'SCH B-3.1'!$B$12:$B$26,'SCH B-3 B'!$B85)</f>
        <v>0</v>
      </c>
      <c r="I85" s="53">
        <f t="shared" si="22"/>
        <v>-59446936.561263226</v>
      </c>
    </row>
    <row r="86" spans="1:16" ht="18.95" customHeight="1">
      <c r="A86" s="30">
        <f>A85+1</f>
        <v>56</v>
      </c>
      <c r="B86" s="31" t="s">
        <v>1742</v>
      </c>
      <c r="C86" s="38" t="s">
        <v>1743</v>
      </c>
      <c r="D86" s="53">
        <f>'SCH B-2.1 B'!D84</f>
        <v>78445770.179999992</v>
      </c>
      <c r="E86" s="53">
        <f>SUMIFS('PIS B'!$V$11:$V$338,'PIS B'!$B$11:$B$338,'SCH B-3 B'!$B86)</f>
        <v>-39843247.055274345</v>
      </c>
      <c r="F86" s="99">
        <f t="shared" si="25"/>
        <v>0.935513813820672</v>
      </c>
      <c r="G86" s="53">
        <f t="shared" si="21"/>
        <v>-37273908.007678963</v>
      </c>
      <c r="H86" s="53">
        <f>SUMIFS('SCH B-3.1'!$F$12:$F$26,'SCH B-3.1'!$B$12:$B$26,'SCH B-3 B'!$B86)</f>
        <v>0</v>
      </c>
      <c r="I86" s="53">
        <f t="shared" si="22"/>
        <v>-37273908.007678963</v>
      </c>
    </row>
    <row r="87" spans="1:16" ht="18.95" customHeight="1">
      <c r="A87" s="30">
        <f t="shared" si="24"/>
        <v>57</v>
      </c>
      <c r="B87" s="31" t="s">
        <v>1744</v>
      </c>
      <c r="C87" s="38" t="s">
        <v>1745</v>
      </c>
      <c r="D87" s="53">
        <f>'SCH B-2.1 B'!D85</f>
        <v>205375.54999999702</v>
      </c>
      <c r="E87" s="53">
        <f>SUMIFS('PIS B'!$V$11:$V$338,'PIS B'!$B$11:$B$338,'SCH B-3 B'!$B87)</f>
        <v>4674.6819322786305</v>
      </c>
      <c r="F87" s="99">
        <f t="shared" si="25"/>
        <v>0.935513813820672</v>
      </c>
      <c r="G87" s="53">
        <f t="shared" si="21"/>
        <v>4373.2295228645698</v>
      </c>
      <c r="H87" s="53">
        <f>SUMIFS('SCH B-3.1'!$F$12:$F$26,'SCH B-3.1'!$B$12:$B$26,'SCH B-3 B'!$B87)</f>
        <v>0</v>
      </c>
      <c r="I87" s="53">
        <f t="shared" si="22"/>
        <v>4373.2295228645698</v>
      </c>
    </row>
    <row r="88" spans="1:16" ht="18.95" customHeight="1">
      <c r="A88" s="30">
        <f t="shared" si="24"/>
        <v>58</v>
      </c>
      <c r="B88" s="31" t="s">
        <v>1746</v>
      </c>
      <c r="C88" s="38" t="s">
        <v>1747</v>
      </c>
      <c r="D88" s="53">
        <f>'SCH B-2.1 B'!D86</f>
        <v>115408991.71999989</v>
      </c>
      <c r="E88" s="53">
        <f>SUMIFS('PIS B'!$V$11:$V$338,'PIS B'!$B$11:$B$338,'SCH B-3 B'!$B88)</f>
        <v>-37011618.608314827</v>
      </c>
      <c r="F88" s="99">
        <f t="shared" si="25"/>
        <v>0.935513813820672</v>
      </c>
      <c r="G88" s="53">
        <f t="shared" si="21"/>
        <v>-34624880.479940757</v>
      </c>
      <c r="H88" s="53">
        <f>SUMIFS('SCH B-3.1'!$F$12:$F$26,'SCH B-3.1'!$B$12:$B$26,'SCH B-3 B'!$B88)</f>
        <v>0</v>
      </c>
      <c r="I88" s="53">
        <f t="shared" si="22"/>
        <v>-34624880.479940757</v>
      </c>
    </row>
    <row r="89" spans="1:16" ht="18.95" customHeight="1">
      <c r="A89" s="30">
        <f t="shared" si="24"/>
        <v>59</v>
      </c>
      <c r="B89" s="31" t="s">
        <v>1748</v>
      </c>
      <c r="C89" s="38" t="s">
        <v>154</v>
      </c>
      <c r="D89" s="54">
        <f>'SCH B-2.1 B'!D87</f>
        <v>904896.85999999894</v>
      </c>
      <c r="E89" s="54">
        <f>SUMIFS('PIS B'!$V$11:$V$338,'PIS B'!$B$11:$B$338,'SCH B-3 B'!$B89)</f>
        <v>-129706.85999999901</v>
      </c>
      <c r="F89" s="99">
        <f>'SCH B-2.1 B'!E87</f>
        <v>1</v>
      </c>
      <c r="G89" s="54">
        <f t="shared" si="21"/>
        <v>-129706.85999999901</v>
      </c>
      <c r="H89" s="54">
        <f>SUMIFS('SCH B-3.1'!$F$12:$F$26,'SCH B-3.1'!$B$12:$B$26,'SCH B-3 B'!$B89)</f>
        <v>129706.85999999901</v>
      </c>
      <c r="I89" s="54">
        <f t="shared" si="22"/>
        <v>0</v>
      </c>
    </row>
    <row r="90" spans="1:16" ht="18.95" customHeight="1">
      <c r="A90" s="30">
        <f t="shared" si="24"/>
        <v>60</v>
      </c>
      <c r="B90" s="31"/>
      <c r="C90" s="38" t="s">
        <v>156</v>
      </c>
      <c r="D90" s="51">
        <f>SUM(D77:D89)</f>
        <v>1766868470.6999996</v>
      </c>
      <c r="E90" s="51">
        <f t="shared" ref="E90:I90" si="26">SUM(E77:E89)</f>
        <v>-661242515.23510349</v>
      </c>
      <c r="F90" s="51"/>
      <c r="G90" s="51">
        <f t="shared" si="26"/>
        <v>-618667945.99956059</v>
      </c>
      <c r="H90" s="51">
        <f t="shared" si="26"/>
        <v>216512.74480870162</v>
      </c>
      <c r="I90" s="51">
        <f t="shared" si="26"/>
        <v>-618451433.25475192</v>
      </c>
      <c r="L90" s="101">
        <f>'JURISSEP B'!G270</f>
        <v>618667945.99956048</v>
      </c>
      <c r="M90" s="101">
        <f>G82+G89</f>
        <v>-1030278.1964850008</v>
      </c>
      <c r="N90" s="101">
        <f>SUM(L90:M90)</f>
        <v>617637667.80307543</v>
      </c>
      <c r="O90" s="101">
        <f>-E90+M90</f>
        <v>660212237.03861845</v>
      </c>
      <c r="P90" s="102">
        <f>N90/O90</f>
        <v>0.935513813820672</v>
      </c>
    </row>
    <row r="91" spans="1:16" s="28" customFormat="1" ht="20.100000000000001" customHeight="1">
      <c r="A91" s="706" t="str">
        <f>$A$1</f>
        <v>KENTUCKY UTILITIES COMPANY</v>
      </c>
      <c r="B91" s="706"/>
      <c r="C91" s="706"/>
      <c r="D91" s="706"/>
      <c r="E91" s="706"/>
      <c r="F91" s="706"/>
      <c r="G91" s="706"/>
      <c r="H91" s="706"/>
      <c r="I91" s="706"/>
    </row>
    <row r="92" spans="1:16" s="28" customFormat="1" ht="20.100000000000001" customHeight="1">
      <c r="A92" s="706" t="str">
        <f>$A$2</f>
        <v>CASE NO. 2016-00370</v>
      </c>
      <c r="B92" s="706"/>
      <c r="C92" s="706"/>
      <c r="D92" s="706"/>
      <c r="E92" s="706"/>
      <c r="F92" s="706"/>
      <c r="G92" s="706"/>
      <c r="H92" s="706"/>
      <c r="I92" s="706"/>
    </row>
    <row r="93" spans="1:16" s="28" customFormat="1" ht="20.100000000000001" customHeight="1">
      <c r="A93" s="706" t="str">
        <f>$A$3</f>
        <v>ACCUMULATED DEPRECIATION AND AMORTIZATION</v>
      </c>
      <c r="B93" s="706"/>
      <c r="C93" s="706"/>
      <c r="D93" s="706"/>
      <c r="E93" s="706"/>
      <c r="F93" s="706"/>
      <c r="G93" s="706"/>
      <c r="H93" s="706"/>
      <c r="I93" s="706"/>
    </row>
    <row r="94" spans="1:16" s="28" customFormat="1" ht="20.100000000000001" customHeight="1">
      <c r="A94" s="705" t="str">
        <f>$A$4</f>
        <v>AS OF FEBRUARY 28, 2017</v>
      </c>
      <c r="B94" s="706"/>
      <c r="C94" s="706"/>
      <c r="D94" s="706"/>
      <c r="E94" s="706"/>
      <c r="F94" s="706"/>
      <c r="G94" s="706"/>
      <c r="H94" s="706"/>
      <c r="I94" s="706"/>
    </row>
    <row r="95" spans="1:16" s="28" customFormat="1" ht="20.100000000000001" customHeight="1">
      <c r="A95" s="44"/>
      <c r="B95" s="44"/>
      <c r="C95" s="44"/>
      <c r="D95" s="44"/>
      <c r="E95" s="44"/>
      <c r="F95" s="44"/>
      <c r="G95" s="44"/>
      <c r="H95" s="44"/>
      <c r="I95" s="44"/>
    </row>
    <row r="96" spans="1:16" s="28" customFormat="1" ht="20.100000000000001" customHeight="1">
      <c r="A96" s="27" t="str">
        <f>$A$6</f>
        <v>DATA:__X__BASE  PERIOD____FORECASTED  PERIOD</v>
      </c>
      <c r="B96" s="27"/>
      <c r="H96" s="34"/>
      <c r="I96" s="35" t="str">
        <f>$I$6</f>
        <v>SCHEDULE B-3</v>
      </c>
    </row>
    <row r="97" spans="1:9" s="28" customFormat="1" ht="20.100000000000001" customHeight="1">
      <c r="A97" s="27" t="str">
        <f>$A$7</f>
        <v>TYPE OF FILING: __X__ ORIGINAL  _____ UPDATED  _____ REVISED</v>
      </c>
      <c r="H97" s="34"/>
      <c r="I97" s="34" t="s">
        <v>174</v>
      </c>
    </row>
    <row r="98" spans="1:9" s="28" customFormat="1" ht="20.100000000000001" customHeight="1">
      <c r="A98" s="27" t="str">
        <f>$A$8</f>
        <v>WORKPAPER REFERENCE NO(S).:</v>
      </c>
      <c r="B98" s="27"/>
      <c r="F98" s="27"/>
      <c r="G98" s="27"/>
      <c r="H98" s="35"/>
      <c r="I98" s="35" t="str">
        <f>$I$8</f>
        <v>WITNESS:   C. M. GARRETT</v>
      </c>
    </row>
    <row r="99" spans="1:9" s="28" customFormat="1" ht="20.100000000000001" customHeight="1"/>
    <row r="100" spans="1:9" s="28" customFormat="1" ht="20.100000000000001" customHeight="1">
      <c r="A100" s="61"/>
      <c r="B100" s="61"/>
      <c r="C100" s="61"/>
      <c r="D100" s="61"/>
      <c r="E100" s="708" t="s">
        <v>1209</v>
      </c>
      <c r="F100" s="708"/>
      <c r="G100" s="708"/>
      <c r="H100" s="708"/>
      <c r="I100" s="708"/>
    </row>
    <row r="101" spans="1:9" ht="58.5" customHeight="1">
      <c r="A101" s="31" t="s">
        <v>134</v>
      </c>
      <c r="B101" s="31" t="s">
        <v>137</v>
      </c>
      <c r="C101" s="38" t="s">
        <v>138</v>
      </c>
      <c r="D101" s="31" t="s">
        <v>1207</v>
      </c>
      <c r="E101" s="31" t="s">
        <v>1208</v>
      </c>
      <c r="F101" s="31" t="s">
        <v>227</v>
      </c>
      <c r="G101" s="31" t="s">
        <v>228</v>
      </c>
      <c r="H101" s="31" t="s">
        <v>229</v>
      </c>
      <c r="I101" s="31" t="s">
        <v>230</v>
      </c>
    </row>
    <row r="102" spans="1:9" ht="23.1" customHeight="1">
      <c r="A102" s="40"/>
      <c r="B102" s="40"/>
      <c r="C102" s="41"/>
      <c r="D102" s="42" t="s">
        <v>145</v>
      </c>
      <c r="E102" s="42" t="s">
        <v>145</v>
      </c>
      <c r="F102" s="42"/>
      <c r="G102" s="42" t="s">
        <v>145</v>
      </c>
      <c r="H102" s="42" t="s">
        <v>145</v>
      </c>
      <c r="I102" s="42" t="s">
        <v>145</v>
      </c>
    </row>
    <row r="103" spans="1:9" ht="18.95" customHeight="1">
      <c r="A103" s="30">
        <f>A90+1</f>
        <v>61</v>
      </c>
      <c r="C103" s="55" t="s">
        <v>33</v>
      </c>
    </row>
    <row r="104" spans="1:9" ht="18.95" customHeight="1">
      <c r="A104" s="30">
        <f t="shared" ref="A104:A114" si="27">A103+1</f>
        <v>62</v>
      </c>
      <c r="B104" s="31" t="s">
        <v>1750</v>
      </c>
      <c r="C104" s="38" t="s">
        <v>157</v>
      </c>
      <c r="D104" s="53">
        <f>'SCH B-2.1 B'!D101</f>
        <v>3410792.0700000003</v>
      </c>
      <c r="E104" s="53">
        <f>SUMIFS('PIS B'!$V$11:$V$338,'PIS B'!$B$11:$B$338,'SCH B-3 B'!$B104)</f>
        <v>17050</v>
      </c>
      <c r="F104" s="99">
        <f>$P$114</f>
        <v>0.90713801513087167</v>
      </c>
      <c r="G104" s="53">
        <f t="shared" ref="G104:G113" si="28">E104*F104</f>
        <v>15466.703157981361</v>
      </c>
      <c r="H104" s="53">
        <f>SUMIFS('SCH B-3.1'!$F$12:$F$26,'SCH B-3.1'!$B$12:$B$26,'SCH B-3 B'!$B104)</f>
        <v>0</v>
      </c>
      <c r="I104" s="53">
        <f t="shared" ref="I104:I113" si="29">SUM(G104:H104)</f>
        <v>15466.703157981361</v>
      </c>
    </row>
    <row r="105" spans="1:9" ht="18.95" customHeight="1">
      <c r="A105" s="30">
        <f t="shared" si="27"/>
        <v>63</v>
      </c>
      <c r="B105" s="31" t="s">
        <v>1751</v>
      </c>
      <c r="C105" s="38" t="s">
        <v>151</v>
      </c>
      <c r="D105" s="53">
        <f>'SCH B-2.1 B'!D102</f>
        <v>61758524.859999992</v>
      </c>
      <c r="E105" s="53">
        <f>SUMIFS('PIS B'!$V$11:$V$338,'PIS B'!$B$11:$B$338,'SCH B-3 B'!$B105)</f>
        <v>-12416136.488190016</v>
      </c>
      <c r="F105" s="99">
        <f t="shared" ref="F105:F113" si="30">$P$114</f>
        <v>0.90713801513087167</v>
      </c>
      <c r="G105" s="53">
        <f t="shared" si="28"/>
        <v>-11263149.409490682</v>
      </c>
      <c r="H105" s="53">
        <f>SUMIFS('SCH B-3.1'!$F$12:$F$26,'SCH B-3.1'!$B$12:$B$26,'SCH B-3 B'!$B105)</f>
        <v>0</v>
      </c>
      <c r="I105" s="53">
        <f t="shared" si="29"/>
        <v>-11263149.409490682</v>
      </c>
    </row>
    <row r="106" spans="1:9" ht="18.95" customHeight="1">
      <c r="A106" s="30">
        <f t="shared" si="27"/>
        <v>64</v>
      </c>
      <c r="B106" s="31" t="s">
        <v>1752</v>
      </c>
      <c r="C106" s="38" t="s">
        <v>159</v>
      </c>
      <c r="D106" s="53">
        <f>'SCH B-2.1 B'!D103</f>
        <v>45046030.169999972</v>
      </c>
      <c r="E106" s="53">
        <f>SUMIFS('PIS B'!$V$11:$V$338,'PIS B'!$B$11:$B$338,'SCH B-3 B'!$B106)</f>
        <v>-21931975.06518</v>
      </c>
      <c r="F106" s="99">
        <f t="shared" si="30"/>
        <v>0.90713801513087167</v>
      </c>
      <c r="G106" s="53">
        <f t="shared" si="28"/>
        <v>-19895328.328527156</v>
      </c>
      <c r="H106" s="53">
        <f>SUMIFS('SCH B-3.1'!$F$12:$F$26,'SCH B-3.1'!$B$12:$B$26,'SCH B-3 B'!$B106)</f>
        <v>0</v>
      </c>
      <c r="I106" s="53">
        <f t="shared" si="29"/>
        <v>-19895328.328527156</v>
      </c>
    </row>
    <row r="107" spans="1:9" ht="18.95" customHeight="1">
      <c r="A107" s="30">
        <f t="shared" si="27"/>
        <v>65</v>
      </c>
      <c r="B107" s="31" t="s">
        <v>1753</v>
      </c>
      <c r="C107" s="38" t="s">
        <v>158</v>
      </c>
      <c r="D107" s="53">
        <f>'SCH B-2.1 B'!D104</f>
        <v>7277719.4200000009</v>
      </c>
      <c r="E107" s="53">
        <f>SUMIFS('PIS B'!$V$11:$V$338,'PIS B'!$B$11:$B$338,'SCH B-3 B'!$B107)</f>
        <v>-3673365.0530689904</v>
      </c>
      <c r="F107" s="99">
        <f t="shared" si="30"/>
        <v>0.90713801513087167</v>
      </c>
      <c r="G107" s="53">
        <f t="shared" si="28"/>
        <v>-3332249.083092113</v>
      </c>
      <c r="H107" s="53">
        <f>SUMIFS('SCH B-3.1'!$F$12:$F$26,'SCH B-3.1'!$B$12:$B$26,'SCH B-3 B'!$B107)</f>
        <v>33058.370765533538</v>
      </c>
      <c r="I107" s="53">
        <f t="shared" si="29"/>
        <v>-3299190.7123265793</v>
      </c>
    </row>
    <row r="108" spans="1:9" ht="18.95" customHeight="1">
      <c r="A108" s="30">
        <f t="shared" si="27"/>
        <v>66</v>
      </c>
      <c r="B108" s="31" t="s">
        <v>1754</v>
      </c>
      <c r="C108" s="38" t="s">
        <v>1755</v>
      </c>
      <c r="D108" s="53">
        <f>'SCH B-2.1 B'!D105</f>
        <v>1513641.69</v>
      </c>
      <c r="E108" s="53">
        <f>SUMIFS('PIS B'!$V$11:$V$338,'PIS B'!$B$11:$B$338,'SCH B-3 B'!$B108)</f>
        <v>-401154.06684299896</v>
      </c>
      <c r="F108" s="99">
        <f t="shared" si="30"/>
        <v>0.90713801513087167</v>
      </c>
      <c r="G108" s="53">
        <f t="shared" si="28"/>
        <v>-363902.10395763512</v>
      </c>
      <c r="H108" s="53">
        <f>SUMIFS('SCH B-3.1'!$F$12:$F$26,'SCH B-3.1'!$B$12:$B$26,'SCH B-3 B'!$B108)</f>
        <v>0</v>
      </c>
      <c r="I108" s="53">
        <f t="shared" si="29"/>
        <v>-363902.10395763512</v>
      </c>
    </row>
    <row r="109" spans="1:9" ht="18.95" customHeight="1">
      <c r="A109" s="30">
        <f t="shared" si="27"/>
        <v>67</v>
      </c>
      <c r="B109" s="31" t="s">
        <v>1756</v>
      </c>
      <c r="C109" s="38" t="s">
        <v>1757</v>
      </c>
      <c r="D109" s="53">
        <f>'SCH B-2.1 B'!D106</f>
        <v>13321798.33</v>
      </c>
      <c r="E109" s="53">
        <f>SUMIFS('PIS B'!$V$11:$V$338,'PIS B'!$B$11:$B$338,'SCH B-3 B'!$B109)</f>
        <v>-4117230.3011969998</v>
      </c>
      <c r="F109" s="99">
        <f t="shared" si="30"/>
        <v>0.90713801513087167</v>
      </c>
      <c r="G109" s="53">
        <f t="shared" si="28"/>
        <v>-3734896.1232645274</v>
      </c>
      <c r="H109" s="53">
        <f>SUMIFS('SCH B-3.1'!$F$12:$F$26,'SCH B-3.1'!$B$12:$B$26,'SCH B-3 B'!$B109)</f>
        <v>0</v>
      </c>
      <c r="I109" s="53">
        <f t="shared" si="29"/>
        <v>-3734896.1232645274</v>
      </c>
    </row>
    <row r="110" spans="1:9" ht="18.95" customHeight="1">
      <c r="A110" s="30">
        <f t="shared" si="27"/>
        <v>68</v>
      </c>
      <c r="B110" s="31" t="s">
        <v>1758</v>
      </c>
      <c r="C110" s="38" t="s">
        <v>1759</v>
      </c>
      <c r="D110" s="53">
        <f>'SCH B-2.1 B'!D107</f>
        <v>0</v>
      </c>
      <c r="E110" s="53">
        <f>SUMIFS('PIS B'!$V$11:$V$338,'PIS B'!$B$11:$B$338,'SCH B-3 B'!$B110)</f>
        <v>0</v>
      </c>
      <c r="F110" s="99">
        <f t="shared" si="30"/>
        <v>0.90713801513087167</v>
      </c>
      <c r="G110" s="53">
        <f t="shared" si="28"/>
        <v>0</v>
      </c>
      <c r="H110" s="53">
        <f>SUMIFS('SCH B-3.1'!$F$12:$F$26,'SCH B-3.1'!$B$12:$B$26,'SCH B-3 B'!$B110)</f>
        <v>0</v>
      </c>
      <c r="I110" s="53">
        <f t="shared" si="29"/>
        <v>0</v>
      </c>
    </row>
    <row r="111" spans="1:9" ht="18.95" customHeight="1">
      <c r="A111" s="30">
        <f t="shared" si="27"/>
        <v>69</v>
      </c>
      <c r="B111" s="31" t="s">
        <v>1760</v>
      </c>
      <c r="C111" s="38" t="s">
        <v>1761</v>
      </c>
      <c r="D111" s="53">
        <f>'SCH B-2.1 B'!D108</f>
        <v>2370876.7599999998</v>
      </c>
      <c r="E111" s="53">
        <f>SUMIFS('PIS B'!$V$11:$V$338,'PIS B'!$B$11:$B$338,'SCH B-3 B'!$B111)</f>
        <v>-976112.56200999906</v>
      </c>
      <c r="F111" s="99">
        <f t="shared" si="30"/>
        <v>0.90713801513087167</v>
      </c>
      <c r="G111" s="53">
        <f t="shared" si="28"/>
        <v>-885468.81204606046</v>
      </c>
      <c r="H111" s="53">
        <f>SUMIFS('SCH B-3.1'!$F$12:$F$26,'SCH B-3.1'!$B$12:$B$26,'SCH B-3 B'!$B111)</f>
        <v>0</v>
      </c>
      <c r="I111" s="53">
        <f t="shared" si="29"/>
        <v>-885468.81204606046</v>
      </c>
    </row>
    <row r="112" spans="1:9" ht="18.95" customHeight="1">
      <c r="A112" s="30">
        <f t="shared" si="27"/>
        <v>70</v>
      </c>
      <c r="B112" s="31" t="s">
        <v>1762</v>
      </c>
      <c r="C112" s="38" t="s">
        <v>160</v>
      </c>
      <c r="D112" s="53">
        <f>'SCH B-2.1 B'!D109</f>
        <v>55971611.170000002</v>
      </c>
      <c r="E112" s="53">
        <f>SUMIFS('PIS B'!$V$11:$V$338,'PIS B'!$B$11:$B$338,'SCH B-3 B'!$B112)</f>
        <v>-20320130.912189998</v>
      </c>
      <c r="F112" s="99">
        <f t="shared" si="30"/>
        <v>0.90713801513087167</v>
      </c>
      <c r="G112" s="53">
        <f t="shared" si="28"/>
        <v>-18433163.222883504</v>
      </c>
      <c r="H112" s="53">
        <f>SUMIFS('SCH B-3.1'!$F$12:$F$26,'SCH B-3.1'!$B$12:$B$26,'SCH B-3 B'!$B112)</f>
        <v>981867.29705200007</v>
      </c>
      <c r="I112" s="53">
        <f t="shared" si="29"/>
        <v>-17451295.925831504</v>
      </c>
    </row>
    <row r="113" spans="1:16" ht="18.95" customHeight="1">
      <c r="A113" s="30">
        <f t="shared" si="27"/>
        <v>71</v>
      </c>
      <c r="B113" s="31" t="s">
        <v>1763</v>
      </c>
      <c r="C113" s="38" t="s">
        <v>1764</v>
      </c>
      <c r="D113" s="54">
        <f>'SCH B-2.1 B'!D110</f>
        <v>0</v>
      </c>
      <c r="E113" s="54">
        <f>SUMIFS('PIS B'!$V$11:$V$338,'PIS B'!$B$11:$B$338,'SCH B-3 B'!$B113)</f>
        <v>0</v>
      </c>
      <c r="F113" s="99">
        <f t="shared" si="30"/>
        <v>0.90713801513087167</v>
      </c>
      <c r="G113" s="54">
        <f t="shared" si="28"/>
        <v>0</v>
      </c>
      <c r="H113" s="54">
        <f>SUMIFS('SCH B-3.1'!$F$12:$F$26,'SCH B-3.1'!$B$12:$B$26,'SCH B-3 B'!$B113)</f>
        <v>0</v>
      </c>
      <c r="I113" s="54">
        <f t="shared" si="29"/>
        <v>0</v>
      </c>
    </row>
    <row r="114" spans="1:16" ht="18.95" customHeight="1">
      <c r="A114" s="30">
        <f t="shared" si="27"/>
        <v>72</v>
      </c>
      <c r="B114" s="31"/>
      <c r="C114" s="38" t="s">
        <v>161</v>
      </c>
      <c r="D114" s="51">
        <f>SUM(D104:D113)</f>
        <v>190670994.46999997</v>
      </c>
      <c r="E114" s="51">
        <f t="shared" ref="E114:I114" si="31">SUM(E104:E113)</f>
        <v>-63819054.448678993</v>
      </c>
      <c r="F114" s="51"/>
      <c r="G114" s="51">
        <f t="shared" si="31"/>
        <v>-57892690.380103707</v>
      </c>
      <c r="H114" s="51">
        <f t="shared" si="31"/>
        <v>1014925.6678175336</v>
      </c>
      <c r="I114" s="51">
        <f t="shared" si="31"/>
        <v>-56877764.712286167</v>
      </c>
      <c r="L114" s="101">
        <f>'JURISSEP B'!G272</f>
        <v>57892690.380103685</v>
      </c>
      <c r="M114" s="101"/>
      <c r="N114" s="101">
        <f>SUM(L114:M114)</f>
        <v>57892690.380103685</v>
      </c>
      <c r="O114" s="101">
        <f>-E114+M114</f>
        <v>63819054.448678993</v>
      </c>
      <c r="P114" s="102">
        <f>N114/O114</f>
        <v>0.90713801513087167</v>
      </c>
    </row>
    <row r="115" spans="1:16" ht="18.95" customHeight="1">
      <c r="A115" s="30"/>
      <c r="B115" s="31"/>
    </row>
    <row r="116" spans="1:16" ht="18.95" customHeight="1" thickBot="1">
      <c r="A116" s="30">
        <f>A114+1</f>
        <v>73</v>
      </c>
      <c r="B116" s="31"/>
      <c r="C116" s="28" t="s">
        <v>1217</v>
      </c>
      <c r="D116" s="59">
        <f>SUM(D17,D28,D39,D62,D74,D90,D114)</f>
        <v>9282639661.7299938</v>
      </c>
      <c r="E116" s="59">
        <f>SUM(E17,E28,E39,E62,E74,E90,E114)</f>
        <v>-3083012494.1474018</v>
      </c>
      <c r="F116" s="51"/>
      <c r="G116" s="59">
        <f>SUM(G17,G28,G39,G62,G74,G90,G114)</f>
        <v>-2720167536.5356679</v>
      </c>
      <c r="H116" s="59">
        <f>SUM(H17,H28,H39,H62,H74,H90,H114)</f>
        <v>146480622.12651724</v>
      </c>
      <c r="I116" s="59">
        <f>SUM(I17,I28,I39,I62,I74,I90,I114)</f>
        <v>-2573686914.4091501</v>
      </c>
    </row>
    <row r="117" spans="1:16" ht="18.95" customHeight="1" thickTop="1">
      <c r="B117" s="31"/>
    </row>
    <row r="118" spans="1:16" ht="18.95" customHeight="1">
      <c r="B118" s="31"/>
      <c r="D118" s="51"/>
    </row>
    <row r="119" spans="1:16" ht="18.95" customHeight="1">
      <c r="B119" s="31"/>
      <c r="C119" s="38"/>
      <c r="E119" s="58"/>
    </row>
    <row r="120" spans="1:16" ht="18.95" customHeight="1">
      <c r="B120" s="31"/>
    </row>
    <row r="121" spans="1:16" ht="18.95" customHeight="1">
      <c r="B121" s="31"/>
    </row>
    <row r="122" spans="1:16" ht="18.95" customHeight="1">
      <c r="D122" s="29" t="s">
        <v>163</v>
      </c>
    </row>
    <row r="123" spans="1:16" ht="18.95" customHeight="1"/>
    <row r="124" spans="1:16" ht="18.95" customHeight="1"/>
    <row r="125" spans="1:16" ht="18.95" customHeight="1"/>
    <row r="126" spans="1:16" ht="18.95" customHeight="1"/>
    <row r="127" spans="1:16" ht="18.95" customHeight="1"/>
    <row r="128" spans="1:16" ht="18.95" customHeight="1"/>
    <row r="129" ht="18.95" customHeight="1"/>
    <row r="130" ht="18.95" customHeight="1"/>
    <row r="131" ht="18.95" customHeight="1"/>
    <row r="132" ht="18.95" customHeight="1"/>
    <row r="133" ht="18.95" customHeight="1"/>
    <row r="134" ht="18.95" customHeight="1"/>
  </sheetData>
  <mergeCells count="15">
    <mergeCell ref="E100:I100"/>
    <mergeCell ref="A94:I94"/>
    <mergeCell ref="A1:I1"/>
    <mergeCell ref="A2:I2"/>
    <mergeCell ref="A3:I3"/>
    <mergeCell ref="A4:I4"/>
    <mergeCell ref="A46:I46"/>
    <mergeCell ref="A47:I47"/>
    <mergeCell ref="E10:I10"/>
    <mergeCell ref="E55:I55"/>
    <mergeCell ref="A48:I48"/>
    <mergeCell ref="A49:I49"/>
    <mergeCell ref="A91:I91"/>
    <mergeCell ref="A92:I92"/>
    <mergeCell ref="A93:I93"/>
  </mergeCells>
  <pageMargins left="0.95" right="0.5" top="0.75" bottom="0.75" header="0.3" footer="0.3"/>
  <pageSetup scale="63" fitToHeight="0" orientation="portrait" r:id="rId1"/>
  <rowBreaks count="2" manualBreakCount="2">
    <brk id="45" max="16383" man="1"/>
    <brk id="90" max="9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P134"/>
  <sheetViews>
    <sheetView topLeftCell="B1" zoomScaleNormal="100" workbookViewId="0">
      <selection activeCell="D57" sqref="D57"/>
    </sheetView>
  </sheetViews>
  <sheetFormatPr defaultColWidth="9" defaultRowHeight="12.75"/>
  <cols>
    <col min="1" max="1" width="6" style="29" customWidth="1"/>
    <col min="2" max="2" width="7.6640625" style="29" customWidth="1"/>
    <col min="3" max="3" width="38.33203125" style="29" customWidth="1"/>
    <col min="4" max="4" width="13.6640625" style="29" customWidth="1"/>
    <col min="5" max="5" width="13.44140625" style="29" customWidth="1"/>
    <col min="6" max="6" width="13.6640625" style="29" customWidth="1"/>
    <col min="7" max="7" width="14.88671875" style="29" customWidth="1"/>
    <col min="8" max="9" width="13.6640625" style="29" customWidth="1"/>
    <col min="10" max="10" width="1.6640625" style="29" customWidth="1"/>
    <col min="11" max="11" width="14" style="29" customWidth="1"/>
    <col min="12" max="12" width="13.44140625" style="29" customWidth="1"/>
    <col min="13" max="13" width="10.44140625" style="29" customWidth="1"/>
    <col min="14" max="14" width="12.77734375" style="29" customWidth="1"/>
    <col min="15" max="15" width="13.33203125" style="29" customWidth="1"/>
    <col min="16" max="16384" width="9" style="29"/>
  </cols>
  <sheetData>
    <row r="1" spans="1:16" s="28" customFormat="1" ht="20.100000000000001" customHeight="1">
      <c r="A1" s="706" t="str">
        <f>'Rate Case Constants'!C9</f>
        <v>KENTUCKY UTILITIES COMPANY</v>
      </c>
      <c r="B1" s="706"/>
      <c r="C1" s="706"/>
      <c r="D1" s="706"/>
      <c r="E1" s="706"/>
      <c r="F1" s="706"/>
      <c r="G1" s="706"/>
      <c r="H1" s="706"/>
      <c r="I1" s="706"/>
    </row>
    <row r="2" spans="1:16" s="28" customFormat="1" ht="20.100000000000001" customHeight="1">
      <c r="A2" s="706" t="str">
        <f>'Rate Case Constants'!C10</f>
        <v>CASE NO. 2016-00370</v>
      </c>
      <c r="B2" s="706"/>
      <c r="C2" s="706"/>
      <c r="D2" s="706"/>
      <c r="E2" s="706"/>
      <c r="F2" s="706"/>
      <c r="G2" s="706"/>
      <c r="H2" s="706"/>
      <c r="I2" s="706"/>
    </row>
    <row r="3" spans="1:16" s="28" customFormat="1" ht="20.100000000000001" customHeight="1">
      <c r="A3" s="706" t="s">
        <v>1206</v>
      </c>
      <c r="B3" s="706"/>
      <c r="C3" s="706"/>
      <c r="D3" s="706"/>
      <c r="E3" s="706"/>
      <c r="F3" s="706"/>
      <c r="G3" s="706"/>
      <c r="H3" s="706"/>
      <c r="I3" s="706"/>
      <c r="J3" s="706"/>
    </row>
    <row r="4" spans="1:16" s="28" customFormat="1" ht="20.100000000000001" customHeight="1">
      <c r="A4" s="705" t="str">
        <f>'Rate Case Constants'!C18</f>
        <v>AS OF JUNE 30, 2018</v>
      </c>
      <c r="B4" s="706"/>
      <c r="C4" s="706"/>
      <c r="D4" s="706"/>
      <c r="E4" s="706"/>
      <c r="F4" s="706"/>
      <c r="G4" s="706"/>
      <c r="H4" s="706"/>
      <c r="I4" s="706"/>
    </row>
    <row r="5" spans="1:16" s="28" customFormat="1" ht="20.100000000000001" customHeight="1">
      <c r="A5" s="57"/>
      <c r="B5" s="57"/>
      <c r="C5" s="57"/>
      <c r="D5" s="57"/>
      <c r="E5" s="57"/>
      <c r="F5" s="57"/>
      <c r="G5" s="57"/>
      <c r="H5" s="57"/>
      <c r="I5" s="57"/>
    </row>
    <row r="6" spans="1:16" s="28" customFormat="1" ht="20.100000000000001" customHeight="1">
      <c r="A6" s="27" t="s">
        <v>164</v>
      </c>
      <c r="B6" s="27"/>
      <c r="H6" s="34"/>
      <c r="I6" s="34" t="s">
        <v>1205</v>
      </c>
    </row>
    <row r="7" spans="1:16" s="28" customFormat="1" ht="20.100000000000001" customHeight="1">
      <c r="A7" s="28" t="str">
        <f>'Rate Case Constants'!C29</f>
        <v>TYPE OF FILING: __X__ ORIGINAL  _____ UPDATED  _____ REVISED</v>
      </c>
      <c r="H7" s="34"/>
      <c r="I7" s="34" t="s">
        <v>171</v>
      </c>
    </row>
    <row r="8" spans="1:16" s="28" customFormat="1" ht="20.100000000000001" customHeight="1">
      <c r="A8" s="27" t="s">
        <v>1204</v>
      </c>
      <c r="B8" s="27"/>
      <c r="E8" s="27"/>
      <c r="G8" s="27"/>
      <c r="H8" s="35"/>
      <c r="I8" s="35" t="str">
        <f>'Rate Case Constants'!C36</f>
        <v>WITNESS:   C. M. GARRETT</v>
      </c>
    </row>
    <row r="9" spans="1:16" s="28" customFormat="1" ht="20.100000000000001" customHeight="1"/>
    <row r="10" spans="1:16" s="28" customFormat="1" ht="20.100000000000001" customHeight="1">
      <c r="A10" s="61"/>
      <c r="B10" s="61"/>
      <c r="C10" s="61"/>
      <c r="D10" s="61"/>
      <c r="E10" s="708" t="s">
        <v>1216</v>
      </c>
      <c r="F10" s="708"/>
      <c r="G10" s="708"/>
      <c r="H10" s="708"/>
      <c r="I10" s="708"/>
      <c r="L10" s="427" t="s">
        <v>2310</v>
      </c>
      <c r="M10" s="427"/>
      <c r="N10" s="427"/>
      <c r="O10" s="427"/>
      <c r="P10" s="427"/>
    </row>
    <row r="11" spans="1:16" ht="90" customHeight="1">
      <c r="A11" s="31" t="s">
        <v>134</v>
      </c>
      <c r="B11" s="31" t="s">
        <v>137</v>
      </c>
      <c r="C11" s="38" t="s">
        <v>138</v>
      </c>
      <c r="D11" s="31" t="s">
        <v>3366</v>
      </c>
      <c r="E11" s="31" t="s">
        <v>1208</v>
      </c>
      <c r="F11" s="31" t="s">
        <v>227</v>
      </c>
      <c r="G11" s="31" t="s">
        <v>228</v>
      </c>
      <c r="H11" s="31" t="s">
        <v>229</v>
      </c>
      <c r="I11" s="31" t="s">
        <v>230</v>
      </c>
      <c r="L11" s="31" t="s">
        <v>228</v>
      </c>
      <c r="M11" s="31" t="s">
        <v>229</v>
      </c>
      <c r="N11" s="31" t="s">
        <v>230</v>
      </c>
      <c r="O11" s="31" t="s">
        <v>1208</v>
      </c>
      <c r="P11" s="31" t="s">
        <v>227</v>
      </c>
    </row>
    <row r="12" spans="1:16" ht="23.1" customHeight="1">
      <c r="A12" s="40"/>
      <c r="B12" s="40"/>
      <c r="C12" s="41"/>
      <c r="D12" s="42" t="s">
        <v>145</v>
      </c>
      <c r="E12" s="42" t="s">
        <v>145</v>
      </c>
      <c r="F12" s="42"/>
      <c r="G12" s="42" t="s">
        <v>145</v>
      </c>
      <c r="H12" s="42" t="s">
        <v>145</v>
      </c>
      <c r="I12" s="42" t="s">
        <v>145</v>
      </c>
      <c r="L12" s="42" t="s">
        <v>145</v>
      </c>
      <c r="M12" s="42" t="s">
        <v>145</v>
      </c>
      <c r="N12" s="42" t="s">
        <v>145</v>
      </c>
      <c r="O12" s="42" t="s">
        <v>145</v>
      </c>
      <c r="P12" s="42"/>
    </row>
    <row r="13" spans="1:16" ht="23.1" customHeight="1">
      <c r="A13" s="33">
        <v>1</v>
      </c>
      <c r="B13" s="33"/>
      <c r="C13" s="45" t="s">
        <v>58</v>
      </c>
      <c r="D13" s="37"/>
      <c r="E13" s="37"/>
      <c r="F13" s="37"/>
      <c r="G13" s="37"/>
      <c r="H13" s="37"/>
      <c r="I13" s="37"/>
    </row>
    <row r="14" spans="1:16" ht="18.95" customHeight="1">
      <c r="A14" s="30">
        <f>A13+1</f>
        <v>2</v>
      </c>
      <c r="B14" s="31" t="s">
        <v>1673</v>
      </c>
      <c r="C14" s="38" t="s">
        <v>1674</v>
      </c>
      <c r="D14" s="51">
        <f>'SCH B-2.1 F'!D13</f>
        <v>44455.580000000009</v>
      </c>
      <c r="E14" s="51">
        <f>SUMIFS('PIS F'!$X$11:$X$344,'PIS F'!$B$11:$B$344,'SCH B-3 F'!$B14)</f>
        <v>0</v>
      </c>
      <c r="F14" s="95">
        <f>$P$17</f>
        <v>0.88836656691270399</v>
      </c>
      <c r="G14" s="51">
        <f>E14*F14</f>
        <v>0</v>
      </c>
      <c r="H14" s="51">
        <f>SUMIFS('SCH B-3.1'!$F$41:$F$55,'SCH B-3.1'!$B$41:$B$55,'SCH B-3 F'!$B14)</f>
        <v>0</v>
      </c>
      <c r="I14" s="51">
        <f t="shared" ref="I14:I15" si="0">SUM(G14:H14)</f>
        <v>0</v>
      </c>
    </row>
    <row r="15" spans="1:16" ht="18.95" customHeight="1">
      <c r="A15" s="30">
        <f t="shared" ref="A15:A79" si="1">A14+1</f>
        <v>3</v>
      </c>
      <c r="B15" s="31" t="s">
        <v>1675</v>
      </c>
      <c r="C15" s="38" t="s">
        <v>1676</v>
      </c>
      <c r="D15" s="51">
        <f>'SCH B-2.1 F'!D14</f>
        <v>55918.829999999994</v>
      </c>
      <c r="E15" s="51">
        <f>SUMIFS('PIS F'!$X$11:$X$344,'PIS F'!$B$11:$B$344,'SCH B-3 F'!$B15)</f>
        <v>-69345.493659800006</v>
      </c>
      <c r="F15" s="95">
        <f>'SCH B-2.1 F'!E14</f>
        <v>1</v>
      </c>
      <c r="G15" s="53">
        <f t="shared" ref="G15:G16" si="2">E15*F15</f>
        <v>-69345.493659800006</v>
      </c>
      <c r="H15" s="52">
        <f>SUMIFS('SCH B-3.1'!$F$41:$F$55,'SCH B-3.1'!$B$41:$B$55,'SCH B-3 F'!$B15)</f>
        <v>0</v>
      </c>
      <c r="I15" s="53">
        <f t="shared" si="0"/>
        <v>-69345.493659800006</v>
      </c>
    </row>
    <row r="16" spans="1:16" ht="18.95" customHeight="1">
      <c r="A16" s="30">
        <f t="shared" si="1"/>
        <v>4</v>
      </c>
      <c r="B16" s="31" t="s">
        <v>1677</v>
      </c>
      <c r="C16" s="38" t="s">
        <v>1678</v>
      </c>
      <c r="D16" s="54">
        <f>'SCH B-2.1 F'!D15</f>
        <v>115922918.55923072</v>
      </c>
      <c r="E16" s="54">
        <f>SUMIFS('PIS F'!$X$11:$X$344,'PIS F'!$B$11:$B$344,'SCH B-3 F'!$B16)</f>
        <v>-58427277.455853835</v>
      </c>
      <c r="F16" s="95">
        <f>$P$17</f>
        <v>0.88836656691270399</v>
      </c>
      <c r="G16" s="54">
        <f t="shared" si="2"/>
        <v>-51904839.8875129</v>
      </c>
      <c r="H16" s="54">
        <f>SUMIFS('SCH B-3.1'!$F$41:$F$55,'SCH B-3.1'!$B$41:$B$55,'SCH B-3 F'!$B16)</f>
        <v>0</v>
      </c>
      <c r="I16" s="54">
        <f>SUM(G16:H16)</f>
        <v>-51904839.8875129</v>
      </c>
    </row>
    <row r="17" spans="1:16" ht="18.95" customHeight="1">
      <c r="A17" s="30">
        <f t="shared" si="1"/>
        <v>5</v>
      </c>
      <c r="B17" s="30"/>
      <c r="C17" s="38" t="s">
        <v>146</v>
      </c>
      <c r="D17" s="51">
        <f>SUM(D14:D16)</f>
        <v>116023292.96923071</v>
      </c>
      <c r="E17" s="51">
        <f>SUM(E14:E16)</f>
        <v>-58496622.949513637</v>
      </c>
      <c r="F17" s="51"/>
      <c r="G17" s="51">
        <f>SUM(G14:G16)</f>
        <v>-51974185.381172702</v>
      </c>
      <c r="H17" s="51">
        <f>SUM(H14:H16)</f>
        <v>0</v>
      </c>
      <c r="I17" s="51">
        <f>SUM(I14:I16)</f>
        <v>-51974185.381172702</v>
      </c>
      <c r="L17" s="101">
        <f>'JURISSEP F'!G274+'JURISSEP F'!G275</f>
        <v>51974185.381172702</v>
      </c>
      <c r="M17" s="101">
        <f>G15</f>
        <v>-69345.493659800006</v>
      </c>
      <c r="N17" s="101">
        <f>SUM(L17:M17)</f>
        <v>51904839.8875129</v>
      </c>
      <c r="O17" s="101">
        <f>-E17+M17</f>
        <v>58427277.455853835</v>
      </c>
      <c r="P17" s="102">
        <f>N17/O17</f>
        <v>0.88836656691270399</v>
      </c>
    </row>
    <row r="18" spans="1:16" ht="18.95" customHeight="1">
      <c r="A18" s="30"/>
      <c r="B18" s="30"/>
      <c r="D18" s="32"/>
      <c r="E18" s="32"/>
      <c r="F18" s="32"/>
      <c r="G18" s="32"/>
      <c r="H18" s="32"/>
      <c r="I18" s="32"/>
    </row>
    <row r="19" spans="1:16" ht="18.95" customHeight="1">
      <c r="A19" s="30">
        <f>A17+1</f>
        <v>6</v>
      </c>
      <c r="B19" s="30"/>
      <c r="C19" s="55" t="s">
        <v>74</v>
      </c>
      <c r="D19" s="32"/>
      <c r="E19" s="32"/>
      <c r="F19" s="32"/>
      <c r="G19" s="32"/>
      <c r="H19" s="32"/>
      <c r="I19" s="32"/>
    </row>
    <row r="20" spans="1:16" ht="18.95" customHeight="1">
      <c r="A20" s="30">
        <f t="shared" si="1"/>
        <v>7</v>
      </c>
      <c r="B20" s="31" t="s">
        <v>1679</v>
      </c>
      <c r="C20" s="38" t="s">
        <v>157</v>
      </c>
      <c r="D20" s="53">
        <f>'SCH B-2.1 F'!D19</f>
        <v>24155712.52923071</v>
      </c>
      <c r="E20" s="53">
        <f>SUMIFS('PIS F'!$X$11:$X$344,'PIS F'!$B$11:$B$344,'SCH B-3 F'!$B20)</f>
        <v>0</v>
      </c>
      <c r="F20" s="99">
        <f t="shared" ref="F20:F27" si="3">$P$28</f>
        <v>0.86423513430708154</v>
      </c>
      <c r="G20" s="53">
        <f t="shared" ref="G20:G27" si="4">E20*F20</f>
        <v>0</v>
      </c>
      <c r="H20" s="53">
        <f>SUMIFS('SCH B-3.1'!$F$41:$F$55,'SCH B-3.1'!$B$41:$B$55,'SCH B-3 F'!$B20)</f>
        <v>0</v>
      </c>
      <c r="I20" s="53">
        <f t="shared" ref="I20:I27" si="5">SUM(G20:H20)</f>
        <v>0</v>
      </c>
    </row>
    <row r="21" spans="1:16" ht="18" customHeight="1">
      <c r="A21" s="30">
        <f t="shared" si="1"/>
        <v>8</v>
      </c>
      <c r="B21" s="31" t="s">
        <v>1680</v>
      </c>
      <c r="C21" s="38" t="s">
        <v>151</v>
      </c>
      <c r="D21" s="53">
        <f>'SCH B-2.1 F'!D20</f>
        <v>339581331.41923082</v>
      </c>
      <c r="E21" s="53">
        <f>SUMIFS('PIS F'!$X$11:$X$344,'PIS F'!$B$11:$B$344,'SCH B-3 F'!$B21)</f>
        <v>-181203408.80505088</v>
      </c>
      <c r="F21" s="99">
        <f t="shared" si="3"/>
        <v>0.86423513430708154</v>
      </c>
      <c r="G21" s="53">
        <f t="shared" si="4"/>
        <v>-156602352.34553415</v>
      </c>
      <c r="H21" s="53">
        <f>SUMIFS('SCH B-3.1'!$F$41:$F$55,'SCH B-3.1'!$B$41:$B$55,'SCH B-3 F'!$B21)</f>
        <v>522649.13991723501</v>
      </c>
      <c r="I21" s="53">
        <f t="shared" si="5"/>
        <v>-156079703.20561692</v>
      </c>
    </row>
    <row r="22" spans="1:16" ht="18.95" customHeight="1">
      <c r="A22" s="30">
        <f t="shared" si="1"/>
        <v>9</v>
      </c>
      <c r="B22" s="31" t="s">
        <v>1681</v>
      </c>
      <c r="C22" s="38" t="s">
        <v>1682</v>
      </c>
      <c r="D22" s="53">
        <f>'SCH B-2.1 F'!D21</f>
        <v>4015791237.7969227</v>
      </c>
      <c r="E22" s="53">
        <f>SUMIFS('PIS F'!$X$11:$X$344,'PIS F'!$B$11:$B$344,'SCH B-3 F'!$B22)</f>
        <v>-1180652619.5153666</v>
      </c>
      <c r="F22" s="99">
        <f t="shared" si="3"/>
        <v>0.86423513430708154</v>
      </c>
      <c r="G22" s="53">
        <f t="shared" si="4"/>
        <v>-1020361475.1968704</v>
      </c>
      <c r="H22" s="53">
        <f>SUMIFS('SCH B-3.1'!$F$41:$F$55,'SCH B-3.1'!$B$41:$B$55,'SCH B-3 F'!$B22)</f>
        <v>84024732.364086971</v>
      </c>
      <c r="I22" s="53">
        <f t="shared" si="5"/>
        <v>-936336742.83278346</v>
      </c>
    </row>
    <row r="23" spans="1:16" ht="18.95" customHeight="1">
      <c r="A23" s="30">
        <f>A21+1</f>
        <v>9</v>
      </c>
      <c r="B23" s="31">
        <v>313</v>
      </c>
      <c r="C23" s="38" t="s">
        <v>147</v>
      </c>
      <c r="D23" s="53">
        <f>'SCH B-2.1 F'!D22</f>
        <v>0</v>
      </c>
      <c r="E23" s="53">
        <f>SUMIFS('PIS F'!$X$11:$X$344,'PIS F'!$B$11:$B$344,'SCH B-3 F'!$B23)</f>
        <v>0</v>
      </c>
      <c r="F23" s="99">
        <f t="shared" si="3"/>
        <v>0.86423513430708154</v>
      </c>
      <c r="G23" s="53">
        <f t="shared" si="4"/>
        <v>0</v>
      </c>
      <c r="H23" s="53">
        <f>SUMIFS('SCH B-3.1'!$F$41:$F$55,'SCH B-3.1'!$B$41:$B$55,'SCH B-3 F'!$B23)</f>
        <v>0</v>
      </c>
      <c r="I23" s="53">
        <f t="shared" si="5"/>
        <v>0</v>
      </c>
    </row>
    <row r="24" spans="1:16" ht="18.95" customHeight="1">
      <c r="A24" s="30">
        <f>A22+1</f>
        <v>10</v>
      </c>
      <c r="B24" s="31" t="s">
        <v>1683</v>
      </c>
      <c r="C24" s="38" t="s">
        <v>1684</v>
      </c>
      <c r="D24" s="53">
        <f>'SCH B-2.1 F'!D23</f>
        <v>340427141.15230733</v>
      </c>
      <c r="E24" s="53">
        <f>SUMIFS('PIS F'!$X$11:$X$344,'PIS F'!$B$11:$B$344,'SCH B-3 F'!$B24)</f>
        <v>-172963292.02282017</v>
      </c>
      <c r="F24" s="99">
        <f t="shared" si="3"/>
        <v>0.86423513430708154</v>
      </c>
      <c r="G24" s="53">
        <f t="shared" si="4"/>
        <v>-149480953.91153696</v>
      </c>
      <c r="H24" s="53">
        <f>SUMIFS('SCH B-3.1'!$F$41:$F$55,'SCH B-3.1'!$B$41:$B$55,'SCH B-3 F'!$B24)</f>
        <v>0</v>
      </c>
      <c r="I24" s="53">
        <f t="shared" si="5"/>
        <v>-149480953.91153696</v>
      </c>
    </row>
    <row r="25" spans="1:16" ht="18.95" customHeight="1">
      <c r="A25" s="30">
        <f t="shared" si="1"/>
        <v>11</v>
      </c>
      <c r="B25" s="31" t="s">
        <v>1685</v>
      </c>
      <c r="C25" s="38" t="s">
        <v>1686</v>
      </c>
      <c r="D25" s="53">
        <f>'SCH B-2.1 F'!D24</f>
        <v>226547404.54999989</v>
      </c>
      <c r="E25" s="53">
        <f>SUMIFS('PIS F'!$X$11:$X$344,'PIS F'!$B$11:$B$344,'SCH B-3 F'!$B25)</f>
        <v>-110134337.91651787</v>
      </c>
      <c r="F25" s="99">
        <f t="shared" si="3"/>
        <v>0.86423513430708154</v>
      </c>
      <c r="G25" s="53">
        <f t="shared" si="4"/>
        <v>-95181964.32110332</v>
      </c>
      <c r="H25" s="53">
        <f>SUMIFS('SCH B-3.1'!$F$41:$F$55,'SCH B-3.1'!$B$41:$B$55,'SCH B-3 F'!$B25)</f>
        <v>328785.57126727019</v>
      </c>
      <c r="I25" s="53">
        <f t="shared" si="5"/>
        <v>-94853178.749836043</v>
      </c>
    </row>
    <row r="26" spans="1:16" ht="18.95" customHeight="1">
      <c r="A26" s="30">
        <f t="shared" si="1"/>
        <v>12</v>
      </c>
      <c r="B26" s="31" t="s">
        <v>1687</v>
      </c>
      <c r="C26" s="38" t="s">
        <v>1688</v>
      </c>
      <c r="D26" s="53">
        <f>'SCH B-2.1 F'!D25</f>
        <v>40745530.769999906</v>
      </c>
      <c r="E26" s="53">
        <f>SUMIFS('PIS F'!$X$11:$X$344,'PIS F'!$B$11:$B$344,'SCH B-3 F'!$B26)</f>
        <v>-17126010.864175368</v>
      </c>
      <c r="F26" s="99">
        <f t="shared" si="3"/>
        <v>0.86423513430708154</v>
      </c>
      <c r="G26" s="53">
        <f t="shared" si="4"/>
        <v>-14800900.299345138</v>
      </c>
      <c r="H26" s="53">
        <f>SUMIFS('SCH B-3.1'!$F$41:$F$55,'SCH B-3.1'!$B$41:$B$55,'SCH B-3 F'!$B26)</f>
        <v>24465.591207775247</v>
      </c>
      <c r="I26" s="53">
        <f t="shared" si="5"/>
        <v>-14776434.708137363</v>
      </c>
    </row>
    <row r="27" spans="1:16" ht="18.95" customHeight="1">
      <c r="A27" s="30">
        <f t="shared" si="1"/>
        <v>13</v>
      </c>
      <c r="B27" s="31" t="s">
        <v>1689</v>
      </c>
      <c r="C27" s="38" t="s">
        <v>1708</v>
      </c>
      <c r="D27" s="54">
        <f>'SCH B-2.1 F'!D26</f>
        <v>331002428.3300001</v>
      </c>
      <c r="E27" s="54">
        <f>SUMIFS('PIS F'!$X$11:$X$344,'PIS F'!$B$11:$B$344,'SCH B-3 F'!$B27)</f>
        <v>-144994287.23000002</v>
      </c>
      <c r="F27" s="99">
        <f t="shared" si="3"/>
        <v>0.86423513430708154</v>
      </c>
      <c r="G27" s="54">
        <f t="shared" si="4"/>
        <v>-125309157.29797862</v>
      </c>
      <c r="H27" s="54">
        <f>SUMIFS('SCH B-3.1'!$F$41:$F$55,'SCH B-3.1'!$B$41:$B$55,'SCH B-3 F'!$B27)</f>
        <v>125309157.29797862</v>
      </c>
      <c r="I27" s="54">
        <f t="shared" si="5"/>
        <v>0</v>
      </c>
    </row>
    <row r="28" spans="1:16" ht="18.95" customHeight="1">
      <c r="A28" s="30">
        <f t="shared" si="1"/>
        <v>14</v>
      </c>
      <c r="C28" s="38" t="s">
        <v>149</v>
      </c>
      <c r="D28" s="51">
        <f>SUM(D20:D27)</f>
        <v>5318250786.5476913</v>
      </c>
      <c r="E28" s="51">
        <f>SUM(E20:E27)</f>
        <v>-1807073956.353931</v>
      </c>
      <c r="F28" s="95"/>
      <c r="G28" s="51">
        <f>SUM(G20:G27)</f>
        <v>-1561736803.3723688</v>
      </c>
      <c r="H28" s="51">
        <f>SUM(H20:H27)</f>
        <v>210209789.96445787</v>
      </c>
      <c r="I28" s="51">
        <f>SUM(I20:I27)</f>
        <v>-1351527013.4079106</v>
      </c>
      <c r="L28" s="101">
        <f>'JURISSEP F'!G245</f>
        <v>1561736803.3723688</v>
      </c>
      <c r="M28" s="101"/>
      <c r="N28" s="101">
        <f>SUM(L28:M28)</f>
        <v>1561736803.3723688</v>
      </c>
      <c r="O28" s="101">
        <f>-E28+M28</f>
        <v>1807073956.353931</v>
      </c>
      <c r="P28" s="102">
        <f>N28/O28</f>
        <v>0.86423513430708154</v>
      </c>
    </row>
    <row r="29" spans="1:16" ht="18.95" customHeight="1">
      <c r="A29" s="30"/>
      <c r="C29" s="38"/>
    </row>
    <row r="30" spans="1:16" ht="18.95" customHeight="1">
      <c r="A30" s="30">
        <f>A28+1</f>
        <v>15</v>
      </c>
      <c r="C30" s="55" t="s">
        <v>49</v>
      </c>
    </row>
    <row r="31" spans="1:16" ht="18.95" customHeight="1">
      <c r="A31" s="30">
        <f t="shared" si="1"/>
        <v>16</v>
      </c>
      <c r="B31" s="31" t="s">
        <v>1690</v>
      </c>
      <c r="C31" s="38" t="s">
        <v>157</v>
      </c>
      <c r="D31" s="53">
        <f>'SCH B-2.1 F'!D30</f>
        <v>879311.47</v>
      </c>
      <c r="E31" s="53">
        <f>SUMIFS('PIS F'!$X$11:$X$344,'PIS F'!$B$11:$B$344,'SCH B-3 F'!$B31)</f>
        <v>-912332.59999999986</v>
      </c>
      <c r="F31" s="99">
        <f t="shared" ref="F31:F38" si="6">$P$39</f>
        <v>0.87452003111448595</v>
      </c>
      <c r="G31" s="53">
        <f t="shared" ref="G31:G38" si="7">E31*F31</f>
        <v>-797853.13373875979</v>
      </c>
      <c r="H31" s="53">
        <f>SUMIFS('SCH B-3.1'!$F$41:$F$55,'SCH B-3.1'!$B$41:$B$55,'SCH B-3 F'!$B31)</f>
        <v>0</v>
      </c>
      <c r="I31" s="53">
        <f t="shared" ref="I31:I38" si="8">SUM(G31:H31)</f>
        <v>-797853.13373875979</v>
      </c>
    </row>
    <row r="32" spans="1:16" ht="18.95" customHeight="1">
      <c r="A32" s="30">
        <f t="shared" si="1"/>
        <v>17</v>
      </c>
      <c r="B32" s="31" t="s">
        <v>1691</v>
      </c>
      <c r="C32" s="38" t="s">
        <v>151</v>
      </c>
      <c r="D32" s="53">
        <f>'SCH B-2.1 F'!D31</f>
        <v>2930163.9299999997</v>
      </c>
      <c r="E32" s="53">
        <f>SUMIFS('PIS F'!$X$11:$X$344,'PIS F'!$B$11:$B$344,'SCH B-3 F'!$B32)</f>
        <v>-351394.22579180001</v>
      </c>
      <c r="F32" s="99">
        <f t="shared" si="6"/>
        <v>0.87452003111448595</v>
      </c>
      <c r="G32" s="53">
        <f t="shared" si="7"/>
        <v>-307301.28927289566</v>
      </c>
      <c r="H32" s="53">
        <f>SUMIFS('SCH B-3.1'!$F$41:$F$55,'SCH B-3.1'!$B$41:$B$55,'SCH B-3 F'!$B32)</f>
        <v>0</v>
      </c>
      <c r="I32" s="53">
        <f t="shared" si="8"/>
        <v>-307301.28927289566</v>
      </c>
    </row>
    <row r="33" spans="1:16" ht="18.95" customHeight="1">
      <c r="A33" s="30">
        <f t="shared" si="1"/>
        <v>18</v>
      </c>
      <c r="B33" s="31" t="s">
        <v>1692</v>
      </c>
      <c r="C33" s="38" t="s">
        <v>1693</v>
      </c>
      <c r="D33" s="53">
        <f>'SCH B-2.1 F'!D32</f>
        <v>21885646.369999994</v>
      </c>
      <c r="E33" s="53">
        <f>SUMIFS('PIS F'!$X$11:$X$344,'PIS F'!$B$11:$B$344,'SCH B-3 F'!$B33)</f>
        <v>-9316374.1134559866</v>
      </c>
      <c r="F33" s="99">
        <f t="shared" si="6"/>
        <v>0.87452003111448595</v>
      </c>
      <c r="G33" s="53">
        <f t="shared" si="7"/>
        <v>-8147355.7795737209</v>
      </c>
      <c r="H33" s="53">
        <f>SUMIFS('SCH B-3.1'!$F$41:$F$55,'SCH B-3.1'!$B$41:$B$55,'SCH B-3 F'!$B33)</f>
        <v>0</v>
      </c>
      <c r="I33" s="53">
        <f t="shared" si="8"/>
        <v>-8147355.7795737209</v>
      </c>
    </row>
    <row r="34" spans="1:16" ht="18.95" customHeight="1">
      <c r="A34" s="30">
        <f t="shared" si="1"/>
        <v>19</v>
      </c>
      <c r="B34" s="31" t="s">
        <v>1694</v>
      </c>
      <c r="C34" s="38" t="s">
        <v>1695</v>
      </c>
      <c r="D34" s="53">
        <f>'SCH B-2.1 F'!D33</f>
        <v>14046741.58</v>
      </c>
      <c r="E34" s="53">
        <f>SUMIFS('PIS F'!$X$11:$X$344,'PIS F'!$B$11:$B$344,'SCH B-3 F'!$B34)</f>
        <v>-1847208.0406991963</v>
      </c>
      <c r="F34" s="99">
        <f t="shared" si="6"/>
        <v>0.87452003111448595</v>
      </c>
      <c r="G34" s="53">
        <f t="shared" si="7"/>
        <v>-1615420.4332271898</v>
      </c>
      <c r="H34" s="53">
        <f>SUMIFS('SCH B-3.1'!$F$41:$F$55,'SCH B-3.1'!$B$41:$B$55,'SCH B-3 F'!$B34)</f>
        <v>0</v>
      </c>
      <c r="I34" s="53">
        <f t="shared" si="8"/>
        <v>-1615420.4332271898</v>
      </c>
    </row>
    <row r="35" spans="1:16" ht="18.95" customHeight="1">
      <c r="A35" s="30">
        <f t="shared" si="1"/>
        <v>20</v>
      </c>
      <c r="B35" s="31" t="s">
        <v>1696</v>
      </c>
      <c r="C35" s="38" t="s">
        <v>1686</v>
      </c>
      <c r="D35" s="53">
        <f>'SCH B-2.1 F'!D34</f>
        <v>1362584.7900000003</v>
      </c>
      <c r="E35" s="53">
        <f>SUMIFS('PIS F'!$X$11:$X$344,'PIS F'!$B$11:$B$344,'SCH B-3 F'!$B35)</f>
        <v>-318051.93535780004</v>
      </c>
      <c r="F35" s="99">
        <f t="shared" si="6"/>
        <v>0.87452003111448595</v>
      </c>
      <c r="G35" s="53">
        <f t="shared" si="7"/>
        <v>-278142.78840512579</v>
      </c>
      <c r="H35" s="53">
        <f>SUMIFS('SCH B-3.1'!$F$41:$F$55,'SCH B-3.1'!$B$41:$B$55,'SCH B-3 F'!$B35)</f>
        <v>0</v>
      </c>
      <c r="I35" s="53">
        <f t="shared" si="8"/>
        <v>-278142.78840512579</v>
      </c>
    </row>
    <row r="36" spans="1:16" ht="18.95" customHeight="1">
      <c r="A36" s="30">
        <f t="shared" si="1"/>
        <v>21</v>
      </c>
      <c r="B36" s="31" t="s">
        <v>1697</v>
      </c>
      <c r="C36" s="38" t="s">
        <v>1698</v>
      </c>
      <c r="D36" s="53">
        <f>'SCH B-2.1 F'!D35</f>
        <v>316946.73999999993</v>
      </c>
      <c r="E36" s="53">
        <f>SUMIFS('PIS F'!$X$11:$X$344,'PIS F'!$B$11:$B$344,'SCH B-3 F'!$B36)</f>
        <v>-143339.59472051924</v>
      </c>
      <c r="F36" s="99">
        <f t="shared" si="6"/>
        <v>0.87452003111448595</v>
      </c>
      <c r="G36" s="53">
        <f t="shared" si="7"/>
        <v>-125353.34683492628</v>
      </c>
      <c r="H36" s="53">
        <f>SUMIFS('SCH B-3.1'!$F$41:$F$55,'SCH B-3.1'!$B$41:$B$55,'SCH B-3 F'!$B36)</f>
        <v>0</v>
      </c>
      <c r="I36" s="53">
        <f t="shared" si="8"/>
        <v>-125353.34683492628</v>
      </c>
    </row>
    <row r="37" spans="1:16" ht="18.95" customHeight="1">
      <c r="A37" s="30">
        <f t="shared" si="1"/>
        <v>22</v>
      </c>
      <c r="B37" s="31" t="s">
        <v>1699</v>
      </c>
      <c r="C37" s="38" t="s">
        <v>1700</v>
      </c>
      <c r="D37" s="53">
        <f>'SCH B-2.1 F'!D36</f>
        <v>890278.36076923099</v>
      </c>
      <c r="E37" s="53">
        <f>SUMIFS('PIS F'!$X$11:$X$344,'PIS F'!$B$11:$B$344,'SCH B-3 F'!$B37)</f>
        <v>-98023.429487355388</v>
      </c>
      <c r="F37" s="99">
        <f t="shared" si="6"/>
        <v>0.87452003111448595</v>
      </c>
      <c r="G37" s="53">
        <f t="shared" si="7"/>
        <v>-85723.452605230661</v>
      </c>
      <c r="H37" s="53">
        <f>SUMIFS('SCH B-3.1'!$F$41:$F$55,'SCH B-3.1'!$B$41:$B$55,'SCH B-3 F'!$B37)</f>
        <v>0</v>
      </c>
      <c r="I37" s="53">
        <f t="shared" si="8"/>
        <v>-85723.452605230661</v>
      </c>
    </row>
    <row r="38" spans="1:16" ht="18.95" customHeight="1">
      <c r="A38" s="30">
        <f t="shared" si="1"/>
        <v>23</v>
      </c>
      <c r="B38" s="31" t="s">
        <v>1701</v>
      </c>
      <c r="C38" s="38" t="s">
        <v>1709</v>
      </c>
      <c r="D38" s="54">
        <f>'SCH B-2.1 F'!D37</f>
        <v>274310.53999999998</v>
      </c>
      <c r="E38" s="54">
        <f>SUMIFS('PIS F'!$X$11:$X$344,'PIS F'!$B$11:$B$344,'SCH B-3 F'!$B38)</f>
        <v>-38202.379999999997</v>
      </c>
      <c r="F38" s="99">
        <f t="shared" si="6"/>
        <v>0.87452003111448595</v>
      </c>
      <c r="G38" s="54">
        <f t="shared" si="7"/>
        <v>-33408.746546247414</v>
      </c>
      <c r="H38" s="54">
        <f>SUMIFS('SCH B-3.1'!$F$41:$F$55,'SCH B-3.1'!$B$41:$B$55,'SCH B-3 F'!$B38)</f>
        <v>33408.746546247414</v>
      </c>
      <c r="I38" s="54">
        <f t="shared" si="8"/>
        <v>0</v>
      </c>
    </row>
    <row r="39" spans="1:16" ht="18.95" customHeight="1">
      <c r="A39" s="30">
        <f t="shared" si="1"/>
        <v>24</v>
      </c>
      <c r="B39" s="31" t="s">
        <v>254</v>
      </c>
      <c r="C39" s="38" t="s">
        <v>150</v>
      </c>
      <c r="D39" s="51">
        <f>SUM(D31:D38)</f>
        <v>42585983.780769229</v>
      </c>
      <c r="E39" s="51">
        <f t="shared" ref="E39" si="9">SUM(E31:E38)</f>
        <v>-13024926.31951266</v>
      </c>
      <c r="F39" s="51"/>
      <c r="G39" s="51">
        <f t="shared" ref="G39:I39" si="10">SUM(G31:G38)</f>
        <v>-11390558.970204096</v>
      </c>
      <c r="H39" s="51">
        <f t="shared" si="10"/>
        <v>33408.746546247414</v>
      </c>
      <c r="I39" s="51">
        <f t="shared" si="10"/>
        <v>-11357150.223657848</v>
      </c>
      <c r="L39" s="101">
        <f>'JURISSEP F'!G251</f>
        <v>11390558.970204098</v>
      </c>
      <c r="M39" s="101"/>
      <c r="N39" s="101">
        <f>SUM(L39:M39)</f>
        <v>11390558.970204098</v>
      </c>
      <c r="O39" s="101">
        <f>-E39+M39</f>
        <v>13024926.31951266</v>
      </c>
      <c r="P39" s="102">
        <f>N39/O39</f>
        <v>0.87452003111448595</v>
      </c>
    </row>
    <row r="40" spans="1:16" ht="18.95" customHeight="1">
      <c r="A40" s="30"/>
      <c r="B40" s="31"/>
      <c r="C40" s="38"/>
      <c r="D40" s="51"/>
      <c r="E40" s="51"/>
      <c r="F40" s="51"/>
      <c r="G40" s="51"/>
      <c r="H40" s="51"/>
      <c r="I40" s="51"/>
    </row>
    <row r="41" spans="1:16" ht="18.95" customHeight="1">
      <c r="A41" s="30">
        <f>A39+1</f>
        <v>25</v>
      </c>
      <c r="C41" s="55" t="s">
        <v>63</v>
      </c>
    </row>
    <row r="42" spans="1:16" ht="18.95" customHeight="1">
      <c r="A42" s="30">
        <f t="shared" si="1"/>
        <v>26</v>
      </c>
      <c r="B42" s="31" t="s">
        <v>1702</v>
      </c>
      <c r="C42" s="38" t="s">
        <v>157</v>
      </c>
      <c r="D42" s="53">
        <f>'SCH B-2.1 F'!D41</f>
        <v>473578.5199999999</v>
      </c>
      <c r="E42" s="53">
        <f>SUMIFS('PIS F'!$X$11:$X$344,'PIS F'!$B$11:$B$344,'SCH B-3 F'!$B42)</f>
        <v>-122627.36263147999</v>
      </c>
      <c r="F42" s="99">
        <f t="shared" ref="F42:F45" si="11">$P$62</f>
        <v>0.87213685675315</v>
      </c>
      <c r="G42" s="53">
        <f t="shared" ref="G42:G45" si="12">E42*F42</f>
        <v>-106947.84259734764</v>
      </c>
      <c r="H42" s="53">
        <f>SUMIFS('SCH B-3.1'!$F$41:$F$55,'SCH B-3.1'!$B$41:$B$55,'SCH B-3 F'!$B42)</f>
        <v>0</v>
      </c>
      <c r="I42" s="53">
        <f t="shared" ref="I42:I45" si="13">SUM(G42:H42)</f>
        <v>-106947.84259734764</v>
      </c>
    </row>
    <row r="43" spans="1:16" ht="18.95" customHeight="1">
      <c r="A43" s="30">
        <f t="shared" si="1"/>
        <v>27</v>
      </c>
      <c r="B43" s="31" t="s">
        <v>1703</v>
      </c>
      <c r="C43" s="38" t="s">
        <v>151</v>
      </c>
      <c r="D43" s="53">
        <f>'SCH B-2.1 F'!D42</f>
        <v>85397942.236153856</v>
      </c>
      <c r="E43" s="53">
        <f>SUMIFS('PIS F'!$X$11:$X$344,'PIS F'!$B$11:$B$344,'SCH B-3 F'!$B43)</f>
        <v>-23606983.191572618</v>
      </c>
      <c r="F43" s="99">
        <f t="shared" si="11"/>
        <v>0.87213685675315</v>
      </c>
      <c r="G43" s="53">
        <f t="shared" si="12"/>
        <v>-20588520.118122589</v>
      </c>
      <c r="H43" s="53">
        <f>SUMIFS('SCH B-3.1'!$F$41:$F$55,'SCH B-3.1'!$B$41:$B$55,'SCH B-3 F'!$B43)</f>
        <v>0</v>
      </c>
      <c r="I43" s="53">
        <f t="shared" si="13"/>
        <v>-20588520.118122589</v>
      </c>
    </row>
    <row r="44" spans="1:16" ht="18.95" customHeight="1">
      <c r="A44" s="30">
        <f t="shared" si="1"/>
        <v>28</v>
      </c>
      <c r="B44" s="31" t="s">
        <v>1704</v>
      </c>
      <c r="C44" s="38" t="s">
        <v>1705</v>
      </c>
      <c r="D44" s="53">
        <f>'SCH B-2.1 F'!D43</f>
        <v>61751087.970000006</v>
      </c>
      <c r="E44" s="53">
        <f>SUMIFS('PIS F'!$X$11:$X$344,'PIS F'!$B$11:$B$344,'SCH B-3 F'!$B44)</f>
        <v>-19194611.610055577</v>
      </c>
      <c r="F44" s="99">
        <f t="shared" si="11"/>
        <v>0.87213685675315</v>
      </c>
      <c r="G44" s="53">
        <f t="shared" si="12"/>
        <v>-16740328.23619139</v>
      </c>
      <c r="H44" s="53">
        <f>SUMIFS('SCH B-3.1'!$F$41:$F$55,'SCH B-3.1'!$B$41:$B$55,'SCH B-3 F'!$B44)</f>
        <v>0</v>
      </c>
      <c r="I44" s="53">
        <f t="shared" si="13"/>
        <v>-16740328.23619139</v>
      </c>
    </row>
    <row r="45" spans="1:16" ht="18.95" customHeight="1">
      <c r="A45" s="30">
        <f t="shared" si="1"/>
        <v>29</v>
      </c>
      <c r="B45" s="31" t="s">
        <v>1706</v>
      </c>
      <c r="C45" s="38" t="s">
        <v>1707</v>
      </c>
      <c r="D45" s="53">
        <f>'SCH B-2.1 F'!D44</f>
        <v>656944962.10230768</v>
      </c>
      <c r="E45" s="53">
        <f>SUMIFS('PIS F'!$X$11:$X$344,'PIS F'!$B$11:$B$344,'SCH B-3 F'!$B45)</f>
        <v>-206383833.40896183</v>
      </c>
      <c r="F45" s="99">
        <f t="shared" si="11"/>
        <v>0.87213685675315</v>
      </c>
      <c r="G45" s="53">
        <f t="shared" si="12"/>
        <v>-179994947.75395772</v>
      </c>
      <c r="H45" s="53">
        <f>SUMIFS('SCH B-3.1'!$F$41:$F$55,'SCH B-3.1'!$B$41:$B$55,'SCH B-3 F'!$B45)</f>
        <v>0</v>
      </c>
      <c r="I45" s="53">
        <f t="shared" si="13"/>
        <v>-179994947.75395772</v>
      </c>
    </row>
    <row r="46" spans="1:16" s="28" customFormat="1" ht="20.100000000000001" customHeight="1">
      <c r="A46" s="706" t="str">
        <f>$A$1</f>
        <v>KENTUCKY UTILITIES COMPANY</v>
      </c>
      <c r="B46" s="706"/>
      <c r="C46" s="706"/>
      <c r="D46" s="706"/>
      <c r="E46" s="706"/>
      <c r="F46" s="706"/>
      <c r="G46" s="706"/>
      <c r="H46" s="706"/>
      <c r="I46" s="706"/>
    </row>
    <row r="47" spans="1:16" s="28" customFormat="1" ht="20.100000000000001" customHeight="1">
      <c r="A47" s="706" t="str">
        <f>$A$2</f>
        <v>CASE NO. 2016-00370</v>
      </c>
      <c r="B47" s="706"/>
      <c r="C47" s="706"/>
      <c r="D47" s="706"/>
      <c r="E47" s="706"/>
      <c r="F47" s="706"/>
      <c r="G47" s="706"/>
      <c r="H47" s="706"/>
      <c r="I47" s="706"/>
    </row>
    <row r="48" spans="1:16" s="28" customFormat="1" ht="20.100000000000001" customHeight="1">
      <c r="A48" s="706" t="str">
        <f>$A$3</f>
        <v>ACCUMULATED DEPRECIATION AND AMORTIZATION</v>
      </c>
      <c r="B48" s="706"/>
      <c r="C48" s="706"/>
      <c r="D48" s="706"/>
      <c r="E48" s="706"/>
      <c r="F48" s="706"/>
      <c r="G48" s="706"/>
      <c r="H48" s="706"/>
      <c r="I48" s="706"/>
    </row>
    <row r="49" spans="1:16" s="28" customFormat="1" ht="20.100000000000001" customHeight="1">
      <c r="A49" s="705" t="str">
        <f>$A$4</f>
        <v>AS OF JUNE 30, 2018</v>
      </c>
      <c r="B49" s="706"/>
      <c r="C49" s="706"/>
      <c r="D49" s="706"/>
      <c r="E49" s="706"/>
      <c r="F49" s="706"/>
      <c r="G49" s="706"/>
      <c r="H49" s="706"/>
      <c r="I49" s="706"/>
    </row>
    <row r="50" spans="1:16" s="28" customFormat="1" ht="20.100000000000001" customHeight="1">
      <c r="A50" s="57"/>
      <c r="B50" s="57"/>
      <c r="C50" s="57"/>
      <c r="D50" s="57"/>
      <c r="E50" s="57"/>
      <c r="F50" s="57"/>
      <c r="G50" s="57"/>
      <c r="H50" s="57"/>
      <c r="I50" s="57"/>
    </row>
    <row r="51" spans="1:16" s="28" customFormat="1" ht="20.100000000000001" customHeight="1">
      <c r="A51" s="27" t="str">
        <f>$A$6</f>
        <v>DATA:____BASE  PERIOD__X__FORECASTED  PERIOD</v>
      </c>
      <c r="B51" s="27"/>
      <c r="H51" s="34"/>
      <c r="I51" s="35" t="str">
        <f>$I$6</f>
        <v>SCHEDULE B-3</v>
      </c>
    </row>
    <row r="52" spans="1:16" s="28" customFormat="1" ht="20.100000000000001" customHeight="1">
      <c r="A52" s="27" t="str">
        <f>$A$7</f>
        <v>TYPE OF FILING: __X__ ORIGINAL  _____ UPDATED  _____ REVISED</v>
      </c>
      <c r="H52" s="34"/>
      <c r="I52" s="34" t="s">
        <v>172</v>
      </c>
    </row>
    <row r="53" spans="1:16" s="28" customFormat="1" ht="20.100000000000001" customHeight="1">
      <c r="A53" s="27" t="str">
        <f>$A$8</f>
        <v>WORKPAPER REFERENCE NO(S).:</v>
      </c>
      <c r="B53" s="27"/>
      <c r="E53" s="27"/>
      <c r="G53" s="27"/>
      <c r="H53" s="35"/>
      <c r="I53" s="35" t="str">
        <f>$I$8</f>
        <v>WITNESS:   C. M. GARRETT</v>
      </c>
    </row>
    <row r="54" spans="1:16" s="28" customFormat="1" ht="20.100000000000001" customHeight="1"/>
    <row r="55" spans="1:16" s="28" customFormat="1" ht="20.100000000000001" customHeight="1">
      <c r="A55" s="61"/>
      <c r="B55" s="61"/>
      <c r="C55" s="61"/>
      <c r="D55" s="61"/>
      <c r="E55" s="708" t="s">
        <v>1216</v>
      </c>
      <c r="F55" s="708"/>
      <c r="G55" s="708"/>
      <c r="H55" s="708"/>
      <c r="I55" s="708"/>
    </row>
    <row r="56" spans="1:16" ht="90" customHeight="1">
      <c r="A56" s="31" t="s">
        <v>134</v>
      </c>
      <c r="B56" s="31" t="s">
        <v>137</v>
      </c>
      <c r="C56" s="38" t="s">
        <v>138</v>
      </c>
      <c r="D56" s="31" t="s">
        <v>3366</v>
      </c>
      <c r="E56" s="31" t="s">
        <v>1208</v>
      </c>
      <c r="F56" s="31" t="s">
        <v>227</v>
      </c>
      <c r="G56" s="31" t="s">
        <v>228</v>
      </c>
      <c r="H56" s="31" t="s">
        <v>229</v>
      </c>
      <c r="I56" s="31" t="s">
        <v>230</v>
      </c>
    </row>
    <row r="57" spans="1:16" ht="23.1" customHeight="1">
      <c r="A57" s="40"/>
      <c r="B57" s="40"/>
      <c r="C57" s="41"/>
      <c r="D57" s="42" t="s">
        <v>145</v>
      </c>
      <c r="E57" s="42" t="s">
        <v>145</v>
      </c>
      <c r="F57" s="42"/>
      <c r="G57" s="42" t="s">
        <v>145</v>
      </c>
      <c r="H57" s="42" t="s">
        <v>145</v>
      </c>
      <c r="I57" s="42" t="s">
        <v>145</v>
      </c>
    </row>
    <row r="58" spans="1:16" ht="18.95" customHeight="1">
      <c r="A58" s="30">
        <f>A45+1</f>
        <v>30</v>
      </c>
      <c r="B58" s="31" t="s">
        <v>1710</v>
      </c>
      <c r="C58" s="38" t="s">
        <v>1711</v>
      </c>
      <c r="D58" s="53">
        <f>'SCH B-2.1 F'!D56</f>
        <v>131343465.90999991</v>
      </c>
      <c r="E58" s="53">
        <f>SUMIFS('PIS F'!$X$11:$X$344,'PIS F'!$B$11:$B$344,'SCH B-3 F'!$B58)</f>
        <v>-41765303.73846563</v>
      </c>
      <c r="F58" s="99">
        <f t="shared" ref="F58:F61" si="14">$P$62</f>
        <v>0.87213685675315</v>
      </c>
      <c r="G58" s="53">
        <f t="shared" ref="G58:G61" si="15">E58*F58</f>
        <v>-36425060.723806001</v>
      </c>
      <c r="H58" s="53">
        <f>SUMIFS('SCH B-3.1'!$F$41:$F$55,'SCH B-3.1'!$B$41:$B$55,'SCH B-3 F'!$B58)</f>
        <v>0</v>
      </c>
      <c r="I58" s="53">
        <f t="shared" ref="I58:I61" si="16">SUM(G58:H58)</f>
        <v>-36425060.723806001</v>
      </c>
    </row>
    <row r="59" spans="1:16" ht="18.95" customHeight="1">
      <c r="A59" s="30">
        <f t="shared" si="1"/>
        <v>31</v>
      </c>
      <c r="B59" s="31" t="s">
        <v>1712</v>
      </c>
      <c r="C59" s="38" t="s">
        <v>1686</v>
      </c>
      <c r="D59" s="53">
        <f>'SCH B-2.1 F'!D57</f>
        <v>75937065.126923069</v>
      </c>
      <c r="E59" s="53">
        <f>SUMIFS('PIS F'!$X$11:$X$344,'PIS F'!$B$11:$B$344,'SCH B-3 F'!$B59)</f>
        <v>-25763424.365430586</v>
      </c>
      <c r="F59" s="99">
        <f t="shared" si="14"/>
        <v>0.87213685675315</v>
      </c>
      <c r="G59" s="53">
        <f t="shared" si="15"/>
        <v>-22469231.945264149</v>
      </c>
      <c r="H59" s="53">
        <f>SUMIFS('SCH B-3.1'!$F$41:$F$55,'SCH B-3.1'!$B$41:$B$55,'SCH B-3 F'!$B59)</f>
        <v>0</v>
      </c>
      <c r="I59" s="53">
        <f t="shared" si="16"/>
        <v>-22469231.945264149</v>
      </c>
    </row>
    <row r="60" spans="1:16" ht="18.95" customHeight="1">
      <c r="A60" s="30">
        <f t="shared" si="1"/>
        <v>32</v>
      </c>
      <c r="B60" s="31" t="s">
        <v>1713</v>
      </c>
      <c r="C60" s="38" t="s">
        <v>1698</v>
      </c>
      <c r="D60" s="53">
        <f>'SCH B-2.1 F'!D58</f>
        <v>11867345.423076926</v>
      </c>
      <c r="E60" s="53">
        <f>SUMIFS('PIS F'!$X$11:$X$344,'PIS F'!$B$11:$B$344,'SCH B-3 F'!$B60)</f>
        <v>-3591694.631225979</v>
      </c>
      <c r="F60" s="99">
        <f t="shared" si="14"/>
        <v>0.87213685675315</v>
      </c>
      <c r="G60" s="53">
        <f t="shared" si="15"/>
        <v>-3132449.2660945896</v>
      </c>
      <c r="H60" s="53">
        <f>SUMIFS('SCH B-3.1'!$F$41:$F$55,'SCH B-3.1'!$B$41:$B$55,'SCH B-3 F'!$B60)</f>
        <v>0</v>
      </c>
      <c r="I60" s="53">
        <f t="shared" si="16"/>
        <v>-3132449.2660945896</v>
      </c>
    </row>
    <row r="61" spans="1:16" ht="18.95" customHeight="1">
      <c r="A61" s="30">
        <f t="shared" si="1"/>
        <v>33</v>
      </c>
      <c r="B61" s="31" t="s">
        <v>1714</v>
      </c>
      <c r="C61" s="38" t="s">
        <v>1749</v>
      </c>
      <c r="D61" s="54">
        <f>'SCH B-2.1 F'!D59</f>
        <v>403344.08999999991</v>
      </c>
      <c r="E61" s="54">
        <f>SUMIFS('PIS F'!$X$11:$X$344,'PIS F'!$B$11:$B$344,'SCH B-3 F'!$B61)</f>
        <v>-53798.019999999902</v>
      </c>
      <c r="F61" s="99">
        <f t="shared" si="14"/>
        <v>0.87213685675315</v>
      </c>
      <c r="G61" s="54">
        <f t="shared" si="15"/>
        <v>-46919.236062343014</v>
      </c>
      <c r="H61" s="54">
        <f>SUMIFS('SCH B-3.1'!$F$41:$F$55,'SCH B-3.1'!$B$41:$B$55,'SCH B-3 F'!$B61)</f>
        <v>46919.236062343014</v>
      </c>
      <c r="I61" s="54">
        <f t="shared" si="16"/>
        <v>0</v>
      </c>
    </row>
    <row r="62" spans="1:16" ht="18.95" customHeight="1">
      <c r="A62" s="30">
        <f t="shared" si="1"/>
        <v>34</v>
      </c>
      <c r="C62" s="38" t="s">
        <v>148</v>
      </c>
      <c r="D62" s="51">
        <f>SUM(D42:D45,D58:D61)</f>
        <v>1024118791.3784615</v>
      </c>
      <c r="E62" s="51">
        <f t="shared" ref="E62" si="17">SUM(E42:E45,E58:E61)</f>
        <v>-320482276.32834369</v>
      </c>
      <c r="F62" s="51"/>
      <c r="G62" s="51">
        <f t="shared" ref="G62:I62" si="18">SUM(G42:G45,G58:G61)</f>
        <v>-279504405.12209612</v>
      </c>
      <c r="H62" s="51">
        <f t="shared" si="18"/>
        <v>46919.236062343014</v>
      </c>
      <c r="I62" s="51">
        <f t="shared" si="18"/>
        <v>-279457485.88603377</v>
      </c>
      <c r="K62" s="101">
        <f>'JURISSEP F'!E257</f>
        <v>320482276.32834369</v>
      </c>
      <c r="L62" s="101">
        <f>'JURISSEP F'!G257</f>
        <v>279504405.12209612</v>
      </c>
      <c r="M62" s="101"/>
      <c r="N62" s="101">
        <f>SUM(L62:M62)</f>
        <v>279504405.12209612</v>
      </c>
      <c r="O62" s="101">
        <f>-E62+M62</f>
        <v>320482276.32834369</v>
      </c>
      <c r="P62" s="102">
        <f>N62/O62</f>
        <v>0.87213685675315</v>
      </c>
    </row>
    <row r="63" spans="1:16" ht="18.95" customHeight="1">
      <c r="A63" s="30"/>
    </row>
    <row r="64" spans="1:16" ht="18.95" customHeight="1">
      <c r="A64" s="30">
        <f>A62+1</f>
        <v>35</v>
      </c>
      <c r="C64" s="55" t="s">
        <v>86</v>
      </c>
    </row>
    <row r="65" spans="1:16" ht="18.95" customHeight="1">
      <c r="A65" s="30">
        <f t="shared" si="1"/>
        <v>36</v>
      </c>
      <c r="B65" s="31" t="s">
        <v>1715</v>
      </c>
      <c r="C65" s="38" t="s">
        <v>157</v>
      </c>
      <c r="D65" s="53">
        <f>'SCH B-2.1 F'!D63</f>
        <v>31789265.369999997</v>
      </c>
      <c r="E65" s="53">
        <f>SUMIFS('PIS F'!$X$11:$X$344,'PIS F'!$B$11:$B$344,'SCH B-3 F'!$B65)</f>
        <v>-17594380.142162897</v>
      </c>
      <c r="F65" s="99">
        <f>$P$74</f>
        <v>0.8739657826390137</v>
      </c>
      <c r="G65" s="53">
        <f t="shared" ref="G65:G73" si="19">E65*F65</f>
        <v>-15376886.210993716</v>
      </c>
      <c r="H65" s="53">
        <f>SUMIFS('SCH B-3.1'!$F$41:$F$55,'SCH B-3.1'!$B$41:$B$55,'SCH B-3 F'!$B65)</f>
        <v>0</v>
      </c>
      <c r="I65" s="53">
        <f t="shared" ref="I65:I73" si="20">SUM(G65:H65)</f>
        <v>-15376886.210993716</v>
      </c>
    </row>
    <row r="66" spans="1:16" ht="18.95" customHeight="1">
      <c r="A66" s="30">
        <f t="shared" si="1"/>
        <v>37</v>
      </c>
      <c r="B66" s="31" t="s">
        <v>1716</v>
      </c>
      <c r="C66" s="38" t="s">
        <v>151</v>
      </c>
      <c r="D66" s="53">
        <f>'SCH B-2.1 F'!D64</f>
        <v>28829721.41</v>
      </c>
      <c r="E66" s="53">
        <f>SUMIFS('PIS F'!$X$11:$X$344,'PIS F'!$B$11:$B$344,'SCH B-3 F'!$B66)</f>
        <v>-7615611.0501922956</v>
      </c>
      <c r="F66" s="99">
        <f t="shared" ref="F66:F73" si="21">$P$74</f>
        <v>0.8739657826390137</v>
      </c>
      <c r="G66" s="53">
        <f t="shared" si="19"/>
        <v>-6655783.4717556303</v>
      </c>
      <c r="H66" s="53">
        <f>SUMIFS('SCH B-3.1'!$F$41:$F$55,'SCH B-3.1'!$B$41:$B$55,'SCH B-3 F'!$B66)</f>
        <v>0</v>
      </c>
      <c r="I66" s="53">
        <f t="shared" si="20"/>
        <v>-6655783.4717556303</v>
      </c>
    </row>
    <row r="67" spans="1:16" ht="18.95" customHeight="1">
      <c r="A67" s="30">
        <f t="shared" si="1"/>
        <v>38</v>
      </c>
      <c r="B67" s="31" t="s">
        <v>1717</v>
      </c>
      <c r="C67" s="38" t="s">
        <v>152</v>
      </c>
      <c r="D67" s="53">
        <f>'SCH B-2.1 F'!D65</f>
        <v>314860882.96384615</v>
      </c>
      <c r="E67" s="53">
        <f>SUMIFS('PIS F'!$X$11:$X$344,'PIS F'!$B$11:$B$344,'SCH B-3 F'!$B67)</f>
        <v>-83342538.335217163</v>
      </c>
      <c r="F67" s="99">
        <f t="shared" si="21"/>
        <v>0.8739657826390137</v>
      </c>
      <c r="G67" s="53">
        <f t="shared" si="19"/>
        <v>-72838526.743260071</v>
      </c>
      <c r="H67" s="53">
        <f>SUMIFS('SCH B-3.1'!$F$41:$F$55,'SCH B-3.1'!$B$41:$B$55,'SCH B-3 F'!$B67)</f>
        <v>0</v>
      </c>
      <c r="I67" s="53">
        <f t="shared" si="20"/>
        <v>-72838526.743260071</v>
      </c>
    </row>
    <row r="68" spans="1:16" ht="18.95" customHeight="1">
      <c r="A68" s="30">
        <f t="shared" si="1"/>
        <v>39</v>
      </c>
      <c r="B68" s="31" t="s">
        <v>1718</v>
      </c>
      <c r="C68" s="38" t="s">
        <v>1719</v>
      </c>
      <c r="D68" s="53">
        <f>'SCH B-2.1 F'!D66</f>
        <v>76371012.639999986</v>
      </c>
      <c r="E68" s="53">
        <f>SUMIFS('PIS F'!$X$11:$X$344,'PIS F'!$B$11:$B$344,'SCH B-3 F'!$B68)</f>
        <v>-51308907.210028961</v>
      </c>
      <c r="F68" s="99">
        <f t="shared" si="21"/>
        <v>0.8739657826390137</v>
      </c>
      <c r="G68" s="53">
        <f t="shared" si="19"/>
        <v>-44842229.246165492</v>
      </c>
      <c r="H68" s="53">
        <f>SUMIFS('SCH B-3.1'!$F$41:$F$55,'SCH B-3.1'!$B$41:$B$55,'SCH B-3 F'!$B68)</f>
        <v>0</v>
      </c>
      <c r="I68" s="53">
        <f t="shared" si="20"/>
        <v>-44842229.246165492</v>
      </c>
    </row>
    <row r="69" spans="1:16" ht="18.95" customHeight="1">
      <c r="A69" s="30">
        <f t="shared" si="1"/>
        <v>40</v>
      </c>
      <c r="B69" s="31" t="s">
        <v>1720</v>
      </c>
      <c r="C69" s="38" t="s">
        <v>1721</v>
      </c>
      <c r="D69" s="53">
        <f>'SCH B-2.1 F'!D67</f>
        <v>342219519.57230759</v>
      </c>
      <c r="E69" s="53">
        <f>SUMIFS('PIS F'!$X$11:$X$344,'PIS F'!$B$11:$B$344,'SCH B-3 F'!$B69)</f>
        <v>-72512539.466477409</v>
      </c>
      <c r="F69" s="99">
        <f t="shared" si="21"/>
        <v>0.8739657826390137</v>
      </c>
      <c r="G69" s="53">
        <f t="shared" si="19"/>
        <v>-63373478.305962294</v>
      </c>
      <c r="H69" s="53">
        <f>SUMIFS('SCH B-3.1'!$F$41:$F$55,'SCH B-3.1'!$B$41:$B$55,'SCH B-3 F'!$B69)</f>
        <v>0</v>
      </c>
      <c r="I69" s="53">
        <f t="shared" si="20"/>
        <v>-63373478.305962294</v>
      </c>
    </row>
    <row r="70" spans="1:16" ht="18.95" customHeight="1">
      <c r="A70" s="30">
        <f t="shared" si="1"/>
        <v>41</v>
      </c>
      <c r="B70" s="31" t="s">
        <v>1722</v>
      </c>
      <c r="C70" s="38" t="s">
        <v>1723</v>
      </c>
      <c r="D70" s="53">
        <f>'SCH B-2.1 F'!D68</f>
        <v>185411222.53769231</v>
      </c>
      <c r="E70" s="53">
        <f>SUMIFS('PIS F'!$X$11:$X$344,'PIS F'!$B$11:$B$344,'SCH B-3 F'!$B70)</f>
        <v>-118585163.61984242</v>
      </c>
      <c r="F70" s="99">
        <f t="shared" si="21"/>
        <v>0.8739657826390137</v>
      </c>
      <c r="G70" s="53">
        <f t="shared" si="19"/>
        <v>-103639375.33239108</v>
      </c>
      <c r="H70" s="53">
        <f>SUMIFS('SCH B-3.1'!$F$41:$F$55,'SCH B-3.1'!$B$41:$B$55,'SCH B-3 F'!$B70)</f>
        <v>0</v>
      </c>
      <c r="I70" s="53">
        <f t="shared" si="20"/>
        <v>-103639375.33239108</v>
      </c>
    </row>
    <row r="71" spans="1:16" ht="18.95" customHeight="1">
      <c r="A71" s="30">
        <f t="shared" si="1"/>
        <v>42</v>
      </c>
      <c r="B71" s="31" t="s">
        <v>1724</v>
      </c>
      <c r="C71" s="38" t="s">
        <v>1725</v>
      </c>
      <c r="D71" s="53">
        <f>'SCH B-2.1 F'!D69</f>
        <v>448760.26</v>
      </c>
      <c r="E71" s="53">
        <f>SUMIFS('PIS F'!$X$11:$X$344,'PIS F'!$B$11:$B$344,'SCH B-3 F'!$B71)</f>
        <v>-248740.50046220006</v>
      </c>
      <c r="F71" s="99">
        <f t="shared" si="21"/>
        <v>0.8739657826390137</v>
      </c>
      <c r="G71" s="53">
        <f t="shared" si="19"/>
        <v>-217390.68616046663</v>
      </c>
      <c r="H71" s="53">
        <f>SUMIFS('SCH B-3.1'!$F$41:$F$55,'SCH B-3.1'!$B$41:$B$55,'SCH B-3 F'!$B71)</f>
        <v>0</v>
      </c>
      <c r="I71" s="53">
        <f t="shared" si="20"/>
        <v>-217390.68616046663</v>
      </c>
    </row>
    <row r="72" spans="1:16" ht="18.95" customHeight="1">
      <c r="A72" s="30">
        <f t="shared" si="1"/>
        <v>43</v>
      </c>
      <c r="B72" s="31" t="s">
        <v>1726</v>
      </c>
      <c r="C72" s="38" t="s">
        <v>1727</v>
      </c>
      <c r="D72" s="53">
        <f>'SCH B-2.1 F'!D70</f>
        <v>1116714.08</v>
      </c>
      <c r="E72" s="53">
        <f>SUMIFS('PIS F'!$X$11:$X$344,'PIS F'!$B$11:$B$344,'SCH B-3 F'!$B72)</f>
        <v>-971358.86374879908</v>
      </c>
      <c r="F72" s="99">
        <f t="shared" si="21"/>
        <v>0.8739657826390137</v>
      </c>
      <c r="G72" s="53">
        <f t="shared" si="19"/>
        <v>-848934.40957956226</v>
      </c>
      <c r="H72" s="53">
        <f>SUMIFS('SCH B-3.1'!$F$41:$F$55,'SCH B-3.1'!$B$41:$B$55,'SCH B-3 F'!$B72)</f>
        <v>0</v>
      </c>
      <c r="I72" s="53">
        <f t="shared" si="20"/>
        <v>-848934.40957956226</v>
      </c>
    </row>
    <row r="73" spans="1:16" ht="18.95" customHeight="1">
      <c r="A73" s="30">
        <f t="shared" si="1"/>
        <v>44</v>
      </c>
      <c r="B73" s="31" t="s">
        <v>1728</v>
      </c>
      <c r="C73" s="38" t="s">
        <v>155</v>
      </c>
      <c r="D73" s="54">
        <f>'SCH B-2.1 F'!D71</f>
        <v>413450.63</v>
      </c>
      <c r="E73" s="54">
        <f>SUMIFS('PIS F'!$X$11:$X$344,'PIS F'!$B$11:$B$344,'SCH B-3 F'!$B73)</f>
        <v>-60487.909999999909</v>
      </c>
      <c r="F73" s="99">
        <f t="shared" si="21"/>
        <v>0.8739657826390137</v>
      </c>
      <c r="G73" s="54">
        <f t="shared" si="19"/>
        <v>-52864.363603348145</v>
      </c>
      <c r="H73" s="54">
        <f>SUMIFS('SCH B-3.1'!$F$41:$F$55,'SCH B-3.1'!$B$41:$B$55,'SCH B-3 F'!$B73)</f>
        <v>52864.363603348145</v>
      </c>
      <c r="I73" s="54">
        <f t="shared" si="20"/>
        <v>0</v>
      </c>
    </row>
    <row r="74" spans="1:16" ht="18.95" customHeight="1">
      <c r="A74" s="30">
        <f t="shared" si="1"/>
        <v>45</v>
      </c>
      <c r="C74" s="38" t="s">
        <v>153</v>
      </c>
      <c r="D74" s="51">
        <f>SUM(D65:D73)</f>
        <v>981460549.46384609</v>
      </c>
      <c r="E74" s="51">
        <f t="shared" ref="E74" si="22">SUM(E65:E73)</f>
        <v>-352239727.09813213</v>
      </c>
      <c r="F74" s="51"/>
      <c r="G74" s="51">
        <f t="shared" ref="G74:I74" si="23">SUM(G65:G73)</f>
        <v>-307845468.76987165</v>
      </c>
      <c r="H74" s="51">
        <f t="shared" si="23"/>
        <v>52864.363603348145</v>
      </c>
      <c r="I74" s="51">
        <f t="shared" si="23"/>
        <v>-307792604.4062683</v>
      </c>
      <c r="K74" s="101">
        <f>'JURISSEP F'!E266</f>
        <v>352239727.09813213</v>
      </c>
      <c r="L74" s="101">
        <f>'JURISSEP F'!G266</f>
        <v>307845468.76987165</v>
      </c>
      <c r="M74" s="101"/>
      <c r="N74" s="101">
        <f>SUM(L74:M74)</f>
        <v>307845468.76987165</v>
      </c>
      <c r="O74" s="101">
        <f>-E74+M74</f>
        <v>352239727.09813213</v>
      </c>
      <c r="P74" s="102">
        <f>N74/O74</f>
        <v>0.8739657826390137</v>
      </c>
    </row>
    <row r="75" spans="1:16" ht="18.95" customHeight="1">
      <c r="A75" s="30"/>
      <c r="B75" s="31"/>
    </row>
    <row r="76" spans="1:16" ht="18.95" customHeight="1">
      <c r="A76" s="30">
        <f>A74+1</f>
        <v>46</v>
      </c>
      <c r="B76" s="31" t="s">
        <v>254</v>
      </c>
      <c r="C76" s="55" t="s">
        <v>16</v>
      </c>
    </row>
    <row r="77" spans="1:16" ht="18.95" customHeight="1">
      <c r="A77" s="30">
        <f t="shared" si="1"/>
        <v>47</v>
      </c>
      <c r="B77" s="31" t="s">
        <v>1729</v>
      </c>
      <c r="C77" s="38" t="s">
        <v>157</v>
      </c>
      <c r="D77" s="53">
        <f>'SCH B-2.1 F'!D75</f>
        <v>8841834.3215384595</v>
      </c>
      <c r="E77" s="53">
        <f>SUMIFS('PIS F'!$X$11:$X$344,'PIS F'!$B$11:$B$344,'SCH B-3 F'!$B77)</f>
        <v>-1477738.2434997472</v>
      </c>
      <c r="F77" s="99">
        <f>$P$90</f>
        <v>0.93473720540730365</v>
      </c>
      <c r="G77" s="53">
        <f t="shared" ref="G77:G89" si="24">E77*F77</f>
        <v>-1381296.9160524514</v>
      </c>
      <c r="H77" s="53">
        <f>SUMIFS('SCH B-3.1'!$F$41:$F$55,'SCH B-3.1'!$B$41:$B$55,'SCH B-3 F'!$B77)</f>
        <v>0</v>
      </c>
      <c r="I77" s="53">
        <f t="shared" ref="I77:I89" si="25">SUM(G77:H77)</f>
        <v>-1381296.9160524514</v>
      </c>
    </row>
    <row r="78" spans="1:16" ht="18.95" customHeight="1">
      <c r="A78" s="30">
        <f t="shared" si="1"/>
        <v>48</v>
      </c>
      <c r="B78" s="31" t="s">
        <v>1730</v>
      </c>
      <c r="C78" s="38" t="s">
        <v>151</v>
      </c>
      <c r="D78" s="53">
        <f>'SCH B-2.1 F'!D76</f>
        <v>13999366.996923074</v>
      </c>
      <c r="E78" s="53">
        <f>SUMIFS('PIS F'!$X$11:$X$344,'PIS F'!$B$11:$B$344,'SCH B-3 F'!$B78)</f>
        <v>-2661736.0165185677</v>
      </c>
      <c r="F78" s="99">
        <f t="shared" ref="F78:F81" si="26">$P$90</f>
        <v>0.93473720540730365</v>
      </c>
      <c r="G78" s="53">
        <f t="shared" si="24"/>
        <v>-2488023.6856125346</v>
      </c>
      <c r="H78" s="53">
        <f>SUMIFS('SCH B-3.1'!$F$41:$F$55,'SCH B-3.1'!$B$41:$B$55,'SCH B-3 F'!$B78)</f>
        <v>0</v>
      </c>
      <c r="I78" s="53">
        <f t="shared" si="25"/>
        <v>-2488023.6856125346</v>
      </c>
    </row>
    <row r="79" spans="1:16" ht="18.95" customHeight="1">
      <c r="A79" s="30">
        <f t="shared" si="1"/>
        <v>49</v>
      </c>
      <c r="B79" s="31" t="s">
        <v>1731</v>
      </c>
      <c r="C79" s="38" t="s">
        <v>1732</v>
      </c>
      <c r="D79" s="53">
        <f>'SCH B-2.1 F'!D77</f>
        <v>200108094.3461538</v>
      </c>
      <c r="E79" s="53">
        <f>SUMIFS('PIS F'!$X$11:$X$344,'PIS F'!$B$11:$B$344,'SCH B-3 F'!$B79)</f>
        <v>-52128911.906462736</v>
      </c>
      <c r="F79" s="99">
        <f t="shared" si="26"/>
        <v>0.93473720540730365</v>
      </c>
      <c r="G79" s="53">
        <f t="shared" si="24"/>
        <v>-48726833.436370499</v>
      </c>
      <c r="H79" s="53">
        <f>SUMIFS('SCH B-3.1'!$F$41:$F$55,'SCH B-3.1'!$B$41:$B$55,'SCH B-3 F'!$B79)</f>
        <v>0</v>
      </c>
      <c r="I79" s="53">
        <f t="shared" si="25"/>
        <v>-48726833.436370499</v>
      </c>
    </row>
    <row r="80" spans="1:16" ht="18.95" customHeight="1">
      <c r="A80" s="30">
        <f t="shared" ref="A80:A90" si="27">A79+1</f>
        <v>50</v>
      </c>
      <c r="B80" s="31" t="s">
        <v>1733</v>
      </c>
      <c r="C80" s="38" t="s">
        <v>1734</v>
      </c>
      <c r="D80" s="53">
        <f>'SCH B-2.1 F'!D78</f>
        <v>387247022.39922982</v>
      </c>
      <c r="E80" s="53">
        <f>SUMIFS('PIS F'!$X$11:$X$344,'PIS F'!$B$11:$B$344,'SCH B-3 F'!$B80)</f>
        <v>-162352105.25579378</v>
      </c>
      <c r="F80" s="99">
        <f t="shared" si="26"/>
        <v>0.93473720540730365</v>
      </c>
      <c r="G80" s="53">
        <f t="shared" si="24"/>
        <v>-151756553.15879309</v>
      </c>
      <c r="H80" s="53">
        <f>SUMIFS('SCH B-3.1'!$F$41:$F$55,'SCH B-3.1'!$B$41:$B$55,'SCH B-3 F'!$B80)</f>
        <v>1944.3085243383389</v>
      </c>
      <c r="I80" s="53">
        <f t="shared" si="25"/>
        <v>-151754608.85026875</v>
      </c>
    </row>
    <row r="81" spans="1:16" ht="18.95" customHeight="1">
      <c r="A81" s="30">
        <f t="shared" si="27"/>
        <v>51</v>
      </c>
      <c r="B81" s="31" t="s">
        <v>1735</v>
      </c>
      <c r="C81" s="38" t="s">
        <v>1723</v>
      </c>
      <c r="D81" s="53">
        <f>'SCH B-2.1 F'!D79</f>
        <v>386260065.67153758</v>
      </c>
      <c r="E81" s="53">
        <f>SUMIFS('PIS F'!$X$11:$X$344,'PIS F'!$B$11:$B$344,'SCH B-3 F'!$B81)</f>
        <v>-120943509.11631957</v>
      </c>
      <c r="F81" s="99">
        <f t="shared" si="26"/>
        <v>0.93473720540730365</v>
      </c>
      <c r="G81" s="53">
        <f t="shared" si="24"/>
        <v>-113050397.7235413</v>
      </c>
      <c r="H81" s="53">
        <f>SUMIFS('SCH B-3.1'!$F$41:$F$55,'SCH B-3.1'!$B$41:$B$55,'SCH B-3 F'!$B81)</f>
        <v>2261.7089921139964</v>
      </c>
      <c r="I81" s="53">
        <f t="shared" si="25"/>
        <v>-113048136.0145492</v>
      </c>
    </row>
    <row r="82" spans="1:16" ht="18.95" customHeight="1">
      <c r="A82" s="30">
        <f t="shared" si="27"/>
        <v>52</v>
      </c>
      <c r="B82" s="31" t="s">
        <v>1736</v>
      </c>
      <c r="C82" s="38" t="s">
        <v>1725</v>
      </c>
      <c r="D82" s="53">
        <f>'SCH B-2.1 F'!D80</f>
        <v>2381227.6699999906</v>
      </c>
      <c r="E82" s="53">
        <f>SUMIFS('PIS F'!$X$11:$X$344,'PIS F'!$B$11:$B$344,'SCH B-3 F'!$B82)</f>
        <v>-950815.39355299901</v>
      </c>
      <c r="F82" s="99">
        <f>'SCH B-2.1 F'!E80</f>
        <v>1</v>
      </c>
      <c r="G82" s="53">
        <f t="shared" si="24"/>
        <v>-950815.39355299901</v>
      </c>
      <c r="H82" s="53">
        <f>SUMIFS('SCH B-3.1'!$F$41:$F$55,'SCH B-3.1'!$B$41:$B$55,'SCH B-3 F'!$B82)</f>
        <v>14873.045932000001</v>
      </c>
      <c r="I82" s="53">
        <f t="shared" si="25"/>
        <v>-935942.34762099897</v>
      </c>
    </row>
    <row r="83" spans="1:16" ht="18.95" customHeight="1">
      <c r="A83" s="30">
        <f t="shared" si="27"/>
        <v>53</v>
      </c>
      <c r="B83" s="31" t="s">
        <v>1737</v>
      </c>
      <c r="C83" s="38" t="s">
        <v>1727</v>
      </c>
      <c r="D83" s="53">
        <f>'SCH B-2.1 F'!D81</f>
        <v>205579046.56384617</v>
      </c>
      <c r="E83" s="53">
        <f>SUMIFS('PIS F'!$X$11:$X$344,'PIS F'!$B$11:$B$344,'SCH B-3 F'!$B83)</f>
        <v>-47895389.121382445</v>
      </c>
      <c r="F83" s="99">
        <f t="shared" ref="F83:F88" si="28">$P$90</f>
        <v>0.93473720540730365</v>
      </c>
      <c r="G83" s="53">
        <f t="shared" si="24"/>
        <v>-44769602.1792164</v>
      </c>
      <c r="H83" s="53">
        <f>SUMIFS('SCH B-3.1'!$F$41:$F$55,'SCH B-3.1'!$B$41:$B$55,'SCH B-3 F'!$B83)</f>
        <v>97073.823784458771</v>
      </c>
      <c r="I83" s="53">
        <f t="shared" si="25"/>
        <v>-44672528.355431944</v>
      </c>
    </row>
    <row r="84" spans="1:16" ht="18.95" customHeight="1">
      <c r="A84" s="30">
        <f t="shared" si="27"/>
        <v>54</v>
      </c>
      <c r="B84" s="31" t="s">
        <v>1738</v>
      </c>
      <c r="C84" s="38" t="s">
        <v>1739</v>
      </c>
      <c r="D84" s="53">
        <f>'SCH B-2.1 F'!D82</f>
        <v>321787311.83846045</v>
      </c>
      <c r="E84" s="53">
        <f>SUMIFS('PIS F'!$X$11:$X$344,'PIS F'!$B$11:$B$344,'SCH B-3 F'!$B84)</f>
        <v>-151839487.59349152</v>
      </c>
      <c r="F84" s="99">
        <f t="shared" si="28"/>
        <v>0.93473720540730365</v>
      </c>
      <c r="G84" s="53">
        <f t="shared" si="24"/>
        <v>-141930018.30361721</v>
      </c>
      <c r="H84" s="53">
        <f>SUMIFS('SCH B-3.1'!$F$41:$F$55,'SCH B-3.1'!$B$41:$B$55,'SCH B-3 F'!$B84)</f>
        <v>0</v>
      </c>
      <c r="I84" s="53">
        <f t="shared" si="25"/>
        <v>-141930018.30361721</v>
      </c>
    </row>
    <row r="85" spans="1:16" ht="18.95" customHeight="1">
      <c r="A85" s="30">
        <f t="shared" si="27"/>
        <v>55</v>
      </c>
      <c r="B85" s="31" t="s">
        <v>1740</v>
      </c>
      <c r="C85" s="38" t="s">
        <v>1741</v>
      </c>
      <c r="D85" s="53">
        <f>'SCH B-2.1 F'!D83</f>
        <v>102761818.72999987</v>
      </c>
      <c r="E85" s="53">
        <f>SUMIFS('PIS F'!$X$11:$X$344,'PIS F'!$B$11:$B$344,'SCH B-3 F'!$B85)</f>
        <v>-65122058.058198646</v>
      </c>
      <c r="F85" s="99">
        <f t="shared" si="28"/>
        <v>0.93473720540730365</v>
      </c>
      <c r="G85" s="53">
        <f t="shared" si="24"/>
        <v>-60872010.559692778</v>
      </c>
      <c r="H85" s="53">
        <f>SUMIFS('SCH B-3.1'!$F$41:$F$55,'SCH B-3.1'!$B$41:$B$55,'SCH B-3 F'!$B85)</f>
        <v>0</v>
      </c>
      <c r="I85" s="53">
        <f t="shared" si="25"/>
        <v>-60872010.559692778</v>
      </c>
    </row>
    <row r="86" spans="1:16" ht="18.95" customHeight="1">
      <c r="A86" s="30">
        <f>A85+1</f>
        <v>56</v>
      </c>
      <c r="B86" s="31" t="s">
        <v>1742</v>
      </c>
      <c r="C86" s="38" t="s">
        <v>1743</v>
      </c>
      <c r="D86" s="53">
        <f>'SCH B-2.1 F'!D84</f>
        <v>87291433.274615362</v>
      </c>
      <c r="E86" s="53">
        <f>SUMIFS('PIS F'!$X$11:$X$344,'PIS F'!$B$11:$B$344,'SCH B-3 F'!$B86)</f>
        <v>-38100397.091478236</v>
      </c>
      <c r="F86" s="99">
        <f t="shared" si="28"/>
        <v>0.93473720540730365</v>
      </c>
      <c r="G86" s="53">
        <f t="shared" si="24"/>
        <v>-35613858.702196926</v>
      </c>
      <c r="H86" s="53">
        <f>SUMIFS('SCH B-3.1'!$F$41:$F$55,'SCH B-3.1'!$B$41:$B$55,'SCH B-3 F'!$B86)</f>
        <v>0</v>
      </c>
      <c r="I86" s="53">
        <f t="shared" si="25"/>
        <v>-35613858.702196926</v>
      </c>
    </row>
    <row r="87" spans="1:16" ht="18.95" customHeight="1">
      <c r="A87" s="30">
        <f t="shared" si="27"/>
        <v>57</v>
      </c>
      <c r="B87" s="31" t="s">
        <v>1744</v>
      </c>
      <c r="C87" s="38" t="s">
        <v>1745</v>
      </c>
      <c r="D87" s="53">
        <f>'SCH B-2.1 F'!D85</f>
        <v>282792.23923076928</v>
      </c>
      <c r="E87" s="53">
        <f>SUMIFS('PIS F'!$X$11:$X$344,'PIS F'!$B$11:$B$344,'SCH B-3 F'!$B87)</f>
        <v>3523.1405254901319</v>
      </c>
      <c r="F87" s="99">
        <f t="shared" si="28"/>
        <v>0.93473720540730365</v>
      </c>
      <c r="G87" s="53">
        <f t="shared" si="24"/>
        <v>3293.2105290538652</v>
      </c>
      <c r="H87" s="53">
        <f>SUMIFS('SCH B-3.1'!$F$41:$F$55,'SCH B-3.1'!$B$41:$B$55,'SCH B-3 F'!$B87)</f>
        <v>0</v>
      </c>
      <c r="I87" s="53">
        <f t="shared" si="25"/>
        <v>3293.2105290538652</v>
      </c>
    </row>
    <row r="88" spans="1:16" ht="18.95" customHeight="1">
      <c r="A88" s="30">
        <f t="shared" si="27"/>
        <v>58</v>
      </c>
      <c r="B88" s="31" t="s">
        <v>1746</v>
      </c>
      <c r="C88" s="38" t="s">
        <v>1747</v>
      </c>
      <c r="D88" s="53">
        <f>'SCH B-2.1 F'!D86</f>
        <v>118728679.84538461</v>
      </c>
      <c r="E88" s="53">
        <f>SUMIFS('PIS F'!$X$11:$X$344,'PIS F'!$B$11:$B$344,'SCH B-3 F'!$B88)</f>
        <v>-38246447.032339245</v>
      </c>
      <c r="F88" s="99">
        <f t="shared" si="28"/>
        <v>0.93473720540730365</v>
      </c>
      <c r="G88" s="53">
        <f t="shared" si="24"/>
        <v>-35750377.015767246</v>
      </c>
      <c r="H88" s="53">
        <f>SUMIFS('SCH B-3.1'!$F$41:$F$55,'SCH B-3.1'!$B$41:$B$55,'SCH B-3 F'!$B88)</f>
        <v>0</v>
      </c>
      <c r="I88" s="53">
        <f t="shared" si="25"/>
        <v>-35750377.015767246</v>
      </c>
    </row>
    <row r="89" spans="1:16" ht="18.95" customHeight="1">
      <c r="A89" s="30">
        <f t="shared" si="27"/>
        <v>59</v>
      </c>
      <c r="B89" s="31" t="s">
        <v>1748</v>
      </c>
      <c r="C89" s="38" t="s">
        <v>154</v>
      </c>
      <c r="D89" s="54">
        <f>'SCH B-2.1 F'!D87</f>
        <v>904896.86000000022</v>
      </c>
      <c r="E89" s="54">
        <f>SUMIFS('PIS F'!$X$11:$X$344,'PIS F'!$B$11:$B$344,'SCH B-3 F'!$B89)</f>
        <v>-148552.15999999997</v>
      </c>
      <c r="F89" s="99">
        <f>'SCH B-2.1 F'!E87</f>
        <v>1</v>
      </c>
      <c r="G89" s="54">
        <f t="shared" si="24"/>
        <v>-148552.15999999997</v>
      </c>
      <c r="H89" s="54">
        <f>SUMIFS('SCH B-3.1'!$F$41:$F$55,'SCH B-3.1'!$B$41:$B$55,'SCH B-3 F'!$B89)</f>
        <v>148552.15999999997</v>
      </c>
      <c r="I89" s="54">
        <f t="shared" si="25"/>
        <v>0</v>
      </c>
    </row>
    <row r="90" spans="1:16" ht="18.95" customHeight="1">
      <c r="A90" s="30">
        <f t="shared" si="27"/>
        <v>60</v>
      </c>
      <c r="B90" s="31"/>
      <c r="C90" s="38" t="s">
        <v>156</v>
      </c>
      <c r="D90" s="51">
        <f>SUM(D77:D89)</f>
        <v>1836173590.7569199</v>
      </c>
      <c r="E90" s="51">
        <f t="shared" ref="E90" si="29">SUM(E77:E89)</f>
        <v>-681863623.84851205</v>
      </c>
      <c r="F90" s="51"/>
      <c r="G90" s="51">
        <f t="shared" ref="G90:I90" si="30">SUM(G77:G89)</f>
        <v>-637435046.0238843</v>
      </c>
      <c r="H90" s="51">
        <f t="shared" si="30"/>
        <v>264705.04723291111</v>
      </c>
      <c r="I90" s="51">
        <f t="shared" si="30"/>
        <v>-637170340.97665143</v>
      </c>
      <c r="K90" s="101">
        <f>'JURISSEP F'!E270</f>
        <v>681863623.84851182</v>
      </c>
      <c r="L90" s="101">
        <f>'JURISSEP F'!G270</f>
        <v>637435046.02388442</v>
      </c>
      <c r="M90" s="101">
        <f>G82+G89</f>
        <v>-1099367.5535529989</v>
      </c>
      <c r="N90" s="101">
        <f>SUM(L90:M90)</f>
        <v>636335678.47033143</v>
      </c>
      <c r="O90" s="101">
        <f>-E90+M90</f>
        <v>680764256.29495907</v>
      </c>
      <c r="P90" s="102">
        <f>N90/O90</f>
        <v>0.93473720540730365</v>
      </c>
    </row>
    <row r="91" spans="1:16" s="28" customFormat="1" ht="20.100000000000001" customHeight="1">
      <c r="A91" s="706" t="str">
        <f>$A$1</f>
        <v>KENTUCKY UTILITIES COMPANY</v>
      </c>
      <c r="B91" s="706"/>
      <c r="C91" s="706"/>
      <c r="D91" s="706"/>
      <c r="E91" s="706"/>
      <c r="F91" s="706"/>
      <c r="G91" s="706"/>
      <c r="H91" s="706"/>
      <c r="I91" s="706"/>
    </row>
    <row r="92" spans="1:16" s="28" customFormat="1" ht="20.100000000000001" customHeight="1">
      <c r="A92" s="706" t="str">
        <f>$A$2</f>
        <v>CASE NO. 2016-00370</v>
      </c>
      <c r="B92" s="706"/>
      <c r="C92" s="706"/>
      <c r="D92" s="706"/>
      <c r="E92" s="706"/>
      <c r="F92" s="706"/>
      <c r="G92" s="706"/>
      <c r="H92" s="706"/>
      <c r="I92" s="706"/>
    </row>
    <row r="93" spans="1:16" s="28" customFormat="1" ht="20.100000000000001" customHeight="1">
      <c r="A93" s="706" t="str">
        <f>$A$3</f>
        <v>ACCUMULATED DEPRECIATION AND AMORTIZATION</v>
      </c>
      <c r="B93" s="706"/>
      <c r="C93" s="706"/>
      <c r="D93" s="706"/>
      <c r="E93" s="706"/>
      <c r="F93" s="706"/>
      <c r="G93" s="706"/>
      <c r="H93" s="706"/>
      <c r="I93" s="706"/>
    </row>
    <row r="94" spans="1:16" s="28" customFormat="1" ht="20.100000000000001" customHeight="1">
      <c r="A94" s="705" t="str">
        <f>$A$4</f>
        <v>AS OF JUNE 30, 2018</v>
      </c>
      <c r="B94" s="706"/>
      <c r="C94" s="706"/>
      <c r="D94" s="706"/>
      <c r="E94" s="706"/>
      <c r="F94" s="706"/>
      <c r="G94" s="706"/>
      <c r="H94" s="706"/>
      <c r="I94" s="706"/>
    </row>
    <row r="95" spans="1:16" s="28" customFormat="1" ht="20.100000000000001" customHeight="1">
      <c r="A95" s="57"/>
      <c r="B95" s="57"/>
      <c r="C95" s="57"/>
      <c r="D95" s="57"/>
      <c r="E95" s="57"/>
      <c r="F95" s="57"/>
      <c r="G95" s="57"/>
      <c r="H95" s="57"/>
      <c r="I95" s="57"/>
    </row>
    <row r="96" spans="1:16" s="28" customFormat="1" ht="20.100000000000001" customHeight="1">
      <c r="A96" s="27" t="str">
        <f>$A$6</f>
        <v>DATA:____BASE  PERIOD__X__FORECASTED  PERIOD</v>
      </c>
      <c r="B96" s="27"/>
      <c r="H96" s="34"/>
      <c r="I96" s="35" t="str">
        <f>$I$6</f>
        <v>SCHEDULE B-3</v>
      </c>
    </row>
    <row r="97" spans="1:9" s="28" customFormat="1" ht="20.100000000000001" customHeight="1">
      <c r="A97" s="27" t="str">
        <f>$A$7</f>
        <v>TYPE OF FILING: __X__ ORIGINAL  _____ UPDATED  _____ REVISED</v>
      </c>
      <c r="H97" s="34"/>
      <c r="I97" s="34" t="s">
        <v>173</v>
      </c>
    </row>
    <row r="98" spans="1:9" s="28" customFormat="1" ht="20.100000000000001" customHeight="1">
      <c r="A98" s="27" t="str">
        <f>$A$8</f>
        <v>WORKPAPER REFERENCE NO(S).:</v>
      </c>
      <c r="B98" s="27"/>
      <c r="E98" s="27"/>
      <c r="G98" s="27"/>
      <c r="H98" s="35"/>
      <c r="I98" s="35" t="str">
        <f>$I$8</f>
        <v>WITNESS:   C. M. GARRETT</v>
      </c>
    </row>
    <row r="99" spans="1:9" s="28" customFormat="1" ht="20.100000000000001" customHeight="1"/>
    <row r="100" spans="1:9" s="28" customFormat="1" ht="20.100000000000001" customHeight="1">
      <c r="A100" s="61"/>
      <c r="B100" s="61"/>
      <c r="C100" s="61"/>
      <c r="D100" s="61"/>
      <c r="E100" s="708" t="s">
        <v>1216</v>
      </c>
      <c r="F100" s="708"/>
      <c r="G100" s="708"/>
      <c r="H100" s="708"/>
      <c r="I100" s="708"/>
    </row>
    <row r="101" spans="1:9" ht="90" customHeight="1">
      <c r="A101" s="31" t="s">
        <v>134</v>
      </c>
      <c r="B101" s="31" t="s">
        <v>137</v>
      </c>
      <c r="C101" s="38" t="s">
        <v>138</v>
      </c>
      <c r="D101" s="31" t="s">
        <v>3366</v>
      </c>
      <c r="E101" s="31" t="s">
        <v>1208</v>
      </c>
      <c r="F101" s="31" t="s">
        <v>227</v>
      </c>
      <c r="G101" s="31" t="s">
        <v>228</v>
      </c>
      <c r="H101" s="31" t="s">
        <v>229</v>
      </c>
      <c r="I101" s="31" t="s">
        <v>230</v>
      </c>
    </row>
    <row r="102" spans="1:9" ht="23.1" customHeight="1">
      <c r="A102" s="40"/>
      <c r="B102" s="40"/>
      <c r="C102" s="41"/>
      <c r="D102" s="42" t="s">
        <v>145</v>
      </c>
      <c r="E102" s="42" t="s">
        <v>145</v>
      </c>
      <c r="F102" s="42"/>
      <c r="G102" s="42" t="s">
        <v>145</v>
      </c>
      <c r="H102" s="42" t="s">
        <v>145</v>
      </c>
      <c r="I102" s="42" t="s">
        <v>145</v>
      </c>
    </row>
    <row r="103" spans="1:9" ht="18.95" customHeight="1">
      <c r="A103" s="30">
        <f>A90+1</f>
        <v>61</v>
      </c>
      <c r="C103" s="55" t="s">
        <v>33</v>
      </c>
    </row>
    <row r="104" spans="1:9" ht="18.95" customHeight="1">
      <c r="A104" s="30">
        <f t="shared" ref="A104:A114" si="31">A103+1</f>
        <v>62</v>
      </c>
      <c r="B104" s="31" t="s">
        <v>1750</v>
      </c>
      <c r="C104" s="38" t="s">
        <v>157</v>
      </c>
      <c r="D104" s="53">
        <f>'SCH B-2.1 F'!D101</f>
        <v>3987715.1469230764</v>
      </c>
      <c r="E104" s="53">
        <f>SUMIFS('PIS F'!$X$11:$X$344,'PIS F'!$B$11:$B$344,'SCH B-3 F'!$B104)</f>
        <v>17050.000000000004</v>
      </c>
      <c r="F104" s="99">
        <f t="shared" ref="F104:F113" si="32">$P$114</f>
        <v>0.90871558561033605</v>
      </c>
      <c r="G104" s="53">
        <f t="shared" ref="G104:G113" si="33">E104*F104</f>
        <v>15493.600734656233</v>
      </c>
      <c r="H104" s="53">
        <f>SUMIFS('SCH B-3.1'!$F$41:$F$55,'SCH B-3.1'!$B$41:$B$55,'SCH B-3 F'!$B104)</f>
        <v>0</v>
      </c>
      <c r="I104" s="53">
        <f t="shared" ref="I104:I113" si="34">SUM(G104:H104)</f>
        <v>15493.600734656233</v>
      </c>
    </row>
    <row r="105" spans="1:9" ht="18.95" customHeight="1">
      <c r="A105" s="30">
        <f t="shared" si="31"/>
        <v>63</v>
      </c>
      <c r="B105" s="31" t="s">
        <v>1751</v>
      </c>
      <c r="C105" s="38" t="s">
        <v>151</v>
      </c>
      <c r="D105" s="53">
        <f>'SCH B-2.1 F'!D102</f>
        <v>72437002.853076816</v>
      </c>
      <c r="E105" s="53">
        <f>SUMIFS('PIS F'!$X$11:$X$344,'PIS F'!$B$11:$B$344,'SCH B-3 F'!$B105)</f>
        <v>-12968200.305191739</v>
      </c>
      <c r="F105" s="99">
        <f t="shared" si="32"/>
        <v>0.90871558561033605</v>
      </c>
      <c r="G105" s="53">
        <f t="shared" si="33"/>
        <v>-11784405.73464445</v>
      </c>
      <c r="H105" s="53">
        <f>SUMIFS('SCH B-3.1'!$F$41:$F$55,'SCH B-3.1'!$B$41:$B$55,'SCH B-3 F'!$B105)</f>
        <v>0</v>
      </c>
      <c r="I105" s="53">
        <f t="shared" si="34"/>
        <v>-11784405.73464445</v>
      </c>
    </row>
    <row r="106" spans="1:9" ht="18.95" customHeight="1">
      <c r="A106" s="30">
        <f t="shared" si="31"/>
        <v>64</v>
      </c>
      <c r="B106" s="31" t="s">
        <v>1752</v>
      </c>
      <c r="C106" s="38" t="s">
        <v>159</v>
      </c>
      <c r="D106" s="53">
        <f>'SCH B-2.1 F'!D103</f>
        <v>44896469.019230746</v>
      </c>
      <c r="E106" s="53">
        <f>SUMIFS('PIS F'!$X$11:$X$344,'PIS F'!$B$11:$B$344,'SCH B-3 F'!$B106)</f>
        <v>-21885942.982730672</v>
      </c>
      <c r="F106" s="99">
        <f t="shared" si="32"/>
        <v>0.90871558561033605</v>
      </c>
      <c r="G106" s="53">
        <f t="shared" si="33"/>
        <v>-19888097.494186528</v>
      </c>
      <c r="H106" s="53">
        <f>SUMIFS('SCH B-3.1'!$F$41:$F$55,'SCH B-3.1'!$B$41:$B$55,'SCH B-3 F'!$B106)</f>
        <v>0</v>
      </c>
      <c r="I106" s="53">
        <f t="shared" si="34"/>
        <v>-19888097.494186528</v>
      </c>
    </row>
    <row r="107" spans="1:9" ht="18.95" customHeight="1">
      <c r="A107" s="30">
        <f t="shared" si="31"/>
        <v>65</v>
      </c>
      <c r="B107" s="31" t="s">
        <v>1753</v>
      </c>
      <c r="C107" s="38" t="s">
        <v>158</v>
      </c>
      <c r="D107" s="53">
        <f>'SCH B-2.1 F'!D104</f>
        <v>7583831.4199999999</v>
      </c>
      <c r="E107" s="53">
        <f>SUMIFS('PIS F'!$X$11:$X$344,'PIS F'!$B$11:$B$344,'SCH B-3 F'!$B107)</f>
        <v>-3879451.0227962667</v>
      </c>
      <c r="F107" s="99">
        <f t="shared" si="32"/>
        <v>0.90871558561033605</v>
      </c>
      <c r="G107" s="53">
        <f t="shared" si="33"/>
        <v>-3525317.6080269269</v>
      </c>
      <c r="H107" s="53">
        <f>SUMIFS('SCH B-3.1'!$F$41:$F$55,'SCH B-3.1'!$B$41:$B$55,'SCH B-3 F'!$B107)</f>
        <v>45042.943970284316</v>
      </c>
      <c r="I107" s="53">
        <f t="shared" si="34"/>
        <v>-3480274.6640566424</v>
      </c>
    </row>
    <row r="108" spans="1:9" ht="18.95" customHeight="1">
      <c r="A108" s="30">
        <f t="shared" si="31"/>
        <v>66</v>
      </c>
      <c r="B108" s="31" t="s">
        <v>1754</v>
      </c>
      <c r="C108" s="38" t="s">
        <v>1755</v>
      </c>
      <c r="D108" s="53">
        <f>'SCH B-2.1 F'!D105</f>
        <v>1513641.6900000004</v>
      </c>
      <c r="E108" s="53">
        <f>SUMIFS('PIS F'!$X$11:$X$344,'PIS F'!$B$11:$B$344,'SCH B-3 F'!$B108)</f>
        <v>-460034.72858499899</v>
      </c>
      <c r="F108" s="99">
        <f t="shared" si="32"/>
        <v>0.90871558561033605</v>
      </c>
      <c r="G108" s="53">
        <f t="shared" si="33"/>
        <v>-418040.72778720938</v>
      </c>
      <c r="H108" s="53">
        <f>SUMIFS('SCH B-3.1'!$F$41:$F$55,'SCH B-3.1'!$B$41:$B$55,'SCH B-3 F'!$B108)</f>
        <v>0</v>
      </c>
      <c r="I108" s="53">
        <f t="shared" si="34"/>
        <v>-418040.72778720938</v>
      </c>
    </row>
    <row r="109" spans="1:9" ht="18.95" customHeight="1">
      <c r="A109" s="30">
        <f t="shared" si="31"/>
        <v>67</v>
      </c>
      <c r="B109" s="31" t="s">
        <v>1756</v>
      </c>
      <c r="C109" s="38" t="s">
        <v>1757</v>
      </c>
      <c r="D109" s="53">
        <f>'SCH B-2.1 F'!D106</f>
        <v>13878615.364615384</v>
      </c>
      <c r="E109" s="53">
        <f>SUMIFS('PIS F'!$X$11:$X$344,'PIS F'!$B$11:$B$344,'SCH B-3 F'!$B109)</f>
        <v>-4367562.1597624617</v>
      </c>
      <c r="F109" s="99">
        <f t="shared" si="32"/>
        <v>0.90871558561033605</v>
      </c>
      <c r="G109" s="53">
        <f t="shared" si="33"/>
        <v>-3968871.8056980893</v>
      </c>
      <c r="H109" s="53">
        <f>SUMIFS('SCH B-3.1'!$F$41:$F$55,'SCH B-3.1'!$B$41:$B$55,'SCH B-3 F'!$B109)</f>
        <v>0</v>
      </c>
      <c r="I109" s="53">
        <f t="shared" si="34"/>
        <v>-3968871.8056980893</v>
      </c>
    </row>
    <row r="110" spans="1:9" ht="18.95" customHeight="1">
      <c r="A110" s="30">
        <f t="shared" si="31"/>
        <v>68</v>
      </c>
      <c r="B110" s="31" t="s">
        <v>1758</v>
      </c>
      <c r="C110" s="38" t="s">
        <v>1759</v>
      </c>
      <c r="D110" s="53">
        <f>'SCH B-2.1 F'!D107</f>
        <v>0</v>
      </c>
      <c r="E110" s="53">
        <f>SUMIFS('PIS F'!$X$11:$X$344,'PIS F'!$B$11:$B$344,'SCH B-3 F'!$B110)</f>
        <v>0</v>
      </c>
      <c r="F110" s="99">
        <f t="shared" si="32"/>
        <v>0.90871558561033605</v>
      </c>
      <c r="G110" s="53">
        <f t="shared" si="33"/>
        <v>0</v>
      </c>
      <c r="H110" s="53">
        <f>SUMIFS('SCH B-3.1'!$F$41:$F$55,'SCH B-3.1'!$B$41:$B$55,'SCH B-3 F'!$B110)</f>
        <v>0</v>
      </c>
      <c r="I110" s="53">
        <f t="shared" si="34"/>
        <v>0</v>
      </c>
    </row>
    <row r="111" spans="1:9" ht="18.95" customHeight="1">
      <c r="A111" s="30">
        <f t="shared" si="31"/>
        <v>69</v>
      </c>
      <c r="B111" s="31" t="s">
        <v>1760</v>
      </c>
      <c r="C111" s="38" t="s">
        <v>1761</v>
      </c>
      <c r="D111" s="53">
        <f>'SCH B-2.1 F'!D108</f>
        <v>2370876.7599999998</v>
      </c>
      <c r="E111" s="53">
        <f>SUMIFS('PIS F'!$X$11:$X$344,'PIS F'!$B$11:$B$344,'SCH B-3 F'!$B111)</f>
        <v>-1113346.8118239995</v>
      </c>
      <c r="F111" s="99">
        <f t="shared" si="32"/>
        <v>0.90871558561033605</v>
      </c>
      <c r="G111" s="53">
        <f t="shared" si="33"/>
        <v>-1011715.6000940463</v>
      </c>
      <c r="H111" s="53">
        <f>SUMIFS('SCH B-3.1'!$F$41:$F$55,'SCH B-3.1'!$B$41:$B$55,'SCH B-3 F'!$B111)</f>
        <v>0</v>
      </c>
      <c r="I111" s="53">
        <f t="shared" si="34"/>
        <v>-1011715.6000940463</v>
      </c>
    </row>
    <row r="112" spans="1:9" ht="18.95" customHeight="1">
      <c r="A112" s="30">
        <f t="shared" si="31"/>
        <v>70</v>
      </c>
      <c r="B112" s="31" t="s">
        <v>1762</v>
      </c>
      <c r="C112" s="38" t="s">
        <v>160</v>
      </c>
      <c r="D112" s="53">
        <f>'SCH B-2.1 F'!D109</f>
        <v>61030462.959999911</v>
      </c>
      <c r="E112" s="53">
        <f>SUMIFS('PIS F'!$X$11:$X$344,'PIS F'!$B$11:$B$344,'SCH B-3 F'!$B112)</f>
        <v>-23761859.890150927</v>
      </c>
      <c r="F112" s="99">
        <f t="shared" si="32"/>
        <v>0.90871558561033605</v>
      </c>
      <c r="G112" s="53">
        <f t="shared" si="33"/>
        <v>-21592772.425269254</v>
      </c>
      <c r="H112" s="53">
        <f>SUMIFS('SCH B-3.1'!$F$41:$F$55,'SCH B-3.1'!$B$41:$B$55,'SCH B-3 F'!$B112)</f>
        <v>1864700.6809563078</v>
      </c>
      <c r="I112" s="53">
        <f t="shared" si="34"/>
        <v>-19728071.744312946</v>
      </c>
    </row>
    <row r="113" spans="1:16" ht="18.95" customHeight="1">
      <c r="A113" s="30">
        <f t="shared" si="31"/>
        <v>71</v>
      </c>
      <c r="B113" s="31" t="s">
        <v>1763</v>
      </c>
      <c r="C113" s="38" t="s">
        <v>1764</v>
      </c>
      <c r="D113" s="54">
        <f>'SCH B-2.1 F'!D110</f>
        <v>0</v>
      </c>
      <c r="E113" s="54">
        <f>SUMIFS('PIS F'!$X$11:$X$344,'PIS F'!$B$11:$B$344,'SCH B-3 F'!$B113)</f>
        <v>0</v>
      </c>
      <c r="F113" s="99">
        <f t="shared" si="32"/>
        <v>0.90871558561033605</v>
      </c>
      <c r="G113" s="54">
        <f t="shared" si="33"/>
        <v>0</v>
      </c>
      <c r="H113" s="54">
        <f>SUMIFS('SCH B-3.1'!$F$41:$F$55,'SCH B-3.1'!$B$41:$B$55,'SCH B-3 F'!$B113)</f>
        <v>0</v>
      </c>
      <c r="I113" s="54">
        <f t="shared" si="34"/>
        <v>0</v>
      </c>
    </row>
    <row r="114" spans="1:16" ht="18.95" customHeight="1">
      <c r="A114" s="30">
        <f t="shared" si="31"/>
        <v>72</v>
      </c>
      <c r="B114" s="31"/>
      <c r="C114" s="38" t="s">
        <v>161</v>
      </c>
      <c r="D114" s="51">
        <f>SUM(D104:D113)</f>
        <v>207698615.21384594</v>
      </c>
      <c r="E114" s="51">
        <f t="shared" ref="E114" si="35">SUM(E104:E113)</f>
        <v>-68419347.901041061</v>
      </c>
      <c r="F114" s="51"/>
      <c r="G114" s="51">
        <f t="shared" ref="G114:I114" si="36">SUM(G104:G113)</f>
        <v>-62173727.794971846</v>
      </c>
      <c r="H114" s="51">
        <f t="shared" si="36"/>
        <v>1909743.6249265922</v>
      </c>
      <c r="I114" s="51">
        <f t="shared" si="36"/>
        <v>-60263984.170045257</v>
      </c>
      <c r="K114" s="101">
        <f>'JURISSEP F'!E272</f>
        <v>68419347.901041046</v>
      </c>
      <c r="L114" s="101">
        <f>'JURISSEP F'!G272</f>
        <v>62173727.794971846</v>
      </c>
      <c r="M114" s="101"/>
      <c r="N114" s="101">
        <f>SUM(L114:M114)</f>
        <v>62173727.794971846</v>
      </c>
      <c r="O114" s="101">
        <f>-E114+M114</f>
        <v>68419347.901041061</v>
      </c>
      <c r="P114" s="102">
        <f>N114/O114</f>
        <v>0.90871558561033605</v>
      </c>
    </row>
    <row r="115" spans="1:16" ht="18.95" customHeight="1">
      <c r="A115" s="30"/>
      <c r="B115" s="31"/>
    </row>
    <row r="116" spans="1:16" ht="18.95" customHeight="1" thickBot="1">
      <c r="A116" s="30">
        <f>A114+1</f>
        <v>73</v>
      </c>
      <c r="B116" s="31"/>
      <c r="C116" s="28" t="s">
        <v>442</v>
      </c>
      <c r="D116" s="59">
        <f>SUM(D17,D28,D39,D62,D74,D90,D114)</f>
        <v>9526311610.1107655</v>
      </c>
      <c r="E116" s="59">
        <f>SUM(E17,E28,E39,E62,E74,E90,E114)</f>
        <v>-3301600480.7989864</v>
      </c>
      <c r="F116" s="51"/>
      <c r="G116" s="59">
        <f>SUM(G17,G28,G39,G62,G74,G90,G114)</f>
        <v>-2912060195.4345694</v>
      </c>
      <c r="H116" s="59">
        <f>SUM(H17,H28,H39,H62,H74,H90,H114)</f>
        <v>212517430.98282933</v>
      </c>
      <c r="I116" s="59">
        <f>SUM(I17,I28,I39,I62,I74,I90,I114)</f>
        <v>-2699542764.4517398</v>
      </c>
    </row>
    <row r="117" spans="1:16" ht="18.95" customHeight="1" thickTop="1">
      <c r="B117" s="31"/>
    </row>
    <row r="118" spans="1:16" ht="18.95" customHeight="1">
      <c r="B118" s="31"/>
      <c r="D118" s="51"/>
      <c r="E118" s="58"/>
    </row>
    <row r="119" spans="1:16" ht="18.95" customHeight="1">
      <c r="B119" s="31"/>
      <c r="C119" s="38"/>
    </row>
    <row r="120" spans="1:16" ht="18.95" customHeight="1">
      <c r="B120" s="31"/>
    </row>
    <row r="121" spans="1:16" ht="18.95" customHeight="1">
      <c r="B121" s="31"/>
    </row>
    <row r="122" spans="1:16" ht="18.95" customHeight="1">
      <c r="D122" s="29" t="s">
        <v>163</v>
      </c>
    </row>
    <row r="123" spans="1:16" ht="18.95" customHeight="1"/>
    <row r="124" spans="1:16" ht="18.95" customHeight="1"/>
    <row r="125" spans="1:16" ht="18.95" customHeight="1"/>
    <row r="126" spans="1:16" ht="18.95" customHeight="1"/>
    <row r="127" spans="1:16" ht="18.95" customHeight="1"/>
    <row r="128" spans="1:16" ht="18.95" customHeight="1"/>
    <row r="129" ht="18.95" customHeight="1"/>
    <row r="130" ht="18.95" customHeight="1"/>
    <row r="131" ht="18.95" customHeight="1"/>
    <row r="132" ht="18.95" customHeight="1"/>
    <row r="133" ht="18.95" customHeight="1"/>
    <row r="134" ht="18.95" customHeight="1"/>
  </sheetData>
  <mergeCells count="15">
    <mergeCell ref="E100:I100"/>
    <mergeCell ref="A48:I48"/>
    <mergeCell ref="A49:I49"/>
    <mergeCell ref="A91:I91"/>
    <mergeCell ref="A92:I92"/>
    <mergeCell ref="A93:I93"/>
    <mergeCell ref="A94:I94"/>
    <mergeCell ref="E55:I55"/>
    <mergeCell ref="A1:I1"/>
    <mergeCell ref="A2:I2"/>
    <mergeCell ref="A4:I4"/>
    <mergeCell ref="A46:I46"/>
    <mergeCell ref="A47:I47"/>
    <mergeCell ref="A3:J3"/>
    <mergeCell ref="E10:I10"/>
  </mergeCells>
  <pageMargins left="0.95" right="0.5" top="0.75" bottom="0.75" header="0.3" footer="0.3"/>
  <pageSetup scale="61" fitToHeight="0" orientation="portrait" r:id="rId1"/>
  <rowBreaks count="2" manualBreakCount="2">
    <brk id="45" max="16383" man="1"/>
    <brk id="90" max="9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N69"/>
  <sheetViews>
    <sheetView zoomScaleNormal="100" workbookViewId="0">
      <selection activeCell="M49" sqref="M49"/>
    </sheetView>
  </sheetViews>
  <sheetFormatPr defaultColWidth="9" defaultRowHeight="12.75"/>
  <cols>
    <col min="1" max="1" width="6" style="29" customWidth="1"/>
    <col min="2" max="2" width="7.6640625" style="29" customWidth="1"/>
    <col min="3" max="3" width="29.77734375" style="29" customWidth="1"/>
    <col min="4" max="4" width="12.6640625" style="29" customWidth="1"/>
    <col min="5" max="5" width="14.88671875" style="29" customWidth="1"/>
    <col min="6" max="6" width="14.77734375" style="29" customWidth="1"/>
    <col min="7" max="7" width="15.33203125" style="29" customWidth="1"/>
    <col min="8" max="8" width="32.77734375" style="29" customWidth="1"/>
    <col min="9" max="9" width="1.6640625" style="29" customWidth="1"/>
    <col min="10" max="10" width="9" style="29"/>
    <col min="11" max="11" width="17.109375" style="29" customWidth="1"/>
    <col min="12" max="12" width="9" style="29"/>
    <col min="13" max="13" width="9.88671875" style="29" bestFit="1" customWidth="1"/>
    <col min="14" max="14" width="11.21875" style="29" customWidth="1"/>
    <col min="15" max="16384" width="9" style="29"/>
  </cols>
  <sheetData>
    <row r="1" spans="1:13" s="28" customFormat="1" ht="20.100000000000001" customHeight="1">
      <c r="A1" s="706" t="str">
        <f>'Rate Case Constants'!C9</f>
        <v>KENTUCKY UTILITIES COMPANY</v>
      </c>
      <c r="B1" s="706"/>
      <c r="C1" s="706"/>
      <c r="D1" s="706"/>
      <c r="E1" s="706"/>
      <c r="F1" s="706"/>
      <c r="G1" s="706"/>
      <c r="H1" s="706"/>
    </row>
    <row r="2" spans="1:13" s="28" customFormat="1" ht="20.100000000000001" customHeight="1">
      <c r="A2" s="706" t="str">
        <f>'Rate Case Constants'!C10</f>
        <v>CASE NO. 2016-00370</v>
      </c>
      <c r="B2" s="706"/>
      <c r="C2" s="706"/>
      <c r="D2" s="706"/>
      <c r="E2" s="706"/>
      <c r="F2" s="706"/>
      <c r="G2" s="706"/>
      <c r="H2" s="706"/>
    </row>
    <row r="3" spans="1:13" s="28" customFormat="1" ht="20.100000000000001" customHeight="1">
      <c r="A3" s="706" t="s">
        <v>1213</v>
      </c>
      <c r="B3" s="706"/>
      <c r="C3" s="706"/>
      <c r="D3" s="706"/>
      <c r="E3" s="706"/>
      <c r="F3" s="706"/>
      <c r="G3" s="706"/>
      <c r="H3" s="706"/>
      <c r="I3" s="706"/>
    </row>
    <row r="4" spans="1:13" s="28" customFormat="1" ht="20.100000000000001" customHeight="1">
      <c r="A4" s="706" t="str">
        <f>'Rate Case Constants'!C12</f>
        <v>AS OF FEBRUARY 28, 2017</v>
      </c>
      <c r="B4" s="706"/>
      <c r="C4" s="706"/>
      <c r="D4" s="706"/>
      <c r="E4" s="706"/>
      <c r="F4" s="706"/>
      <c r="G4" s="706"/>
      <c r="H4" s="706"/>
    </row>
    <row r="5" spans="1:13" s="28" customFormat="1" ht="20.100000000000001" customHeight="1">
      <c r="A5" s="44"/>
      <c r="B5" s="44"/>
      <c r="C5" s="44"/>
      <c r="D5" s="44"/>
      <c r="E5" s="44"/>
      <c r="F5" s="44"/>
      <c r="G5" s="44"/>
      <c r="H5" s="44"/>
    </row>
    <row r="6" spans="1:13" s="28" customFormat="1" ht="20.100000000000001" customHeight="1">
      <c r="A6" s="27" t="s">
        <v>136</v>
      </c>
      <c r="B6" s="27"/>
      <c r="G6" s="34"/>
      <c r="H6" s="34" t="s">
        <v>1212</v>
      </c>
    </row>
    <row r="7" spans="1:13" s="28" customFormat="1" ht="20.100000000000001" customHeight="1">
      <c r="A7" s="28" t="str">
        <f>'Rate Case Constants'!C29</f>
        <v>TYPE OF FILING: __X__ ORIGINAL  _____ UPDATED  _____ REVISED</v>
      </c>
      <c r="G7" s="34"/>
      <c r="H7" s="34" t="s">
        <v>180</v>
      </c>
    </row>
    <row r="8" spans="1:13" s="28" customFormat="1" ht="20.100000000000001" customHeight="1">
      <c r="A8" s="27" t="s">
        <v>1204</v>
      </c>
      <c r="B8" s="27"/>
      <c r="F8" s="27"/>
      <c r="G8" s="35"/>
      <c r="H8" s="35" t="str">
        <f>'Rate Case Constants'!C36</f>
        <v>WITNESS:   C. M. GARRETT</v>
      </c>
    </row>
    <row r="9" spans="1:13" s="28" customFormat="1" ht="20.100000000000001" customHeight="1"/>
    <row r="10" spans="1:13" ht="58.5" customHeight="1">
      <c r="A10" s="36" t="s">
        <v>134</v>
      </c>
      <c r="B10" s="36" t="s">
        <v>137</v>
      </c>
      <c r="C10" s="39" t="s">
        <v>138</v>
      </c>
      <c r="D10" s="36" t="s">
        <v>219</v>
      </c>
      <c r="E10" s="36" t="s">
        <v>220</v>
      </c>
      <c r="F10" s="36" t="s">
        <v>221</v>
      </c>
      <c r="G10" s="36" t="s">
        <v>222</v>
      </c>
      <c r="H10" s="36" t="s">
        <v>223</v>
      </c>
    </row>
    <row r="11" spans="1:13" ht="23.1" customHeight="1">
      <c r="A11" s="40"/>
      <c r="B11" s="40"/>
      <c r="C11" s="41"/>
      <c r="D11" s="42" t="s">
        <v>145</v>
      </c>
      <c r="E11" s="42"/>
      <c r="F11" s="42" t="s">
        <v>145</v>
      </c>
      <c r="G11" s="42"/>
      <c r="H11" s="42"/>
    </row>
    <row r="12" spans="1:13" ht="18.95" customHeight="1">
      <c r="A12" s="279">
        <v>1</v>
      </c>
      <c r="B12" s="463" t="str">
        <f>'SCH B-3 B'!B$21</f>
        <v>311</v>
      </c>
      <c r="C12" s="27" t="s">
        <v>151</v>
      </c>
      <c r="D12" s="422">
        <f>SUMIFS('FCPIS B'!$S$294:$S$416,'FCPIS B'!$E$294:$E$416,$J12,'FCPIS B'!$C$294:$C$416,$B12)*1000</f>
        <v>414924.54175919999</v>
      </c>
      <c r="E12" s="421">
        <f>'SCH B-3 B'!F$21</f>
        <v>0.86366136049473863</v>
      </c>
      <c r="F12" s="422">
        <f t="shared" ref="F12:F14" si="0">D12*E12</f>
        <v>358354.29423840664</v>
      </c>
      <c r="H12" s="28" t="s">
        <v>2076</v>
      </c>
      <c r="J12" s="28" t="s">
        <v>2312</v>
      </c>
      <c r="L12" s="53"/>
      <c r="M12" s="638"/>
    </row>
    <row r="13" spans="1:13" ht="18.95" customHeight="1">
      <c r="A13" s="279">
        <f t="shared" ref="A13:A26" si="1">A12+1</f>
        <v>2</v>
      </c>
      <c r="B13" s="463" t="str">
        <f>'SCH B-3 B'!B$22</f>
        <v>312</v>
      </c>
      <c r="C13" s="27" t="s">
        <v>1682</v>
      </c>
      <c r="D13" s="422">
        <f>SUMIFS('FCPIS B'!$S$294:$S$416,'FCPIS B'!$E$294:$E$416,$J13,'FCPIS B'!$C$294:$C$416,$B13)*1000-'ECR Exclusions'!AO19</f>
        <v>60056848.86405585</v>
      </c>
      <c r="E13" s="421">
        <f>'SCH B-3 B'!F$22</f>
        <v>0.86366136049473863</v>
      </c>
      <c r="F13" s="422">
        <f t="shared" si="0"/>
        <v>51868779.796957374</v>
      </c>
      <c r="H13" s="28" t="s">
        <v>2076</v>
      </c>
      <c r="J13" s="28" t="s">
        <v>2312</v>
      </c>
      <c r="M13" s="638"/>
    </row>
    <row r="14" spans="1:13" ht="18.95" customHeight="1">
      <c r="A14" s="279">
        <f t="shared" si="1"/>
        <v>3</v>
      </c>
      <c r="B14" s="463" t="str">
        <f>'SCH B-3 B'!B$25</f>
        <v>315</v>
      </c>
      <c r="C14" s="27" t="s">
        <v>1686</v>
      </c>
      <c r="D14" s="422">
        <f>SUMIFS('FCPIS B'!$S$294:$S$416,'FCPIS B'!$E$294:$E$416,$J14,'FCPIS B'!$C$294:$C$416,$B14)*1000</f>
        <v>253165.45469906091</v>
      </c>
      <c r="E14" s="421">
        <f>'SCH B-3 B'!F$25</f>
        <v>0.86366136049473863</v>
      </c>
      <c r="F14" s="422">
        <f t="shared" si="0"/>
        <v>218649.22103566007</v>
      </c>
      <c r="H14" s="28" t="s">
        <v>2076</v>
      </c>
      <c r="J14" s="28" t="s">
        <v>2312</v>
      </c>
    </row>
    <row r="15" spans="1:13" ht="18.95" customHeight="1">
      <c r="A15" s="464">
        <f t="shared" si="1"/>
        <v>4</v>
      </c>
      <c r="B15" s="463" t="str">
        <f>'SCH B-3 B'!B$26</f>
        <v>316</v>
      </c>
      <c r="C15" s="27" t="s">
        <v>1686</v>
      </c>
      <c r="D15" s="422">
        <f>SUMIFS('FCPIS B'!$S$294:$S$416,'FCPIS B'!$E$294:$E$416,$J15,'FCPIS B'!$C$294:$C$416,$B15)*1000</f>
        <v>17309.973914000002</v>
      </c>
      <c r="E15" s="421">
        <f>'SCH B-3 B'!F$26</f>
        <v>0.86366136049473863</v>
      </c>
      <c r="F15" s="422">
        <f t="shared" ref="F15" si="2">D15*E15</f>
        <v>14949.955620693678</v>
      </c>
      <c r="H15" s="28" t="s">
        <v>2076</v>
      </c>
      <c r="J15" s="28" t="s">
        <v>2312</v>
      </c>
    </row>
    <row r="16" spans="1:13" ht="18.95" customHeight="1">
      <c r="A16" s="464">
        <f t="shared" si="1"/>
        <v>5</v>
      </c>
      <c r="B16" s="415" t="str">
        <f>'SCH B-3 B'!B$27</f>
        <v>317</v>
      </c>
      <c r="C16" s="28" t="str">
        <f>'SCH B-3 B'!C$27</f>
        <v>ARO Cost Steam Production</v>
      </c>
      <c r="D16" s="422">
        <f>-'SCH B-3 B'!E$27</f>
        <v>107311096.05944236</v>
      </c>
      <c r="E16" s="423">
        <f>'SCH B-3 B'!F$27</f>
        <v>0.86366136049473863</v>
      </c>
      <c r="F16" s="422">
        <f>D16*E16</f>
        <v>92680447.218879566</v>
      </c>
      <c r="H16" s="28" t="s">
        <v>1461</v>
      </c>
      <c r="J16" s="28" t="s">
        <v>2313</v>
      </c>
    </row>
    <row r="17" spans="1:10" ht="18.95" customHeight="1">
      <c r="A17" s="464">
        <f t="shared" si="1"/>
        <v>6</v>
      </c>
      <c r="B17" s="415" t="str">
        <f>'SCH B-3 B'!B$38</f>
        <v>337</v>
      </c>
      <c r="C17" s="28" t="str">
        <f>'SCH B-3 B'!C$38</f>
        <v>ARO Cost Hydro Production</v>
      </c>
      <c r="D17" s="422">
        <f>-'SCH B-3 B'!E$38</f>
        <v>33724.080000000002</v>
      </c>
      <c r="E17" s="423">
        <f>'SCH B-3 B'!F$38</f>
        <v>0.87458077632486475</v>
      </c>
      <c r="F17" s="422">
        <f>D17*E17</f>
        <v>29494.432067241847</v>
      </c>
      <c r="H17" s="28" t="s">
        <v>1461</v>
      </c>
      <c r="J17" s="28" t="s">
        <v>2313</v>
      </c>
    </row>
    <row r="18" spans="1:10" ht="18.95" customHeight="1">
      <c r="A18" s="464">
        <f t="shared" si="1"/>
        <v>7</v>
      </c>
      <c r="B18" s="463" t="str">
        <f>'SCH B-3 B'!B$61</f>
        <v>347</v>
      </c>
      <c r="C18" s="28" t="str">
        <f>'SCH B-3 B'!C$61</f>
        <v>ARO Cost Other Production</v>
      </c>
      <c r="D18" s="422">
        <f>-'SCH B-3 B'!E$61</f>
        <v>36443.819999999905</v>
      </c>
      <c r="E18" s="423">
        <f>'SCH B-3 B'!F$61</f>
        <v>0.87192446501955168</v>
      </c>
      <c r="F18" s="422">
        <f>D18*E18</f>
        <v>31776.258256768753</v>
      </c>
      <c r="H18" s="28" t="s">
        <v>1461</v>
      </c>
      <c r="J18" s="28" t="s">
        <v>2313</v>
      </c>
    </row>
    <row r="19" spans="1:10" ht="18.95" customHeight="1">
      <c r="A19" s="464">
        <f t="shared" si="1"/>
        <v>8</v>
      </c>
      <c r="B19" s="415" t="str">
        <f>'SCH B-3 B'!B$73</f>
        <v>359</v>
      </c>
      <c r="C19" s="28" t="str">
        <f>'SCH B-3 B'!C$73</f>
        <v>ARO Cost Elec Transmission</v>
      </c>
      <c r="D19" s="422">
        <f>-'SCH B-3 B'!E$73</f>
        <v>53493.409999999894</v>
      </c>
      <c r="E19" s="423">
        <f>'SCH B-3 B'!F$73</f>
        <v>0.87361297093001855</v>
      </c>
      <c r="F19" s="422">
        <f>D19*E19</f>
        <v>46732.536835277475</v>
      </c>
      <c r="H19" s="28" t="s">
        <v>1461</v>
      </c>
      <c r="J19" s="28" t="s">
        <v>2313</v>
      </c>
    </row>
    <row r="20" spans="1:10" ht="18.95" customHeight="1">
      <c r="A20" s="464">
        <f t="shared" si="1"/>
        <v>9</v>
      </c>
      <c r="B20" s="463" t="str">
        <f>'SCH B-3 B'!B$80</f>
        <v>364</v>
      </c>
      <c r="C20" s="38" t="s">
        <v>1734</v>
      </c>
      <c r="D20" s="422">
        <f>SUMIFS('FCPIS B'!$S$294:$S$416,'FCPIS B'!$E$294:$E$416,$J20,'FCPIS B'!$C$294:$C$416,$B20)*1000</f>
        <v>1519.80848003799</v>
      </c>
      <c r="E20" s="423">
        <f>'SCH B-3 B'!F$80</f>
        <v>0.935513813820672</v>
      </c>
      <c r="F20" s="422">
        <f>D20*E20</f>
        <v>1421.8018274373387</v>
      </c>
      <c r="H20" s="28" t="s">
        <v>2076</v>
      </c>
      <c r="J20" s="28" t="s">
        <v>2312</v>
      </c>
    </row>
    <row r="21" spans="1:10" ht="18.95" customHeight="1">
      <c r="A21" s="464">
        <f t="shared" si="1"/>
        <v>10</v>
      </c>
      <c r="B21" s="463" t="str">
        <f>'SCH B-3 B'!B$81</f>
        <v>365</v>
      </c>
      <c r="C21" s="38" t="s">
        <v>1723</v>
      </c>
      <c r="D21" s="422">
        <f>SUMIFS('FCPIS B'!$S$294:$S$416,'FCPIS B'!$E$294:$E$416,$J21,'FCPIS B'!$C$294:$C$416,$B21)*1000</f>
        <v>1874.0804714999999</v>
      </c>
      <c r="E21" s="423">
        <f>'SCH B-3 B'!F$81</f>
        <v>0.935513813820672</v>
      </c>
      <c r="F21" s="422">
        <f t="shared" ref="F21:F23" si="3">D21*E21</f>
        <v>1753.2281692998081</v>
      </c>
      <c r="H21" s="28" t="s">
        <v>2076</v>
      </c>
      <c r="J21" s="28" t="s">
        <v>2312</v>
      </c>
    </row>
    <row r="22" spans="1:10" ht="18.95" customHeight="1">
      <c r="A22" s="464">
        <f t="shared" si="1"/>
        <v>11</v>
      </c>
      <c r="B22" s="463" t="str">
        <f>'SCH B-3 B'!B$82</f>
        <v>366</v>
      </c>
      <c r="C22" s="38" t="s">
        <v>1725</v>
      </c>
      <c r="D22" s="422">
        <f>SUMIFS('FCPIS B'!$S$294:$S$416,'FCPIS B'!$E$294:$E$416,$J22,'FCPIS B'!$C$294:$C$416,$B22)*1000</f>
        <v>11350.39402</v>
      </c>
      <c r="E22" s="423">
        <f>'SCH B-3 B'!F$82</f>
        <v>1</v>
      </c>
      <c r="F22" s="422">
        <f t="shared" si="3"/>
        <v>11350.39402</v>
      </c>
      <c r="H22" s="28" t="s">
        <v>2076</v>
      </c>
      <c r="J22" s="28" t="s">
        <v>2312</v>
      </c>
    </row>
    <row r="23" spans="1:10" ht="18.95" customHeight="1">
      <c r="A23" s="464">
        <f t="shared" si="1"/>
        <v>12</v>
      </c>
      <c r="B23" s="463" t="str">
        <f>'SCH B-3 B'!B$83</f>
        <v>367</v>
      </c>
      <c r="C23" s="38" t="s">
        <v>1727</v>
      </c>
      <c r="D23" s="422">
        <f>SUMIFS('FCPIS B'!$S$294:$S$416,'FCPIS B'!$E$294:$E$416,$J23,'FCPIS B'!$C$294:$C$416,$B23)*1000</f>
        <v>77262.847137199904</v>
      </c>
      <c r="E23" s="423">
        <f>'SCH B-3 B'!F$83</f>
        <v>0.935513813820672</v>
      </c>
      <c r="F23" s="422">
        <f t="shared" si="3"/>
        <v>72280.460791965466</v>
      </c>
      <c r="H23" s="28" t="s">
        <v>2076</v>
      </c>
      <c r="J23" s="28" t="s">
        <v>2312</v>
      </c>
    </row>
    <row r="24" spans="1:10" ht="18.95" customHeight="1">
      <c r="A24" s="464">
        <f t="shared" si="1"/>
        <v>13</v>
      </c>
      <c r="B24" s="415" t="str">
        <f>'SCH B-3 B'!B$89</f>
        <v>374</v>
      </c>
      <c r="C24" s="28" t="str">
        <f>'SCH B-3 B'!C$89</f>
        <v>ARO Cost Elec Distribution</v>
      </c>
      <c r="D24" s="422">
        <f>-'SCH B-3 B'!E$89</f>
        <v>129706.85999999901</v>
      </c>
      <c r="E24" s="423">
        <f>'SCH B-3 B'!F$89</f>
        <v>1</v>
      </c>
      <c r="F24" s="422">
        <f>D24*E24</f>
        <v>129706.85999999901</v>
      </c>
      <c r="H24" s="28" t="s">
        <v>1461</v>
      </c>
      <c r="J24" s="28" t="s">
        <v>2313</v>
      </c>
    </row>
    <row r="25" spans="1:10" ht="18.95" customHeight="1">
      <c r="A25" s="464">
        <f t="shared" si="1"/>
        <v>14</v>
      </c>
      <c r="B25" s="463" t="str">
        <f>'SCH B-3 B'!B$107</f>
        <v>392</v>
      </c>
      <c r="C25" s="27" t="s">
        <v>158</v>
      </c>
      <c r="D25" s="422">
        <f>SUMIFS('FCPIS B'!$S$294:$S$416,'FCPIS B'!$E$294:$E$416,$J25,'FCPIS B'!$C$294:$C$416,$B25)*1000</f>
        <v>36442.492998999995</v>
      </c>
      <c r="E25" s="421">
        <f>'SCH B-3 B'!F$107</f>
        <v>0.90713801513087167</v>
      </c>
      <c r="F25" s="422">
        <f t="shared" ref="F25" si="4">D25*E25</f>
        <v>33058.370765533538</v>
      </c>
      <c r="H25" s="28" t="s">
        <v>2076</v>
      </c>
      <c r="J25" s="28" t="s">
        <v>2312</v>
      </c>
    </row>
    <row r="26" spans="1:10" ht="18.95" customHeight="1">
      <c r="A26" s="464">
        <f t="shared" si="1"/>
        <v>15</v>
      </c>
      <c r="B26" s="463" t="str">
        <f>'SCH B-3 B'!B$112</f>
        <v>397</v>
      </c>
      <c r="C26" s="27" t="s">
        <v>160</v>
      </c>
      <c r="D26" s="422">
        <f>SUMIFS('FCPIS B'!$S$294:$S$416,'FCPIS B'!$E$294:$E$416,$J26,'FCPIS B'!$C$294:$C$416,$B26)*1000</f>
        <v>981867.29705200007</v>
      </c>
      <c r="E26" s="421">
        <v>1</v>
      </c>
      <c r="F26" s="422">
        <f t="shared" ref="F26" si="5">D26*E26</f>
        <v>981867.29705200007</v>
      </c>
      <c r="H26" s="28" t="s">
        <v>2077</v>
      </c>
      <c r="J26" s="28" t="s">
        <v>2314</v>
      </c>
    </row>
    <row r="27" spans="1:10" ht="18.95" customHeight="1">
      <c r="A27" s="288"/>
      <c r="B27" s="31"/>
      <c r="C27" s="27"/>
      <c r="D27" s="422"/>
      <c r="E27" s="421"/>
      <c r="F27" s="422"/>
      <c r="H27" s="112"/>
    </row>
    <row r="28" spans="1:10" ht="18.95" customHeight="1" thickBot="1">
      <c r="A28" s="288">
        <f>A26+1</f>
        <v>16</v>
      </c>
      <c r="B28" s="31"/>
      <c r="C28" s="27" t="s">
        <v>2099</v>
      </c>
      <c r="D28" s="420">
        <f>SUM(D12:D27)</f>
        <v>169417029.98403016</v>
      </c>
      <c r="E28" s="421"/>
      <c r="F28" s="420">
        <f>SUM(F12:F27)</f>
        <v>146480622.12651721</v>
      </c>
      <c r="H28" s="112"/>
    </row>
    <row r="29" spans="1:10" ht="18.95" customHeight="1" thickTop="1">
      <c r="A29" s="106"/>
      <c r="B29" s="31"/>
      <c r="C29" s="28"/>
      <c r="D29" s="53"/>
      <c r="E29" s="99"/>
      <c r="F29" s="53"/>
      <c r="H29" s="112"/>
    </row>
    <row r="30" spans="1:10" s="28" customFormat="1" ht="20.100000000000001" customHeight="1">
      <c r="A30" s="706" t="str">
        <f>$A$1</f>
        <v>KENTUCKY UTILITIES COMPANY</v>
      </c>
      <c r="B30" s="706"/>
      <c r="C30" s="706"/>
      <c r="D30" s="706"/>
      <c r="E30" s="706"/>
      <c r="F30" s="706"/>
      <c r="G30" s="706"/>
      <c r="H30" s="706"/>
    </row>
    <row r="31" spans="1:10" s="28" customFormat="1" ht="20.100000000000001" customHeight="1">
      <c r="A31" s="706" t="str">
        <f>$A$2</f>
        <v>CASE NO. 2016-00370</v>
      </c>
      <c r="B31" s="706"/>
      <c r="C31" s="706"/>
      <c r="D31" s="706"/>
      <c r="E31" s="706"/>
      <c r="F31" s="706"/>
      <c r="G31" s="706"/>
      <c r="H31" s="706"/>
    </row>
    <row r="32" spans="1:10" s="28" customFormat="1" ht="20.100000000000001" customHeight="1">
      <c r="A32" s="706" t="str">
        <f>$A$3</f>
        <v>ADJUSTMENTS TO ACCUMULATED DEPRECIATION AND AMORTIZATION</v>
      </c>
      <c r="B32" s="706"/>
      <c r="C32" s="706"/>
      <c r="D32" s="706"/>
      <c r="E32" s="706"/>
      <c r="F32" s="706"/>
      <c r="G32" s="706"/>
      <c r="H32" s="706"/>
    </row>
    <row r="33" spans="1:14" s="28" customFormat="1" ht="20.100000000000001" customHeight="1">
      <c r="A33" s="706" t="str">
        <f>'Rate Case Constants'!C18</f>
        <v>AS OF JUNE 30, 2018</v>
      </c>
      <c r="B33" s="706"/>
      <c r="C33" s="706"/>
      <c r="D33" s="706"/>
      <c r="E33" s="706"/>
      <c r="F33" s="706"/>
      <c r="G33" s="706"/>
      <c r="H33" s="706"/>
    </row>
    <row r="34" spans="1:14" s="28" customFormat="1" ht="20.100000000000001" customHeight="1">
      <c r="A34" s="44"/>
      <c r="B34" s="44"/>
      <c r="C34" s="44"/>
      <c r="D34" s="44"/>
      <c r="E34" s="44"/>
      <c r="F34" s="44"/>
      <c r="G34" s="44"/>
      <c r="H34" s="44"/>
    </row>
    <row r="35" spans="1:14" s="28" customFormat="1" ht="20.100000000000001" customHeight="1">
      <c r="A35" s="27" t="s">
        <v>164</v>
      </c>
      <c r="B35" s="27"/>
      <c r="G35" s="34"/>
      <c r="H35" s="34" t="s">
        <v>1212</v>
      </c>
    </row>
    <row r="36" spans="1:14" s="28" customFormat="1" ht="20.100000000000001" customHeight="1">
      <c r="A36" s="27" t="str">
        <f>$A$7</f>
        <v>TYPE OF FILING: __X__ ORIGINAL  _____ UPDATED  _____ REVISED</v>
      </c>
      <c r="G36" s="34"/>
      <c r="H36" s="34" t="s">
        <v>188</v>
      </c>
    </row>
    <row r="37" spans="1:14" s="28" customFormat="1" ht="20.100000000000001" customHeight="1">
      <c r="A37" s="27" t="str">
        <f>$A$8</f>
        <v>WORKPAPER REFERENCE NO(S).:</v>
      </c>
      <c r="B37" s="27"/>
      <c r="F37" s="27"/>
      <c r="G37" s="35"/>
      <c r="H37" s="35" t="str">
        <f>$H$8</f>
        <v>WITNESS:   C. M. GARRETT</v>
      </c>
    </row>
    <row r="38" spans="1:14" s="28" customFormat="1" ht="20.100000000000001" customHeight="1"/>
    <row r="39" spans="1:14" ht="58.5" customHeight="1">
      <c r="A39" s="36" t="s">
        <v>134</v>
      </c>
      <c r="B39" s="36" t="s">
        <v>137</v>
      </c>
      <c r="C39" s="39" t="s">
        <v>138</v>
      </c>
      <c r="D39" s="36" t="s">
        <v>219</v>
      </c>
      <c r="E39" s="36" t="s">
        <v>220</v>
      </c>
      <c r="F39" s="36" t="s">
        <v>221</v>
      </c>
      <c r="G39" s="36" t="s">
        <v>222</v>
      </c>
      <c r="H39" s="36" t="s">
        <v>223</v>
      </c>
      <c r="K39" s="460"/>
    </row>
    <row r="40" spans="1:14" ht="23.1" customHeight="1">
      <c r="A40" s="40"/>
      <c r="B40" s="40"/>
      <c r="C40" s="41"/>
      <c r="D40" s="42" t="s">
        <v>145</v>
      </c>
      <c r="E40" s="42"/>
      <c r="F40" s="42" t="s">
        <v>145</v>
      </c>
      <c r="G40" s="42"/>
      <c r="H40" s="42"/>
    </row>
    <row r="41" spans="1:14" ht="18.95" customHeight="1">
      <c r="A41" s="279">
        <v>1</v>
      </c>
      <c r="B41" s="415" t="str">
        <f t="shared" ref="B41:B46" si="6">B12</f>
        <v>311</v>
      </c>
      <c r="C41" s="27" t="s">
        <v>151</v>
      </c>
      <c r="D41" s="422">
        <f>SUMIFS('FCPIS F'!$T$284:$T$406,'FCPIS F'!$E$284:$E$406,$J41,'FCPIS F'!$C$284:$C$406,$B41)*1000</f>
        <v>604753.4046810997</v>
      </c>
      <c r="E41" s="421">
        <f>'SCH B-3 F'!F$21</f>
        <v>0.86423513430708154</v>
      </c>
      <c r="F41" s="422">
        <f t="shared" ref="F41:F43" si="7">D41*E41</f>
        <v>522649.13991723501</v>
      </c>
      <c r="H41" s="28" t="s">
        <v>2076</v>
      </c>
      <c r="J41" s="28" t="s">
        <v>2312</v>
      </c>
      <c r="K41" s="461"/>
    </row>
    <row r="42" spans="1:14" ht="18.95" customHeight="1">
      <c r="A42" s="279">
        <f t="shared" ref="A42:A55" si="8">A41+1</f>
        <v>2</v>
      </c>
      <c r="B42" s="463" t="str">
        <f t="shared" si="6"/>
        <v>312</v>
      </c>
      <c r="C42" s="27" t="s">
        <v>1682</v>
      </c>
      <c r="D42" s="422">
        <f>SUMIFS('FCPIS F'!$T$284:$T$406,'FCPIS F'!$E$284:$E$406,$J42,'FCPIS F'!$C$284:$C$406,$B42)*1000-'ECR Exclusions'!BF19</f>
        <v>97224388.396863252</v>
      </c>
      <c r="E42" s="421">
        <f>'SCH B-3 F'!F$22</f>
        <v>0.86423513430708154</v>
      </c>
      <c r="F42" s="422">
        <f t="shared" si="7"/>
        <v>84024732.364086971</v>
      </c>
      <c r="H42" s="28" t="s">
        <v>2076</v>
      </c>
      <c r="J42" s="28" t="s">
        <v>2312</v>
      </c>
      <c r="K42" s="53"/>
      <c r="L42" s="53"/>
      <c r="M42" s="53"/>
      <c r="N42" s="638"/>
    </row>
    <row r="43" spans="1:14" ht="18.95" customHeight="1">
      <c r="A43" s="279">
        <f t="shared" si="8"/>
        <v>3</v>
      </c>
      <c r="B43" s="463" t="str">
        <f t="shared" si="6"/>
        <v>315</v>
      </c>
      <c r="C43" s="27" t="s">
        <v>1686</v>
      </c>
      <c r="D43" s="422">
        <f>SUMIFS('FCPIS F'!$T$284:$T$406,'FCPIS F'!$E$284:$E$406,$J43,'FCPIS F'!$C$284:$C$406,$B43)*1000</f>
        <v>380435.3216105717</v>
      </c>
      <c r="E43" s="421">
        <f>'SCH B-3 F'!F$25</f>
        <v>0.86423513430708154</v>
      </c>
      <c r="F43" s="422">
        <f t="shared" si="7"/>
        <v>328785.57126727019</v>
      </c>
      <c r="H43" s="28" t="s">
        <v>2076</v>
      </c>
      <c r="J43" s="28" t="s">
        <v>2312</v>
      </c>
      <c r="K43" s="53"/>
      <c r="N43" s="638"/>
    </row>
    <row r="44" spans="1:14" ht="18.95" customHeight="1">
      <c r="A44" s="464">
        <f t="shared" si="8"/>
        <v>4</v>
      </c>
      <c r="B44" s="463" t="str">
        <f t="shared" si="6"/>
        <v>316</v>
      </c>
      <c r="C44" s="27" t="s">
        <v>1686</v>
      </c>
      <c r="D44" s="422">
        <f>SUMIFS('FCPIS F'!$T$284:$T$406,'FCPIS F'!$E$284:$E$406,$J44,'FCPIS F'!$C$284:$C$406,$B44)*1000</f>
        <v>28308.952316999981</v>
      </c>
      <c r="E44" s="421">
        <f>'SCH B-3 F'!F$26</f>
        <v>0.86423513430708154</v>
      </c>
      <c r="F44" s="422">
        <f t="shared" ref="F44" si="9">D44*E44</f>
        <v>24465.591207775247</v>
      </c>
      <c r="H44" s="28" t="s">
        <v>2076</v>
      </c>
      <c r="J44" s="28" t="s">
        <v>2312</v>
      </c>
      <c r="K44" s="53"/>
    </row>
    <row r="45" spans="1:14" ht="18.95" customHeight="1">
      <c r="A45" s="464">
        <f t="shared" si="8"/>
        <v>5</v>
      </c>
      <c r="B45" s="463" t="str">
        <f t="shared" si="6"/>
        <v>317</v>
      </c>
      <c r="C45" s="28" t="str">
        <f>'SCH B-3 F'!C$27</f>
        <v>ARO Cost Steam Production</v>
      </c>
      <c r="D45" s="422">
        <f>-'SCH B-3 F'!E$27</f>
        <v>144994287.23000002</v>
      </c>
      <c r="E45" s="423">
        <f>'SCH B-3 F'!F$27</f>
        <v>0.86423513430708154</v>
      </c>
      <c r="F45" s="422">
        <f>D45*E45</f>
        <v>125309157.29797862</v>
      </c>
      <c r="H45" s="28" t="s">
        <v>1461</v>
      </c>
      <c r="J45" s="28" t="s">
        <v>2313</v>
      </c>
    </row>
    <row r="46" spans="1:14" ht="18.95" customHeight="1">
      <c r="A46" s="464">
        <f t="shared" si="8"/>
        <v>6</v>
      </c>
      <c r="B46" s="463" t="str">
        <f t="shared" si="6"/>
        <v>337</v>
      </c>
      <c r="C46" s="28" t="str">
        <f>'SCH B-3 F'!C$38</f>
        <v>ARO Cost Hydro Production</v>
      </c>
      <c r="D46" s="422">
        <f>-'SCH B-3 F'!E$38</f>
        <v>38202.379999999997</v>
      </c>
      <c r="E46" s="423">
        <f>'SCH B-3 F'!F$38</f>
        <v>0.87452003111448595</v>
      </c>
      <c r="F46" s="422">
        <f>D46*E46</f>
        <v>33408.746546247414</v>
      </c>
      <c r="H46" s="28" t="s">
        <v>1461</v>
      </c>
      <c r="J46" s="28" t="s">
        <v>2313</v>
      </c>
      <c r="K46" s="461"/>
    </row>
    <row r="47" spans="1:14" ht="18.95" customHeight="1">
      <c r="A47" s="464">
        <f t="shared" si="8"/>
        <v>7</v>
      </c>
      <c r="B47" s="463" t="str">
        <f>'SCH B-3 F'!B$61</f>
        <v>347</v>
      </c>
      <c r="C47" s="28" t="str">
        <f>'SCH B-3 F'!C$61</f>
        <v>ARO Cost Other Production</v>
      </c>
      <c r="D47" s="422">
        <f>-'SCH B-3 F'!E$61</f>
        <v>53798.019999999902</v>
      </c>
      <c r="E47" s="423">
        <f>'SCH B-3 F'!F$61</f>
        <v>0.87213685675315</v>
      </c>
      <c r="F47" s="422">
        <f>D47*E47</f>
        <v>46919.236062343014</v>
      </c>
      <c r="H47" s="28" t="s">
        <v>1461</v>
      </c>
      <c r="J47" s="28" t="s">
        <v>2313</v>
      </c>
      <c r="K47" s="53"/>
    </row>
    <row r="48" spans="1:14" ht="18.95" customHeight="1">
      <c r="A48" s="464">
        <f t="shared" si="8"/>
        <v>8</v>
      </c>
      <c r="B48" s="463" t="str">
        <f>B19</f>
        <v>359</v>
      </c>
      <c r="C48" s="28" t="str">
        <f>'SCH B-3 F'!C$73</f>
        <v>ARO Cost Elec Transmission</v>
      </c>
      <c r="D48" s="422">
        <f>-'SCH B-3 F'!E$73</f>
        <v>60487.909999999909</v>
      </c>
      <c r="E48" s="423">
        <f>'SCH B-3 F'!F$73</f>
        <v>0.8739657826390137</v>
      </c>
      <c r="F48" s="422">
        <f>D48*E48</f>
        <v>52864.363603348145</v>
      </c>
      <c r="H48" s="28" t="s">
        <v>1461</v>
      </c>
      <c r="J48" s="28" t="s">
        <v>2313</v>
      </c>
      <c r="K48" s="53"/>
    </row>
    <row r="49" spans="1:11" ht="18.95" customHeight="1">
      <c r="A49" s="464">
        <f t="shared" si="8"/>
        <v>9</v>
      </c>
      <c r="B49" s="463" t="str">
        <f t="shared" ref="B49:B52" si="10">B20</f>
        <v>364</v>
      </c>
      <c r="C49" s="38" t="s">
        <v>1734</v>
      </c>
      <c r="D49" s="422">
        <f>SUMIFS('FCPIS F'!$T$284:$T$406,'FCPIS F'!$E$284:$E$406,$J49,'FCPIS F'!$C$284:$C$406,$B49)*1000</f>
        <v>2080.0589867299905</v>
      </c>
      <c r="E49" s="423">
        <f>'SCH B-3 F'!F$80</f>
        <v>0.93473720540730365</v>
      </c>
      <c r="F49" s="422">
        <f t="shared" ref="F49:F52" si="11">D49*E49</f>
        <v>1944.3085243383389</v>
      </c>
      <c r="H49" s="28" t="s">
        <v>2076</v>
      </c>
      <c r="J49" s="28" t="s">
        <v>2312</v>
      </c>
      <c r="K49" s="53"/>
    </row>
    <row r="50" spans="1:11" ht="18.95" customHeight="1">
      <c r="A50" s="464">
        <f t="shared" si="8"/>
        <v>10</v>
      </c>
      <c r="B50" s="463" t="str">
        <f t="shared" si="10"/>
        <v>365</v>
      </c>
      <c r="C50" s="38" t="s">
        <v>1723</v>
      </c>
      <c r="D50" s="422">
        <f>SUMIFS('FCPIS F'!$T$284:$T$406,'FCPIS F'!$E$284:$E$406,$J50,'FCPIS F'!$C$284:$C$406,$B50)*1000</f>
        <v>2419.6201660000002</v>
      </c>
      <c r="E50" s="423">
        <f>'SCH B-3 F'!F$81</f>
        <v>0.93473720540730365</v>
      </c>
      <c r="F50" s="422">
        <f t="shared" si="11"/>
        <v>2261.7089921139964</v>
      </c>
      <c r="H50" s="28" t="s">
        <v>2076</v>
      </c>
      <c r="J50" s="28" t="s">
        <v>2312</v>
      </c>
      <c r="K50" s="53"/>
    </row>
    <row r="51" spans="1:11" ht="18.95" customHeight="1">
      <c r="A51" s="464">
        <f t="shared" si="8"/>
        <v>11</v>
      </c>
      <c r="B51" s="463" t="str">
        <f t="shared" si="10"/>
        <v>366</v>
      </c>
      <c r="C51" s="38" t="s">
        <v>1725</v>
      </c>
      <c r="D51" s="422">
        <f>SUMIFS('FCPIS F'!$T$284:$T$406,'FCPIS F'!$E$284:$E$406,$J51,'FCPIS F'!$C$284:$C$406,$B51)*1000</f>
        <v>14873.045932000001</v>
      </c>
      <c r="E51" s="423">
        <f>'SCH B-3 F'!F$82</f>
        <v>1</v>
      </c>
      <c r="F51" s="422">
        <f t="shared" si="11"/>
        <v>14873.045932000001</v>
      </c>
      <c r="H51" s="28" t="s">
        <v>2076</v>
      </c>
      <c r="J51" s="28" t="s">
        <v>2312</v>
      </c>
    </row>
    <row r="52" spans="1:11" ht="18.95" customHeight="1">
      <c r="A52" s="464">
        <f t="shared" si="8"/>
        <v>12</v>
      </c>
      <c r="B52" s="463" t="str">
        <f t="shared" si="10"/>
        <v>367</v>
      </c>
      <c r="C52" s="38" t="s">
        <v>1727</v>
      </c>
      <c r="D52" s="422">
        <f>SUMIFS('FCPIS F'!$T$284:$T$406,'FCPIS F'!$E$284:$E$406,$J52,'FCPIS F'!$C$284:$C$406,$B52)*1000</f>
        <v>103851.46030659997</v>
      </c>
      <c r="E52" s="423">
        <f>'SCH B-3 F'!F$83</f>
        <v>0.93473720540730365</v>
      </c>
      <c r="F52" s="422">
        <f t="shared" si="11"/>
        <v>97073.823784458771</v>
      </c>
      <c r="H52" s="28" t="s">
        <v>2076</v>
      </c>
      <c r="J52" s="28" t="s">
        <v>2312</v>
      </c>
      <c r="K52" s="461"/>
    </row>
    <row r="53" spans="1:11" ht="18.95" customHeight="1">
      <c r="A53" s="464">
        <f t="shared" si="8"/>
        <v>13</v>
      </c>
      <c r="B53" s="463" t="str">
        <f>B24</f>
        <v>374</v>
      </c>
      <c r="C53" s="28" t="str">
        <f>'SCH B-3 F'!C$89</f>
        <v>ARO Cost Elec Distribution</v>
      </c>
      <c r="D53" s="422">
        <f>-'SCH B-3 F'!E$89</f>
        <v>148552.15999999997</v>
      </c>
      <c r="E53" s="423">
        <f>'SCH B-3 F'!F$89</f>
        <v>1</v>
      </c>
      <c r="F53" s="422">
        <f>D53*E53</f>
        <v>148552.15999999997</v>
      </c>
      <c r="H53" s="28" t="s">
        <v>1461</v>
      </c>
      <c r="J53" s="28" t="s">
        <v>2313</v>
      </c>
      <c r="K53" s="53"/>
    </row>
    <row r="54" spans="1:11" ht="18.95" customHeight="1">
      <c r="A54" s="464">
        <f t="shared" si="8"/>
        <v>14</v>
      </c>
      <c r="B54" s="463" t="str">
        <f>B25</f>
        <v>392</v>
      </c>
      <c r="C54" s="27" t="s">
        <v>158</v>
      </c>
      <c r="D54" s="422">
        <f>SUMIFS('FCPIS F'!$T$284:$T$406,'FCPIS F'!$E$284:$E$406,$J54,'FCPIS F'!$C$284:$C$406,$B54)*1000</f>
        <v>49567.70268227694</v>
      </c>
      <c r="E54" s="421">
        <f>'SCH B-3 F'!F$107</f>
        <v>0.90871558561033605</v>
      </c>
      <c r="F54" s="422">
        <f t="shared" ref="F54:F55" si="12">D54*E54</f>
        <v>45042.943970284316</v>
      </c>
      <c r="H54" s="28" t="s">
        <v>2076</v>
      </c>
      <c r="J54" s="28" t="s">
        <v>2312</v>
      </c>
      <c r="K54" s="53"/>
    </row>
    <row r="55" spans="1:11" ht="18.95" customHeight="1">
      <c r="A55" s="464">
        <f t="shared" si="8"/>
        <v>15</v>
      </c>
      <c r="B55" s="463" t="str">
        <f>B26</f>
        <v>397</v>
      </c>
      <c r="C55" s="27" t="s">
        <v>160</v>
      </c>
      <c r="D55" s="422">
        <f>SUMIFS('FCPIS F'!$T$284:$T$406,'FCPIS F'!$E$284:$E$406,$J55,'FCPIS F'!$C$284:$C$406,$B55)*1000</f>
        <v>1864700.6809563078</v>
      </c>
      <c r="E55" s="421">
        <v>1</v>
      </c>
      <c r="F55" s="422">
        <f t="shared" si="12"/>
        <v>1864700.6809563078</v>
      </c>
      <c r="H55" s="28" t="s">
        <v>2077</v>
      </c>
      <c r="J55" s="28" t="s">
        <v>2314</v>
      </c>
      <c r="K55" s="53"/>
    </row>
    <row r="56" spans="1:11" ht="18.95" customHeight="1">
      <c r="A56" s="288"/>
      <c r="B56" s="31"/>
      <c r="C56" s="27"/>
      <c r="D56" s="422"/>
      <c r="E56" s="421"/>
      <c r="F56" s="422"/>
      <c r="H56" s="112"/>
    </row>
    <row r="57" spans="1:11" ht="18.95" customHeight="1" thickBot="1">
      <c r="A57" s="288">
        <f>A55+1</f>
        <v>16</v>
      </c>
      <c r="B57" s="31"/>
      <c r="C57" s="27" t="s">
        <v>2099</v>
      </c>
      <c r="D57" s="420">
        <f>SUM(D41:D56)</f>
        <v>245570706.34450188</v>
      </c>
      <c r="E57" s="421"/>
      <c r="F57" s="420">
        <f>SUM(F41:F56)</f>
        <v>212517430.98282933</v>
      </c>
      <c r="H57" s="112"/>
    </row>
    <row r="58" spans="1:11" ht="18.95" customHeight="1" thickTop="1"/>
    <row r="59" spans="1:11" ht="18.95" customHeight="1"/>
    <row r="60" spans="1:11" ht="18.95" customHeight="1"/>
    <row r="61" spans="1:11" ht="18.95" customHeight="1"/>
    <row r="62" spans="1:11" ht="18.95" customHeight="1"/>
    <row r="63" spans="1:11" ht="18.95" customHeight="1"/>
    <row r="64" spans="1:11" ht="18.95" customHeight="1"/>
    <row r="65" ht="18.95" customHeight="1"/>
    <row r="66" ht="18.95" customHeight="1"/>
    <row r="67" ht="18.95" customHeight="1"/>
    <row r="68" ht="18.95" customHeight="1"/>
    <row r="69" ht="18.95" customHeight="1"/>
  </sheetData>
  <mergeCells count="8">
    <mergeCell ref="A32:H32"/>
    <mergeCell ref="A33:H33"/>
    <mergeCell ref="A3:I3"/>
    <mergeCell ref="A1:H1"/>
    <mergeCell ref="A2:H2"/>
    <mergeCell ref="A4:H4"/>
    <mergeCell ref="A30:H30"/>
    <mergeCell ref="A31:H31"/>
  </mergeCells>
  <pageMargins left="0.95" right="0.5" top="0.75" bottom="0.75" header="0.3" footer="0.3"/>
  <pageSetup scale="62" fitToHeight="0" orientation="portrait" r:id="rId1"/>
  <rowBreaks count="1" manualBreakCount="1">
    <brk id="29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V84"/>
  <sheetViews>
    <sheetView showGridLines="0" zoomScale="70" zoomScaleNormal="70" zoomScaleSheetLayoutView="75" workbookViewId="0">
      <selection activeCell="B2" sqref="B2"/>
    </sheetView>
  </sheetViews>
  <sheetFormatPr defaultColWidth="9" defaultRowHeight="15.75"/>
  <cols>
    <col min="1" max="1" width="4.21875" style="312" bestFit="1" customWidth="1"/>
    <col min="2" max="2" width="53" style="313" customWidth="1"/>
    <col min="3" max="3" width="1.6640625" style="314" customWidth="1"/>
    <col min="4" max="4" width="18.6640625" style="313" customWidth="1"/>
    <col min="5" max="5" width="1.6640625" style="314" customWidth="1"/>
    <col min="6" max="6" width="18.6640625" style="313" customWidth="1"/>
    <col min="7" max="7" width="1.6640625" style="314" customWidth="1"/>
    <col min="8" max="8" width="16.6640625" style="313" customWidth="1"/>
    <col min="9" max="9" width="1.6640625" style="314" customWidth="1"/>
    <col min="10" max="10" width="16.6640625" style="313" customWidth="1"/>
    <col min="11" max="11" width="1.6640625" style="314" customWidth="1"/>
    <col min="12" max="12" width="16.6640625" style="313" customWidth="1"/>
    <col min="13" max="13" width="1.6640625" style="314" customWidth="1"/>
    <col min="14" max="14" width="18.6640625" style="313" customWidth="1"/>
    <col min="15" max="15" width="1.6640625" style="314" customWidth="1"/>
    <col min="16" max="16" width="18.6640625" style="313" customWidth="1"/>
    <col min="17" max="17" width="1.6640625" style="314" customWidth="1"/>
    <col min="18" max="18" width="18.6640625" style="313" customWidth="1"/>
    <col min="19" max="19" width="9.44140625" style="316" bestFit="1" customWidth="1"/>
    <col min="20" max="20" width="18.109375" style="313" customWidth="1"/>
    <col min="21" max="21" width="10.6640625" style="313" bestFit="1" customWidth="1"/>
    <col min="22" max="22" width="15.33203125" style="313" bestFit="1" customWidth="1"/>
    <col min="23" max="16384" width="9" style="313"/>
  </cols>
  <sheetData>
    <row r="1" spans="1:22" ht="18" customHeight="1">
      <c r="B1" s="396" t="s">
        <v>164</v>
      </c>
      <c r="R1" s="393" t="s">
        <v>2155</v>
      </c>
    </row>
    <row r="2" spans="1:22" ht="18" customHeight="1">
      <c r="B2" s="397" t="s">
        <v>3367</v>
      </c>
      <c r="R2" s="394" t="str">
        <f>'Rate Case Constants'!C38</f>
        <v>WITNESS:   D. K. ARBOUGH</v>
      </c>
      <c r="T2" s="315"/>
    </row>
    <row r="3" spans="1:22" ht="18" customHeight="1">
      <c r="R3" s="395" t="s">
        <v>2158</v>
      </c>
    </row>
    <row r="4" spans="1:22" ht="18" customHeight="1"/>
    <row r="5" spans="1:22" ht="18" customHeight="1">
      <c r="A5" s="700" t="str">
        <f>'Rate Case Constants'!C9</f>
        <v>KENTUCKY UTILITIES COMPANY</v>
      </c>
      <c r="B5" s="700"/>
      <c r="C5" s="700"/>
      <c r="D5" s="700"/>
      <c r="E5" s="700"/>
      <c r="F5" s="700"/>
      <c r="G5" s="700"/>
      <c r="H5" s="700"/>
      <c r="I5" s="700"/>
      <c r="J5" s="700"/>
      <c r="K5" s="700"/>
      <c r="L5" s="700"/>
      <c r="M5" s="700"/>
      <c r="N5" s="700"/>
      <c r="O5" s="700"/>
      <c r="P5" s="700"/>
      <c r="Q5" s="700"/>
      <c r="R5" s="700"/>
    </row>
    <row r="6" spans="1:22" ht="18" customHeight="1"/>
    <row r="7" spans="1:22" ht="18" customHeight="1">
      <c r="A7" s="700" t="s">
        <v>2489</v>
      </c>
      <c r="B7" s="700"/>
      <c r="C7" s="700"/>
      <c r="D7" s="700"/>
      <c r="E7" s="700"/>
      <c r="F7" s="700"/>
      <c r="G7" s="700"/>
      <c r="H7" s="700"/>
      <c r="I7" s="700"/>
      <c r="J7" s="700"/>
      <c r="K7" s="700"/>
      <c r="L7" s="700"/>
      <c r="M7" s="700"/>
      <c r="N7" s="700"/>
      <c r="O7" s="700"/>
      <c r="P7" s="700"/>
      <c r="Q7" s="700"/>
      <c r="R7" s="700"/>
    </row>
    <row r="8" spans="1:22" ht="18" customHeight="1">
      <c r="A8" s="702"/>
      <c r="B8" s="702"/>
      <c r="C8" s="702"/>
      <c r="D8" s="702"/>
      <c r="E8" s="702"/>
      <c r="F8" s="702"/>
      <c r="G8" s="702"/>
      <c r="H8" s="702"/>
      <c r="I8" s="702"/>
      <c r="J8" s="702"/>
      <c r="K8" s="702"/>
      <c r="L8" s="702"/>
      <c r="M8" s="702"/>
      <c r="N8" s="702"/>
      <c r="O8" s="702"/>
      <c r="P8" s="702"/>
      <c r="Q8" s="702"/>
      <c r="R8" s="702"/>
    </row>
    <row r="9" spans="1:22" ht="18" customHeight="1">
      <c r="A9" s="699" t="s">
        <v>2216</v>
      </c>
      <c r="B9" s="699"/>
      <c r="C9" s="699"/>
      <c r="D9" s="699"/>
      <c r="E9" s="699"/>
      <c r="F9" s="699"/>
      <c r="G9" s="699"/>
      <c r="H9" s="699"/>
      <c r="I9" s="699"/>
      <c r="J9" s="699"/>
      <c r="K9" s="699"/>
      <c r="L9" s="699"/>
      <c r="M9" s="699"/>
      <c r="N9" s="699"/>
      <c r="O9" s="699"/>
      <c r="P9" s="699"/>
      <c r="Q9" s="699"/>
      <c r="R9" s="699"/>
    </row>
    <row r="10" spans="1:22" ht="18" customHeight="1">
      <c r="A10" s="317"/>
    </row>
    <row r="11" spans="1:22" ht="18" customHeight="1">
      <c r="A11" s="317"/>
      <c r="B11" s="318"/>
      <c r="C11" s="319"/>
      <c r="D11" s="320"/>
      <c r="E11" s="319"/>
      <c r="F11" s="318"/>
      <c r="G11" s="319"/>
      <c r="H11" s="318"/>
      <c r="I11" s="319"/>
      <c r="J11" s="318"/>
      <c r="K11" s="319"/>
      <c r="L11" s="318"/>
      <c r="M11" s="319"/>
      <c r="N11" s="318"/>
      <c r="O11" s="319"/>
      <c r="P11" s="318"/>
      <c r="Q11" s="319"/>
      <c r="R11" s="318"/>
    </row>
    <row r="12" spans="1:22" ht="18" customHeight="1">
      <c r="A12" s="317"/>
      <c r="B12" s="321"/>
      <c r="L12" s="323" t="s">
        <v>2101</v>
      </c>
      <c r="N12" s="323" t="s">
        <v>2101</v>
      </c>
    </row>
    <row r="13" spans="1:22" ht="18" customHeight="1">
      <c r="A13" s="317"/>
      <c r="B13" s="318"/>
      <c r="C13" s="319"/>
      <c r="D13" s="322" t="s">
        <v>2101</v>
      </c>
      <c r="E13" s="319"/>
      <c r="F13" s="322" t="s">
        <v>2101</v>
      </c>
      <c r="G13" s="319"/>
      <c r="H13" s="323" t="s">
        <v>2101</v>
      </c>
      <c r="I13" s="319"/>
      <c r="J13" s="323" t="s">
        <v>2101</v>
      </c>
      <c r="K13" s="319"/>
      <c r="L13" s="323" t="s">
        <v>2104</v>
      </c>
      <c r="M13" s="319"/>
      <c r="N13" s="323" t="s">
        <v>2104</v>
      </c>
      <c r="O13" s="319"/>
      <c r="P13" s="322" t="s">
        <v>2102</v>
      </c>
      <c r="Q13" s="319"/>
      <c r="R13" s="322" t="s">
        <v>2103</v>
      </c>
    </row>
    <row r="14" spans="1:22" ht="18" customHeight="1">
      <c r="A14" s="317"/>
      <c r="B14" s="318"/>
      <c r="C14" s="319"/>
      <c r="D14" s="322" t="s">
        <v>2104</v>
      </c>
      <c r="E14" s="319"/>
      <c r="F14" s="322" t="s">
        <v>2104</v>
      </c>
      <c r="G14" s="319"/>
      <c r="H14" s="323" t="s">
        <v>2104</v>
      </c>
      <c r="I14" s="319"/>
      <c r="J14" s="323" t="s">
        <v>2104</v>
      </c>
      <c r="K14" s="319"/>
      <c r="L14" s="324" t="s">
        <v>2150</v>
      </c>
      <c r="M14" s="319"/>
      <c r="N14" s="324" t="s">
        <v>2150</v>
      </c>
      <c r="O14" s="319"/>
      <c r="P14" s="322" t="s">
        <v>2104</v>
      </c>
      <c r="Q14" s="319"/>
      <c r="R14" s="322" t="s">
        <v>2105</v>
      </c>
    </row>
    <row r="15" spans="1:22" ht="18" customHeight="1">
      <c r="A15" s="317"/>
      <c r="B15" s="318" t="s">
        <v>2106</v>
      </c>
      <c r="C15" s="319"/>
      <c r="D15" s="324" t="s">
        <v>2107</v>
      </c>
      <c r="E15" s="319"/>
      <c r="F15" s="324" t="s">
        <v>2108</v>
      </c>
      <c r="G15" s="319"/>
      <c r="H15" s="324" t="s">
        <v>2148</v>
      </c>
      <c r="I15" s="319"/>
      <c r="J15" s="324" t="s">
        <v>2149</v>
      </c>
      <c r="K15" s="319"/>
      <c r="L15" s="324" t="s">
        <v>9</v>
      </c>
      <c r="M15" s="319"/>
      <c r="N15" s="324" t="s">
        <v>2109</v>
      </c>
      <c r="O15" s="319"/>
      <c r="P15" s="324" t="s">
        <v>2110</v>
      </c>
      <c r="Q15" s="319"/>
      <c r="R15" s="324" t="s">
        <v>2110</v>
      </c>
    </row>
    <row r="16" spans="1:22" ht="18" customHeight="1">
      <c r="A16" s="317"/>
      <c r="B16" s="325">
        <v>-1</v>
      </c>
      <c r="C16" s="319"/>
      <c r="D16" s="326">
        <v>-2</v>
      </c>
      <c r="E16" s="319"/>
      <c r="F16" s="325">
        <v>-3</v>
      </c>
      <c r="G16" s="319"/>
      <c r="H16" s="325">
        <v>-4</v>
      </c>
      <c r="I16" s="319"/>
      <c r="J16" s="325">
        <v>-5</v>
      </c>
      <c r="K16" s="319"/>
      <c r="L16" s="325">
        <v>-6</v>
      </c>
      <c r="M16" s="319"/>
      <c r="N16" s="325">
        <v>-7</v>
      </c>
      <c r="O16" s="319"/>
      <c r="P16" s="325">
        <v>-8</v>
      </c>
      <c r="Q16" s="319"/>
      <c r="R16" s="325">
        <v>-9</v>
      </c>
      <c r="T16" s="327"/>
      <c r="U16" s="314"/>
      <c r="V16" s="314"/>
    </row>
    <row r="17" spans="1:22" ht="18" customHeight="1">
      <c r="A17" s="317"/>
      <c r="B17" s="318"/>
      <c r="C17" s="319"/>
      <c r="D17" s="318"/>
      <c r="E17" s="319"/>
      <c r="F17" s="322"/>
      <c r="G17" s="319"/>
      <c r="H17" s="318"/>
      <c r="I17" s="319"/>
      <c r="J17" s="318"/>
      <c r="K17" s="319"/>
      <c r="L17" s="318"/>
      <c r="M17" s="319"/>
      <c r="N17" s="324" t="s">
        <v>2152</v>
      </c>
      <c r="O17" s="319"/>
      <c r="P17" s="318"/>
      <c r="Q17" s="319"/>
      <c r="R17" s="318" t="s">
        <v>2151</v>
      </c>
      <c r="T17" s="314"/>
      <c r="U17" s="314"/>
      <c r="V17" s="314"/>
    </row>
    <row r="18" spans="1:22" ht="21" customHeight="1">
      <c r="A18" s="328">
        <f>1</f>
        <v>1</v>
      </c>
      <c r="B18" s="329" t="s">
        <v>2111</v>
      </c>
      <c r="C18" s="330"/>
      <c r="D18" s="332">
        <f>'SCH B-2'!E55+SUM('SCH B-2.6'!G29:G31)+'SCH B-4'!H47</f>
        <v>8743135275.3341064</v>
      </c>
      <c r="E18" s="331"/>
      <c r="F18" s="332">
        <f>SUM('SCH B-2.2'!F42:F46,'SCH B-2.2'!F51:F54,'SCH B-2.2'!F56,'SCH B-4.1'!E30)*-1</f>
        <v>1351104278.6092875</v>
      </c>
      <c r="G18" s="331"/>
      <c r="H18" s="332">
        <f>SUM('SCH B-2.2'!F57)*-1</f>
        <v>10795860.003846154</v>
      </c>
      <c r="I18" s="331"/>
      <c r="J18" s="332">
        <f>SUM('SCH B-2.2'!F47:F50,'SCH B-2.2'!F55)*-1</f>
        <v>291777956.60976106</v>
      </c>
      <c r="K18" s="331"/>
      <c r="L18" s="332">
        <v>0</v>
      </c>
      <c r="M18" s="331"/>
      <c r="N18" s="332">
        <f>D18-SUM(F18:L18)</f>
        <v>7089457180.1112118</v>
      </c>
      <c r="O18" s="331"/>
      <c r="P18" s="332">
        <f>R18-D18</f>
        <v>1094608020.3051205</v>
      </c>
      <c r="Q18" s="331"/>
      <c r="R18" s="332">
        <f>SUM('SCH B-2.1 F'!D113+SUM('SCH B-2.6'!D29:D31)+'SCH B-4'!F47)</f>
        <v>9837743295.6392269</v>
      </c>
      <c r="T18" s="314"/>
      <c r="U18" s="314"/>
      <c r="V18" s="333"/>
    </row>
    <row r="19" spans="1:22" ht="13.5" customHeight="1">
      <c r="A19" s="317"/>
      <c r="B19" s="329"/>
      <c r="C19" s="330"/>
      <c r="D19" s="334"/>
      <c r="E19" s="331"/>
      <c r="F19" s="334"/>
      <c r="G19" s="331"/>
      <c r="H19" s="334"/>
      <c r="I19" s="331"/>
      <c r="J19" s="334"/>
      <c r="K19" s="331"/>
      <c r="L19" s="334"/>
      <c r="M19" s="331"/>
      <c r="N19" s="334"/>
      <c r="O19" s="331"/>
      <c r="P19" s="334"/>
      <c r="Q19" s="331"/>
      <c r="R19" s="334"/>
      <c r="T19" s="314"/>
      <c r="U19" s="314"/>
      <c r="V19" s="314"/>
    </row>
    <row r="20" spans="1:22" ht="21" customHeight="1">
      <c r="A20" s="328">
        <f>1+A18</f>
        <v>2</v>
      </c>
      <c r="B20" s="329" t="s">
        <v>2112</v>
      </c>
      <c r="C20" s="330"/>
      <c r="D20" s="334"/>
      <c r="E20" s="331"/>
      <c r="F20" s="334"/>
      <c r="G20" s="331"/>
      <c r="H20" s="334"/>
      <c r="I20" s="331"/>
      <c r="J20" s="334"/>
      <c r="K20" s="331"/>
      <c r="L20" s="334"/>
      <c r="M20" s="331"/>
      <c r="N20" s="334"/>
      <c r="O20" s="331"/>
      <c r="P20" s="334"/>
      <c r="Q20" s="331"/>
      <c r="R20" s="334"/>
      <c r="T20" s="314"/>
      <c r="U20" s="314"/>
      <c r="V20" s="314"/>
    </row>
    <row r="21" spans="1:22" ht="21" customHeight="1">
      <c r="A21" s="328">
        <f>1+A20</f>
        <v>3</v>
      </c>
      <c r="B21" s="329" t="s">
        <v>2113</v>
      </c>
      <c r="C21" s="330"/>
      <c r="D21" s="334">
        <f>-'SCH B-3 F'!G116</f>
        <v>2912060195.4345694</v>
      </c>
      <c r="E21" s="331"/>
      <c r="F21" s="334">
        <f>SUM('SCH B-3.1'!F41:F44,'SCH B-3.1'!F49:F52,'SCH B-3.1'!F54)</f>
        <v>85061828.497682437</v>
      </c>
      <c r="G21" s="331"/>
      <c r="H21" s="334">
        <f>SUM('SCH B-3.1'!F55)</f>
        <v>1864700.6809563078</v>
      </c>
      <c r="I21" s="331"/>
      <c r="J21" s="334">
        <f>SUM('SCH B-3.1'!F45:F48,'SCH B-3.1'!F53)</f>
        <v>125590901.80419058</v>
      </c>
      <c r="K21" s="331"/>
      <c r="L21" s="334">
        <v>0</v>
      </c>
      <c r="M21" s="331"/>
      <c r="N21" s="334">
        <f>D21-SUM(F21:L21)</f>
        <v>2699542764.4517403</v>
      </c>
      <c r="O21" s="331"/>
      <c r="P21" s="334">
        <f>R21-D21</f>
        <v>389540285.36441708</v>
      </c>
      <c r="Q21" s="331"/>
      <c r="R21" s="334">
        <f>-'SCH B-3 F'!E116</f>
        <v>3301600480.7989864</v>
      </c>
      <c r="T21" s="314"/>
      <c r="U21" s="314"/>
      <c r="V21" s="333"/>
    </row>
    <row r="22" spans="1:22" ht="13.5" customHeight="1">
      <c r="A22" s="328"/>
      <c r="B22" s="329"/>
      <c r="C22" s="330"/>
      <c r="D22" s="334"/>
      <c r="E22" s="331"/>
      <c r="F22" s="334"/>
      <c r="G22" s="331"/>
      <c r="H22" s="334"/>
      <c r="I22" s="331"/>
      <c r="J22" s="334"/>
      <c r="K22" s="331"/>
      <c r="L22" s="334"/>
      <c r="M22" s="331"/>
      <c r="N22" s="334"/>
      <c r="O22" s="331"/>
      <c r="P22" s="334"/>
      <c r="Q22" s="331"/>
      <c r="R22" s="334"/>
      <c r="T22" s="314"/>
      <c r="U22" s="314"/>
      <c r="V22" s="314"/>
    </row>
    <row r="23" spans="1:22" ht="21" customHeight="1">
      <c r="A23" s="328">
        <f>1+A21</f>
        <v>4</v>
      </c>
      <c r="B23" s="329" t="s">
        <v>1551</v>
      </c>
      <c r="C23" s="330"/>
      <c r="D23" s="335">
        <f>D18-D21</f>
        <v>5831075079.8995371</v>
      </c>
      <c r="E23" s="331"/>
      <c r="F23" s="335">
        <f>+F18-F21</f>
        <v>1266042450.1116052</v>
      </c>
      <c r="G23" s="331"/>
      <c r="H23" s="335">
        <f>+H18-H21</f>
        <v>8931159.3228898458</v>
      </c>
      <c r="I23" s="331"/>
      <c r="J23" s="335">
        <f>+J18-J21</f>
        <v>166187054.80557048</v>
      </c>
      <c r="K23" s="331"/>
      <c r="L23" s="335">
        <f>+L18-L21</f>
        <v>0</v>
      </c>
      <c r="M23" s="331"/>
      <c r="N23" s="335">
        <f>+N18-N21</f>
        <v>4389914415.6594715</v>
      </c>
      <c r="O23" s="331"/>
      <c r="P23" s="335">
        <f>P18-P21</f>
        <v>705067734.94070339</v>
      </c>
      <c r="Q23" s="331"/>
      <c r="R23" s="335">
        <f>+R18-R21</f>
        <v>6536142814.8402405</v>
      </c>
      <c r="T23" s="314"/>
      <c r="U23" s="314"/>
      <c r="V23" s="331"/>
    </row>
    <row r="24" spans="1:22" ht="13.5" customHeight="1">
      <c r="A24" s="328"/>
      <c r="B24" s="329"/>
      <c r="C24" s="330"/>
      <c r="D24" s="334"/>
      <c r="E24" s="331"/>
      <c r="F24" s="334"/>
      <c r="G24" s="331"/>
      <c r="H24" s="334"/>
      <c r="I24" s="331"/>
      <c r="J24" s="334"/>
      <c r="K24" s="331"/>
      <c r="L24" s="334"/>
      <c r="M24" s="331"/>
      <c r="N24" s="334"/>
      <c r="O24" s="331"/>
      <c r="P24" s="334"/>
      <c r="Q24" s="331"/>
      <c r="R24" s="334"/>
    </row>
    <row r="25" spans="1:22" ht="21" customHeight="1">
      <c r="A25" s="328">
        <f>1+A23</f>
        <v>5</v>
      </c>
      <c r="B25" s="329" t="s">
        <v>2112</v>
      </c>
      <c r="C25" s="330"/>
      <c r="D25" s="334"/>
      <c r="E25" s="331"/>
      <c r="F25" s="334"/>
      <c r="G25" s="331"/>
      <c r="H25" s="334"/>
      <c r="I25" s="331"/>
      <c r="J25" s="334"/>
      <c r="K25" s="331"/>
      <c r="L25" s="334"/>
      <c r="M25" s="331"/>
      <c r="N25" s="334"/>
      <c r="O25" s="331"/>
      <c r="P25" s="334"/>
      <c r="Q25" s="331"/>
      <c r="R25" s="334"/>
      <c r="S25" s="336"/>
    </row>
    <row r="26" spans="1:22" ht="21" customHeight="1">
      <c r="A26" s="328">
        <f>1+A25</f>
        <v>6</v>
      </c>
      <c r="B26" s="329" t="s">
        <v>2114</v>
      </c>
      <c r="C26" s="330"/>
      <c r="D26" s="334">
        <f>'SCH B-6'!F34</f>
        <v>1549703.6162990497</v>
      </c>
      <c r="E26" s="331"/>
      <c r="F26" s="334">
        <v>0</v>
      </c>
      <c r="G26" s="331"/>
      <c r="H26" s="334">
        <v>0</v>
      </c>
      <c r="I26" s="331"/>
      <c r="J26" s="334">
        <v>0</v>
      </c>
      <c r="K26" s="331"/>
      <c r="L26" s="334">
        <v>0</v>
      </c>
      <c r="M26" s="331"/>
      <c r="N26" s="334">
        <f t="shared" ref="N26:N28" si="0">D26-SUM(F26:L26)</f>
        <v>1549703.6162990497</v>
      </c>
      <c r="O26" s="331"/>
      <c r="P26" s="334">
        <f t="shared" ref="P26:P28" si="1">R26-D26</f>
        <v>26702.423700950574</v>
      </c>
      <c r="Q26" s="331"/>
      <c r="R26" s="334">
        <f>'SCH B-6'!D34</f>
        <v>1576406.0400000003</v>
      </c>
      <c r="T26" s="337"/>
    </row>
    <row r="27" spans="1:22" ht="21" customHeight="1">
      <c r="A27" s="328">
        <f>1+A26</f>
        <v>7</v>
      </c>
      <c r="B27" s="329" t="s">
        <v>2115</v>
      </c>
      <c r="C27" s="330"/>
      <c r="D27" s="334">
        <f>'SCH B-6'!F38</f>
        <v>1171579711.8169348</v>
      </c>
      <c r="E27" s="338"/>
      <c r="F27" s="339">
        <f>-'ECR DEFTAX'!Y4</f>
        <v>267444133.81464437</v>
      </c>
      <c r="G27" s="338"/>
      <c r="H27" s="339">
        <f>-'DSM DEFTAX'!AF2</f>
        <v>1902370.8212253542</v>
      </c>
      <c r="I27" s="338"/>
      <c r="J27" s="339">
        <v>0</v>
      </c>
      <c r="K27" s="338"/>
      <c r="L27" s="339">
        <v>0</v>
      </c>
      <c r="M27" s="338"/>
      <c r="N27" s="339">
        <f t="shared" si="0"/>
        <v>902233207.18106508</v>
      </c>
      <c r="O27" s="338"/>
      <c r="P27" s="334">
        <f t="shared" si="1"/>
        <v>139761771.18306518</v>
      </c>
      <c r="Q27" s="338"/>
      <c r="R27" s="334">
        <f>'SCH B-6'!D38</f>
        <v>1311341483</v>
      </c>
    </row>
    <row r="28" spans="1:22" ht="21" customHeight="1">
      <c r="A28" s="328">
        <f>A27+1</f>
        <v>8</v>
      </c>
      <c r="B28" s="342" t="s">
        <v>2116</v>
      </c>
      <c r="C28" s="330"/>
      <c r="D28" s="334">
        <f>'SCH B-6'!F36</f>
        <v>81185411.398252815</v>
      </c>
      <c r="E28" s="331"/>
      <c r="F28" s="331">
        <v>0</v>
      </c>
      <c r="G28" s="331"/>
      <c r="H28" s="331">
        <v>0</v>
      </c>
      <c r="I28" s="331"/>
      <c r="J28" s="331">
        <v>0</v>
      </c>
      <c r="K28" s="331"/>
      <c r="L28" s="331">
        <v>0</v>
      </c>
      <c r="M28" s="331"/>
      <c r="N28" s="331">
        <f t="shared" si="0"/>
        <v>81185411.398252815</v>
      </c>
      <c r="O28" s="331"/>
      <c r="P28" s="334">
        <f t="shared" si="1"/>
        <v>12118168.229439408</v>
      </c>
      <c r="Q28" s="331"/>
      <c r="R28" s="334">
        <f>'SCH B-6'!D36</f>
        <v>93303579.627692223</v>
      </c>
    </row>
    <row r="29" spans="1:22" ht="12" customHeight="1">
      <c r="A29" s="328"/>
      <c r="B29" s="329"/>
      <c r="C29" s="330"/>
      <c r="D29" s="331"/>
      <c r="E29" s="331"/>
      <c r="F29" s="331"/>
      <c r="G29" s="331"/>
      <c r="H29" s="331"/>
      <c r="I29" s="331"/>
      <c r="J29" s="331"/>
      <c r="K29" s="331"/>
      <c r="L29" s="331"/>
      <c r="M29" s="331"/>
      <c r="N29" s="331"/>
      <c r="O29" s="331"/>
      <c r="P29" s="331"/>
      <c r="Q29" s="331"/>
      <c r="R29" s="331"/>
    </row>
    <row r="30" spans="1:22" ht="21" customHeight="1">
      <c r="A30" s="328">
        <f>1+A28</f>
        <v>9</v>
      </c>
      <c r="B30" s="329" t="s">
        <v>2117</v>
      </c>
      <c r="C30" s="330"/>
      <c r="D30" s="335">
        <f>SUM(D26:D29)</f>
        <v>1254314826.8314867</v>
      </c>
      <c r="E30" s="331"/>
      <c r="F30" s="335">
        <f>SUM(F26:F29)</f>
        <v>267444133.81464437</v>
      </c>
      <c r="G30" s="331"/>
      <c r="H30" s="335">
        <f>SUM(H26:H29)</f>
        <v>1902370.8212253542</v>
      </c>
      <c r="I30" s="331"/>
      <c r="J30" s="335">
        <f>SUM(J26:J29)</f>
        <v>0</v>
      </c>
      <c r="K30" s="331"/>
      <c r="L30" s="335">
        <f>SUM(L26:L29)</f>
        <v>0</v>
      </c>
      <c r="M30" s="331"/>
      <c r="N30" s="335">
        <f>SUM(N26:N29)</f>
        <v>984968322.19561696</v>
      </c>
      <c r="O30" s="331"/>
      <c r="P30" s="335">
        <f>SUM(P26:P29)</f>
        <v>151906641.83620554</v>
      </c>
      <c r="Q30" s="331"/>
      <c r="R30" s="335">
        <f>SUM(R26:R29)</f>
        <v>1406221468.6676922</v>
      </c>
    </row>
    <row r="31" spans="1:22" ht="13.5" customHeight="1">
      <c r="A31" s="317"/>
      <c r="B31" s="329"/>
      <c r="C31" s="330"/>
      <c r="D31" s="334"/>
      <c r="E31" s="331"/>
      <c r="F31" s="334"/>
      <c r="G31" s="331"/>
      <c r="H31" s="334"/>
      <c r="I31" s="331"/>
      <c r="J31" s="334"/>
      <c r="K31" s="331"/>
      <c r="L31" s="334"/>
      <c r="M31" s="331"/>
      <c r="N31" s="334"/>
      <c r="O31" s="331"/>
      <c r="P31" s="334"/>
      <c r="Q31" s="331"/>
      <c r="R31" s="334"/>
    </row>
    <row r="32" spans="1:22" ht="21" customHeight="1">
      <c r="A32" s="317">
        <f>1+A30</f>
        <v>10</v>
      </c>
      <c r="B32" s="329" t="s">
        <v>2118</v>
      </c>
      <c r="C32" s="330"/>
      <c r="D32" s="335">
        <f>D23-D30</f>
        <v>4576760253.0680504</v>
      </c>
      <c r="E32" s="331"/>
      <c r="F32" s="335">
        <f>+F23-F30</f>
        <v>998598316.29696083</v>
      </c>
      <c r="G32" s="331"/>
      <c r="H32" s="335">
        <f>+H23-H30</f>
        <v>7028788.5016644914</v>
      </c>
      <c r="I32" s="331"/>
      <c r="J32" s="335">
        <f>+J23-J30</f>
        <v>166187054.80557048</v>
      </c>
      <c r="K32" s="331"/>
      <c r="L32" s="335">
        <f>+L23-L30</f>
        <v>0</v>
      </c>
      <c r="M32" s="331"/>
      <c r="N32" s="335">
        <f>+N23-N30</f>
        <v>3404946093.4638548</v>
      </c>
      <c r="O32" s="331"/>
      <c r="P32" s="335">
        <f>P23-P30</f>
        <v>553161093.10449791</v>
      </c>
      <c r="Q32" s="331"/>
      <c r="R32" s="335">
        <f>+R23-R30</f>
        <v>5129921346.1725483</v>
      </c>
    </row>
    <row r="33" spans="1:19" ht="15" customHeight="1">
      <c r="A33" s="317"/>
      <c r="B33" s="329"/>
      <c r="C33" s="330"/>
      <c r="D33" s="334"/>
      <c r="E33" s="331"/>
      <c r="F33" s="334"/>
      <c r="G33" s="331"/>
      <c r="H33" s="334"/>
      <c r="I33" s="331"/>
      <c r="J33" s="334"/>
      <c r="K33" s="331"/>
      <c r="L33" s="334"/>
      <c r="M33" s="331"/>
      <c r="N33" s="334"/>
      <c r="O33" s="331"/>
      <c r="P33" s="334"/>
      <c r="Q33" s="331"/>
      <c r="R33" s="334"/>
    </row>
    <row r="34" spans="1:19" ht="21" customHeight="1">
      <c r="A34" s="317">
        <f>1+A32</f>
        <v>11</v>
      </c>
      <c r="B34" s="329" t="s">
        <v>2119</v>
      </c>
      <c r="C34" s="330"/>
      <c r="D34" s="334"/>
      <c r="E34" s="331"/>
      <c r="F34" s="334"/>
      <c r="G34" s="331"/>
      <c r="H34" s="334"/>
      <c r="I34" s="331"/>
      <c r="J34" s="334"/>
      <c r="K34" s="331"/>
      <c r="L34" s="334"/>
      <c r="M34" s="331"/>
      <c r="N34" s="334"/>
      <c r="O34" s="331"/>
      <c r="P34" s="334"/>
      <c r="Q34" s="331"/>
      <c r="R34" s="334"/>
    </row>
    <row r="35" spans="1:19" ht="21" customHeight="1">
      <c r="A35" s="328">
        <f>1+A34</f>
        <v>12</v>
      </c>
      <c r="B35" s="342" t="s">
        <v>2120</v>
      </c>
      <c r="C35" s="330"/>
      <c r="D35" s="339">
        <f>'SCH B-5'!G39+'SCH B-5'!G41</f>
        <v>119808343.75715747</v>
      </c>
      <c r="E35" s="331"/>
      <c r="F35" s="334">
        <v>0</v>
      </c>
      <c r="G35" s="331"/>
      <c r="H35" s="334">
        <v>0</v>
      </c>
      <c r="I35" s="331"/>
      <c r="J35" s="334">
        <v>0</v>
      </c>
      <c r="K35" s="331"/>
      <c r="L35" s="334">
        <v>0</v>
      </c>
      <c r="M35" s="331"/>
      <c r="N35" s="334">
        <f t="shared" ref="N35:N37" si="2">D35-SUM(F35:L35)</f>
        <v>119808343.75715747</v>
      </c>
      <c r="O35" s="331"/>
      <c r="P35" s="339">
        <f t="shared" ref="P35:P39" si="3">R35-D35</f>
        <v>16051091.242842525</v>
      </c>
      <c r="Q35" s="331"/>
      <c r="R35" s="339">
        <f>'SCH B-5'!E39+'SCH B-5'!E41</f>
        <v>135859435</v>
      </c>
    </row>
    <row r="36" spans="1:19" ht="21" customHeight="1">
      <c r="A36" s="328">
        <f>1+A35</f>
        <v>13</v>
      </c>
      <c r="B36" s="343" t="s">
        <v>2121</v>
      </c>
      <c r="C36" s="330"/>
      <c r="D36" s="339">
        <f>'SCH B-5'!G43</f>
        <v>16171253.692540465</v>
      </c>
      <c r="E36" s="331"/>
      <c r="F36" s="334">
        <v>0</v>
      </c>
      <c r="G36" s="331"/>
      <c r="H36" s="334">
        <v>0</v>
      </c>
      <c r="I36" s="331"/>
      <c r="J36" s="334">
        <v>0</v>
      </c>
      <c r="K36" s="331"/>
      <c r="L36" s="334">
        <v>0</v>
      </c>
      <c r="M36" s="331"/>
      <c r="N36" s="334">
        <f t="shared" si="2"/>
        <v>16171253.692540465</v>
      </c>
      <c r="O36" s="331"/>
      <c r="P36" s="339">
        <f t="shared" si="3"/>
        <v>1029275.5400038604</v>
      </c>
      <c r="Q36" s="331"/>
      <c r="R36" s="339">
        <f>'SCH B-5'!E43</f>
        <v>17200529.232544325</v>
      </c>
    </row>
    <row r="37" spans="1:19" ht="21" customHeight="1">
      <c r="A37" s="328">
        <f>1+A36</f>
        <v>14</v>
      </c>
      <c r="B37" s="329" t="s">
        <v>2122</v>
      </c>
      <c r="C37" s="330"/>
      <c r="D37" s="339">
        <f>'SCH B-5'!G45+F37</f>
        <v>119596.14230648502</v>
      </c>
      <c r="E37" s="331"/>
      <c r="F37" s="339">
        <f>'ECR ALLOW'!AG7*1000</f>
        <v>119595.94963548836</v>
      </c>
      <c r="G37" s="331"/>
      <c r="H37" s="334">
        <v>0</v>
      </c>
      <c r="I37" s="331"/>
      <c r="J37" s="334">
        <v>0</v>
      </c>
      <c r="K37" s="331"/>
      <c r="L37" s="334">
        <v>0</v>
      </c>
      <c r="M37" s="331"/>
      <c r="N37" s="334">
        <f t="shared" si="2"/>
        <v>0.19267099666467402</v>
      </c>
      <c r="O37" s="331"/>
      <c r="P37" s="339">
        <f t="shared" si="3"/>
        <v>16963.857693514976</v>
      </c>
      <c r="Q37" s="331"/>
      <c r="R37" s="339">
        <f>'JURISSEP F'!$E$30</f>
        <v>136560</v>
      </c>
      <c r="S37" s="341"/>
    </row>
    <row r="38" spans="1:19" ht="21" customHeight="1">
      <c r="A38" s="328">
        <f>1+A37</f>
        <v>15</v>
      </c>
      <c r="B38" s="329" t="s">
        <v>2123</v>
      </c>
      <c r="C38" s="330"/>
      <c r="D38" s="331">
        <f>D80</f>
        <v>109010035</v>
      </c>
      <c r="E38" s="331"/>
      <c r="F38" s="334">
        <f>F80</f>
        <v>2661475</v>
      </c>
      <c r="G38" s="331"/>
      <c r="H38" s="331">
        <v>0</v>
      </c>
      <c r="I38" s="331"/>
      <c r="J38" s="331">
        <v>0</v>
      </c>
      <c r="K38" s="331"/>
      <c r="L38" s="331">
        <v>0</v>
      </c>
      <c r="M38" s="331"/>
      <c r="N38" s="331">
        <f>D38-SUM(F38:L38)</f>
        <v>106348560</v>
      </c>
      <c r="O38" s="331"/>
      <c r="P38" s="331">
        <f t="shared" si="3"/>
        <v>8142054.9299451113</v>
      </c>
      <c r="Q38" s="331"/>
      <c r="R38" s="331">
        <f>'JURISSEP F'!$E$29</f>
        <v>117152089.92994511</v>
      </c>
    </row>
    <row r="39" spans="1:19" ht="21" customHeight="1">
      <c r="A39" s="328">
        <f t="shared" ref="A39" si="4">A38+1</f>
        <v>16</v>
      </c>
      <c r="B39" s="543" t="s">
        <v>2484</v>
      </c>
      <c r="C39" s="368"/>
      <c r="D39" s="368">
        <f>-'SCH B-6'!F40</f>
        <v>23854016.895012379</v>
      </c>
      <c r="E39" s="368"/>
      <c r="F39" s="368">
        <f>'SCH B-6'!G40</f>
        <v>23854016.895012379</v>
      </c>
      <c r="G39" s="368"/>
      <c r="H39" s="334">
        <v>0</v>
      </c>
      <c r="I39" s="331"/>
      <c r="J39" s="334">
        <v>0</v>
      </c>
      <c r="K39" s="331"/>
      <c r="L39" s="334">
        <v>0</v>
      </c>
      <c r="M39" s="331"/>
      <c r="N39" s="334">
        <f t="shared" ref="N39" si="5">D39-SUM(F39:L39)</f>
        <v>0</v>
      </c>
      <c r="O39" s="331"/>
      <c r="P39" s="339">
        <f t="shared" si="3"/>
        <v>3383521.7442774475</v>
      </c>
      <c r="Q39" s="331"/>
      <c r="R39" s="334">
        <f>-'SCH B-6'!D40</f>
        <v>27237538.639289826</v>
      </c>
      <c r="S39" s="341"/>
    </row>
    <row r="40" spans="1:19" ht="13.5" customHeight="1">
      <c r="A40" s="328"/>
      <c r="B40" s="329"/>
      <c r="C40" s="330"/>
      <c r="D40" s="331"/>
      <c r="E40" s="331"/>
      <c r="F40" s="331"/>
      <c r="G40" s="331"/>
      <c r="H40" s="331"/>
      <c r="I40" s="331"/>
      <c r="J40" s="331"/>
      <c r="K40" s="331"/>
      <c r="L40" s="331"/>
      <c r="M40" s="331"/>
      <c r="N40" s="331"/>
      <c r="O40" s="331"/>
      <c r="P40" s="331"/>
      <c r="Q40" s="331"/>
      <c r="R40" s="331"/>
    </row>
    <row r="41" spans="1:19" ht="21" customHeight="1">
      <c r="A41" s="328">
        <f>A39+1</f>
        <v>17</v>
      </c>
      <c r="B41" s="340" t="s">
        <v>2124</v>
      </c>
      <c r="C41" s="330"/>
      <c r="D41" s="335">
        <f>SUM(D35:D39)</f>
        <v>268963245.4870168</v>
      </c>
      <c r="E41" s="331"/>
      <c r="F41" s="335">
        <f>SUM(F35:F39)</f>
        <v>26635087.844647866</v>
      </c>
      <c r="G41" s="331"/>
      <c r="H41" s="335">
        <f>SUM(H35:H39)</f>
        <v>0</v>
      </c>
      <c r="I41" s="331"/>
      <c r="J41" s="335">
        <f>SUM(J35:J39)</f>
        <v>0</v>
      </c>
      <c r="K41" s="331"/>
      <c r="L41" s="335">
        <f>SUM(L35:L39)</f>
        <v>0</v>
      </c>
      <c r="M41" s="331"/>
      <c r="N41" s="335">
        <f>SUM(N35:N39)</f>
        <v>242328157.64236894</v>
      </c>
      <c r="O41" s="331"/>
      <c r="P41" s="335">
        <f>SUM(P35:P39)</f>
        <v>28622907.314762458</v>
      </c>
      <c r="Q41" s="331"/>
      <c r="R41" s="335">
        <f>SUM(R35:R39)</f>
        <v>297586152.80177927</v>
      </c>
    </row>
    <row r="42" spans="1:19" ht="13.5" customHeight="1">
      <c r="A42" s="328"/>
      <c r="B42" s="329"/>
      <c r="C42" s="330"/>
      <c r="D42" s="334"/>
      <c r="E42" s="331"/>
      <c r="F42" s="334"/>
      <c r="G42" s="331"/>
      <c r="H42" s="334"/>
      <c r="I42" s="331"/>
      <c r="J42" s="334"/>
      <c r="K42" s="331"/>
      <c r="L42" s="334"/>
      <c r="M42" s="331"/>
      <c r="N42" s="334"/>
      <c r="O42" s="331"/>
      <c r="P42" s="334"/>
      <c r="Q42" s="331"/>
      <c r="R42" s="334"/>
    </row>
    <row r="43" spans="1:19" ht="21" customHeight="1" thickBot="1">
      <c r="A43" s="328">
        <f>1+A41</f>
        <v>18</v>
      </c>
      <c r="B43" s="342" t="s">
        <v>2125</v>
      </c>
      <c r="C43" s="330"/>
      <c r="D43" s="344">
        <f>+D32+D41</f>
        <v>4845723498.5550671</v>
      </c>
      <c r="E43" s="345"/>
      <c r="F43" s="344">
        <f>+F32+F41</f>
        <v>1025233404.1416087</v>
      </c>
      <c r="G43" s="345"/>
      <c r="H43" s="344">
        <f>+H32+H41</f>
        <v>7028788.5016644914</v>
      </c>
      <c r="I43" s="345"/>
      <c r="J43" s="344">
        <f>+J32+J41</f>
        <v>166187054.80557048</v>
      </c>
      <c r="K43" s="345"/>
      <c r="L43" s="344">
        <f>+L32+L41</f>
        <v>0</v>
      </c>
      <c r="M43" s="345"/>
      <c r="N43" s="344">
        <f>+N32+N41</f>
        <v>3647274251.1062236</v>
      </c>
      <c r="O43" s="345"/>
      <c r="P43" s="344">
        <f>+P32+P41</f>
        <v>581784000.41926038</v>
      </c>
      <c r="Q43" s="345"/>
      <c r="R43" s="344">
        <f>+R32+R41</f>
        <v>5427507498.9743271</v>
      </c>
    </row>
    <row r="44" spans="1:19" ht="13.5" customHeight="1" thickTop="1">
      <c r="A44" s="328"/>
      <c r="B44" s="329"/>
      <c r="C44" s="330"/>
      <c r="D44" s="334"/>
      <c r="E44" s="331"/>
      <c r="F44" s="334"/>
      <c r="G44" s="331"/>
      <c r="H44" s="334"/>
      <c r="I44" s="331"/>
      <c r="J44" s="334"/>
      <c r="K44" s="331"/>
      <c r="L44" s="334"/>
      <c r="M44" s="331"/>
      <c r="N44" s="334"/>
      <c r="O44" s="331"/>
      <c r="P44" s="334"/>
      <c r="Q44" s="331"/>
      <c r="R44" s="334"/>
    </row>
    <row r="45" spans="1:19" ht="21" customHeight="1">
      <c r="A45" s="328">
        <f>1+A43</f>
        <v>19</v>
      </c>
      <c r="B45" s="343" t="s">
        <v>2153</v>
      </c>
      <c r="C45" s="330"/>
      <c r="D45" s="339"/>
      <c r="E45" s="331"/>
      <c r="F45" s="334"/>
      <c r="G45" s="331"/>
      <c r="H45" s="334"/>
      <c r="I45" s="331"/>
      <c r="J45" s="334">
        <f>-J43</f>
        <v>-166187054.80557048</v>
      </c>
      <c r="K45" s="331"/>
      <c r="L45" s="334"/>
      <c r="M45" s="331"/>
      <c r="N45" s="334">
        <f t="shared" ref="N45" si="6">D45-SUM(F45:L45)</f>
        <v>166187054.80557048</v>
      </c>
      <c r="O45" s="331"/>
      <c r="P45" s="339"/>
      <c r="Q45" s="331"/>
      <c r="R45" s="339">
        <f>SUM(D45,P45)</f>
        <v>0</v>
      </c>
    </row>
    <row r="46" spans="1:19" ht="15.75" customHeight="1">
      <c r="A46" s="328"/>
      <c r="C46" s="330"/>
      <c r="D46" s="334"/>
      <c r="E46" s="331"/>
      <c r="F46" s="334"/>
      <c r="G46" s="331"/>
      <c r="H46" s="334"/>
      <c r="I46" s="331"/>
      <c r="J46" s="334"/>
      <c r="K46" s="331"/>
      <c r="L46" s="334"/>
      <c r="M46" s="331"/>
      <c r="N46" s="334"/>
      <c r="O46" s="331"/>
      <c r="P46" s="334"/>
      <c r="Q46" s="331"/>
      <c r="R46" s="334"/>
    </row>
    <row r="47" spans="1:19" ht="21" customHeight="1" thickBot="1">
      <c r="A47" s="328">
        <f>1+A45</f>
        <v>20</v>
      </c>
      <c r="B47" s="368" t="s">
        <v>2154</v>
      </c>
      <c r="C47" s="330"/>
      <c r="D47" s="344">
        <f>D43+D45</f>
        <v>4845723498.5550671</v>
      </c>
      <c r="E47" s="345"/>
      <c r="F47" s="344">
        <f>F43+F45</f>
        <v>1025233404.1416087</v>
      </c>
      <c r="G47" s="345"/>
      <c r="H47" s="344">
        <f>H43+H45</f>
        <v>7028788.5016644914</v>
      </c>
      <c r="I47" s="345"/>
      <c r="J47" s="344">
        <f>J43+J45</f>
        <v>0</v>
      </c>
      <c r="K47" s="345"/>
      <c r="L47" s="344">
        <f>L43+L45</f>
        <v>0</v>
      </c>
      <c r="M47" s="345"/>
      <c r="N47" s="344">
        <f>N43+N45</f>
        <v>3813461305.9117942</v>
      </c>
      <c r="O47" s="345"/>
      <c r="P47" s="344">
        <f>P43+P45</f>
        <v>581784000.41926038</v>
      </c>
      <c r="Q47" s="345"/>
      <c r="R47" s="344">
        <f>R43+R45</f>
        <v>5427507498.9743271</v>
      </c>
    </row>
    <row r="48" spans="1:19" ht="13.5" customHeight="1" thickTop="1">
      <c r="A48" s="328"/>
      <c r="B48" s="329"/>
      <c r="C48" s="330"/>
      <c r="D48" s="334"/>
      <c r="E48" s="331"/>
      <c r="F48" s="334"/>
      <c r="G48" s="331"/>
      <c r="H48" s="334"/>
      <c r="I48" s="331"/>
      <c r="J48" s="334"/>
      <c r="K48" s="331"/>
      <c r="L48" s="334"/>
      <c r="M48" s="331"/>
      <c r="N48" s="334"/>
      <c r="O48" s="331"/>
      <c r="P48" s="334"/>
      <c r="Q48" s="331"/>
      <c r="R48" s="334"/>
    </row>
    <row r="49" spans="1:21" ht="21" customHeight="1" thickBot="1">
      <c r="A49" s="346">
        <f>1+A47</f>
        <v>21</v>
      </c>
      <c r="B49" s="342" t="s">
        <v>2126</v>
      </c>
      <c r="C49" s="313"/>
      <c r="D49" s="347">
        <f>ROUND(D47/$R47,4)</f>
        <v>0.89280000000000004</v>
      </c>
      <c r="E49" s="313"/>
      <c r="F49" s="347">
        <f>ROUND(F47/$R47,4)</f>
        <v>0.18890000000000001</v>
      </c>
      <c r="G49" s="313"/>
      <c r="H49" s="347">
        <f>ROUND(H47/$R47,4)</f>
        <v>1.2999999999999999E-3</v>
      </c>
      <c r="I49" s="313"/>
      <c r="J49" s="347">
        <f>ROUND(J47/$R47,4)</f>
        <v>0</v>
      </c>
      <c r="K49" s="313"/>
      <c r="L49" s="347">
        <f>ROUND(L47/$R47,4)</f>
        <v>0</v>
      </c>
      <c r="M49" s="313"/>
      <c r="N49" s="347">
        <f>ROUND(N47/$R47,4)</f>
        <v>0.7026</v>
      </c>
      <c r="O49" s="313"/>
      <c r="P49" s="347">
        <f>ROUND(P47/$R47,4)</f>
        <v>0.1072</v>
      </c>
      <c r="Q49" s="313"/>
      <c r="R49" s="347">
        <f>ROUND(R47/$R47,4)</f>
        <v>1</v>
      </c>
    </row>
    <row r="50" spans="1:21" ht="15.75" customHeight="1" thickTop="1">
      <c r="A50" s="328"/>
      <c r="C50" s="330"/>
      <c r="D50" s="334"/>
      <c r="E50" s="331"/>
      <c r="F50" s="334"/>
      <c r="G50" s="331"/>
      <c r="H50" s="334"/>
      <c r="I50" s="331"/>
      <c r="J50" s="334"/>
      <c r="K50" s="331"/>
      <c r="L50" s="334"/>
      <c r="M50" s="331"/>
      <c r="N50" s="334"/>
      <c r="O50" s="331"/>
      <c r="P50" s="334"/>
      <c r="Q50" s="331"/>
      <c r="R50" s="334"/>
    </row>
    <row r="51" spans="1:21" ht="18.95" customHeight="1">
      <c r="A51" s="350" t="s">
        <v>2127</v>
      </c>
      <c r="B51" s="342" t="s">
        <v>2128</v>
      </c>
      <c r="C51" s="313"/>
      <c r="E51" s="313"/>
      <c r="F51" s="348"/>
      <c r="G51" s="313"/>
      <c r="I51" s="313"/>
      <c r="K51" s="313"/>
      <c r="M51" s="313"/>
      <c r="N51" s="367"/>
      <c r="O51" s="313"/>
      <c r="Q51" s="313"/>
    </row>
    <row r="52" spans="1:21" ht="18.95" customHeight="1">
      <c r="A52" s="351" t="s">
        <v>2129</v>
      </c>
      <c r="B52" s="352" t="s">
        <v>2130</v>
      </c>
      <c r="C52" s="313"/>
      <c r="E52" s="313"/>
      <c r="F52" s="353"/>
      <c r="G52" s="313"/>
      <c r="I52" s="313"/>
      <c r="K52" s="313"/>
      <c r="M52" s="313"/>
      <c r="O52" s="313"/>
      <c r="Q52" s="313"/>
    </row>
    <row r="53" spans="1:21" ht="18.95" customHeight="1">
      <c r="A53" s="351" t="s">
        <v>2131</v>
      </c>
      <c r="B53" s="313" t="s">
        <v>2132</v>
      </c>
      <c r="C53" s="313"/>
      <c r="E53" s="313"/>
      <c r="G53" s="313"/>
      <c r="I53" s="313"/>
      <c r="K53" s="313"/>
      <c r="M53" s="313"/>
      <c r="O53" s="313"/>
      <c r="Q53" s="313"/>
      <c r="T53" s="354"/>
      <c r="U53" s="354"/>
    </row>
    <row r="54" spans="1:21" ht="18" customHeight="1">
      <c r="B54" s="396" t="str">
        <f>B1</f>
        <v>DATA:____BASE  PERIOD__X__FORECASTED  PERIOD</v>
      </c>
      <c r="M54" s="313"/>
      <c r="O54" s="313"/>
      <c r="Q54" s="313"/>
      <c r="R54" s="393" t="str">
        <f>R1</f>
        <v>SUPPORTING SCHEDULE B-1.1</v>
      </c>
    </row>
    <row r="55" spans="1:21" ht="18" customHeight="1">
      <c r="B55" s="396" t="str">
        <f>B2</f>
        <v>TYPE OF FILING: _____ ORIGINAL  _____ UPDATED  __X__ REVISED</v>
      </c>
      <c r="M55" s="313"/>
      <c r="O55" s="313"/>
      <c r="Q55" s="313"/>
      <c r="R55" s="394" t="str">
        <f>R2</f>
        <v>WITNESS:   D. K. ARBOUGH</v>
      </c>
    </row>
    <row r="56" spans="1:21" ht="18" customHeight="1">
      <c r="M56" s="313"/>
      <c r="O56" s="313"/>
      <c r="Q56" s="313"/>
      <c r="R56" s="395" t="s">
        <v>2159</v>
      </c>
    </row>
    <row r="57" spans="1:21" ht="18" customHeight="1">
      <c r="M57" s="313"/>
      <c r="O57" s="313"/>
      <c r="Q57" s="313"/>
    </row>
    <row r="58" spans="1:21" ht="18" customHeight="1">
      <c r="A58" s="700" t="s">
        <v>2100</v>
      </c>
      <c r="B58" s="700"/>
      <c r="C58" s="700"/>
      <c r="D58" s="700"/>
      <c r="E58" s="700"/>
      <c r="F58" s="700"/>
      <c r="G58" s="700"/>
      <c r="H58" s="700"/>
      <c r="I58" s="700"/>
      <c r="J58" s="700"/>
      <c r="K58" s="700"/>
      <c r="L58" s="700"/>
      <c r="M58" s="700"/>
      <c r="N58" s="700"/>
      <c r="O58" s="700"/>
      <c r="P58" s="700"/>
      <c r="Q58" s="700"/>
      <c r="R58" s="700"/>
    </row>
    <row r="59" spans="1:21" ht="18" customHeight="1"/>
    <row r="60" spans="1:21" ht="18" customHeight="1">
      <c r="A60" s="701" t="s">
        <v>2133</v>
      </c>
      <c r="B60" s="701"/>
      <c r="C60" s="701"/>
      <c r="D60" s="701"/>
      <c r="E60" s="701"/>
      <c r="F60" s="701"/>
      <c r="G60" s="701"/>
      <c r="H60" s="701"/>
      <c r="I60" s="701"/>
      <c r="J60" s="701"/>
      <c r="K60" s="701"/>
      <c r="L60" s="701"/>
      <c r="M60" s="701"/>
      <c r="N60" s="701"/>
      <c r="O60" s="701"/>
      <c r="P60" s="701"/>
      <c r="Q60" s="701"/>
      <c r="R60" s="701"/>
    </row>
    <row r="61" spans="1:21" ht="18" customHeight="1">
      <c r="A61" s="699" t="s">
        <v>3274</v>
      </c>
      <c r="B61" s="699"/>
      <c r="C61" s="699"/>
      <c r="D61" s="699"/>
      <c r="E61" s="699"/>
      <c r="F61" s="699"/>
      <c r="G61" s="699"/>
      <c r="H61" s="699"/>
      <c r="I61" s="699"/>
      <c r="J61" s="699"/>
      <c r="K61" s="699"/>
      <c r="L61" s="699"/>
      <c r="M61" s="699"/>
      <c r="N61" s="699"/>
      <c r="O61" s="699"/>
      <c r="P61" s="699"/>
      <c r="Q61" s="699"/>
      <c r="R61" s="699"/>
    </row>
    <row r="62" spans="1:21" ht="18" customHeight="1">
      <c r="A62" s="317"/>
      <c r="B62" s="318"/>
      <c r="C62" s="319"/>
      <c r="D62" s="318"/>
      <c r="E62" s="319"/>
      <c r="F62" s="318"/>
      <c r="G62" s="319"/>
      <c r="H62" s="318"/>
      <c r="I62" s="319"/>
      <c r="J62" s="318"/>
      <c r="K62" s="319"/>
      <c r="L62" s="318"/>
      <c r="M62" s="313"/>
      <c r="O62" s="313"/>
      <c r="Q62" s="313"/>
    </row>
    <row r="63" spans="1:21" ht="18" customHeight="1">
      <c r="A63" s="317"/>
      <c r="M63" s="313"/>
      <c r="O63" s="313"/>
      <c r="Q63" s="313"/>
    </row>
    <row r="64" spans="1:21" ht="18" customHeight="1">
      <c r="A64" s="317"/>
      <c r="B64" s="318"/>
      <c r="C64" s="319"/>
      <c r="D64" s="318"/>
      <c r="E64" s="319"/>
      <c r="F64" s="318"/>
      <c r="G64" s="319"/>
      <c r="H64" s="318"/>
      <c r="I64" s="319"/>
      <c r="J64" s="318"/>
      <c r="K64" s="319"/>
      <c r="L64" s="318"/>
      <c r="M64" s="313"/>
      <c r="O64" s="313"/>
      <c r="Q64" s="313"/>
    </row>
    <row r="65" spans="1:19" ht="18" customHeight="1">
      <c r="A65" s="317"/>
      <c r="L65" s="323" t="s">
        <v>2101</v>
      </c>
      <c r="N65" s="323" t="s">
        <v>2101</v>
      </c>
    </row>
    <row r="66" spans="1:19" ht="18" customHeight="1">
      <c r="A66" s="317"/>
      <c r="B66" s="318"/>
      <c r="C66" s="319"/>
      <c r="D66" s="322" t="s">
        <v>2101</v>
      </c>
      <c r="E66" s="319"/>
      <c r="F66" s="322" t="s">
        <v>2101</v>
      </c>
      <c r="G66" s="319"/>
      <c r="H66" s="323" t="s">
        <v>2101</v>
      </c>
      <c r="I66" s="319"/>
      <c r="J66" s="323" t="s">
        <v>2101</v>
      </c>
      <c r="K66" s="319"/>
      <c r="L66" s="323" t="s">
        <v>2104</v>
      </c>
      <c r="M66" s="319"/>
      <c r="N66" s="323" t="s">
        <v>2104</v>
      </c>
      <c r="O66" s="319"/>
      <c r="P66" s="322" t="s">
        <v>2102</v>
      </c>
      <c r="Q66" s="319"/>
      <c r="R66" s="322" t="s">
        <v>2103</v>
      </c>
    </row>
    <row r="67" spans="1:19" ht="18" customHeight="1">
      <c r="A67" s="317"/>
      <c r="B67" s="318"/>
      <c r="C67" s="319"/>
      <c r="D67" s="322" t="s">
        <v>2104</v>
      </c>
      <c r="E67" s="319"/>
      <c r="F67" s="322" t="s">
        <v>2104</v>
      </c>
      <c r="G67" s="319"/>
      <c r="H67" s="323" t="s">
        <v>2104</v>
      </c>
      <c r="I67" s="319"/>
      <c r="J67" s="323" t="s">
        <v>2104</v>
      </c>
      <c r="K67" s="319"/>
      <c r="L67" s="324" t="s">
        <v>2150</v>
      </c>
      <c r="M67" s="319"/>
      <c r="N67" s="324" t="s">
        <v>2150</v>
      </c>
      <c r="O67" s="319"/>
      <c r="P67" s="322" t="s">
        <v>2104</v>
      </c>
      <c r="Q67" s="319"/>
      <c r="R67" s="322" t="s">
        <v>2105</v>
      </c>
    </row>
    <row r="68" spans="1:19" ht="18" customHeight="1">
      <c r="A68" s="317"/>
      <c r="B68" s="318" t="s">
        <v>2106</v>
      </c>
      <c r="C68" s="319"/>
      <c r="D68" s="324" t="s">
        <v>2107</v>
      </c>
      <c r="E68" s="319"/>
      <c r="F68" s="324" t="s">
        <v>2108</v>
      </c>
      <c r="G68" s="319"/>
      <c r="H68" s="324" t="s">
        <v>2148</v>
      </c>
      <c r="I68" s="319"/>
      <c r="J68" s="324" t="s">
        <v>2149</v>
      </c>
      <c r="K68" s="319"/>
      <c r="L68" s="324" t="s">
        <v>9</v>
      </c>
      <c r="M68" s="319"/>
      <c r="N68" s="324" t="s">
        <v>2109</v>
      </c>
      <c r="O68" s="319"/>
      <c r="P68" s="324" t="s">
        <v>2110</v>
      </c>
      <c r="Q68" s="319"/>
      <c r="R68" s="324" t="s">
        <v>2110</v>
      </c>
    </row>
    <row r="69" spans="1:19" ht="18" customHeight="1">
      <c r="A69" s="317"/>
      <c r="B69" s="325">
        <v>-1</v>
      </c>
      <c r="C69" s="319"/>
      <c r="D69" s="326">
        <v>-2</v>
      </c>
      <c r="E69" s="319"/>
      <c r="F69" s="325">
        <v>-3</v>
      </c>
      <c r="G69" s="319"/>
      <c r="H69" s="325">
        <v>-4</v>
      </c>
      <c r="I69" s="319"/>
      <c r="J69" s="325">
        <v>-5</v>
      </c>
      <c r="K69" s="319"/>
      <c r="L69" s="325">
        <v>-6</v>
      </c>
      <c r="M69" s="319"/>
      <c r="N69" s="325">
        <v>-7</v>
      </c>
      <c r="O69" s="319"/>
      <c r="P69" s="325">
        <v>-8</v>
      </c>
      <c r="Q69" s="319"/>
      <c r="R69" s="325">
        <v>-9</v>
      </c>
    </row>
    <row r="70" spans="1:19" ht="18" customHeight="1">
      <c r="A70" s="317"/>
      <c r="B70" s="318"/>
      <c r="C70" s="319"/>
      <c r="D70" s="318"/>
      <c r="E70" s="319"/>
      <c r="F70" s="322"/>
      <c r="G70" s="319"/>
      <c r="H70" s="318"/>
      <c r="I70" s="319"/>
      <c r="J70" s="318"/>
      <c r="K70" s="319"/>
      <c r="L70" s="318"/>
      <c r="M70" s="319"/>
      <c r="N70" s="324" t="s">
        <v>2152</v>
      </c>
      <c r="O70" s="319"/>
      <c r="P70" s="318"/>
      <c r="Q70" s="319"/>
      <c r="R70" s="318" t="s">
        <v>2151</v>
      </c>
    </row>
    <row r="71" spans="1:19" ht="21" customHeight="1">
      <c r="A71" s="355" t="s">
        <v>2134</v>
      </c>
      <c r="B71" s="352" t="s">
        <v>2135</v>
      </c>
      <c r="G71" s="313"/>
      <c r="I71" s="313"/>
      <c r="K71" s="313"/>
      <c r="M71" s="313"/>
      <c r="O71" s="313"/>
    </row>
    <row r="72" spans="1:19" ht="21" customHeight="1">
      <c r="A72" s="355"/>
      <c r="B72" s="342" t="s">
        <v>3273</v>
      </c>
      <c r="D72" s="332">
        <f>'JURISSEP F'!$G$593</f>
        <v>922833618.28418863</v>
      </c>
      <c r="F72" s="332">
        <f>D72-'SCH B-5.2'!E34</f>
        <v>21291799.301061988</v>
      </c>
      <c r="G72" s="356"/>
      <c r="H72" s="332">
        <v>0</v>
      </c>
      <c r="I72" s="356"/>
      <c r="J72" s="332">
        <v>0</v>
      </c>
      <c r="K72" s="356"/>
      <c r="L72" s="332">
        <v>0</v>
      </c>
      <c r="M72" s="313"/>
      <c r="N72" s="332">
        <f>D72-SUM(F72:L72)</f>
        <v>901541818.98312664</v>
      </c>
      <c r="O72" s="313"/>
      <c r="P72" s="332">
        <f>R72-D72</f>
        <v>113374407.594401</v>
      </c>
      <c r="R72" s="332">
        <f>'JURISSEP F'!$E$593</f>
        <v>1036208025.8785896</v>
      </c>
    </row>
    <row r="73" spans="1:19" ht="15" customHeight="1">
      <c r="A73" s="355"/>
      <c r="B73" s="352"/>
      <c r="G73" s="313"/>
      <c r="I73" s="313"/>
      <c r="K73" s="313"/>
      <c r="M73" s="313"/>
      <c r="O73" s="313"/>
    </row>
    <row r="74" spans="1:19" ht="21" customHeight="1">
      <c r="A74" s="357" t="s">
        <v>2136</v>
      </c>
      <c r="B74" s="352" t="s">
        <v>2112</v>
      </c>
      <c r="G74" s="313"/>
      <c r="I74" s="313"/>
      <c r="K74" s="313"/>
      <c r="M74" s="313"/>
      <c r="O74" s="313"/>
    </row>
    <row r="75" spans="1:19" ht="21" customHeight="1">
      <c r="A75" s="357" t="s">
        <v>2137</v>
      </c>
      <c r="B75" s="358" t="s">
        <v>2138</v>
      </c>
      <c r="D75" s="359">
        <f>'SCH B-5.2'!E36</f>
        <v>50753338.665578231</v>
      </c>
      <c r="F75" s="359">
        <v>0</v>
      </c>
      <c r="G75" s="313"/>
      <c r="H75" s="359">
        <v>0</v>
      </c>
      <c r="I75" s="313"/>
      <c r="J75" s="359">
        <v>0</v>
      </c>
      <c r="K75" s="313"/>
      <c r="L75" s="359">
        <v>0</v>
      </c>
      <c r="M75" s="313"/>
      <c r="N75" s="359">
        <f>D75-SUM(F75:L75)</f>
        <v>50753338.665578231</v>
      </c>
      <c r="O75" s="313"/>
      <c r="P75" s="359">
        <f>R75-D75</f>
        <v>6995642.9977308735</v>
      </c>
      <c r="Q75" s="334"/>
      <c r="R75" s="359">
        <f>'SCH B-5.2'!C36</f>
        <v>57748981.663309105</v>
      </c>
      <c r="S75" s="341"/>
    </row>
    <row r="76" spans="1:19" ht="21" customHeight="1">
      <c r="A76" s="357" t="s">
        <v>2139</v>
      </c>
      <c r="B76" s="360" t="s">
        <v>2140</v>
      </c>
      <c r="D76" s="332">
        <f>SUM(D75)</f>
        <v>50753338.665578231</v>
      </c>
      <c r="F76" s="332">
        <f>SUM(F75)</f>
        <v>0</v>
      </c>
      <c r="G76" s="313"/>
      <c r="H76" s="332">
        <f>SUM(H75)</f>
        <v>0</v>
      </c>
      <c r="I76" s="313"/>
      <c r="J76" s="332">
        <f>SUM(J75)</f>
        <v>0</v>
      </c>
      <c r="K76" s="313"/>
      <c r="L76" s="332">
        <f>SUM(L75)</f>
        <v>0</v>
      </c>
      <c r="M76" s="313"/>
      <c r="N76" s="332">
        <f>SUM(N75)</f>
        <v>50753338.665578231</v>
      </c>
      <c r="O76" s="313"/>
      <c r="P76" s="332">
        <f>SUM(P75)</f>
        <v>6995642.9977308735</v>
      </c>
      <c r="R76" s="332">
        <f>SUM(R75)</f>
        <v>57748981.663309105</v>
      </c>
    </row>
    <row r="77" spans="1:19" ht="13.5" customHeight="1">
      <c r="A77" s="357"/>
      <c r="B77" s="361"/>
      <c r="D77" s="362"/>
      <c r="F77" s="362"/>
      <c r="G77" s="313"/>
      <c r="H77" s="362"/>
      <c r="I77" s="313"/>
      <c r="J77" s="362"/>
      <c r="K77" s="313"/>
      <c r="L77" s="362"/>
      <c r="M77" s="313"/>
      <c r="N77" s="362"/>
      <c r="O77" s="313"/>
      <c r="P77" s="362"/>
      <c r="R77" s="362"/>
    </row>
    <row r="78" spans="1:19" ht="21" customHeight="1" thickBot="1">
      <c r="A78" s="357" t="s">
        <v>2141</v>
      </c>
      <c r="B78" s="361" t="s">
        <v>2142</v>
      </c>
      <c r="D78" s="344">
        <f>D72-D76</f>
        <v>872080279.61861038</v>
      </c>
      <c r="F78" s="344">
        <f>F72-F76</f>
        <v>21291799.301061988</v>
      </c>
      <c r="G78" s="313"/>
      <c r="H78" s="344">
        <f>H72-H76</f>
        <v>0</v>
      </c>
      <c r="I78" s="313"/>
      <c r="J78" s="344">
        <f>J72-J76</f>
        <v>0</v>
      </c>
      <c r="K78" s="313"/>
      <c r="L78" s="344">
        <f>L72-L76</f>
        <v>0</v>
      </c>
      <c r="M78" s="313"/>
      <c r="N78" s="344">
        <f>N72-N76</f>
        <v>850788480.31754839</v>
      </c>
      <c r="O78" s="313"/>
      <c r="P78" s="344">
        <f>P72-P76</f>
        <v>106378764.59667012</v>
      </c>
      <c r="R78" s="344">
        <f>R72-R76</f>
        <v>978459044.21528053</v>
      </c>
    </row>
    <row r="79" spans="1:19" ht="15" customHeight="1" thickTop="1">
      <c r="A79" s="357"/>
      <c r="B79" s="361"/>
      <c r="G79" s="313"/>
      <c r="I79" s="313"/>
      <c r="K79" s="313"/>
      <c r="M79" s="313"/>
      <c r="O79" s="313"/>
    </row>
    <row r="80" spans="1:19" ht="21" customHeight="1" thickBot="1">
      <c r="A80" s="357" t="s">
        <v>2143</v>
      </c>
      <c r="B80" s="361" t="s">
        <v>2144</v>
      </c>
      <c r="D80" s="363">
        <f>ROUND(+D78*0.125,0)</f>
        <v>109010035</v>
      </c>
      <c r="E80" s="361"/>
      <c r="F80" s="363">
        <f>ROUND(+F78*0.125,0)</f>
        <v>2661475</v>
      </c>
      <c r="G80" s="313"/>
      <c r="H80" s="363">
        <f>ROUND(+H78*0.125,0)</f>
        <v>0</v>
      </c>
      <c r="I80" s="313"/>
      <c r="J80" s="363">
        <f>ROUND(+J78*0.125,0)</f>
        <v>0</v>
      </c>
      <c r="K80" s="313"/>
      <c r="L80" s="363">
        <f>ROUND(+L78*0.125,0)</f>
        <v>0</v>
      </c>
      <c r="M80" s="313"/>
      <c r="N80" s="363">
        <f>ROUND(+N78*0.125,0)</f>
        <v>106348560</v>
      </c>
      <c r="O80" s="313"/>
      <c r="P80" s="363">
        <f>P38</f>
        <v>8142054.9299451113</v>
      </c>
      <c r="Q80" s="361"/>
      <c r="R80" s="363">
        <f>R38</f>
        <v>117152089.92994511</v>
      </c>
    </row>
    <row r="81" spans="1:20" ht="21" customHeight="1" thickTop="1">
      <c r="A81" s="357"/>
      <c r="B81" s="361"/>
      <c r="D81" s="364"/>
      <c r="E81" s="361"/>
      <c r="F81" s="364"/>
      <c r="G81" s="313"/>
      <c r="H81" s="364"/>
      <c r="I81" s="313"/>
      <c r="J81" s="364"/>
      <c r="K81" s="313"/>
      <c r="L81" s="364"/>
      <c r="M81" s="313"/>
      <c r="N81" s="364"/>
      <c r="O81" s="313"/>
      <c r="P81" s="364"/>
      <c r="Q81" s="361"/>
      <c r="R81" s="364"/>
    </row>
    <row r="82" spans="1:20" ht="18.95" customHeight="1">
      <c r="A82" s="313"/>
      <c r="B82" s="361" t="s">
        <v>2145</v>
      </c>
      <c r="F82" s="366"/>
      <c r="M82" s="313"/>
      <c r="O82" s="313"/>
      <c r="Q82" s="313"/>
      <c r="T82" s="365"/>
    </row>
    <row r="83" spans="1:20" ht="18.95" customHeight="1">
      <c r="A83" s="313"/>
      <c r="B83" s="361" t="s">
        <v>2146</v>
      </c>
      <c r="M83" s="313"/>
      <c r="O83" s="313"/>
      <c r="Q83" s="313"/>
    </row>
    <row r="84" spans="1:20" ht="18.95" customHeight="1">
      <c r="A84" s="313"/>
      <c r="B84" s="313" t="s">
        <v>2147</v>
      </c>
      <c r="M84" s="313"/>
      <c r="O84" s="313"/>
      <c r="Q84" s="313"/>
    </row>
  </sheetData>
  <mergeCells count="7">
    <mergeCell ref="A61:R61"/>
    <mergeCell ref="A8:R8"/>
    <mergeCell ref="A5:R5"/>
    <mergeCell ref="A7:R7"/>
    <mergeCell ref="A9:R9"/>
    <mergeCell ref="A58:R58"/>
    <mergeCell ref="A60:R60"/>
  </mergeCells>
  <printOptions horizontalCentered="1"/>
  <pageMargins left="0" right="0" top="0.75" bottom="0" header="0.75" footer="0.5"/>
  <pageSetup scale="51" orientation="landscape" r:id="rId1"/>
  <headerFooter alignWithMargins="0"/>
  <rowBreaks count="1" manualBreakCount="1">
    <brk id="53" max="15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J124"/>
  <sheetViews>
    <sheetView zoomScaleNormal="100" workbookViewId="0">
      <selection activeCell="I11" sqref="I11"/>
    </sheetView>
  </sheetViews>
  <sheetFormatPr defaultColWidth="9" defaultRowHeight="12.75"/>
  <cols>
    <col min="1" max="1" width="6" style="29" customWidth="1"/>
    <col min="2" max="2" width="7.6640625" style="29" customWidth="1"/>
    <col min="3" max="3" width="38.33203125" style="29" customWidth="1"/>
    <col min="4" max="5" width="13.6640625" style="29" customWidth="1"/>
    <col min="6" max="6" width="10.109375" style="29" customWidth="1"/>
    <col min="7" max="7" width="14.77734375" style="29" customWidth="1"/>
    <col min="8" max="8" width="22.6640625" style="29" customWidth="1"/>
    <col min="9" max="9" width="10.44140625" style="29" customWidth="1"/>
    <col min="10" max="10" width="18" style="29" customWidth="1"/>
    <col min="11" max="11" width="1.6640625" style="29" customWidth="1"/>
    <col min="12" max="16384" width="9" style="29"/>
  </cols>
  <sheetData>
    <row r="1" spans="1:10" s="28" customFormat="1" ht="20.100000000000001" customHeight="1">
      <c r="A1" s="706" t="str">
        <f>'Rate Case Constants'!C9</f>
        <v>KENTUCKY UTILITIES COMPANY</v>
      </c>
      <c r="B1" s="706"/>
      <c r="C1" s="706"/>
      <c r="D1" s="706"/>
      <c r="E1" s="706"/>
      <c r="F1" s="706"/>
      <c r="G1" s="706"/>
      <c r="H1" s="706"/>
      <c r="I1" s="706"/>
      <c r="J1" s="706"/>
    </row>
    <row r="2" spans="1:10" s="28" customFormat="1" ht="20.100000000000001" customHeight="1">
      <c r="A2" s="706" t="str">
        <f>'Rate Case Constants'!C10</f>
        <v>CASE NO. 2016-00370</v>
      </c>
      <c r="B2" s="706"/>
      <c r="C2" s="706"/>
      <c r="D2" s="706"/>
      <c r="E2" s="706"/>
      <c r="F2" s="706"/>
      <c r="G2" s="706"/>
      <c r="H2" s="706"/>
      <c r="I2" s="706"/>
      <c r="J2" s="706"/>
    </row>
    <row r="3" spans="1:10" s="28" customFormat="1" ht="20.100000000000001" customHeight="1">
      <c r="A3" s="706" t="s">
        <v>1249</v>
      </c>
      <c r="B3" s="706"/>
      <c r="C3" s="706"/>
      <c r="D3" s="706"/>
      <c r="E3" s="706"/>
      <c r="F3" s="706"/>
      <c r="G3" s="706"/>
      <c r="H3" s="706"/>
      <c r="I3" s="706"/>
      <c r="J3" s="706"/>
    </row>
    <row r="4" spans="1:10" s="28" customFormat="1" ht="20.100000000000001" customHeight="1">
      <c r="A4" s="706" t="str">
        <f>'Rate Case Constants'!C12</f>
        <v>AS OF FEBRUARY 28, 2017</v>
      </c>
      <c r="B4" s="706"/>
      <c r="C4" s="706"/>
      <c r="D4" s="706"/>
      <c r="E4" s="706"/>
      <c r="F4" s="706"/>
      <c r="G4" s="706"/>
      <c r="H4" s="706"/>
      <c r="I4" s="706"/>
      <c r="J4" s="706"/>
    </row>
    <row r="5" spans="1:10" s="28" customFormat="1" ht="20.100000000000001" customHeight="1">
      <c r="A5" s="57"/>
      <c r="B5" s="57"/>
      <c r="C5" s="57"/>
      <c r="D5" s="57"/>
      <c r="E5" s="57"/>
      <c r="F5" s="57"/>
      <c r="G5" s="57"/>
      <c r="H5" s="57"/>
      <c r="I5" s="174"/>
      <c r="J5" s="57"/>
    </row>
    <row r="6" spans="1:10" s="28" customFormat="1" ht="20.100000000000001" customHeight="1">
      <c r="A6" s="27" t="s">
        <v>136</v>
      </c>
      <c r="B6" s="27"/>
      <c r="I6" s="34"/>
      <c r="J6" s="34" t="s">
        <v>1248</v>
      </c>
    </row>
    <row r="7" spans="1:10" s="28" customFormat="1" ht="20.100000000000001" customHeight="1">
      <c r="A7" s="28" t="str">
        <f>'Rate Case Constants'!C29</f>
        <v>TYPE OF FILING: __X__ ORIGINAL  _____ UPDATED  _____ REVISED</v>
      </c>
      <c r="I7" s="34"/>
      <c r="J7" s="34" t="s">
        <v>2156</v>
      </c>
    </row>
    <row r="8" spans="1:10" s="28" customFormat="1" ht="20.100000000000001" customHeight="1">
      <c r="A8" s="27" t="s">
        <v>1204</v>
      </c>
      <c r="B8" s="27"/>
      <c r="G8" s="27"/>
      <c r="I8" s="35"/>
      <c r="J8" s="35" t="str">
        <f>'Rate Case Constants'!C36</f>
        <v>WITNESS:   C. M. GARRETT</v>
      </c>
    </row>
    <row r="9" spans="1:10" s="28" customFormat="1" ht="20.100000000000001" customHeight="1"/>
    <row r="10" spans="1:10" s="28" customFormat="1" ht="20.100000000000001" customHeight="1">
      <c r="A10" s="61"/>
      <c r="B10" s="61"/>
      <c r="C10" s="61"/>
      <c r="D10" s="708" t="s">
        <v>230</v>
      </c>
      <c r="E10" s="708"/>
      <c r="F10" s="61"/>
      <c r="G10" s="61"/>
      <c r="H10" s="61"/>
      <c r="I10" s="61"/>
      <c r="J10" s="61"/>
    </row>
    <row r="11" spans="1:10" ht="48" customHeight="1">
      <c r="A11" s="31" t="s">
        <v>134</v>
      </c>
      <c r="B11" s="31" t="s">
        <v>137</v>
      </c>
      <c r="C11" s="38" t="s">
        <v>1250</v>
      </c>
      <c r="D11" s="31" t="s">
        <v>1251</v>
      </c>
      <c r="E11" s="31" t="s">
        <v>1252</v>
      </c>
      <c r="F11" s="31" t="s">
        <v>1630</v>
      </c>
      <c r="G11" s="31" t="s">
        <v>1253</v>
      </c>
      <c r="H11" s="31" t="s">
        <v>1255</v>
      </c>
      <c r="I11" s="31" t="s">
        <v>1902</v>
      </c>
      <c r="J11" s="31" t="s">
        <v>1256</v>
      </c>
    </row>
    <row r="12" spans="1:10" ht="18.95" customHeight="1">
      <c r="A12" s="63" t="s">
        <v>1226</v>
      </c>
      <c r="B12" s="63" t="s">
        <v>1227</v>
      </c>
      <c r="C12" s="63" t="s">
        <v>1230</v>
      </c>
      <c r="D12" s="63" t="s">
        <v>1238</v>
      </c>
      <c r="E12" s="63" t="s">
        <v>1239</v>
      </c>
      <c r="F12" s="63" t="s">
        <v>1240</v>
      </c>
      <c r="G12" s="63" t="s">
        <v>1254</v>
      </c>
      <c r="H12" s="63" t="s">
        <v>1242</v>
      </c>
      <c r="I12" s="63" t="s">
        <v>1243</v>
      </c>
      <c r="J12" s="63" t="s">
        <v>1257</v>
      </c>
    </row>
    <row r="13" spans="1:10" ht="23.1" customHeight="1">
      <c r="A13" s="33"/>
      <c r="B13" s="33"/>
      <c r="C13" s="97"/>
      <c r="D13" s="60" t="s">
        <v>145</v>
      </c>
      <c r="E13" s="60" t="s">
        <v>145</v>
      </c>
      <c r="F13" s="60"/>
      <c r="G13" s="60" t="s">
        <v>145</v>
      </c>
      <c r="H13" s="60"/>
      <c r="I13" s="60"/>
      <c r="J13" s="60"/>
    </row>
    <row r="14" spans="1:10" ht="23.1" customHeight="1">
      <c r="A14" s="33">
        <v>1</v>
      </c>
      <c r="B14" s="33"/>
      <c r="C14" s="45" t="s">
        <v>58</v>
      </c>
      <c r="D14" s="37"/>
      <c r="E14" s="37"/>
      <c r="F14" s="37"/>
      <c r="G14" s="37"/>
      <c r="H14" s="37"/>
      <c r="I14" s="37"/>
      <c r="J14" s="37"/>
    </row>
    <row r="15" spans="1:10" ht="18.95" customHeight="1">
      <c r="A15" s="30">
        <f>A14+1</f>
        <v>2</v>
      </c>
      <c r="B15" s="258">
        <v>301</v>
      </c>
      <c r="C15" s="38" t="s">
        <v>1674</v>
      </c>
      <c r="D15" s="51">
        <f>'SCH B-2.1 B'!H13</f>
        <v>39444.479158224502</v>
      </c>
      <c r="E15" s="51">
        <f>-'SCH B-3 B'!I14</f>
        <v>0</v>
      </c>
      <c r="F15" s="116">
        <v>0</v>
      </c>
      <c r="G15" s="51">
        <f>D15*F15</f>
        <v>0</v>
      </c>
      <c r="H15" s="117">
        <v>0</v>
      </c>
      <c r="I15" s="51"/>
      <c r="J15" s="120"/>
    </row>
    <row r="16" spans="1:10" ht="18.95" customHeight="1">
      <c r="A16" s="30">
        <f t="shared" ref="A16:A80" si="0">A15+1</f>
        <v>3</v>
      </c>
      <c r="B16" s="258">
        <v>302</v>
      </c>
      <c r="C16" s="38" t="s">
        <v>1676</v>
      </c>
      <c r="D16" s="51">
        <f>'SCH B-2.1 B'!H14</f>
        <v>55918.83</v>
      </c>
      <c r="E16" s="51">
        <f>-'SCH B-3 B'!I15</f>
        <v>64830.048137000005</v>
      </c>
      <c r="F16" s="116">
        <f>VLOOKUP($B16,'KU Depr Rates'!$A$16:$R$378,8,)/100</f>
        <v>0.1162</v>
      </c>
      <c r="G16" s="53">
        <f t="shared" ref="G16" si="1">D16*F16</f>
        <v>6497.7680460000001</v>
      </c>
      <c r="H16" s="117">
        <f>VLOOKUP($B16,'KU Depr Rates'!$A$16:$R$378,6,)/100</f>
        <v>0</v>
      </c>
      <c r="I16" s="273">
        <f>VLOOKUP($B16,'KU Depr Rates'!$A$16:$R$378,18,)</f>
        <v>3.3</v>
      </c>
      <c r="J16" s="274" t="str">
        <f>VLOOKUP($B16,'KU Depr Rates'!$A$16:$R$378,16,)</f>
        <v>20-SQ</v>
      </c>
    </row>
    <row r="17" spans="1:10" ht="18.95" customHeight="1">
      <c r="A17" s="30">
        <f t="shared" si="0"/>
        <v>4</v>
      </c>
      <c r="B17" s="258">
        <v>303</v>
      </c>
      <c r="C17" s="38" t="s">
        <v>1678</v>
      </c>
      <c r="D17" s="54">
        <f>'SCH B-2.1 B'!H15</f>
        <v>89843521.730749577</v>
      </c>
      <c r="E17" s="54">
        <f>-'SCH B-3 B'!I16</f>
        <v>46629434.647441149</v>
      </c>
      <c r="F17" s="116">
        <f>VLOOKUP($B17,'KU Depr Rates'!$A$16:$R$378,8,)/100</f>
        <v>0.1162</v>
      </c>
      <c r="G17" s="54">
        <f t="shared" ref="G17" si="2">D17*F17</f>
        <v>10439817.225113101</v>
      </c>
      <c r="H17" s="53" t="str">
        <f>VLOOKUP($B17,'KU Depr Rates'!$A$16:$R$378,6,)</f>
        <v>0%</v>
      </c>
      <c r="I17" s="53" t="str">
        <f>VLOOKUP($B17,'KU Depr Rates'!$A$16:$R$378,18,)</f>
        <v>3.9-7.5</v>
      </c>
      <c r="J17" s="56" t="str">
        <f>VLOOKUP($B17,'KU Depr Rates'!$A$16:$R$378,16,)</f>
        <v>5-SQ, SQUARE</v>
      </c>
    </row>
    <row r="18" spans="1:10" ht="18.95" customHeight="1">
      <c r="A18" s="30">
        <f t="shared" si="0"/>
        <v>5</v>
      </c>
      <c r="B18" s="258"/>
      <c r="C18" s="38" t="s">
        <v>146</v>
      </c>
      <c r="D18" s="51">
        <f>SUM(D15:D17)</f>
        <v>89938885.039907798</v>
      </c>
      <c r="E18" s="51">
        <f>SUM(E15:E17)</f>
        <v>46694264.69557815</v>
      </c>
      <c r="F18" s="51"/>
      <c r="G18" s="51">
        <f>SUM(G15:G17)</f>
        <v>10446314.9931591</v>
      </c>
      <c r="H18" s="118"/>
      <c r="I18" s="51"/>
      <c r="J18" s="120"/>
    </row>
    <row r="19" spans="1:10" ht="18.95" customHeight="1">
      <c r="A19" s="30"/>
      <c r="B19" s="258"/>
      <c r="D19" s="32"/>
      <c r="E19" s="32"/>
      <c r="F19" s="32"/>
      <c r="G19" s="32"/>
      <c r="H19" s="119"/>
      <c r="I19" s="32"/>
      <c r="J19" s="122"/>
    </row>
    <row r="20" spans="1:10" ht="18.95" customHeight="1">
      <c r="A20" s="30">
        <f>A18+1</f>
        <v>6</v>
      </c>
      <c r="B20" s="258"/>
      <c r="C20" s="55" t="s">
        <v>74</v>
      </c>
      <c r="D20" s="32"/>
      <c r="E20" s="32"/>
      <c r="F20" s="32"/>
      <c r="G20" s="32"/>
      <c r="H20" s="119"/>
      <c r="I20" s="32"/>
      <c r="J20" s="122"/>
    </row>
    <row r="21" spans="1:10" ht="18.95" customHeight="1">
      <c r="A21" s="30">
        <f t="shared" si="0"/>
        <v>7</v>
      </c>
      <c r="B21" s="258">
        <v>310</v>
      </c>
      <c r="C21" s="38" t="s">
        <v>157</v>
      </c>
      <c r="D21" s="53">
        <f>'SCH B-2.1 B'!H19</f>
        <v>9943766.6561184563</v>
      </c>
      <c r="E21" s="53">
        <f>-'SCH B-3 B'!I20</f>
        <v>0</v>
      </c>
      <c r="F21" s="116">
        <v>0</v>
      </c>
      <c r="G21" s="53">
        <f t="shared" ref="G21:G27" si="3">D21*F21</f>
        <v>0</v>
      </c>
      <c r="H21" s="117">
        <v>0</v>
      </c>
      <c r="I21" s="175"/>
      <c r="J21" s="56"/>
    </row>
    <row r="22" spans="1:10" ht="18" customHeight="1">
      <c r="A22" s="30">
        <f t="shared" si="0"/>
        <v>8</v>
      </c>
      <c r="B22" s="258">
        <v>311</v>
      </c>
      <c r="C22" s="38" t="s">
        <v>151</v>
      </c>
      <c r="D22" s="53">
        <f>'SCH B-2.1 B'!H20</f>
        <v>280195881.89200121</v>
      </c>
      <c r="E22" s="53">
        <f>-'SCH B-3 B'!I21</f>
        <v>152339313.26611668</v>
      </c>
      <c r="F22" s="116">
        <f>VLOOKUP($B22,'KU Depr Rates'!$A$16:$R$378,8,)/100</f>
        <v>1.8654154764966249E-2</v>
      </c>
      <c r="G22" s="53">
        <f t="shared" si="3"/>
        <v>5226817.3453195952</v>
      </c>
      <c r="H22" s="53" t="str">
        <f>VLOOKUP($B22,'KU Depr Rates'!$A$16:$R$378,6,)</f>
        <v>-1%,-2%,-3%,-4%,-5%,-11%</v>
      </c>
      <c r="I22" s="176">
        <f>VLOOKUP($B22,'KU Depr Rates'!$A$16:$R$378,18,)</f>
        <v>31.5</v>
      </c>
      <c r="J22" s="56" t="str">
        <f>VLOOKUP($B22,'KU Depr Rates'!$A$16:$R$378,16,)</f>
        <v>100-S1</v>
      </c>
    </row>
    <row r="23" spans="1:10" ht="18.95" customHeight="1">
      <c r="A23" s="30">
        <f t="shared" si="0"/>
        <v>9</v>
      </c>
      <c r="B23" s="258">
        <v>312</v>
      </c>
      <c r="C23" s="38" t="s">
        <v>1682</v>
      </c>
      <c r="D23" s="53">
        <f>'SCH B-2.1 B'!H21</f>
        <v>2324353981.8941379</v>
      </c>
      <c r="E23" s="53">
        <f>-'SCH B-3 B'!I22</f>
        <v>891694021.09753966</v>
      </c>
      <c r="F23" s="116">
        <f>VLOOKUP($B23,'KU Depr Rates'!$A$16:$R$378,8,)/100</f>
        <v>2.8054179842026818E-2</v>
      </c>
      <c r="G23" s="53">
        <f t="shared" si="3"/>
        <v>65207844.624589294</v>
      </c>
      <c r="H23" s="53" t="str">
        <f>VLOOKUP($B23,'KU Depr Rates'!$A$16:$R$378,6,)</f>
        <v>-2%,-3%,-4%,-5%,-11%</v>
      </c>
      <c r="I23" s="176">
        <f>VLOOKUP($B23,'KU Depr Rates'!$A$16:$R$378,18,)</f>
        <v>26.7</v>
      </c>
      <c r="J23" s="56" t="str">
        <f>VLOOKUP($B23,'KU Depr Rates'!$A$16:$R$378,16,)</f>
        <v>60-R2.5</v>
      </c>
    </row>
    <row r="24" spans="1:10" ht="18.95" customHeight="1">
      <c r="A24" s="30">
        <f>A22+1</f>
        <v>9</v>
      </c>
      <c r="B24" s="258">
        <v>313</v>
      </c>
      <c r="C24" s="38" t="s">
        <v>147</v>
      </c>
      <c r="D24" s="53">
        <f>'SCH B-2.1 B'!H22</f>
        <v>0</v>
      </c>
      <c r="E24" s="53">
        <f>-'SCH B-3 B'!I23</f>
        <v>0</v>
      </c>
      <c r="F24" s="116"/>
      <c r="G24" s="53"/>
      <c r="H24" s="53"/>
      <c r="I24" s="53"/>
      <c r="J24" s="121"/>
    </row>
    <row r="25" spans="1:10" ht="18.95" customHeight="1">
      <c r="A25" s="30">
        <f>A23+1</f>
        <v>10</v>
      </c>
      <c r="B25" s="258">
        <v>314</v>
      </c>
      <c r="C25" s="38" t="s">
        <v>1684</v>
      </c>
      <c r="D25" s="53">
        <f>'SCH B-2.1 B'!H23</f>
        <v>290177027.45352578</v>
      </c>
      <c r="E25" s="53">
        <f>-'SCH B-3 B'!I24</f>
        <v>144452754.07051462</v>
      </c>
      <c r="F25" s="116">
        <f>VLOOKUP($B25,'KU Depr Rates'!$A$16:$R$378,8,)/100</f>
        <v>2.07843585740034E-2</v>
      </c>
      <c r="G25" s="53">
        <f t="shared" si="3"/>
        <v>6031143.3885325082</v>
      </c>
      <c r="H25" s="53" t="str">
        <f>VLOOKUP($B25,'KU Depr Rates'!$A$16:$R$378,6,)</f>
        <v>-2%,-3%,-4%,-5%,-11%</v>
      </c>
      <c r="I25" s="175">
        <f>VLOOKUP($B25,'KU Depr Rates'!$A$16:$R$378,18,)</f>
        <v>26.3</v>
      </c>
      <c r="J25" s="56" t="str">
        <f>VLOOKUP($B25,'KU Depr Rates'!$A$16:$R$378,16,)</f>
        <v>55-S1.5</v>
      </c>
    </row>
    <row r="26" spans="1:10" ht="18.95" customHeight="1">
      <c r="A26" s="30">
        <f t="shared" si="0"/>
        <v>11</v>
      </c>
      <c r="B26" s="258">
        <v>315</v>
      </c>
      <c r="C26" s="38" t="s">
        <v>1686</v>
      </c>
      <c r="D26" s="53">
        <f>'SCH B-2.1 B'!H24</f>
        <v>187409640.02703637</v>
      </c>
      <c r="E26" s="53">
        <f>-'SCH B-3 B'!I25</f>
        <v>90896762.381540522</v>
      </c>
      <c r="F26" s="116">
        <f>VLOOKUP($B26,'KU Depr Rates'!$A$16:$R$378,8,)/100</f>
        <v>2.4844493569034561E-2</v>
      </c>
      <c r="G26" s="53">
        <f t="shared" si="3"/>
        <v>4656097.5964267869</v>
      </c>
      <c r="H26" s="53" t="str">
        <f>VLOOKUP($B26,'KU Depr Rates'!$A$16:$R$378,6,)</f>
        <v>-2%,-3%,-4%,-5%,-11%</v>
      </c>
      <c r="I26" s="175">
        <f>VLOOKUP($B26,'KU Depr Rates'!$A$16:$R$378,18,)</f>
        <v>25.6</v>
      </c>
      <c r="J26" s="56" t="str">
        <f>VLOOKUP($B26,'KU Depr Rates'!$A$16:$R$378,16,)</f>
        <v>70-S3</v>
      </c>
    </row>
    <row r="27" spans="1:10" ht="18.95" customHeight="1">
      <c r="A27" s="30">
        <f t="shared" si="0"/>
        <v>12</v>
      </c>
      <c r="B27" s="258">
        <v>316</v>
      </c>
      <c r="C27" s="38" t="s">
        <v>1688</v>
      </c>
      <c r="D27" s="53">
        <f>'SCH B-2.1 B'!H25</f>
        <v>32042856.839973878</v>
      </c>
      <c r="E27" s="53">
        <f>-'SCH B-3 B'!I26</f>
        <v>14491072.70513699</v>
      </c>
      <c r="F27" s="116">
        <f>VLOOKUP($B27,'KU Depr Rates'!$A$16:$R$378,8,)/100</f>
        <v>2.9518868091225239E-2</v>
      </c>
      <c r="G27" s="53">
        <f t="shared" si="3"/>
        <v>945868.86432520335</v>
      </c>
      <c r="H27" s="53" t="str">
        <f>VLOOKUP($B27,'KU Depr Rates'!$A$16:$R$378,6,)</f>
        <v>-1%,-2%,-3%,-4%,-5%,-11%</v>
      </c>
      <c r="I27" s="175">
        <f>VLOOKUP($B27,'KU Depr Rates'!$A$16:$R$378,18,)</f>
        <v>18.100000000000001</v>
      </c>
      <c r="J27" s="56" t="str">
        <f>VLOOKUP($B27,'KU Depr Rates'!$A$16:$R$378,16,)</f>
        <v>70-R1.5</v>
      </c>
    </row>
    <row r="28" spans="1:10" ht="18.95" customHeight="1">
      <c r="A28" s="30">
        <f t="shared" si="0"/>
        <v>13</v>
      </c>
      <c r="B28" s="258">
        <v>317</v>
      </c>
      <c r="C28" s="38" t="s">
        <v>1708</v>
      </c>
      <c r="D28" s="54">
        <f>'SCH B-2.1 B'!H26</f>
        <v>0</v>
      </c>
      <c r="E28" s="54">
        <f>-'SCH B-3 B'!I27</f>
        <v>0</v>
      </c>
      <c r="F28" s="116"/>
      <c r="G28" s="54"/>
      <c r="H28" s="117"/>
      <c r="I28" s="175"/>
      <c r="J28" s="56"/>
    </row>
    <row r="29" spans="1:10" ht="18.95" customHeight="1">
      <c r="A29" s="30">
        <f t="shared" si="0"/>
        <v>14</v>
      </c>
      <c r="B29" s="258"/>
      <c r="C29" s="38" t="s">
        <v>149</v>
      </c>
      <c r="D29" s="51">
        <f>SUM(D21:D28)</f>
        <v>3124123154.7627935</v>
      </c>
      <c r="E29" s="51">
        <f>SUM(E21:E28)</f>
        <v>1293873923.5208485</v>
      </c>
      <c r="F29" s="95"/>
      <c r="G29" s="51">
        <f>SUM(G21:G28)</f>
        <v>82067771.819193393</v>
      </c>
      <c r="H29" s="117"/>
      <c r="I29" s="51"/>
      <c r="J29" s="120"/>
    </row>
    <row r="30" spans="1:10" ht="18.95" customHeight="1">
      <c r="A30" s="30"/>
      <c r="B30" s="258"/>
      <c r="C30" s="38"/>
      <c r="H30" s="113"/>
      <c r="J30" s="108"/>
    </row>
    <row r="31" spans="1:10" ht="18.95" customHeight="1">
      <c r="A31" s="30">
        <f>A29+1</f>
        <v>15</v>
      </c>
      <c r="B31" s="258"/>
      <c r="C31" s="55" t="s">
        <v>49</v>
      </c>
      <c r="H31" s="113"/>
      <c r="J31" s="108"/>
    </row>
    <row r="32" spans="1:10" ht="18.95" customHeight="1">
      <c r="A32" s="30">
        <f t="shared" si="0"/>
        <v>16</v>
      </c>
      <c r="B32" s="258">
        <v>330</v>
      </c>
      <c r="C32" s="38" t="s">
        <v>157</v>
      </c>
      <c r="D32" s="53">
        <f>'SCH B-2.1 B'!H30</f>
        <v>770080.98782838695</v>
      </c>
      <c r="E32" s="53">
        <f>-'SCH B-3 B'!I31</f>
        <v>797908.55357448233</v>
      </c>
      <c r="F32" s="116">
        <f>VLOOKUP($B32,'KU Depr Rates'!$A$16:$R$378,8,)/100</f>
        <v>0</v>
      </c>
      <c r="G32" s="53">
        <f t="shared" ref="G32" si="4">D32*F32</f>
        <v>0</v>
      </c>
      <c r="H32" s="275">
        <f>VLOOKUP($B32,'KU Depr Rates'!$A$16:$R$378,6,)/100</f>
        <v>0</v>
      </c>
      <c r="I32" s="175" t="str">
        <f>VLOOKUP($B32,'KU Depr Rates'!$A$16:$R$378,18,)</f>
        <v xml:space="preserve">-     </v>
      </c>
      <c r="J32" s="196" t="str">
        <f>VLOOKUP($B32,'KU Depr Rates'!$A$16:$R$378,16,)</f>
        <v>100-R4</v>
      </c>
    </row>
    <row r="33" spans="1:10" ht="18.95" customHeight="1">
      <c r="A33" s="30">
        <f t="shared" si="0"/>
        <v>17</v>
      </c>
      <c r="B33" s="258">
        <v>331</v>
      </c>
      <c r="C33" s="38" t="s">
        <v>151</v>
      </c>
      <c r="D33" s="53">
        <f>'SCH B-2.1 B'!H31</f>
        <v>2566170.9311189908</v>
      </c>
      <c r="E33" s="53">
        <f>-'SCH B-3 B'!I32</f>
        <v>261707.19699152189</v>
      </c>
      <c r="F33" s="116">
        <f>VLOOKUP($B33,'KU Depr Rates'!$A$16:$R$378,8,)/100</f>
        <v>1.6200000000000003E-2</v>
      </c>
      <c r="G33" s="53">
        <f t="shared" ref="G33:G38" si="5">D33*F33</f>
        <v>41571.969084127661</v>
      </c>
      <c r="H33" s="275">
        <f>VLOOKUP($B33,'KU Depr Rates'!$A$16:$R$378,6,)/100</f>
        <v>-0.03</v>
      </c>
      <c r="I33" s="175">
        <f>VLOOKUP($B33,'KU Depr Rates'!$A$16:$R$378,18,)</f>
        <v>28.2</v>
      </c>
      <c r="J33" s="196" t="str">
        <f>VLOOKUP($B33,'KU Depr Rates'!$A$16:$R$378,16,)</f>
        <v>90-S2.5</v>
      </c>
    </row>
    <row r="34" spans="1:10" ht="18.95" customHeight="1">
      <c r="A34" s="30">
        <f t="shared" si="0"/>
        <v>18</v>
      </c>
      <c r="B34" s="258">
        <v>332</v>
      </c>
      <c r="C34" s="38" t="s">
        <v>1693</v>
      </c>
      <c r="D34" s="53">
        <f>'SCH B-2.1 B'!H32</f>
        <v>19129334.712600585</v>
      </c>
      <c r="E34" s="53">
        <f>-'SCH B-3 B'!I33</f>
        <v>7739904.3848028341</v>
      </c>
      <c r="F34" s="116">
        <f>VLOOKUP($B34,'KU Depr Rates'!$A$16:$R$378,8,)/100</f>
        <v>2.4799999999999999E-2</v>
      </c>
      <c r="G34" s="53">
        <f t="shared" si="5"/>
        <v>474407.50087249448</v>
      </c>
      <c r="H34" s="275">
        <f>VLOOKUP($B34,'KU Depr Rates'!$A$16:$R$378,6,)/100</f>
        <v>-0.03</v>
      </c>
      <c r="I34" s="175">
        <f>VLOOKUP($B34,'KU Depr Rates'!$A$16:$R$378,18,)</f>
        <v>29</v>
      </c>
      <c r="J34" s="196" t="str">
        <f>VLOOKUP($B34,'KU Depr Rates'!$A$16:$R$378,16,)</f>
        <v>100-S2.5</v>
      </c>
    </row>
    <row r="35" spans="1:10" ht="18.95" customHeight="1">
      <c r="A35" s="30">
        <f t="shared" si="0"/>
        <v>19</v>
      </c>
      <c r="B35" s="258">
        <v>333</v>
      </c>
      <c r="C35" s="38" t="s">
        <v>1695</v>
      </c>
      <c r="D35" s="53">
        <f>'SCH B-2.1 B'!H33</f>
        <v>12250583.850462588</v>
      </c>
      <c r="E35" s="53">
        <f>-'SCH B-3 B'!I34</f>
        <v>1228554.8223434293</v>
      </c>
      <c r="F35" s="116">
        <f>VLOOKUP($B35,'KU Depr Rates'!$A$16:$R$378,8,)/100</f>
        <v>3.6600000000000001E-2</v>
      </c>
      <c r="G35" s="53">
        <f t="shared" si="5"/>
        <v>448371.36892693071</v>
      </c>
      <c r="H35" s="275">
        <f>VLOOKUP($B35,'KU Depr Rates'!$A$16:$R$378,6,)/100</f>
        <v>-0.03</v>
      </c>
      <c r="I35" s="175">
        <f>VLOOKUP($B35,'KU Depr Rates'!$A$16:$R$378,18,)</f>
        <v>28</v>
      </c>
      <c r="J35" s="196" t="str">
        <f>VLOOKUP($B35,'KU Depr Rates'!$A$16:$R$378,16,)</f>
        <v>75-R3</v>
      </c>
    </row>
    <row r="36" spans="1:10" ht="18.95" customHeight="1">
      <c r="A36" s="30">
        <f t="shared" si="0"/>
        <v>20</v>
      </c>
      <c r="B36" s="258">
        <v>334</v>
      </c>
      <c r="C36" s="38" t="s">
        <v>1686</v>
      </c>
      <c r="D36" s="53">
        <f>'SCH B-2.1 B'!H34</f>
        <v>1189918.9015401048</v>
      </c>
      <c r="E36" s="53">
        <f>-'SCH B-3 B'!I35</f>
        <v>241517.6267838543</v>
      </c>
      <c r="F36" s="116">
        <f>VLOOKUP($B36,'KU Depr Rates'!$A$16:$R$378,8,)/100</f>
        <v>3.5099999999999999E-2</v>
      </c>
      <c r="G36" s="53">
        <f t="shared" si="5"/>
        <v>41766.15344405768</v>
      </c>
      <c r="H36" s="275">
        <f>VLOOKUP($B36,'KU Depr Rates'!$A$16:$R$378,6,)/100</f>
        <v>-0.03</v>
      </c>
      <c r="I36" s="175">
        <f>VLOOKUP($B36,'KU Depr Rates'!$A$16:$R$378,18,)</f>
        <v>24.9</v>
      </c>
      <c r="J36" s="196" t="str">
        <f>VLOOKUP($B36,'KU Depr Rates'!$A$16:$R$378,16,)</f>
        <v>40-L2.5</v>
      </c>
    </row>
    <row r="37" spans="1:10" ht="18.95" customHeight="1">
      <c r="A37" s="30">
        <f t="shared" si="0"/>
        <v>21</v>
      </c>
      <c r="B37" s="258">
        <v>335</v>
      </c>
      <c r="C37" s="38" t="s">
        <v>1698</v>
      </c>
      <c r="D37" s="53">
        <f>'SCH B-2.1 B'!H35</f>
        <v>276856.6094312038</v>
      </c>
      <c r="E37" s="53">
        <f>-'SCH B-3 B'!I36</f>
        <v>116103.7234633435</v>
      </c>
      <c r="F37" s="116">
        <f>VLOOKUP($B37,'KU Depr Rates'!$A$16:$R$378,8,)/100</f>
        <v>4.3799999999999999E-2</v>
      </c>
      <c r="G37" s="53">
        <f t="shared" si="5"/>
        <v>12126.319493086727</v>
      </c>
      <c r="H37" s="275">
        <f>VLOOKUP($B37,'KU Depr Rates'!$A$16:$R$378,6,)/100</f>
        <v>-0.03</v>
      </c>
      <c r="I37" s="175">
        <f>VLOOKUP($B37,'KU Depr Rates'!$A$16:$R$378,18,)</f>
        <v>16.899999999999999</v>
      </c>
      <c r="J37" s="196" t="str">
        <f>VLOOKUP($B37,'KU Depr Rates'!$A$16:$R$378,16,)</f>
        <v>35-L1</v>
      </c>
    </row>
    <row r="38" spans="1:10" ht="18.95" customHeight="1">
      <c r="A38" s="30">
        <f t="shared" si="0"/>
        <v>22</v>
      </c>
      <c r="B38" s="258">
        <v>336</v>
      </c>
      <c r="C38" s="38" t="s">
        <v>1700</v>
      </c>
      <c r="D38" s="53">
        <f>'SCH B-2.1 B'!H36</f>
        <v>205377.76276838017</v>
      </c>
      <c r="E38" s="53">
        <f>-'SCH B-3 B'!I37</f>
        <v>70929.061349765412</v>
      </c>
      <c r="F38" s="116">
        <f>VLOOKUP($B38,'KU Depr Rates'!$A$16:$R$378,8,)/100</f>
        <v>3.85E-2</v>
      </c>
      <c r="G38" s="53">
        <f t="shared" si="5"/>
        <v>7907.0438665826368</v>
      </c>
      <c r="H38" s="275">
        <f>VLOOKUP($B38,'KU Depr Rates'!$A$16:$R$378,6,)/100</f>
        <v>-0.03</v>
      </c>
      <c r="I38" s="175">
        <f>VLOOKUP($B38,'KU Depr Rates'!$A$16:$R$378,18,)</f>
        <v>19.399999999999999</v>
      </c>
      <c r="J38" s="196" t="str">
        <f>VLOOKUP($B38,'KU Depr Rates'!$A$16:$R$378,16,)</f>
        <v>55-R4</v>
      </c>
    </row>
    <row r="39" spans="1:10" ht="18.95" customHeight="1">
      <c r="A39" s="30">
        <f t="shared" si="0"/>
        <v>23</v>
      </c>
      <c r="B39" s="258">
        <v>337</v>
      </c>
      <c r="C39" s="38" t="s">
        <v>1709</v>
      </c>
      <c r="D39" s="54">
        <f>'SCH B-2.1 B'!H37</f>
        <v>0</v>
      </c>
      <c r="E39" s="54">
        <f>-'SCH B-3 B'!I38</f>
        <v>0</v>
      </c>
      <c r="F39" s="95"/>
      <c r="G39" s="54"/>
      <c r="H39" s="117"/>
      <c r="I39" s="53"/>
      <c r="J39" s="121"/>
    </row>
    <row r="40" spans="1:10" ht="18.95" customHeight="1">
      <c r="A40" s="30">
        <f t="shared" si="0"/>
        <v>24</v>
      </c>
      <c r="B40" s="258" t="s">
        <v>254</v>
      </c>
      <c r="C40" s="38" t="s">
        <v>150</v>
      </c>
      <c r="D40" s="51">
        <f>SUM(D32:D39)</f>
        <v>36388323.755750246</v>
      </c>
      <c r="E40" s="51">
        <f>SUM(E32:E39)</f>
        <v>10456625.369309232</v>
      </c>
      <c r="F40" s="51"/>
      <c r="G40" s="51">
        <f t="shared" ref="G40" si="6">SUM(G32:G39)</f>
        <v>1026150.35568728</v>
      </c>
      <c r="H40" s="118"/>
      <c r="I40" s="51"/>
      <c r="J40" s="120"/>
    </row>
    <row r="41" spans="1:10" ht="18.95" customHeight="1">
      <c r="A41" s="30"/>
      <c r="B41" s="258"/>
      <c r="C41" s="38"/>
      <c r="D41" s="51"/>
      <c r="E41" s="51"/>
      <c r="F41" s="51"/>
      <c r="G41" s="51"/>
      <c r="H41" s="118"/>
      <c r="I41" s="51"/>
      <c r="J41" s="120"/>
    </row>
    <row r="42" spans="1:10" ht="18.95" customHeight="1">
      <c r="A42" s="30">
        <f>A40+1</f>
        <v>25</v>
      </c>
      <c r="B42" s="258"/>
      <c r="C42" s="55" t="s">
        <v>63</v>
      </c>
      <c r="H42" s="113"/>
      <c r="J42" s="108"/>
    </row>
    <row r="43" spans="1:10" ht="18.95" customHeight="1">
      <c r="A43" s="30">
        <f t="shared" si="0"/>
        <v>26</v>
      </c>
      <c r="B43" s="258">
        <v>340</v>
      </c>
      <c r="C43" s="38" t="s">
        <v>157</v>
      </c>
      <c r="D43" s="53">
        <f>'SCH B-2.1 B'!H41</f>
        <v>414749.2975337914</v>
      </c>
      <c r="E43" s="53">
        <f>-'SCH B-3 B'!I42</f>
        <v>105627.18298262394</v>
      </c>
      <c r="F43" s="116">
        <f>VLOOKUP($B43,'KU Depr Rates'!$A$16:$R$378,8,)/100</f>
        <v>2.2400000000000003E-2</v>
      </c>
      <c r="G43" s="53">
        <f t="shared" ref="G43:G46" si="7">D43*F43</f>
        <v>9290.384264756929</v>
      </c>
      <c r="H43" s="275">
        <f>VLOOKUP($B43,'KU Depr Rates'!$A$16:$R$378,6,)/100</f>
        <v>0</v>
      </c>
      <c r="I43" s="175">
        <f>VLOOKUP($B43,'KU Depr Rates'!$A$16:$R$378,18,)</f>
        <v>19.5</v>
      </c>
      <c r="J43" s="196" t="str">
        <f>VLOOKUP($B43,'KU Depr Rates'!$A$16:$R$378,16,)</f>
        <v>SQUARE</v>
      </c>
    </row>
    <row r="44" spans="1:10" ht="18.95" customHeight="1">
      <c r="A44" s="30">
        <f t="shared" si="0"/>
        <v>27</v>
      </c>
      <c r="B44" s="258">
        <v>341</v>
      </c>
      <c r="C44" s="38" t="s">
        <v>151</v>
      </c>
      <c r="D44" s="53">
        <f>'SCH B-2.1 B'!H42</f>
        <v>74334564.933974713</v>
      </c>
      <c r="E44" s="53">
        <f>-'SCH B-3 B'!I43</f>
        <v>18571599.553727403</v>
      </c>
      <c r="F44" s="116">
        <f>VLOOKUP($B44,'KU Depr Rates'!$A$16:$R$378,8,)/100</f>
        <v>3.6123662428270538E-2</v>
      </c>
      <c r="G44" s="53">
        <f t="shared" si="7"/>
        <v>2685236.7304272591</v>
      </c>
      <c r="H44" s="53" t="str">
        <f>VLOOKUP($B44,'KU Depr Rates'!$A$16:$R$378,6,)</f>
        <v>-2%,-3%</v>
      </c>
      <c r="I44" s="175">
        <f>VLOOKUP($B44,'KU Depr Rates'!$A$16:$R$378,18,)</f>
        <v>18.399999999999999</v>
      </c>
      <c r="J44" s="196" t="str">
        <f>VLOOKUP($B44,'KU Depr Rates'!$A$16:$R$378,16,)</f>
        <v>40-R2.5</v>
      </c>
    </row>
    <row r="45" spans="1:10" ht="18.95" customHeight="1">
      <c r="A45" s="30">
        <f t="shared" si="0"/>
        <v>28</v>
      </c>
      <c r="B45" s="258">
        <v>342</v>
      </c>
      <c r="C45" s="38" t="s">
        <v>1705</v>
      </c>
      <c r="D45" s="53">
        <f>'SCH B-2.1 B'!H43</f>
        <v>53938792.427599087</v>
      </c>
      <c r="E45" s="53">
        <f>-'SCH B-3 B'!I44</f>
        <v>15184101.370755903</v>
      </c>
      <c r="F45" s="116">
        <f>VLOOKUP($B45,'KU Depr Rates'!$A$16:$R$378,8,)/100</f>
        <v>3.5439533424650144E-2</v>
      </c>
      <c r="G45" s="53">
        <f t="shared" si="7"/>
        <v>1911565.637123164</v>
      </c>
      <c r="H45" s="53" t="str">
        <f>VLOOKUP($B45,'KU Depr Rates'!$A$16:$R$378,6,)</f>
        <v>-2%,-3%</v>
      </c>
      <c r="I45" s="175">
        <f>VLOOKUP($B45,'KU Depr Rates'!$A$16:$R$378,18,)</f>
        <v>18.100000000000001</v>
      </c>
      <c r="J45" s="196" t="str">
        <f>VLOOKUP($B45,'KU Depr Rates'!$A$16:$R$378,16,)</f>
        <v>45-R2.5</v>
      </c>
    </row>
    <row r="46" spans="1:10" ht="18.95" customHeight="1">
      <c r="A46" s="30">
        <f t="shared" si="0"/>
        <v>29</v>
      </c>
      <c r="B46" s="258">
        <v>343</v>
      </c>
      <c r="C46" s="38" t="s">
        <v>1707</v>
      </c>
      <c r="D46" s="53">
        <f>'SCH B-2.1 B'!H44</f>
        <v>565799100.26719403</v>
      </c>
      <c r="E46" s="53">
        <f>-'SCH B-3 B'!I45</f>
        <v>160827621.72561112</v>
      </c>
      <c r="F46" s="116">
        <f>VLOOKUP($B46,'KU Depr Rates'!$A$16:$R$378,8,)/100</f>
        <v>4.2526041038149873E-2</v>
      </c>
      <c r="G46" s="53">
        <f t="shared" si="7"/>
        <v>24061195.757310968</v>
      </c>
      <c r="H46" s="53" t="str">
        <f>VLOOKUP($B46,'KU Depr Rates'!$A$16:$R$378,6,)</f>
        <v>-2%,-3%</v>
      </c>
      <c r="I46" s="175">
        <f>VLOOKUP($B46,'KU Depr Rates'!$A$16:$R$378,18,)</f>
        <v>16.600000000000001</v>
      </c>
      <c r="J46" s="196" t="str">
        <f>VLOOKUP($B46,'KU Depr Rates'!$A$16:$R$378,16,)</f>
        <v>35-R1.5</v>
      </c>
    </row>
    <row r="47" spans="1:10" ht="18.95" customHeight="1">
      <c r="A47" s="30">
        <f>A46+1</f>
        <v>30</v>
      </c>
      <c r="B47" s="258">
        <v>344</v>
      </c>
      <c r="C47" s="38" t="s">
        <v>1711</v>
      </c>
      <c r="D47" s="53">
        <f>'SCH B-2.1 B'!H56</f>
        <v>114259847.42219386</v>
      </c>
      <c r="E47" s="53">
        <f>-'SCH B-3 B'!I58</f>
        <v>33152403.277802788</v>
      </c>
      <c r="F47" s="116">
        <f>VLOOKUP($B47,'KU Depr Rates'!$A$16:$R$378,8,)/100</f>
        <v>3.20863136425747E-2</v>
      </c>
      <c r="G47" s="53">
        <f t="shared" ref="G47:G49" si="8">D47*F47</f>
        <v>3666177.3011412425</v>
      </c>
      <c r="H47" s="53" t="str">
        <f>VLOOKUP($B47,'KU Depr Rates'!$A$16:$R$378,6,)</f>
        <v>-2%,-3%</v>
      </c>
      <c r="I47" s="175">
        <f>VLOOKUP($B47,'KU Depr Rates'!$A$16:$R$378,18,)</f>
        <v>18.399999999999999</v>
      </c>
      <c r="J47" s="196" t="str">
        <f>VLOOKUP($B47,'KU Depr Rates'!$A$16:$R$378,16,)</f>
        <v>55-S3</v>
      </c>
    </row>
    <row r="48" spans="1:10" ht="18.95" customHeight="1">
      <c r="A48" s="30">
        <f t="shared" si="0"/>
        <v>31</v>
      </c>
      <c r="B48" s="258">
        <v>345</v>
      </c>
      <c r="C48" s="38" t="s">
        <v>1686</v>
      </c>
      <c r="D48" s="53">
        <f>'SCH B-2.1 B'!H57</f>
        <v>58801258.439623185</v>
      </c>
      <c r="E48" s="53">
        <f>-'SCH B-3 B'!I59</f>
        <v>20477510.836576153</v>
      </c>
      <c r="F48" s="116">
        <f>VLOOKUP($B48,'KU Depr Rates'!$A$16:$R$378,8,)/100</f>
        <v>3.8323448463887175E-2</v>
      </c>
      <c r="G48" s="53">
        <f t="shared" si="8"/>
        <v>2253466.9974226099</v>
      </c>
      <c r="H48" s="53" t="str">
        <f>VLOOKUP($B48,'KU Depr Rates'!$A$16:$R$378,6,)</f>
        <v>-2%,-3%</v>
      </c>
      <c r="I48" s="175">
        <f>VLOOKUP($B48,'KU Depr Rates'!$A$16:$R$378,18,)</f>
        <v>18.399999999999999</v>
      </c>
      <c r="J48" s="196" t="str">
        <f>VLOOKUP($B48,'KU Depr Rates'!$A$16:$R$378,16,)</f>
        <v>45-R3</v>
      </c>
    </row>
    <row r="49" spans="1:10" ht="18.95" customHeight="1">
      <c r="A49" s="30">
        <f t="shared" si="0"/>
        <v>32</v>
      </c>
      <c r="B49" s="258">
        <v>346</v>
      </c>
      <c r="C49" s="38" t="s">
        <v>1698</v>
      </c>
      <c r="D49" s="53">
        <f>'SCH B-2.1 B'!H58</f>
        <v>7968048.4916848745</v>
      </c>
      <c r="E49" s="53">
        <f>-'SCH B-3 B'!I60</f>
        <v>2823269.8902244605</v>
      </c>
      <c r="F49" s="116">
        <f>VLOOKUP($B49,'KU Depr Rates'!$A$16:$R$378,8,)/100</f>
        <v>3.8174016333168463E-2</v>
      </c>
      <c r="G49" s="53">
        <f t="shared" si="8"/>
        <v>304172.41326505673</v>
      </c>
      <c r="H49" s="53" t="str">
        <f>VLOOKUP($B49,'KU Depr Rates'!$A$16:$R$378,6,)</f>
        <v>-2%,-3%</v>
      </c>
      <c r="I49" s="175">
        <f>VLOOKUP($B49,'KU Depr Rates'!$A$16:$R$378,18,)</f>
        <v>16.2</v>
      </c>
      <c r="J49" s="196" t="str">
        <f>VLOOKUP($B49,'KU Depr Rates'!$A$16:$R$378,16,)</f>
        <v>35-R2</v>
      </c>
    </row>
    <row r="50" spans="1:10" ht="18.95" customHeight="1">
      <c r="A50" s="30">
        <f t="shared" si="0"/>
        <v>33</v>
      </c>
      <c r="B50" s="258">
        <v>347</v>
      </c>
      <c r="C50" s="38" t="s">
        <v>1749</v>
      </c>
      <c r="D50" s="54">
        <f>'SCH B-2.1 B'!H59</f>
        <v>0</v>
      </c>
      <c r="E50" s="54">
        <f>-'SCH B-3 B'!I61</f>
        <v>0</v>
      </c>
      <c r="F50" s="95"/>
      <c r="G50" s="54"/>
      <c r="H50" s="95"/>
      <c r="I50" s="53"/>
      <c r="J50" s="53"/>
    </row>
    <row r="51" spans="1:10" ht="18.95" customHeight="1">
      <c r="A51" s="30">
        <f t="shared" si="0"/>
        <v>34</v>
      </c>
      <c r="B51" s="258"/>
      <c r="C51" s="38" t="s">
        <v>148</v>
      </c>
      <c r="D51" s="51">
        <f>SUM(D43:D46,D47:D50)</f>
        <v>875516361.27980363</v>
      </c>
      <c r="E51" s="51">
        <f>SUM(E43:E46,E47:E50)</f>
        <v>251142133.83768046</v>
      </c>
      <c r="F51" s="51"/>
      <c r="G51" s="51">
        <f>SUM(G43:G46,G47:G50)</f>
        <v>34891105.220955059</v>
      </c>
      <c r="H51" s="51"/>
      <c r="I51" s="51"/>
      <c r="J51" s="51"/>
    </row>
    <row r="52" spans="1:10" ht="18.95" customHeight="1">
      <c r="A52" s="30"/>
      <c r="B52" s="258"/>
    </row>
    <row r="53" spans="1:10" ht="18.95" customHeight="1">
      <c r="A53" s="30">
        <f>A51+1</f>
        <v>35</v>
      </c>
      <c r="B53" s="258"/>
      <c r="C53" s="55" t="s">
        <v>86</v>
      </c>
    </row>
    <row r="54" spans="1:10" ht="18.95" customHeight="1">
      <c r="A54" s="30">
        <f t="shared" si="0"/>
        <v>36</v>
      </c>
      <c r="B54" s="258">
        <v>350</v>
      </c>
      <c r="C54" s="38" t="s">
        <v>157</v>
      </c>
      <c r="D54" s="53">
        <f>'SCH B-2.1 B'!H63</f>
        <v>28517661.294115961</v>
      </c>
      <c r="E54" s="53">
        <f>-'SCH B-3 B'!I65</f>
        <v>15177857.067574253</v>
      </c>
      <c r="F54" s="116">
        <v>0</v>
      </c>
      <c r="G54" s="53">
        <f t="shared" ref="G54:G61" si="9">D54*F54</f>
        <v>0</v>
      </c>
      <c r="H54" s="117">
        <v>0</v>
      </c>
      <c r="I54" s="175"/>
      <c r="J54" s="196"/>
    </row>
    <row r="55" spans="1:10" ht="18.95" customHeight="1">
      <c r="A55" s="30">
        <f t="shared" si="0"/>
        <v>37</v>
      </c>
      <c r="B55" s="258">
        <v>352</v>
      </c>
      <c r="C55" s="38" t="s">
        <v>151</v>
      </c>
      <c r="D55" s="53">
        <f>'SCH B-2.1 B'!H64</f>
        <v>25901047.319737371</v>
      </c>
      <c r="E55" s="53">
        <f>-'SCH B-3 B'!I66</f>
        <v>6257408.6856347518</v>
      </c>
      <c r="F55" s="116">
        <f>VLOOKUP($B55,'KU Depr Rates'!$A$16:$R$378,8,)/100</f>
        <v>1.7394656992864136E-2</v>
      </c>
      <c r="G55" s="53">
        <f t="shared" si="9"/>
        <v>450539.83388277458</v>
      </c>
      <c r="H55" s="275">
        <f>VLOOKUP($B55,'KU Depr Rates'!$A$16:$R$378,6,)/100</f>
        <v>-0.25</v>
      </c>
      <c r="I55" s="175" t="str">
        <f>VLOOKUP($B55,'KU Depr Rates'!$A$16:$R$378,18,)</f>
        <v>34.5-55.1</v>
      </c>
      <c r="J55" s="196" t="str">
        <f>VLOOKUP($B55,'KU Depr Rates'!$A$16:$R$378,16,)</f>
        <v>60-R3, 65-S2.5</v>
      </c>
    </row>
    <row r="56" spans="1:10" ht="18.95" customHeight="1">
      <c r="A56" s="30">
        <f t="shared" si="0"/>
        <v>38</v>
      </c>
      <c r="B56" s="258">
        <v>353</v>
      </c>
      <c r="C56" s="38" t="s">
        <v>152</v>
      </c>
      <c r="D56" s="53">
        <f>'SCH B-2.1 B'!H65</f>
        <v>263547345.29709676</v>
      </c>
      <c r="E56" s="53">
        <f>-'SCH B-3 B'!I67</f>
        <v>70127307.498820171</v>
      </c>
      <c r="F56" s="116">
        <f>VLOOKUP($B56,'KU Depr Rates'!$A$16:$R$378,8,)/100</f>
        <v>1.67E-2</v>
      </c>
      <c r="G56" s="53">
        <f t="shared" si="9"/>
        <v>4401240.6664615162</v>
      </c>
      <c r="H56" s="275">
        <f>VLOOKUP($B56,'KU Depr Rates'!$A$16:$R$378,6,)/100</f>
        <v>-0.1</v>
      </c>
      <c r="I56" s="175">
        <f>VLOOKUP($B56,'KU Depr Rates'!$A$16:$R$378,18,)</f>
        <v>44.8</v>
      </c>
      <c r="J56" s="196" t="str">
        <f>VLOOKUP($B56,'KU Depr Rates'!$A$16:$R$378,16,)</f>
        <v>60-R2, 35-R2.5</v>
      </c>
    </row>
    <row r="57" spans="1:10" ht="18.95" customHeight="1">
      <c r="A57" s="30">
        <f t="shared" si="0"/>
        <v>39</v>
      </c>
      <c r="B57" s="258">
        <v>354</v>
      </c>
      <c r="C57" s="38" t="s">
        <v>1719</v>
      </c>
      <c r="D57" s="53">
        <f>'SCH B-2.1 B'!H66</f>
        <v>69982316.974422261</v>
      </c>
      <c r="E57" s="53">
        <f>-'SCH B-3 B'!I68</f>
        <v>43957860.935184397</v>
      </c>
      <c r="F57" s="116">
        <f>VLOOKUP($B57,'KU Depr Rates'!$A$16:$R$378,8,)/100</f>
        <v>1.3600000000000001E-2</v>
      </c>
      <c r="G57" s="53">
        <f t="shared" si="9"/>
        <v>951759.51085214282</v>
      </c>
      <c r="H57" s="275">
        <f>VLOOKUP($B57,'KU Depr Rates'!$A$16:$R$378,6,)/100</f>
        <v>-0.25</v>
      </c>
      <c r="I57" s="175">
        <f>VLOOKUP($B57,'KU Depr Rates'!$A$16:$R$378,18,)</f>
        <v>54.2</v>
      </c>
      <c r="J57" s="196" t="str">
        <f>VLOOKUP($B57,'KU Depr Rates'!$A$16:$R$378,16,)</f>
        <v>70-R4</v>
      </c>
    </row>
    <row r="58" spans="1:10" ht="18.95" customHeight="1">
      <c r="A58" s="30">
        <f t="shared" si="0"/>
        <v>40</v>
      </c>
      <c r="B58" s="258">
        <v>355</v>
      </c>
      <c r="C58" s="38" t="s">
        <v>1721</v>
      </c>
      <c r="D58" s="53">
        <f>'SCH B-2.1 B'!H67</f>
        <v>260865375.93255731</v>
      </c>
      <c r="E58" s="53">
        <f>-'SCH B-3 B'!I69</f>
        <v>58962470.319960982</v>
      </c>
      <c r="F58" s="116">
        <f>VLOOKUP($B58,'KU Depr Rates'!$A$16:$R$378,8,)/100</f>
        <v>2.3399999999999997E-2</v>
      </c>
      <c r="G58" s="53">
        <f t="shared" si="9"/>
        <v>6104249.7968218401</v>
      </c>
      <c r="H58" s="275">
        <f>VLOOKUP($B58,'KU Depr Rates'!$A$16:$R$378,6,)/100</f>
        <v>-0.55000000000000004</v>
      </c>
      <c r="I58" s="175">
        <f>VLOOKUP($B58,'KU Depr Rates'!$A$16:$R$378,18,)</f>
        <v>46.5</v>
      </c>
      <c r="J58" s="196" t="str">
        <f>VLOOKUP($B58,'KU Depr Rates'!$A$16:$R$378,16,)</f>
        <v>55-R2</v>
      </c>
    </row>
    <row r="59" spans="1:10" ht="18.95" customHeight="1">
      <c r="A59" s="30">
        <f t="shared" si="0"/>
        <v>41</v>
      </c>
      <c r="B59" s="258">
        <v>356</v>
      </c>
      <c r="C59" s="38" t="s">
        <v>1723</v>
      </c>
      <c r="D59" s="53">
        <f>'SCH B-2.1 B'!H68</f>
        <v>159337931.74463749</v>
      </c>
      <c r="E59" s="53">
        <f>-'SCH B-3 B'!I70</f>
        <v>100655065.21399164</v>
      </c>
      <c r="F59" s="116">
        <f>VLOOKUP($B59,'KU Depr Rates'!$A$16:$R$378,8,)/100</f>
        <v>1.9400000000000001E-2</v>
      </c>
      <c r="G59" s="53">
        <f t="shared" si="9"/>
        <v>3091155.8758459673</v>
      </c>
      <c r="H59" s="275">
        <f>VLOOKUP($B59,'KU Depr Rates'!$A$16:$R$378,6,)/100</f>
        <v>-0.5</v>
      </c>
      <c r="I59" s="175">
        <f>VLOOKUP($B59,'KU Depr Rates'!$A$16:$R$378,18,)</f>
        <v>42.3</v>
      </c>
      <c r="J59" s="196" t="str">
        <f>VLOOKUP($B59,'KU Depr Rates'!$A$16:$R$378,16,)</f>
        <v>60-R3</v>
      </c>
    </row>
    <row r="60" spans="1:10" ht="18.95" customHeight="1">
      <c r="A60" s="30">
        <f t="shared" si="0"/>
        <v>42</v>
      </c>
      <c r="B60" s="258">
        <v>357</v>
      </c>
      <c r="C60" s="38" t="s">
        <v>1725</v>
      </c>
      <c r="D60" s="53">
        <f>'SCH B-2.1 B'!H69</f>
        <v>427600.79877989512</v>
      </c>
      <c r="E60" s="53">
        <f>-'SCH B-3 B'!I71</f>
        <v>211004.10686992988</v>
      </c>
      <c r="F60" s="116">
        <f>VLOOKUP($B60,'KU Depr Rates'!$A$16:$R$378,8,)/100</f>
        <v>2.2700000000000001E-2</v>
      </c>
      <c r="G60" s="53">
        <f t="shared" si="9"/>
        <v>9706.5381323036199</v>
      </c>
      <c r="H60" s="275">
        <f>VLOOKUP($B60,'KU Depr Rates'!$A$16:$R$378,6,)/100</f>
        <v>0</v>
      </c>
      <c r="I60" s="175">
        <f>VLOOKUP($B60,'KU Depr Rates'!$A$16:$R$378,18,)</f>
        <v>25.6</v>
      </c>
      <c r="J60" s="196" t="str">
        <f>VLOOKUP($B60,'KU Depr Rates'!$A$16:$R$378,16,)</f>
        <v>45-R4</v>
      </c>
    </row>
    <row r="61" spans="1:10" ht="18.95" customHeight="1">
      <c r="A61" s="30">
        <f t="shared" si="0"/>
        <v>43</v>
      </c>
      <c r="B61" s="258">
        <v>358</v>
      </c>
      <c r="C61" s="38" t="s">
        <v>1727</v>
      </c>
      <c r="D61" s="53">
        <f>'SCH B-2.1 B'!H70</f>
        <v>1064191.2649456945</v>
      </c>
      <c r="E61" s="53">
        <f>-'SCH B-3 B'!I72</f>
        <v>841795.19066016632</v>
      </c>
      <c r="F61" s="116">
        <f>VLOOKUP($B61,'KU Depr Rates'!$A$16:$R$378,8,)/100</f>
        <v>9.7999999999999997E-3</v>
      </c>
      <c r="G61" s="53">
        <f t="shared" si="9"/>
        <v>10429.074396467806</v>
      </c>
      <c r="H61" s="275">
        <f>VLOOKUP($B61,'KU Depr Rates'!$A$16:$R$378,6,)/100</f>
        <v>0</v>
      </c>
      <c r="I61" s="175">
        <f>VLOOKUP($B61,'KU Depr Rates'!$A$16:$R$378,18,)</f>
        <v>21.3</v>
      </c>
      <c r="J61" s="196" t="str">
        <f>VLOOKUP($B61,'KU Depr Rates'!$A$16:$R$378,16,)</f>
        <v>35-R3</v>
      </c>
    </row>
    <row r="62" spans="1:10" ht="18.95" customHeight="1">
      <c r="A62" s="30">
        <f t="shared" si="0"/>
        <v>44</v>
      </c>
      <c r="B62" s="258">
        <v>359</v>
      </c>
      <c r="C62" s="38" t="s">
        <v>155</v>
      </c>
      <c r="D62" s="54">
        <f>'SCH B-2.1 B'!H71</f>
        <v>0</v>
      </c>
      <c r="E62" s="54">
        <f>-'SCH B-3 B'!I73</f>
        <v>0</v>
      </c>
      <c r="F62" s="95"/>
      <c r="G62" s="54">
        <f t="shared" ref="G62" si="10">D62*F62</f>
        <v>0</v>
      </c>
      <c r="H62" s="117"/>
      <c r="I62" s="53"/>
      <c r="J62" s="53"/>
    </row>
    <row r="63" spans="1:10" ht="18.95" customHeight="1">
      <c r="A63" s="30">
        <f t="shared" si="0"/>
        <v>45</v>
      </c>
      <c r="B63" s="258"/>
      <c r="C63" s="38" t="s">
        <v>153</v>
      </c>
      <c r="D63" s="51">
        <f>SUM(D54:D62)</f>
        <v>809643470.62629271</v>
      </c>
      <c r="E63" s="51">
        <f>SUM(E54:E62)</f>
        <v>296190769.01869631</v>
      </c>
      <c r="F63" s="51"/>
      <c r="G63" s="51">
        <f t="shared" ref="G63" si="11">SUM(G54:G62)</f>
        <v>15019081.296393014</v>
      </c>
      <c r="H63" s="118"/>
      <c r="I63" s="51"/>
      <c r="J63" s="51"/>
    </row>
    <row r="64" spans="1:10" s="28" customFormat="1" ht="20.100000000000001" customHeight="1">
      <c r="A64" s="706" t="str">
        <f>$A$1</f>
        <v>KENTUCKY UTILITIES COMPANY</v>
      </c>
      <c r="B64" s="706"/>
      <c r="C64" s="706"/>
      <c r="D64" s="706"/>
      <c r="E64" s="706"/>
      <c r="F64" s="706"/>
      <c r="G64" s="706"/>
      <c r="H64" s="706"/>
      <c r="I64" s="706"/>
      <c r="J64" s="706"/>
    </row>
    <row r="65" spans="1:10" s="28" customFormat="1" ht="20.100000000000001" customHeight="1">
      <c r="A65" s="706" t="str">
        <f>$A$2</f>
        <v>CASE NO. 2016-00370</v>
      </c>
      <c r="B65" s="706"/>
      <c r="C65" s="706"/>
      <c r="D65" s="706"/>
      <c r="E65" s="706"/>
      <c r="F65" s="706"/>
      <c r="G65" s="706"/>
      <c r="H65" s="706"/>
      <c r="I65" s="706"/>
      <c r="J65" s="706"/>
    </row>
    <row r="66" spans="1:10" s="28" customFormat="1" ht="20.100000000000001" customHeight="1">
      <c r="A66" s="706" t="str">
        <f>$A$3</f>
        <v>DEPRECIATION ACCRUAL RATES AND ACCUMULATED BALANCES BY ACCOUNT</v>
      </c>
      <c r="B66" s="706"/>
      <c r="C66" s="706"/>
      <c r="D66" s="706"/>
      <c r="E66" s="706"/>
      <c r="F66" s="706"/>
      <c r="G66" s="706"/>
      <c r="H66" s="706"/>
      <c r="I66" s="706"/>
      <c r="J66" s="706"/>
    </row>
    <row r="67" spans="1:10" s="28" customFormat="1" ht="20.100000000000001" customHeight="1">
      <c r="A67" s="705" t="str">
        <f>$A$4</f>
        <v>AS OF FEBRUARY 28, 2017</v>
      </c>
      <c r="B67" s="706"/>
      <c r="C67" s="706"/>
      <c r="D67" s="706"/>
      <c r="E67" s="706"/>
      <c r="F67" s="706"/>
      <c r="G67" s="706"/>
      <c r="H67" s="706"/>
      <c r="I67" s="706"/>
      <c r="J67" s="706"/>
    </row>
    <row r="68" spans="1:10" s="28" customFormat="1" ht="20.100000000000001" customHeight="1">
      <c r="A68" s="57"/>
      <c r="B68" s="57"/>
      <c r="C68" s="57"/>
      <c r="D68" s="57"/>
      <c r="E68" s="57"/>
      <c r="F68" s="57"/>
      <c r="G68" s="57"/>
      <c r="H68" s="57"/>
      <c r="I68" s="174"/>
      <c r="J68" s="57"/>
    </row>
    <row r="69" spans="1:10" s="28" customFormat="1" ht="20.100000000000001" customHeight="1">
      <c r="A69" s="27" t="str">
        <f>$A$6</f>
        <v>DATA:__X__BASE  PERIOD____FORECASTED  PERIOD</v>
      </c>
      <c r="B69" s="27"/>
      <c r="I69" s="34"/>
      <c r="J69" s="34" t="s">
        <v>1248</v>
      </c>
    </row>
    <row r="70" spans="1:10" s="28" customFormat="1" ht="20.100000000000001" customHeight="1">
      <c r="A70" s="27" t="str">
        <f>$A$7</f>
        <v>TYPE OF FILING: __X__ ORIGINAL  _____ UPDATED  _____ REVISED</v>
      </c>
      <c r="I70" s="34"/>
      <c r="J70" s="34" t="s">
        <v>2157</v>
      </c>
    </row>
    <row r="71" spans="1:10" s="28" customFormat="1" ht="20.100000000000001" customHeight="1">
      <c r="A71" s="27" t="str">
        <f>$A$8</f>
        <v>WORKPAPER REFERENCE NO(S).:</v>
      </c>
      <c r="B71" s="27"/>
      <c r="G71" s="27"/>
      <c r="I71" s="35"/>
      <c r="J71" s="35" t="str">
        <f>$J$8</f>
        <v>WITNESS:   C. M. GARRETT</v>
      </c>
    </row>
    <row r="72" spans="1:10" s="28" customFormat="1" ht="20.100000000000001" customHeight="1"/>
    <row r="73" spans="1:10" s="28" customFormat="1" ht="20.100000000000001" customHeight="1">
      <c r="A73" s="61"/>
      <c r="B73" s="61"/>
      <c r="C73" s="61"/>
      <c r="D73" s="708" t="s">
        <v>230</v>
      </c>
      <c r="E73" s="708"/>
      <c r="F73" s="61"/>
      <c r="G73" s="61"/>
      <c r="H73" s="61"/>
      <c r="I73" s="61"/>
      <c r="J73" s="61"/>
    </row>
    <row r="74" spans="1:10" ht="48" customHeight="1">
      <c r="A74" s="31" t="s">
        <v>134</v>
      </c>
      <c r="B74" s="31" t="s">
        <v>137</v>
      </c>
      <c r="C74" s="38" t="s">
        <v>1250</v>
      </c>
      <c r="D74" s="31" t="s">
        <v>1251</v>
      </c>
      <c r="E74" s="31" t="s">
        <v>1252</v>
      </c>
      <c r="F74" s="31" t="s">
        <v>1630</v>
      </c>
      <c r="G74" s="31" t="s">
        <v>1253</v>
      </c>
      <c r="H74" s="31" t="s">
        <v>1255</v>
      </c>
      <c r="I74" s="31" t="s">
        <v>1902</v>
      </c>
      <c r="J74" s="31" t="s">
        <v>1256</v>
      </c>
    </row>
    <row r="75" spans="1:10" ht="18.95" customHeight="1">
      <c r="A75" s="63" t="s">
        <v>1226</v>
      </c>
      <c r="B75" s="63" t="s">
        <v>1227</v>
      </c>
      <c r="C75" s="63" t="s">
        <v>1230</v>
      </c>
      <c r="D75" s="63" t="s">
        <v>1238</v>
      </c>
      <c r="E75" s="63" t="s">
        <v>1239</v>
      </c>
      <c r="F75" s="63" t="s">
        <v>1240</v>
      </c>
      <c r="G75" s="63" t="s">
        <v>1254</v>
      </c>
      <c r="H75" s="63" t="s">
        <v>1242</v>
      </c>
      <c r="I75" s="63" t="s">
        <v>1243</v>
      </c>
      <c r="J75" s="63" t="s">
        <v>1257</v>
      </c>
    </row>
    <row r="76" spans="1:10" ht="23.1" customHeight="1">
      <c r="A76" s="40"/>
      <c r="B76" s="40"/>
      <c r="C76" s="41"/>
      <c r="D76" s="42" t="s">
        <v>145</v>
      </c>
      <c r="E76" s="42" t="s">
        <v>145</v>
      </c>
      <c r="F76" s="42"/>
      <c r="G76" s="42" t="s">
        <v>145</v>
      </c>
      <c r="H76" s="42"/>
      <c r="I76" s="42"/>
      <c r="J76" s="42"/>
    </row>
    <row r="77" spans="1:10" ht="18.95" customHeight="1">
      <c r="A77" s="30">
        <f>A63+1</f>
        <v>46</v>
      </c>
      <c r="B77" s="258" t="s">
        <v>254</v>
      </c>
      <c r="C77" s="55" t="s">
        <v>16</v>
      </c>
      <c r="H77" s="113"/>
    </row>
    <row r="78" spans="1:10" ht="18.95" customHeight="1">
      <c r="A78" s="30">
        <f t="shared" si="0"/>
        <v>47</v>
      </c>
      <c r="B78" s="258">
        <v>360</v>
      </c>
      <c r="C78" s="38" t="s">
        <v>157</v>
      </c>
      <c r="D78" s="53">
        <f>'SCH B-2.1 B'!H75</f>
        <v>8268598.1899999902</v>
      </c>
      <c r="E78" s="53">
        <f>-'SCH B-3 B'!I77</f>
        <v>1373795.5581599281</v>
      </c>
      <c r="F78" s="116">
        <v>0</v>
      </c>
      <c r="G78" s="53">
        <f t="shared" ref="G78:G89" si="12">D78*F78</f>
        <v>0</v>
      </c>
      <c r="H78" s="275">
        <v>0</v>
      </c>
      <c r="I78" s="175"/>
      <c r="J78" s="196"/>
    </row>
    <row r="79" spans="1:10" ht="18.95" customHeight="1">
      <c r="A79" s="30">
        <f t="shared" si="0"/>
        <v>48</v>
      </c>
      <c r="B79" s="258">
        <v>361</v>
      </c>
      <c r="C79" s="38" t="s">
        <v>151</v>
      </c>
      <c r="D79" s="53">
        <f>'SCH B-2.1 B'!H76</f>
        <v>11661225.15</v>
      </c>
      <c r="E79" s="53">
        <f>-'SCH B-3 B'!I78</f>
        <v>2325658.8737399308</v>
      </c>
      <c r="F79" s="116">
        <f>VLOOKUP($B79,'KU Depr Rates'!$A$16:$R$378,8,)/100</f>
        <v>0.02</v>
      </c>
      <c r="G79" s="53">
        <f t="shared" si="12"/>
        <v>233224.50300000003</v>
      </c>
      <c r="H79" s="275">
        <f>VLOOKUP($B79,'KU Depr Rates'!$A$16:$R$378,6,)/100</f>
        <v>-0.2</v>
      </c>
      <c r="I79" s="175">
        <f>VLOOKUP($B79,'KU Depr Rates'!$A$16:$R$378,18,)</f>
        <v>48.3</v>
      </c>
      <c r="J79" s="196" t="str">
        <f>VLOOKUP($B79,'KU Depr Rates'!$A$16:$R$378,16,)</f>
        <v>60-R2.5</v>
      </c>
    </row>
    <row r="80" spans="1:10" ht="18.95" customHeight="1">
      <c r="A80" s="30">
        <f t="shared" si="0"/>
        <v>49</v>
      </c>
      <c r="B80" s="258">
        <v>362</v>
      </c>
      <c r="C80" s="38" t="s">
        <v>1732</v>
      </c>
      <c r="D80" s="53">
        <f>'SCH B-2.1 B'!H77</f>
        <v>178988612.31</v>
      </c>
      <c r="E80" s="53">
        <f>-'SCH B-3 B'!I79</f>
        <v>46685158.650014289</v>
      </c>
      <c r="F80" s="116">
        <f>VLOOKUP($B80,'KU Depr Rates'!$A$16:$R$378,8,)/100</f>
        <v>2.2700000000000001E-2</v>
      </c>
      <c r="G80" s="53">
        <f t="shared" si="12"/>
        <v>4063041.4994370001</v>
      </c>
      <c r="H80" s="275">
        <f>VLOOKUP($B80,'KU Depr Rates'!$A$16:$R$378,6,)/100</f>
        <v>-0.2</v>
      </c>
      <c r="I80" s="175">
        <f>VLOOKUP($B80,'KU Depr Rates'!$A$16:$R$378,18,)</f>
        <v>40.4</v>
      </c>
      <c r="J80" s="196" t="str">
        <f>VLOOKUP($B80,'KU Depr Rates'!$A$16:$R$378,16,)</f>
        <v>54-R2</v>
      </c>
    </row>
    <row r="81" spans="1:10" ht="18.95" customHeight="1">
      <c r="A81" s="30">
        <f t="shared" ref="A81:A91" si="13">A80+1</f>
        <v>50</v>
      </c>
      <c r="B81" s="258">
        <v>364</v>
      </c>
      <c r="C81" s="38" t="s">
        <v>1734</v>
      </c>
      <c r="D81" s="53">
        <f>'SCH B-2.1 B'!H78</f>
        <v>348341211.31653756</v>
      </c>
      <c r="E81" s="53">
        <f>-'SCH B-3 B'!I80</f>
        <v>146605747.66773996</v>
      </c>
      <c r="F81" s="116">
        <f>VLOOKUP($B81,'KU Depr Rates'!$A$16:$R$378,8,)/100</f>
        <v>2.3300000000000001E-2</v>
      </c>
      <c r="G81" s="53">
        <f t="shared" si="12"/>
        <v>8116350.2236753255</v>
      </c>
      <c r="H81" s="275">
        <f>VLOOKUP($B81,'KU Depr Rates'!$A$16:$R$378,6,)/100</f>
        <v>-0.45</v>
      </c>
      <c r="I81" s="175">
        <f>VLOOKUP($B81,'KU Depr Rates'!$A$16:$R$378,18,)</f>
        <v>42.3</v>
      </c>
      <c r="J81" s="196" t="str">
        <f>VLOOKUP($B81,'KU Depr Rates'!$A$16:$R$378,16,)</f>
        <v>50-R1</v>
      </c>
    </row>
    <row r="82" spans="1:10" ht="18.95" customHeight="1">
      <c r="A82" s="30">
        <f t="shared" si="13"/>
        <v>51</v>
      </c>
      <c r="B82" s="258">
        <v>365</v>
      </c>
      <c r="C82" s="38" t="s">
        <v>1723</v>
      </c>
      <c r="D82" s="53">
        <f>'SCH B-2.1 B'!H79</f>
        <v>343364434.09061229</v>
      </c>
      <c r="E82" s="53">
        <f>-'SCH B-3 B'!I81</f>
        <v>109514722.61052948</v>
      </c>
      <c r="F82" s="116">
        <f>VLOOKUP($B82,'KU Depr Rates'!$A$16:$R$378,8,)/100</f>
        <v>3.2300000000000002E-2</v>
      </c>
      <c r="G82" s="53">
        <f t="shared" si="12"/>
        <v>11090671.221126778</v>
      </c>
      <c r="H82" s="275">
        <f>VLOOKUP($B82,'KU Depr Rates'!$A$16:$R$378,6,)/100</f>
        <v>-0.6</v>
      </c>
      <c r="I82" s="175">
        <f>VLOOKUP($B82,'KU Depr Rates'!$A$16:$R$378,18,)</f>
        <v>37.4</v>
      </c>
      <c r="J82" s="196" t="str">
        <f>VLOOKUP($B82,'KU Depr Rates'!$A$16:$R$378,16,)</f>
        <v>48-R1.5</v>
      </c>
    </row>
    <row r="83" spans="1:10" ht="18.95" customHeight="1">
      <c r="A83" s="30">
        <f t="shared" si="13"/>
        <v>52</v>
      </c>
      <c r="B83" s="258">
        <v>366</v>
      </c>
      <c r="C83" s="38" t="s">
        <v>1725</v>
      </c>
      <c r="D83" s="53">
        <f>'SCH B-2.1 B'!H80</f>
        <v>2210225.15</v>
      </c>
      <c r="E83" s="53">
        <f>-'SCH B-3 B'!I82</f>
        <v>889220.94246500172</v>
      </c>
      <c r="F83" s="116">
        <f>VLOOKUP($B83,'KU Depr Rates'!$A$16:$R$378,8,)/100</f>
        <v>2.7000000000000003E-2</v>
      </c>
      <c r="G83" s="53">
        <f t="shared" si="12"/>
        <v>59676.079050000008</v>
      </c>
      <c r="H83" s="275">
        <f>VLOOKUP($B83,'KU Depr Rates'!$A$16:$R$378,6,)/100</f>
        <v>-0.05</v>
      </c>
      <c r="I83" s="175">
        <f>VLOOKUP($B83,'KU Depr Rates'!$A$16:$R$378,18,)</f>
        <v>25.9</v>
      </c>
      <c r="J83" s="196" t="str">
        <f>VLOOKUP($B83,'KU Depr Rates'!$A$16:$R$378,16,)</f>
        <v>50-R4</v>
      </c>
    </row>
    <row r="84" spans="1:10" ht="18.95" customHeight="1">
      <c r="A84" s="30">
        <f t="shared" si="13"/>
        <v>53</v>
      </c>
      <c r="B84" s="258">
        <v>367</v>
      </c>
      <c r="C84" s="38" t="s">
        <v>1727</v>
      </c>
      <c r="D84" s="53">
        <f>'SCH B-2.1 B'!H81</f>
        <v>186463703.14881665</v>
      </c>
      <c r="E84" s="53">
        <f>-'SCH B-3 B'!I83</f>
        <v>41494934.790507726</v>
      </c>
      <c r="F84" s="116">
        <f>VLOOKUP($B84,'KU Depr Rates'!$A$16:$R$378,8,)/100</f>
        <v>2.3700000000000002E-2</v>
      </c>
      <c r="G84" s="53">
        <f t="shared" si="12"/>
        <v>4419189.7646269547</v>
      </c>
      <c r="H84" s="275">
        <f>VLOOKUP($B84,'KU Depr Rates'!$A$16:$R$378,6,)/100</f>
        <v>-0.1</v>
      </c>
      <c r="I84" s="175">
        <f>VLOOKUP($B84,'KU Depr Rates'!$A$16:$R$378,18,)</f>
        <v>37.700000000000003</v>
      </c>
      <c r="J84" s="196" t="str">
        <f>VLOOKUP($B84,'KU Depr Rates'!$A$16:$R$378,16,)</f>
        <v>44-R2</v>
      </c>
    </row>
    <row r="85" spans="1:10" ht="18.95" customHeight="1">
      <c r="A85" s="30">
        <f t="shared" si="13"/>
        <v>54</v>
      </c>
      <c r="B85" s="258">
        <v>368</v>
      </c>
      <c r="C85" s="38" t="s">
        <v>1739</v>
      </c>
      <c r="D85" s="53">
        <f>'SCH B-2.1 B'!H82</f>
        <v>302025557.59656966</v>
      </c>
      <c r="E85" s="53">
        <f>-'SCH B-3 B'!I84</f>
        <v>138220842.34223539</v>
      </c>
      <c r="F85" s="116">
        <f>VLOOKUP($B85,'KU Depr Rates'!$A$16:$R$378,8,)/100</f>
        <v>2.4500000000000001E-2</v>
      </c>
      <c r="G85" s="53">
        <f t="shared" si="12"/>
        <v>7399626.1611159565</v>
      </c>
      <c r="H85" s="275">
        <f>VLOOKUP($B85,'KU Depr Rates'!$A$16:$R$378,6,)/100</f>
        <v>-0.15</v>
      </c>
      <c r="I85" s="175">
        <f>VLOOKUP($B85,'KU Depr Rates'!$A$16:$R$378,18,)</f>
        <v>30.1</v>
      </c>
      <c r="J85" s="196" t="str">
        <f>VLOOKUP($B85,'KU Depr Rates'!$A$16:$R$378,16,)</f>
        <v>43-R2</v>
      </c>
    </row>
    <row r="86" spans="1:10" ht="18.95" customHeight="1">
      <c r="A86" s="30">
        <f t="shared" si="13"/>
        <v>55</v>
      </c>
      <c r="B86" s="258">
        <v>369</v>
      </c>
      <c r="C86" s="38" t="s">
        <v>1741</v>
      </c>
      <c r="D86" s="53">
        <f>'SCH B-2.1 B'!H83</f>
        <v>97262576.700000003</v>
      </c>
      <c r="E86" s="53">
        <f>-'SCH B-3 B'!I85</f>
        <v>59446936.561263226</v>
      </c>
      <c r="F86" s="116">
        <f>VLOOKUP($B86,'KU Depr Rates'!$A$16:$R$378,8,)/100</f>
        <v>2.0299999999999999E-2</v>
      </c>
      <c r="G86" s="53">
        <f t="shared" si="12"/>
        <v>1974430.3070099999</v>
      </c>
      <c r="H86" s="275">
        <f>VLOOKUP($B86,'KU Depr Rates'!$A$16:$R$378,6,)/100</f>
        <v>-0.3</v>
      </c>
      <c r="I86" s="175">
        <f>VLOOKUP($B86,'KU Depr Rates'!$A$16:$R$378,18,)</f>
        <v>32.1</v>
      </c>
      <c r="J86" s="196" t="str">
        <f>VLOOKUP($B86,'KU Depr Rates'!$A$16:$R$378,16,)</f>
        <v>43-R1.5</v>
      </c>
    </row>
    <row r="87" spans="1:10" ht="18.95" customHeight="1">
      <c r="A87" s="30">
        <f>A86+1</f>
        <v>56</v>
      </c>
      <c r="B87" s="258">
        <v>370</v>
      </c>
      <c r="C87" s="38" t="s">
        <v>1743</v>
      </c>
      <c r="D87" s="53">
        <f>'SCH B-2.1 B'!H84</f>
        <v>74142066.170000002</v>
      </c>
      <c r="E87" s="53">
        <f>-'SCH B-3 B'!I86</f>
        <v>37273908.007678963</v>
      </c>
      <c r="F87" s="116">
        <f>VLOOKUP($B87,'KU Depr Rates'!$A$16:$R$378,8,)/100</f>
        <v>2.29E-2</v>
      </c>
      <c r="G87" s="53">
        <f t="shared" si="12"/>
        <v>1697853.3152930001</v>
      </c>
      <c r="H87" s="275">
        <f>VLOOKUP($B87,'KU Depr Rates'!$A$16:$R$378,6,)/100</f>
        <v>0</v>
      </c>
      <c r="I87" s="175">
        <f>VLOOKUP($B87,'KU Depr Rates'!$A$16:$R$378,18,)</f>
        <v>23.4</v>
      </c>
      <c r="J87" s="196" t="str">
        <f>VLOOKUP($B87,'KU Depr Rates'!$A$16:$R$378,16,)</f>
        <v>39-R2</v>
      </c>
    </row>
    <row r="88" spans="1:10" ht="18.95" customHeight="1">
      <c r="A88" s="30">
        <f t="shared" si="13"/>
        <v>57</v>
      </c>
      <c r="B88" s="258">
        <v>371</v>
      </c>
      <c r="C88" s="38" t="s">
        <v>1745</v>
      </c>
      <c r="D88" s="53">
        <f>'SCH B-2.1 B'!H85</f>
        <v>205375.54999999888</v>
      </c>
      <c r="E88" s="53">
        <f>-'SCH B-3 B'!I87</f>
        <v>-4373.2295228645698</v>
      </c>
      <c r="F88" s="116">
        <f>VLOOKUP($B88,'KU Depr Rates'!$A$16:$R$378,8,)/100</f>
        <v>8.1000000000000013E-3</v>
      </c>
      <c r="G88" s="53">
        <f t="shared" si="12"/>
        <v>1663.5419549999913</v>
      </c>
      <c r="H88" s="275">
        <f>VLOOKUP($B88,'KU Depr Rates'!$A$16:$R$378,6,)/100</f>
        <v>-0.1</v>
      </c>
      <c r="I88" s="175">
        <f>VLOOKUP($B88,'KU Depr Rates'!$A$16:$R$378,18,)</f>
        <v>18.100000000000001</v>
      </c>
      <c r="J88" s="196" t="str">
        <f>VLOOKUP($B88,'KU Depr Rates'!$A$16:$R$378,16,)</f>
        <v>25-O1</v>
      </c>
    </row>
    <row r="89" spans="1:10" ht="18.95" customHeight="1">
      <c r="A89" s="30">
        <f t="shared" si="13"/>
        <v>58</v>
      </c>
      <c r="B89" s="258">
        <v>373</v>
      </c>
      <c r="C89" s="38" t="s">
        <v>1747</v>
      </c>
      <c r="D89" s="53">
        <f>'SCH B-2.1 B'!H86</f>
        <v>111690733.23999991</v>
      </c>
      <c r="E89" s="53">
        <f>-'SCH B-3 B'!I88</f>
        <v>34624880.479940757</v>
      </c>
      <c r="F89" s="116">
        <f>VLOOKUP($B89,'KU Depr Rates'!$A$16:$R$378,8,)/100</f>
        <v>0.04</v>
      </c>
      <c r="G89" s="53">
        <f t="shared" si="12"/>
        <v>4467629.3295999961</v>
      </c>
      <c r="H89" s="275">
        <f>VLOOKUP($B89,'KU Depr Rates'!$A$16:$R$378,6,)/100</f>
        <v>-0.1</v>
      </c>
      <c r="I89" s="175">
        <f>VLOOKUP($B89,'KU Depr Rates'!$A$16:$R$378,18,)</f>
        <v>21.2</v>
      </c>
      <c r="J89" s="196" t="str">
        <f>VLOOKUP($B89,'KU Depr Rates'!$A$16:$R$378,16,)</f>
        <v>28-S0</v>
      </c>
    </row>
    <row r="90" spans="1:10" ht="18.95" customHeight="1">
      <c r="A90" s="30">
        <f t="shared" si="13"/>
        <v>59</v>
      </c>
      <c r="B90" s="258">
        <v>374</v>
      </c>
      <c r="C90" s="38" t="s">
        <v>154</v>
      </c>
      <c r="D90" s="54">
        <f>'SCH B-2.1 B'!H87</f>
        <v>0</v>
      </c>
      <c r="E90" s="54">
        <f>-'SCH B-3 B'!I89</f>
        <v>0</v>
      </c>
      <c r="F90" s="95"/>
      <c r="G90" s="54">
        <f t="shared" ref="G90" si="14">D90*F90</f>
        <v>0</v>
      </c>
      <c r="H90" s="117"/>
      <c r="I90" s="53"/>
      <c r="J90" s="53"/>
    </row>
    <row r="91" spans="1:10" ht="18.95" customHeight="1">
      <c r="A91" s="30">
        <f t="shared" si="13"/>
        <v>60</v>
      </c>
      <c r="B91" s="31"/>
      <c r="C91" s="38" t="s">
        <v>156</v>
      </c>
      <c r="D91" s="51">
        <f>SUM(D78:D90)</f>
        <v>1664624318.6125362</v>
      </c>
      <c r="E91" s="51">
        <f>SUM(E78:E90)</f>
        <v>618451433.25475192</v>
      </c>
      <c r="F91" s="51"/>
      <c r="G91" s="51">
        <f t="shared" ref="G91" si="15">SUM(G78:G90)</f>
        <v>43523355.945890017</v>
      </c>
      <c r="H91" s="51"/>
      <c r="I91" s="51"/>
      <c r="J91" s="51"/>
    </row>
    <row r="92" spans="1:10" ht="23.1" customHeight="1">
      <c r="A92" s="40"/>
      <c r="B92" s="40"/>
      <c r="C92" s="41"/>
      <c r="D92" s="42"/>
      <c r="E92" s="42"/>
      <c r="F92" s="42"/>
      <c r="G92" s="42"/>
      <c r="H92" s="42"/>
      <c r="I92" s="42"/>
      <c r="J92" s="42"/>
    </row>
    <row r="93" spans="1:10" ht="18.95" customHeight="1">
      <c r="A93" s="30">
        <f>A91+1</f>
        <v>61</v>
      </c>
      <c r="C93" s="55" t="s">
        <v>33</v>
      </c>
    </row>
    <row r="94" spans="1:10" ht="18.95" customHeight="1">
      <c r="A94" s="30">
        <f t="shared" ref="A94:A104" si="16">A93+1</f>
        <v>62</v>
      </c>
      <c r="B94" s="258">
        <v>389</v>
      </c>
      <c r="C94" s="38" t="s">
        <v>157</v>
      </c>
      <c r="D94" s="53">
        <f>'SCH B-2.1 B'!H101</f>
        <v>3077943.0983137204</v>
      </c>
      <c r="E94" s="53">
        <f>-'SCH B-3 B'!I104</f>
        <v>-15466.703157981361</v>
      </c>
      <c r="F94" s="116">
        <v>0</v>
      </c>
      <c r="G94" s="53">
        <f t="shared" ref="G94:G103" si="17">D94*F94</f>
        <v>0</v>
      </c>
      <c r="H94" s="275">
        <v>0</v>
      </c>
      <c r="I94" s="175"/>
      <c r="J94" s="196"/>
    </row>
    <row r="95" spans="1:10" ht="18.95" customHeight="1">
      <c r="A95" s="30">
        <f t="shared" si="16"/>
        <v>63</v>
      </c>
      <c r="B95" s="258">
        <v>390</v>
      </c>
      <c r="C95" s="38" t="s">
        <v>151</v>
      </c>
      <c r="D95" s="53">
        <f>'SCH B-2.1 B'!H102</f>
        <v>55731695.58673019</v>
      </c>
      <c r="E95" s="53">
        <f>-'SCH B-3 B'!I105</f>
        <v>11263149.409490682</v>
      </c>
      <c r="F95" s="116">
        <f>VLOOKUP($B95,'KU Depr Rates'!$A$16:$R$378,8,)/100</f>
        <v>2.007124336896517E-2</v>
      </c>
      <c r="G95" s="53">
        <f t="shared" si="17"/>
        <v>1118604.4254863437</v>
      </c>
      <c r="H95" s="275">
        <f>VLOOKUP($B95,'KU Depr Rates'!$A$16:$R$378,6,)/100</f>
        <v>-0.1</v>
      </c>
      <c r="I95" s="175" t="str">
        <f>VLOOKUP($B95,'KU Depr Rates'!$A$16:$R$378,18,)</f>
        <v>18.8-44.5</v>
      </c>
      <c r="J95" s="196" t="str">
        <f>VLOOKUP($B95,'KU Depr Rates'!$A$16:$R$378,16,)</f>
        <v>55-S0, 30-R1</v>
      </c>
    </row>
    <row r="96" spans="1:10" ht="18.95" customHeight="1">
      <c r="A96" s="30">
        <f t="shared" si="16"/>
        <v>64</v>
      </c>
      <c r="B96" s="258">
        <v>391</v>
      </c>
      <c r="C96" s="38" t="s">
        <v>159</v>
      </c>
      <c r="D96" s="53">
        <f>'SCH B-2.1 B'!H103</f>
        <v>40650123.145203352</v>
      </c>
      <c r="E96" s="53">
        <f>-'SCH B-3 B'!I106</f>
        <v>19895328.328527156</v>
      </c>
      <c r="F96" s="116">
        <f>VLOOKUP($B96,'KU Depr Rates'!$A$16:$R$378,8,)/100</f>
        <v>0.14855218539486245</v>
      </c>
      <c r="G96" s="53">
        <f t="shared" si="17"/>
        <v>6038664.6297902372</v>
      </c>
      <c r="H96" s="275">
        <f>VLOOKUP($B96,'KU Depr Rates'!$A$16:$R$378,6,)/100</f>
        <v>0</v>
      </c>
      <c r="I96" s="175" t="str">
        <f>VLOOKUP($B96,'KU Depr Rates'!$A$16:$R$378,18,)</f>
        <v>3.2-10.0</v>
      </c>
      <c r="J96" s="196" t="str">
        <f>VLOOKUP($B96,'KU Depr Rates'!$A$16:$R$378,16,)</f>
        <v>4-SQ, 5-SQ, 20-SQ</v>
      </c>
    </row>
    <row r="97" spans="1:10" ht="18.95" customHeight="1">
      <c r="A97" s="30">
        <f t="shared" si="16"/>
        <v>65</v>
      </c>
      <c r="B97" s="258">
        <v>392</v>
      </c>
      <c r="C97" s="38" t="s">
        <v>158</v>
      </c>
      <c r="D97" s="53">
        <f>'SCH B-2.1 B'!H104</f>
        <v>6436420.9858349487</v>
      </c>
      <c r="E97" s="53">
        <f>-'SCH B-3 B'!I107</f>
        <v>3299190.7123265793</v>
      </c>
      <c r="F97" s="116">
        <f>VLOOKUP($B97,'KU Depr Rates'!$A$16:$R$378,8,)/100</f>
        <v>7.6482369166767919E-3</v>
      </c>
      <c r="G97" s="53">
        <f t="shared" si="17"/>
        <v>49227.272595136084</v>
      </c>
      <c r="H97" s="275">
        <f>VLOOKUP($B97,'KU Depr Rates'!$A$16:$R$378,6,)/100</f>
        <v>0</v>
      </c>
      <c r="I97" s="175" t="str">
        <f>VLOOKUP($B97,'KU Depr Rates'!$A$16:$R$378,18,)</f>
        <v>6.3-12.3</v>
      </c>
      <c r="J97" s="196" t="str">
        <f>VLOOKUP($B97,'KU Depr Rates'!$A$16:$R$378,16,)</f>
        <v>7-L2.5, 14-S1.5</v>
      </c>
    </row>
    <row r="98" spans="1:10" ht="18.95" customHeight="1">
      <c r="A98" s="30">
        <f t="shared" si="16"/>
        <v>66</v>
      </c>
      <c r="B98" s="258">
        <v>393</v>
      </c>
      <c r="C98" s="38" t="s">
        <v>1755</v>
      </c>
      <c r="D98" s="53">
        <f>'SCH B-2.1 B'!H105</f>
        <v>1365929.9357569506</v>
      </c>
      <c r="E98" s="53">
        <f>-'SCH B-3 B'!I108</f>
        <v>363902.10395763512</v>
      </c>
      <c r="F98" s="116">
        <f>VLOOKUP($B98,'KU Depr Rates'!$A$16:$R$378,8,)/100</f>
        <v>5.0700000000000002E-2</v>
      </c>
      <c r="G98" s="53">
        <f t="shared" si="17"/>
        <v>69252.647742877394</v>
      </c>
      <c r="H98" s="275">
        <f>VLOOKUP($B98,'KU Depr Rates'!$A$16:$R$378,6,)/100</f>
        <v>0</v>
      </c>
      <c r="I98" s="175">
        <f>VLOOKUP($B98,'KU Depr Rates'!$A$16:$R$378,18,)</f>
        <v>13.9</v>
      </c>
      <c r="J98" s="196" t="str">
        <f>VLOOKUP($B98,'KU Depr Rates'!$A$16:$R$378,16,)</f>
        <v>25-SQ</v>
      </c>
    </row>
    <row r="99" spans="1:10" ht="18.95" customHeight="1">
      <c r="A99" s="30">
        <f t="shared" si="16"/>
        <v>67</v>
      </c>
      <c r="B99" s="258">
        <v>394</v>
      </c>
      <c r="C99" s="38" t="s">
        <v>1757</v>
      </c>
      <c r="D99" s="53">
        <f>'SCH B-2.1 B'!H106</f>
        <v>12021763.973126262</v>
      </c>
      <c r="E99" s="53">
        <f>-'SCH B-3 B'!I109</f>
        <v>3734896.1232645274</v>
      </c>
      <c r="F99" s="116">
        <f>VLOOKUP($B99,'KU Depr Rates'!$A$16:$R$378,8,)/100</f>
        <v>4.2699999999999995E-2</v>
      </c>
      <c r="G99" s="53">
        <f t="shared" si="17"/>
        <v>513329.32165249134</v>
      </c>
      <c r="H99" s="275">
        <f>VLOOKUP($B99,'KU Depr Rates'!$A$16:$R$378,6,)/100</f>
        <v>0</v>
      </c>
      <c r="I99" s="175">
        <f>VLOOKUP($B99,'KU Depr Rates'!$A$16:$R$378,18,)</f>
        <v>18</v>
      </c>
      <c r="J99" s="196" t="str">
        <f>VLOOKUP($B99,'KU Depr Rates'!$A$16:$R$378,16,)</f>
        <v>25-SQ</v>
      </c>
    </row>
    <row r="100" spans="1:10" ht="18.95" customHeight="1">
      <c r="A100" s="30">
        <f t="shared" si="16"/>
        <v>68</v>
      </c>
      <c r="B100" s="258">
        <v>395</v>
      </c>
      <c r="C100" s="38" t="s">
        <v>1759</v>
      </c>
      <c r="D100" s="53">
        <f>'SCH B-2.1 B'!H107</f>
        <v>0</v>
      </c>
      <c r="E100" s="53">
        <f>-'SCH B-3 B'!I110</f>
        <v>0</v>
      </c>
      <c r="F100" s="116"/>
      <c r="G100" s="53"/>
      <c r="H100" s="275"/>
      <c r="I100" s="175"/>
      <c r="J100" s="196"/>
    </row>
    <row r="101" spans="1:10" ht="18.95" customHeight="1">
      <c r="A101" s="30">
        <f t="shared" si="16"/>
        <v>69</v>
      </c>
      <c r="B101" s="258">
        <v>396</v>
      </c>
      <c r="C101" s="38" t="s">
        <v>1761</v>
      </c>
      <c r="D101" s="53">
        <f>'SCH B-2.1 B'!H108</f>
        <v>2139510.0054851468</v>
      </c>
      <c r="E101" s="53">
        <f>-'SCH B-3 B'!I111</f>
        <v>885468.81204606046</v>
      </c>
      <c r="F101" s="116">
        <f>VLOOKUP($B101,'KU Depr Rates'!$A$16:$R$378,8,)/100</f>
        <v>8.8900000000000007E-2</v>
      </c>
      <c r="G101" s="53">
        <f t="shared" si="17"/>
        <v>190202.43948762957</v>
      </c>
      <c r="H101" s="275">
        <f>VLOOKUP($B101,'KU Depr Rates'!$A$16:$R$378,6,)/100</f>
        <v>0</v>
      </c>
      <c r="I101" s="175">
        <f>VLOOKUP($B101,'KU Depr Rates'!$A$16:$R$378,18,)</f>
        <v>9.9</v>
      </c>
      <c r="J101" s="196" t="str">
        <f>VLOOKUP($B101,'KU Depr Rates'!$A$16:$R$378,16,)</f>
        <v>12-L1.5</v>
      </c>
    </row>
    <row r="102" spans="1:10" ht="18.95" customHeight="1">
      <c r="A102" s="30">
        <f t="shared" si="16"/>
        <v>70</v>
      </c>
      <c r="B102" s="258">
        <v>397</v>
      </c>
      <c r="C102" s="38" t="s">
        <v>160</v>
      </c>
      <c r="D102" s="53">
        <f>'SCH B-2.1 B'!H109</f>
        <v>42178428.339667261</v>
      </c>
      <c r="E102" s="53">
        <f>-'SCH B-3 B'!I112</f>
        <v>17451295.925831504</v>
      </c>
      <c r="F102" s="116">
        <f>VLOOKUP($B102,'KU Depr Rates'!$A$16:$R$378,8,)/100</f>
        <v>4.4059242875198239E-2</v>
      </c>
      <c r="G102" s="53">
        <f t="shared" si="17"/>
        <v>1858349.6183115442</v>
      </c>
      <c r="H102" s="275">
        <f>VLOOKUP($B102,'KU Depr Rates'!$A$16:$R$378,6,)/100</f>
        <v>0</v>
      </c>
      <c r="I102" s="175" t="str">
        <f>VLOOKUP($B102,'KU Depr Rates'!$A$16:$R$378,18,)</f>
        <v>8.5-19.1</v>
      </c>
      <c r="J102" s="196" t="str">
        <f>VLOOKUP($B102,'KU Depr Rates'!$A$16:$R$378,16,)</f>
        <v>10-SQ, 25-S1</v>
      </c>
    </row>
    <row r="103" spans="1:10" ht="18.95" customHeight="1">
      <c r="A103" s="30">
        <f t="shared" si="16"/>
        <v>71</v>
      </c>
      <c r="B103" s="258">
        <v>398</v>
      </c>
      <c r="C103" s="38" t="s">
        <v>1764</v>
      </c>
      <c r="D103" s="54">
        <f>'SCH B-2.1 B'!H110</f>
        <v>0</v>
      </c>
      <c r="E103" s="54">
        <f>-'SCH B-3 B'!I113</f>
        <v>0</v>
      </c>
      <c r="F103" s="116"/>
      <c r="G103" s="54">
        <f t="shared" si="17"/>
        <v>0</v>
      </c>
      <c r="H103" s="275"/>
      <c r="I103" s="175"/>
      <c r="J103" s="196"/>
    </row>
    <row r="104" spans="1:10" ht="18.95" customHeight="1">
      <c r="A104" s="30">
        <f t="shared" si="16"/>
        <v>72</v>
      </c>
      <c r="B104" s="31"/>
      <c r="C104" s="38" t="s">
        <v>161</v>
      </c>
      <c r="D104" s="51">
        <f>SUM(D94:D103)</f>
        <v>163601815.07011783</v>
      </c>
      <c r="E104" s="51">
        <f>SUM(E94:E103)</f>
        <v>56877764.712286167</v>
      </c>
      <c r="F104" s="51"/>
      <c r="G104" s="51">
        <f>SUM(G95:G103)</f>
        <v>9837630.3550662603</v>
      </c>
      <c r="H104" s="51"/>
      <c r="I104" s="51"/>
      <c r="J104" s="120"/>
    </row>
    <row r="105" spans="1:10" ht="18.95" customHeight="1">
      <c r="A105" s="30"/>
      <c r="B105" s="31"/>
      <c r="J105" s="108"/>
    </row>
    <row r="106" spans="1:10" ht="18.95" customHeight="1" thickBot="1">
      <c r="A106" s="30">
        <f>A104+1</f>
        <v>73</v>
      </c>
      <c r="B106" s="31"/>
      <c r="C106" s="28" t="s">
        <v>442</v>
      </c>
      <c r="D106" s="59">
        <f>SUM(D18,D29,D40,D51,D63,D91,D104)</f>
        <v>6763836329.1472025</v>
      </c>
      <c r="E106" s="59">
        <f>SUM(E18,E29,E40,E51,E63,E91,E104)</f>
        <v>2573686914.4091501</v>
      </c>
      <c r="F106" s="51"/>
      <c r="G106" s="59">
        <f>SUM(G18,G29,G40,G51,G63,G91,G104)</f>
        <v>196811409.98634413</v>
      </c>
      <c r="H106" s="51"/>
      <c r="I106" s="51"/>
      <c r="J106" s="120"/>
    </row>
    <row r="107" spans="1:10" ht="18.95" customHeight="1" thickTop="1">
      <c r="B107" s="31"/>
      <c r="J107" s="108"/>
    </row>
    <row r="108" spans="1:10" ht="18.95" customHeight="1">
      <c r="B108" s="28" t="s">
        <v>1631</v>
      </c>
      <c r="C108" s="31"/>
      <c r="D108" s="51"/>
      <c r="E108" s="51"/>
    </row>
    <row r="109" spans="1:10" ht="18.95" customHeight="1">
      <c r="B109" s="177" t="s">
        <v>249</v>
      </c>
      <c r="C109" s="27" t="s">
        <v>1632</v>
      </c>
    </row>
    <row r="110" spans="1:10" ht="18.95" customHeight="1">
      <c r="B110" s="177"/>
      <c r="C110" s="27"/>
    </row>
    <row r="111" spans="1:10" ht="18.95" customHeight="1">
      <c r="B111" s="31"/>
    </row>
    <row r="112" spans="1:10" ht="18.95" customHeight="1">
      <c r="D112" s="29" t="s">
        <v>163</v>
      </c>
      <c r="E112" s="29" t="s">
        <v>163</v>
      </c>
    </row>
    <row r="113" ht="18.95" customHeight="1"/>
    <row r="114" ht="18.95" customHeight="1"/>
    <row r="115" ht="18.95" customHeight="1"/>
    <row r="116" ht="18.95" customHeight="1"/>
    <row r="117" ht="18.95" customHeight="1"/>
    <row r="118" ht="18.95" customHeight="1"/>
    <row r="119" ht="18.95" customHeight="1"/>
    <row r="120" ht="18.95" customHeight="1"/>
    <row r="121" ht="18.95" customHeight="1"/>
    <row r="122" ht="18.95" customHeight="1"/>
    <row r="123" ht="18.95" customHeight="1"/>
    <row r="124" ht="18.95" customHeight="1"/>
  </sheetData>
  <mergeCells count="10">
    <mergeCell ref="A66:J66"/>
    <mergeCell ref="A67:J67"/>
    <mergeCell ref="D73:E73"/>
    <mergeCell ref="A65:J65"/>
    <mergeCell ref="D10:E10"/>
    <mergeCell ref="A1:J1"/>
    <mergeCell ref="A2:J2"/>
    <mergeCell ref="A3:J3"/>
    <mergeCell ref="A4:J4"/>
    <mergeCell ref="A64:J64"/>
  </mergeCells>
  <printOptions horizontalCentered="1"/>
  <pageMargins left="1" right="0.75" top="1" bottom="0.5" header="0.3" footer="0.3"/>
  <pageSetup scale="50" fitToHeight="0" orientation="portrait" r:id="rId1"/>
  <rowBreaks count="1" manualBreakCount="1">
    <brk id="63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J124"/>
  <sheetViews>
    <sheetView topLeftCell="A45" zoomScaleNormal="100" workbookViewId="0">
      <selection activeCell="G77" sqref="G77"/>
    </sheetView>
  </sheetViews>
  <sheetFormatPr defaultColWidth="9" defaultRowHeight="12.75"/>
  <cols>
    <col min="1" max="1" width="6" style="29" customWidth="1"/>
    <col min="2" max="2" width="7.6640625" style="29" customWidth="1"/>
    <col min="3" max="3" width="38.33203125" style="29" customWidth="1"/>
    <col min="4" max="5" width="13.6640625" style="29" customWidth="1"/>
    <col min="6" max="6" width="10.109375" style="29" customWidth="1"/>
    <col min="7" max="7" width="14.77734375" style="29" customWidth="1"/>
    <col min="8" max="8" width="22.6640625" style="29" customWidth="1"/>
    <col min="9" max="9" width="10.44140625" style="29" customWidth="1"/>
    <col min="10" max="10" width="18" style="29" customWidth="1"/>
    <col min="11" max="11" width="1.6640625" style="29" customWidth="1"/>
    <col min="12" max="16384" width="9" style="29"/>
  </cols>
  <sheetData>
    <row r="1" spans="1:10" s="28" customFormat="1" ht="20.100000000000001" customHeight="1">
      <c r="A1" s="706" t="str">
        <f>'Rate Case Constants'!C9</f>
        <v>KENTUCKY UTILITIES COMPANY</v>
      </c>
      <c r="B1" s="706"/>
      <c r="C1" s="706"/>
      <c r="D1" s="706"/>
      <c r="E1" s="706"/>
      <c r="F1" s="706"/>
      <c r="G1" s="706"/>
      <c r="H1" s="706"/>
      <c r="I1" s="706"/>
      <c r="J1" s="706"/>
    </row>
    <row r="2" spans="1:10" s="28" customFormat="1" ht="20.100000000000001" customHeight="1">
      <c r="A2" s="706" t="str">
        <f>'Rate Case Constants'!C10</f>
        <v>CASE NO. 2016-00370</v>
      </c>
      <c r="B2" s="706"/>
      <c r="C2" s="706"/>
      <c r="D2" s="706"/>
      <c r="E2" s="706"/>
      <c r="F2" s="706"/>
      <c r="G2" s="706"/>
      <c r="H2" s="706"/>
      <c r="I2" s="706"/>
      <c r="J2" s="706"/>
    </row>
    <row r="3" spans="1:10" s="28" customFormat="1" ht="20.100000000000001" customHeight="1">
      <c r="A3" s="706" t="s">
        <v>1249</v>
      </c>
      <c r="B3" s="706"/>
      <c r="C3" s="706"/>
      <c r="D3" s="706"/>
      <c r="E3" s="706"/>
      <c r="F3" s="706"/>
      <c r="G3" s="706"/>
      <c r="H3" s="706"/>
      <c r="I3" s="706"/>
      <c r="J3" s="706"/>
    </row>
    <row r="4" spans="1:10" s="28" customFormat="1" ht="20.100000000000001" customHeight="1">
      <c r="A4" s="706" t="str">
        <f>'Rate Case Constants'!C18</f>
        <v>AS OF JUNE 30, 2018</v>
      </c>
      <c r="B4" s="706"/>
      <c r="C4" s="706"/>
      <c r="D4" s="706"/>
      <c r="E4" s="706"/>
      <c r="F4" s="706"/>
      <c r="G4" s="706"/>
      <c r="H4" s="706"/>
      <c r="I4" s="706"/>
      <c r="J4" s="706"/>
    </row>
    <row r="5" spans="1:10" s="28" customFormat="1" ht="20.100000000000001" customHeight="1">
      <c r="A5" s="195"/>
      <c r="B5" s="195"/>
      <c r="C5" s="195"/>
      <c r="D5" s="195"/>
      <c r="E5" s="195"/>
      <c r="F5" s="195"/>
      <c r="G5" s="195"/>
      <c r="H5" s="195"/>
      <c r="I5" s="195"/>
      <c r="J5" s="195"/>
    </row>
    <row r="6" spans="1:10" s="28" customFormat="1" ht="20.100000000000001" customHeight="1">
      <c r="A6" s="27" t="s">
        <v>164</v>
      </c>
      <c r="B6" s="27"/>
      <c r="I6" s="34"/>
      <c r="J6" s="34" t="s">
        <v>1248</v>
      </c>
    </row>
    <row r="7" spans="1:10" s="28" customFormat="1" ht="20.100000000000001" customHeight="1">
      <c r="A7" s="28" t="str">
        <f>'Rate Case Constants'!C29</f>
        <v>TYPE OF FILING: __X__ ORIGINAL  _____ UPDATED  _____ REVISED</v>
      </c>
      <c r="I7" s="34"/>
      <c r="J7" s="34" t="s">
        <v>2158</v>
      </c>
    </row>
    <row r="8" spans="1:10" s="28" customFormat="1" ht="20.100000000000001" customHeight="1">
      <c r="A8" s="27" t="s">
        <v>1204</v>
      </c>
      <c r="B8" s="27"/>
      <c r="G8" s="27"/>
      <c r="I8" s="35"/>
      <c r="J8" s="35" t="str">
        <f>'Rate Case Constants'!C36</f>
        <v>WITNESS:   C. M. GARRETT</v>
      </c>
    </row>
    <row r="9" spans="1:10" s="28" customFormat="1" ht="20.100000000000001" customHeight="1"/>
    <row r="10" spans="1:10" s="28" customFormat="1" ht="20.100000000000001" customHeight="1">
      <c r="A10" s="61"/>
      <c r="B10" s="61"/>
      <c r="C10" s="61"/>
      <c r="D10" s="708" t="s">
        <v>230</v>
      </c>
      <c r="E10" s="708"/>
      <c r="F10" s="61"/>
      <c r="G10" s="61"/>
      <c r="H10" s="61"/>
      <c r="I10" s="61"/>
      <c r="J10" s="61"/>
    </row>
    <row r="11" spans="1:10" ht="48" customHeight="1">
      <c r="A11" s="31" t="s">
        <v>134</v>
      </c>
      <c r="B11" s="31" t="s">
        <v>137</v>
      </c>
      <c r="C11" s="38" t="s">
        <v>1250</v>
      </c>
      <c r="D11" s="31" t="s">
        <v>1627</v>
      </c>
      <c r="E11" s="31" t="s">
        <v>1628</v>
      </c>
      <c r="F11" s="31" t="s">
        <v>1630</v>
      </c>
      <c r="G11" s="31" t="s">
        <v>1253</v>
      </c>
      <c r="H11" s="31" t="s">
        <v>1255</v>
      </c>
      <c r="I11" s="31" t="s">
        <v>1902</v>
      </c>
      <c r="J11" s="31" t="s">
        <v>1256</v>
      </c>
    </row>
    <row r="12" spans="1:10" ht="18.95" customHeight="1">
      <c r="A12" s="63" t="s">
        <v>1226</v>
      </c>
      <c r="B12" s="63" t="s">
        <v>1227</v>
      </c>
      <c r="C12" s="63" t="s">
        <v>1230</v>
      </c>
      <c r="D12" s="63" t="s">
        <v>1238</v>
      </c>
      <c r="E12" s="63" t="s">
        <v>1239</v>
      </c>
      <c r="F12" s="63" t="s">
        <v>1240</v>
      </c>
      <c r="G12" s="63" t="s">
        <v>1254</v>
      </c>
      <c r="H12" s="63" t="s">
        <v>1242</v>
      </c>
      <c r="I12" s="63" t="s">
        <v>1243</v>
      </c>
      <c r="J12" s="63" t="s">
        <v>1257</v>
      </c>
    </row>
    <row r="13" spans="1:10" ht="23.1" customHeight="1">
      <c r="A13" s="33"/>
      <c r="B13" s="33"/>
      <c r="C13" s="97"/>
      <c r="D13" s="60" t="s">
        <v>145</v>
      </c>
      <c r="E13" s="60" t="s">
        <v>145</v>
      </c>
      <c r="F13" s="60"/>
      <c r="G13" s="60" t="s">
        <v>145</v>
      </c>
      <c r="H13" s="60"/>
      <c r="I13" s="60"/>
      <c r="J13" s="60"/>
    </row>
    <row r="14" spans="1:10" ht="23.1" customHeight="1">
      <c r="A14" s="33">
        <v>1</v>
      </c>
      <c r="B14" s="33"/>
      <c r="C14" s="45" t="s">
        <v>58</v>
      </c>
      <c r="D14" s="37"/>
      <c r="E14" s="37"/>
      <c r="F14" s="37"/>
      <c r="G14" s="37"/>
      <c r="H14" s="37"/>
      <c r="I14" s="37"/>
      <c r="J14" s="37"/>
    </row>
    <row r="15" spans="1:10" ht="18.95" customHeight="1">
      <c r="A15" s="30">
        <f>A14+1</f>
        <v>2</v>
      </c>
      <c r="B15" s="258">
        <v>301</v>
      </c>
      <c r="C15" s="38" t="s">
        <v>1674</v>
      </c>
      <c r="D15" s="51">
        <f>'SCH B-2.1 F'!H13</f>
        <v>39492.85098471307</v>
      </c>
      <c r="E15" s="51">
        <f>-'SCH B-3 F'!I14</f>
        <v>0</v>
      </c>
      <c r="F15" s="116">
        <v>0</v>
      </c>
      <c r="G15" s="51">
        <f>D15*F15</f>
        <v>0</v>
      </c>
      <c r="H15" s="117">
        <v>0</v>
      </c>
      <c r="I15" s="51"/>
      <c r="J15" s="120"/>
    </row>
    <row r="16" spans="1:10" ht="18.95" customHeight="1">
      <c r="A16" s="30">
        <f t="shared" ref="A16:A78" si="0">A15+1</f>
        <v>3</v>
      </c>
      <c r="B16" s="258">
        <v>302</v>
      </c>
      <c r="C16" s="38" t="s">
        <v>1676</v>
      </c>
      <c r="D16" s="51">
        <f>'SCH B-2.1 F'!H14</f>
        <v>55918.829999999994</v>
      </c>
      <c r="E16" s="51">
        <f>-'SCH B-3 F'!I15</f>
        <v>69345.493659800006</v>
      </c>
      <c r="F16" s="116">
        <f>VLOOKUP($B16,'KU Proposed Depr Rates'!$A$16:$R$425,8,)/100</f>
        <v>0.16110598713241683</v>
      </c>
      <c r="G16" s="53">
        <f t="shared" ref="G16" si="1">D16*F16</f>
        <v>9008.8583064398026</v>
      </c>
      <c r="H16" s="117" t="str">
        <f>VLOOKUP($B16,'KU Proposed Depr Rates'!$A$16:$R$425,6,)</f>
        <v>0%</v>
      </c>
      <c r="I16" s="273">
        <f>VLOOKUP($B16,'KU Proposed Depr Rates'!$A$16:$R$425,18,)</f>
        <v>1.6</v>
      </c>
      <c r="J16" s="274" t="str">
        <f>VLOOKUP($B16,'KU Proposed Depr Rates'!$A$16:$R$425,16,)</f>
        <v>20-SQ</v>
      </c>
    </row>
    <row r="17" spans="1:10" ht="18.95" customHeight="1">
      <c r="A17" s="30">
        <f t="shared" si="0"/>
        <v>4</v>
      </c>
      <c r="B17" s="258">
        <v>303</v>
      </c>
      <c r="C17" s="38" t="s">
        <v>1678</v>
      </c>
      <c r="D17" s="54">
        <f>'SCH B-2.1 F'!H15</f>
        <v>102982045.18696477</v>
      </c>
      <c r="E17" s="54">
        <f>-'SCH B-3 F'!I16</f>
        <v>51904839.8875129</v>
      </c>
      <c r="F17" s="116">
        <f>VLOOKUP($B17,'KU Proposed Depr Rates'!$A$16:$R$425,8,)/100</f>
        <v>0.16110598713241683</v>
      </c>
      <c r="G17" s="54">
        <f t="shared" ref="G17" si="2">D17*F17</f>
        <v>16591024.046761114</v>
      </c>
      <c r="H17" s="53" t="str">
        <f>VLOOKUP($B17,'KU Proposed Depr Rates'!$A$16:$R$425,6,)</f>
        <v>0%</v>
      </c>
      <c r="I17" s="53" t="str">
        <f>VLOOKUP($B17,'KU Proposed Depr Rates'!$A$16:$R$425,18,)</f>
        <v>3.1-3.5</v>
      </c>
      <c r="J17" s="196" t="str">
        <f>VLOOKUP($B17,'KU Proposed Depr Rates'!$A$16:$R$425,16,)</f>
        <v>5-SQ, SQUARE</v>
      </c>
    </row>
    <row r="18" spans="1:10" ht="18.95" customHeight="1">
      <c r="A18" s="30">
        <f t="shared" si="0"/>
        <v>5</v>
      </c>
      <c r="B18" s="258"/>
      <c r="C18" s="38" t="s">
        <v>146</v>
      </c>
      <c r="D18" s="51">
        <f>SUM(D15:D17)</f>
        <v>103077456.86794947</v>
      </c>
      <c r="E18" s="51">
        <f>SUM(E15:E17)</f>
        <v>51974185.381172702</v>
      </c>
      <c r="F18" s="51"/>
      <c r="G18" s="51">
        <f>SUM(G15:G17)</f>
        <v>16600032.905067554</v>
      </c>
      <c r="H18" s="118"/>
      <c r="I18" s="51"/>
      <c r="J18" s="120"/>
    </row>
    <row r="19" spans="1:10" ht="18.95" customHeight="1">
      <c r="A19" s="30"/>
      <c r="B19" s="258"/>
      <c r="D19" s="32"/>
      <c r="E19" s="32"/>
      <c r="F19" s="32"/>
      <c r="G19" s="32"/>
      <c r="H19" s="119"/>
      <c r="I19" s="32"/>
      <c r="J19" s="122"/>
    </row>
    <row r="20" spans="1:10" ht="18.95" customHeight="1">
      <c r="A20" s="30">
        <f>A18+1</f>
        <v>6</v>
      </c>
      <c r="B20" s="258"/>
      <c r="C20" s="55" t="s">
        <v>74</v>
      </c>
      <c r="D20" s="32"/>
      <c r="E20" s="32"/>
      <c r="F20" s="32"/>
      <c r="G20" s="32"/>
      <c r="H20" s="119"/>
      <c r="I20" s="32"/>
      <c r="J20" s="122"/>
    </row>
    <row r="21" spans="1:10" ht="18.95" customHeight="1">
      <c r="A21" s="30">
        <f t="shared" si="0"/>
        <v>7</v>
      </c>
      <c r="B21" s="258">
        <v>310</v>
      </c>
      <c r="C21" s="38" t="s">
        <v>157</v>
      </c>
      <c r="D21" s="53">
        <f>'SCH B-2.1 F'!H19</f>
        <v>9943766.6561184525</v>
      </c>
      <c r="E21" s="53">
        <f>-'SCH B-3 F'!I20</f>
        <v>0</v>
      </c>
      <c r="F21" s="116">
        <v>0</v>
      </c>
      <c r="G21" s="53">
        <f t="shared" ref="G21:G23" si="3">D21*F21</f>
        <v>0</v>
      </c>
      <c r="H21" s="117">
        <v>0</v>
      </c>
      <c r="I21" s="175"/>
      <c r="J21" s="196"/>
    </row>
    <row r="22" spans="1:10" ht="18" customHeight="1">
      <c r="A22" s="30">
        <f t="shared" si="0"/>
        <v>8</v>
      </c>
      <c r="B22" s="258">
        <v>311</v>
      </c>
      <c r="C22" s="38" t="s">
        <v>151</v>
      </c>
      <c r="D22" s="53">
        <f>'SCH B-2.1 F'!H20</f>
        <v>283861244.70471603</v>
      </c>
      <c r="E22" s="53">
        <f>-'SCH B-3 F'!I21</f>
        <v>156079703.20561692</v>
      </c>
      <c r="F22" s="116">
        <f>VLOOKUP($B22,'KU Proposed Depr Rates'!$A$16:$R$425,8,)/100</f>
        <v>2.1429587730790907E-2</v>
      </c>
      <c r="G22" s="53">
        <f t="shared" si="3"/>
        <v>6083029.4467712175</v>
      </c>
      <c r="H22" s="53" t="str">
        <f>VLOOKUP($B22,'KU Proposed Depr Rates'!$A$16:$R$425,6,)</f>
        <v>0%,-1%,-6%,-7%,-13%</v>
      </c>
      <c r="I22" s="176" t="str">
        <f>VLOOKUP($B22,'KU Proposed Depr Rates'!$A$16:$R$425,18,)</f>
        <v>27.4, 49.1</v>
      </c>
      <c r="J22" s="196" t="str">
        <f>VLOOKUP($B22,'KU Proposed Depr Rates'!$A$16:$R$425,16,)</f>
        <v>100-R2.5, 100-S4</v>
      </c>
    </row>
    <row r="23" spans="1:10" ht="18.95" customHeight="1">
      <c r="A23" s="30">
        <f t="shared" si="0"/>
        <v>9</v>
      </c>
      <c r="B23" s="258">
        <v>312</v>
      </c>
      <c r="C23" s="38" t="s">
        <v>1682</v>
      </c>
      <c r="D23" s="53">
        <f>'SCH B-2.1 F'!H21</f>
        <v>2334512327.013073</v>
      </c>
      <c r="E23" s="53">
        <f>-'SCH B-3 F'!I22</f>
        <v>936336742.83278346</v>
      </c>
      <c r="F23" s="116">
        <f>VLOOKUP($B23,'KU Proposed Depr Rates'!$A$16:$R$425,8,)/100</f>
        <v>3.6988394797236313E-2</v>
      </c>
      <c r="G23" s="53">
        <f t="shared" si="3"/>
        <v>86349863.61057438</v>
      </c>
      <c r="H23" s="53" t="str">
        <f>VLOOKUP($B23,'KU Proposed Depr Rates'!$A$16:$R$425,6,)</f>
        <v>0%,-6%,-7%,-13%</v>
      </c>
      <c r="I23" s="176" t="str">
        <f>VLOOKUP($B23,'KU Proposed Depr Rates'!$A$16:$R$425,18,)</f>
        <v>20.5, 21.8</v>
      </c>
      <c r="J23" s="196" t="str">
        <f>VLOOKUP($B23,'KU Proposed Depr Rates'!$A$16:$R$425,16,)</f>
        <v>65-R2, 100-S4</v>
      </c>
    </row>
    <row r="24" spans="1:10" ht="18.95" customHeight="1">
      <c r="A24" s="30">
        <f>A22+1</f>
        <v>9</v>
      </c>
      <c r="B24" s="258">
        <v>313</v>
      </c>
      <c r="C24" s="38" t="s">
        <v>147</v>
      </c>
      <c r="D24" s="53">
        <f>'SCH B-2.1 F'!H22</f>
        <v>0</v>
      </c>
      <c r="E24" s="53">
        <f>-'SCH B-3 F'!I23</f>
        <v>0</v>
      </c>
      <c r="F24" s="116"/>
      <c r="G24" s="53"/>
      <c r="H24" s="53"/>
      <c r="I24" s="53"/>
      <c r="J24" s="121"/>
    </row>
    <row r="25" spans="1:10" ht="18.95" customHeight="1">
      <c r="A25" s="30">
        <f>A23+1</f>
        <v>10</v>
      </c>
      <c r="B25" s="258">
        <v>314</v>
      </c>
      <c r="C25" s="38" t="s">
        <v>1684</v>
      </c>
      <c r="D25" s="53">
        <f>'SCH B-2.1 F'!H23</f>
        <v>294505952.28901619</v>
      </c>
      <c r="E25" s="53">
        <f>-'SCH B-3 F'!I24</f>
        <v>149480953.91153696</v>
      </c>
      <c r="F25" s="116">
        <f>VLOOKUP($B25,'KU Proposed Depr Rates'!$A$16:$R$425,8,)/100</f>
        <v>2.6200000000000001E-2</v>
      </c>
      <c r="G25" s="53">
        <f t="shared" ref="G25:G27" si="4">D25*F25</f>
        <v>7716055.9499722244</v>
      </c>
      <c r="H25" s="53" t="str">
        <f>VLOOKUP($B25,'KU Proposed Depr Rates'!$A$16:$R$425,6,)</f>
        <v>-6%,-7%,-13%</v>
      </c>
      <c r="I25" s="175">
        <f>VLOOKUP($B25,'KU Proposed Depr Rates'!$A$16:$R$425,18,)</f>
        <v>23</v>
      </c>
      <c r="J25" s="196" t="str">
        <f>VLOOKUP($B25,'KU Proposed Depr Rates'!$A$16:$R$425,16,)</f>
        <v>60-R2</v>
      </c>
    </row>
    <row r="26" spans="1:10" ht="18.95" customHeight="1">
      <c r="A26" s="30">
        <f t="shared" si="0"/>
        <v>11</v>
      </c>
      <c r="B26" s="258">
        <v>315</v>
      </c>
      <c r="C26" s="38" t="s">
        <v>1686</v>
      </c>
      <c r="D26" s="53">
        <f>'SCH B-2.1 F'!H24</f>
        <v>187646235.8543317</v>
      </c>
      <c r="E26" s="53">
        <f>-'SCH B-3 F'!I25</f>
        <v>94853178.749836043</v>
      </c>
      <c r="F26" s="116">
        <f>VLOOKUP($B26,'KU Proposed Depr Rates'!$A$16:$R$425,8,)/100</f>
        <v>2.6200000000000001E-2</v>
      </c>
      <c r="G26" s="53">
        <f t="shared" si="4"/>
        <v>4916331.3793834904</v>
      </c>
      <c r="H26" s="53" t="str">
        <f>VLOOKUP($B26,'KU Proposed Depr Rates'!$A$16:$R$425,6,)</f>
        <v>-6%,-7%,-13%</v>
      </c>
      <c r="I26" s="175">
        <f>VLOOKUP($B26,'KU Proposed Depr Rates'!$A$16:$R$425,18,)</f>
        <v>24.1</v>
      </c>
      <c r="J26" s="196" t="str">
        <f>VLOOKUP($B26,'KU Proposed Depr Rates'!$A$16:$R$425,16,)</f>
        <v>70-R3</v>
      </c>
    </row>
    <row r="27" spans="1:10" ht="18.95" customHeight="1">
      <c r="A27" s="30">
        <f t="shared" si="0"/>
        <v>12</v>
      </c>
      <c r="B27" s="258">
        <v>316</v>
      </c>
      <c r="C27" s="38" t="s">
        <v>1688</v>
      </c>
      <c r="D27" s="53">
        <f>'SCH B-2.1 F'!H25</f>
        <v>34736898.693042077</v>
      </c>
      <c r="E27" s="53">
        <f>-'SCH B-3 F'!I26</f>
        <v>14776434.708137363</v>
      </c>
      <c r="F27" s="116">
        <f>VLOOKUP($B27,'KU Proposed Depr Rates'!$A$16:$R$425,8,)/100</f>
        <v>2.4799999999999999E-2</v>
      </c>
      <c r="G27" s="53">
        <f t="shared" si="4"/>
        <v>861475.08758744353</v>
      </c>
      <c r="H27" s="53" t="str">
        <f>VLOOKUP($B27,'KU Proposed Depr Rates'!$A$16:$R$425,6,)</f>
        <v>-1%,-6%,-7%,-13%</v>
      </c>
      <c r="I27" s="175">
        <f>VLOOKUP($B27,'KU Proposed Depr Rates'!$A$16:$R$425,18,)</f>
        <v>25.8</v>
      </c>
      <c r="J27" s="196" t="str">
        <f>VLOOKUP($B27,'KU Proposed Depr Rates'!$A$16:$R$425,16,)</f>
        <v>75-R1.5</v>
      </c>
    </row>
    <row r="28" spans="1:10" ht="18.95" customHeight="1">
      <c r="A28" s="30">
        <f t="shared" si="0"/>
        <v>13</v>
      </c>
      <c r="B28" s="258">
        <v>317</v>
      </c>
      <c r="C28" s="38" t="s">
        <v>1708</v>
      </c>
      <c r="D28" s="54">
        <f>'SCH B-2.1 F'!H26</f>
        <v>0</v>
      </c>
      <c r="E28" s="54">
        <f>-'SCH B-3 F'!I27</f>
        <v>0</v>
      </c>
      <c r="F28" s="116"/>
      <c r="G28" s="54"/>
      <c r="H28" s="117"/>
      <c r="I28" s="175"/>
      <c r="J28" s="196"/>
    </row>
    <row r="29" spans="1:10" ht="18.95" customHeight="1">
      <c r="A29" s="30">
        <f t="shared" si="0"/>
        <v>14</v>
      </c>
      <c r="B29" s="258"/>
      <c r="C29" s="38" t="s">
        <v>149</v>
      </c>
      <c r="D29" s="51">
        <f>SUM(D21:D28)</f>
        <v>3145206425.2102976</v>
      </c>
      <c r="E29" s="51">
        <f>SUM(E21:E28)</f>
        <v>1351527013.4079106</v>
      </c>
      <c r="F29" s="95"/>
      <c r="G29" s="51">
        <f>SUM(G21:G28)</f>
        <v>105926755.47428876</v>
      </c>
      <c r="H29" s="117"/>
      <c r="I29" s="51"/>
      <c r="J29" s="120"/>
    </row>
    <row r="30" spans="1:10" ht="18.95" customHeight="1">
      <c r="A30" s="30"/>
      <c r="B30" s="258"/>
      <c r="C30" s="38"/>
      <c r="H30" s="113"/>
      <c r="J30" s="108"/>
    </row>
    <row r="31" spans="1:10" ht="18.95" customHeight="1">
      <c r="A31" s="30">
        <f>A29+1</f>
        <v>15</v>
      </c>
      <c r="B31" s="258"/>
      <c r="C31" s="55" t="s">
        <v>49</v>
      </c>
      <c r="H31" s="113"/>
      <c r="J31" s="108"/>
    </row>
    <row r="32" spans="1:10" ht="18.95" customHeight="1">
      <c r="A32" s="30">
        <f t="shared" si="0"/>
        <v>16</v>
      </c>
      <c r="B32" s="258">
        <v>330</v>
      </c>
      <c r="C32" s="38" t="s">
        <v>157</v>
      </c>
      <c r="D32" s="53">
        <f>'SCH B-2.1 F'!H30</f>
        <v>770080.98782838695</v>
      </c>
      <c r="E32" s="53">
        <f>-'SCH B-3 F'!I31</f>
        <v>797853.13373875979</v>
      </c>
      <c r="F32" s="116">
        <f>VLOOKUP($B32,'KU Proposed Depr Rates'!$A$16:$R$425,8,)/100</f>
        <v>0</v>
      </c>
      <c r="G32" s="53">
        <f t="shared" ref="G32:G38" si="5">D32*F32</f>
        <v>0</v>
      </c>
      <c r="H32" s="275" t="str">
        <f>VLOOKUP($B32,'KU Proposed Depr Rates'!$A$16:$R$425,6,)</f>
        <v>0%</v>
      </c>
      <c r="I32" s="175">
        <f>VLOOKUP($B32,'KU Proposed Depr Rates'!$A$16:$R$425,18,)</f>
        <v>0</v>
      </c>
      <c r="J32" s="196" t="str">
        <f>VLOOKUP($B32,'KU Proposed Depr Rates'!$A$16:$R$425,16,)</f>
        <v>100-R4</v>
      </c>
    </row>
    <row r="33" spans="1:10" ht="18.95" customHeight="1">
      <c r="A33" s="30">
        <f t="shared" si="0"/>
        <v>17</v>
      </c>
      <c r="B33" s="258">
        <v>331</v>
      </c>
      <c r="C33" s="38" t="s">
        <v>151</v>
      </c>
      <c r="D33" s="53">
        <f>'SCH B-2.1 F'!H31</f>
        <v>2566170.9311189908</v>
      </c>
      <c r="E33" s="53">
        <f>-'SCH B-3 F'!I32</f>
        <v>307301.28927289566</v>
      </c>
      <c r="F33" s="116">
        <f>VLOOKUP($B33,'KU Proposed Depr Rates'!$A$16:$R$425,8,)/100</f>
        <v>2.4789674426364806E-2</v>
      </c>
      <c r="G33" s="53">
        <f t="shared" si="5"/>
        <v>63614.541904841208</v>
      </c>
      <c r="H33" s="275" t="str">
        <f>VLOOKUP($B33,'KU Proposed Depr Rates'!$A$16:$R$425,6,)</f>
        <v>-3%</v>
      </c>
      <c r="I33" s="175">
        <f>VLOOKUP($B33,'KU Proposed Depr Rates'!$A$16:$R$425,18,)</f>
        <v>24.7</v>
      </c>
      <c r="J33" s="196" t="str">
        <f>VLOOKUP($B33,'KU Proposed Depr Rates'!$A$16:$R$425,16,)</f>
        <v>90-S2.5</v>
      </c>
    </row>
    <row r="34" spans="1:10" ht="18.95" customHeight="1">
      <c r="A34" s="30">
        <f t="shared" si="0"/>
        <v>18</v>
      </c>
      <c r="B34" s="258">
        <v>332</v>
      </c>
      <c r="C34" s="38" t="s">
        <v>1693</v>
      </c>
      <c r="D34" s="53">
        <f>'SCH B-2.1 F'!H32</f>
        <v>19129334.712600581</v>
      </c>
      <c r="E34" s="53">
        <f>-'SCH B-3 F'!I33</f>
        <v>8147355.7795737209</v>
      </c>
      <c r="F34" s="116">
        <f>VLOOKUP($B34,'KU Proposed Depr Rates'!$A$16:$R$425,8,)/100</f>
        <v>2.6050178750101041E-2</v>
      </c>
      <c r="G34" s="53">
        <f t="shared" si="5"/>
        <v>498322.58863375784</v>
      </c>
      <c r="H34" s="275" t="str">
        <f>VLOOKUP($B34,'KU Proposed Depr Rates'!$A$16:$R$425,6,)</f>
        <v>-3%</v>
      </c>
      <c r="I34" s="175">
        <f>VLOOKUP($B34,'KU Proposed Depr Rates'!$A$16:$R$425,18,)</f>
        <v>25.1</v>
      </c>
      <c r="J34" s="196" t="str">
        <f>VLOOKUP($B34,'KU Proposed Depr Rates'!$A$16:$R$425,16,)</f>
        <v>105-S2.5</v>
      </c>
    </row>
    <row r="35" spans="1:10" ht="18.95" customHeight="1">
      <c r="A35" s="30">
        <f t="shared" si="0"/>
        <v>19</v>
      </c>
      <c r="B35" s="258">
        <v>333</v>
      </c>
      <c r="C35" s="38" t="s">
        <v>1695</v>
      </c>
      <c r="D35" s="53">
        <f>'SCH B-2.1 F'!H33</f>
        <v>12250583.850462588</v>
      </c>
      <c r="E35" s="53">
        <f>-'SCH B-3 F'!I34</f>
        <v>1615420.4332271898</v>
      </c>
      <c r="F35" s="116">
        <f>VLOOKUP($B35,'KU Proposed Depr Rates'!$A$16:$R$425,8,)/100</f>
        <v>3.8602674608813101E-2</v>
      </c>
      <c r="G35" s="53">
        <f t="shared" si="5"/>
        <v>472905.30214738793</v>
      </c>
      <c r="H35" s="275" t="str">
        <f>VLOOKUP($B35,'KU Proposed Depr Rates'!$A$16:$R$425,6,)</f>
        <v>-3%</v>
      </c>
      <c r="I35" s="175">
        <f>VLOOKUP($B35,'KU Proposed Depr Rates'!$A$16:$R$425,18,)</f>
        <v>25.2</v>
      </c>
      <c r="J35" s="196" t="str">
        <f>VLOOKUP($B35,'KU Proposed Depr Rates'!$A$16:$R$425,16,)</f>
        <v>75-R3</v>
      </c>
    </row>
    <row r="36" spans="1:10" ht="18.95" customHeight="1">
      <c r="A36" s="30">
        <f t="shared" si="0"/>
        <v>20</v>
      </c>
      <c r="B36" s="258">
        <v>334</v>
      </c>
      <c r="C36" s="38" t="s">
        <v>1686</v>
      </c>
      <c r="D36" s="53">
        <f>'SCH B-2.1 F'!H34</f>
        <v>1189918.901540105</v>
      </c>
      <c r="E36" s="53">
        <f>-'SCH B-3 F'!I35</f>
        <v>278142.78840512579</v>
      </c>
      <c r="F36" s="116">
        <f>VLOOKUP($B36,'KU Proposed Depr Rates'!$A$16:$R$425,8,)/100</f>
        <v>3.8095958097608712E-2</v>
      </c>
      <c r="G36" s="53">
        <f t="shared" si="5"/>
        <v>45331.100612624425</v>
      </c>
      <c r="H36" s="275" t="str">
        <f>VLOOKUP($B36,'KU Proposed Depr Rates'!$A$16:$R$425,6,)</f>
        <v>-3%</v>
      </c>
      <c r="I36" s="175">
        <f>VLOOKUP($B36,'KU Proposed Depr Rates'!$A$16:$R$425,18,)</f>
        <v>22.7</v>
      </c>
      <c r="J36" s="196" t="str">
        <f>VLOOKUP($B36,'KU Proposed Depr Rates'!$A$16:$R$425,16,)</f>
        <v>40-L2.5</v>
      </c>
    </row>
    <row r="37" spans="1:10" ht="18.95" customHeight="1">
      <c r="A37" s="30">
        <f t="shared" si="0"/>
        <v>21</v>
      </c>
      <c r="B37" s="258">
        <v>335</v>
      </c>
      <c r="C37" s="38" t="s">
        <v>1698</v>
      </c>
      <c r="D37" s="53">
        <f>'SCH B-2.1 F'!H35</f>
        <v>276856.60943120375</v>
      </c>
      <c r="E37" s="53">
        <f>-'SCH B-3 F'!I36</f>
        <v>125353.34683492628</v>
      </c>
      <c r="F37" s="116">
        <f>VLOOKUP($B37,'KU Proposed Depr Rates'!$A$16:$R$425,8,)/100</f>
        <v>3.7621462836311237E-2</v>
      </c>
      <c r="G37" s="53">
        <f t="shared" si="5"/>
        <v>10415.750642703168</v>
      </c>
      <c r="H37" s="275" t="str">
        <f>VLOOKUP($B37,'KU Proposed Depr Rates'!$A$16:$R$425,6,)</f>
        <v>-3%</v>
      </c>
      <c r="I37" s="175">
        <f>VLOOKUP($B37,'KU Proposed Depr Rates'!$A$16:$R$425,18,)</f>
        <v>17.600000000000001</v>
      </c>
      <c r="J37" s="196" t="str">
        <f>VLOOKUP($B37,'KU Proposed Depr Rates'!$A$16:$R$425,16,)</f>
        <v>40-S0</v>
      </c>
    </row>
    <row r="38" spans="1:10" ht="18.95" customHeight="1">
      <c r="A38" s="30">
        <f t="shared" si="0"/>
        <v>22</v>
      </c>
      <c r="B38" s="258">
        <v>336</v>
      </c>
      <c r="C38" s="38" t="s">
        <v>1700</v>
      </c>
      <c r="D38" s="53">
        <f>'SCH B-2.1 F'!H36</f>
        <v>779685.54135135585</v>
      </c>
      <c r="E38" s="53">
        <f>-'SCH B-3 F'!I37</f>
        <v>85723.452605230661</v>
      </c>
      <c r="F38" s="116">
        <f>VLOOKUP($B38,'KU Proposed Depr Rates'!$A$16:$R$425,8,)/100</f>
        <v>3.334624967479944E-2</v>
      </c>
      <c r="G38" s="53">
        <f t="shared" si="5"/>
        <v>25999.588729733474</v>
      </c>
      <c r="H38" s="275" t="str">
        <f>VLOOKUP($B38,'KU Proposed Depr Rates'!$A$16:$R$425,6,)</f>
        <v>-3%</v>
      </c>
      <c r="I38" s="175">
        <f>VLOOKUP($B38,'KU Proposed Depr Rates'!$A$16:$R$425,18,)</f>
        <v>21.9</v>
      </c>
      <c r="J38" s="196" t="str">
        <f>VLOOKUP($B38,'KU Proposed Depr Rates'!$A$16:$R$425,16,)</f>
        <v>60-R4</v>
      </c>
    </row>
    <row r="39" spans="1:10" ht="18.95" customHeight="1">
      <c r="A39" s="30">
        <f t="shared" si="0"/>
        <v>23</v>
      </c>
      <c r="B39" s="258">
        <v>337</v>
      </c>
      <c r="C39" s="38" t="s">
        <v>1709</v>
      </c>
      <c r="D39" s="54">
        <f>'SCH B-2.1 F'!H37</f>
        <v>0</v>
      </c>
      <c r="E39" s="54">
        <f>-'SCH B-3 F'!I38</f>
        <v>0</v>
      </c>
      <c r="F39" s="95"/>
      <c r="G39" s="54"/>
      <c r="H39" s="117"/>
      <c r="I39" s="53"/>
      <c r="J39" s="121"/>
    </row>
    <row r="40" spans="1:10" ht="18.95" customHeight="1">
      <c r="A40" s="30">
        <f t="shared" si="0"/>
        <v>24</v>
      </c>
      <c r="B40" s="258" t="s">
        <v>254</v>
      </c>
      <c r="C40" s="38" t="s">
        <v>150</v>
      </c>
      <c r="D40" s="51">
        <f>SUM(D32:D39)</f>
        <v>36962631.534333214</v>
      </c>
      <c r="E40" s="51">
        <f>SUM(E32:E39)</f>
        <v>11357150.223657848</v>
      </c>
      <c r="F40" s="51"/>
      <c r="G40" s="51">
        <f t="shared" ref="G40" si="6">SUM(G32:G39)</f>
        <v>1116588.8726710479</v>
      </c>
      <c r="H40" s="118"/>
      <c r="I40" s="51"/>
      <c r="J40" s="120"/>
    </row>
    <row r="41" spans="1:10" ht="18.95" customHeight="1">
      <c r="A41" s="30"/>
      <c r="B41" s="258"/>
      <c r="C41" s="38"/>
      <c r="D41" s="51"/>
      <c r="E41" s="51"/>
      <c r="F41" s="51"/>
      <c r="G41" s="51"/>
      <c r="H41" s="118"/>
      <c r="I41" s="51"/>
      <c r="J41" s="120"/>
    </row>
    <row r="42" spans="1:10" ht="18.95" customHeight="1">
      <c r="A42" s="30">
        <f>A40+1</f>
        <v>25</v>
      </c>
      <c r="B42" s="258"/>
      <c r="C42" s="55" t="s">
        <v>63</v>
      </c>
      <c r="H42" s="113"/>
      <c r="J42" s="108"/>
    </row>
    <row r="43" spans="1:10" ht="18.95" customHeight="1">
      <c r="A43" s="30">
        <f t="shared" si="0"/>
        <v>26</v>
      </c>
      <c r="B43" s="258">
        <v>340</v>
      </c>
      <c r="C43" s="38" t="s">
        <v>157</v>
      </c>
      <c r="D43" s="53">
        <f>'SCH B-2.1 F'!H41</f>
        <v>414749.2975337914</v>
      </c>
      <c r="E43" s="53">
        <f>-'SCH B-3 F'!I42</f>
        <v>106947.84259734764</v>
      </c>
      <c r="F43" s="116">
        <f>VLOOKUP($B43,'KU Proposed Depr Rates'!$A$16:$R$425,8,)/100</f>
        <v>1.898992745904397E-3</v>
      </c>
      <c r="G43" s="53">
        <f t="shared" ref="G43:G46" si="7">D43*F43</f>
        <v>787.60590738561427</v>
      </c>
      <c r="H43" s="275" t="str">
        <f>VLOOKUP($B43,'KU Proposed Depr Rates'!$A$16:$R$425,6,)</f>
        <v>0%</v>
      </c>
      <c r="I43" s="175">
        <f>VLOOKUP($B43,'KU Proposed Depr Rates'!$A$16:$R$425,18,)</f>
        <v>178.7</v>
      </c>
      <c r="J43" s="196" t="str">
        <f>VLOOKUP($B43,'KU Proposed Depr Rates'!$A$16:$R$425,16,)</f>
        <v>SQUARE</v>
      </c>
    </row>
    <row r="44" spans="1:10" ht="18.95" customHeight="1">
      <c r="A44" s="30">
        <f t="shared" si="0"/>
        <v>27</v>
      </c>
      <c r="B44" s="258">
        <v>341</v>
      </c>
      <c r="C44" s="38" t="s">
        <v>151</v>
      </c>
      <c r="D44" s="53">
        <f>'SCH B-2.1 F'!H42</f>
        <v>74615824.168647319</v>
      </c>
      <c r="E44" s="53">
        <f>-'SCH B-3 F'!I43</f>
        <v>20588520.118122589</v>
      </c>
      <c r="F44" s="116">
        <f>VLOOKUP($B44,'KU Proposed Depr Rates'!$A$16:$R$425,8,)/100</f>
        <v>3.3764706338153733E-2</v>
      </c>
      <c r="G44" s="53">
        <f t="shared" si="7"/>
        <v>2519381.3912336905</v>
      </c>
      <c r="H44" s="53" t="str">
        <f>VLOOKUP($B44,'KU Proposed Depr Rates'!$A$16:$R$425,6,)</f>
        <v>-6%,-7%,-10%,-12%</v>
      </c>
      <c r="I44" s="175">
        <f>VLOOKUP($B44,'KU Proposed Depr Rates'!$A$16:$R$425,18,)</f>
        <v>25.9</v>
      </c>
      <c r="J44" s="196" t="str">
        <f>VLOOKUP($B44,'KU Proposed Depr Rates'!$A$16:$R$425,16,)</f>
        <v>50-R2.5</v>
      </c>
    </row>
    <row r="45" spans="1:10" ht="18.95" customHeight="1">
      <c r="A45" s="30">
        <f t="shared" si="0"/>
        <v>28</v>
      </c>
      <c r="B45" s="258">
        <v>342</v>
      </c>
      <c r="C45" s="38" t="s">
        <v>1705</v>
      </c>
      <c r="D45" s="53">
        <f>'SCH B-2.1 F'!H43</f>
        <v>54026370.144608535</v>
      </c>
      <c r="E45" s="53">
        <f>-'SCH B-3 F'!I44</f>
        <v>16740328.23619139</v>
      </c>
      <c r="F45" s="116">
        <f>VLOOKUP($B45,'KU Proposed Depr Rates'!$A$16:$R$425,8,)/100</f>
        <v>3.275893588012297E-2</v>
      </c>
      <c r="G45" s="53">
        <f t="shared" si="7"/>
        <v>1769846.395403021</v>
      </c>
      <c r="H45" s="53" t="str">
        <f>VLOOKUP($B45,'KU Proposed Depr Rates'!$A$16:$R$425,6,)</f>
        <v>-6%,-7%,-10%,-12%</v>
      </c>
      <c r="I45" s="175">
        <f>VLOOKUP($B45,'KU Proposed Depr Rates'!$A$16:$R$425,18,)</f>
        <v>31.3</v>
      </c>
      <c r="J45" s="196" t="str">
        <f>VLOOKUP($B45,'KU Proposed Depr Rates'!$A$16:$R$425,16,)</f>
        <v>45-R2.5</v>
      </c>
    </row>
    <row r="46" spans="1:10" ht="18.95" customHeight="1">
      <c r="A46" s="30">
        <f t="shared" si="0"/>
        <v>29</v>
      </c>
      <c r="B46" s="258">
        <v>343</v>
      </c>
      <c r="C46" s="38" t="s">
        <v>1707</v>
      </c>
      <c r="D46" s="53">
        <f>'SCH B-2.1 F'!H44</f>
        <v>574173675.65725255</v>
      </c>
      <c r="E46" s="53">
        <f>-'SCH B-3 F'!I45</f>
        <v>179994947.75395772</v>
      </c>
      <c r="F46" s="116">
        <f>VLOOKUP($B46,'KU Proposed Depr Rates'!$A$16:$R$425,8,)/100</f>
        <v>4.6288124232691921E-2</v>
      </c>
      <c r="G46" s="53">
        <f t="shared" si="7"/>
        <v>26577422.429964263</v>
      </c>
      <c r="H46" s="53" t="str">
        <f>VLOOKUP($B46,'KU Proposed Depr Rates'!$A$16:$R$425,6,)</f>
        <v>-6%,-7%,-12%</v>
      </c>
      <c r="I46" s="175">
        <f>VLOOKUP($B46,'KU Proposed Depr Rates'!$A$16:$R$425,18,)</f>
        <v>16</v>
      </c>
      <c r="J46" s="196" t="str">
        <f>VLOOKUP($B46,'KU Proposed Depr Rates'!$A$16:$R$425,16,)</f>
        <v>35-R1.5</v>
      </c>
    </row>
    <row r="47" spans="1:10" ht="18.95" customHeight="1">
      <c r="A47" s="30">
        <f>A46+1</f>
        <v>30</v>
      </c>
      <c r="B47" s="258">
        <v>344</v>
      </c>
      <c r="C47" s="38" t="s">
        <v>1711</v>
      </c>
      <c r="D47" s="53">
        <f>'SCH B-2.1 F'!H56</f>
        <v>114794071.52309589</v>
      </c>
      <c r="E47" s="53">
        <f>-'SCH B-3 F'!I58</f>
        <v>36425060.723806001</v>
      </c>
      <c r="F47" s="116">
        <f>VLOOKUP($B47,'KU Proposed Depr Rates'!$A$16:$R$425,8,)/100</f>
        <v>3.2608588357167255E-2</v>
      </c>
      <c r="G47" s="53">
        <f t="shared" ref="G47:G49" si="8">D47*F47</f>
        <v>3743272.62413985</v>
      </c>
      <c r="H47" s="53" t="str">
        <f>VLOOKUP($B47,'KU Proposed Depr Rates'!$A$16:$R$425,6,)</f>
        <v>-6%,-7%,-10%,-12%</v>
      </c>
      <c r="I47" s="175">
        <f>VLOOKUP($B47,'KU Proposed Depr Rates'!$A$16:$R$425,18,)</f>
        <v>28</v>
      </c>
      <c r="J47" s="196" t="str">
        <f>VLOOKUP($B47,'KU Proposed Depr Rates'!$A$16:$R$425,16,)</f>
        <v>55-S2.5</v>
      </c>
    </row>
    <row r="48" spans="1:10" ht="18.95" customHeight="1">
      <c r="A48" s="30">
        <f t="shared" si="0"/>
        <v>31</v>
      </c>
      <c r="B48" s="258">
        <v>345</v>
      </c>
      <c r="C48" s="38" t="s">
        <v>1686</v>
      </c>
      <c r="D48" s="53">
        <f>'SCH B-2.1 F'!H57</f>
        <v>66343361.449399963</v>
      </c>
      <c r="E48" s="53">
        <f>-'SCH B-3 F'!I59</f>
        <v>22469231.945264149</v>
      </c>
      <c r="F48" s="116">
        <f>VLOOKUP($B48,'KU Proposed Depr Rates'!$A$16:$R$425,8,)/100</f>
        <v>3.9599167979517694E-2</v>
      </c>
      <c r="G48" s="53">
        <f t="shared" si="8"/>
        <v>2627141.9143606476</v>
      </c>
      <c r="H48" s="53" t="str">
        <f>VLOOKUP($B48,'KU Proposed Depr Rates'!$A$16:$R$425,6,)</f>
        <v>-6%,-7%,-10%,-12%</v>
      </c>
      <c r="I48" s="175">
        <f>VLOOKUP($B48,'KU Proposed Depr Rates'!$A$16:$R$425,18,)</f>
        <v>20.399999999999999</v>
      </c>
      <c r="J48" s="196" t="str">
        <f>VLOOKUP($B48,'KU Proposed Depr Rates'!$A$16:$R$425,16,)</f>
        <v>50-R3</v>
      </c>
    </row>
    <row r="49" spans="1:10" ht="18.95" customHeight="1">
      <c r="A49" s="30">
        <f t="shared" si="0"/>
        <v>32</v>
      </c>
      <c r="B49" s="258">
        <v>346</v>
      </c>
      <c r="C49" s="38" t="s">
        <v>1698</v>
      </c>
      <c r="D49" s="53">
        <f>'SCH B-2.1 F'!H58</f>
        <v>10383246.80262401</v>
      </c>
      <c r="E49" s="53">
        <f>-'SCH B-3 F'!I60</f>
        <v>3132449.2660945896</v>
      </c>
      <c r="F49" s="116">
        <f>VLOOKUP($B49,'KU Proposed Depr Rates'!$A$16:$R$425,8,)/100</f>
        <v>4.355623318222504E-2</v>
      </c>
      <c r="G49" s="53">
        <f t="shared" si="8"/>
        <v>452255.11892368394</v>
      </c>
      <c r="H49" s="53" t="str">
        <f>VLOOKUP($B49,'KU Proposed Depr Rates'!$A$16:$R$425,6,)</f>
        <v>-6%,-7%,-10%,-12%</v>
      </c>
      <c r="I49" s="175">
        <f>VLOOKUP($B49,'KU Proposed Depr Rates'!$A$16:$R$425,18,)</f>
        <v>12.6</v>
      </c>
      <c r="J49" s="196" t="str">
        <f>VLOOKUP($B49,'KU Proposed Depr Rates'!$A$16:$R$425,16,)</f>
        <v>40-R2</v>
      </c>
    </row>
    <row r="50" spans="1:10" ht="18.95" customHeight="1">
      <c r="A50" s="30">
        <f t="shared" si="0"/>
        <v>33</v>
      </c>
      <c r="B50" s="258">
        <v>347</v>
      </c>
      <c r="C50" s="38" t="s">
        <v>1749</v>
      </c>
      <c r="D50" s="54">
        <f>'SCH B-2.1 F'!H59</f>
        <v>0</v>
      </c>
      <c r="E50" s="54">
        <f>-'SCH B-3 F'!I61</f>
        <v>0</v>
      </c>
      <c r="F50" s="95"/>
      <c r="G50" s="54"/>
      <c r="H50" s="95"/>
      <c r="I50" s="53"/>
      <c r="J50" s="53"/>
    </row>
    <row r="51" spans="1:10" ht="18.95" customHeight="1">
      <c r="A51" s="30">
        <f t="shared" si="0"/>
        <v>34</v>
      </c>
      <c r="B51" s="258"/>
      <c r="C51" s="38" t="s">
        <v>148</v>
      </c>
      <c r="D51" s="51">
        <f>SUM(D43:D46,D47:D50)</f>
        <v>894751299.04316199</v>
      </c>
      <c r="E51" s="51">
        <f>SUM(E43:E46,E47:E50)</f>
        <v>279457485.88603377</v>
      </c>
      <c r="F51" s="51"/>
      <c r="G51" s="51">
        <f>SUM(G43:G46,G47:G50)</f>
        <v>37690107.479932547</v>
      </c>
      <c r="H51" s="51"/>
      <c r="I51" s="51"/>
      <c r="J51" s="51"/>
    </row>
    <row r="52" spans="1:10" ht="18.95" customHeight="1">
      <c r="A52" s="30"/>
      <c r="B52" s="258"/>
    </row>
    <row r="53" spans="1:10" ht="18.95" customHeight="1">
      <c r="A53" s="30">
        <f>A51+1</f>
        <v>35</v>
      </c>
      <c r="B53" s="258"/>
      <c r="C53" s="55" t="s">
        <v>86</v>
      </c>
    </row>
    <row r="54" spans="1:10" ht="18.95" customHeight="1">
      <c r="A54" s="30">
        <f t="shared" si="0"/>
        <v>36</v>
      </c>
      <c r="B54" s="258">
        <v>350</v>
      </c>
      <c r="C54" s="38" t="s">
        <v>157</v>
      </c>
      <c r="D54" s="53">
        <f>'SCH B-2.1 F'!H63</f>
        <v>28517661.294115953</v>
      </c>
      <c r="E54" s="53">
        <f>-'SCH B-3 F'!I65</f>
        <v>15376886.210993716</v>
      </c>
      <c r="F54" s="116">
        <v>0</v>
      </c>
      <c r="G54" s="53">
        <f t="shared" ref="G54:G62" si="9">D54*F54</f>
        <v>0</v>
      </c>
      <c r="H54" s="117">
        <v>0</v>
      </c>
      <c r="I54" s="175"/>
      <c r="J54" s="196"/>
    </row>
    <row r="55" spans="1:10" ht="18.95" customHeight="1">
      <c r="A55" s="30">
        <f t="shared" si="0"/>
        <v>37</v>
      </c>
      <c r="B55" s="258">
        <v>352</v>
      </c>
      <c r="C55" s="38" t="s">
        <v>151</v>
      </c>
      <c r="D55" s="53">
        <f>'SCH B-2.1 F'!H64</f>
        <v>25901047.319737371</v>
      </c>
      <c r="E55" s="53">
        <f>-'SCH B-3 F'!I66</f>
        <v>6655783.4717556303</v>
      </c>
      <c r="F55" s="116">
        <f>VLOOKUP($B55,'KU Proposed Depr Rates'!$A$16:$R$425,8,)/100</f>
        <v>1.6616361686408353E-2</v>
      </c>
      <c r="G55" s="53">
        <f t="shared" si="9"/>
        <v>430381.17032153381</v>
      </c>
      <c r="H55" s="275" t="str">
        <f>VLOOKUP($B55,'KU Proposed Depr Rates'!$A$16:$R$425,6,)</f>
        <v>-25%</v>
      </c>
      <c r="I55" s="175" t="str">
        <f>VLOOKUP($B55,'KU Proposed Depr Rates'!$A$16:$R$425,18,)</f>
        <v>47.9-59.5</v>
      </c>
      <c r="J55" s="196" t="str">
        <f>VLOOKUP($B55,'KU Proposed Depr Rates'!$A$16:$R$425,16,)</f>
        <v>65-R4, 70-R3</v>
      </c>
    </row>
    <row r="56" spans="1:10" ht="18.95" customHeight="1">
      <c r="A56" s="30">
        <f t="shared" si="0"/>
        <v>38</v>
      </c>
      <c r="B56" s="258">
        <v>353</v>
      </c>
      <c r="C56" s="38" t="s">
        <v>152</v>
      </c>
      <c r="D56" s="53">
        <f>'SCH B-2.1 F'!H65</f>
        <v>278380112.92710966</v>
      </c>
      <c r="E56" s="53">
        <f>-'SCH B-3 F'!I67</f>
        <v>72838526.743260071</v>
      </c>
      <c r="F56" s="116">
        <f>VLOOKUP($B56,'KU Proposed Depr Rates'!$A$16:$R$425,8,)/100</f>
        <v>1.9E-2</v>
      </c>
      <c r="G56" s="53">
        <f t="shared" si="9"/>
        <v>5289222.1456150832</v>
      </c>
      <c r="H56" s="275" t="str">
        <f>VLOOKUP($B56,'KU Proposed Depr Rates'!$A$16:$R$425,6,)</f>
        <v>-15%</v>
      </c>
      <c r="I56" s="175">
        <f>VLOOKUP($B56,'KU Proposed Depr Rates'!$A$16:$R$425,18,)</f>
        <v>46</v>
      </c>
      <c r="J56" s="196" t="str">
        <f>VLOOKUP($B56,'KU Proposed Depr Rates'!$A$16:$R$425,16,)</f>
        <v>45-R2, 60-R2</v>
      </c>
    </row>
    <row r="57" spans="1:10" ht="18.95" customHeight="1">
      <c r="A57" s="30">
        <f t="shared" si="0"/>
        <v>39</v>
      </c>
      <c r="B57" s="258">
        <v>354</v>
      </c>
      <c r="C57" s="38" t="s">
        <v>1719</v>
      </c>
      <c r="D57" s="53">
        <f>'SCH B-2.1 F'!H66</f>
        <v>69982316.974422261</v>
      </c>
      <c r="E57" s="53">
        <f>-'SCH B-3 F'!I68</f>
        <v>44842229.246165492</v>
      </c>
      <c r="F57" s="116">
        <f>VLOOKUP($B57,'KU Proposed Depr Rates'!$A$16:$R$425,8,)/100</f>
        <v>1.6899999999999998E-2</v>
      </c>
      <c r="G57" s="53">
        <f t="shared" si="9"/>
        <v>1182701.156867736</v>
      </c>
      <c r="H57" s="275" t="str">
        <f>VLOOKUP($B57,'KU Proposed Depr Rates'!$A$16:$R$425,6,)</f>
        <v>-40%</v>
      </c>
      <c r="I57" s="175">
        <f>VLOOKUP($B57,'KU Proposed Depr Rates'!$A$16:$R$425,18,)</f>
        <v>44.8</v>
      </c>
      <c r="J57" s="196" t="str">
        <f>VLOOKUP($B57,'KU Proposed Depr Rates'!$A$16:$R$425,16,)</f>
        <v>70-R4</v>
      </c>
    </row>
    <row r="58" spans="1:10" ht="18.95" customHeight="1">
      <c r="A58" s="30">
        <f t="shared" si="0"/>
        <v>40</v>
      </c>
      <c r="B58" s="258">
        <v>355</v>
      </c>
      <c r="C58" s="38" t="s">
        <v>1721</v>
      </c>
      <c r="D58" s="53">
        <f>'SCH B-2.1 F'!H67</f>
        <v>314396861.87601185</v>
      </c>
      <c r="E58" s="53">
        <f>-'SCH B-3 F'!I69</f>
        <v>63373478.305962294</v>
      </c>
      <c r="F58" s="116">
        <f>VLOOKUP($B58,'KU Proposed Depr Rates'!$A$16:$R$425,8,)/100</f>
        <v>2.9300000000000003E-2</v>
      </c>
      <c r="G58" s="53">
        <f t="shared" si="9"/>
        <v>9211828.0529671479</v>
      </c>
      <c r="H58" s="275" t="str">
        <f>VLOOKUP($B58,'KU Proposed Depr Rates'!$A$16:$R$425,6,)</f>
        <v>-75%</v>
      </c>
      <c r="I58" s="175">
        <f>VLOOKUP($B58,'KU Proposed Depr Rates'!$A$16:$R$425,18,)</f>
        <v>48.8</v>
      </c>
      <c r="J58" s="196" t="str">
        <f>VLOOKUP($B58,'KU Proposed Depr Rates'!$A$16:$R$425,16,)</f>
        <v>58-R2</v>
      </c>
    </row>
    <row r="59" spans="1:10" ht="18.95" customHeight="1">
      <c r="A59" s="30">
        <f t="shared" si="0"/>
        <v>41</v>
      </c>
      <c r="B59" s="258">
        <v>356</v>
      </c>
      <c r="C59" s="38" t="s">
        <v>1723</v>
      </c>
      <c r="D59" s="53">
        <f>'SCH B-2.1 F'!H68</f>
        <v>162568455.65362671</v>
      </c>
      <c r="E59" s="53">
        <f>-'SCH B-3 F'!I70</f>
        <v>103639375.33239108</v>
      </c>
      <c r="F59" s="116">
        <f>VLOOKUP($B59,'KU Proposed Depr Rates'!$A$16:$R$425,8,)/100</f>
        <v>2.5399999999999999E-2</v>
      </c>
      <c r="G59" s="53">
        <f t="shared" si="9"/>
        <v>4129238.7736021182</v>
      </c>
      <c r="H59" s="275" t="str">
        <f>VLOOKUP($B59,'KU Proposed Depr Rates'!$A$16:$R$425,6,)</f>
        <v>-75%</v>
      </c>
      <c r="I59" s="175">
        <f>VLOOKUP($B59,'KU Proposed Depr Rates'!$A$16:$R$425,18,)</f>
        <v>43.8</v>
      </c>
      <c r="J59" s="196" t="str">
        <f>VLOOKUP($B59,'KU Proposed Depr Rates'!$A$16:$R$425,16,)</f>
        <v>65-R3</v>
      </c>
    </row>
    <row r="60" spans="1:10" ht="18.95" customHeight="1">
      <c r="A60" s="30">
        <f t="shared" si="0"/>
        <v>42</v>
      </c>
      <c r="B60" s="258">
        <v>357</v>
      </c>
      <c r="C60" s="38" t="s">
        <v>1725</v>
      </c>
      <c r="D60" s="53">
        <f>'SCH B-2.1 F'!H69</f>
        <v>427600.79877989512</v>
      </c>
      <c r="E60" s="53">
        <f>-'SCH B-3 F'!I71</f>
        <v>217390.68616046663</v>
      </c>
      <c r="F60" s="116">
        <f>VLOOKUP($B60,'KU Proposed Depr Rates'!$A$16:$R$425,8,)/100</f>
        <v>1.7000000000000001E-2</v>
      </c>
      <c r="G60" s="53">
        <f t="shared" si="9"/>
        <v>7269.2135792582176</v>
      </c>
      <c r="H60" s="275" t="str">
        <f>VLOOKUP($B60,'KU Proposed Depr Rates'!$A$16:$R$425,6,)</f>
        <v>0%</v>
      </c>
      <c r="I60" s="175">
        <f>VLOOKUP($B60,'KU Proposed Depr Rates'!$A$16:$R$425,18,)</f>
        <v>28.7</v>
      </c>
      <c r="J60" s="196" t="str">
        <f>VLOOKUP($B60,'KU Proposed Depr Rates'!$A$16:$R$425,16,)</f>
        <v>50-R4</v>
      </c>
    </row>
    <row r="61" spans="1:10" ht="18.95" customHeight="1">
      <c r="A61" s="30">
        <f t="shared" si="0"/>
        <v>43</v>
      </c>
      <c r="B61" s="258">
        <v>358</v>
      </c>
      <c r="C61" s="38" t="s">
        <v>1727</v>
      </c>
      <c r="D61" s="53">
        <f>'SCH B-2.1 F'!H70</f>
        <v>1064191.2649456945</v>
      </c>
      <c r="E61" s="53">
        <f>-'SCH B-3 F'!I72</f>
        <v>848934.40957956226</v>
      </c>
      <c r="F61" s="116">
        <f>VLOOKUP($B61,'KU Proposed Depr Rates'!$A$16:$R$425,8,)/100</f>
        <v>7.4000000000000003E-3</v>
      </c>
      <c r="G61" s="53">
        <f t="shared" si="9"/>
        <v>7875.0153605981395</v>
      </c>
      <c r="H61" s="275" t="str">
        <f>VLOOKUP($B61,'KU Proposed Depr Rates'!$A$16:$R$425,6,)</f>
        <v>0%</v>
      </c>
      <c r="I61" s="175">
        <f>VLOOKUP($B61,'KU Proposed Depr Rates'!$A$16:$R$425,18,)</f>
        <v>23.6</v>
      </c>
      <c r="J61" s="196" t="str">
        <f>VLOOKUP($B61,'KU Proposed Depr Rates'!$A$16:$R$425,16,)</f>
        <v>40-R3</v>
      </c>
    </row>
    <row r="62" spans="1:10" ht="18.95" customHeight="1">
      <c r="A62" s="30">
        <f t="shared" si="0"/>
        <v>44</v>
      </c>
      <c r="B62" s="258">
        <v>359</v>
      </c>
      <c r="C62" s="38" t="s">
        <v>155</v>
      </c>
      <c r="D62" s="54">
        <f>'SCH B-2.1 F'!H71</f>
        <v>0</v>
      </c>
      <c r="E62" s="54">
        <f>-'SCH B-3 F'!I73</f>
        <v>0</v>
      </c>
      <c r="F62" s="95"/>
      <c r="G62" s="54">
        <f t="shared" si="9"/>
        <v>0</v>
      </c>
      <c r="H62" s="117"/>
      <c r="I62" s="53"/>
      <c r="J62" s="53"/>
    </row>
    <row r="63" spans="1:10" ht="18.95" customHeight="1">
      <c r="A63" s="30">
        <f t="shared" si="0"/>
        <v>45</v>
      </c>
      <c r="B63" s="258"/>
      <c r="C63" s="38" t="s">
        <v>153</v>
      </c>
      <c r="D63" s="51">
        <f>SUM(D54:D62)</f>
        <v>881238248.10874939</v>
      </c>
      <c r="E63" s="51">
        <f>SUM(E54:E62)</f>
        <v>307792604.4062683</v>
      </c>
      <c r="F63" s="51"/>
      <c r="G63" s="51">
        <f t="shared" ref="G63" si="10">SUM(G54:G62)</f>
        <v>20258515.528313477</v>
      </c>
      <c r="H63" s="118"/>
      <c r="I63" s="51"/>
      <c r="J63" s="51"/>
    </row>
    <row r="64" spans="1:10" s="28" customFormat="1" ht="20.100000000000001" customHeight="1">
      <c r="A64" s="706" t="str">
        <f>$A$1</f>
        <v>KENTUCKY UTILITIES COMPANY</v>
      </c>
      <c r="B64" s="706"/>
      <c r="C64" s="706"/>
      <c r="D64" s="706"/>
      <c r="E64" s="706"/>
      <c r="F64" s="706"/>
      <c r="G64" s="706"/>
      <c r="H64" s="706"/>
      <c r="I64" s="706"/>
      <c r="J64" s="706"/>
    </row>
    <row r="65" spans="1:10" s="28" customFormat="1" ht="20.100000000000001" customHeight="1">
      <c r="A65" s="706" t="str">
        <f>$A$2</f>
        <v>CASE NO. 2016-00370</v>
      </c>
      <c r="B65" s="706"/>
      <c r="C65" s="706"/>
      <c r="D65" s="706"/>
      <c r="E65" s="706"/>
      <c r="F65" s="706"/>
      <c r="G65" s="706"/>
      <c r="H65" s="706"/>
      <c r="I65" s="706"/>
      <c r="J65" s="706"/>
    </row>
    <row r="66" spans="1:10" s="28" customFormat="1" ht="20.100000000000001" customHeight="1">
      <c r="A66" s="706" t="str">
        <f>$A$3</f>
        <v>DEPRECIATION ACCRUAL RATES AND ACCUMULATED BALANCES BY ACCOUNT</v>
      </c>
      <c r="B66" s="706"/>
      <c r="C66" s="706"/>
      <c r="D66" s="706"/>
      <c r="E66" s="706"/>
      <c r="F66" s="706"/>
      <c r="G66" s="706"/>
      <c r="H66" s="706"/>
      <c r="I66" s="706"/>
      <c r="J66" s="706"/>
    </row>
    <row r="67" spans="1:10" s="28" customFormat="1" ht="20.100000000000001" customHeight="1">
      <c r="A67" s="705" t="str">
        <f>$A$4</f>
        <v>AS OF JUNE 30, 2018</v>
      </c>
      <c r="B67" s="706"/>
      <c r="C67" s="706"/>
      <c r="D67" s="706"/>
      <c r="E67" s="706"/>
      <c r="F67" s="706"/>
      <c r="G67" s="706"/>
      <c r="H67" s="706"/>
      <c r="I67" s="706"/>
      <c r="J67" s="706"/>
    </row>
    <row r="68" spans="1:10" s="28" customFormat="1" ht="20.100000000000001" customHeight="1">
      <c r="A68" s="195"/>
      <c r="B68" s="195"/>
      <c r="C68" s="195"/>
      <c r="D68" s="195"/>
      <c r="E68" s="195"/>
      <c r="F68" s="195"/>
      <c r="G68" s="195"/>
      <c r="H68" s="195"/>
      <c r="I68" s="195"/>
      <c r="J68" s="195"/>
    </row>
    <row r="69" spans="1:10" s="28" customFormat="1" ht="20.100000000000001" customHeight="1">
      <c r="A69" s="27" t="str">
        <f>$A$6</f>
        <v>DATA:____BASE  PERIOD__X__FORECASTED  PERIOD</v>
      </c>
      <c r="B69" s="27"/>
      <c r="I69" s="34"/>
      <c r="J69" s="34" t="s">
        <v>1248</v>
      </c>
    </row>
    <row r="70" spans="1:10" s="28" customFormat="1" ht="20.100000000000001" customHeight="1">
      <c r="A70" s="27" t="str">
        <f>$A$7</f>
        <v>TYPE OF FILING: __X__ ORIGINAL  _____ UPDATED  _____ REVISED</v>
      </c>
      <c r="I70" s="34"/>
      <c r="J70" s="34" t="s">
        <v>2159</v>
      </c>
    </row>
    <row r="71" spans="1:10" s="28" customFormat="1" ht="20.100000000000001" customHeight="1">
      <c r="A71" s="27" t="str">
        <f>$A$8</f>
        <v>WORKPAPER REFERENCE NO(S).:</v>
      </c>
      <c r="B71" s="27"/>
      <c r="G71" s="27"/>
      <c r="I71" s="35"/>
      <c r="J71" s="35" t="str">
        <f>$J$8</f>
        <v>WITNESS:   C. M. GARRETT</v>
      </c>
    </row>
    <row r="72" spans="1:10" s="28" customFormat="1" ht="20.100000000000001" customHeight="1"/>
    <row r="73" spans="1:10" s="28" customFormat="1" ht="20.100000000000001" customHeight="1">
      <c r="A73" s="61"/>
      <c r="B73" s="61"/>
      <c r="C73" s="61"/>
      <c r="D73" s="708" t="s">
        <v>230</v>
      </c>
      <c r="E73" s="708"/>
      <c r="F73" s="61"/>
      <c r="G73" s="61"/>
      <c r="H73" s="61"/>
      <c r="I73" s="61"/>
      <c r="J73" s="61"/>
    </row>
    <row r="74" spans="1:10" ht="48" customHeight="1">
      <c r="A74" s="31" t="s">
        <v>134</v>
      </c>
      <c r="B74" s="31" t="s">
        <v>137</v>
      </c>
      <c r="C74" s="38" t="s">
        <v>1250</v>
      </c>
      <c r="D74" s="31" t="s">
        <v>1627</v>
      </c>
      <c r="E74" s="31" t="s">
        <v>1628</v>
      </c>
      <c r="F74" s="31" t="s">
        <v>1630</v>
      </c>
      <c r="G74" s="31" t="s">
        <v>1253</v>
      </c>
      <c r="H74" s="31" t="s">
        <v>1255</v>
      </c>
      <c r="I74" s="31" t="s">
        <v>1902</v>
      </c>
      <c r="J74" s="31" t="s">
        <v>1256</v>
      </c>
    </row>
    <row r="75" spans="1:10" ht="18.95" customHeight="1">
      <c r="A75" s="63" t="s">
        <v>1226</v>
      </c>
      <c r="B75" s="63" t="s">
        <v>1227</v>
      </c>
      <c r="C75" s="63" t="s">
        <v>1230</v>
      </c>
      <c r="D75" s="63" t="s">
        <v>1238</v>
      </c>
      <c r="E75" s="63" t="s">
        <v>1239</v>
      </c>
      <c r="F75" s="63" t="s">
        <v>1240</v>
      </c>
      <c r="G75" s="63" t="s">
        <v>1254</v>
      </c>
      <c r="H75" s="63" t="s">
        <v>1242</v>
      </c>
      <c r="I75" s="63" t="s">
        <v>1243</v>
      </c>
      <c r="J75" s="63" t="s">
        <v>1257</v>
      </c>
    </row>
    <row r="76" spans="1:10" ht="23.1" customHeight="1">
      <c r="A76" s="40"/>
      <c r="B76" s="40"/>
      <c r="C76" s="41"/>
      <c r="D76" s="42" t="s">
        <v>145</v>
      </c>
      <c r="E76" s="42" t="s">
        <v>145</v>
      </c>
      <c r="F76" s="42"/>
      <c r="G76" s="42" t="s">
        <v>145</v>
      </c>
      <c r="H76" s="42"/>
      <c r="I76" s="42"/>
      <c r="J76" s="42"/>
    </row>
    <row r="77" spans="1:10" ht="18.95" customHeight="1">
      <c r="A77" s="30">
        <f>A63+1</f>
        <v>46</v>
      </c>
      <c r="B77" s="258" t="s">
        <v>254</v>
      </c>
      <c r="C77" s="55" t="s">
        <v>16</v>
      </c>
      <c r="H77" s="113"/>
    </row>
    <row r="78" spans="1:10" ht="18.95" customHeight="1">
      <c r="A78" s="30">
        <f t="shared" si="0"/>
        <v>47</v>
      </c>
      <c r="B78" s="258">
        <v>360</v>
      </c>
      <c r="C78" s="38" t="s">
        <v>157</v>
      </c>
      <c r="D78" s="53">
        <f>'SCH B-2.1 F'!H75</f>
        <v>8370504.4015384596</v>
      </c>
      <c r="E78" s="53">
        <f>-'SCH B-3 F'!I77</f>
        <v>1381296.9160524514</v>
      </c>
      <c r="F78" s="116">
        <v>0</v>
      </c>
      <c r="G78" s="53">
        <f t="shared" ref="G78:G90" si="11">D78*F78</f>
        <v>0</v>
      </c>
      <c r="H78" s="275">
        <v>0</v>
      </c>
      <c r="I78" s="175"/>
      <c r="J78" s="196"/>
    </row>
    <row r="79" spans="1:10" ht="18.95" customHeight="1">
      <c r="A79" s="30">
        <f t="shared" ref="A79:A91" si="12">A78+1</f>
        <v>48</v>
      </c>
      <c r="B79" s="258">
        <v>361</v>
      </c>
      <c r="C79" s="38" t="s">
        <v>151</v>
      </c>
      <c r="D79" s="53">
        <f>'SCH B-2.1 F'!H76</f>
        <v>13150928.586923074</v>
      </c>
      <c r="E79" s="53">
        <f>-'SCH B-3 F'!I78</f>
        <v>2488023.6856125346</v>
      </c>
      <c r="F79" s="116">
        <f>VLOOKUP($B79,'KU Proposed Depr Rates'!$A$16:$R$425,8,)/100</f>
        <v>2.1499999999999998E-2</v>
      </c>
      <c r="G79" s="53">
        <f t="shared" si="11"/>
        <v>282744.96461884608</v>
      </c>
      <c r="H79" s="275" t="str">
        <f>VLOOKUP($B79,'KU Proposed Depr Rates'!$A$16:$R$425,6,)</f>
        <v>-25%</v>
      </c>
      <c r="I79" s="175">
        <f>VLOOKUP($B79,'KU Proposed Depr Rates'!$A$16:$R$425,18,)</f>
        <v>48.4</v>
      </c>
      <c r="J79" s="196" t="str">
        <f>VLOOKUP($B79,'KU Proposed Depr Rates'!$A$16:$R$425,16,)</f>
        <v>60-R2.5</v>
      </c>
    </row>
    <row r="80" spans="1:10" ht="18.95" customHeight="1">
      <c r="A80" s="30">
        <f t="shared" si="12"/>
        <v>49</v>
      </c>
      <c r="B80" s="258">
        <v>362</v>
      </c>
      <c r="C80" s="38" t="s">
        <v>1732</v>
      </c>
      <c r="D80" s="53">
        <f>'SCH B-2.1 F'!H77</f>
        <v>188128728.08615381</v>
      </c>
      <c r="E80" s="53">
        <f>-'SCH B-3 F'!I79</f>
        <v>48726833.436370499</v>
      </c>
      <c r="F80" s="116">
        <f>VLOOKUP($B80,'KU Proposed Depr Rates'!$A$16:$R$425,8,)/100</f>
        <v>2.29E-2</v>
      </c>
      <c r="G80" s="53">
        <f t="shared" si="11"/>
        <v>4308147.8731729221</v>
      </c>
      <c r="H80" s="275" t="str">
        <f>VLOOKUP($B80,'KU Proposed Depr Rates'!$A$16:$R$425,6,)</f>
        <v>-20%</v>
      </c>
      <c r="I80" s="175">
        <f>VLOOKUP($B80,'KU Proposed Depr Rates'!$A$16:$R$425,18,)</f>
        <v>40.299999999999997</v>
      </c>
      <c r="J80" s="196" t="str">
        <f>VLOOKUP($B80,'KU Proposed Depr Rates'!$A$16:$R$425,16,)</f>
        <v>54-R2</v>
      </c>
    </row>
    <row r="81" spans="1:10" ht="18.95" customHeight="1">
      <c r="A81" s="30">
        <f t="shared" si="12"/>
        <v>50</v>
      </c>
      <c r="B81" s="258">
        <v>364</v>
      </c>
      <c r="C81" s="38" t="s">
        <v>1734</v>
      </c>
      <c r="D81" s="53">
        <f>'SCH B-2.1 F'!H78</f>
        <v>358341899.85314924</v>
      </c>
      <c r="E81" s="53">
        <f>-'SCH B-3 F'!I80</f>
        <v>151754608.85026875</v>
      </c>
      <c r="F81" s="116">
        <f>VLOOKUP($B81,'KU Proposed Depr Rates'!$A$16:$R$425,8,)/100</f>
        <v>2.6699999999999998E-2</v>
      </c>
      <c r="G81" s="53">
        <f t="shared" si="11"/>
        <v>9567728.726079084</v>
      </c>
      <c r="H81" s="275" t="str">
        <f>VLOOKUP($B81,'KU Proposed Depr Rates'!$A$16:$R$425,6,)</f>
        <v>-50%</v>
      </c>
      <c r="I81" s="175">
        <f>VLOOKUP($B81,'KU Proposed Depr Rates'!$A$16:$R$425,18,)</f>
        <v>40.1</v>
      </c>
      <c r="J81" s="196" t="str">
        <f>VLOOKUP($B81,'KU Proposed Depr Rates'!$A$16:$R$425,16,)</f>
        <v>50-R1.5</v>
      </c>
    </row>
    <row r="82" spans="1:10" ht="18.95" customHeight="1">
      <c r="A82" s="30">
        <f t="shared" si="12"/>
        <v>51</v>
      </c>
      <c r="B82" s="258">
        <v>365</v>
      </c>
      <c r="C82" s="38" t="s">
        <v>1723</v>
      </c>
      <c r="D82" s="53">
        <f>'SCH B-2.1 F'!H79</f>
        <v>358775964.83159828</v>
      </c>
      <c r="E82" s="53">
        <f>-'SCH B-3 F'!I81</f>
        <v>113048136.0145492</v>
      </c>
      <c r="F82" s="116">
        <f>VLOOKUP($B82,'KU Proposed Depr Rates'!$A$16:$R$425,8,)/100</f>
        <v>2.4700000000000003E-2</v>
      </c>
      <c r="G82" s="53">
        <f t="shared" si="11"/>
        <v>8861766.3313404787</v>
      </c>
      <c r="H82" s="275" t="str">
        <f>VLOOKUP($B82,'KU Proposed Depr Rates'!$A$16:$R$425,6,)</f>
        <v>-30%</v>
      </c>
      <c r="I82" s="175">
        <f>VLOOKUP($B82,'KU Proposed Depr Rates'!$A$16:$R$425,18,)</f>
        <v>38.299999999999997</v>
      </c>
      <c r="J82" s="196" t="str">
        <f>VLOOKUP($B82,'KU Proposed Depr Rates'!$A$16:$R$425,16,)</f>
        <v>47-R1</v>
      </c>
    </row>
    <row r="83" spans="1:10" ht="18.95" customHeight="1">
      <c r="A83" s="30">
        <f t="shared" si="12"/>
        <v>52</v>
      </c>
      <c r="B83" s="258">
        <v>366</v>
      </c>
      <c r="C83" s="38" t="s">
        <v>1725</v>
      </c>
      <c r="D83" s="53">
        <f>'SCH B-2.1 F'!H80</f>
        <v>2210225.1499999906</v>
      </c>
      <c r="E83" s="53">
        <f>-'SCH B-3 F'!I82</f>
        <v>935942.34762099897</v>
      </c>
      <c r="F83" s="116">
        <f>VLOOKUP($B83,'KU Proposed Depr Rates'!$A$16:$R$425,8,)/100</f>
        <v>2.3199999999999998E-2</v>
      </c>
      <c r="G83" s="53">
        <f t="shared" si="11"/>
        <v>51277.223479999775</v>
      </c>
      <c r="H83" s="275" t="str">
        <f>VLOOKUP($B83,'KU Proposed Depr Rates'!$A$16:$R$425,6,)</f>
        <v>0%</v>
      </c>
      <c r="I83" s="175">
        <f>VLOOKUP($B83,'KU Proposed Depr Rates'!$A$16:$R$425,18,)</f>
        <v>25.6</v>
      </c>
      <c r="J83" s="196" t="str">
        <f>VLOOKUP($B83,'KU Proposed Depr Rates'!$A$16:$R$425,16,)</f>
        <v>50-R4</v>
      </c>
    </row>
    <row r="84" spans="1:10" ht="18.95" customHeight="1">
      <c r="A84" s="30">
        <f t="shared" si="12"/>
        <v>53</v>
      </c>
      <c r="B84" s="258">
        <v>367</v>
      </c>
      <c r="C84" s="38" t="s">
        <v>1727</v>
      </c>
      <c r="D84" s="53">
        <f>'SCH B-2.1 F'!H81</f>
        <v>198714595.9044053</v>
      </c>
      <c r="E84" s="53">
        <f>-'SCH B-3 F'!I83</f>
        <v>44672528.355431944</v>
      </c>
      <c r="F84" s="116">
        <f>VLOOKUP($B84,'KU Proposed Depr Rates'!$A$16:$R$425,8,)/100</f>
        <v>2.4300000000000002E-2</v>
      </c>
      <c r="G84" s="53">
        <f t="shared" si="11"/>
        <v>4828764.6804770492</v>
      </c>
      <c r="H84" s="275" t="str">
        <f>VLOOKUP($B84,'KU Proposed Depr Rates'!$A$16:$R$425,6,)</f>
        <v>-20%</v>
      </c>
      <c r="I84" s="175">
        <f>VLOOKUP($B84,'KU Proposed Depr Rates'!$A$16:$R$425,18,)</f>
        <v>40.200000000000003</v>
      </c>
      <c r="J84" s="196" t="str">
        <f>VLOOKUP($B84,'KU Proposed Depr Rates'!$A$16:$R$425,16,)</f>
        <v>48-R2</v>
      </c>
    </row>
    <row r="85" spans="1:10" ht="18.95" customHeight="1">
      <c r="A85" s="30">
        <f t="shared" si="12"/>
        <v>54</v>
      </c>
      <c r="B85" s="258">
        <v>368</v>
      </c>
      <c r="C85" s="38" t="s">
        <v>1739</v>
      </c>
      <c r="D85" s="53">
        <f>'SCH B-2.1 F'!H82</f>
        <v>308543266.91503012</v>
      </c>
      <c r="E85" s="53">
        <f>-'SCH B-3 F'!I84</f>
        <v>141930018.30361721</v>
      </c>
      <c r="F85" s="116">
        <f>VLOOKUP($B85,'KU Proposed Depr Rates'!$A$16:$R$425,8,)/100</f>
        <v>1.7899999999999999E-2</v>
      </c>
      <c r="G85" s="53">
        <f t="shared" si="11"/>
        <v>5522924.4777790392</v>
      </c>
      <c r="H85" s="275" t="str">
        <f>VLOOKUP($B85,'KU Proposed Depr Rates'!$A$16:$R$425,6,)</f>
        <v>-5%</v>
      </c>
      <c r="I85" s="175">
        <f>VLOOKUP($B85,'KU Proposed Depr Rates'!$A$16:$R$425,18,)</f>
        <v>33</v>
      </c>
      <c r="J85" s="196" t="str">
        <f>VLOOKUP($B85,'KU Proposed Depr Rates'!$A$16:$R$425,16,)</f>
        <v>46-R2</v>
      </c>
    </row>
    <row r="86" spans="1:10" ht="18.95" customHeight="1">
      <c r="A86" s="30">
        <f t="shared" si="12"/>
        <v>55</v>
      </c>
      <c r="B86" s="258">
        <v>369</v>
      </c>
      <c r="C86" s="38" t="s">
        <v>1741</v>
      </c>
      <c r="D86" s="53">
        <f>'SCH B-2.1 F'!H83</f>
        <v>97262576.699999869</v>
      </c>
      <c r="E86" s="53">
        <f>-'SCH B-3 F'!I85</f>
        <v>60872010.559692778</v>
      </c>
      <c r="F86" s="116">
        <f>VLOOKUP($B86,'KU Proposed Depr Rates'!$A$16:$R$425,8,)/100</f>
        <v>1.6299999999999999E-2</v>
      </c>
      <c r="G86" s="53">
        <f t="shared" si="11"/>
        <v>1585380.0002099976</v>
      </c>
      <c r="H86" s="275" t="str">
        <f>VLOOKUP($B86,'KU Proposed Depr Rates'!$A$16:$R$425,6,)</f>
        <v>-25%</v>
      </c>
      <c r="I86" s="175">
        <f>VLOOKUP($B86,'KU Proposed Depr Rates'!$A$16:$R$425,18,)</f>
        <v>36.6</v>
      </c>
      <c r="J86" s="196" t="str">
        <f>VLOOKUP($B86,'KU Proposed Depr Rates'!$A$16:$R$425,16,)</f>
        <v>48-R1</v>
      </c>
    </row>
    <row r="87" spans="1:10" ht="18.95" customHeight="1">
      <c r="A87" s="30">
        <f>A86+1</f>
        <v>56</v>
      </c>
      <c r="B87" s="258">
        <v>370</v>
      </c>
      <c r="C87" s="38" t="s">
        <v>1743</v>
      </c>
      <c r="D87" s="53">
        <f>'SCH B-2.1 F'!H84</f>
        <v>82987729.264615372</v>
      </c>
      <c r="E87" s="53">
        <f>-'SCH B-3 F'!I86</f>
        <v>35613858.702196926</v>
      </c>
      <c r="F87" s="116">
        <f>VLOOKUP($B87,'KU Proposed Depr Rates'!$A$16:$R$425,8,)/100</f>
        <v>3.6451547933376814E-2</v>
      </c>
      <c r="G87" s="53">
        <f t="shared" si="11"/>
        <v>3025031.1911712252</v>
      </c>
      <c r="H87" s="275" t="str">
        <f>VLOOKUP($B87,'KU Proposed Depr Rates'!$A$16:$R$425,6,)</f>
        <v>0%</v>
      </c>
      <c r="I87" s="175" t="str">
        <f>VLOOKUP($B87,'KU Proposed Depr Rates'!$A$16:$R$425,18,)</f>
        <v>4.3-14.7</v>
      </c>
      <c r="J87" s="196" t="str">
        <f>VLOOKUP($B87,'KU Proposed Depr Rates'!$A$16:$R$425,16,)</f>
        <v>15-S2.5, 28-L1</v>
      </c>
    </row>
    <row r="88" spans="1:10" ht="18.95" customHeight="1">
      <c r="A88" s="30">
        <f t="shared" si="12"/>
        <v>57</v>
      </c>
      <c r="B88" s="258">
        <v>371</v>
      </c>
      <c r="C88" s="38" t="s">
        <v>1745</v>
      </c>
      <c r="D88" s="53">
        <f>'SCH B-2.1 F'!H85</f>
        <v>282792.23923076928</v>
      </c>
      <c r="E88" s="53">
        <f>-'SCH B-3 F'!I87</f>
        <v>-3293.2105290538652</v>
      </c>
      <c r="F88" s="116">
        <f>VLOOKUP($B88,'KU Proposed Depr Rates'!$A$16:$R$425,8,)/100</f>
        <v>5.3E-3</v>
      </c>
      <c r="G88" s="53">
        <f t="shared" si="11"/>
        <v>1498.7988679230773</v>
      </c>
      <c r="H88" s="275" t="str">
        <f>VLOOKUP($B88,'KU Proposed Depr Rates'!$A$16:$R$425,6,)</f>
        <v>-10%</v>
      </c>
      <c r="I88" s="175">
        <f>VLOOKUP($B88,'KU Proposed Depr Rates'!$A$16:$R$425,18,)</f>
        <v>19.3</v>
      </c>
      <c r="J88" s="196" t="str">
        <f>VLOOKUP($B88,'KU Proposed Depr Rates'!$A$16:$R$425,16,)</f>
        <v>28-O1</v>
      </c>
    </row>
    <row r="89" spans="1:10" ht="18.95" customHeight="1">
      <c r="A89" s="30">
        <f t="shared" si="12"/>
        <v>58</v>
      </c>
      <c r="B89" s="258">
        <v>373</v>
      </c>
      <c r="C89" s="38" t="s">
        <v>1747</v>
      </c>
      <c r="D89" s="53">
        <f>'SCH B-2.1 F'!H86</f>
        <v>114827799.3</v>
      </c>
      <c r="E89" s="53">
        <f>-'SCH B-3 F'!I88</f>
        <v>35750377.015767246</v>
      </c>
      <c r="F89" s="116">
        <f>VLOOKUP($B89,'KU Proposed Depr Rates'!$A$16:$R$425,8,)/100</f>
        <v>0.04</v>
      </c>
      <c r="G89" s="53">
        <f t="shared" si="11"/>
        <v>4593111.9720000001</v>
      </c>
      <c r="H89" s="275" t="str">
        <f>VLOOKUP($B89,'KU Proposed Depr Rates'!$A$16:$R$425,6,)</f>
        <v>-10%</v>
      </c>
      <c r="I89" s="175">
        <f>VLOOKUP($B89,'KU Proposed Depr Rates'!$A$16:$R$425,18,)</f>
        <v>22.1</v>
      </c>
      <c r="J89" s="196" t="str">
        <f>VLOOKUP($B89,'KU Proposed Depr Rates'!$A$16:$R$425,16,)</f>
        <v>28-L0.5</v>
      </c>
    </row>
    <row r="90" spans="1:10" ht="18.95" customHeight="1">
      <c r="A90" s="30">
        <f t="shared" si="12"/>
        <v>59</v>
      </c>
      <c r="B90" s="258">
        <v>374</v>
      </c>
      <c r="C90" s="38" t="s">
        <v>154</v>
      </c>
      <c r="D90" s="54">
        <f>'SCH B-2.1 F'!H87</f>
        <v>0</v>
      </c>
      <c r="E90" s="54">
        <f>-'SCH B-3 F'!I89</f>
        <v>0</v>
      </c>
      <c r="F90" s="95"/>
      <c r="G90" s="54">
        <f t="shared" si="11"/>
        <v>0</v>
      </c>
      <c r="H90" s="117"/>
      <c r="I90" s="53"/>
      <c r="J90" s="53"/>
    </row>
    <row r="91" spans="1:10" ht="18.95" customHeight="1">
      <c r="A91" s="30">
        <f t="shared" si="12"/>
        <v>60</v>
      </c>
      <c r="B91" s="31"/>
      <c r="C91" s="38" t="s">
        <v>156</v>
      </c>
      <c r="D91" s="51">
        <f>SUM(D78:D90)</f>
        <v>1731597011.2326443</v>
      </c>
      <c r="E91" s="51">
        <f>SUM(E78:E90)</f>
        <v>637170340.97665143</v>
      </c>
      <c r="F91" s="51"/>
      <c r="G91" s="51">
        <f>SUM(G78:G90)</f>
        <v>42628376.239196569</v>
      </c>
      <c r="H91" s="51"/>
      <c r="I91" s="51"/>
      <c r="J91" s="51"/>
    </row>
    <row r="92" spans="1:10" ht="18.95" customHeight="1">
      <c r="A92" s="30"/>
      <c r="B92" s="258"/>
      <c r="H92" s="113"/>
    </row>
    <row r="93" spans="1:10" ht="18.95" customHeight="1">
      <c r="A93" s="30">
        <f>A91+1</f>
        <v>61</v>
      </c>
      <c r="C93" s="55" t="s">
        <v>33</v>
      </c>
    </row>
    <row r="94" spans="1:10" ht="18.95" customHeight="1">
      <c r="A94" s="30">
        <f t="shared" ref="A94:A104" si="13">A93+1</f>
        <v>62</v>
      </c>
      <c r="B94" s="258">
        <v>389</v>
      </c>
      <c r="C94" s="38" t="s">
        <v>157</v>
      </c>
      <c r="D94" s="53">
        <f>'SCH B-2.1 F'!H101</f>
        <v>3603740.4824467865</v>
      </c>
      <c r="E94" s="53">
        <f>-'SCH B-3 F'!I104</f>
        <v>-15493.600734656233</v>
      </c>
      <c r="F94" s="116">
        <v>0</v>
      </c>
      <c r="G94" s="53">
        <f t="shared" ref="G94:G99" si="14">D94*F94</f>
        <v>0</v>
      </c>
      <c r="H94" s="275">
        <v>0</v>
      </c>
      <c r="I94" s="175"/>
      <c r="J94" s="196"/>
    </row>
    <row r="95" spans="1:10" ht="18.95" customHeight="1">
      <c r="A95" s="30">
        <f t="shared" si="13"/>
        <v>63</v>
      </c>
      <c r="B95" s="258">
        <v>390</v>
      </c>
      <c r="C95" s="38" t="s">
        <v>151</v>
      </c>
      <c r="D95" s="53">
        <f>'SCH B-2.1 F'!H102</f>
        <v>65462087.93528498</v>
      </c>
      <c r="E95" s="53">
        <f>-'SCH B-3 F'!I105</f>
        <v>11784405.73464445</v>
      </c>
      <c r="F95" s="116">
        <f>VLOOKUP($B95,'KU Proposed Depr Rates'!$A$16:$R$425,8,)/100</f>
        <v>2.4233834933441434E-2</v>
      </c>
      <c r="G95" s="53">
        <f t="shared" si="14"/>
        <v>1586397.4334221242</v>
      </c>
      <c r="H95" s="275" t="str">
        <f>VLOOKUP($B95,'KU Proposed Depr Rates'!$A$16:$R$425,6,)</f>
        <v>-10%,-15%</v>
      </c>
      <c r="I95" s="175" t="str">
        <f>VLOOKUP($B95,'KU Proposed Depr Rates'!$A$16:$R$425,18,)</f>
        <v>18.0-39.2</v>
      </c>
      <c r="J95" s="196" t="str">
        <f>VLOOKUP($B95,'KU Proposed Depr Rates'!$A$16:$R$425,16,)</f>
        <v>33-R1.5, 50-S0</v>
      </c>
    </row>
    <row r="96" spans="1:10" ht="18.95" customHeight="1">
      <c r="A96" s="30">
        <f t="shared" si="13"/>
        <v>64</v>
      </c>
      <c r="B96" s="258">
        <v>391</v>
      </c>
      <c r="C96" s="38" t="s">
        <v>159</v>
      </c>
      <c r="D96" s="53">
        <f>'SCH B-2.1 F'!H103</f>
        <v>40573415.342457727</v>
      </c>
      <c r="E96" s="53">
        <f>-'SCH B-3 F'!I106</f>
        <v>19888097.494186528</v>
      </c>
      <c r="F96" s="116">
        <f>VLOOKUP($B96,'KU Proposed Depr Rates'!$A$16:$R$425,8,)/100</f>
        <v>0.1228956710528837</v>
      </c>
      <c r="G96" s="53">
        <f t="shared" si="14"/>
        <v>4986297.1054187091</v>
      </c>
      <c r="H96" s="275" t="str">
        <f>VLOOKUP($B96,'KU Proposed Depr Rates'!$A$16:$R$425,6,)</f>
        <v>0%</v>
      </c>
      <c r="I96" s="175" t="str">
        <f>VLOOKUP($B96,'KU Proposed Depr Rates'!$A$16:$R$425,18,)</f>
        <v>2.2-9.9</v>
      </c>
      <c r="J96" s="196" t="str">
        <f>VLOOKUP($B96,'KU Proposed Depr Rates'!$A$16:$R$425,16,)</f>
        <v>4-SQ, 5-SQ, 20-SQ</v>
      </c>
    </row>
    <row r="97" spans="1:10" ht="18.95" customHeight="1">
      <c r="A97" s="30">
        <f t="shared" si="13"/>
        <v>65</v>
      </c>
      <c r="B97" s="258">
        <v>392</v>
      </c>
      <c r="C97" s="38" t="s">
        <v>158</v>
      </c>
      <c r="D97" s="53">
        <f>'SCH B-2.1 F'!H104</f>
        <v>6445676.1346728895</v>
      </c>
      <c r="E97" s="53">
        <f>-'SCH B-3 F'!I107</f>
        <v>3480274.6640566424</v>
      </c>
      <c r="F97" s="116">
        <f>VLOOKUP($B97,'KU Proposed Depr Rates'!$A$16:$R$425,8,)/100</f>
        <v>2.9583538741199483E-2</v>
      </c>
      <c r="G97" s="53">
        <f t="shared" si="14"/>
        <v>190685.90964332037</v>
      </c>
      <c r="H97" s="275" t="str">
        <f>VLOOKUP($B97,'KU Proposed Depr Rates'!$A$16:$R$425,6,)</f>
        <v>0%</v>
      </c>
      <c r="I97" s="175" t="str">
        <f>VLOOKUP($B97,'KU Proposed Depr Rates'!$A$16:$R$425,18,)</f>
        <v>10.8-13.9</v>
      </c>
      <c r="J97" s="196" t="str">
        <f>VLOOKUP($B97,'KU Proposed Depr Rates'!$A$16:$R$425,16,)</f>
        <v>14-S2, 16-L2.5</v>
      </c>
    </row>
    <row r="98" spans="1:10" ht="18.95" customHeight="1">
      <c r="A98" s="30">
        <f t="shared" si="13"/>
        <v>66</v>
      </c>
      <c r="B98" s="258">
        <v>393</v>
      </c>
      <c r="C98" s="38" t="s">
        <v>1755</v>
      </c>
      <c r="D98" s="53">
        <f>'SCH B-2.1 F'!H105</f>
        <v>1367894.0529092394</v>
      </c>
      <c r="E98" s="53">
        <f>-'SCH B-3 F'!I108</f>
        <v>418040.72778720938</v>
      </c>
      <c r="F98" s="116">
        <f>VLOOKUP($B98,'KU Proposed Depr Rates'!$A$16:$R$425,8,)/100</f>
        <v>4.4000000000000004E-2</v>
      </c>
      <c r="G98" s="53">
        <f t="shared" si="14"/>
        <v>60187.338328006539</v>
      </c>
      <c r="H98" s="275" t="str">
        <f>VLOOKUP($B98,'KU Proposed Depr Rates'!$A$16:$R$425,6,)</f>
        <v>0%</v>
      </c>
      <c r="I98" s="175">
        <f>VLOOKUP($B98,'KU Proposed Depr Rates'!$A$16:$R$425,18,)</f>
        <v>18</v>
      </c>
      <c r="J98" s="196" t="str">
        <f>VLOOKUP($B98,'KU Proposed Depr Rates'!$A$16:$R$425,16,)</f>
        <v>25-SQ</v>
      </c>
    </row>
    <row r="99" spans="1:10" ht="18.95" customHeight="1">
      <c r="A99" s="30">
        <f t="shared" si="13"/>
        <v>67</v>
      </c>
      <c r="B99" s="258">
        <v>394</v>
      </c>
      <c r="C99" s="38" t="s">
        <v>1757</v>
      </c>
      <c r="D99" s="53">
        <f>'SCH B-2.1 F'!H106</f>
        <v>12542251.938021194</v>
      </c>
      <c r="E99" s="53">
        <f>-'SCH B-3 F'!I109</f>
        <v>3968871.8056980893</v>
      </c>
      <c r="F99" s="116">
        <f>VLOOKUP($B99,'KU Proposed Depr Rates'!$A$16:$R$425,8,)/100</f>
        <v>4.0199999999999993E-2</v>
      </c>
      <c r="G99" s="53">
        <f t="shared" si="14"/>
        <v>504198.52790845191</v>
      </c>
      <c r="H99" s="275" t="str">
        <f>VLOOKUP($B99,'KU Proposed Depr Rates'!$A$16:$R$425,6,)</f>
        <v>0%</v>
      </c>
      <c r="I99" s="175">
        <f>VLOOKUP($B99,'KU Proposed Depr Rates'!$A$16:$R$425,18,)</f>
        <v>17.5</v>
      </c>
      <c r="J99" s="196" t="str">
        <f>VLOOKUP($B99,'KU Proposed Depr Rates'!$A$16:$R$425,16,)</f>
        <v>25-SQ</v>
      </c>
    </row>
    <row r="100" spans="1:10" ht="18.95" customHeight="1">
      <c r="A100" s="30">
        <f t="shared" si="13"/>
        <v>68</v>
      </c>
      <c r="B100" s="258">
        <v>395</v>
      </c>
      <c r="C100" s="38" t="s">
        <v>1759</v>
      </c>
      <c r="D100" s="53">
        <f>'SCH B-2.1 F'!H107</f>
        <v>0</v>
      </c>
      <c r="E100" s="53">
        <f>-'SCH B-3 F'!I110</f>
        <v>0</v>
      </c>
      <c r="F100" s="116"/>
      <c r="G100" s="53"/>
      <c r="H100" s="275"/>
      <c r="I100" s="175"/>
      <c r="J100" s="196"/>
    </row>
    <row r="101" spans="1:10" ht="18.95" customHeight="1">
      <c r="A101" s="30">
        <f t="shared" si="13"/>
        <v>69</v>
      </c>
      <c r="B101" s="258">
        <v>396</v>
      </c>
      <c r="C101" s="38" t="s">
        <v>1761</v>
      </c>
      <c r="D101" s="53">
        <f>'SCH B-2.1 F'!H108</f>
        <v>2142586.4797531608</v>
      </c>
      <c r="E101" s="53">
        <f>-'SCH B-3 F'!I111</f>
        <v>1011715.6000940463</v>
      </c>
      <c r="F101" s="116">
        <f>VLOOKUP($B101,'KU Proposed Depr Rates'!$A$16:$R$425,8,)/100</f>
        <v>5.6500000000000002E-2</v>
      </c>
      <c r="G101" s="53">
        <f t="shared" ref="G101:G103" si="15">D101*F101</f>
        <v>121056.13610605359</v>
      </c>
      <c r="H101" s="275" t="str">
        <f>VLOOKUP($B101,'KU Proposed Depr Rates'!$A$16:$R$425,6,)</f>
        <v>0%</v>
      </c>
      <c r="I101" s="175">
        <f>VLOOKUP($B101,'KU Proposed Depr Rates'!$A$16:$R$425,18,)</f>
        <v>12</v>
      </c>
      <c r="J101" s="196" t="str">
        <f>VLOOKUP($B101,'KU Proposed Depr Rates'!$A$16:$R$425,16,)</f>
        <v>16-L5</v>
      </c>
    </row>
    <row r="102" spans="1:10" ht="18.95" customHeight="1">
      <c r="A102" s="30">
        <f t="shared" si="13"/>
        <v>70</v>
      </c>
      <c r="B102" s="258">
        <v>397</v>
      </c>
      <c r="C102" s="38" t="s">
        <v>160</v>
      </c>
      <c r="D102" s="53">
        <f>'SCH B-2.1 F'!H109</f>
        <v>45397543.611513242</v>
      </c>
      <c r="E102" s="53">
        <f>-'SCH B-3 F'!I112</f>
        <v>19728071.744312946</v>
      </c>
      <c r="F102" s="116">
        <f>VLOOKUP($B102,'KU Proposed Depr Rates'!$A$16:$R$425,8,)/100</f>
        <v>8.2424974380745086E-2</v>
      </c>
      <c r="G102" s="53">
        <f t="shared" si="15"/>
        <v>3741891.3691277369</v>
      </c>
      <c r="H102" s="275" t="str">
        <f>VLOOKUP($B102,'KU Proposed Depr Rates'!$A$16:$R$425,6,)</f>
        <v>0%</v>
      </c>
      <c r="I102" s="175" t="str">
        <f>VLOOKUP($B102,'KU Proposed Depr Rates'!$A$16:$R$425,18,)</f>
        <v>5.6-13.4</v>
      </c>
      <c r="J102" s="196" t="str">
        <f>VLOOKUP($B102,'KU Proposed Depr Rates'!$A$16:$R$425,16,)</f>
        <v>10-SQ, 18-L3</v>
      </c>
    </row>
    <row r="103" spans="1:10" ht="18.95" customHeight="1">
      <c r="A103" s="30">
        <f t="shared" si="13"/>
        <v>71</v>
      </c>
      <c r="B103" s="258">
        <v>398</v>
      </c>
      <c r="C103" s="38" t="s">
        <v>1764</v>
      </c>
      <c r="D103" s="54">
        <f>'SCH B-2.1 F'!H110</f>
        <v>0</v>
      </c>
      <c r="E103" s="54">
        <f>-'SCH B-3 F'!I113</f>
        <v>0</v>
      </c>
      <c r="F103" s="116"/>
      <c r="G103" s="54">
        <f t="shared" si="15"/>
        <v>0</v>
      </c>
      <c r="H103" s="275"/>
      <c r="I103" s="175"/>
      <c r="J103" s="196"/>
    </row>
    <row r="104" spans="1:10" ht="18.95" customHeight="1">
      <c r="A104" s="30">
        <f t="shared" si="13"/>
        <v>72</v>
      </c>
      <c r="B104" s="31"/>
      <c r="C104" s="38" t="s">
        <v>161</v>
      </c>
      <c r="D104" s="51">
        <f>SUM(D94:D103)</f>
        <v>177535195.97705925</v>
      </c>
      <c r="E104" s="51">
        <f>SUM(E94:E103)</f>
        <v>60263984.170045257</v>
      </c>
      <c r="F104" s="51"/>
      <c r="G104" s="51">
        <f>SUM(G95:G103)</f>
        <v>11190713.819954403</v>
      </c>
      <c r="H104" s="51"/>
      <c r="I104" s="51"/>
      <c r="J104" s="120"/>
    </row>
    <row r="105" spans="1:10" ht="18.95" customHeight="1">
      <c r="A105" s="30"/>
      <c r="B105" s="31"/>
      <c r="J105" s="108"/>
    </row>
    <row r="106" spans="1:10" ht="18.95" customHeight="1" thickBot="1">
      <c r="A106" s="30">
        <f>A104+1</f>
        <v>73</v>
      </c>
      <c r="B106" s="31"/>
      <c r="C106" s="28" t="s">
        <v>442</v>
      </c>
      <c r="D106" s="59">
        <f>SUM(D18,D29,D40,D51,D63,D91,D104)</f>
        <v>6970368267.9741955</v>
      </c>
      <c r="E106" s="59">
        <f>SUM(E18,E29,E40,E51,E63,E91,E104)</f>
        <v>2699542764.4517398</v>
      </c>
      <c r="F106" s="51"/>
      <c r="G106" s="59">
        <f>SUM(G18,G29,G40,G51,G63,G91,G104)</f>
        <v>235411090.31942436</v>
      </c>
      <c r="H106" s="51"/>
      <c r="I106" s="51"/>
      <c r="J106" s="120"/>
    </row>
    <row r="107" spans="1:10" ht="18.95" customHeight="1" thickTop="1">
      <c r="B107" s="31"/>
      <c r="J107" s="108"/>
    </row>
    <row r="108" spans="1:10" ht="18.95" customHeight="1">
      <c r="B108" s="28" t="s">
        <v>1631</v>
      </c>
      <c r="C108" s="31"/>
      <c r="D108" s="51"/>
      <c r="E108" s="51"/>
    </row>
    <row r="109" spans="1:10" ht="18.95" customHeight="1">
      <c r="B109" s="177" t="s">
        <v>249</v>
      </c>
      <c r="C109" s="27" t="s">
        <v>1632</v>
      </c>
    </row>
    <row r="110" spans="1:10" ht="18.95" customHeight="1">
      <c r="B110" s="177"/>
      <c r="C110" s="27"/>
    </row>
    <row r="111" spans="1:10" ht="18.95" customHeight="1">
      <c r="B111" s="31"/>
    </row>
    <row r="112" spans="1:10" ht="18.95" customHeight="1">
      <c r="D112" s="29" t="s">
        <v>163</v>
      </c>
      <c r="E112" s="29" t="s">
        <v>163</v>
      </c>
    </row>
    <row r="113" ht="18.95" customHeight="1"/>
    <row r="114" ht="18.95" customHeight="1"/>
    <row r="115" ht="18.95" customHeight="1"/>
    <row r="116" ht="18.95" customHeight="1"/>
    <row r="117" ht="18.95" customHeight="1"/>
    <row r="118" ht="18.95" customHeight="1"/>
    <row r="119" ht="18.95" customHeight="1"/>
    <row r="120" ht="18.95" customHeight="1"/>
    <row r="121" ht="18.95" customHeight="1"/>
    <row r="122" ht="18.95" customHeight="1"/>
    <row r="123" ht="18.95" customHeight="1"/>
    <row r="124" ht="18.95" customHeight="1"/>
  </sheetData>
  <mergeCells count="10">
    <mergeCell ref="A1:J1"/>
    <mergeCell ref="A2:J2"/>
    <mergeCell ref="A3:J3"/>
    <mergeCell ref="A4:J4"/>
    <mergeCell ref="D10:E10"/>
    <mergeCell ref="A66:J66"/>
    <mergeCell ref="A67:J67"/>
    <mergeCell ref="D73:E73"/>
    <mergeCell ref="A64:J64"/>
    <mergeCell ref="A65:J65"/>
  </mergeCells>
  <printOptions horizontalCentered="1"/>
  <pageMargins left="1" right="0.75" top="1" bottom="0.5" header="0.3" footer="0.3"/>
  <pageSetup scale="50" fitToHeight="0" orientation="portrait" r:id="rId1"/>
  <rowBreaks count="1" manualBreakCount="1">
    <brk id="63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J49"/>
  <sheetViews>
    <sheetView zoomScaleNormal="100" workbookViewId="0">
      <selection activeCell="D14" sqref="D14"/>
    </sheetView>
  </sheetViews>
  <sheetFormatPr defaultColWidth="9" defaultRowHeight="12.75"/>
  <cols>
    <col min="1" max="1" width="6" style="29" customWidth="1"/>
    <col min="2" max="2" width="38.33203125" style="29" customWidth="1"/>
    <col min="3" max="3" width="14.77734375" style="29" customWidth="1"/>
    <col min="4" max="5" width="13.6640625" style="29" customWidth="1"/>
    <col min="6" max="6" width="14.21875" style="29" customWidth="1"/>
    <col min="7" max="7" width="13.6640625" style="29" customWidth="1"/>
    <col min="8" max="10" width="15" style="29" customWidth="1"/>
    <col min="11" max="11" width="1.6640625" style="29" customWidth="1"/>
    <col min="12" max="16384" width="9" style="29"/>
  </cols>
  <sheetData>
    <row r="1" spans="1:10" s="28" customFormat="1" ht="20.100000000000001" customHeight="1">
      <c r="A1" s="706" t="str">
        <f>'Rate Case Constants'!C9</f>
        <v>KENTUCKY UTILITIES COMPANY</v>
      </c>
      <c r="B1" s="706"/>
      <c r="C1" s="706"/>
      <c r="D1" s="706"/>
      <c r="E1" s="706"/>
      <c r="F1" s="706"/>
      <c r="G1" s="706"/>
      <c r="H1" s="706"/>
      <c r="I1" s="706"/>
      <c r="J1" s="706"/>
    </row>
    <row r="2" spans="1:10" s="28" customFormat="1" ht="20.100000000000001" customHeight="1">
      <c r="A2" s="706" t="str">
        <f>'Rate Case Constants'!C10</f>
        <v>CASE NO. 2016-00370</v>
      </c>
      <c r="B2" s="706"/>
      <c r="C2" s="706"/>
      <c r="D2" s="706"/>
      <c r="E2" s="706"/>
      <c r="F2" s="706"/>
      <c r="G2" s="706"/>
      <c r="H2" s="706"/>
      <c r="I2" s="706"/>
      <c r="J2" s="706"/>
    </row>
    <row r="3" spans="1:10" s="28" customFormat="1" ht="20.100000000000001" customHeight="1">
      <c r="A3" s="706" t="s">
        <v>479</v>
      </c>
      <c r="B3" s="706"/>
      <c r="C3" s="706"/>
      <c r="D3" s="706"/>
      <c r="E3" s="706"/>
      <c r="F3" s="706"/>
      <c r="G3" s="706"/>
      <c r="H3" s="706"/>
      <c r="I3" s="706"/>
      <c r="J3" s="706"/>
    </row>
    <row r="4" spans="1:10" s="28" customFormat="1" ht="20.100000000000001" customHeight="1">
      <c r="A4" s="706" t="str">
        <f>'Rate Case Constants'!C12</f>
        <v>AS OF FEBRUARY 28, 2017</v>
      </c>
      <c r="B4" s="706"/>
      <c r="C4" s="706"/>
      <c r="D4" s="706"/>
      <c r="E4" s="706"/>
      <c r="F4" s="706"/>
      <c r="G4" s="706"/>
      <c r="H4" s="706"/>
      <c r="I4" s="706"/>
      <c r="J4" s="706"/>
    </row>
    <row r="5" spans="1:10" s="28" customFormat="1" ht="20.100000000000001" customHeight="1">
      <c r="A5" s="57"/>
      <c r="B5" s="57"/>
      <c r="C5" s="57"/>
      <c r="D5" s="57"/>
      <c r="E5" s="57"/>
      <c r="F5" s="57"/>
      <c r="G5" s="57"/>
      <c r="H5" s="189"/>
      <c r="I5" s="189"/>
      <c r="J5" s="57"/>
    </row>
    <row r="6" spans="1:10" s="28" customFormat="1" ht="20.100000000000001" customHeight="1">
      <c r="A6" s="27" t="s">
        <v>136</v>
      </c>
      <c r="D6" s="34"/>
      <c r="E6" s="34"/>
      <c r="F6" s="34"/>
      <c r="H6" s="34"/>
      <c r="I6" s="34"/>
      <c r="J6" s="34" t="s">
        <v>1218</v>
      </c>
    </row>
    <row r="7" spans="1:10" s="28" customFormat="1" ht="20.100000000000001" customHeight="1">
      <c r="A7" s="28" t="str">
        <f>'Rate Case Constants'!C29</f>
        <v>TYPE OF FILING: __X__ ORIGINAL  _____ UPDATED  _____ REVISED</v>
      </c>
      <c r="D7" s="34"/>
      <c r="E7" s="34"/>
      <c r="F7" s="34"/>
      <c r="H7" s="34"/>
      <c r="I7" s="34"/>
      <c r="J7" s="34" t="s">
        <v>180</v>
      </c>
    </row>
    <row r="8" spans="1:10" s="28" customFormat="1" ht="20.100000000000001" customHeight="1">
      <c r="A8" s="27" t="s">
        <v>1204</v>
      </c>
      <c r="D8" s="35"/>
      <c r="E8" s="35"/>
      <c r="F8" s="35"/>
      <c r="H8" s="35"/>
      <c r="I8" s="35"/>
      <c r="J8" s="35" t="str">
        <f>'Rate Case Constants'!C36</f>
        <v>WITNESS:   C. M. GARRETT</v>
      </c>
    </row>
    <row r="9" spans="1:10" s="28" customFormat="1" ht="20.100000000000001" customHeight="1"/>
    <row r="10" spans="1:10" s="28" customFormat="1" ht="20.100000000000001" customHeight="1">
      <c r="A10" s="61"/>
      <c r="B10" s="61"/>
      <c r="C10" s="61"/>
      <c r="D10" s="708" t="s">
        <v>1223</v>
      </c>
      <c r="E10" s="708"/>
      <c r="F10" s="61"/>
      <c r="G10" s="61"/>
      <c r="H10" s="61"/>
      <c r="I10" s="61"/>
      <c r="J10" s="61"/>
    </row>
    <row r="11" spans="1:10" ht="39" customHeight="1">
      <c r="A11" s="31" t="s">
        <v>134</v>
      </c>
      <c r="B11" s="38" t="s">
        <v>1171</v>
      </c>
      <c r="C11" s="31" t="s">
        <v>1219</v>
      </c>
      <c r="D11" s="31" t="s">
        <v>1220</v>
      </c>
      <c r="E11" s="31" t="s">
        <v>1221</v>
      </c>
      <c r="F11" s="31" t="s">
        <v>1222</v>
      </c>
      <c r="G11" s="31" t="s">
        <v>227</v>
      </c>
      <c r="H11" s="31" t="s">
        <v>2462</v>
      </c>
      <c r="I11" s="31" t="s">
        <v>229</v>
      </c>
      <c r="J11" s="31" t="s">
        <v>230</v>
      </c>
    </row>
    <row r="12" spans="1:10" ht="23.1" customHeight="1">
      <c r="A12" s="40"/>
      <c r="B12" s="41"/>
      <c r="C12" s="42" t="s">
        <v>145</v>
      </c>
      <c r="D12" s="42" t="s">
        <v>145</v>
      </c>
      <c r="E12" s="42" t="s">
        <v>145</v>
      </c>
      <c r="F12" s="42" t="s">
        <v>145</v>
      </c>
      <c r="G12" s="42"/>
      <c r="H12" s="42" t="s">
        <v>145</v>
      </c>
      <c r="I12" s="42" t="s">
        <v>145</v>
      </c>
      <c r="J12" s="42" t="s">
        <v>145</v>
      </c>
    </row>
    <row r="13" spans="1:10" ht="23.1" customHeight="1">
      <c r="A13" s="33"/>
      <c r="B13" s="38" t="s">
        <v>1178</v>
      </c>
      <c r="C13" s="60"/>
      <c r="D13" s="60"/>
      <c r="E13" s="60"/>
      <c r="F13" s="60"/>
      <c r="G13" s="60"/>
      <c r="H13" s="60"/>
      <c r="I13" s="60"/>
      <c r="J13" s="60"/>
    </row>
    <row r="14" spans="1:10" ht="18.95" customHeight="1">
      <c r="A14" s="30">
        <v>1</v>
      </c>
      <c r="B14" s="38" t="s">
        <v>1765</v>
      </c>
      <c r="C14" s="51">
        <f>'JURISSEP B'!$E$287</f>
        <v>85928628.560000002</v>
      </c>
      <c r="D14" s="51">
        <f>'JURISSEP B'!$E$289</f>
        <v>462.87</v>
      </c>
      <c r="E14" s="51">
        <v>0</v>
      </c>
      <c r="F14" s="51">
        <f>SUM(C14:E14)</f>
        <v>85929091.430000007</v>
      </c>
      <c r="G14" s="95">
        <f>H14/F14</f>
        <v>0.87577254015701544</v>
      </c>
      <c r="H14" s="51">
        <f>'JURISSEP B'!G$290</f>
        <v>75254338.675035536</v>
      </c>
      <c r="I14" s="51">
        <f>'SCH B-4.1'!E12</f>
        <v>-56214510.551761359</v>
      </c>
      <c r="J14" s="51">
        <f>SUM(H14:I14)</f>
        <v>19039828.123274177</v>
      </c>
    </row>
    <row r="15" spans="1:10" ht="18.95" customHeight="1">
      <c r="A15" s="30"/>
      <c r="B15" s="38"/>
      <c r="C15" s="51"/>
      <c r="D15" s="51"/>
      <c r="E15" s="51"/>
      <c r="F15" s="51"/>
      <c r="G15" s="95"/>
      <c r="H15" s="51"/>
      <c r="I15" s="51"/>
      <c r="J15" s="51"/>
    </row>
    <row r="16" spans="1:10" ht="18.95" customHeight="1">
      <c r="A16" s="30">
        <v>2</v>
      </c>
      <c r="B16" s="38" t="s">
        <v>248</v>
      </c>
      <c r="C16" s="51">
        <f>'JURISSEP B'!E$298</f>
        <v>15536352.939999999</v>
      </c>
      <c r="D16" s="51">
        <v>0</v>
      </c>
      <c r="E16" s="51">
        <v>0</v>
      </c>
      <c r="F16" s="51">
        <f>SUM(C16:E16)</f>
        <v>15536352.939999999</v>
      </c>
      <c r="G16" s="95">
        <f>H16/F16</f>
        <v>0.95465884083569352</v>
      </c>
      <c r="H16" s="51">
        <f>'JURISSEP B'!G$298</f>
        <v>14831916.688514618</v>
      </c>
      <c r="I16" s="51"/>
      <c r="J16" s="51">
        <f>SUM(H16:I16)</f>
        <v>14831916.688514618</v>
      </c>
    </row>
    <row r="17" spans="1:10" ht="18.95" customHeight="1">
      <c r="A17" s="30"/>
      <c r="B17" s="38"/>
      <c r="C17" s="51"/>
      <c r="D17" s="51"/>
      <c r="E17" s="51"/>
      <c r="F17" s="51"/>
      <c r="G17" s="51"/>
      <c r="H17" s="51"/>
      <c r="I17" s="51"/>
      <c r="J17" s="51"/>
    </row>
    <row r="18" spans="1:10" ht="18.95" customHeight="1">
      <c r="A18" s="30">
        <v>3</v>
      </c>
      <c r="B18" s="38" t="s">
        <v>1176</v>
      </c>
      <c r="C18" s="51">
        <f>'JURISSEP B'!E$302</f>
        <v>13323958.24</v>
      </c>
      <c r="D18" s="51">
        <v>0</v>
      </c>
      <c r="E18" s="51">
        <v>0</v>
      </c>
      <c r="F18" s="51">
        <f>SUM(C18:E18)</f>
        <v>13323958.24</v>
      </c>
      <c r="G18" s="95">
        <f>H18/F18</f>
        <v>1</v>
      </c>
      <c r="H18" s="51">
        <f>'JURISSEP B'!G$302</f>
        <v>13323958.24</v>
      </c>
      <c r="I18" s="51"/>
      <c r="J18" s="51">
        <f>SUM(H18:I18)</f>
        <v>13323958.24</v>
      </c>
    </row>
    <row r="19" spans="1:10" ht="18.95" customHeight="1">
      <c r="A19" s="30"/>
      <c r="B19" s="38"/>
      <c r="C19" s="51"/>
      <c r="D19" s="51"/>
      <c r="E19" s="51"/>
      <c r="F19" s="51"/>
      <c r="G19" s="51"/>
      <c r="H19" s="51"/>
      <c r="I19" s="51"/>
      <c r="J19" s="51"/>
    </row>
    <row r="20" spans="1:10" ht="18.95" customHeight="1">
      <c r="A20" s="30">
        <v>4</v>
      </c>
      <c r="B20" s="38" t="s">
        <v>1177</v>
      </c>
      <c r="C20" s="96">
        <f>'JURISSEP B'!E$304</f>
        <v>24882578.43</v>
      </c>
      <c r="D20" s="96">
        <v>0</v>
      </c>
      <c r="E20" s="96">
        <v>0</v>
      </c>
      <c r="F20" s="96">
        <f>SUM(C20:E20)</f>
        <v>24882578.43</v>
      </c>
      <c r="G20" s="95">
        <f>H20/F20</f>
        <v>0.90713801513087144</v>
      </c>
      <c r="H20" s="96">
        <f>'JURISSEP B'!G$304</f>
        <v>22571932.808328435</v>
      </c>
      <c r="I20" s="96"/>
      <c r="J20" s="96">
        <f>SUM(H20:I20)</f>
        <v>22571932.808328435</v>
      </c>
    </row>
    <row r="21" spans="1:10" ht="18.95" customHeight="1">
      <c r="A21" s="30"/>
      <c r="B21" s="38"/>
      <c r="C21" s="51"/>
      <c r="D21" s="51"/>
      <c r="E21" s="51"/>
      <c r="F21" s="51"/>
      <c r="G21" s="51"/>
      <c r="H21" s="51"/>
      <c r="I21" s="51"/>
      <c r="J21" s="51"/>
    </row>
    <row r="22" spans="1:10" ht="18.95" customHeight="1" thickBot="1">
      <c r="A22" s="30">
        <v>5</v>
      </c>
      <c r="B22" s="38" t="s">
        <v>1180</v>
      </c>
      <c r="C22" s="59">
        <f>SUM(C14:C20)</f>
        <v>139671518.16999999</v>
      </c>
      <c r="D22" s="59">
        <f>SUM(D14:D20)</f>
        <v>462.87</v>
      </c>
      <c r="E22" s="59">
        <f>SUM(E14:E20)</f>
        <v>0</v>
      </c>
      <c r="F22" s="59">
        <f>SUM(F14:F20)</f>
        <v>139671981.03999999</v>
      </c>
      <c r="G22" s="51"/>
      <c r="H22" s="59">
        <f>SUM(H14:H20)</f>
        <v>125982146.41187859</v>
      </c>
      <c r="I22" s="59">
        <f>SUM(I14:I20)</f>
        <v>-56214510.551761359</v>
      </c>
      <c r="J22" s="59">
        <f>SUM(J14:J20)</f>
        <v>69767635.860117227</v>
      </c>
    </row>
    <row r="23" spans="1:10" ht="18.95" customHeight="1" thickTop="1">
      <c r="A23" s="30"/>
      <c r="B23" s="38"/>
      <c r="C23" s="51"/>
      <c r="D23" s="51"/>
      <c r="E23" s="51"/>
      <c r="F23" s="51"/>
      <c r="G23" s="51"/>
      <c r="H23" s="51"/>
      <c r="I23" s="51"/>
      <c r="J23" s="51"/>
    </row>
    <row r="24" spans="1:10" ht="18.95" customHeight="1">
      <c r="A24" s="30"/>
      <c r="B24" s="27" t="s">
        <v>2461</v>
      </c>
      <c r="C24" s="51"/>
      <c r="D24" s="51"/>
      <c r="E24" s="51"/>
      <c r="F24" s="51"/>
      <c r="G24" s="51"/>
      <c r="H24" s="51"/>
      <c r="I24" s="51"/>
      <c r="J24" s="51"/>
    </row>
    <row r="25" spans="1:10" ht="18.95" customHeight="1">
      <c r="A25" s="30"/>
      <c r="B25" s="38"/>
      <c r="C25" s="51"/>
      <c r="D25" s="51"/>
      <c r="E25" s="51"/>
      <c r="F25" s="51"/>
      <c r="G25" s="51"/>
      <c r="H25" s="51"/>
      <c r="I25" s="51"/>
      <c r="J25" s="51"/>
    </row>
    <row r="26" spans="1:10" s="28" customFormat="1" ht="20.100000000000001" customHeight="1">
      <c r="A26" s="706" t="str">
        <f>$A$1</f>
        <v>KENTUCKY UTILITIES COMPANY</v>
      </c>
      <c r="B26" s="706"/>
      <c r="C26" s="706"/>
      <c r="D26" s="706"/>
      <c r="E26" s="706"/>
      <c r="F26" s="706"/>
      <c r="G26" s="706"/>
      <c r="H26" s="706"/>
      <c r="I26" s="706"/>
      <c r="J26" s="706"/>
    </row>
    <row r="27" spans="1:10" s="28" customFormat="1" ht="20.100000000000001" customHeight="1">
      <c r="A27" s="706" t="str">
        <f>$A$2</f>
        <v>CASE NO. 2016-00370</v>
      </c>
      <c r="B27" s="706"/>
      <c r="C27" s="706"/>
      <c r="D27" s="706"/>
      <c r="E27" s="706"/>
      <c r="F27" s="706"/>
      <c r="G27" s="706"/>
      <c r="H27" s="706"/>
      <c r="I27" s="706"/>
      <c r="J27" s="706"/>
    </row>
    <row r="28" spans="1:10" s="28" customFormat="1" ht="20.100000000000001" customHeight="1">
      <c r="A28" s="706" t="str">
        <f>$A$3</f>
        <v>CONSTRUCTION WORK IN PROGRESS</v>
      </c>
      <c r="B28" s="706"/>
      <c r="C28" s="706"/>
      <c r="D28" s="706"/>
      <c r="E28" s="706"/>
      <c r="F28" s="706"/>
      <c r="G28" s="706"/>
      <c r="H28" s="706"/>
      <c r="I28" s="706"/>
      <c r="J28" s="706"/>
    </row>
    <row r="29" spans="1:10" s="28" customFormat="1" ht="20.100000000000001" customHeight="1">
      <c r="A29" s="705" t="str">
        <f>'Rate Case Constants'!C18</f>
        <v>AS OF JUNE 30, 2018</v>
      </c>
      <c r="B29" s="709"/>
      <c r="C29" s="709"/>
      <c r="D29" s="709"/>
      <c r="E29" s="709"/>
      <c r="F29" s="709"/>
      <c r="G29" s="709"/>
      <c r="H29" s="709"/>
      <c r="I29" s="709"/>
      <c r="J29" s="709"/>
    </row>
    <row r="30" spans="1:10" s="28" customFormat="1" ht="20.100000000000001" customHeight="1">
      <c r="A30" s="57"/>
      <c r="B30" s="57"/>
      <c r="C30" s="57"/>
      <c r="D30" s="57"/>
      <c r="E30" s="57"/>
      <c r="F30" s="57"/>
      <c r="G30" s="57"/>
      <c r="H30" s="189"/>
      <c r="I30" s="189"/>
      <c r="J30" s="57"/>
    </row>
    <row r="31" spans="1:10" s="28" customFormat="1" ht="20.100000000000001" customHeight="1">
      <c r="A31" s="27" t="s">
        <v>164</v>
      </c>
      <c r="D31" s="34"/>
      <c r="E31" s="34"/>
      <c r="F31" s="34"/>
      <c r="H31" s="34"/>
      <c r="I31" s="34"/>
      <c r="J31" s="34" t="s">
        <v>1218</v>
      </c>
    </row>
    <row r="32" spans="1:10" s="28" customFormat="1" ht="20.100000000000001" customHeight="1">
      <c r="A32" s="27" t="str">
        <f>$A$7</f>
        <v>TYPE OF FILING: __X__ ORIGINAL  _____ UPDATED  _____ REVISED</v>
      </c>
      <c r="D32" s="34"/>
      <c r="E32" s="34"/>
      <c r="F32" s="34"/>
      <c r="H32" s="34"/>
      <c r="I32" s="34"/>
      <c r="J32" s="34" t="s">
        <v>188</v>
      </c>
    </row>
    <row r="33" spans="1:10" s="28" customFormat="1" ht="20.100000000000001" customHeight="1">
      <c r="A33" s="27" t="str">
        <f>$A$8</f>
        <v>WORKPAPER REFERENCE NO(S).:</v>
      </c>
      <c r="D33" s="35"/>
      <c r="E33" s="35"/>
      <c r="F33" s="35"/>
      <c r="H33" s="35"/>
      <c r="I33" s="35"/>
      <c r="J33" s="35" t="str">
        <f>$J$8</f>
        <v>WITNESS:   C. M. GARRETT</v>
      </c>
    </row>
    <row r="34" spans="1:10" s="28" customFormat="1" ht="20.100000000000001" customHeight="1"/>
    <row r="35" spans="1:10" s="28" customFormat="1" ht="20.100000000000001" customHeight="1">
      <c r="A35" s="61"/>
      <c r="B35" s="61"/>
      <c r="C35" s="61"/>
      <c r="D35" s="708" t="s">
        <v>1223</v>
      </c>
      <c r="E35" s="708"/>
      <c r="F35" s="61"/>
      <c r="G35" s="61"/>
      <c r="H35" s="61"/>
      <c r="I35" s="61"/>
      <c r="J35" s="61"/>
    </row>
    <row r="36" spans="1:10" ht="51" customHeight="1">
      <c r="A36" s="31" t="s">
        <v>134</v>
      </c>
      <c r="B36" s="38" t="s">
        <v>1171</v>
      </c>
      <c r="C36" s="31" t="s">
        <v>2464</v>
      </c>
      <c r="D36" s="31" t="s">
        <v>1220</v>
      </c>
      <c r="E36" s="31" t="s">
        <v>1221</v>
      </c>
      <c r="F36" s="31" t="s">
        <v>1222</v>
      </c>
      <c r="G36" s="31" t="s">
        <v>227</v>
      </c>
      <c r="H36" s="31" t="s">
        <v>228</v>
      </c>
      <c r="I36" s="31" t="s">
        <v>229</v>
      </c>
      <c r="J36" s="31" t="s">
        <v>230</v>
      </c>
    </row>
    <row r="37" spans="1:10" ht="23.1" customHeight="1">
      <c r="A37" s="40"/>
      <c r="B37" s="41"/>
      <c r="C37" s="42" t="s">
        <v>145</v>
      </c>
      <c r="D37" s="42" t="s">
        <v>145</v>
      </c>
      <c r="E37" s="42" t="s">
        <v>145</v>
      </c>
      <c r="F37" s="42" t="s">
        <v>145</v>
      </c>
      <c r="G37" s="42"/>
      <c r="H37" s="42" t="s">
        <v>145</v>
      </c>
      <c r="I37" s="42" t="s">
        <v>145</v>
      </c>
      <c r="J37" s="42" t="s">
        <v>145</v>
      </c>
    </row>
    <row r="38" spans="1:10" ht="23.1" customHeight="1">
      <c r="A38" s="33"/>
      <c r="B38" s="97" t="s">
        <v>1178</v>
      </c>
      <c r="C38" s="60"/>
      <c r="D38" s="60"/>
      <c r="E38" s="60"/>
      <c r="F38" s="60"/>
      <c r="G38" s="60"/>
      <c r="H38" s="60"/>
      <c r="I38" s="60"/>
      <c r="J38" s="60"/>
    </row>
    <row r="39" spans="1:10" ht="18.95" customHeight="1">
      <c r="A39" s="30">
        <v>1</v>
      </c>
      <c r="B39" s="38" t="s">
        <v>1765</v>
      </c>
      <c r="C39" s="51">
        <f>'JURISSEP F'!$E$287</f>
        <v>215873791.89999995</v>
      </c>
      <c r="D39" s="51">
        <f>'JURISSEP F'!$E$289</f>
        <v>0</v>
      </c>
      <c r="E39" s="51">
        <v>0</v>
      </c>
      <c r="F39" s="51">
        <f>SUM(C39:E39)</f>
        <v>215873791.89999995</v>
      </c>
      <c r="G39" s="95">
        <f>H39/F39</f>
        <v>0.87577725766318848</v>
      </c>
      <c r="H39" s="51">
        <f>'JURISSEP F'!G$290</f>
        <v>189057357.47153577</v>
      </c>
      <c r="I39" s="51">
        <f>'SCH B-4.1'!E30</f>
        <v>-160904287.73063827</v>
      </c>
      <c r="J39" s="51">
        <f>SUM(H39:I39)</f>
        <v>28153069.740897506</v>
      </c>
    </row>
    <row r="40" spans="1:10" ht="18.95" customHeight="1">
      <c r="A40" s="30"/>
      <c r="B40" s="38"/>
      <c r="C40" s="51"/>
      <c r="D40" s="51"/>
      <c r="E40" s="51"/>
      <c r="F40" s="51"/>
      <c r="G40" s="95"/>
      <c r="H40" s="51"/>
      <c r="I40" s="51"/>
      <c r="J40" s="51"/>
    </row>
    <row r="41" spans="1:10" ht="18.95" customHeight="1">
      <c r="A41" s="30">
        <v>2</v>
      </c>
      <c r="B41" s="38" t="s">
        <v>248</v>
      </c>
      <c r="C41" s="51">
        <f>'JURISSEP F'!E$298</f>
        <v>31688814.896923088</v>
      </c>
      <c r="D41" s="51">
        <v>0</v>
      </c>
      <c r="E41" s="51">
        <v>0</v>
      </c>
      <c r="F41" s="51">
        <f>SUM(C41:E41)</f>
        <v>31688814.896923088</v>
      </c>
      <c r="G41" s="95">
        <f>H41/F41</f>
        <v>0.95273121679340889</v>
      </c>
      <c r="H41" s="51">
        <f>'JURISSEP F'!G$298</f>
        <v>30190923.175486635</v>
      </c>
      <c r="I41" s="51"/>
      <c r="J41" s="51">
        <f>SUM(H41:I41)</f>
        <v>30190923.175486635</v>
      </c>
    </row>
    <row r="42" spans="1:10" ht="18.95" customHeight="1">
      <c r="A42" s="30"/>
      <c r="B42" s="38"/>
      <c r="C42" s="51"/>
      <c r="D42" s="51"/>
      <c r="E42" s="51"/>
      <c r="F42" s="51"/>
      <c r="G42" s="51"/>
      <c r="H42" s="51"/>
      <c r="I42" s="51"/>
      <c r="J42" s="51"/>
    </row>
    <row r="43" spans="1:10" ht="18.95" customHeight="1">
      <c r="A43" s="30">
        <v>3</v>
      </c>
      <c r="B43" s="38" t="s">
        <v>1176</v>
      </c>
      <c r="C43" s="51">
        <f>'JURISSEP F'!E$302</f>
        <v>32868652.481538456</v>
      </c>
      <c r="D43" s="51">
        <v>0</v>
      </c>
      <c r="E43" s="51">
        <v>0</v>
      </c>
      <c r="F43" s="51">
        <f>SUM(C43:E43)</f>
        <v>32868652.481538456</v>
      </c>
      <c r="G43" s="95">
        <f>H43/F43</f>
        <v>1</v>
      </c>
      <c r="H43" s="51">
        <f>'JURISSEP F'!G$302</f>
        <v>32868652.481538456</v>
      </c>
      <c r="I43" s="51"/>
      <c r="J43" s="51">
        <f>SUM(H43:I43)</f>
        <v>32868652.481538456</v>
      </c>
    </row>
    <row r="44" spans="1:10" ht="18.95" customHeight="1">
      <c r="A44" s="30"/>
      <c r="B44" s="38"/>
      <c r="C44" s="51"/>
      <c r="D44" s="51"/>
      <c r="E44" s="51"/>
      <c r="F44" s="51"/>
      <c r="G44" s="51"/>
      <c r="H44" s="51"/>
      <c r="I44" s="51"/>
      <c r="J44" s="51"/>
    </row>
    <row r="45" spans="1:10" ht="18.95" customHeight="1">
      <c r="A45" s="30">
        <v>4</v>
      </c>
      <c r="B45" s="38" t="s">
        <v>1177</v>
      </c>
      <c r="C45" s="96">
        <f>'JURISSEP F'!E$304</f>
        <v>30252915.309999995</v>
      </c>
      <c r="D45" s="96">
        <v>0</v>
      </c>
      <c r="E45" s="96">
        <v>0</v>
      </c>
      <c r="F45" s="96">
        <f>SUM(C45:E45)</f>
        <v>30252915.309999995</v>
      </c>
      <c r="G45" s="95">
        <f>H45/F45</f>
        <v>0.90871558561033638</v>
      </c>
      <c r="H45" s="96">
        <f>'JURISSEP F'!G$304</f>
        <v>27491295.652346555</v>
      </c>
      <c r="I45" s="96"/>
      <c r="J45" s="96">
        <f>SUM(H45:I45)</f>
        <v>27491295.652346555</v>
      </c>
    </row>
    <row r="46" spans="1:10" ht="18.95" customHeight="1">
      <c r="A46" s="30"/>
      <c r="B46" s="38"/>
      <c r="C46" s="51"/>
      <c r="D46" s="51"/>
      <c r="E46" s="51"/>
      <c r="F46" s="51"/>
      <c r="G46" s="51"/>
      <c r="H46" s="51"/>
      <c r="I46" s="51"/>
      <c r="J46" s="51"/>
    </row>
    <row r="47" spans="1:10" ht="18.95" customHeight="1" thickBot="1">
      <c r="A47" s="30">
        <v>5</v>
      </c>
      <c r="B47" s="38" t="s">
        <v>1180</v>
      </c>
      <c r="C47" s="59">
        <f>SUM(C39:C45)</f>
        <v>310684174.58846152</v>
      </c>
      <c r="D47" s="59">
        <f>SUM(D39:D45)</f>
        <v>0</v>
      </c>
      <c r="E47" s="59">
        <f>SUM(E39:E45)</f>
        <v>0</v>
      </c>
      <c r="F47" s="59">
        <f>SUM(F39:F45)</f>
        <v>310684174.58846152</v>
      </c>
      <c r="G47" s="51"/>
      <c r="H47" s="59">
        <f>SUM(H39:H45)</f>
        <v>279608228.78090739</v>
      </c>
      <c r="I47" s="59">
        <f>SUM(I39:I45)</f>
        <v>-160904287.73063827</v>
      </c>
      <c r="J47" s="59">
        <f>SUM(J39:J45)</f>
        <v>118703941.05026916</v>
      </c>
    </row>
    <row r="48" spans="1:10" ht="18.95" customHeight="1" thickTop="1">
      <c r="B48" s="38"/>
    </row>
    <row r="49" spans="2:2">
      <c r="B49" s="154"/>
    </row>
  </sheetData>
  <mergeCells count="10">
    <mergeCell ref="A28:J28"/>
    <mergeCell ref="A29:J29"/>
    <mergeCell ref="D10:E10"/>
    <mergeCell ref="D35:E35"/>
    <mergeCell ref="A1:J1"/>
    <mergeCell ref="A2:J2"/>
    <mergeCell ref="A3:J3"/>
    <mergeCell ref="A4:J4"/>
    <mergeCell ref="A26:J26"/>
    <mergeCell ref="A27:J27"/>
  </mergeCells>
  <pageMargins left="0.95" right="0.5" top="0.75" bottom="0.75" header="0.3" footer="0.3"/>
  <pageSetup scale="52" fitToHeight="0" orientation="portrait" r:id="rId1"/>
  <rowBreaks count="1" manualBreakCount="1">
    <brk id="25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pageSetUpPr fitToPage="1"/>
  </sheetPr>
  <dimension ref="A1:I46"/>
  <sheetViews>
    <sheetView zoomScaleNormal="100" workbookViewId="0">
      <selection activeCell="F34" sqref="F34"/>
    </sheetView>
  </sheetViews>
  <sheetFormatPr defaultColWidth="9" defaultRowHeight="12.75"/>
  <cols>
    <col min="1" max="1" width="6" style="29" customWidth="1"/>
    <col min="2" max="2" width="29.77734375" style="29" customWidth="1"/>
    <col min="3" max="3" width="12.6640625" style="29" customWidth="1"/>
    <col min="4" max="4" width="14.88671875" style="29" customWidth="1"/>
    <col min="5" max="5" width="14.77734375" style="29" customWidth="1"/>
    <col min="6" max="6" width="15.33203125" style="29" customWidth="1"/>
    <col min="7" max="7" width="23.21875" style="29" customWidth="1"/>
    <col min="8" max="8" width="1.6640625" style="29" customWidth="1"/>
    <col min="9" max="16384" width="9" style="29"/>
  </cols>
  <sheetData>
    <row r="1" spans="1:9" s="28" customFormat="1" ht="20.100000000000001" customHeight="1">
      <c r="A1" s="705" t="str">
        <f>'Rate Case Constants'!C9</f>
        <v>KENTUCKY UTILITIES COMPANY</v>
      </c>
      <c r="B1" s="706"/>
      <c r="C1" s="706"/>
      <c r="D1" s="706"/>
      <c r="E1" s="706"/>
      <c r="F1" s="706"/>
      <c r="G1" s="706"/>
    </row>
    <row r="2" spans="1:9" s="28" customFormat="1" ht="20.100000000000001" customHeight="1">
      <c r="A2" s="705" t="str">
        <f>'Rate Case Constants'!C10</f>
        <v>CASE NO. 2016-00370</v>
      </c>
      <c r="B2" s="706"/>
      <c r="C2" s="706"/>
      <c r="D2" s="706"/>
      <c r="E2" s="706"/>
      <c r="F2" s="706"/>
      <c r="G2" s="706"/>
    </row>
    <row r="3" spans="1:9" s="28" customFormat="1" ht="20.100000000000001" customHeight="1">
      <c r="A3" s="706" t="s">
        <v>1766</v>
      </c>
      <c r="B3" s="706"/>
      <c r="C3" s="706"/>
      <c r="D3" s="706"/>
      <c r="E3" s="706"/>
      <c r="F3" s="706"/>
      <c r="G3" s="706"/>
      <c r="H3" s="706"/>
    </row>
    <row r="4" spans="1:9" s="28" customFormat="1" ht="20.100000000000001" customHeight="1">
      <c r="A4" s="705" t="str">
        <f>'Rate Case Constants'!C12</f>
        <v>AS OF FEBRUARY 28, 2017</v>
      </c>
      <c r="B4" s="706"/>
      <c r="C4" s="706"/>
      <c r="D4" s="706"/>
      <c r="E4" s="706"/>
      <c r="F4" s="706"/>
      <c r="G4" s="706"/>
    </row>
    <row r="5" spans="1:9" s="28" customFormat="1" ht="20.100000000000001" customHeight="1">
      <c r="A5" s="189"/>
      <c r="B5" s="189"/>
      <c r="C5" s="189"/>
      <c r="D5" s="189"/>
      <c r="E5" s="189"/>
      <c r="F5" s="189"/>
      <c r="G5" s="189"/>
    </row>
    <row r="6" spans="1:9" s="28" customFormat="1" ht="20.100000000000001" customHeight="1">
      <c r="A6" s="27" t="s">
        <v>136</v>
      </c>
      <c r="F6" s="34"/>
      <c r="G6" s="34" t="s">
        <v>1224</v>
      </c>
    </row>
    <row r="7" spans="1:9" s="28" customFormat="1" ht="20.100000000000001" customHeight="1">
      <c r="A7" s="28" t="str">
        <f>'Rate Case Constants'!C29</f>
        <v>TYPE OF FILING: __X__ ORIGINAL  _____ UPDATED  _____ REVISED</v>
      </c>
      <c r="F7" s="34"/>
      <c r="G7" s="34" t="s">
        <v>180</v>
      </c>
    </row>
    <row r="8" spans="1:9" s="28" customFormat="1" ht="20.100000000000001" customHeight="1">
      <c r="A8" s="27" t="s">
        <v>1204</v>
      </c>
      <c r="E8" s="27"/>
      <c r="F8" s="35"/>
      <c r="G8" s="35" t="str">
        <f>'Rate Case Constants'!C36</f>
        <v>WITNESS:   C. M. GARRETT</v>
      </c>
    </row>
    <row r="9" spans="1:9" s="28" customFormat="1" ht="20.100000000000001" customHeight="1"/>
    <row r="10" spans="1:9" ht="58.5" customHeight="1">
      <c r="A10" s="36" t="s">
        <v>134</v>
      </c>
      <c r="B10" s="36" t="s">
        <v>1171</v>
      </c>
      <c r="C10" s="36" t="s">
        <v>219</v>
      </c>
      <c r="D10" s="36" t="s">
        <v>220</v>
      </c>
      <c r="E10" s="36" t="s">
        <v>221</v>
      </c>
      <c r="F10" s="36" t="s">
        <v>222</v>
      </c>
      <c r="G10" s="36" t="s">
        <v>223</v>
      </c>
    </row>
    <row r="11" spans="1:9" ht="23.1" customHeight="1">
      <c r="A11" s="40"/>
      <c r="B11" s="41"/>
      <c r="C11" s="42" t="s">
        <v>145</v>
      </c>
      <c r="D11" s="42"/>
      <c r="E11" s="42" t="s">
        <v>145</v>
      </c>
      <c r="F11" s="42"/>
      <c r="G11" s="42"/>
    </row>
    <row r="12" spans="1:9" ht="18.95" customHeight="1">
      <c r="A12" s="190">
        <v>1</v>
      </c>
      <c r="B12" s="28" t="s">
        <v>1765</v>
      </c>
      <c r="C12" s="422">
        <f>SUMIFS('FC CWIP &amp; RWIP B'!$Q$6:$Q$22,'FC CWIP &amp; RWIP B'!$C$6:$C$22,I12,'FC CWIP &amp; RWIP B'!$A$6:$A$22,B12)*-1000</f>
        <v>-64188482.709999993</v>
      </c>
      <c r="D12" s="424">
        <f>'SCH B-4'!G14</f>
        <v>0.87577254015701544</v>
      </c>
      <c r="E12" s="422">
        <f>C12*D12</f>
        <v>-56214510.551761359</v>
      </c>
      <c r="G12" s="28" t="s">
        <v>1768</v>
      </c>
      <c r="I12" s="28" t="s">
        <v>2312</v>
      </c>
    </row>
    <row r="13" spans="1:9" ht="18.95" customHeight="1">
      <c r="A13" s="190">
        <f>A12+1</f>
        <v>2</v>
      </c>
      <c r="B13" s="28" t="s">
        <v>248</v>
      </c>
      <c r="C13" s="422"/>
      <c r="D13" s="424"/>
      <c r="E13" s="422">
        <f>C13*D13</f>
        <v>0</v>
      </c>
      <c r="G13" s="28"/>
    </row>
    <row r="14" spans="1:9" ht="18.95" customHeight="1">
      <c r="A14" s="190">
        <f t="shared" ref="A14:A15" si="0">A13+1</f>
        <v>3</v>
      </c>
      <c r="B14" s="28" t="s">
        <v>1176</v>
      </c>
      <c r="C14" s="422"/>
      <c r="D14" s="424"/>
      <c r="E14" s="422">
        <f>C14*D14</f>
        <v>0</v>
      </c>
      <c r="G14" s="28"/>
    </row>
    <row r="15" spans="1:9" ht="18.95" customHeight="1">
      <c r="A15" s="190">
        <f t="shared" si="0"/>
        <v>4</v>
      </c>
      <c r="B15" s="28" t="s">
        <v>1177</v>
      </c>
      <c r="C15" s="422"/>
      <c r="D15" s="424"/>
      <c r="E15" s="422">
        <f>C15*D15</f>
        <v>0</v>
      </c>
      <c r="G15" s="28"/>
    </row>
    <row r="16" spans="1:9" ht="18.95" customHeight="1">
      <c r="A16" s="288"/>
      <c r="B16" s="28"/>
      <c r="C16" s="422"/>
      <c r="D16" s="424"/>
      <c r="E16" s="422"/>
      <c r="G16" s="28"/>
    </row>
    <row r="17" spans="1:9" ht="18.95" customHeight="1" thickBot="1">
      <c r="A17" s="190"/>
      <c r="B17" s="28" t="s">
        <v>2099</v>
      </c>
      <c r="C17" s="420">
        <f>SUM(C12:C16)</f>
        <v>-64188482.709999993</v>
      </c>
      <c r="D17" s="424"/>
      <c r="E17" s="420">
        <f>SUM(E12:E16)</f>
        <v>-56214510.551761359</v>
      </c>
      <c r="G17" s="28"/>
    </row>
    <row r="18" spans="1:9" ht="18.95" customHeight="1" thickTop="1">
      <c r="A18" s="190"/>
      <c r="B18" s="28"/>
      <c r="C18" s="53"/>
      <c r="D18" s="194"/>
      <c r="E18" s="53"/>
      <c r="G18" s="112"/>
    </row>
    <row r="19" spans="1:9" s="28" customFormat="1" ht="20.100000000000001" customHeight="1">
      <c r="A19" s="706" t="str">
        <f>$A$1</f>
        <v>KENTUCKY UTILITIES COMPANY</v>
      </c>
      <c r="B19" s="706"/>
      <c r="C19" s="706"/>
      <c r="D19" s="706"/>
      <c r="E19" s="706"/>
      <c r="F19" s="706"/>
      <c r="G19" s="706"/>
    </row>
    <row r="20" spans="1:9" s="28" customFormat="1" ht="20.100000000000001" customHeight="1">
      <c r="A20" s="706" t="str">
        <f>$A$2</f>
        <v>CASE NO. 2016-00370</v>
      </c>
      <c r="B20" s="706"/>
      <c r="C20" s="706"/>
      <c r="D20" s="706"/>
      <c r="E20" s="706"/>
      <c r="F20" s="706"/>
      <c r="G20" s="706"/>
    </row>
    <row r="21" spans="1:9" s="28" customFormat="1" ht="20.100000000000001" customHeight="1">
      <c r="A21" s="706" t="str">
        <f>$A$3</f>
        <v>ADJUSTMENTS TO CONSTRUCTION WORK IN PROGRESS</v>
      </c>
      <c r="B21" s="706"/>
      <c r="C21" s="706"/>
      <c r="D21" s="706"/>
      <c r="E21" s="706"/>
      <c r="F21" s="706"/>
      <c r="G21" s="706"/>
    </row>
    <row r="22" spans="1:9" s="28" customFormat="1" ht="20.100000000000001" customHeight="1">
      <c r="A22" s="705" t="str">
        <f>'Rate Case Constants'!C18</f>
        <v>AS OF JUNE 30, 2018</v>
      </c>
      <c r="B22" s="709"/>
      <c r="C22" s="709"/>
      <c r="D22" s="709"/>
      <c r="E22" s="709"/>
      <c r="F22" s="709"/>
      <c r="G22" s="709"/>
    </row>
    <row r="23" spans="1:9" s="28" customFormat="1" ht="20.100000000000001" customHeight="1">
      <c r="A23" s="189"/>
      <c r="B23" s="189"/>
      <c r="C23" s="189"/>
      <c r="D23" s="189"/>
      <c r="E23" s="189"/>
      <c r="F23" s="189"/>
      <c r="G23" s="189"/>
    </row>
    <row r="24" spans="1:9" s="28" customFormat="1" ht="20.100000000000001" customHeight="1">
      <c r="A24" s="27" t="s">
        <v>164</v>
      </c>
      <c r="F24" s="34"/>
      <c r="G24" s="34" t="s">
        <v>1224</v>
      </c>
    </row>
    <row r="25" spans="1:9" s="28" customFormat="1" ht="20.100000000000001" customHeight="1">
      <c r="A25" s="27" t="str">
        <f>$A$7</f>
        <v>TYPE OF FILING: __X__ ORIGINAL  _____ UPDATED  _____ REVISED</v>
      </c>
      <c r="F25" s="34"/>
      <c r="G25" s="34" t="s">
        <v>188</v>
      </c>
    </row>
    <row r="26" spans="1:9" s="28" customFormat="1" ht="20.100000000000001" customHeight="1">
      <c r="A26" s="27" t="str">
        <f>$A$8</f>
        <v>WORKPAPER REFERENCE NO(S).:</v>
      </c>
      <c r="E26" s="27"/>
      <c r="F26" s="35"/>
      <c r="G26" s="35" t="str">
        <f>$G$8</f>
        <v>WITNESS:   C. M. GARRETT</v>
      </c>
    </row>
    <row r="27" spans="1:9" s="28" customFormat="1" ht="20.100000000000001" customHeight="1"/>
    <row r="28" spans="1:9" ht="58.5" customHeight="1">
      <c r="A28" s="36" t="s">
        <v>134</v>
      </c>
      <c r="B28" s="36" t="s">
        <v>1171</v>
      </c>
      <c r="C28" s="36" t="s">
        <v>219</v>
      </c>
      <c r="D28" s="36" t="s">
        <v>220</v>
      </c>
      <c r="E28" s="36" t="s">
        <v>221</v>
      </c>
      <c r="F28" s="36" t="s">
        <v>222</v>
      </c>
      <c r="G28" s="36" t="s">
        <v>223</v>
      </c>
    </row>
    <row r="29" spans="1:9" ht="23.1" customHeight="1">
      <c r="A29" s="40"/>
      <c r="B29" s="41"/>
      <c r="C29" s="42" t="s">
        <v>145</v>
      </c>
      <c r="D29" s="42"/>
      <c r="E29" s="42" t="s">
        <v>145</v>
      </c>
      <c r="F29" s="42"/>
      <c r="G29" s="42"/>
    </row>
    <row r="30" spans="1:9" ht="18.95" customHeight="1">
      <c r="A30" s="190">
        <v>1</v>
      </c>
      <c r="B30" s="28" t="s">
        <v>1765</v>
      </c>
      <c r="C30" s="422">
        <f>SUMIFS('FC CWIP &amp; RWIP F'!$Q$6:$Q$22,'FC CWIP &amp; RWIP F'!$C$6:$C$22,I30,'FC CWIP &amp; RWIP F'!$A$6:$A$22,B30)*-1000</f>
        <v>-183727410.50615382</v>
      </c>
      <c r="D30" s="424">
        <f>'SCH B-4'!G39</f>
        <v>0.87577725766318848</v>
      </c>
      <c r="E30" s="422">
        <f>C30*D30</f>
        <v>-160904287.73063827</v>
      </c>
      <c r="G30" s="28" t="s">
        <v>1768</v>
      </c>
      <c r="I30" s="28" t="s">
        <v>2312</v>
      </c>
    </row>
    <row r="31" spans="1:9" ht="18.95" customHeight="1">
      <c r="A31" s="190">
        <f>A30+1</f>
        <v>2</v>
      </c>
      <c r="B31" s="28" t="s">
        <v>248</v>
      </c>
      <c r="C31" s="422"/>
      <c r="D31" s="424"/>
      <c r="E31" s="422">
        <f>C31*D31</f>
        <v>0</v>
      </c>
      <c r="G31" s="28"/>
    </row>
    <row r="32" spans="1:9" ht="18.95" customHeight="1">
      <c r="A32" s="190">
        <f t="shared" ref="A32:A33" si="1">A31+1</f>
        <v>3</v>
      </c>
      <c r="B32" s="28" t="s">
        <v>1176</v>
      </c>
      <c r="C32" s="422"/>
      <c r="D32" s="424"/>
      <c r="E32" s="422">
        <f>C32*D32</f>
        <v>0</v>
      </c>
      <c r="G32" s="28"/>
    </row>
    <row r="33" spans="1:7" ht="18.95" customHeight="1">
      <c r="A33" s="190">
        <f t="shared" si="1"/>
        <v>4</v>
      </c>
      <c r="B33" s="28" t="s">
        <v>1177</v>
      </c>
      <c r="C33" s="422"/>
      <c r="D33" s="424"/>
      <c r="E33" s="422">
        <f>C33*D33</f>
        <v>0</v>
      </c>
      <c r="G33" s="28"/>
    </row>
    <row r="34" spans="1:7" ht="18.95" customHeight="1">
      <c r="A34" s="288"/>
      <c r="B34" s="28"/>
      <c r="C34" s="422"/>
      <c r="D34" s="424"/>
      <c r="E34" s="422"/>
      <c r="G34" s="28"/>
    </row>
    <row r="35" spans="1:7" ht="18.95" customHeight="1" thickBot="1">
      <c r="A35" s="288"/>
      <c r="B35" s="28" t="s">
        <v>2099</v>
      </c>
      <c r="C35" s="420">
        <f>SUM(C30:C34)</f>
        <v>-183727410.50615382</v>
      </c>
      <c r="D35" s="424"/>
      <c r="E35" s="420">
        <f>SUM(E30:E34)</f>
        <v>-160904287.73063827</v>
      </c>
      <c r="G35" s="28"/>
    </row>
    <row r="36" spans="1:7" ht="18.95" customHeight="1" thickTop="1">
      <c r="A36" s="190"/>
      <c r="B36" s="28"/>
      <c r="C36" s="53"/>
      <c r="D36" s="194"/>
      <c r="E36" s="53"/>
      <c r="G36" s="112"/>
    </row>
    <row r="37" spans="1:7" ht="18.95" customHeight="1"/>
    <row r="38" spans="1:7" ht="18.95" customHeight="1"/>
    <row r="39" spans="1:7" ht="18.95" customHeight="1"/>
    <row r="40" spans="1:7" ht="18.95" customHeight="1"/>
    <row r="41" spans="1:7" ht="18.95" customHeight="1"/>
    <row r="42" spans="1:7" ht="18.95" customHeight="1"/>
    <row r="43" spans="1:7" ht="18.95" customHeight="1"/>
    <row r="44" spans="1:7" ht="18.95" customHeight="1"/>
    <row r="45" spans="1:7" ht="18.95" customHeight="1"/>
    <row r="46" spans="1:7" ht="18.95" customHeight="1"/>
  </sheetData>
  <mergeCells count="8">
    <mergeCell ref="A21:G21"/>
    <mergeCell ref="A22:G22"/>
    <mergeCell ref="A1:G1"/>
    <mergeCell ref="A2:G2"/>
    <mergeCell ref="A3:H3"/>
    <mergeCell ref="A4:G4"/>
    <mergeCell ref="A19:G19"/>
    <mergeCell ref="A20:G20"/>
  </mergeCells>
  <pageMargins left="0.95" right="0.5" top="0.75" bottom="0.75" header="0.3" footer="0.3"/>
  <pageSetup scale="71" fitToHeight="0" orientation="portrait" r:id="rId1"/>
  <rowBreaks count="1" manualBreakCount="1">
    <brk id="18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A1:P201"/>
  <sheetViews>
    <sheetView view="pageBreakPreview" zoomScale="60" zoomScaleNormal="85" workbookViewId="0">
      <selection activeCell="H33" sqref="H33"/>
    </sheetView>
  </sheetViews>
  <sheetFormatPr defaultColWidth="9" defaultRowHeight="12.75"/>
  <cols>
    <col min="1" max="1" width="6" style="28" customWidth="1"/>
    <col min="2" max="2" width="13.6640625" style="372" customWidth="1"/>
    <col min="3" max="3" width="34.33203125" style="28" customWidth="1"/>
    <col min="4" max="5" width="14.44140625" style="109" customWidth="1"/>
    <col min="6" max="6" width="10" style="28" customWidth="1"/>
    <col min="7" max="8" width="14.109375" style="28" customWidth="1"/>
    <col min="9" max="9" width="14.44140625" style="28" customWidth="1"/>
    <col min="10" max="10" width="13.77734375" style="28" customWidth="1"/>
    <col min="11" max="11" width="1.6640625" style="28" customWidth="1"/>
    <col min="12" max="14" width="9" style="28"/>
    <col min="15" max="15" width="11.109375" style="28" customWidth="1"/>
    <col min="16" max="16384" width="9" style="28"/>
  </cols>
  <sheetData>
    <row r="1" spans="1:16" ht="20.100000000000001" customHeight="1">
      <c r="A1" s="706" t="str">
        <f>'Rate Case Constants'!C9</f>
        <v>KENTUCKY UTILITIES COMPANY</v>
      </c>
      <c r="B1" s="706"/>
      <c r="C1" s="706"/>
      <c r="D1" s="706"/>
      <c r="E1" s="706"/>
      <c r="F1" s="706"/>
      <c r="G1" s="706"/>
      <c r="H1" s="706"/>
      <c r="I1" s="706"/>
      <c r="J1" s="706"/>
    </row>
    <row r="2" spans="1:16" ht="20.100000000000001" customHeight="1">
      <c r="A2" s="706" t="str">
        <f>'Rate Case Constants'!C10</f>
        <v>CASE NO. 2016-00370</v>
      </c>
      <c r="B2" s="706"/>
      <c r="C2" s="706"/>
      <c r="D2" s="706"/>
      <c r="E2" s="706"/>
      <c r="F2" s="706"/>
      <c r="G2" s="706"/>
      <c r="H2" s="706"/>
      <c r="I2" s="706"/>
      <c r="J2" s="706"/>
    </row>
    <row r="3" spans="1:16" ht="20.100000000000001" customHeight="1">
      <c r="A3" s="706" t="s">
        <v>1225</v>
      </c>
      <c r="B3" s="706"/>
      <c r="C3" s="706"/>
      <c r="D3" s="706"/>
      <c r="E3" s="706"/>
      <c r="F3" s="706"/>
      <c r="G3" s="706"/>
      <c r="H3" s="706"/>
      <c r="I3" s="706"/>
      <c r="J3" s="706"/>
    </row>
    <row r="4" spans="1:16" ht="20.100000000000001" customHeight="1">
      <c r="A4" s="706" t="str">
        <f>'Rate Case Constants'!C12</f>
        <v>AS OF FEBRUARY 28, 2017</v>
      </c>
      <c r="B4" s="706"/>
      <c r="C4" s="706"/>
      <c r="D4" s="706"/>
      <c r="E4" s="706"/>
      <c r="F4" s="706"/>
      <c r="G4" s="706"/>
      <c r="H4" s="706"/>
      <c r="I4" s="706"/>
      <c r="J4" s="706"/>
    </row>
    <row r="5" spans="1:16" ht="20.100000000000001" customHeight="1">
      <c r="A5" s="370"/>
      <c r="B5" s="370"/>
      <c r="C5" s="370"/>
      <c r="D5" s="370"/>
      <c r="E5" s="370"/>
      <c r="F5" s="370"/>
      <c r="G5" s="370"/>
      <c r="H5" s="370"/>
      <c r="I5" s="370"/>
      <c r="J5" s="370"/>
    </row>
    <row r="6" spans="1:16" ht="20.100000000000001" customHeight="1">
      <c r="A6" s="27" t="s">
        <v>136</v>
      </c>
      <c r="B6" s="371"/>
      <c r="G6" s="34"/>
      <c r="H6" s="34"/>
      <c r="I6" s="34"/>
      <c r="J6" s="34" t="s">
        <v>1767</v>
      </c>
    </row>
    <row r="7" spans="1:16" ht="20.100000000000001" customHeight="1">
      <c r="A7" s="28" t="str">
        <f>'Rate Case Constants'!C29</f>
        <v>TYPE OF FILING: __X__ ORIGINAL  _____ UPDATED  _____ REVISED</v>
      </c>
      <c r="G7" s="34"/>
      <c r="H7" s="34"/>
      <c r="I7" s="34"/>
      <c r="J7" s="34" t="s">
        <v>3261</v>
      </c>
    </row>
    <row r="8" spans="1:16" ht="20.100000000000001" customHeight="1">
      <c r="A8" s="27" t="s">
        <v>1204</v>
      </c>
      <c r="B8" s="371"/>
      <c r="F8" s="27"/>
      <c r="G8" s="35"/>
      <c r="H8" s="35"/>
      <c r="I8" s="35"/>
      <c r="J8" s="35" t="str">
        <f>'Rate Case Constants'!C36</f>
        <v>WITNESS:   C. M. GARRETT</v>
      </c>
    </row>
    <row r="9" spans="1:16" ht="20.100000000000001" customHeight="1">
      <c r="G9" s="382"/>
    </row>
    <row r="10" spans="1:16" ht="66.95" customHeight="1">
      <c r="A10" s="36" t="s">
        <v>134</v>
      </c>
      <c r="B10" s="36" t="s">
        <v>1228</v>
      </c>
      <c r="C10" s="36" t="s">
        <v>1229</v>
      </c>
      <c r="D10" s="107" t="s">
        <v>1231</v>
      </c>
      <c r="E10" s="107" t="s">
        <v>1232</v>
      </c>
      <c r="F10" s="36" t="s">
        <v>1233</v>
      </c>
      <c r="G10" s="36" t="s">
        <v>1234</v>
      </c>
      <c r="H10" s="36" t="s">
        <v>1235</v>
      </c>
      <c r="I10" s="36" t="s">
        <v>1236</v>
      </c>
      <c r="J10" s="36" t="s">
        <v>1237</v>
      </c>
      <c r="M10" s="115" t="s">
        <v>1245</v>
      </c>
      <c r="N10" s="115" t="s">
        <v>1246</v>
      </c>
      <c r="O10" s="115" t="s">
        <v>1247</v>
      </c>
      <c r="P10" s="115" t="s">
        <v>1233</v>
      </c>
    </row>
    <row r="11" spans="1:16" ht="23.1" customHeight="1">
      <c r="A11" s="40" t="s">
        <v>1226</v>
      </c>
      <c r="B11" s="40" t="s">
        <v>1227</v>
      </c>
      <c r="C11" s="40" t="s">
        <v>1230</v>
      </c>
      <c r="D11" s="383" t="s">
        <v>1238</v>
      </c>
      <c r="E11" s="383" t="s">
        <v>1239</v>
      </c>
      <c r="F11" s="384" t="s">
        <v>1240</v>
      </c>
      <c r="G11" s="384" t="s">
        <v>1241</v>
      </c>
      <c r="H11" s="384" t="s">
        <v>1242</v>
      </c>
      <c r="I11" s="384" t="s">
        <v>1243</v>
      </c>
      <c r="J11" s="384" t="s">
        <v>1244</v>
      </c>
    </row>
    <row r="12" spans="1:16" ht="18.95" customHeight="1">
      <c r="A12" s="104"/>
      <c r="B12" s="105"/>
      <c r="E12" s="111"/>
    </row>
    <row r="13" spans="1:16" ht="18.95" customHeight="1">
      <c r="A13" s="372">
        <v>1</v>
      </c>
      <c r="B13" s="385" t="s">
        <v>2185</v>
      </c>
      <c r="C13" s="382" t="s">
        <v>2186</v>
      </c>
      <c r="D13" s="110">
        <v>42005</v>
      </c>
      <c r="E13" s="111">
        <v>42978</v>
      </c>
      <c r="F13" s="114">
        <f>P13</f>
        <v>0.81089414182939368</v>
      </c>
      <c r="G13" s="382">
        <v>949999.99</v>
      </c>
      <c r="H13" s="382">
        <v>2309955.1599999997</v>
      </c>
      <c r="I13" s="386">
        <v>1885698.45</v>
      </c>
      <c r="J13" s="380">
        <f>I13/H13</f>
        <v>0.81633552142198307</v>
      </c>
      <c r="M13" s="34">
        <f t="shared" ref="M13:M88" si="0">E13-D13</f>
        <v>973</v>
      </c>
      <c r="N13" s="111">
        <v>42794</v>
      </c>
      <c r="O13" s="34">
        <f t="shared" ref="O13:O88" si="1">E13-N13</f>
        <v>184</v>
      </c>
      <c r="P13" s="381">
        <f>(M13-O13)/M13</f>
        <v>0.81089414182939368</v>
      </c>
    </row>
    <row r="14" spans="1:16" ht="18.95" customHeight="1">
      <c r="A14" s="372">
        <f>A13+1</f>
        <v>2</v>
      </c>
      <c r="B14" s="385" t="s">
        <v>2183</v>
      </c>
      <c r="C14" s="382" t="s">
        <v>2184</v>
      </c>
      <c r="D14" s="110">
        <v>41640</v>
      </c>
      <c r="E14" s="111">
        <v>43100</v>
      </c>
      <c r="F14" s="114">
        <f t="shared" ref="F14:F56" si="2">P14</f>
        <v>0.79041095890410962</v>
      </c>
      <c r="G14" s="382">
        <v>1189634.8700000001</v>
      </c>
      <c r="H14" s="382">
        <v>1769003.5200000005</v>
      </c>
      <c r="I14" s="386">
        <v>321086.82</v>
      </c>
      <c r="J14" s="380">
        <f t="shared" ref="J14:J89" si="3">I14/H14</f>
        <v>0.18150716851032603</v>
      </c>
      <c r="M14" s="34">
        <f t="shared" si="0"/>
        <v>1460</v>
      </c>
      <c r="N14" s="111">
        <v>42794</v>
      </c>
      <c r="O14" s="34">
        <f t="shared" si="1"/>
        <v>306</v>
      </c>
      <c r="P14" s="381">
        <f t="shared" ref="P14:P89" si="4">(M14-O14)/M14</f>
        <v>0.79041095890410962</v>
      </c>
    </row>
    <row r="15" spans="1:16" ht="18.95" customHeight="1">
      <c r="A15" s="372">
        <f t="shared" ref="A15:A90" si="5">A14+1</f>
        <v>3</v>
      </c>
      <c r="B15" s="385" t="s">
        <v>2624</v>
      </c>
      <c r="C15" s="382" t="s">
        <v>2625</v>
      </c>
      <c r="D15" s="110">
        <v>41640</v>
      </c>
      <c r="E15" s="111">
        <v>43039</v>
      </c>
      <c r="F15" s="114">
        <f t="shared" si="2"/>
        <v>0.82487491065046459</v>
      </c>
      <c r="G15" s="382">
        <v>285000.14</v>
      </c>
      <c r="H15" s="382">
        <v>3111839.21</v>
      </c>
      <c r="I15" s="386">
        <v>2184132.7399999998</v>
      </c>
      <c r="J15" s="380">
        <f t="shared" si="3"/>
        <v>0.70187840457219508</v>
      </c>
      <c r="M15" s="34">
        <f t="shared" si="0"/>
        <v>1399</v>
      </c>
      <c r="N15" s="111">
        <v>42794</v>
      </c>
      <c r="O15" s="34">
        <f t="shared" si="1"/>
        <v>245</v>
      </c>
      <c r="P15" s="381">
        <f t="shared" si="4"/>
        <v>0.82487491065046459</v>
      </c>
    </row>
    <row r="16" spans="1:16" ht="18.95" customHeight="1">
      <c r="A16" s="372">
        <f t="shared" si="5"/>
        <v>4</v>
      </c>
      <c r="B16" s="385" t="s">
        <v>2210</v>
      </c>
      <c r="C16" s="382" t="s">
        <v>2211</v>
      </c>
      <c r="D16" s="110">
        <v>42370</v>
      </c>
      <c r="E16" s="111">
        <v>43100</v>
      </c>
      <c r="F16" s="114">
        <f t="shared" si="2"/>
        <v>0.58082191780821912</v>
      </c>
      <c r="G16" s="382">
        <v>150000</v>
      </c>
      <c r="H16" s="382">
        <v>789504.87999999989</v>
      </c>
      <c r="I16" s="386">
        <v>511009.98</v>
      </c>
      <c r="J16" s="380">
        <f t="shared" si="3"/>
        <v>0.64725373198453195</v>
      </c>
      <c r="M16" s="34">
        <f t="shared" si="0"/>
        <v>730</v>
      </c>
      <c r="N16" s="111">
        <v>42794</v>
      </c>
      <c r="O16" s="34">
        <f t="shared" si="1"/>
        <v>306</v>
      </c>
      <c r="P16" s="381">
        <f t="shared" si="4"/>
        <v>0.58082191780821912</v>
      </c>
    </row>
    <row r="17" spans="1:16" ht="18.95" customHeight="1">
      <c r="A17" s="372">
        <f t="shared" si="5"/>
        <v>5</v>
      </c>
      <c r="B17" s="385" t="s">
        <v>2672</v>
      </c>
      <c r="C17" s="382" t="s">
        <v>2207</v>
      </c>
      <c r="D17" s="110">
        <v>41866</v>
      </c>
      <c r="E17" s="111">
        <v>42916</v>
      </c>
      <c r="F17" s="114">
        <f t="shared" si="2"/>
        <v>0.88380952380952382</v>
      </c>
      <c r="G17" s="382">
        <v>540000.78</v>
      </c>
      <c r="H17" s="382">
        <v>678168.65</v>
      </c>
      <c r="I17" s="386">
        <v>246199.44</v>
      </c>
      <c r="J17" s="380">
        <f t="shared" si="3"/>
        <v>0.36303571390390871</v>
      </c>
      <c r="M17" s="34">
        <f t="shared" si="0"/>
        <v>1050</v>
      </c>
      <c r="N17" s="111">
        <v>42794</v>
      </c>
      <c r="O17" s="34">
        <f t="shared" si="1"/>
        <v>122</v>
      </c>
      <c r="P17" s="381">
        <f t="shared" si="4"/>
        <v>0.88380952380952382</v>
      </c>
    </row>
    <row r="18" spans="1:16" ht="18.95" customHeight="1">
      <c r="A18" s="372">
        <f t="shared" si="5"/>
        <v>6</v>
      </c>
      <c r="B18" s="385" t="s">
        <v>2623</v>
      </c>
      <c r="C18" s="382" t="s">
        <v>2200</v>
      </c>
      <c r="D18" s="110">
        <v>42005</v>
      </c>
      <c r="E18" s="111">
        <v>43100</v>
      </c>
      <c r="F18" s="114">
        <f t="shared" si="2"/>
        <v>0.72054794520547949</v>
      </c>
      <c r="G18" s="382">
        <v>594642.34</v>
      </c>
      <c r="H18" s="382">
        <v>2697142.87</v>
      </c>
      <c r="I18" s="386">
        <v>2419502.5</v>
      </c>
      <c r="J18" s="380">
        <f t="shared" si="3"/>
        <v>0.89706130398646622</v>
      </c>
      <c r="M18" s="34">
        <f t="shared" si="0"/>
        <v>1095</v>
      </c>
      <c r="N18" s="111">
        <v>42794</v>
      </c>
      <c r="O18" s="34">
        <f t="shared" si="1"/>
        <v>306</v>
      </c>
      <c r="P18" s="381">
        <f t="shared" si="4"/>
        <v>0.72054794520547949</v>
      </c>
    </row>
    <row r="19" spans="1:16" ht="18.95" customHeight="1">
      <c r="A19" s="372">
        <f t="shared" si="5"/>
        <v>7</v>
      </c>
      <c r="B19" s="385" t="s">
        <v>2640</v>
      </c>
      <c r="C19" s="382" t="s">
        <v>2641</v>
      </c>
      <c r="D19" s="110">
        <v>42401</v>
      </c>
      <c r="E19" s="111">
        <v>43343</v>
      </c>
      <c r="F19" s="114">
        <f t="shared" si="2"/>
        <v>0.41719745222929938</v>
      </c>
      <c r="G19" s="382">
        <v>1295355.1200000001</v>
      </c>
      <c r="H19" s="382">
        <v>2211322.71</v>
      </c>
      <c r="I19" s="386">
        <v>530211.29</v>
      </c>
      <c r="J19" s="380">
        <f t="shared" si="3"/>
        <v>0.23977110514095884</v>
      </c>
      <c r="M19" s="34">
        <f t="shared" si="0"/>
        <v>942</v>
      </c>
      <c r="N19" s="111">
        <v>42794</v>
      </c>
      <c r="O19" s="34">
        <f t="shared" si="1"/>
        <v>549</v>
      </c>
      <c r="P19" s="381">
        <f t="shared" si="4"/>
        <v>0.41719745222929938</v>
      </c>
    </row>
    <row r="20" spans="1:16" ht="18.95" customHeight="1">
      <c r="A20" s="372">
        <f t="shared" si="5"/>
        <v>8</v>
      </c>
      <c r="B20" s="385" t="s">
        <v>2194</v>
      </c>
      <c r="C20" s="382" t="s">
        <v>2195</v>
      </c>
      <c r="D20" s="110">
        <v>42430</v>
      </c>
      <c r="E20" s="111">
        <v>44530</v>
      </c>
      <c r="F20" s="114">
        <f t="shared" si="2"/>
        <v>0.17333333333333334</v>
      </c>
      <c r="G20" s="382">
        <v>100800</v>
      </c>
      <c r="H20" s="382">
        <v>178204.26</v>
      </c>
      <c r="I20" s="386">
        <v>42429.06</v>
      </c>
      <c r="J20" s="380">
        <f t="shared" si="3"/>
        <v>0.23809228802947804</v>
      </c>
      <c r="M20" s="34">
        <f t="shared" si="0"/>
        <v>2100</v>
      </c>
      <c r="N20" s="111">
        <v>42794</v>
      </c>
      <c r="O20" s="34">
        <f t="shared" si="1"/>
        <v>1736</v>
      </c>
      <c r="P20" s="381">
        <f t="shared" si="4"/>
        <v>0.17333333333333334</v>
      </c>
    </row>
    <row r="21" spans="1:16" ht="18.95" customHeight="1">
      <c r="A21" s="372">
        <f t="shared" si="5"/>
        <v>9</v>
      </c>
      <c r="B21" s="385" t="s">
        <v>2821</v>
      </c>
      <c r="C21" s="382" t="s">
        <v>2822</v>
      </c>
      <c r="D21" s="110">
        <v>42430</v>
      </c>
      <c r="E21" s="111">
        <v>46387</v>
      </c>
      <c r="F21" s="114">
        <f t="shared" si="2"/>
        <v>9.1988880464998743E-2</v>
      </c>
      <c r="G21" s="382">
        <v>60000</v>
      </c>
      <c r="H21" s="382">
        <v>557779.20000000007</v>
      </c>
      <c r="I21" s="386">
        <v>11212.66</v>
      </c>
      <c r="J21" s="380">
        <f t="shared" si="3"/>
        <v>2.0102327229125787E-2</v>
      </c>
      <c r="M21" s="34">
        <f t="shared" si="0"/>
        <v>3957</v>
      </c>
      <c r="N21" s="111">
        <v>42794</v>
      </c>
      <c r="O21" s="34">
        <f t="shared" si="1"/>
        <v>3593</v>
      </c>
      <c r="P21" s="381">
        <f t="shared" si="4"/>
        <v>9.1988880464998743E-2</v>
      </c>
    </row>
    <row r="22" spans="1:16" ht="18.95" customHeight="1">
      <c r="A22" s="372">
        <f t="shared" si="5"/>
        <v>10</v>
      </c>
      <c r="B22" s="385" t="s">
        <v>2634</v>
      </c>
      <c r="C22" s="382" t="s">
        <v>2635</v>
      </c>
      <c r="D22" s="110">
        <v>42248</v>
      </c>
      <c r="E22" s="111">
        <v>43100</v>
      </c>
      <c r="F22" s="114">
        <f t="shared" si="2"/>
        <v>0.64084507042253525</v>
      </c>
      <c r="G22" s="382">
        <v>2289000</v>
      </c>
      <c r="H22" s="382">
        <v>2034971.14</v>
      </c>
      <c r="I22" s="386">
        <v>928990.22</v>
      </c>
      <c r="J22" s="380">
        <f t="shared" si="3"/>
        <v>0.45651272479471133</v>
      </c>
      <c r="M22" s="34">
        <f t="shared" si="0"/>
        <v>852</v>
      </c>
      <c r="N22" s="111">
        <v>42794</v>
      </c>
      <c r="O22" s="34">
        <f t="shared" si="1"/>
        <v>306</v>
      </c>
      <c r="P22" s="381">
        <f t="shared" si="4"/>
        <v>0.64084507042253525</v>
      </c>
    </row>
    <row r="23" spans="1:16" ht="18.95" customHeight="1">
      <c r="A23" s="372">
        <f t="shared" si="5"/>
        <v>11</v>
      </c>
      <c r="B23" s="385" t="s">
        <v>2650</v>
      </c>
      <c r="C23" s="382" t="s">
        <v>2651</v>
      </c>
      <c r="D23" s="110">
        <v>42401</v>
      </c>
      <c r="E23" s="111">
        <v>43100</v>
      </c>
      <c r="F23" s="114">
        <f t="shared" si="2"/>
        <v>0.5622317596566524</v>
      </c>
      <c r="G23" s="382">
        <v>2289000</v>
      </c>
      <c r="H23" s="382">
        <v>918711.71</v>
      </c>
      <c r="I23" s="386">
        <v>449267.65</v>
      </c>
      <c r="J23" s="380">
        <f t="shared" si="3"/>
        <v>0.48901918317771309</v>
      </c>
      <c r="M23" s="34">
        <f t="shared" si="0"/>
        <v>699</v>
      </c>
      <c r="N23" s="111">
        <v>42794</v>
      </c>
      <c r="O23" s="34">
        <f t="shared" si="1"/>
        <v>306</v>
      </c>
      <c r="P23" s="381">
        <f t="shared" si="4"/>
        <v>0.5622317596566524</v>
      </c>
    </row>
    <row r="24" spans="1:16" ht="18.95" customHeight="1">
      <c r="A24" s="372">
        <f t="shared" si="5"/>
        <v>12</v>
      </c>
      <c r="B24" s="385" t="s">
        <v>2621</v>
      </c>
      <c r="C24" s="382" t="s">
        <v>2622</v>
      </c>
      <c r="D24" s="110">
        <v>42675</v>
      </c>
      <c r="E24" s="111">
        <v>42916</v>
      </c>
      <c r="F24" s="114">
        <f t="shared" si="2"/>
        <v>0.49377593360995853</v>
      </c>
      <c r="G24" s="382">
        <v>5500000</v>
      </c>
      <c r="H24" s="382">
        <v>6527672.96</v>
      </c>
      <c r="I24" s="386">
        <v>2678532.16</v>
      </c>
      <c r="J24" s="380">
        <f t="shared" si="3"/>
        <v>0.41033491971999775</v>
      </c>
      <c r="M24" s="34">
        <f t="shared" si="0"/>
        <v>241</v>
      </c>
      <c r="N24" s="111">
        <v>42794</v>
      </c>
      <c r="O24" s="34">
        <f t="shared" si="1"/>
        <v>122</v>
      </c>
      <c r="P24" s="381">
        <f t="shared" si="4"/>
        <v>0.49377593360995853</v>
      </c>
    </row>
    <row r="25" spans="1:16" ht="18.95" customHeight="1">
      <c r="A25" s="372">
        <f t="shared" si="5"/>
        <v>13</v>
      </c>
      <c r="B25" s="385" t="s">
        <v>2187</v>
      </c>
      <c r="C25" s="382" t="s">
        <v>2188</v>
      </c>
      <c r="D25" s="110">
        <v>42401</v>
      </c>
      <c r="E25" s="111">
        <v>46356</v>
      </c>
      <c r="F25" s="114">
        <f t="shared" si="2"/>
        <v>9.9367888748419717E-2</v>
      </c>
      <c r="G25" s="382">
        <v>1220000</v>
      </c>
      <c r="H25" s="382">
        <v>1307632.79</v>
      </c>
      <c r="I25" s="386">
        <v>92447.489999999991</v>
      </c>
      <c r="J25" s="380">
        <f t="shared" si="3"/>
        <v>7.0698357143521906E-2</v>
      </c>
      <c r="M25" s="34">
        <f t="shared" si="0"/>
        <v>3955</v>
      </c>
      <c r="N25" s="111">
        <v>42794</v>
      </c>
      <c r="O25" s="34">
        <f t="shared" si="1"/>
        <v>3562</v>
      </c>
      <c r="P25" s="381">
        <f t="shared" si="4"/>
        <v>9.9367888748419717E-2</v>
      </c>
    </row>
    <row r="26" spans="1:16" ht="18.95" customHeight="1">
      <c r="A26" s="372">
        <f t="shared" si="5"/>
        <v>14</v>
      </c>
      <c r="B26" s="385" t="s">
        <v>2689</v>
      </c>
      <c r="C26" s="382" t="s">
        <v>2690</v>
      </c>
      <c r="D26" s="110">
        <v>42430</v>
      </c>
      <c r="E26" s="111">
        <v>43069</v>
      </c>
      <c r="F26" s="114">
        <f t="shared" si="2"/>
        <v>0.56964006259780908</v>
      </c>
      <c r="G26" s="382">
        <v>1022000</v>
      </c>
      <c r="H26" s="382">
        <v>896857.76</v>
      </c>
      <c r="I26" s="386">
        <v>153837.76000000001</v>
      </c>
      <c r="J26" s="380">
        <f t="shared" si="3"/>
        <v>0.17152971949531887</v>
      </c>
      <c r="M26" s="34">
        <f t="shared" si="0"/>
        <v>639</v>
      </c>
      <c r="N26" s="111">
        <v>42794</v>
      </c>
      <c r="O26" s="34">
        <f t="shared" si="1"/>
        <v>275</v>
      </c>
      <c r="P26" s="381">
        <f t="shared" si="4"/>
        <v>0.56964006259780908</v>
      </c>
    </row>
    <row r="27" spans="1:16" ht="18.95" customHeight="1">
      <c r="A27" s="372">
        <f t="shared" si="5"/>
        <v>15</v>
      </c>
      <c r="B27" s="385" t="s">
        <v>2721</v>
      </c>
      <c r="C27" s="382" t="s">
        <v>2722</v>
      </c>
      <c r="D27" s="110">
        <v>42736</v>
      </c>
      <c r="E27" s="111">
        <v>43069</v>
      </c>
      <c r="F27" s="114">
        <f t="shared" si="2"/>
        <v>0.17417417417417416</v>
      </c>
      <c r="G27" s="382">
        <v>380000</v>
      </c>
      <c r="H27" s="382">
        <v>842400</v>
      </c>
      <c r="I27" s="386">
        <v>91520</v>
      </c>
      <c r="J27" s="380">
        <f t="shared" si="3"/>
        <v>0.10864197530864197</v>
      </c>
      <c r="M27" s="34">
        <f t="shared" si="0"/>
        <v>333</v>
      </c>
      <c r="N27" s="111">
        <v>42794</v>
      </c>
      <c r="O27" s="34">
        <f t="shared" si="1"/>
        <v>275</v>
      </c>
      <c r="P27" s="381">
        <f t="shared" si="4"/>
        <v>0.17417417417417416</v>
      </c>
    </row>
    <row r="28" spans="1:16" ht="18.95" customHeight="1">
      <c r="A28" s="372">
        <f t="shared" si="5"/>
        <v>16</v>
      </c>
      <c r="B28" s="385" t="s">
        <v>2811</v>
      </c>
      <c r="C28" s="382" t="s">
        <v>2812</v>
      </c>
      <c r="D28" s="110">
        <v>42736</v>
      </c>
      <c r="E28" s="111">
        <v>43100</v>
      </c>
      <c r="F28" s="114">
        <f t="shared" si="2"/>
        <v>0.15934065934065933</v>
      </c>
      <c r="G28" s="382">
        <v>50000</v>
      </c>
      <c r="H28" s="382">
        <v>78840</v>
      </c>
      <c r="I28" s="386">
        <v>13140</v>
      </c>
      <c r="J28" s="380">
        <f t="shared" si="3"/>
        <v>0.16666666666666666</v>
      </c>
      <c r="M28" s="34">
        <f t="shared" si="0"/>
        <v>364</v>
      </c>
      <c r="N28" s="111">
        <v>42794</v>
      </c>
      <c r="O28" s="34">
        <f t="shared" si="1"/>
        <v>306</v>
      </c>
      <c r="P28" s="381">
        <f t="shared" si="4"/>
        <v>0.15934065934065933</v>
      </c>
    </row>
    <row r="29" spans="1:16" ht="18.95" customHeight="1">
      <c r="A29" s="372">
        <f t="shared" si="5"/>
        <v>17</v>
      </c>
      <c r="B29" s="385" t="s">
        <v>2679</v>
      </c>
      <c r="C29" s="382" t="s">
        <v>2680</v>
      </c>
      <c r="D29" s="110">
        <v>42370</v>
      </c>
      <c r="E29" s="111">
        <v>42855</v>
      </c>
      <c r="F29" s="114">
        <f t="shared" si="2"/>
        <v>0.87422680412371134</v>
      </c>
      <c r="G29" s="382">
        <v>21500.04</v>
      </c>
      <c r="H29" s="382">
        <v>225235</v>
      </c>
      <c r="I29" s="386">
        <v>212735</v>
      </c>
      <c r="J29" s="380">
        <f t="shared" si="3"/>
        <v>0.94450240859546697</v>
      </c>
      <c r="M29" s="34">
        <f t="shared" si="0"/>
        <v>485</v>
      </c>
      <c r="N29" s="111">
        <v>42794</v>
      </c>
      <c r="O29" s="34">
        <f t="shared" si="1"/>
        <v>61</v>
      </c>
      <c r="P29" s="381">
        <f t="shared" si="4"/>
        <v>0.87422680412371134</v>
      </c>
    </row>
    <row r="30" spans="1:16" ht="18.95" customHeight="1">
      <c r="A30" s="372">
        <f t="shared" si="5"/>
        <v>18</v>
      </c>
      <c r="B30" s="385" t="s">
        <v>2196</v>
      </c>
      <c r="C30" s="382" t="s">
        <v>2197</v>
      </c>
      <c r="D30" s="110">
        <v>42005</v>
      </c>
      <c r="E30" s="111">
        <v>43434</v>
      </c>
      <c r="F30" s="114">
        <f t="shared" si="2"/>
        <v>0.55213435969209235</v>
      </c>
      <c r="G30" s="382">
        <v>176500</v>
      </c>
      <c r="H30" s="382">
        <v>187160.59</v>
      </c>
      <c r="I30" s="386">
        <v>82780.59</v>
      </c>
      <c r="J30" s="380">
        <f t="shared" si="3"/>
        <v>0.44229712034996255</v>
      </c>
      <c r="M30" s="34">
        <f t="shared" si="0"/>
        <v>1429</v>
      </c>
      <c r="N30" s="111">
        <v>42794</v>
      </c>
      <c r="O30" s="34">
        <f t="shared" si="1"/>
        <v>640</v>
      </c>
      <c r="P30" s="381">
        <f t="shared" si="4"/>
        <v>0.55213435969209235</v>
      </c>
    </row>
    <row r="31" spans="1:16" ht="18.95" customHeight="1">
      <c r="A31" s="372">
        <f t="shared" si="5"/>
        <v>19</v>
      </c>
      <c r="B31" s="385" t="s">
        <v>2664</v>
      </c>
      <c r="C31" s="382" t="s">
        <v>2665</v>
      </c>
      <c r="D31" s="110">
        <v>42248</v>
      </c>
      <c r="E31" s="111">
        <v>43100</v>
      </c>
      <c r="F31" s="114">
        <f t="shared" si="2"/>
        <v>0.64084507042253525</v>
      </c>
      <c r="G31" s="382">
        <v>85500</v>
      </c>
      <c r="H31" s="382">
        <v>346237.76</v>
      </c>
      <c r="I31" s="386">
        <v>291499.38</v>
      </c>
      <c r="J31" s="380">
        <f t="shared" si="3"/>
        <v>0.84190522720572125</v>
      </c>
      <c r="M31" s="34">
        <f t="shared" si="0"/>
        <v>852</v>
      </c>
      <c r="N31" s="111">
        <v>42794</v>
      </c>
      <c r="O31" s="34">
        <f t="shared" si="1"/>
        <v>306</v>
      </c>
      <c r="P31" s="381">
        <f t="shared" si="4"/>
        <v>0.64084507042253525</v>
      </c>
    </row>
    <row r="32" spans="1:16" ht="18.95" customHeight="1">
      <c r="A32" s="372">
        <f t="shared" si="5"/>
        <v>20</v>
      </c>
      <c r="B32" s="385" t="s">
        <v>2192</v>
      </c>
      <c r="C32" s="382" t="s">
        <v>2193</v>
      </c>
      <c r="D32" s="110">
        <v>42491</v>
      </c>
      <c r="E32" s="111">
        <v>44196</v>
      </c>
      <c r="F32" s="114">
        <f t="shared" si="2"/>
        <v>0.17771260997067448</v>
      </c>
      <c r="G32" s="382">
        <v>50955.5</v>
      </c>
      <c r="H32" s="382">
        <v>48194.8</v>
      </c>
      <c r="I32" s="386">
        <v>12664.8</v>
      </c>
      <c r="J32" s="380">
        <f t="shared" si="3"/>
        <v>0.26278353681310013</v>
      </c>
      <c r="M32" s="34">
        <f t="shared" si="0"/>
        <v>1705</v>
      </c>
      <c r="N32" s="111">
        <v>42794</v>
      </c>
      <c r="O32" s="34">
        <f t="shared" si="1"/>
        <v>1402</v>
      </c>
      <c r="P32" s="381">
        <f t="shared" si="4"/>
        <v>0.17771260997067448</v>
      </c>
    </row>
    <row r="33" spans="1:16" ht="18.95" customHeight="1">
      <c r="A33" s="372">
        <f t="shared" si="5"/>
        <v>21</v>
      </c>
      <c r="B33" s="385" t="s">
        <v>2797</v>
      </c>
      <c r="C33" s="382" t="s">
        <v>2798</v>
      </c>
      <c r="D33" s="110">
        <v>42736</v>
      </c>
      <c r="E33" s="111">
        <v>43100</v>
      </c>
      <c r="F33" s="114">
        <f t="shared" si="2"/>
        <v>0.15934065934065933</v>
      </c>
      <c r="G33" s="382">
        <v>50000</v>
      </c>
      <c r="H33" s="382">
        <v>50000</v>
      </c>
      <c r="I33" s="386">
        <v>20000</v>
      </c>
      <c r="J33" s="380">
        <f t="shared" si="3"/>
        <v>0.4</v>
      </c>
      <c r="M33" s="34">
        <f t="shared" si="0"/>
        <v>364</v>
      </c>
      <c r="N33" s="111">
        <v>42794</v>
      </c>
      <c r="O33" s="34">
        <f t="shared" si="1"/>
        <v>306</v>
      </c>
      <c r="P33" s="381">
        <f t="shared" si="4"/>
        <v>0.15934065934065933</v>
      </c>
    </row>
    <row r="34" spans="1:16" ht="18.95" customHeight="1">
      <c r="A34" s="372">
        <f t="shared" si="5"/>
        <v>22</v>
      </c>
      <c r="B34" s="385" t="s">
        <v>2824</v>
      </c>
      <c r="C34" s="382" t="s">
        <v>2825</v>
      </c>
      <c r="D34" s="110">
        <v>42736</v>
      </c>
      <c r="E34" s="111">
        <v>43100</v>
      </c>
      <c r="F34" s="114">
        <f t="shared" si="2"/>
        <v>0.15934065934065933</v>
      </c>
      <c r="G34" s="382">
        <v>55000</v>
      </c>
      <c r="H34" s="382">
        <v>55000</v>
      </c>
      <c r="I34" s="386">
        <v>10000</v>
      </c>
      <c r="J34" s="380">
        <f t="shared" si="3"/>
        <v>0.18181818181818182</v>
      </c>
      <c r="M34" s="34">
        <f t="shared" si="0"/>
        <v>364</v>
      </c>
      <c r="N34" s="111">
        <v>42794</v>
      </c>
      <c r="O34" s="34">
        <f t="shared" si="1"/>
        <v>306</v>
      </c>
      <c r="P34" s="381">
        <f t="shared" si="4"/>
        <v>0.15934065934065933</v>
      </c>
    </row>
    <row r="35" spans="1:16" ht="18.95" customHeight="1">
      <c r="A35" s="372">
        <f t="shared" si="5"/>
        <v>23</v>
      </c>
      <c r="B35" s="385" t="s">
        <v>2844</v>
      </c>
      <c r="C35" s="382" t="s">
        <v>2845</v>
      </c>
      <c r="D35" s="110">
        <v>42736</v>
      </c>
      <c r="E35" s="111">
        <v>43100</v>
      </c>
      <c r="F35" s="114">
        <f t="shared" si="2"/>
        <v>0.15934065934065933</v>
      </c>
      <c r="G35" s="382">
        <v>45000</v>
      </c>
      <c r="H35" s="382">
        <v>40000</v>
      </c>
      <c r="I35" s="386">
        <v>5000</v>
      </c>
      <c r="J35" s="380">
        <f t="shared" si="3"/>
        <v>0.125</v>
      </c>
      <c r="M35" s="34">
        <f t="shared" si="0"/>
        <v>364</v>
      </c>
      <c r="N35" s="111">
        <v>42794</v>
      </c>
      <c r="O35" s="34">
        <f t="shared" si="1"/>
        <v>306</v>
      </c>
      <c r="P35" s="381">
        <f t="shared" si="4"/>
        <v>0.15934065934065933</v>
      </c>
    </row>
    <row r="36" spans="1:16" ht="18.95" customHeight="1">
      <c r="A36" s="372">
        <f t="shared" si="5"/>
        <v>24</v>
      </c>
      <c r="B36" s="385" t="s">
        <v>2628</v>
      </c>
      <c r="C36" s="382" t="s">
        <v>2629</v>
      </c>
      <c r="D36" s="110">
        <v>41640</v>
      </c>
      <c r="E36" s="111">
        <v>43100</v>
      </c>
      <c r="F36" s="114">
        <f t="shared" si="2"/>
        <v>0.79041095890410962</v>
      </c>
      <c r="G36" s="382">
        <v>1263780.18</v>
      </c>
      <c r="H36" s="382">
        <v>2333649.2400000002</v>
      </c>
      <c r="I36" s="386">
        <v>1842442.8399999999</v>
      </c>
      <c r="J36" s="380">
        <f t="shared" si="3"/>
        <v>0.78951146917006243</v>
      </c>
      <c r="M36" s="34">
        <f t="shared" si="0"/>
        <v>1460</v>
      </c>
      <c r="N36" s="111">
        <v>42794</v>
      </c>
      <c r="O36" s="34">
        <f t="shared" si="1"/>
        <v>306</v>
      </c>
      <c r="P36" s="381">
        <f t="shared" si="4"/>
        <v>0.79041095890410962</v>
      </c>
    </row>
    <row r="37" spans="1:16" ht="18.95" customHeight="1">
      <c r="A37" s="372">
        <f t="shared" si="5"/>
        <v>25</v>
      </c>
      <c r="B37" s="385" t="s">
        <v>2644</v>
      </c>
      <c r="C37" s="382" t="s">
        <v>2645</v>
      </c>
      <c r="D37" s="110">
        <v>42217</v>
      </c>
      <c r="E37" s="111">
        <v>43100</v>
      </c>
      <c r="F37" s="114">
        <f t="shared" si="2"/>
        <v>0.65345413363533411</v>
      </c>
      <c r="G37" s="382">
        <v>1287985.6499999999</v>
      </c>
      <c r="H37" s="382">
        <v>999595.97</v>
      </c>
      <c r="I37" s="386">
        <v>476460.56</v>
      </c>
      <c r="J37" s="380">
        <f t="shared" si="3"/>
        <v>0.47665314216903054</v>
      </c>
      <c r="M37" s="34">
        <f t="shared" si="0"/>
        <v>883</v>
      </c>
      <c r="N37" s="111">
        <v>42794</v>
      </c>
      <c r="O37" s="34">
        <f t="shared" si="1"/>
        <v>306</v>
      </c>
      <c r="P37" s="381">
        <f t="shared" si="4"/>
        <v>0.65345413363533411</v>
      </c>
    </row>
    <row r="38" spans="1:16" ht="18.95" customHeight="1">
      <c r="A38" s="372">
        <f t="shared" si="5"/>
        <v>26</v>
      </c>
      <c r="B38" s="385" t="s">
        <v>2697</v>
      </c>
      <c r="C38" s="382" t="s">
        <v>2698</v>
      </c>
      <c r="D38" s="110">
        <v>42371</v>
      </c>
      <c r="E38" s="111">
        <v>43071</v>
      </c>
      <c r="F38" s="114">
        <f t="shared" si="2"/>
        <v>0.60428571428571431</v>
      </c>
      <c r="G38" s="382">
        <v>147723.88999999998</v>
      </c>
      <c r="H38" s="382">
        <v>226666.93</v>
      </c>
      <c r="I38" s="386">
        <v>125165.01</v>
      </c>
      <c r="J38" s="380">
        <f t="shared" si="3"/>
        <v>0.55219793200534373</v>
      </c>
      <c r="M38" s="34">
        <f t="shared" si="0"/>
        <v>700</v>
      </c>
      <c r="N38" s="111">
        <v>42794</v>
      </c>
      <c r="O38" s="34">
        <f t="shared" si="1"/>
        <v>277</v>
      </c>
      <c r="P38" s="381">
        <f t="shared" si="4"/>
        <v>0.60428571428571431</v>
      </c>
    </row>
    <row r="39" spans="1:16" ht="18.95" customHeight="1">
      <c r="A39" s="372">
        <f t="shared" si="5"/>
        <v>27</v>
      </c>
      <c r="B39" s="385" t="s">
        <v>2801</v>
      </c>
      <c r="C39" s="382" t="s">
        <v>2802</v>
      </c>
      <c r="D39" s="110">
        <v>42736</v>
      </c>
      <c r="E39" s="111">
        <v>43096</v>
      </c>
      <c r="F39" s="114">
        <f t="shared" si="2"/>
        <v>0.16111111111111112</v>
      </c>
      <c r="G39" s="382">
        <v>22759.22</v>
      </c>
      <c r="H39" s="382">
        <v>22880</v>
      </c>
      <c r="I39" s="386">
        <v>17680</v>
      </c>
      <c r="J39" s="380">
        <f t="shared" si="3"/>
        <v>0.77272727272727271</v>
      </c>
      <c r="M39" s="34">
        <f t="shared" si="0"/>
        <v>360</v>
      </c>
      <c r="N39" s="111">
        <v>42794</v>
      </c>
      <c r="O39" s="34">
        <f t="shared" si="1"/>
        <v>302</v>
      </c>
      <c r="P39" s="381">
        <f t="shared" si="4"/>
        <v>0.16111111111111112</v>
      </c>
    </row>
    <row r="40" spans="1:16" ht="18.95" customHeight="1">
      <c r="A40" s="372">
        <f t="shared" si="5"/>
        <v>28</v>
      </c>
      <c r="B40" s="385" t="s">
        <v>2761</v>
      </c>
      <c r="C40" s="382" t="s">
        <v>2762</v>
      </c>
      <c r="D40" s="110">
        <v>42736</v>
      </c>
      <c r="E40" s="111">
        <v>42948</v>
      </c>
      <c r="F40" s="114">
        <f t="shared" si="2"/>
        <v>0.27358490566037735</v>
      </c>
      <c r="G40" s="382">
        <v>68000</v>
      </c>
      <c r="H40" s="382">
        <v>68000</v>
      </c>
      <c r="I40" s="386">
        <v>30000</v>
      </c>
      <c r="J40" s="380">
        <f t="shared" si="3"/>
        <v>0.44117647058823528</v>
      </c>
      <c r="M40" s="34">
        <f t="shared" si="0"/>
        <v>212</v>
      </c>
      <c r="N40" s="111">
        <v>42794</v>
      </c>
      <c r="O40" s="34">
        <f t="shared" si="1"/>
        <v>154</v>
      </c>
      <c r="P40" s="381">
        <f t="shared" si="4"/>
        <v>0.27358490566037735</v>
      </c>
    </row>
    <row r="41" spans="1:16" ht="18.95" customHeight="1">
      <c r="A41" s="372">
        <f t="shared" si="5"/>
        <v>29</v>
      </c>
      <c r="B41" s="385" t="s">
        <v>2190</v>
      </c>
      <c r="C41" s="382" t="s">
        <v>2191</v>
      </c>
      <c r="D41" s="110">
        <v>42401</v>
      </c>
      <c r="E41" s="111">
        <v>43434</v>
      </c>
      <c r="F41" s="114">
        <f t="shared" si="2"/>
        <v>0.38044530493707646</v>
      </c>
      <c r="G41" s="382">
        <v>366958</v>
      </c>
      <c r="H41" s="382">
        <v>303469.8</v>
      </c>
      <c r="I41" s="386">
        <v>262492.79999999999</v>
      </c>
      <c r="J41" s="380">
        <f t="shared" si="3"/>
        <v>0.86497173689111728</v>
      </c>
      <c r="M41" s="34">
        <f t="shared" si="0"/>
        <v>1033</v>
      </c>
      <c r="N41" s="111">
        <v>42794</v>
      </c>
      <c r="O41" s="34">
        <f t="shared" si="1"/>
        <v>640</v>
      </c>
      <c r="P41" s="381">
        <f t="shared" si="4"/>
        <v>0.38044530493707646</v>
      </c>
    </row>
    <row r="42" spans="1:16" ht="18.95" customHeight="1">
      <c r="A42" s="372">
        <f t="shared" si="5"/>
        <v>30</v>
      </c>
      <c r="B42" s="385" t="s">
        <v>2828</v>
      </c>
      <c r="C42" s="382" t="s">
        <v>2829</v>
      </c>
      <c r="D42" s="110">
        <v>42736</v>
      </c>
      <c r="E42" s="111">
        <v>44165</v>
      </c>
      <c r="F42" s="114">
        <f t="shared" si="2"/>
        <v>4.0587823652904129E-2</v>
      </c>
      <c r="G42" s="382">
        <v>53210</v>
      </c>
      <c r="H42" s="382">
        <v>104584</v>
      </c>
      <c r="I42" s="386">
        <v>8562.2999999999993</v>
      </c>
      <c r="J42" s="380">
        <f t="shared" si="3"/>
        <v>8.187007572860093E-2</v>
      </c>
      <c r="M42" s="34">
        <f t="shared" si="0"/>
        <v>1429</v>
      </c>
      <c r="N42" s="111">
        <v>42794</v>
      </c>
      <c r="O42" s="34">
        <f t="shared" si="1"/>
        <v>1371</v>
      </c>
      <c r="P42" s="381">
        <f t="shared" si="4"/>
        <v>4.0587823652904129E-2</v>
      </c>
    </row>
    <row r="43" spans="1:16" ht="18.95" customHeight="1">
      <c r="A43" s="372">
        <f t="shared" si="5"/>
        <v>31</v>
      </c>
      <c r="B43" s="385" t="s">
        <v>2202</v>
      </c>
      <c r="C43" s="382" t="s">
        <v>2203</v>
      </c>
      <c r="D43" s="110">
        <v>42522</v>
      </c>
      <c r="E43" s="111">
        <v>46387</v>
      </c>
      <c r="F43" s="114">
        <f t="shared" si="2"/>
        <v>7.0375161707632597E-2</v>
      </c>
      <c r="G43" s="382">
        <v>4224787</v>
      </c>
      <c r="H43" s="382">
        <v>4517634.4800000004</v>
      </c>
      <c r="I43" s="386">
        <v>200578.03999999998</v>
      </c>
      <c r="J43" s="380">
        <f t="shared" si="3"/>
        <v>4.4398908519044232E-2</v>
      </c>
      <c r="M43" s="34">
        <f t="shared" si="0"/>
        <v>3865</v>
      </c>
      <c r="N43" s="111">
        <v>42794</v>
      </c>
      <c r="O43" s="34">
        <f t="shared" si="1"/>
        <v>3593</v>
      </c>
      <c r="P43" s="381">
        <f t="shared" si="4"/>
        <v>7.0375161707632597E-2</v>
      </c>
    </row>
    <row r="44" spans="1:16" ht="18.95" customHeight="1">
      <c r="A44" s="372">
        <f t="shared" si="5"/>
        <v>32</v>
      </c>
      <c r="B44" s="385" t="s">
        <v>2707</v>
      </c>
      <c r="C44" s="382" t="s">
        <v>2708</v>
      </c>
      <c r="D44" s="110">
        <v>42614</v>
      </c>
      <c r="E44" s="111">
        <v>43100</v>
      </c>
      <c r="F44" s="114">
        <f t="shared" si="2"/>
        <v>0.37037037037037035</v>
      </c>
      <c r="G44" s="382">
        <v>350002.69</v>
      </c>
      <c r="H44" s="382">
        <v>849999.97</v>
      </c>
      <c r="I44" s="386">
        <v>99999.94</v>
      </c>
      <c r="J44" s="380">
        <f t="shared" si="3"/>
        <v>0.11764699238754091</v>
      </c>
      <c r="M44" s="34">
        <f t="shared" si="0"/>
        <v>486</v>
      </c>
      <c r="N44" s="111">
        <v>42794</v>
      </c>
      <c r="O44" s="34">
        <f t="shared" si="1"/>
        <v>306</v>
      </c>
      <c r="P44" s="381">
        <f t="shared" si="4"/>
        <v>0.37037037037037035</v>
      </c>
    </row>
    <row r="45" spans="1:16" ht="18.95" customHeight="1">
      <c r="A45" s="372">
        <f t="shared" si="5"/>
        <v>33</v>
      </c>
      <c r="B45" s="385" t="s">
        <v>2709</v>
      </c>
      <c r="C45" s="382" t="s">
        <v>2710</v>
      </c>
      <c r="D45" s="110">
        <v>42614</v>
      </c>
      <c r="E45" s="111">
        <v>43100</v>
      </c>
      <c r="F45" s="114">
        <f t="shared" si="2"/>
        <v>0.37037037037037035</v>
      </c>
      <c r="G45" s="382">
        <v>350086.03</v>
      </c>
      <c r="H45" s="382">
        <v>849999.97</v>
      </c>
      <c r="I45" s="386">
        <v>99999.94</v>
      </c>
      <c r="J45" s="380">
        <f t="shared" si="3"/>
        <v>0.11764699238754091</v>
      </c>
      <c r="M45" s="34">
        <f t="shared" si="0"/>
        <v>486</v>
      </c>
      <c r="N45" s="111">
        <v>42794</v>
      </c>
      <c r="O45" s="34">
        <f t="shared" si="1"/>
        <v>306</v>
      </c>
      <c r="P45" s="381">
        <f t="shared" si="4"/>
        <v>0.37037037037037035</v>
      </c>
    </row>
    <row r="46" spans="1:16" ht="18.95" customHeight="1">
      <c r="A46" s="372">
        <f t="shared" si="5"/>
        <v>34</v>
      </c>
      <c r="B46" s="385" t="s">
        <v>2711</v>
      </c>
      <c r="C46" s="382" t="s">
        <v>2712</v>
      </c>
      <c r="D46" s="110">
        <v>42614</v>
      </c>
      <c r="E46" s="111">
        <v>43100</v>
      </c>
      <c r="F46" s="114">
        <f t="shared" si="2"/>
        <v>0.37037037037037035</v>
      </c>
      <c r="G46" s="382">
        <v>350086.03</v>
      </c>
      <c r="H46" s="382">
        <v>849999.97</v>
      </c>
      <c r="I46" s="386">
        <v>99999.94</v>
      </c>
      <c r="J46" s="380">
        <f t="shared" si="3"/>
        <v>0.11764699238754091</v>
      </c>
      <c r="M46" s="34">
        <f t="shared" si="0"/>
        <v>486</v>
      </c>
      <c r="N46" s="111">
        <v>42794</v>
      </c>
      <c r="O46" s="34">
        <f t="shared" si="1"/>
        <v>306</v>
      </c>
      <c r="P46" s="381">
        <f t="shared" si="4"/>
        <v>0.37037037037037035</v>
      </c>
    </row>
    <row r="47" spans="1:16" ht="18.95" customHeight="1">
      <c r="A47" s="372">
        <f t="shared" si="5"/>
        <v>35</v>
      </c>
      <c r="B47" s="385" t="s">
        <v>2763</v>
      </c>
      <c r="C47" s="382" t="s">
        <v>2764</v>
      </c>
      <c r="D47" s="110">
        <v>42736</v>
      </c>
      <c r="E47" s="111">
        <v>43039</v>
      </c>
      <c r="F47" s="114">
        <f t="shared" si="2"/>
        <v>0.19141914191419143</v>
      </c>
      <c r="G47" s="382">
        <v>50000</v>
      </c>
      <c r="H47" s="382">
        <v>100000</v>
      </c>
      <c r="I47" s="386">
        <v>30000</v>
      </c>
      <c r="J47" s="380">
        <f t="shared" si="3"/>
        <v>0.3</v>
      </c>
      <c r="M47" s="34">
        <f t="shared" si="0"/>
        <v>303</v>
      </c>
      <c r="N47" s="111">
        <v>42794</v>
      </c>
      <c r="O47" s="34">
        <f t="shared" si="1"/>
        <v>245</v>
      </c>
      <c r="P47" s="381">
        <f t="shared" si="4"/>
        <v>0.19141914191419143</v>
      </c>
    </row>
    <row r="48" spans="1:16" ht="18.95" customHeight="1">
      <c r="A48" s="372">
        <f t="shared" si="5"/>
        <v>36</v>
      </c>
      <c r="B48" s="385" t="s">
        <v>2846</v>
      </c>
      <c r="C48" s="382" t="s">
        <v>2847</v>
      </c>
      <c r="D48" s="110">
        <v>42736</v>
      </c>
      <c r="E48" s="111">
        <v>43100</v>
      </c>
      <c r="F48" s="114">
        <f t="shared" si="2"/>
        <v>0.15934065934065933</v>
      </c>
      <c r="G48" s="382">
        <v>20000</v>
      </c>
      <c r="H48" s="382">
        <v>20000</v>
      </c>
      <c r="I48" s="386">
        <v>5000</v>
      </c>
      <c r="J48" s="380">
        <f t="shared" si="3"/>
        <v>0.25</v>
      </c>
      <c r="M48" s="34">
        <f t="shared" si="0"/>
        <v>364</v>
      </c>
      <c r="N48" s="111">
        <v>42794</v>
      </c>
      <c r="O48" s="34">
        <f t="shared" si="1"/>
        <v>306</v>
      </c>
      <c r="P48" s="381">
        <f t="shared" si="4"/>
        <v>0.15934065934065933</v>
      </c>
    </row>
    <row r="49" spans="1:16" ht="18.95" customHeight="1">
      <c r="A49" s="372">
        <f t="shared" si="5"/>
        <v>37</v>
      </c>
      <c r="B49" s="385" t="s">
        <v>2823</v>
      </c>
      <c r="C49" s="382" t="s">
        <v>2213</v>
      </c>
      <c r="D49" s="110">
        <v>42005</v>
      </c>
      <c r="E49" s="111">
        <v>44926</v>
      </c>
      <c r="F49" s="114">
        <f t="shared" si="2"/>
        <v>0.27011297500855869</v>
      </c>
      <c r="G49" s="382">
        <v>51000</v>
      </c>
      <c r="H49" s="382">
        <v>71400</v>
      </c>
      <c r="I49" s="386">
        <v>10200</v>
      </c>
      <c r="J49" s="380">
        <f t="shared" si="3"/>
        <v>0.14285714285714285</v>
      </c>
      <c r="M49" s="34">
        <f t="shared" si="0"/>
        <v>2921</v>
      </c>
      <c r="N49" s="111">
        <v>42794</v>
      </c>
      <c r="O49" s="34">
        <f t="shared" si="1"/>
        <v>2132</v>
      </c>
      <c r="P49" s="381">
        <f t="shared" si="4"/>
        <v>0.27011297500855869</v>
      </c>
    </row>
    <row r="50" spans="1:16" ht="18.95" customHeight="1">
      <c r="A50" s="372">
        <f t="shared" si="5"/>
        <v>38</v>
      </c>
      <c r="B50" s="385" t="s">
        <v>2677</v>
      </c>
      <c r="C50" s="382" t="s">
        <v>2678</v>
      </c>
      <c r="D50" s="110">
        <v>41947</v>
      </c>
      <c r="E50" s="111">
        <v>43830</v>
      </c>
      <c r="F50" s="114">
        <f t="shared" si="2"/>
        <v>0.44981412639405205</v>
      </c>
      <c r="G50" s="382">
        <v>5400393.2599999998</v>
      </c>
      <c r="H50" s="382">
        <v>5517222.8399999999</v>
      </c>
      <c r="I50" s="386">
        <v>212992.84</v>
      </c>
      <c r="J50" s="380">
        <f t="shared" si="3"/>
        <v>3.8605081972726697E-2</v>
      </c>
      <c r="M50" s="34">
        <f t="shared" si="0"/>
        <v>1883</v>
      </c>
      <c r="N50" s="111">
        <v>42794</v>
      </c>
      <c r="O50" s="34">
        <f t="shared" si="1"/>
        <v>1036</v>
      </c>
      <c r="P50" s="381">
        <f t="shared" si="4"/>
        <v>0.44981412639405205</v>
      </c>
    </row>
    <row r="51" spans="1:16" ht="18.95" customHeight="1">
      <c r="A51" s="372">
        <f t="shared" si="5"/>
        <v>39</v>
      </c>
      <c r="B51" s="385" t="s">
        <v>2830</v>
      </c>
      <c r="C51" s="382" t="s">
        <v>2831</v>
      </c>
      <c r="D51" s="110">
        <v>42736</v>
      </c>
      <c r="E51" s="111">
        <v>43100</v>
      </c>
      <c r="F51" s="114">
        <f t="shared" si="2"/>
        <v>0.15934065934065933</v>
      </c>
      <c r="G51" s="382">
        <v>276054.24</v>
      </c>
      <c r="H51" s="382">
        <v>95680</v>
      </c>
      <c r="I51" s="386">
        <v>8320</v>
      </c>
      <c r="J51" s="380">
        <f t="shared" si="3"/>
        <v>8.6956521739130432E-2</v>
      </c>
      <c r="M51" s="34">
        <f t="shared" si="0"/>
        <v>364</v>
      </c>
      <c r="N51" s="111">
        <v>42794</v>
      </c>
      <c r="O51" s="34">
        <f t="shared" si="1"/>
        <v>306</v>
      </c>
      <c r="P51" s="381">
        <f t="shared" si="4"/>
        <v>0.15934065934065933</v>
      </c>
    </row>
    <row r="52" spans="1:16" ht="18.95" customHeight="1">
      <c r="A52" s="372">
        <f t="shared" si="5"/>
        <v>40</v>
      </c>
      <c r="B52" s="385" t="s">
        <v>2725</v>
      </c>
      <c r="C52" s="382" t="s">
        <v>2726</v>
      </c>
      <c r="D52" s="110">
        <v>42384</v>
      </c>
      <c r="E52" s="111">
        <v>43100</v>
      </c>
      <c r="F52" s="114">
        <f t="shared" si="2"/>
        <v>0.57262569832402233</v>
      </c>
      <c r="G52" s="382">
        <v>190310.12</v>
      </c>
      <c r="H52" s="382">
        <v>102363.6</v>
      </c>
      <c r="I52" s="386">
        <v>78416.600000000006</v>
      </c>
      <c r="J52" s="380">
        <f t="shared" si="3"/>
        <v>0.76605941955929646</v>
      </c>
      <c r="M52" s="34">
        <f t="shared" si="0"/>
        <v>716</v>
      </c>
      <c r="N52" s="111">
        <v>42794</v>
      </c>
      <c r="O52" s="34">
        <f t="shared" si="1"/>
        <v>306</v>
      </c>
      <c r="P52" s="381">
        <f t="shared" si="4"/>
        <v>0.57262569832402233</v>
      </c>
    </row>
    <row r="53" spans="1:16" ht="18.95" customHeight="1">
      <c r="A53" s="372">
        <f t="shared" si="5"/>
        <v>41</v>
      </c>
      <c r="B53" s="385" t="s">
        <v>2741</v>
      </c>
      <c r="C53" s="382" t="s">
        <v>2742</v>
      </c>
      <c r="D53" s="110">
        <v>42213</v>
      </c>
      <c r="E53" s="111">
        <v>43251</v>
      </c>
      <c r="F53" s="114">
        <f t="shared" si="2"/>
        <v>0.55973025048169556</v>
      </c>
      <c r="G53" s="382">
        <v>96000</v>
      </c>
      <c r="H53" s="382">
        <v>87520.18</v>
      </c>
      <c r="I53" s="386">
        <v>41520.18</v>
      </c>
      <c r="J53" s="380">
        <f t="shared" si="3"/>
        <v>0.47440693106435572</v>
      </c>
      <c r="M53" s="34">
        <f t="shared" si="0"/>
        <v>1038</v>
      </c>
      <c r="N53" s="111">
        <v>42794</v>
      </c>
      <c r="O53" s="34">
        <f t="shared" si="1"/>
        <v>457</v>
      </c>
      <c r="P53" s="381">
        <f t="shared" si="4"/>
        <v>0.55973025048169556</v>
      </c>
    </row>
    <row r="54" spans="1:16" ht="18.95" customHeight="1">
      <c r="A54" s="372">
        <f t="shared" si="5"/>
        <v>42</v>
      </c>
      <c r="B54" s="385" t="s">
        <v>2660</v>
      </c>
      <c r="C54" s="382" t="s">
        <v>2661</v>
      </c>
      <c r="D54" s="110">
        <v>42736</v>
      </c>
      <c r="E54" s="111">
        <v>43100</v>
      </c>
      <c r="F54" s="114">
        <f t="shared" si="2"/>
        <v>0.15934065934065933</v>
      </c>
      <c r="G54" s="382">
        <v>365981</v>
      </c>
      <c r="H54" s="382">
        <v>364000</v>
      </c>
      <c r="I54" s="386">
        <v>301600</v>
      </c>
      <c r="J54" s="380">
        <f t="shared" si="3"/>
        <v>0.82857142857142863</v>
      </c>
      <c r="M54" s="34">
        <f t="shared" si="0"/>
        <v>364</v>
      </c>
      <c r="N54" s="111">
        <v>42794</v>
      </c>
      <c r="O54" s="34">
        <f t="shared" si="1"/>
        <v>306</v>
      </c>
      <c r="P54" s="381">
        <f t="shared" si="4"/>
        <v>0.15934065934065933</v>
      </c>
    </row>
    <row r="55" spans="1:16" ht="18.95" customHeight="1">
      <c r="A55" s="372">
        <f t="shared" si="5"/>
        <v>43</v>
      </c>
      <c r="B55" s="385" t="s">
        <v>2705</v>
      </c>
      <c r="C55" s="382" t="s">
        <v>2706</v>
      </c>
      <c r="D55" s="110">
        <v>42430</v>
      </c>
      <c r="E55" s="111">
        <v>42887</v>
      </c>
      <c r="F55" s="114">
        <f t="shared" si="2"/>
        <v>0.79649890590809624</v>
      </c>
      <c r="G55" s="382">
        <v>530000</v>
      </c>
      <c r="H55" s="382">
        <v>434713.10000000003</v>
      </c>
      <c r="I55" s="386">
        <v>101713.09999999999</v>
      </c>
      <c r="J55" s="380">
        <f t="shared" si="3"/>
        <v>0.23397753598867846</v>
      </c>
      <c r="M55" s="34">
        <f t="shared" si="0"/>
        <v>457</v>
      </c>
      <c r="N55" s="111">
        <v>42794</v>
      </c>
      <c r="O55" s="34">
        <f t="shared" si="1"/>
        <v>93</v>
      </c>
      <c r="P55" s="381">
        <f t="shared" si="4"/>
        <v>0.79649890590809624</v>
      </c>
    </row>
    <row r="56" spans="1:16" ht="18.95" customHeight="1">
      <c r="A56" s="372">
        <f t="shared" si="5"/>
        <v>44</v>
      </c>
      <c r="B56" s="385" t="s">
        <v>2630</v>
      </c>
      <c r="C56" s="382" t="s">
        <v>2631</v>
      </c>
      <c r="D56" s="110">
        <v>42491</v>
      </c>
      <c r="E56" s="111">
        <v>43100</v>
      </c>
      <c r="F56" s="114">
        <f t="shared" si="2"/>
        <v>0.49753694581280788</v>
      </c>
      <c r="G56" s="382">
        <v>4747000</v>
      </c>
      <c r="H56" s="382">
        <v>4909000.08</v>
      </c>
      <c r="I56" s="386">
        <v>1175000.08</v>
      </c>
      <c r="J56" s="380">
        <f t="shared" si="3"/>
        <v>0.23935629677154133</v>
      </c>
      <c r="M56" s="34">
        <f t="shared" si="0"/>
        <v>609</v>
      </c>
      <c r="N56" s="111">
        <v>42794</v>
      </c>
      <c r="O56" s="34">
        <f t="shared" si="1"/>
        <v>306</v>
      </c>
      <c r="P56" s="381">
        <f t="shared" si="4"/>
        <v>0.49753694581280788</v>
      </c>
    </row>
    <row r="57" spans="1:16" s="387" customFormat="1" ht="20.100000000000001" customHeight="1">
      <c r="A57" s="706" t="str">
        <f>$A$1</f>
        <v>KENTUCKY UTILITIES COMPANY</v>
      </c>
      <c r="B57" s="706"/>
      <c r="C57" s="706"/>
      <c r="D57" s="706"/>
      <c r="E57" s="706"/>
      <c r="F57" s="706"/>
      <c r="G57" s="706"/>
      <c r="H57" s="706"/>
      <c r="I57" s="706"/>
      <c r="J57" s="706"/>
    </row>
    <row r="58" spans="1:16" s="387" customFormat="1" ht="20.100000000000001" customHeight="1">
      <c r="A58" s="706" t="str">
        <f>$A$2</f>
        <v>CASE NO. 2016-00370</v>
      </c>
      <c r="B58" s="706"/>
      <c r="C58" s="706"/>
      <c r="D58" s="706"/>
      <c r="E58" s="706"/>
      <c r="F58" s="706"/>
      <c r="G58" s="706"/>
      <c r="H58" s="706"/>
      <c r="I58" s="706"/>
      <c r="J58" s="706"/>
    </row>
    <row r="59" spans="1:16" s="387" customFormat="1" ht="20.100000000000001" customHeight="1">
      <c r="A59" s="706" t="s">
        <v>1225</v>
      </c>
      <c r="B59" s="706"/>
      <c r="C59" s="706"/>
      <c r="D59" s="706"/>
      <c r="E59" s="706"/>
      <c r="F59" s="706"/>
      <c r="G59" s="706"/>
      <c r="H59" s="706"/>
      <c r="I59" s="706"/>
      <c r="J59" s="706"/>
    </row>
    <row r="60" spans="1:16" s="387" customFormat="1" ht="20.100000000000001" customHeight="1">
      <c r="A60" s="706" t="str">
        <f>$A$4</f>
        <v>AS OF FEBRUARY 28, 2017</v>
      </c>
      <c r="B60" s="706"/>
      <c r="C60" s="706"/>
      <c r="D60" s="706"/>
      <c r="E60" s="706"/>
      <c r="F60" s="706"/>
      <c r="G60" s="706"/>
      <c r="H60" s="706"/>
      <c r="I60" s="706"/>
      <c r="J60" s="706"/>
    </row>
    <row r="61" spans="1:16" s="387" customFormat="1" ht="20.100000000000001" customHeight="1">
      <c r="A61" s="370"/>
      <c r="B61" s="370"/>
      <c r="C61" s="370"/>
      <c r="D61" s="370"/>
      <c r="E61" s="370"/>
      <c r="F61" s="370"/>
      <c r="G61" s="370"/>
      <c r="H61" s="370"/>
      <c r="I61" s="370"/>
      <c r="J61" s="370"/>
    </row>
    <row r="62" spans="1:16" s="387" customFormat="1" ht="20.100000000000001" customHeight="1">
      <c r="A62" s="27" t="str">
        <f>$A$6</f>
        <v>DATA:__X__BASE  PERIOD____FORECASTED  PERIOD</v>
      </c>
      <c r="B62" s="371"/>
      <c r="C62" s="28"/>
      <c r="D62" s="109"/>
      <c r="E62" s="109"/>
      <c r="F62" s="28"/>
      <c r="G62" s="34"/>
      <c r="H62" s="34"/>
      <c r="I62" s="34"/>
      <c r="J62" s="34" t="s">
        <v>1767</v>
      </c>
    </row>
    <row r="63" spans="1:16" s="387" customFormat="1" ht="20.100000000000001" customHeight="1">
      <c r="A63" s="27" t="str">
        <f>$A$7</f>
        <v>TYPE OF FILING: __X__ ORIGINAL  _____ UPDATED  _____ REVISED</v>
      </c>
      <c r="B63" s="372"/>
      <c r="C63" s="28"/>
      <c r="D63" s="109"/>
      <c r="E63" s="109"/>
      <c r="F63" s="28"/>
      <c r="G63" s="34"/>
      <c r="H63" s="34"/>
      <c r="I63" s="34"/>
      <c r="J63" s="34" t="s">
        <v>3262</v>
      </c>
    </row>
    <row r="64" spans="1:16" s="387" customFormat="1" ht="20.100000000000001" customHeight="1">
      <c r="A64" s="27" t="str">
        <f>$A$8</f>
        <v>WORKPAPER REFERENCE NO(S).:</v>
      </c>
      <c r="B64" s="371"/>
      <c r="C64" s="28"/>
      <c r="D64" s="109"/>
      <c r="E64" s="109"/>
      <c r="F64" s="27"/>
      <c r="G64" s="35"/>
      <c r="H64" s="35"/>
      <c r="I64" s="35"/>
      <c r="J64" s="35" t="str">
        <f>$J$8</f>
        <v>WITNESS:   C. M. GARRETT</v>
      </c>
    </row>
    <row r="65" spans="1:16" s="387" customFormat="1" ht="20.100000000000001" customHeight="1">
      <c r="A65" s="28"/>
      <c r="B65" s="372"/>
      <c r="C65" s="28"/>
      <c r="D65" s="109"/>
      <c r="E65" s="109"/>
      <c r="F65" s="28"/>
      <c r="G65" s="28"/>
      <c r="H65" s="28"/>
      <c r="I65" s="28"/>
      <c r="J65" s="28"/>
    </row>
    <row r="66" spans="1:16" ht="66.95" customHeight="1">
      <c r="A66" s="36" t="s">
        <v>134</v>
      </c>
      <c r="B66" s="36" t="s">
        <v>1228</v>
      </c>
      <c r="C66" s="36" t="s">
        <v>1229</v>
      </c>
      <c r="D66" s="107" t="s">
        <v>1231</v>
      </c>
      <c r="E66" s="107" t="s">
        <v>1232</v>
      </c>
      <c r="F66" s="36" t="s">
        <v>1233</v>
      </c>
      <c r="G66" s="36" t="s">
        <v>1234</v>
      </c>
      <c r="H66" s="36" t="s">
        <v>1235</v>
      </c>
      <c r="I66" s="36" t="s">
        <v>1236</v>
      </c>
      <c r="J66" s="36" t="s">
        <v>1237</v>
      </c>
      <c r="M66" s="115" t="s">
        <v>1245</v>
      </c>
      <c r="N66" s="115" t="s">
        <v>1246</v>
      </c>
      <c r="O66" s="115" t="s">
        <v>1247</v>
      </c>
      <c r="P66" s="115" t="s">
        <v>1233</v>
      </c>
    </row>
    <row r="67" spans="1:16" s="387" customFormat="1" ht="23.1" customHeight="1">
      <c r="A67" s="40" t="s">
        <v>1226</v>
      </c>
      <c r="B67" s="40" t="s">
        <v>1227</v>
      </c>
      <c r="C67" s="40" t="s">
        <v>1230</v>
      </c>
      <c r="D67" s="383" t="s">
        <v>1238</v>
      </c>
      <c r="E67" s="383" t="s">
        <v>1239</v>
      </c>
      <c r="F67" s="384" t="s">
        <v>1240</v>
      </c>
      <c r="G67" s="384" t="s">
        <v>1241</v>
      </c>
      <c r="H67" s="384" t="s">
        <v>1242</v>
      </c>
      <c r="I67" s="384" t="s">
        <v>1243</v>
      </c>
      <c r="J67" s="384" t="s">
        <v>1244</v>
      </c>
    </row>
    <row r="68" spans="1:16" s="387" customFormat="1" ht="18.95" customHeight="1">
      <c r="A68" s="33"/>
      <c r="B68" s="33"/>
      <c r="C68" s="33"/>
      <c r="D68" s="388"/>
      <c r="E68" s="388"/>
      <c r="F68" s="389"/>
      <c r="G68" s="389"/>
      <c r="H68" s="389"/>
      <c r="I68" s="389"/>
      <c r="J68" s="389"/>
    </row>
    <row r="69" spans="1:16" ht="18.95" customHeight="1">
      <c r="A69" s="372">
        <f>A56+1</f>
        <v>45</v>
      </c>
      <c r="B69" s="385" t="s">
        <v>2745</v>
      </c>
      <c r="C69" s="382" t="s">
        <v>2746</v>
      </c>
      <c r="D69" s="110">
        <v>42583</v>
      </c>
      <c r="E69" s="111">
        <v>42886</v>
      </c>
      <c r="F69" s="114">
        <v>0.69636963696369636</v>
      </c>
      <c r="G69" s="382">
        <v>640000</v>
      </c>
      <c r="H69" s="382">
        <v>152500</v>
      </c>
      <c r="I69" s="386">
        <v>40000</v>
      </c>
      <c r="J69" s="380">
        <f t="shared" si="3"/>
        <v>0.26229508196721313</v>
      </c>
      <c r="M69" s="34">
        <f t="shared" si="0"/>
        <v>303</v>
      </c>
      <c r="N69" s="111">
        <v>42794</v>
      </c>
      <c r="O69" s="34">
        <f t="shared" si="1"/>
        <v>92</v>
      </c>
      <c r="P69" s="381">
        <f t="shared" si="4"/>
        <v>0.69636963696369636</v>
      </c>
    </row>
    <row r="70" spans="1:16" ht="18.95" customHeight="1">
      <c r="A70" s="372">
        <f t="shared" si="5"/>
        <v>46</v>
      </c>
      <c r="B70" s="385" t="s">
        <v>2832</v>
      </c>
      <c r="C70" s="382" t="s">
        <v>2833</v>
      </c>
      <c r="D70" s="110">
        <v>42736</v>
      </c>
      <c r="E70" s="111">
        <v>46387</v>
      </c>
      <c r="F70" s="114">
        <v>1.5886058614078335E-2</v>
      </c>
      <c r="G70" s="382">
        <v>544535</v>
      </c>
      <c r="H70" s="382">
        <v>612899.79999999993</v>
      </c>
      <c r="I70" s="386">
        <v>7645</v>
      </c>
      <c r="J70" s="380">
        <f t="shared" si="3"/>
        <v>1.2473490772880005E-2</v>
      </c>
      <c r="M70" s="34">
        <f t="shared" si="0"/>
        <v>3651</v>
      </c>
      <c r="N70" s="111">
        <v>42794</v>
      </c>
      <c r="O70" s="34">
        <f t="shared" si="1"/>
        <v>3593</v>
      </c>
      <c r="P70" s="381">
        <f t="shared" si="4"/>
        <v>1.5886058614078335E-2</v>
      </c>
    </row>
    <row r="71" spans="1:16" ht="18.95" customHeight="1">
      <c r="A71" s="372">
        <f t="shared" si="5"/>
        <v>47</v>
      </c>
      <c r="B71" s="385" t="s">
        <v>2842</v>
      </c>
      <c r="C71" s="382" t="s">
        <v>2843</v>
      </c>
      <c r="D71" s="110">
        <v>42736</v>
      </c>
      <c r="E71" s="111">
        <v>45991</v>
      </c>
      <c r="F71" s="114">
        <v>1.7818740399385562E-2</v>
      </c>
      <c r="G71" s="382">
        <v>105180</v>
      </c>
      <c r="H71" s="382">
        <v>105180</v>
      </c>
      <c r="I71" s="386">
        <v>5166.7</v>
      </c>
      <c r="J71" s="380">
        <f t="shared" si="3"/>
        <v>4.912245674082525E-2</v>
      </c>
      <c r="M71" s="34">
        <f t="shared" si="0"/>
        <v>3255</v>
      </c>
      <c r="N71" s="111">
        <v>42794</v>
      </c>
      <c r="O71" s="34">
        <f t="shared" si="1"/>
        <v>3197</v>
      </c>
      <c r="P71" s="381">
        <f t="shared" si="4"/>
        <v>1.7818740399385562E-2</v>
      </c>
    </row>
    <row r="72" spans="1:16" ht="18.95" customHeight="1">
      <c r="A72" s="372">
        <f t="shared" si="5"/>
        <v>48</v>
      </c>
      <c r="B72" s="385" t="s">
        <v>2759</v>
      </c>
      <c r="C72" s="382" t="s">
        <v>2760</v>
      </c>
      <c r="D72" s="110">
        <v>42736</v>
      </c>
      <c r="E72" s="111">
        <v>43799</v>
      </c>
      <c r="F72" s="114">
        <v>5.456255879586077E-2</v>
      </c>
      <c r="G72" s="382">
        <v>122320</v>
      </c>
      <c r="H72" s="382">
        <v>305770</v>
      </c>
      <c r="I72" s="386">
        <v>30580</v>
      </c>
      <c r="J72" s="380">
        <f t="shared" si="3"/>
        <v>0.10000981129607221</v>
      </c>
      <c r="M72" s="34">
        <f t="shared" si="0"/>
        <v>1063</v>
      </c>
      <c r="N72" s="111">
        <v>42794</v>
      </c>
      <c r="O72" s="34">
        <f t="shared" si="1"/>
        <v>1005</v>
      </c>
      <c r="P72" s="381">
        <f t="shared" si="4"/>
        <v>5.456255879586077E-2</v>
      </c>
    </row>
    <row r="73" spans="1:16" ht="18.95" customHeight="1">
      <c r="A73" s="372">
        <f t="shared" si="5"/>
        <v>49</v>
      </c>
      <c r="B73" s="385" t="s">
        <v>2713</v>
      </c>
      <c r="C73" s="382" t="s">
        <v>2714</v>
      </c>
      <c r="D73" s="110">
        <v>42614</v>
      </c>
      <c r="E73" s="111">
        <v>43100</v>
      </c>
      <c r="F73" s="114">
        <v>0.37037037037037035</v>
      </c>
      <c r="G73" s="382">
        <v>855804.6</v>
      </c>
      <c r="H73" s="382">
        <v>849999.97</v>
      </c>
      <c r="I73" s="386">
        <v>99999.94</v>
      </c>
      <c r="J73" s="380">
        <f t="shared" si="3"/>
        <v>0.11764699238754091</v>
      </c>
      <c r="M73" s="34">
        <f t="shared" si="0"/>
        <v>486</v>
      </c>
      <c r="N73" s="111">
        <v>42794</v>
      </c>
      <c r="O73" s="34">
        <f t="shared" si="1"/>
        <v>306</v>
      </c>
      <c r="P73" s="381">
        <f t="shared" si="4"/>
        <v>0.37037037037037035</v>
      </c>
    </row>
    <row r="74" spans="1:16" ht="18.95" customHeight="1">
      <c r="A74" s="372">
        <f t="shared" si="5"/>
        <v>50</v>
      </c>
      <c r="B74" s="385" t="s">
        <v>2715</v>
      </c>
      <c r="C74" s="382" t="s">
        <v>2716</v>
      </c>
      <c r="D74" s="110">
        <v>42614</v>
      </c>
      <c r="E74" s="111">
        <v>43100</v>
      </c>
      <c r="F74" s="114">
        <v>0.37037037037037035</v>
      </c>
      <c r="G74" s="382">
        <v>855804.6</v>
      </c>
      <c r="H74" s="382">
        <v>849999.97</v>
      </c>
      <c r="I74" s="386">
        <v>99999.94</v>
      </c>
      <c r="J74" s="380">
        <f t="shared" si="3"/>
        <v>0.11764699238754091</v>
      </c>
      <c r="M74" s="34">
        <f t="shared" si="0"/>
        <v>486</v>
      </c>
      <c r="N74" s="111">
        <v>42794</v>
      </c>
      <c r="O74" s="34">
        <f t="shared" si="1"/>
        <v>306</v>
      </c>
      <c r="P74" s="381">
        <f t="shared" si="4"/>
        <v>0.37037037037037035</v>
      </c>
    </row>
    <row r="75" spans="1:16" ht="18.95" customHeight="1">
      <c r="A75" s="372">
        <f t="shared" si="5"/>
        <v>51</v>
      </c>
      <c r="B75" s="385" t="s">
        <v>2755</v>
      </c>
      <c r="C75" s="382" t="s">
        <v>2756</v>
      </c>
      <c r="D75" s="110">
        <v>42164</v>
      </c>
      <c r="E75" s="111">
        <v>44926</v>
      </c>
      <c r="F75" s="114">
        <v>0.2280955829109341</v>
      </c>
      <c r="G75" s="382">
        <v>516492.27</v>
      </c>
      <c r="H75" s="382">
        <v>2021136</v>
      </c>
      <c r="I75" s="386">
        <v>39906</v>
      </c>
      <c r="J75" s="380">
        <f t="shared" si="3"/>
        <v>1.974434179590092E-2</v>
      </c>
      <c r="M75" s="34">
        <f t="shared" si="0"/>
        <v>2762</v>
      </c>
      <c r="N75" s="111">
        <v>42794</v>
      </c>
      <c r="O75" s="34">
        <f t="shared" si="1"/>
        <v>2132</v>
      </c>
      <c r="P75" s="381">
        <f t="shared" si="4"/>
        <v>0.2280955829109341</v>
      </c>
    </row>
    <row r="76" spans="1:16" ht="18.95" customHeight="1">
      <c r="A76" s="372">
        <f t="shared" si="5"/>
        <v>52</v>
      </c>
      <c r="B76" s="385" t="s">
        <v>2864</v>
      </c>
      <c r="C76" s="382" t="s">
        <v>2865</v>
      </c>
      <c r="D76" s="110">
        <v>42736</v>
      </c>
      <c r="E76" s="111">
        <v>43100</v>
      </c>
      <c r="F76" s="114">
        <v>0.15934065934065933</v>
      </c>
      <c r="G76" s="382">
        <v>14274.65</v>
      </c>
      <c r="H76" s="382">
        <v>14999.37</v>
      </c>
      <c r="I76" s="386">
        <v>3435</v>
      </c>
      <c r="J76" s="380">
        <f t="shared" si="3"/>
        <v>0.22900961840397296</v>
      </c>
      <c r="M76" s="34">
        <f t="shared" si="0"/>
        <v>364</v>
      </c>
      <c r="N76" s="111">
        <v>42794</v>
      </c>
      <c r="O76" s="34">
        <f t="shared" si="1"/>
        <v>306</v>
      </c>
      <c r="P76" s="381">
        <f t="shared" si="4"/>
        <v>0.15934065934065933</v>
      </c>
    </row>
    <row r="77" spans="1:16" ht="18.95" customHeight="1">
      <c r="A77" s="372">
        <f t="shared" si="5"/>
        <v>53</v>
      </c>
      <c r="B77" s="385" t="s">
        <v>2870</v>
      </c>
      <c r="C77" s="382" t="s">
        <v>2871</v>
      </c>
      <c r="D77" s="110">
        <v>42736</v>
      </c>
      <c r="E77" s="111">
        <v>43100</v>
      </c>
      <c r="F77" s="114">
        <v>0.15934065934065933</v>
      </c>
      <c r="G77" s="382">
        <v>102340.26</v>
      </c>
      <c r="H77" s="382">
        <v>103736.21</v>
      </c>
      <c r="I77" s="386">
        <v>2328.13</v>
      </c>
      <c r="J77" s="380">
        <f t="shared" si="3"/>
        <v>2.2442790227250445E-2</v>
      </c>
      <c r="M77" s="34">
        <f t="shared" si="0"/>
        <v>364</v>
      </c>
      <c r="N77" s="111">
        <v>42794</v>
      </c>
      <c r="O77" s="34">
        <f t="shared" si="1"/>
        <v>306</v>
      </c>
      <c r="P77" s="381">
        <f t="shared" si="4"/>
        <v>0.15934065934065933</v>
      </c>
    </row>
    <row r="78" spans="1:16" ht="18.95" customHeight="1">
      <c r="A78" s="372">
        <f t="shared" si="5"/>
        <v>54</v>
      </c>
      <c r="B78" s="385" t="s">
        <v>2789</v>
      </c>
      <c r="C78" s="382" t="s">
        <v>2790</v>
      </c>
      <c r="D78" s="110">
        <v>42736</v>
      </c>
      <c r="E78" s="111">
        <v>43100</v>
      </c>
      <c r="F78" s="114">
        <v>0.15934065934065933</v>
      </c>
      <c r="G78" s="382">
        <v>28363.1</v>
      </c>
      <c r="H78" s="382">
        <v>27410.63</v>
      </c>
      <c r="I78" s="386">
        <v>22900</v>
      </c>
      <c r="J78" s="380">
        <f t="shared" si="3"/>
        <v>0.83544230833074606</v>
      </c>
      <c r="M78" s="34">
        <f t="shared" si="0"/>
        <v>364</v>
      </c>
      <c r="N78" s="111">
        <v>42794</v>
      </c>
      <c r="O78" s="34">
        <f t="shared" si="1"/>
        <v>306</v>
      </c>
      <c r="P78" s="381">
        <f t="shared" si="4"/>
        <v>0.15934065934065933</v>
      </c>
    </row>
    <row r="79" spans="1:16" ht="18.95" customHeight="1">
      <c r="A79" s="372">
        <f t="shared" si="5"/>
        <v>55</v>
      </c>
      <c r="B79" s="385" t="s">
        <v>2848</v>
      </c>
      <c r="C79" s="382" t="s">
        <v>2849</v>
      </c>
      <c r="D79" s="110">
        <v>42736</v>
      </c>
      <c r="E79" s="111">
        <v>43100</v>
      </c>
      <c r="F79" s="114">
        <v>0.15934065934065933</v>
      </c>
      <c r="G79" s="382">
        <v>61794.38</v>
      </c>
      <c r="H79" s="382">
        <v>62096.85</v>
      </c>
      <c r="I79" s="386">
        <v>4656.24</v>
      </c>
      <c r="J79" s="380">
        <f t="shared" si="3"/>
        <v>7.4983513656489822E-2</v>
      </c>
      <c r="M79" s="34">
        <f t="shared" si="0"/>
        <v>364</v>
      </c>
      <c r="N79" s="111">
        <v>42794</v>
      </c>
      <c r="O79" s="34">
        <f t="shared" si="1"/>
        <v>306</v>
      </c>
      <c r="P79" s="381">
        <f t="shared" si="4"/>
        <v>0.15934065934065933</v>
      </c>
    </row>
    <row r="80" spans="1:16" ht="18.95" customHeight="1">
      <c r="A80" s="372">
        <f t="shared" si="5"/>
        <v>56</v>
      </c>
      <c r="B80" s="385" t="s">
        <v>2850</v>
      </c>
      <c r="C80" s="382" t="s">
        <v>2851</v>
      </c>
      <c r="D80" s="110">
        <v>42736</v>
      </c>
      <c r="E80" s="111">
        <v>43100</v>
      </c>
      <c r="F80" s="114">
        <v>0.15934065934065933</v>
      </c>
      <c r="G80" s="382">
        <v>86938.34</v>
      </c>
      <c r="H80" s="382">
        <v>65874.960000000006</v>
      </c>
      <c r="I80" s="386">
        <v>4656.24</v>
      </c>
      <c r="J80" s="380">
        <f t="shared" si="3"/>
        <v>7.0683003071273204E-2</v>
      </c>
      <c r="M80" s="34">
        <f t="shared" si="0"/>
        <v>364</v>
      </c>
      <c r="N80" s="111">
        <v>42794</v>
      </c>
      <c r="O80" s="34">
        <f t="shared" si="1"/>
        <v>306</v>
      </c>
      <c r="P80" s="381">
        <f t="shared" si="4"/>
        <v>0.15934065934065933</v>
      </c>
    </row>
    <row r="81" spans="1:16" ht="18.95" customHeight="1">
      <c r="A81" s="372">
        <f t="shared" si="5"/>
        <v>57</v>
      </c>
      <c r="B81" s="385" t="s">
        <v>2791</v>
      </c>
      <c r="C81" s="382" t="s">
        <v>2792</v>
      </c>
      <c r="D81" s="110">
        <v>42736</v>
      </c>
      <c r="E81" s="111">
        <v>43100</v>
      </c>
      <c r="F81" s="114">
        <v>0.15934065934065933</v>
      </c>
      <c r="G81" s="382">
        <v>93481.66</v>
      </c>
      <c r="H81" s="382">
        <v>43371.26</v>
      </c>
      <c r="I81" s="386">
        <v>22900</v>
      </c>
      <c r="J81" s="380">
        <f t="shared" si="3"/>
        <v>0.52799941712553422</v>
      </c>
      <c r="M81" s="34">
        <f t="shared" si="0"/>
        <v>364</v>
      </c>
      <c r="N81" s="111">
        <v>42794</v>
      </c>
      <c r="O81" s="34">
        <f t="shared" si="1"/>
        <v>306</v>
      </c>
      <c r="P81" s="381">
        <f t="shared" si="4"/>
        <v>0.15934065934065933</v>
      </c>
    </row>
    <row r="82" spans="1:16" ht="18.95" customHeight="1">
      <c r="A82" s="372">
        <f t="shared" si="5"/>
        <v>58</v>
      </c>
      <c r="B82" s="385" t="s">
        <v>2817</v>
      </c>
      <c r="C82" s="382" t="s">
        <v>2818</v>
      </c>
      <c r="D82" s="110">
        <v>42736</v>
      </c>
      <c r="E82" s="111">
        <v>43100</v>
      </c>
      <c r="F82" s="114">
        <v>0.15934065934065933</v>
      </c>
      <c r="G82" s="382">
        <v>52798.27</v>
      </c>
      <c r="H82" s="382">
        <v>53468.15</v>
      </c>
      <c r="I82" s="386">
        <v>11450</v>
      </c>
      <c r="J82" s="380">
        <f t="shared" si="3"/>
        <v>0.21414617861287513</v>
      </c>
      <c r="M82" s="34">
        <f t="shared" si="0"/>
        <v>364</v>
      </c>
      <c r="N82" s="111">
        <v>42794</v>
      </c>
      <c r="O82" s="34">
        <f t="shared" si="1"/>
        <v>306</v>
      </c>
      <c r="P82" s="381">
        <f t="shared" si="4"/>
        <v>0.15934065934065933</v>
      </c>
    </row>
    <row r="83" spans="1:16" ht="18.95" customHeight="1">
      <c r="A83" s="372">
        <f t="shared" si="5"/>
        <v>59</v>
      </c>
      <c r="B83" s="385" t="s">
        <v>2813</v>
      </c>
      <c r="C83" s="382" t="s">
        <v>2814</v>
      </c>
      <c r="D83" s="110">
        <v>42736</v>
      </c>
      <c r="E83" s="111">
        <v>43100</v>
      </c>
      <c r="F83" s="114">
        <v>0.15934065934065933</v>
      </c>
      <c r="G83" s="382">
        <v>150738.01999999999</v>
      </c>
      <c r="H83" s="382">
        <v>147220.87</v>
      </c>
      <c r="I83" s="386">
        <v>11941.7</v>
      </c>
      <c r="J83" s="380">
        <f t="shared" si="3"/>
        <v>8.1114178988345886E-2</v>
      </c>
      <c r="M83" s="34">
        <f t="shared" si="0"/>
        <v>364</v>
      </c>
      <c r="N83" s="111">
        <v>42794</v>
      </c>
      <c r="O83" s="34">
        <f t="shared" si="1"/>
        <v>306</v>
      </c>
      <c r="P83" s="381">
        <f t="shared" si="4"/>
        <v>0.15934065934065933</v>
      </c>
    </row>
    <row r="84" spans="1:16" ht="18.95" customHeight="1">
      <c r="A84" s="372">
        <f t="shared" si="5"/>
        <v>60</v>
      </c>
      <c r="B84" s="385" t="s">
        <v>2819</v>
      </c>
      <c r="C84" s="382" t="s">
        <v>2820</v>
      </c>
      <c r="D84" s="110">
        <v>42736</v>
      </c>
      <c r="E84" s="111">
        <v>43100</v>
      </c>
      <c r="F84" s="114">
        <v>0.15934065934065933</v>
      </c>
      <c r="G84" s="382">
        <v>45684.33</v>
      </c>
      <c r="H84" s="382">
        <v>46459.43</v>
      </c>
      <c r="I84" s="386">
        <v>11450</v>
      </c>
      <c r="J84" s="380">
        <f t="shared" si="3"/>
        <v>0.2464515815196183</v>
      </c>
      <c r="M84" s="34">
        <f t="shared" si="0"/>
        <v>364</v>
      </c>
      <c r="N84" s="111">
        <v>42794</v>
      </c>
      <c r="O84" s="34">
        <f t="shared" si="1"/>
        <v>306</v>
      </c>
      <c r="P84" s="381">
        <f t="shared" si="4"/>
        <v>0.15934065934065933</v>
      </c>
    </row>
    <row r="85" spans="1:16" ht="18.95" customHeight="1">
      <c r="A85" s="372">
        <f t="shared" si="5"/>
        <v>61</v>
      </c>
      <c r="B85" s="385" t="s">
        <v>2781</v>
      </c>
      <c r="C85" s="382" t="s">
        <v>2782</v>
      </c>
      <c r="D85" s="110">
        <v>42736</v>
      </c>
      <c r="E85" s="111">
        <v>43100</v>
      </c>
      <c r="F85" s="114">
        <v>0.15934065934065933</v>
      </c>
      <c r="G85" s="382">
        <v>95574.76</v>
      </c>
      <c r="H85" s="382">
        <v>96839.41</v>
      </c>
      <c r="I85" s="386">
        <v>26265.63</v>
      </c>
      <c r="J85" s="380">
        <f t="shared" si="3"/>
        <v>0.27122872805606724</v>
      </c>
      <c r="M85" s="34">
        <f t="shared" si="0"/>
        <v>364</v>
      </c>
      <c r="N85" s="111">
        <v>42794</v>
      </c>
      <c r="O85" s="34">
        <f t="shared" si="1"/>
        <v>306</v>
      </c>
      <c r="P85" s="381">
        <f t="shared" si="4"/>
        <v>0.15934065934065933</v>
      </c>
    </row>
    <row r="86" spans="1:16" ht="18.95" customHeight="1">
      <c r="A86" s="372">
        <f t="shared" si="5"/>
        <v>62</v>
      </c>
      <c r="B86" s="385" t="s">
        <v>2767</v>
      </c>
      <c r="C86" s="382" t="s">
        <v>2768</v>
      </c>
      <c r="D86" s="110">
        <v>42736</v>
      </c>
      <c r="E86" s="111">
        <v>43100</v>
      </c>
      <c r="F86" s="114">
        <v>0.15934065934065933</v>
      </c>
      <c r="G86" s="382">
        <v>78975.53</v>
      </c>
      <c r="H86" s="382">
        <v>79803.16</v>
      </c>
      <c r="I86" s="386">
        <v>29700.63</v>
      </c>
      <c r="J86" s="380">
        <f t="shared" si="3"/>
        <v>0.37217360816288475</v>
      </c>
      <c r="M86" s="34">
        <f t="shared" si="0"/>
        <v>364</v>
      </c>
      <c r="N86" s="111">
        <v>42794</v>
      </c>
      <c r="O86" s="34">
        <f t="shared" si="1"/>
        <v>306</v>
      </c>
      <c r="P86" s="381">
        <f t="shared" si="4"/>
        <v>0.15934065934065933</v>
      </c>
    </row>
    <row r="87" spans="1:16" ht="18.95" customHeight="1">
      <c r="A87" s="372">
        <f t="shared" si="5"/>
        <v>63</v>
      </c>
      <c r="B87" s="385" t="s">
        <v>2874</v>
      </c>
      <c r="C87" s="382" t="s">
        <v>2875</v>
      </c>
      <c r="D87" s="110">
        <v>42736</v>
      </c>
      <c r="E87" s="111">
        <v>43100</v>
      </c>
      <c r="F87" s="114">
        <v>0.15934065934065933</v>
      </c>
      <c r="G87" s="382">
        <v>34013.18</v>
      </c>
      <c r="H87" s="382">
        <v>34072.519999999997</v>
      </c>
      <c r="I87" s="386">
        <v>2220.63</v>
      </c>
      <c r="J87" s="380">
        <f t="shared" si="3"/>
        <v>6.5173635527985607E-2</v>
      </c>
      <c r="M87" s="34">
        <f t="shared" si="0"/>
        <v>364</v>
      </c>
      <c r="N87" s="111">
        <v>42794</v>
      </c>
      <c r="O87" s="34">
        <f t="shared" si="1"/>
        <v>306</v>
      </c>
      <c r="P87" s="381">
        <f t="shared" si="4"/>
        <v>0.15934065934065933</v>
      </c>
    </row>
    <row r="88" spans="1:16" ht="18.95" customHeight="1">
      <c r="A88" s="372">
        <f t="shared" si="5"/>
        <v>64</v>
      </c>
      <c r="B88" s="385" t="s">
        <v>2617</v>
      </c>
      <c r="C88" s="382" t="s">
        <v>2618</v>
      </c>
      <c r="D88" s="110">
        <v>42370</v>
      </c>
      <c r="E88" s="111">
        <v>43100</v>
      </c>
      <c r="F88" s="114">
        <v>0.58082191780821912</v>
      </c>
      <c r="G88" s="382">
        <v>3174087.5700000003</v>
      </c>
      <c r="H88" s="382">
        <v>3460036.1</v>
      </c>
      <c r="I88" s="386">
        <v>3198393.13</v>
      </c>
      <c r="J88" s="380">
        <f t="shared" si="3"/>
        <v>0.92438143347695123</v>
      </c>
      <c r="M88" s="34">
        <f t="shared" si="0"/>
        <v>730</v>
      </c>
      <c r="N88" s="111">
        <v>42794</v>
      </c>
      <c r="O88" s="34">
        <f t="shared" si="1"/>
        <v>306</v>
      </c>
      <c r="P88" s="381">
        <f t="shared" si="4"/>
        <v>0.58082191780821912</v>
      </c>
    </row>
    <row r="89" spans="1:16" ht="18.95" customHeight="1">
      <c r="A89" s="372">
        <f t="shared" si="5"/>
        <v>65</v>
      </c>
      <c r="B89" s="385" t="s">
        <v>2658</v>
      </c>
      <c r="C89" s="382" t="s">
        <v>2659</v>
      </c>
      <c r="D89" s="110">
        <v>42430</v>
      </c>
      <c r="E89" s="111">
        <v>42887</v>
      </c>
      <c r="F89" s="114">
        <v>0.79649890590809624</v>
      </c>
      <c r="G89" s="382">
        <v>820000</v>
      </c>
      <c r="H89" s="382">
        <v>800571.66999999993</v>
      </c>
      <c r="I89" s="386">
        <v>305571.67000000004</v>
      </c>
      <c r="J89" s="380">
        <f t="shared" si="3"/>
        <v>0.38169183528565293</v>
      </c>
      <c r="M89" s="34">
        <f t="shared" ref="M89:M164" si="6">E89-D89</f>
        <v>457</v>
      </c>
      <c r="N89" s="111">
        <v>42794</v>
      </c>
      <c r="O89" s="34">
        <f t="shared" ref="O89:O164" si="7">E89-N89</f>
        <v>93</v>
      </c>
      <c r="P89" s="381">
        <f t="shared" si="4"/>
        <v>0.79649890590809624</v>
      </c>
    </row>
    <row r="90" spans="1:16" ht="18.95" customHeight="1">
      <c r="A90" s="372">
        <f t="shared" si="5"/>
        <v>66</v>
      </c>
      <c r="B90" s="385" t="s">
        <v>2799</v>
      </c>
      <c r="C90" s="382" t="s">
        <v>2800</v>
      </c>
      <c r="D90" s="110">
        <v>42205</v>
      </c>
      <c r="E90" s="111">
        <v>43100</v>
      </c>
      <c r="F90" s="114">
        <v>0.6581005586592179</v>
      </c>
      <c r="G90" s="382">
        <v>120000</v>
      </c>
      <c r="H90" s="382">
        <v>120000</v>
      </c>
      <c r="I90" s="386">
        <v>20000</v>
      </c>
      <c r="J90" s="380">
        <f t="shared" ref="J90:J165" si="8">I90/H90</f>
        <v>0.16666666666666666</v>
      </c>
      <c r="M90" s="34">
        <f t="shared" si="6"/>
        <v>895</v>
      </c>
      <c r="N90" s="111">
        <v>42794</v>
      </c>
      <c r="O90" s="34">
        <f t="shared" si="7"/>
        <v>306</v>
      </c>
      <c r="P90" s="381">
        <f t="shared" ref="P90:P165" si="9">(M90-O90)/M90</f>
        <v>0.6581005586592179</v>
      </c>
    </row>
    <row r="91" spans="1:16" ht="18.95" customHeight="1">
      <c r="A91" s="372">
        <f t="shared" ref="A91:A166" si="10">A90+1</f>
        <v>67</v>
      </c>
      <c r="B91" s="385" t="s">
        <v>2652</v>
      </c>
      <c r="C91" s="382" t="s">
        <v>2653</v>
      </c>
      <c r="D91" s="110">
        <v>42552</v>
      </c>
      <c r="E91" s="111">
        <v>43100</v>
      </c>
      <c r="F91" s="114">
        <v>0.44160583941605841</v>
      </c>
      <c r="G91" s="382">
        <v>1500035.68</v>
      </c>
      <c r="H91" s="382">
        <v>1178124.6399999999</v>
      </c>
      <c r="I91" s="386">
        <v>421118.47000000003</v>
      </c>
      <c r="J91" s="380">
        <f t="shared" si="8"/>
        <v>0.35744814742182124</v>
      </c>
      <c r="M91" s="34">
        <f t="shared" si="6"/>
        <v>548</v>
      </c>
      <c r="N91" s="111">
        <v>42794</v>
      </c>
      <c r="O91" s="34">
        <f t="shared" si="7"/>
        <v>306</v>
      </c>
      <c r="P91" s="381">
        <f t="shared" si="9"/>
        <v>0.44160583941605841</v>
      </c>
    </row>
    <row r="92" spans="1:16" ht="18.95" customHeight="1">
      <c r="A92" s="372">
        <f t="shared" si="10"/>
        <v>68</v>
      </c>
      <c r="B92" s="385" t="s">
        <v>2615</v>
      </c>
      <c r="C92" s="382" t="s">
        <v>2616</v>
      </c>
      <c r="D92" s="110">
        <v>42250</v>
      </c>
      <c r="E92" s="111">
        <v>42916</v>
      </c>
      <c r="F92" s="114">
        <v>0.81681681681681684</v>
      </c>
      <c r="G92" s="382">
        <v>5752513.8300000001</v>
      </c>
      <c r="H92" s="382">
        <v>5752513.8300000001</v>
      </c>
      <c r="I92" s="386">
        <v>4039464.1799999992</v>
      </c>
      <c r="J92" s="380">
        <f t="shared" si="8"/>
        <v>0.70220851255215477</v>
      </c>
      <c r="M92" s="34">
        <f t="shared" si="6"/>
        <v>666</v>
      </c>
      <c r="N92" s="111">
        <v>42794</v>
      </c>
      <c r="O92" s="34">
        <f t="shared" si="7"/>
        <v>122</v>
      </c>
      <c r="P92" s="381">
        <f t="shared" si="9"/>
        <v>0.81681681681681684</v>
      </c>
    </row>
    <row r="93" spans="1:16" ht="18.95" customHeight="1">
      <c r="A93" s="372">
        <f t="shared" si="10"/>
        <v>69</v>
      </c>
      <c r="B93" s="385" t="s">
        <v>2609</v>
      </c>
      <c r="C93" s="382" t="s">
        <v>2610</v>
      </c>
      <c r="D93" s="110">
        <v>42278</v>
      </c>
      <c r="E93" s="111">
        <v>43039</v>
      </c>
      <c r="F93" s="114">
        <v>0.67805519053876473</v>
      </c>
      <c r="G93" s="382">
        <v>9171400</v>
      </c>
      <c r="H93" s="382">
        <v>7096781.75</v>
      </c>
      <c r="I93" s="386">
        <v>5500121.75</v>
      </c>
      <c r="J93" s="380">
        <f t="shared" si="8"/>
        <v>0.77501633046556628</v>
      </c>
      <c r="M93" s="34">
        <f t="shared" si="6"/>
        <v>761</v>
      </c>
      <c r="N93" s="111">
        <v>42794</v>
      </c>
      <c r="O93" s="34">
        <f t="shared" si="7"/>
        <v>245</v>
      </c>
      <c r="P93" s="381">
        <f t="shared" si="9"/>
        <v>0.67805519053876473</v>
      </c>
    </row>
    <row r="94" spans="1:16" ht="18.95" customHeight="1">
      <c r="A94" s="372">
        <f t="shared" si="10"/>
        <v>70</v>
      </c>
      <c r="B94" s="385" t="s">
        <v>2685</v>
      </c>
      <c r="C94" s="382" t="s">
        <v>2686</v>
      </c>
      <c r="D94" s="110">
        <v>42314</v>
      </c>
      <c r="E94" s="111">
        <v>43646</v>
      </c>
      <c r="F94" s="114">
        <v>0.36036036036036034</v>
      </c>
      <c r="G94" s="382">
        <v>690386.30999999994</v>
      </c>
      <c r="H94" s="382">
        <v>690386.30999999994</v>
      </c>
      <c r="I94" s="386">
        <v>179531.31000000003</v>
      </c>
      <c r="J94" s="380">
        <f t="shared" si="8"/>
        <v>0.2600447132272945</v>
      </c>
      <c r="M94" s="34">
        <f t="shared" si="6"/>
        <v>1332</v>
      </c>
      <c r="N94" s="111">
        <v>42794</v>
      </c>
      <c r="O94" s="34">
        <f t="shared" si="7"/>
        <v>852</v>
      </c>
      <c r="P94" s="381">
        <f t="shared" si="9"/>
        <v>0.36036036036036034</v>
      </c>
    </row>
    <row r="95" spans="1:16" ht="18.95" customHeight="1">
      <c r="A95" s="372">
        <f t="shared" si="10"/>
        <v>71</v>
      </c>
      <c r="B95" s="385" t="s">
        <v>2642</v>
      </c>
      <c r="C95" s="382" t="s">
        <v>2643</v>
      </c>
      <c r="D95" s="110">
        <v>42401</v>
      </c>
      <c r="E95" s="111">
        <v>43281</v>
      </c>
      <c r="F95" s="114">
        <v>0.44659090909090909</v>
      </c>
      <c r="G95" s="382">
        <v>1998987.24</v>
      </c>
      <c r="H95" s="382">
        <v>1998987.24</v>
      </c>
      <c r="I95" s="386">
        <v>517038.80000000005</v>
      </c>
      <c r="J95" s="380">
        <f t="shared" si="8"/>
        <v>0.25865037537708346</v>
      </c>
      <c r="M95" s="34">
        <f t="shared" si="6"/>
        <v>880</v>
      </c>
      <c r="N95" s="111">
        <v>42794</v>
      </c>
      <c r="O95" s="34">
        <f t="shared" si="7"/>
        <v>487</v>
      </c>
      <c r="P95" s="381">
        <f t="shared" si="9"/>
        <v>0.44659090909090909</v>
      </c>
    </row>
    <row r="96" spans="1:16" ht="18.95" customHeight="1">
      <c r="A96" s="372">
        <f t="shared" si="10"/>
        <v>72</v>
      </c>
      <c r="B96" s="385" t="s">
        <v>2626</v>
      </c>
      <c r="C96" s="382" t="s">
        <v>2627</v>
      </c>
      <c r="D96" s="110">
        <v>42398</v>
      </c>
      <c r="E96" s="111">
        <v>43100</v>
      </c>
      <c r="F96" s="114">
        <v>0.5641025641025641</v>
      </c>
      <c r="G96" s="382">
        <v>3069655.5399999996</v>
      </c>
      <c r="H96" s="382">
        <v>3069655.5399999996</v>
      </c>
      <c r="I96" s="386">
        <v>2074451.4299999997</v>
      </c>
      <c r="J96" s="380">
        <f t="shared" si="8"/>
        <v>0.67579290346043186</v>
      </c>
      <c r="M96" s="34">
        <f t="shared" si="6"/>
        <v>702</v>
      </c>
      <c r="N96" s="111">
        <v>42794</v>
      </c>
      <c r="O96" s="34">
        <f t="shared" si="7"/>
        <v>306</v>
      </c>
      <c r="P96" s="381">
        <f t="shared" si="9"/>
        <v>0.5641025641025641</v>
      </c>
    </row>
    <row r="97" spans="1:16" ht="18.95" customHeight="1">
      <c r="A97" s="372">
        <f t="shared" si="10"/>
        <v>73</v>
      </c>
      <c r="B97" s="385" t="s">
        <v>2882</v>
      </c>
      <c r="C97" s="382" t="s">
        <v>2883</v>
      </c>
      <c r="D97" s="110">
        <v>42737</v>
      </c>
      <c r="E97" s="111">
        <v>43009</v>
      </c>
      <c r="F97" s="114">
        <v>0.20955882352941177</v>
      </c>
      <c r="G97" s="382">
        <v>-3569.34</v>
      </c>
      <c r="H97" s="382">
        <v>-3569.34</v>
      </c>
      <c r="I97" s="386">
        <v>-719.46</v>
      </c>
      <c r="J97" s="380">
        <f t="shared" si="8"/>
        <v>0.20156667619223723</v>
      </c>
      <c r="M97" s="34">
        <f t="shared" si="6"/>
        <v>272</v>
      </c>
      <c r="N97" s="111">
        <v>42794</v>
      </c>
      <c r="O97" s="34">
        <f t="shared" si="7"/>
        <v>215</v>
      </c>
      <c r="P97" s="381">
        <f t="shared" si="9"/>
        <v>0.20955882352941177</v>
      </c>
    </row>
    <row r="98" spans="1:16" ht="18.95" customHeight="1">
      <c r="A98" s="372">
        <f t="shared" si="10"/>
        <v>74</v>
      </c>
      <c r="B98" s="385" t="s">
        <v>2648</v>
      </c>
      <c r="C98" s="382" t="s">
        <v>2649</v>
      </c>
      <c r="D98" s="110">
        <v>42522</v>
      </c>
      <c r="E98" s="111">
        <v>42916</v>
      </c>
      <c r="F98" s="114">
        <v>0.69035532994923854</v>
      </c>
      <c r="G98" s="382">
        <v>1083223.4500000002</v>
      </c>
      <c r="H98" s="382">
        <v>1083223.4500000002</v>
      </c>
      <c r="I98" s="386">
        <v>451442.36</v>
      </c>
      <c r="J98" s="380">
        <f t="shared" si="8"/>
        <v>0.41675829673000514</v>
      </c>
      <c r="M98" s="34">
        <f t="shared" si="6"/>
        <v>394</v>
      </c>
      <c r="N98" s="111">
        <v>42794</v>
      </c>
      <c r="O98" s="34">
        <f t="shared" si="7"/>
        <v>122</v>
      </c>
      <c r="P98" s="381">
        <f t="shared" si="9"/>
        <v>0.69035532994923854</v>
      </c>
    </row>
    <row r="99" spans="1:16" ht="18.95" customHeight="1">
      <c r="A99" s="372">
        <f t="shared" si="10"/>
        <v>75</v>
      </c>
      <c r="B99" s="385" t="s">
        <v>2611</v>
      </c>
      <c r="C99" s="382" t="s">
        <v>2612</v>
      </c>
      <c r="D99" s="110">
        <v>42583</v>
      </c>
      <c r="E99" s="111">
        <v>42916</v>
      </c>
      <c r="F99" s="114">
        <v>0.63363363363363367</v>
      </c>
      <c r="G99" s="382">
        <v>7712555.8299999991</v>
      </c>
      <c r="H99" s="382">
        <v>7712555.8299999991</v>
      </c>
      <c r="I99" s="386">
        <v>5048585.9400000004</v>
      </c>
      <c r="J99" s="380">
        <f t="shared" si="8"/>
        <v>0.65459311430358891</v>
      </c>
      <c r="M99" s="34">
        <f t="shared" si="6"/>
        <v>333</v>
      </c>
      <c r="N99" s="111">
        <v>42794</v>
      </c>
      <c r="O99" s="34">
        <f t="shared" si="7"/>
        <v>122</v>
      </c>
      <c r="P99" s="381">
        <f t="shared" si="9"/>
        <v>0.63363363363363367</v>
      </c>
    </row>
    <row r="100" spans="1:16" ht="18.95" customHeight="1">
      <c r="A100" s="372">
        <f t="shared" si="10"/>
        <v>76</v>
      </c>
      <c r="B100" s="385" t="s">
        <v>2619</v>
      </c>
      <c r="C100" s="382" t="s">
        <v>2620</v>
      </c>
      <c r="D100" s="110">
        <v>42278</v>
      </c>
      <c r="E100" s="111">
        <v>43039</v>
      </c>
      <c r="F100" s="114">
        <v>0.67805519053876473</v>
      </c>
      <c r="G100" s="382">
        <v>3902957.4899999998</v>
      </c>
      <c r="H100" s="382">
        <v>3902957.4899999998</v>
      </c>
      <c r="I100" s="386">
        <v>2815937.4899999998</v>
      </c>
      <c r="J100" s="380">
        <f t="shared" si="8"/>
        <v>0.7214881271996636</v>
      </c>
      <c r="M100" s="34">
        <f t="shared" si="6"/>
        <v>761</v>
      </c>
      <c r="N100" s="111">
        <v>42794</v>
      </c>
      <c r="O100" s="34">
        <f t="shared" si="7"/>
        <v>245</v>
      </c>
      <c r="P100" s="381">
        <f t="shared" si="9"/>
        <v>0.67805519053876473</v>
      </c>
    </row>
    <row r="101" spans="1:16" ht="18.95" customHeight="1">
      <c r="A101" s="372">
        <f t="shared" si="10"/>
        <v>77</v>
      </c>
      <c r="B101" s="385" t="s">
        <v>2668</v>
      </c>
      <c r="C101" s="382" t="s">
        <v>2669</v>
      </c>
      <c r="D101" s="110">
        <v>42552</v>
      </c>
      <c r="E101" s="111">
        <v>43100</v>
      </c>
      <c r="F101" s="114">
        <v>0.44160583941605841</v>
      </c>
      <c r="G101" s="382">
        <v>3153719.25</v>
      </c>
      <c r="H101" s="382">
        <v>3153719.25</v>
      </c>
      <c r="I101" s="386">
        <v>269766.06</v>
      </c>
      <c r="J101" s="380">
        <f t="shared" si="8"/>
        <v>8.553902190247277E-2</v>
      </c>
      <c r="M101" s="34">
        <f t="shared" si="6"/>
        <v>548</v>
      </c>
      <c r="N101" s="111">
        <v>42794</v>
      </c>
      <c r="O101" s="34">
        <f t="shared" si="7"/>
        <v>306</v>
      </c>
      <c r="P101" s="381">
        <f t="shared" si="9"/>
        <v>0.44160583941605841</v>
      </c>
    </row>
    <row r="102" spans="1:16" ht="18.95" customHeight="1">
      <c r="A102" s="372">
        <f t="shared" si="10"/>
        <v>78</v>
      </c>
      <c r="B102" s="385" t="s">
        <v>2675</v>
      </c>
      <c r="C102" s="382" t="s">
        <v>2676</v>
      </c>
      <c r="D102" s="110">
        <v>42736</v>
      </c>
      <c r="E102" s="111">
        <v>42855</v>
      </c>
      <c r="F102" s="114">
        <v>0.48739495798319327</v>
      </c>
      <c r="G102" s="382">
        <v>437788</v>
      </c>
      <c r="H102" s="382">
        <v>437788</v>
      </c>
      <c r="I102" s="386">
        <v>223808</v>
      </c>
      <c r="J102" s="380">
        <f t="shared" si="8"/>
        <v>0.51122461099893102</v>
      </c>
      <c r="M102" s="34">
        <f t="shared" si="6"/>
        <v>119</v>
      </c>
      <c r="N102" s="111">
        <v>42794</v>
      </c>
      <c r="O102" s="34">
        <f t="shared" si="7"/>
        <v>61</v>
      </c>
      <c r="P102" s="381">
        <f t="shared" si="9"/>
        <v>0.48739495798319327</v>
      </c>
    </row>
    <row r="103" spans="1:16" ht="18.95" customHeight="1">
      <c r="A103" s="372">
        <f t="shared" si="10"/>
        <v>79</v>
      </c>
      <c r="B103" s="385" t="s">
        <v>2739</v>
      </c>
      <c r="C103" s="382" t="s">
        <v>2740</v>
      </c>
      <c r="D103" s="110">
        <v>42767</v>
      </c>
      <c r="E103" s="111">
        <v>42886</v>
      </c>
      <c r="F103" s="114">
        <v>0.22689075630252101</v>
      </c>
      <c r="G103" s="382">
        <v>348192</v>
      </c>
      <c r="H103" s="382">
        <v>348192</v>
      </c>
      <c r="I103" s="386">
        <v>49712</v>
      </c>
      <c r="J103" s="380">
        <f t="shared" si="8"/>
        <v>0.14277180406212664</v>
      </c>
      <c r="M103" s="34">
        <f t="shared" si="6"/>
        <v>119</v>
      </c>
      <c r="N103" s="111">
        <v>42794</v>
      </c>
      <c r="O103" s="34">
        <f t="shared" si="7"/>
        <v>92</v>
      </c>
      <c r="P103" s="381">
        <f t="shared" si="9"/>
        <v>0.22689075630252101</v>
      </c>
    </row>
    <row r="104" spans="1:16" ht="18.95" customHeight="1">
      <c r="A104" s="372">
        <f t="shared" si="10"/>
        <v>80</v>
      </c>
      <c r="B104" s="385" t="s">
        <v>2681</v>
      </c>
      <c r="C104" s="382" t="s">
        <v>2682</v>
      </c>
      <c r="D104" s="110">
        <v>42767</v>
      </c>
      <c r="E104" s="111">
        <v>42916</v>
      </c>
      <c r="F104" s="114">
        <v>0.18120805369127516</v>
      </c>
      <c r="G104" s="382">
        <v>238784</v>
      </c>
      <c r="H104" s="382">
        <v>238784</v>
      </c>
      <c r="I104" s="386">
        <v>208936</v>
      </c>
      <c r="J104" s="380">
        <f t="shared" si="8"/>
        <v>0.875</v>
      </c>
      <c r="M104" s="34">
        <f t="shared" si="6"/>
        <v>149</v>
      </c>
      <c r="N104" s="111">
        <v>42794</v>
      </c>
      <c r="O104" s="34">
        <f t="shared" si="7"/>
        <v>122</v>
      </c>
      <c r="P104" s="381">
        <f t="shared" si="9"/>
        <v>0.18120805369127516</v>
      </c>
    </row>
    <row r="105" spans="1:16" ht="18.95" customHeight="1">
      <c r="A105" s="372">
        <f t="shared" si="10"/>
        <v>81</v>
      </c>
      <c r="B105" s="385" t="s">
        <v>2632</v>
      </c>
      <c r="C105" s="382" t="s">
        <v>2633</v>
      </c>
      <c r="D105" s="110">
        <v>42583</v>
      </c>
      <c r="E105" s="111">
        <v>42825</v>
      </c>
      <c r="F105" s="114">
        <v>0.87190082644628097</v>
      </c>
      <c r="G105" s="382">
        <v>1327990.6000000001</v>
      </c>
      <c r="H105" s="382">
        <v>1327990.6000000001</v>
      </c>
      <c r="I105" s="386">
        <v>1062093.75</v>
      </c>
      <c r="J105" s="380">
        <f t="shared" si="8"/>
        <v>0.79977505111858471</v>
      </c>
      <c r="M105" s="34">
        <f t="shared" si="6"/>
        <v>242</v>
      </c>
      <c r="N105" s="111">
        <v>42794</v>
      </c>
      <c r="O105" s="34">
        <f t="shared" si="7"/>
        <v>31</v>
      </c>
      <c r="P105" s="381">
        <f t="shared" si="9"/>
        <v>0.87190082644628097</v>
      </c>
    </row>
    <row r="106" spans="1:16" ht="18.95" customHeight="1">
      <c r="A106" s="372">
        <f t="shared" si="10"/>
        <v>82</v>
      </c>
      <c r="B106" s="385" t="s">
        <v>2613</v>
      </c>
      <c r="C106" s="382" t="s">
        <v>2614</v>
      </c>
      <c r="D106" s="110">
        <v>42502</v>
      </c>
      <c r="E106" s="111">
        <v>43100</v>
      </c>
      <c r="F106" s="114">
        <v>0.48829431438127091</v>
      </c>
      <c r="G106" s="382">
        <v>6135259.0500000007</v>
      </c>
      <c r="H106" s="382">
        <v>6135259.0500000007</v>
      </c>
      <c r="I106" s="386">
        <v>4957413.3000000007</v>
      </c>
      <c r="J106" s="380">
        <f t="shared" si="8"/>
        <v>0.80802020902442584</v>
      </c>
      <c r="M106" s="34">
        <f t="shared" si="6"/>
        <v>598</v>
      </c>
      <c r="N106" s="111">
        <v>42794</v>
      </c>
      <c r="O106" s="34">
        <f t="shared" si="7"/>
        <v>306</v>
      </c>
      <c r="P106" s="381">
        <f t="shared" si="9"/>
        <v>0.48829431438127091</v>
      </c>
    </row>
    <row r="107" spans="1:16" ht="18.95" customHeight="1">
      <c r="A107" s="372">
        <f t="shared" si="10"/>
        <v>83</v>
      </c>
      <c r="B107" s="385" t="s">
        <v>2666</v>
      </c>
      <c r="C107" s="382" t="s">
        <v>2667</v>
      </c>
      <c r="D107" s="110">
        <v>42736</v>
      </c>
      <c r="E107" s="111">
        <v>46387</v>
      </c>
      <c r="F107" s="114">
        <v>1.5886058614078335E-2</v>
      </c>
      <c r="G107" s="382">
        <v>20360999.980000004</v>
      </c>
      <c r="H107" s="382">
        <v>20360999.980000004</v>
      </c>
      <c r="I107" s="386">
        <v>273750</v>
      </c>
      <c r="J107" s="380">
        <f t="shared" si="8"/>
        <v>1.3444820994494198E-2</v>
      </c>
      <c r="M107" s="34">
        <f t="shared" si="6"/>
        <v>3651</v>
      </c>
      <c r="N107" s="111">
        <v>42794</v>
      </c>
      <c r="O107" s="34">
        <f t="shared" si="7"/>
        <v>3593</v>
      </c>
      <c r="P107" s="381">
        <f t="shared" si="9"/>
        <v>1.5886058614078335E-2</v>
      </c>
    </row>
    <row r="108" spans="1:16" ht="18.95" customHeight="1">
      <c r="A108" s="372">
        <f t="shared" si="10"/>
        <v>84</v>
      </c>
      <c r="B108" s="385" t="s">
        <v>2662</v>
      </c>
      <c r="C108" s="382" t="s">
        <v>2663</v>
      </c>
      <c r="D108" s="110">
        <v>42552</v>
      </c>
      <c r="E108" s="111">
        <v>43100</v>
      </c>
      <c r="F108" s="114">
        <v>0.44160583941605841</v>
      </c>
      <c r="G108" s="382">
        <v>641158.87</v>
      </c>
      <c r="H108" s="382">
        <v>641158.87</v>
      </c>
      <c r="I108" s="386">
        <v>298049.36000000004</v>
      </c>
      <c r="J108" s="380">
        <f t="shared" si="8"/>
        <v>0.46486038631891663</v>
      </c>
      <c r="M108" s="34">
        <f t="shared" si="6"/>
        <v>548</v>
      </c>
      <c r="N108" s="111">
        <v>42794</v>
      </c>
      <c r="O108" s="34">
        <f t="shared" si="7"/>
        <v>306</v>
      </c>
      <c r="P108" s="381">
        <f t="shared" si="9"/>
        <v>0.44160583941605841</v>
      </c>
    </row>
    <row r="109" spans="1:16" ht="18.95" customHeight="1">
      <c r="A109" s="372">
        <f t="shared" si="10"/>
        <v>85</v>
      </c>
      <c r="B109" s="385" t="s">
        <v>2769</v>
      </c>
      <c r="C109" s="382" t="s">
        <v>2770</v>
      </c>
      <c r="D109" s="110">
        <v>42736</v>
      </c>
      <c r="E109" s="111">
        <v>46387</v>
      </c>
      <c r="F109" s="114">
        <v>1.5886058614078335E-2</v>
      </c>
      <c r="G109" s="382">
        <v>1463879.97</v>
      </c>
      <c r="H109" s="382">
        <v>1463879.97</v>
      </c>
      <c r="I109" s="386">
        <v>28703.61</v>
      </c>
      <c r="J109" s="380">
        <f t="shared" si="8"/>
        <v>1.9607898590210233E-2</v>
      </c>
      <c r="M109" s="34">
        <f t="shared" si="6"/>
        <v>3651</v>
      </c>
      <c r="N109" s="111">
        <v>42794</v>
      </c>
      <c r="O109" s="34">
        <f t="shared" si="7"/>
        <v>3593</v>
      </c>
      <c r="P109" s="381">
        <f t="shared" si="9"/>
        <v>1.5886058614078335E-2</v>
      </c>
    </row>
    <row r="110" spans="1:16" ht="18.95" customHeight="1">
      <c r="A110" s="372">
        <f t="shared" si="10"/>
        <v>86</v>
      </c>
      <c r="B110" s="385" t="s">
        <v>2693</v>
      </c>
      <c r="C110" s="382" t="s">
        <v>2694</v>
      </c>
      <c r="D110" s="110">
        <v>42736</v>
      </c>
      <c r="E110" s="111">
        <v>44561</v>
      </c>
      <c r="F110" s="114">
        <v>3.1780821917808219E-2</v>
      </c>
      <c r="G110" s="382">
        <v>5435760.0199999996</v>
      </c>
      <c r="H110" s="382">
        <v>5435760.0199999996</v>
      </c>
      <c r="I110" s="386">
        <v>136714.43</v>
      </c>
      <c r="J110" s="380">
        <f t="shared" si="8"/>
        <v>2.5150931883854578E-2</v>
      </c>
      <c r="M110" s="34">
        <f t="shared" si="6"/>
        <v>1825</v>
      </c>
      <c r="N110" s="111">
        <v>42794</v>
      </c>
      <c r="O110" s="34">
        <f t="shared" si="7"/>
        <v>1767</v>
      </c>
      <c r="P110" s="381">
        <f t="shared" si="9"/>
        <v>3.1780821917808219E-2</v>
      </c>
    </row>
    <row r="111" spans="1:16" ht="18.95" customHeight="1">
      <c r="A111" s="372">
        <f t="shared" si="10"/>
        <v>87</v>
      </c>
      <c r="B111" s="385" t="s">
        <v>2737</v>
      </c>
      <c r="C111" s="382" t="s">
        <v>2738</v>
      </c>
      <c r="D111" s="110">
        <v>42736</v>
      </c>
      <c r="E111" s="111">
        <v>46387</v>
      </c>
      <c r="F111" s="114">
        <v>1.5886058614078335E-2</v>
      </c>
      <c r="G111" s="382">
        <v>8629000.0099999998</v>
      </c>
      <c r="H111" s="382">
        <v>8629000.0099999998</v>
      </c>
      <c r="I111" s="386">
        <v>54750</v>
      </c>
      <c r="J111" s="380">
        <f t="shared" si="8"/>
        <v>6.3448835249219106E-3</v>
      </c>
      <c r="M111" s="34">
        <f t="shared" si="6"/>
        <v>3651</v>
      </c>
      <c r="N111" s="111">
        <v>42794</v>
      </c>
      <c r="O111" s="34">
        <f t="shared" si="7"/>
        <v>3593</v>
      </c>
      <c r="P111" s="381">
        <f t="shared" si="9"/>
        <v>1.5886058614078335E-2</v>
      </c>
    </row>
    <row r="112" spans="1:16" ht="18.95" customHeight="1">
      <c r="A112" s="372">
        <f t="shared" si="10"/>
        <v>88</v>
      </c>
      <c r="B112" s="385" t="s">
        <v>2717</v>
      </c>
      <c r="C112" s="382" t="s">
        <v>2718</v>
      </c>
      <c r="D112" s="110">
        <v>42614</v>
      </c>
      <c r="E112" s="111">
        <v>43465</v>
      </c>
      <c r="F112" s="114">
        <v>0.21151586368977673</v>
      </c>
      <c r="G112" s="382">
        <v>1741592.9</v>
      </c>
      <c r="H112" s="382">
        <v>1741592.9</v>
      </c>
      <c r="I112" s="386">
        <v>99736.2</v>
      </c>
      <c r="J112" s="380">
        <f t="shared" si="8"/>
        <v>5.7267229327818234E-2</v>
      </c>
      <c r="M112" s="34">
        <f t="shared" si="6"/>
        <v>851</v>
      </c>
      <c r="N112" s="111">
        <v>42794</v>
      </c>
      <c r="O112" s="34">
        <f t="shared" si="7"/>
        <v>671</v>
      </c>
      <c r="P112" s="381">
        <f t="shared" si="9"/>
        <v>0.21151586368977673</v>
      </c>
    </row>
    <row r="113" spans="1:16" s="387" customFormat="1" ht="20.100000000000001" customHeight="1">
      <c r="A113" s="706" t="str">
        <f>$A$1</f>
        <v>KENTUCKY UTILITIES COMPANY</v>
      </c>
      <c r="B113" s="706"/>
      <c r="C113" s="706"/>
      <c r="D113" s="706"/>
      <c r="E113" s="706"/>
      <c r="F113" s="706"/>
      <c r="G113" s="706"/>
      <c r="H113" s="706"/>
      <c r="I113" s="706"/>
      <c r="J113" s="706"/>
    </row>
    <row r="114" spans="1:16" s="387" customFormat="1" ht="20.100000000000001" customHeight="1">
      <c r="A114" s="706" t="str">
        <f>$A$2</f>
        <v>CASE NO. 2016-00370</v>
      </c>
      <c r="B114" s="706"/>
      <c r="C114" s="706"/>
      <c r="D114" s="706"/>
      <c r="E114" s="706"/>
      <c r="F114" s="706"/>
      <c r="G114" s="706"/>
      <c r="H114" s="706"/>
      <c r="I114" s="706"/>
      <c r="J114" s="706"/>
    </row>
    <row r="115" spans="1:16" s="387" customFormat="1" ht="20.100000000000001" customHeight="1">
      <c r="A115" s="706" t="s">
        <v>1225</v>
      </c>
      <c r="B115" s="706"/>
      <c r="C115" s="706"/>
      <c r="D115" s="706"/>
      <c r="E115" s="706"/>
      <c r="F115" s="706"/>
      <c r="G115" s="706"/>
      <c r="H115" s="706"/>
      <c r="I115" s="706"/>
      <c r="J115" s="706"/>
    </row>
    <row r="116" spans="1:16" s="387" customFormat="1" ht="20.100000000000001" customHeight="1">
      <c r="A116" s="706" t="str">
        <f>$A$4</f>
        <v>AS OF FEBRUARY 28, 2017</v>
      </c>
      <c r="B116" s="706"/>
      <c r="C116" s="706"/>
      <c r="D116" s="706"/>
      <c r="E116" s="706"/>
      <c r="F116" s="706"/>
      <c r="G116" s="706"/>
      <c r="H116" s="706"/>
      <c r="I116" s="706"/>
      <c r="J116" s="706"/>
    </row>
    <row r="117" spans="1:16" s="387" customFormat="1" ht="20.100000000000001" customHeight="1">
      <c r="A117" s="370"/>
      <c r="B117" s="370"/>
      <c r="C117" s="370"/>
      <c r="D117" s="370"/>
      <c r="E117" s="370"/>
      <c r="F117" s="370"/>
      <c r="G117" s="370"/>
      <c r="H117" s="370"/>
      <c r="I117" s="370"/>
      <c r="J117" s="370"/>
    </row>
    <row r="118" spans="1:16" s="387" customFormat="1" ht="20.100000000000001" customHeight="1">
      <c r="A118" s="27" t="str">
        <f>$A$6</f>
        <v>DATA:__X__BASE  PERIOD____FORECASTED  PERIOD</v>
      </c>
      <c r="B118" s="371"/>
      <c r="C118" s="28"/>
      <c r="D118" s="109"/>
      <c r="E118" s="109"/>
      <c r="F118" s="28"/>
      <c r="G118" s="34"/>
      <c r="H118" s="34"/>
      <c r="I118" s="34"/>
      <c r="J118" s="34" t="s">
        <v>1767</v>
      </c>
    </row>
    <row r="119" spans="1:16" s="387" customFormat="1" ht="20.100000000000001" customHeight="1">
      <c r="A119" s="27" t="str">
        <f>$A$7</f>
        <v>TYPE OF FILING: __X__ ORIGINAL  _____ UPDATED  _____ REVISED</v>
      </c>
      <c r="B119" s="372"/>
      <c r="C119" s="28"/>
      <c r="D119" s="109"/>
      <c r="E119" s="109"/>
      <c r="F119" s="28"/>
      <c r="G119" s="34"/>
      <c r="H119" s="34"/>
      <c r="I119" s="34"/>
      <c r="J119" s="34" t="s">
        <v>3263</v>
      </c>
    </row>
    <row r="120" spans="1:16" s="387" customFormat="1" ht="20.100000000000001" customHeight="1">
      <c r="A120" s="27" t="str">
        <f>$A$8</f>
        <v>WORKPAPER REFERENCE NO(S).:</v>
      </c>
      <c r="B120" s="371"/>
      <c r="C120" s="28"/>
      <c r="D120" s="109"/>
      <c r="E120" s="109"/>
      <c r="F120" s="27"/>
      <c r="G120" s="35"/>
      <c r="H120" s="35"/>
      <c r="I120" s="35"/>
      <c r="J120" s="35" t="str">
        <f>$J$8</f>
        <v>WITNESS:   C. M. GARRETT</v>
      </c>
    </row>
    <row r="121" spans="1:16" s="387" customFormat="1" ht="20.100000000000001" customHeight="1">
      <c r="A121" s="28"/>
      <c r="B121" s="372"/>
      <c r="C121" s="28"/>
      <c r="D121" s="109"/>
      <c r="E121" s="109"/>
      <c r="F121" s="28"/>
      <c r="G121" s="28"/>
      <c r="H121" s="28"/>
      <c r="I121" s="28"/>
      <c r="J121" s="28"/>
    </row>
    <row r="122" spans="1:16" ht="66.95" customHeight="1">
      <c r="A122" s="36" t="s">
        <v>134</v>
      </c>
      <c r="B122" s="36" t="s">
        <v>1228</v>
      </c>
      <c r="C122" s="36" t="s">
        <v>1229</v>
      </c>
      <c r="D122" s="107" t="s">
        <v>1231</v>
      </c>
      <c r="E122" s="107" t="s">
        <v>1232</v>
      </c>
      <c r="F122" s="36" t="s">
        <v>1233</v>
      </c>
      <c r="G122" s="36" t="s">
        <v>1234</v>
      </c>
      <c r="H122" s="36" t="s">
        <v>1235</v>
      </c>
      <c r="I122" s="36" t="s">
        <v>1236</v>
      </c>
      <c r="J122" s="36" t="s">
        <v>1237</v>
      </c>
      <c r="M122" s="115" t="s">
        <v>1245</v>
      </c>
      <c r="N122" s="115" t="s">
        <v>1246</v>
      </c>
      <c r="O122" s="115" t="s">
        <v>1247</v>
      </c>
      <c r="P122" s="115" t="s">
        <v>1233</v>
      </c>
    </row>
    <row r="123" spans="1:16" s="387" customFormat="1" ht="23.1" customHeight="1">
      <c r="A123" s="40" t="s">
        <v>1226</v>
      </c>
      <c r="B123" s="40" t="s">
        <v>1227</v>
      </c>
      <c r="C123" s="40" t="s">
        <v>1230</v>
      </c>
      <c r="D123" s="383" t="s">
        <v>1238</v>
      </c>
      <c r="E123" s="383" t="s">
        <v>1239</v>
      </c>
      <c r="F123" s="384" t="s">
        <v>1240</v>
      </c>
      <c r="G123" s="384" t="s">
        <v>1241</v>
      </c>
      <c r="H123" s="384" t="s">
        <v>1242</v>
      </c>
      <c r="I123" s="384" t="s">
        <v>1243</v>
      </c>
      <c r="J123" s="384" t="s">
        <v>1244</v>
      </c>
    </row>
    <row r="124" spans="1:16" s="387" customFormat="1" ht="18.95" customHeight="1">
      <c r="A124" s="33"/>
      <c r="B124" s="33"/>
      <c r="C124" s="33"/>
      <c r="D124" s="388"/>
      <c r="E124" s="388"/>
      <c r="F124" s="389"/>
      <c r="G124" s="389"/>
      <c r="H124" s="389"/>
      <c r="I124" s="389"/>
      <c r="J124" s="389"/>
    </row>
    <row r="125" spans="1:16" ht="18.95" customHeight="1">
      <c r="A125" s="372">
        <f>A112+1</f>
        <v>89</v>
      </c>
      <c r="B125" s="385" t="s">
        <v>2765</v>
      </c>
      <c r="C125" s="382" t="s">
        <v>2766</v>
      </c>
      <c r="D125" s="110">
        <v>42491</v>
      </c>
      <c r="E125" s="111">
        <v>42886</v>
      </c>
      <c r="F125" s="114">
        <f t="shared" ref="F125:F165" si="11">P125</f>
        <v>0.76708860759493669</v>
      </c>
      <c r="G125" s="382">
        <v>45000</v>
      </c>
      <c r="H125" s="382">
        <v>45000</v>
      </c>
      <c r="I125" s="386">
        <v>30000</v>
      </c>
      <c r="J125" s="380">
        <f t="shared" si="8"/>
        <v>0.66666666666666663</v>
      </c>
      <c r="M125" s="34">
        <f t="shared" si="6"/>
        <v>395</v>
      </c>
      <c r="N125" s="111">
        <v>42794</v>
      </c>
      <c r="O125" s="34">
        <f t="shared" si="7"/>
        <v>92</v>
      </c>
      <c r="P125" s="381">
        <f t="shared" si="9"/>
        <v>0.76708860759493669</v>
      </c>
    </row>
    <row r="126" spans="1:16" ht="18.95" customHeight="1">
      <c r="A126" s="372">
        <f t="shared" si="10"/>
        <v>90</v>
      </c>
      <c r="B126" s="385" t="s">
        <v>2747</v>
      </c>
      <c r="C126" s="382" t="s">
        <v>2748</v>
      </c>
      <c r="D126" s="110">
        <v>42552</v>
      </c>
      <c r="E126" s="111">
        <v>43251</v>
      </c>
      <c r="F126" s="114">
        <f t="shared" si="11"/>
        <v>0.34620886981402005</v>
      </c>
      <c r="G126" s="382">
        <v>130000</v>
      </c>
      <c r="H126" s="382">
        <v>130000</v>
      </c>
      <c r="I126" s="386">
        <v>40000</v>
      </c>
      <c r="J126" s="380">
        <f t="shared" si="8"/>
        <v>0.30769230769230771</v>
      </c>
      <c r="M126" s="34">
        <f t="shared" si="6"/>
        <v>699</v>
      </c>
      <c r="N126" s="111">
        <v>42794</v>
      </c>
      <c r="O126" s="34">
        <f t="shared" si="7"/>
        <v>457</v>
      </c>
      <c r="P126" s="381">
        <f t="shared" si="9"/>
        <v>0.34620886981402005</v>
      </c>
    </row>
    <row r="127" spans="1:16" ht="18.95" customHeight="1">
      <c r="A127" s="372">
        <f t="shared" si="10"/>
        <v>91</v>
      </c>
      <c r="B127" s="385" t="s">
        <v>2638</v>
      </c>
      <c r="C127" s="382" t="s">
        <v>2639</v>
      </c>
      <c r="D127" s="110">
        <v>42522</v>
      </c>
      <c r="E127" s="111">
        <v>42947</v>
      </c>
      <c r="F127" s="114">
        <f t="shared" si="11"/>
        <v>0.64</v>
      </c>
      <c r="G127" s="382">
        <v>1650000</v>
      </c>
      <c r="H127" s="382">
        <v>1650000</v>
      </c>
      <c r="I127" s="386">
        <v>600000</v>
      </c>
      <c r="J127" s="380">
        <f t="shared" si="8"/>
        <v>0.36363636363636365</v>
      </c>
      <c r="M127" s="34">
        <f t="shared" si="6"/>
        <v>425</v>
      </c>
      <c r="N127" s="111">
        <v>42794</v>
      </c>
      <c r="O127" s="34">
        <f t="shared" si="7"/>
        <v>153</v>
      </c>
      <c r="P127" s="381">
        <f t="shared" si="9"/>
        <v>0.64</v>
      </c>
    </row>
    <row r="128" spans="1:16" ht="18.95" customHeight="1">
      <c r="A128" s="372">
        <f t="shared" si="10"/>
        <v>92</v>
      </c>
      <c r="B128" s="385" t="s">
        <v>2699</v>
      </c>
      <c r="C128" s="382" t="s">
        <v>2700</v>
      </c>
      <c r="D128" s="110">
        <v>42614</v>
      </c>
      <c r="E128" s="111">
        <v>43100</v>
      </c>
      <c r="F128" s="114">
        <f t="shared" si="11"/>
        <v>0.37037037037037035</v>
      </c>
      <c r="G128" s="382">
        <v>4192661.25</v>
      </c>
      <c r="H128" s="382">
        <v>4192661.25</v>
      </c>
      <c r="I128" s="386">
        <v>121500</v>
      </c>
      <c r="J128" s="380">
        <f t="shared" si="8"/>
        <v>2.89792074186771E-2</v>
      </c>
      <c r="M128" s="34">
        <f t="shared" si="6"/>
        <v>486</v>
      </c>
      <c r="N128" s="111">
        <v>42794</v>
      </c>
      <c r="O128" s="34">
        <f t="shared" si="7"/>
        <v>306</v>
      </c>
      <c r="P128" s="381">
        <f t="shared" si="9"/>
        <v>0.37037037037037035</v>
      </c>
    </row>
    <row r="129" spans="1:16" ht="18.95" customHeight="1">
      <c r="A129" s="372">
        <f t="shared" si="10"/>
        <v>93</v>
      </c>
      <c r="B129" s="385" t="s">
        <v>2683</v>
      </c>
      <c r="C129" s="382" t="s">
        <v>2684</v>
      </c>
      <c r="D129" s="110">
        <v>42552</v>
      </c>
      <c r="E129" s="111">
        <v>43100</v>
      </c>
      <c r="F129" s="114">
        <f t="shared" si="11"/>
        <v>0.44160583941605841</v>
      </c>
      <c r="G129" s="382">
        <v>550000</v>
      </c>
      <c r="H129" s="382">
        <v>550000</v>
      </c>
      <c r="I129" s="386">
        <v>200000.02999999997</v>
      </c>
      <c r="J129" s="380">
        <f t="shared" si="8"/>
        <v>0.36363641818181813</v>
      </c>
      <c r="M129" s="34">
        <f t="shared" si="6"/>
        <v>548</v>
      </c>
      <c r="N129" s="111">
        <v>42794</v>
      </c>
      <c r="O129" s="34">
        <f t="shared" si="7"/>
        <v>306</v>
      </c>
      <c r="P129" s="381">
        <f t="shared" si="9"/>
        <v>0.44160583941605841</v>
      </c>
    </row>
    <row r="130" spans="1:16" ht="18.95" customHeight="1">
      <c r="A130" s="372">
        <f t="shared" si="10"/>
        <v>94</v>
      </c>
      <c r="B130" s="385" t="s">
        <v>2687</v>
      </c>
      <c r="C130" s="382" t="s">
        <v>2688</v>
      </c>
      <c r="D130" s="110">
        <v>42552</v>
      </c>
      <c r="E130" s="111">
        <v>43100</v>
      </c>
      <c r="F130" s="114">
        <f t="shared" si="11"/>
        <v>0.44160583941605841</v>
      </c>
      <c r="G130" s="382">
        <v>403524.87</v>
      </c>
      <c r="H130" s="382">
        <v>403524.87</v>
      </c>
      <c r="I130" s="386">
        <v>165118.91999999998</v>
      </c>
      <c r="J130" s="380">
        <f t="shared" si="8"/>
        <v>0.40919143347967618</v>
      </c>
      <c r="M130" s="34">
        <f t="shared" si="6"/>
        <v>548</v>
      </c>
      <c r="N130" s="111">
        <v>42794</v>
      </c>
      <c r="O130" s="34">
        <f t="shared" si="7"/>
        <v>306</v>
      </c>
      <c r="P130" s="381">
        <f t="shared" si="9"/>
        <v>0.44160583941605841</v>
      </c>
    </row>
    <row r="131" spans="1:16" ht="18.95" customHeight="1">
      <c r="A131" s="372">
        <f t="shared" si="10"/>
        <v>95</v>
      </c>
      <c r="B131" s="385" t="s">
        <v>2673</v>
      </c>
      <c r="C131" s="382" t="s">
        <v>2674</v>
      </c>
      <c r="D131" s="110">
        <v>42522</v>
      </c>
      <c r="E131" s="111">
        <v>43100</v>
      </c>
      <c r="F131" s="114">
        <f t="shared" si="11"/>
        <v>0.47058823529411764</v>
      </c>
      <c r="G131" s="382">
        <v>734364.15</v>
      </c>
      <c r="H131" s="382">
        <v>734364.15</v>
      </c>
      <c r="I131" s="386">
        <v>239011.06</v>
      </c>
      <c r="J131" s="380">
        <f t="shared" si="8"/>
        <v>0.32546667753321018</v>
      </c>
      <c r="M131" s="34">
        <f t="shared" si="6"/>
        <v>578</v>
      </c>
      <c r="N131" s="111">
        <v>42794</v>
      </c>
      <c r="O131" s="34">
        <f t="shared" si="7"/>
        <v>306</v>
      </c>
      <c r="P131" s="381">
        <f t="shared" si="9"/>
        <v>0.47058823529411764</v>
      </c>
    </row>
    <row r="132" spans="1:16" ht="18.95" customHeight="1">
      <c r="A132" s="372">
        <f t="shared" si="10"/>
        <v>96</v>
      </c>
      <c r="B132" s="385" t="s">
        <v>2646</v>
      </c>
      <c r="C132" s="382" t="s">
        <v>2647</v>
      </c>
      <c r="D132" s="110">
        <v>42370</v>
      </c>
      <c r="E132" s="111">
        <v>43465</v>
      </c>
      <c r="F132" s="114">
        <f t="shared" si="11"/>
        <v>0.38721461187214612</v>
      </c>
      <c r="G132" s="382">
        <v>5600000</v>
      </c>
      <c r="H132" s="382">
        <v>5600000</v>
      </c>
      <c r="I132" s="386">
        <v>466000</v>
      </c>
      <c r="J132" s="380">
        <f t="shared" si="8"/>
        <v>8.3214285714285713E-2</v>
      </c>
      <c r="M132" s="34">
        <f t="shared" si="6"/>
        <v>1095</v>
      </c>
      <c r="N132" s="111">
        <v>42794</v>
      </c>
      <c r="O132" s="34">
        <f t="shared" si="7"/>
        <v>671</v>
      </c>
      <c r="P132" s="381">
        <f t="shared" si="9"/>
        <v>0.38721461187214612</v>
      </c>
    </row>
    <row r="133" spans="1:16" ht="18.95" customHeight="1">
      <c r="A133" s="372">
        <f t="shared" si="10"/>
        <v>97</v>
      </c>
      <c r="B133" s="385" t="s">
        <v>2636</v>
      </c>
      <c r="C133" s="382" t="s">
        <v>2637</v>
      </c>
      <c r="D133" s="110">
        <v>42583</v>
      </c>
      <c r="E133" s="111">
        <v>43100</v>
      </c>
      <c r="F133" s="114">
        <f t="shared" si="11"/>
        <v>0.40812379110251451</v>
      </c>
      <c r="G133" s="382">
        <v>1565999.99</v>
      </c>
      <c r="H133" s="382">
        <v>1565999.99</v>
      </c>
      <c r="I133" s="386">
        <v>744832.2</v>
      </c>
      <c r="J133" s="380">
        <f t="shared" si="8"/>
        <v>0.47562720610234482</v>
      </c>
      <c r="M133" s="34">
        <f t="shared" si="6"/>
        <v>517</v>
      </c>
      <c r="N133" s="111">
        <v>42794</v>
      </c>
      <c r="O133" s="34">
        <f t="shared" si="7"/>
        <v>306</v>
      </c>
      <c r="P133" s="381">
        <f t="shared" si="9"/>
        <v>0.40812379110251451</v>
      </c>
    </row>
    <row r="134" spans="1:16" ht="18.95" customHeight="1">
      <c r="A134" s="372">
        <f t="shared" si="10"/>
        <v>98</v>
      </c>
      <c r="B134" s="385" t="s">
        <v>2731</v>
      </c>
      <c r="C134" s="382" t="s">
        <v>2732</v>
      </c>
      <c r="D134" s="110">
        <v>42736</v>
      </c>
      <c r="E134" s="111">
        <v>43100</v>
      </c>
      <c r="F134" s="114">
        <f t="shared" si="11"/>
        <v>0.15934065934065933</v>
      </c>
      <c r="G134" s="382">
        <v>660000</v>
      </c>
      <c r="H134" s="382">
        <v>660000</v>
      </c>
      <c r="I134" s="386">
        <v>62439.34</v>
      </c>
      <c r="J134" s="380">
        <f t="shared" si="8"/>
        <v>9.4605060606060595E-2</v>
      </c>
      <c r="M134" s="34">
        <f t="shared" si="6"/>
        <v>364</v>
      </c>
      <c r="N134" s="111">
        <v>42794</v>
      </c>
      <c r="O134" s="34">
        <f t="shared" si="7"/>
        <v>306</v>
      </c>
      <c r="P134" s="381">
        <f t="shared" si="9"/>
        <v>0.15934065934065933</v>
      </c>
    </row>
    <row r="135" spans="1:16" ht="18.95" customHeight="1">
      <c r="A135" s="372">
        <f t="shared" si="10"/>
        <v>99</v>
      </c>
      <c r="B135" s="385" t="s">
        <v>2809</v>
      </c>
      <c r="C135" s="382" t="s">
        <v>2810</v>
      </c>
      <c r="D135" s="110">
        <v>42736</v>
      </c>
      <c r="E135" s="111">
        <v>43100</v>
      </c>
      <c r="F135" s="114">
        <f t="shared" si="11"/>
        <v>0.15934065934065933</v>
      </c>
      <c r="G135" s="382">
        <v>156832</v>
      </c>
      <c r="H135" s="382">
        <v>156832</v>
      </c>
      <c r="I135" s="386">
        <v>15600</v>
      </c>
      <c r="J135" s="380">
        <f t="shared" si="8"/>
        <v>9.9469496021220155E-2</v>
      </c>
      <c r="M135" s="34">
        <f t="shared" si="6"/>
        <v>364</v>
      </c>
      <c r="N135" s="111">
        <v>42794</v>
      </c>
      <c r="O135" s="34">
        <f t="shared" si="7"/>
        <v>306</v>
      </c>
      <c r="P135" s="381">
        <f t="shared" si="9"/>
        <v>0.15934065934065933</v>
      </c>
    </row>
    <row r="136" spans="1:16" ht="18.95" customHeight="1">
      <c r="A136" s="372">
        <f t="shared" si="10"/>
        <v>100</v>
      </c>
      <c r="B136" s="385" t="s">
        <v>2719</v>
      </c>
      <c r="C136" s="382" t="s">
        <v>2720</v>
      </c>
      <c r="D136" s="110">
        <v>42736</v>
      </c>
      <c r="E136" s="111">
        <v>43465</v>
      </c>
      <c r="F136" s="114">
        <f t="shared" si="11"/>
        <v>7.956104252400549E-2</v>
      </c>
      <c r="G136" s="382">
        <v>1131620</v>
      </c>
      <c r="H136" s="382">
        <v>1131620</v>
      </c>
      <c r="I136" s="386">
        <v>92190</v>
      </c>
      <c r="J136" s="380">
        <f t="shared" si="8"/>
        <v>8.1467277001113447E-2</v>
      </c>
      <c r="M136" s="34">
        <f t="shared" si="6"/>
        <v>729</v>
      </c>
      <c r="N136" s="111">
        <v>42794</v>
      </c>
      <c r="O136" s="34">
        <f t="shared" si="7"/>
        <v>671</v>
      </c>
      <c r="P136" s="381">
        <f t="shared" si="9"/>
        <v>7.956104252400549E-2</v>
      </c>
    </row>
    <row r="137" spans="1:16" ht="18.95" customHeight="1">
      <c r="A137" s="372">
        <f t="shared" si="10"/>
        <v>101</v>
      </c>
      <c r="B137" s="385" t="s">
        <v>2805</v>
      </c>
      <c r="C137" s="382" t="s">
        <v>2806</v>
      </c>
      <c r="D137" s="110">
        <v>42736</v>
      </c>
      <c r="E137" s="111">
        <v>43100</v>
      </c>
      <c r="F137" s="114">
        <f t="shared" si="11"/>
        <v>0.15934065934065933</v>
      </c>
      <c r="G137" s="382">
        <v>120285</v>
      </c>
      <c r="H137" s="382">
        <v>120285</v>
      </c>
      <c r="I137" s="386">
        <v>16970</v>
      </c>
      <c r="J137" s="380">
        <f t="shared" si="8"/>
        <v>0.14108159787172134</v>
      </c>
      <c r="M137" s="34">
        <f t="shared" si="6"/>
        <v>364</v>
      </c>
      <c r="N137" s="111">
        <v>42794</v>
      </c>
      <c r="O137" s="34">
        <f t="shared" si="7"/>
        <v>306</v>
      </c>
      <c r="P137" s="381">
        <f t="shared" si="9"/>
        <v>0.15934065934065933</v>
      </c>
    </row>
    <row r="138" spans="1:16" ht="18.95" customHeight="1">
      <c r="A138" s="372">
        <f t="shared" si="10"/>
        <v>102</v>
      </c>
      <c r="B138" s="385" t="s">
        <v>3359</v>
      </c>
      <c r="C138" s="382" t="s">
        <v>3360</v>
      </c>
      <c r="D138" s="110">
        <v>42736</v>
      </c>
      <c r="E138" s="111">
        <v>43100</v>
      </c>
      <c r="F138" s="114">
        <f t="shared" si="11"/>
        <v>0.15934065934065933</v>
      </c>
      <c r="G138" s="382">
        <v>524480.72</v>
      </c>
      <c r="H138" s="382">
        <v>524480.72</v>
      </c>
      <c r="I138" s="386">
        <v>2306.65</v>
      </c>
      <c r="J138" s="380">
        <f t="shared" si="8"/>
        <v>4.3979690997983682E-3</v>
      </c>
      <c r="M138" s="34">
        <f t="shared" si="6"/>
        <v>364</v>
      </c>
      <c r="N138" s="111">
        <v>42794</v>
      </c>
      <c r="O138" s="34">
        <f t="shared" si="7"/>
        <v>306</v>
      </c>
      <c r="P138" s="381">
        <f t="shared" si="9"/>
        <v>0.15934065934065933</v>
      </c>
    </row>
    <row r="139" spans="1:16" ht="18.95" customHeight="1">
      <c r="A139" s="372">
        <f t="shared" si="10"/>
        <v>103</v>
      </c>
      <c r="B139" s="385" t="s">
        <v>2727</v>
      </c>
      <c r="C139" s="382" t="s">
        <v>2728</v>
      </c>
      <c r="D139" s="110">
        <v>42736</v>
      </c>
      <c r="E139" s="111">
        <v>43465</v>
      </c>
      <c r="F139" s="114">
        <f t="shared" si="11"/>
        <v>7.956104252400549E-2</v>
      </c>
      <c r="G139" s="382">
        <v>800430</v>
      </c>
      <c r="H139" s="382">
        <v>800430</v>
      </c>
      <c r="I139" s="386">
        <v>73150</v>
      </c>
      <c r="J139" s="380">
        <f t="shared" si="8"/>
        <v>9.1388378746423804E-2</v>
      </c>
      <c r="M139" s="34">
        <f t="shared" si="6"/>
        <v>729</v>
      </c>
      <c r="N139" s="111">
        <v>42794</v>
      </c>
      <c r="O139" s="34">
        <f t="shared" si="7"/>
        <v>671</v>
      </c>
      <c r="P139" s="381">
        <f t="shared" si="9"/>
        <v>7.956104252400549E-2</v>
      </c>
    </row>
    <row r="140" spans="1:16" ht="18.95" customHeight="1">
      <c r="A140" s="372">
        <f t="shared" si="10"/>
        <v>104</v>
      </c>
      <c r="B140" s="385" t="s">
        <v>2654</v>
      </c>
      <c r="C140" s="382" t="s">
        <v>2655</v>
      </c>
      <c r="D140" s="110">
        <v>42736</v>
      </c>
      <c r="E140" s="111">
        <v>44926</v>
      </c>
      <c r="F140" s="114">
        <f t="shared" si="11"/>
        <v>2.6484018264840183E-2</v>
      </c>
      <c r="G140" s="382">
        <v>47842623.390000001</v>
      </c>
      <c r="H140" s="382">
        <v>47842623.390000001</v>
      </c>
      <c r="I140" s="386">
        <v>326694.30000000005</v>
      </c>
      <c r="J140" s="380">
        <f t="shared" si="8"/>
        <v>6.8285197769544816E-3</v>
      </c>
      <c r="M140" s="34">
        <f t="shared" si="6"/>
        <v>2190</v>
      </c>
      <c r="N140" s="111">
        <v>42794</v>
      </c>
      <c r="O140" s="34">
        <f t="shared" si="7"/>
        <v>2132</v>
      </c>
      <c r="P140" s="381">
        <f t="shared" si="9"/>
        <v>2.6484018264840183E-2</v>
      </c>
    </row>
    <row r="141" spans="1:16" ht="18.95" customHeight="1">
      <c r="A141" s="372">
        <f t="shared" si="10"/>
        <v>105</v>
      </c>
      <c r="B141" s="385" t="s">
        <v>2701</v>
      </c>
      <c r="C141" s="382" t="s">
        <v>2702</v>
      </c>
      <c r="D141" s="110">
        <v>42736</v>
      </c>
      <c r="E141" s="111">
        <v>44561</v>
      </c>
      <c r="F141" s="114">
        <f t="shared" si="11"/>
        <v>3.1780821917808219E-2</v>
      </c>
      <c r="G141" s="382">
        <v>9478860</v>
      </c>
      <c r="H141" s="382">
        <v>9478860</v>
      </c>
      <c r="I141" s="386">
        <v>112050</v>
      </c>
      <c r="J141" s="380">
        <f t="shared" si="8"/>
        <v>1.1821041770845862E-2</v>
      </c>
      <c r="M141" s="34">
        <f t="shared" si="6"/>
        <v>1825</v>
      </c>
      <c r="N141" s="111">
        <v>42794</v>
      </c>
      <c r="O141" s="34">
        <f t="shared" si="7"/>
        <v>1767</v>
      </c>
      <c r="P141" s="381">
        <f t="shared" si="9"/>
        <v>3.1780821917808219E-2</v>
      </c>
    </row>
    <row r="142" spans="1:16" ht="18.95" customHeight="1">
      <c r="A142" s="372">
        <f t="shared" si="10"/>
        <v>106</v>
      </c>
      <c r="B142" s="385" t="s">
        <v>2785</v>
      </c>
      <c r="C142" s="382" t="s">
        <v>2786</v>
      </c>
      <c r="D142" s="110">
        <v>42736</v>
      </c>
      <c r="E142" s="111">
        <v>44561</v>
      </c>
      <c r="F142" s="114">
        <f t="shared" si="11"/>
        <v>3.1780821917808219E-2</v>
      </c>
      <c r="G142" s="382">
        <v>3874105</v>
      </c>
      <c r="H142" s="382">
        <v>3874105</v>
      </c>
      <c r="I142" s="386">
        <v>24700</v>
      </c>
      <c r="J142" s="380">
        <f t="shared" si="8"/>
        <v>6.375666121594536E-3</v>
      </c>
      <c r="M142" s="34">
        <f t="shared" si="6"/>
        <v>1825</v>
      </c>
      <c r="N142" s="111">
        <v>42794</v>
      </c>
      <c r="O142" s="34">
        <f t="shared" si="7"/>
        <v>1767</v>
      </c>
      <c r="P142" s="381">
        <f t="shared" si="9"/>
        <v>3.1780821917808219E-2</v>
      </c>
    </row>
    <row r="143" spans="1:16" ht="18.95" customHeight="1">
      <c r="A143" s="372">
        <f t="shared" si="10"/>
        <v>107</v>
      </c>
      <c r="B143" s="385" t="s">
        <v>2703</v>
      </c>
      <c r="C143" s="382" t="s">
        <v>2704</v>
      </c>
      <c r="D143" s="110">
        <v>42736</v>
      </c>
      <c r="E143" s="111">
        <v>44561</v>
      </c>
      <c r="F143" s="114">
        <f t="shared" si="11"/>
        <v>3.1780821917808219E-2</v>
      </c>
      <c r="G143" s="382">
        <v>13368245</v>
      </c>
      <c r="H143" s="382">
        <v>13368245</v>
      </c>
      <c r="I143" s="386">
        <v>112050</v>
      </c>
      <c r="J143" s="380">
        <f t="shared" si="8"/>
        <v>8.381803295795371E-3</v>
      </c>
      <c r="M143" s="34">
        <f t="shared" si="6"/>
        <v>1825</v>
      </c>
      <c r="N143" s="111">
        <v>42794</v>
      </c>
      <c r="O143" s="34">
        <f t="shared" si="7"/>
        <v>1767</v>
      </c>
      <c r="P143" s="381">
        <f t="shared" si="9"/>
        <v>3.1780821917808219E-2</v>
      </c>
    </row>
    <row r="144" spans="1:16" ht="18.95" customHeight="1">
      <c r="A144" s="372">
        <f t="shared" si="10"/>
        <v>108</v>
      </c>
      <c r="B144" s="385" t="s">
        <v>2787</v>
      </c>
      <c r="C144" s="382" t="s">
        <v>2788</v>
      </c>
      <c r="D144" s="110">
        <v>42736</v>
      </c>
      <c r="E144" s="111">
        <v>44561</v>
      </c>
      <c r="F144" s="114">
        <f t="shared" si="11"/>
        <v>3.1780821917808219E-2</v>
      </c>
      <c r="G144" s="382">
        <v>2352145</v>
      </c>
      <c r="H144" s="382">
        <v>2352145</v>
      </c>
      <c r="I144" s="386">
        <v>24700</v>
      </c>
      <c r="J144" s="380">
        <f t="shared" si="8"/>
        <v>1.0501053293908326E-2</v>
      </c>
      <c r="M144" s="34">
        <f t="shared" si="6"/>
        <v>1825</v>
      </c>
      <c r="N144" s="111">
        <v>42794</v>
      </c>
      <c r="O144" s="34">
        <f t="shared" si="7"/>
        <v>1767</v>
      </c>
      <c r="P144" s="381">
        <f t="shared" si="9"/>
        <v>3.1780821917808219E-2</v>
      </c>
    </row>
    <row r="145" spans="1:16" ht="18.95" customHeight="1">
      <c r="A145" s="372">
        <f t="shared" si="10"/>
        <v>109</v>
      </c>
      <c r="B145" s="385" t="s">
        <v>2749</v>
      </c>
      <c r="C145" s="382" t="s">
        <v>2750</v>
      </c>
      <c r="D145" s="110">
        <v>42583</v>
      </c>
      <c r="E145" s="111">
        <v>42886</v>
      </c>
      <c r="F145" s="114">
        <f t="shared" si="11"/>
        <v>0.69636963696369636</v>
      </c>
      <c r="G145" s="382">
        <v>152500</v>
      </c>
      <c r="H145" s="382">
        <v>152500</v>
      </c>
      <c r="I145" s="386">
        <v>40000</v>
      </c>
      <c r="J145" s="380">
        <f t="shared" si="8"/>
        <v>0.26229508196721313</v>
      </c>
      <c r="M145" s="34">
        <f t="shared" si="6"/>
        <v>303</v>
      </c>
      <c r="N145" s="111">
        <v>42794</v>
      </c>
      <c r="O145" s="34">
        <f t="shared" si="7"/>
        <v>92</v>
      </c>
      <c r="P145" s="381">
        <f t="shared" si="9"/>
        <v>0.69636963696369636</v>
      </c>
    </row>
    <row r="146" spans="1:16" ht="18.95" customHeight="1">
      <c r="A146" s="372">
        <f t="shared" si="10"/>
        <v>110</v>
      </c>
      <c r="B146" s="385" t="s">
        <v>2751</v>
      </c>
      <c r="C146" s="382" t="s">
        <v>2752</v>
      </c>
      <c r="D146" s="110">
        <v>42583</v>
      </c>
      <c r="E146" s="111">
        <v>42886</v>
      </c>
      <c r="F146" s="114">
        <f t="shared" si="11"/>
        <v>0.69636963696369636</v>
      </c>
      <c r="G146" s="382">
        <v>152500</v>
      </c>
      <c r="H146" s="382">
        <v>152500</v>
      </c>
      <c r="I146" s="386">
        <v>40000</v>
      </c>
      <c r="J146" s="380">
        <f t="shared" si="8"/>
        <v>0.26229508196721313</v>
      </c>
      <c r="M146" s="34">
        <f t="shared" si="6"/>
        <v>303</v>
      </c>
      <c r="N146" s="111">
        <v>42794</v>
      </c>
      <c r="O146" s="34">
        <f t="shared" si="7"/>
        <v>92</v>
      </c>
      <c r="P146" s="381">
        <f t="shared" si="9"/>
        <v>0.69636963696369636</v>
      </c>
    </row>
    <row r="147" spans="1:16" ht="18.95" customHeight="1">
      <c r="A147" s="372">
        <f t="shared" si="10"/>
        <v>111</v>
      </c>
      <c r="B147" s="385" t="s">
        <v>2753</v>
      </c>
      <c r="C147" s="382" t="s">
        <v>2754</v>
      </c>
      <c r="D147" s="110">
        <v>42583</v>
      </c>
      <c r="E147" s="111">
        <v>42886</v>
      </c>
      <c r="F147" s="114">
        <f t="shared" si="11"/>
        <v>0.69636963696369636</v>
      </c>
      <c r="G147" s="382">
        <v>152500</v>
      </c>
      <c r="H147" s="382">
        <v>152500</v>
      </c>
      <c r="I147" s="386">
        <v>40000</v>
      </c>
      <c r="J147" s="380">
        <f t="shared" si="8"/>
        <v>0.26229508196721313</v>
      </c>
      <c r="M147" s="34">
        <f t="shared" si="6"/>
        <v>303</v>
      </c>
      <c r="N147" s="111">
        <v>42794</v>
      </c>
      <c r="O147" s="34">
        <f t="shared" si="7"/>
        <v>92</v>
      </c>
      <c r="P147" s="381">
        <f t="shared" si="9"/>
        <v>0.69636963696369636</v>
      </c>
    </row>
    <row r="148" spans="1:16" ht="18.95" customHeight="1">
      <c r="A148" s="372">
        <f t="shared" si="10"/>
        <v>112</v>
      </c>
      <c r="B148" s="385" t="s">
        <v>2214</v>
      </c>
      <c r="C148" s="382" t="s">
        <v>2215</v>
      </c>
      <c r="D148" s="110">
        <v>42370</v>
      </c>
      <c r="E148" s="111">
        <v>43100</v>
      </c>
      <c r="F148" s="114">
        <f t="shared" si="11"/>
        <v>0.58082191780821912</v>
      </c>
      <c r="G148" s="382">
        <v>50000</v>
      </c>
      <c r="H148" s="382">
        <v>58177.95</v>
      </c>
      <c r="I148" s="386">
        <v>6250</v>
      </c>
      <c r="J148" s="380">
        <f t="shared" si="8"/>
        <v>0.10742901735107546</v>
      </c>
      <c r="M148" s="34">
        <f t="shared" si="6"/>
        <v>730</v>
      </c>
      <c r="N148" s="111">
        <v>42794</v>
      </c>
      <c r="O148" s="34">
        <f t="shared" si="7"/>
        <v>306</v>
      </c>
      <c r="P148" s="381">
        <f t="shared" si="9"/>
        <v>0.58082191780821912</v>
      </c>
    </row>
    <row r="149" spans="1:16" ht="18.95" customHeight="1">
      <c r="A149" s="372">
        <f t="shared" si="10"/>
        <v>113</v>
      </c>
      <c r="B149" s="385" t="s">
        <v>2208</v>
      </c>
      <c r="C149" s="382" t="s">
        <v>2209</v>
      </c>
      <c r="D149" s="110">
        <v>42370</v>
      </c>
      <c r="E149" s="111">
        <v>42947</v>
      </c>
      <c r="F149" s="114">
        <f t="shared" si="11"/>
        <v>0.73483535528596189</v>
      </c>
      <c r="G149" s="382">
        <v>626525</v>
      </c>
      <c r="H149" s="382">
        <v>633836.38</v>
      </c>
      <c r="I149" s="386">
        <v>446381.88</v>
      </c>
      <c r="J149" s="380">
        <f t="shared" si="8"/>
        <v>0.7042541168116605</v>
      </c>
      <c r="M149" s="34">
        <f t="shared" si="6"/>
        <v>577</v>
      </c>
      <c r="N149" s="111">
        <v>42794</v>
      </c>
      <c r="O149" s="34">
        <f t="shared" si="7"/>
        <v>153</v>
      </c>
      <c r="P149" s="381">
        <f t="shared" si="9"/>
        <v>0.73483535528596189</v>
      </c>
    </row>
    <row r="150" spans="1:16" ht="18.95" customHeight="1">
      <c r="A150" s="372">
        <f t="shared" si="10"/>
        <v>114</v>
      </c>
      <c r="B150" s="385" t="s">
        <v>2198</v>
      </c>
      <c r="C150" s="382" t="s">
        <v>2199</v>
      </c>
      <c r="D150" s="110">
        <v>42278</v>
      </c>
      <c r="E150" s="111">
        <v>42978</v>
      </c>
      <c r="F150" s="114">
        <f t="shared" si="11"/>
        <v>0.7371428571428571</v>
      </c>
      <c r="G150" s="382">
        <v>12880000.16</v>
      </c>
      <c r="H150" s="382">
        <v>15121058.710000001</v>
      </c>
      <c r="I150" s="386">
        <v>11675358.08</v>
      </c>
      <c r="J150" s="380">
        <f t="shared" si="8"/>
        <v>0.77212570256596802</v>
      </c>
      <c r="M150" s="34">
        <f t="shared" si="6"/>
        <v>700</v>
      </c>
      <c r="N150" s="111">
        <v>42794</v>
      </c>
      <c r="O150" s="34">
        <f t="shared" si="7"/>
        <v>184</v>
      </c>
      <c r="P150" s="381">
        <f t="shared" si="9"/>
        <v>0.7371428571428571</v>
      </c>
    </row>
    <row r="151" spans="1:16" ht="18.95" customHeight="1">
      <c r="A151" s="372">
        <f t="shared" si="10"/>
        <v>115</v>
      </c>
      <c r="B151" s="385" t="s">
        <v>2729</v>
      </c>
      <c r="C151" s="382" t="s">
        <v>2730</v>
      </c>
      <c r="D151" s="110">
        <v>42736</v>
      </c>
      <c r="E151" s="111">
        <v>42886</v>
      </c>
      <c r="F151" s="114">
        <f t="shared" si="11"/>
        <v>0.38666666666666666</v>
      </c>
      <c r="G151" s="382">
        <v>168000</v>
      </c>
      <c r="H151" s="382">
        <v>168000</v>
      </c>
      <c r="I151" s="386">
        <v>67200</v>
      </c>
      <c r="J151" s="380">
        <f t="shared" si="8"/>
        <v>0.4</v>
      </c>
      <c r="M151" s="34">
        <f t="shared" si="6"/>
        <v>150</v>
      </c>
      <c r="N151" s="111">
        <v>42794</v>
      </c>
      <c r="O151" s="34">
        <f t="shared" si="7"/>
        <v>92</v>
      </c>
      <c r="P151" s="381">
        <f t="shared" si="9"/>
        <v>0.38666666666666666</v>
      </c>
    </row>
    <row r="152" spans="1:16" ht="18.95" customHeight="1">
      <c r="A152" s="372">
        <f t="shared" si="10"/>
        <v>116</v>
      </c>
      <c r="B152" s="385" t="s">
        <v>2807</v>
      </c>
      <c r="C152" s="382" t="s">
        <v>2808</v>
      </c>
      <c r="D152" s="110">
        <v>42736</v>
      </c>
      <c r="E152" s="111">
        <v>43069</v>
      </c>
      <c r="F152" s="114">
        <f t="shared" si="11"/>
        <v>0.17417417417417416</v>
      </c>
      <c r="G152" s="382">
        <v>122359.7</v>
      </c>
      <c r="H152" s="382">
        <v>122359.7</v>
      </c>
      <c r="I152" s="386">
        <v>16099.98</v>
      </c>
      <c r="J152" s="380">
        <f t="shared" si="8"/>
        <v>0.13157910651954852</v>
      </c>
      <c r="M152" s="34">
        <f t="shared" si="6"/>
        <v>333</v>
      </c>
      <c r="N152" s="111">
        <v>42794</v>
      </c>
      <c r="O152" s="34">
        <f t="shared" si="7"/>
        <v>275</v>
      </c>
      <c r="P152" s="381">
        <f t="shared" si="9"/>
        <v>0.17417417417417416</v>
      </c>
    </row>
    <row r="153" spans="1:16" ht="18.95" customHeight="1">
      <c r="A153" s="372">
        <f t="shared" si="10"/>
        <v>117</v>
      </c>
      <c r="B153" s="385" t="s">
        <v>2773</v>
      </c>
      <c r="C153" s="382" t="s">
        <v>2774</v>
      </c>
      <c r="D153" s="110">
        <v>42767</v>
      </c>
      <c r="E153" s="111">
        <v>42855</v>
      </c>
      <c r="F153" s="114">
        <f t="shared" si="11"/>
        <v>0.30681818181818182</v>
      </c>
      <c r="G153" s="382">
        <v>84000</v>
      </c>
      <c r="H153" s="382">
        <v>84000</v>
      </c>
      <c r="I153" s="386">
        <v>28000</v>
      </c>
      <c r="J153" s="380">
        <f t="shared" si="8"/>
        <v>0.33333333333333331</v>
      </c>
      <c r="M153" s="34">
        <f t="shared" si="6"/>
        <v>88</v>
      </c>
      <c r="N153" s="111">
        <v>42794</v>
      </c>
      <c r="O153" s="34">
        <f t="shared" si="7"/>
        <v>61</v>
      </c>
      <c r="P153" s="381">
        <f t="shared" si="9"/>
        <v>0.30681818181818182</v>
      </c>
    </row>
    <row r="154" spans="1:16" ht="18.95" customHeight="1">
      <c r="A154" s="372">
        <f t="shared" si="10"/>
        <v>118</v>
      </c>
      <c r="B154" s="385" t="s">
        <v>2836</v>
      </c>
      <c r="C154" s="382" t="s">
        <v>2837</v>
      </c>
      <c r="D154" s="110">
        <v>42736</v>
      </c>
      <c r="E154" s="111">
        <v>43039</v>
      </c>
      <c r="F154" s="114">
        <f t="shared" si="11"/>
        <v>0.19141914191419143</v>
      </c>
      <c r="G154" s="382">
        <v>57499.64</v>
      </c>
      <c r="H154" s="382">
        <v>57499.64</v>
      </c>
      <c r="I154" s="386">
        <v>6899.96</v>
      </c>
      <c r="J154" s="380">
        <f t="shared" si="8"/>
        <v>0.12000005565252235</v>
      </c>
      <c r="M154" s="34">
        <f t="shared" si="6"/>
        <v>303</v>
      </c>
      <c r="N154" s="111">
        <v>42794</v>
      </c>
      <c r="O154" s="34">
        <f t="shared" si="7"/>
        <v>245</v>
      </c>
      <c r="P154" s="381">
        <f t="shared" si="9"/>
        <v>0.19141914191419143</v>
      </c>
    </row>
    <row r="155" spans="1:16" ht="18.95" customHeight="1">
      <c r="A155" s="372">
        <f t="shared" si="10"/>
        <v>119</v>
      </c>
      <c r="B155" s="385" t="s">
        <v>2691</v>
      </c>
      <c r="C155" s="382" t="s">
        <v>2692</v>
      </c>
      <c r="D155" s="110">
        <v>42736</v>
      </c>
      <c r="E155" s="111">
        <v>43100</v>
      </c>
      <c r="F155" s="114">
        <f t="shared" si="11"/>
        <v>0.15934065934065933</v>
      </c>
      <c r="G155" s="382">
        <v>279999.90999999997</v>
      </c>
      <c r="H155" s="382">
        <v>279999.90999999997</v>
      </c>
      <c r="I155" s="386">
        <v>140000</v>
      </c>
      <c r="J155" s="380">
        <f t="shared" si="8"/>
        <v>0.50000016071433739</v>
      </c>
      <c r="M155" s="34">
        <f t="shared" si="6"/>
        <v>364</v>
      </c>
      <c r="N155" s="111">
        <v>42794</v>
      </c>
      <c r="O155" s="34">
        <f t="shared" si="7"/>
        <v>306</v>
      </c>
      <c r="P155" s="381">
        <f t="shared" si="9"/>
        <v>0.15934065934065933</v>
      </c>
    </row>
    <row r="156" spans="1:16" ht="18.95" customHeight="1">
      <c r="A156" s="372">
        <f t="shared" si="10"/>
        <v>120</v>
      </c>
      <c r="B156" s="385" t="s">
        <v>2795</v>
      </c>
      <c r="C156" s="382" t="s">
        <v>2796</v>
      </c>
      <c r="D156" s="110">
        <v>42736</v>
      </c>
      <c r="E156" s="111">
        <v>43100</v>
      </c>
      <c r="F156" s="114">
        <f t="shared" si="11"/>
        <v>0.15934065934065933</v>
      </c>
      <c r="G156" s="382">
        <v>114999.94</v>
      </c>
      <c r="H156" s="382">
        <v>114999.94</v>
      </c>
      <c r="I156" s="386">
        <v>20240</v>
      </c>
      <c r="J156" s="380">
        <f t="shared" si="8"/>
        <v>0.17600009182613485</v>
      </c>
      <c r="M156" s="34">
        <f t="shared" si="6"/>
        <v>364</v>
      </c>
      <c r="N156" s="111">
        <v>42794</v>
      </c>
      <c r="O156" s="34">
        <f t="shared" si="7"/>
        <v>306</v>
      </c>
      <c r="P156" s="381">
        <f t="shared" si="9"/>
        <v>0.15934065934065933</v>
      </c>
    </row>
    <row r="157" spans="1:16" ht="18.95" customHeight="1">
      <c r="A157" s="372">
        <f t="shared" si="10"/>
        <v>121</v>
      </c>
      <c r="B157" s="385" t="s">
        <v>2743</v>
      </c>
      <c r="C157" s="382" t="s">
        <v>2744</v>
      </c>
      <c r="D157" s="110">
        <v>42736</v>
      </c>
      <c r="E157" s="111">
        <v>43100</v>
      </c>
      <c r="F157" s="114">
        <f t="shared" si="11"/>
        <v>0.15934065934065933</v>
      </c>
      <c r="G157" s="382">
        <v>230000.16</v>
      </c>
      <c r="H157" s="382">
        <v>230000.16</v>
      </c>
      <c r="I157" s="386">
        <v>41400.04</v>
      </c>
      <c r="J157" s="380">
        <f t="shared" si="8"/>
        <v>0.18000004869561831</v>
      </c>
      <c r="M157" s="34">
        <f t="shared" si="6"/>
        <v>364</v>
      </c>
      <c r="N157" s="111">
        <v>42794</v>
      </c>
      <c r="O157" s="34">
        <f t="shared" si="7"/>
        <v>306</v>
      </c>
      <c r="P157" s="381">
        <f t="shared" si="9"/>
        <v>0.15934065934065933</v>
      </c>
    </row>
    <row r="158" spans="1:16" ht="18.95" customHeight="1">
      <c r="A158" s="372">
        <f t="shared" si="10"/>
        <v>122</v>
      </c>
      <c r="B158" s="385" t="s">
        <v>2775</v>
      </c>
      <c r="C158" s="382" t="s">
        <v>2776</v>
      </c>
      <c r="D158" s="110">
        <v>42736</v>
      </c>
      <c r="E158" s="111">
        <v>43039</v>
      </c>
      <c r="F158" s="114">
        <f t="shared" si="11"/>
        <v>0.19141914191419143</v>
      </c>
      <c r="G158" s="382">
        <v>196000</v>
      </c>
      <c r="H158" s="382">
        <v>196000</v>
      </c>
      <c r="I158" s="386">
        <v>28000</v>
      </c>
      <c r="J158" s="380">
        <f t="shared" si="8"/>
        <v>0.14285714285714285</v>
      </c>
      <c r="M158" s="34">
        <f t="shared" si="6"/>
        <v>303</v>
      </c>
      <c r="N158" s="111">
        <v>42794</v>
      </c>
      <c r="O158" s="34">
        <f t="shared" si="7"/>
        <v>245</v>
      </c>
      <c r="P158" s="381">
        <f t="shared" si="9"/>
        <v>0.19141914191419143</v>
      </c>
    </row>
    <row r="159" spans="1:16" ht="18.95" customHeight="1">
      <c r="A159" s="372">
        <f t="shared" si="10"/>
        <v>123</v>
      </c>
      <c r="B159" s="385" t="s">
        <v>2733</v>
      </c>
      <c r="C159" s="382" t="s">
        <v>2734</v>
      </c>
      <c r="D159" s="110">
        <v>42736</v>
      </c>
      <c r="E159" s="111">
        <v>42886</v>
      </c>
      <c r="F159" s="114">
        <f t="shared" si="11"/>
        <v>0.38666666666666666</v>
      </c>
      <c r="G159" s="382">
        <v>140000.1</v>
      </c>
      <c r="H159" s="382">
        <v>140000.1</v>
      </c>
      <c r="I159" s="386">
        <v>56000.08</v>
      </c>
      <c r="J159" s="380">
        <f t="shared" si="8"/>
        <v>0.40000028571408164</v>
      </c>
      <c r="M159" s="34">
        <f t="shared" si="6"/>
        <v>150</v>
      </c>
      <c r="N159" s="111">
        <v>42794</v>
      </c>
      <c r="O159" s="34">
        <f t="shared" si="7"/>
        <v>92</v>
      </c>
      <c r="P159" s="381">
        <f t="shared" si="9"/>
        <v>0.38666666666666666</v>
      </c>
    </row>
    <row r="160" spans="1:16" ht="18.95" customHeight="1">
      <c r="A160" s="372">
        <f t="shared" si="10"/>
        <v>124</v>
      </c>
      <c r="B160" s="385" t="s">
        <v>2777</v>
      </c>
      <c r="C160" s="382" t="s">
        <v>2778</v>
      </c>
      <c r="D160" s="110">
        <v>42736</v>
      </c>
      <c r="E160" s="111">
        <v>42855</v>
      </c>
      <c r="F160" s="114">
        <f t="shared" si="11"/>
        <v>0.48739495798319327</v>
      </c>
      <c r="G160" s="382">
        <v>56000</v>
      </c>
      <c r="H160" s="382">
        <v>56000</v>
      </c>
      <c r="I160" s="386">
        <v>28000</v>
      </c>
      <c r="J160" s="380">
        <f t="shared" si="8"/>
        <v>0.5</v>
      </c>
      <c r="M160" s="34">
        <f t="shared" si="6"/>
        <v>119</v>
      </c>
      <c r="N160" s="111">
        <v>42794</v>
      </c>
      <c r="O160" s="34">
        <f t="shared" si="7"/>
        <v>61</v>
      </c>
      <c r="P160" s="381">
        <f t="shared" si="9"/>
        <v>0.48739495798319327</v>
      </c>
    </row>
    <row r="161" spans="1:16" ht="18.95" customHeight="1">
      <c r="A161" s="372">
        <f t="shared" si="10"/>
        <v>125</v>
      </c>
      <c r="B161" s="385" t="s">
        <v>2858</v>
      </c>
      <c r="C161" s="382" t="s">
        <v>2859</v>
      </c>
      <c r="D161" s="110">
        <v>42767</v>
      </c>
      <c r="E161" s="111">
        <v>43100</v>
      </c>
      <c r="F161" s="114">
        <f t="shared" si="11"/>
        <v>8.1081081081081086E-2</v>
      </c>
      <c r="G161" s="382">
        <v>23000</v>
      </c>
      <c r="H161" s="382">
        <v>23000</v>
      </c>
      <c r="I161" s="386">
        <v>3832.72</v>
      </c>
      <c r="J161" s="380">
        <f t="shared" si="8"/>
        <v>0.16663999999999998</v>
      </c>
      <c r="M161" s="34">
        <f t="shared" si="6"/>
        <v>333</v>
      </c>
      <c r="N161" s="111">
        <v>42794</v>
      </c>
      <c r="O161" s="34">
        <f t="shared" si="7"/>
        <v>306</v>
      </c>
      <c r="P161" s="381">
        <f t="shared" si="9"/>
        <v>8.1081081081081086E-2</v>
      </c>
    </row>
    <row r="162" spans="1:16" ht="18.95" customHeight="1">
      <c r="A162" s="372">
        <f t="shared" si="10"/>
        <v>126</v>
      </c>
      <c r="B162" s="385" t="s">
        <v>2840</v>
      </c>
      <c r="C162" s="382" t="s">
        <v>2841</v>
      </c>
      <c r="D162" s="110">
        <v>42767</v>
      </c>
      <c r="E162" s="111">
        <v>43100</v>
      </c>
      <c r="F162" s="114">
        <f t="shared" si="11"/>
        <v>8.1081081081081086E-2</v>
      </c>
      <c r="G162" s="382">
        <v>206999.9</v>
      </c>
      <c r="H162" s="382">
        <v>206999.9</v>
      </c>
      <c r="I162" s="386">
        <v>6210.01</v>
      </c>
      <c r="J162" s="380">
        <f t="shared" si="8"/>
        <v>3.0000062801962709E-2</v>
      </c>
      <c r="M162" s="34">
        <f t="shared" si="6"/>
        <v>333</v>
      </c>
      <c r="N162" s="111">
        <v>42794</v>
      </c>
      <c r="O162" s="34">
        <f t="shared" si="7"/>
        <v>306</v>
      </c>
      <c r="P162" s="381">
        <f t="shared" si="9"/>
        <v>8.1081081081081086E-2</v>
      </c>
    </row>
    <row r="163" spans="1:16" ht="18.95" customHeight="1">
      <c r="A163" s="372">
        <f t="shared" si="10"/>
        <v>127</v>
      </c>
      <c r="B163" s="385" t="s">
        <v>2783</v>
      </c>
      <c r="C163" s="382" t="s">
        <v>2784</v>
      </c>
      <c r="D163" s="110">
        <v>42736</v>
      </c>
      <c r="E163" s="111">
        <v>43100</v>
      </c>
      <c r="F163" s="114">
        <f t="shared" si="11"/>
        <v>0.15934065934065933</v>
      </c>
      <c r="G163" s="382">
        <v>218499.9</v>
      </c>
      <c r="H163" s="382">
        <v>218499.9</v>
      </c>
      <c r="I163" s="386">
        <v>25299.96</v>
      </c>
      <c r="J163" s="380">
        <f t="shared" si="8"/>
        <v>0.11578934361068358</v>
      </c>
      <c r="M163" s="34">
        <f t="shared" si="6"/>
        <v>364</v>
      </c>
      <c r="N163" s="111">
        <v>42794</v>
      </c>
      <c r="O163" s="34">
        <f t="shared" si="7"/>
        <v>306</v>
      </c>
      <c r="P163" s="381">
        <f t="shared" si="9"/>
        <v>0.15934065934065933</v>
      </c>
    </row>
    <row r="164" spans="1:16" ht="18.95" customHeight="1">
      <c r="A164" s="372">
        <f t="shared" si="10"/>
        <v>128</v>
      </c>
      <c r="B164" s="385" t="s">
        <v>2852</v>
      </c>
      <c r="C164" s="382" t="s">
        <v>2853</v>
      </c>
      <c r="D164" s="110">
        <v>42767</v>
      </c>
      <c r="E164" s="111">
        <v>43039</v>
      </c>
      <c r="F164" s="114">
        <f t="shared" si="11"/>
        <v>9.9264705882352935E-2</v>
      </c>
      <c r="G164" s="382">
        <v>23000</v>
      </c>
      <c r="H164" s="382">
        <v>23000</v>
      </c>
      <c r="I164" s="386">
        <v>4600</v>
      </c>
      <c r="J164" s="380">
        <f t="shared" si="8"/>
        <v>0.2</v>
      </c>
      <c r="M164" s="34">
        <f t="shared" si="6"/>
        <v>272</v>
      </c>
      <c r="N164" s="111">
        <v>42794</v>
      </c>
      <c r="O164" s="34">
        <f t="shared" si="7"/>
        <v>245</v>
      </c>
      <c r="P164" s="381">
        <f t="shared" si="9"/>
        <v>9.9264705882352935E-2</v>
      </c>
    </row>
    <row r="165" spans="1:16" ht="18.95" customHeight="1">
      <c r="A165" s="372">
        <f t="shared" si="10"/>
        <v>129</v>
      </c>
      <c r="B165" s="385" t="s">
        <v>2860</v>
      </c>
      <c r="C165" s="382" t="s">
        <v>2861</v>
      </c>
      <c r="D165" s="110">
        <v>42736</v>
      </c>
      <c r="E165" s="111">
        <v>42978</v>
      </c>
      <c r="F165" s="114">
        <f t="shared" si="11"/>
        <v>0.23966942148760331</v>
      </c>
      <c r="G165" s="382">
        <v>25760</v>
      </c>
      <c r="H165" s="382">
        <v>25760</v>
      </c>
      <c r="I165" s="386">
        <v>3680</v>
      </c>
      <c r="J165" s="380">
        <f t="shared" si="8"/>
        <v>0.14285714285714285</v>
      </c>
      <c r="M165" s="34">
        <f t="shared" ref="M165:M201" si="12">E165-D165</f>
        <v>242</v>
      </c>
      <c r="N165" s="111">
        <v>42794</v>
      </c>
      <c r="O165" s="34">
        <f t="shared" ref="O165:O201" si="13">E165-N165</f>
        <v>184</v>
      </c>
      <c r="P165" s="381">
        <f t="shared" si="9"/>
        <v>0.23966942148760331</v>
      </c>
    </row>
    <row r="166" spans="1:16" ht="18.95" customHeight="1">
      <c r="A166" s="372">
        <f t="shared" si="10"/>
        <v>130</v>
      </c>
      <c r="B166" s="385" t="s">
        <v>2826</v>
      </c>
      <c r="C166" s="382" t="s">
        <v>2827</v>
      </c>
      <c r="D166" s="110">
        <v>42736</v>
      </c>
      <c r="E166" s="111">
        <v>43069</v>
      </c>
      <c r="F166" s="114">
        <f t="shared" ref="F166:F201" si="14">P166</f>
        <v>0.17417417417417416</v>
      </c>
      <c r="G166" s="382">
        <v>50139.93</v>
      </c>
      <c r="H166" s="382">
        <v>50139.93</v>
      </c>
      <c r="I166" s="386">
        <v>8740</v>
      </c>
      <c r="J166" s="380">
        <f t="shared" ref="J166:J201" si="15">I166/H166</f>
        <v>0.17431216996114673</v>
      </c>
      <c r="M166" s="34">
        <f t="shared" si="12"/>
        <v>333</v>
      </c>
      <c r="N166" s="111">
        <v>42794</v>
      </c>
      <c r="O166" s="34">
        <f t="shared" si="13"/>
        <v>275</v>
      </c>
      <c r="P166" s="381">
        <f t="shared" ref="P166:P201" si="16">(M166-O166)/M166</f>
        <v>0.17417417417417416</v>
      </c>
    </row>
    <row r="167" spans="1:16" ht="18.95" customHeight="1">
      <c r="A167" s="372">
        <f t="shared" ref="A167:A201" si="17">A166+1</f>
        <v>131</v>
      </c>
      <c r="B167" s="385" t="s">
        <v>2695</v>
      </c>
      <c r="C167" s="382" t="s">
        <v>2696</v>
      </c>
      <c r="D167" s="110">
        <v>42736</v>
      </c>
      <c r="E167" s="111">
        <v>43039</v>
      </c>
      <c r="F167" s="114">
        <f t="shared" si="14"/>
        <v>0.19141914191419143</v>
      </c>
      <c r="G167" s="382">
        <v>644000.1</v>
      </c>
      <c r="H167" s="382">
        <v>644000.1</v>
      </c>
      <c r="I167" s="386">
        <v>128800.04</v>
      </c>
      <c r="J167" s="380">
        <f t="shared" si="15"/>
        <v>0.20000003105589578</v>
      </c>
      <c r="M167" s="34">
        <f t="shared" si="12"/>
        <v>303</v>
      </c>
      <c r="N167" s="111">
        <v>42794</v>
      </c>
      <c r="O167" s="34">
        <f t="shared" si="13"/>
        <v>245</v>
      </c>
      <c r="P167" s="381">
        <f t="shared" si="16"/>
        <v>0.19141914191419143</v>
      </c>
    </row>
    <row r="168" spans="1:16" ht="18.95" customHeight="1">
      <c r="A168" s="372">
        <f t="shared" si="17"/>
        <v>132</v>
      </c>
      <c r="B168" s="385" t="s">
        <v>2757</v>
      </c>
      <c r="C168" s="382" t="s">
        <v>2758</v>
      </c>
      <c r="D168" s="110">
        <v>42736</v>
      </c>
      <c r="E168" s="111">
        <v>43100</v>
      </c>
      <c r="F168" s="114">
        <f t="shared" si="14"/>
        <v>0.15934065934065933</v>
      </c>
      <c r="G168" s="382">
        <v>196000</v>
      </c>
      <c r="H168" s="382">
        <v>196000</v>
      </c>
      <c r="I168" s="386">
        <v>33600</v>
      </c>
      <c r="J168" s="380">
        <f t="shared" si="15"/>
        <v>0.17142857142857143</v>
      </c>
      <c r="M168" s="34">
        <f t="shared" si="12"/>
        <v>364</v>
      </c>
      <c r="N168" s="111">
        <v>42794</v>
      </c>
      <c r="O168" s="34">
        <f t="shared" si="13"/>
        <v>306</v>
      </c>
      <c r="P168" s="381">
        <f t="shared" si="16"/>
        <v>0.15934065934065933</v>
      </c>
    </row>
    <row r="169" spans="1:16" s="387" customFormat="1" ht="20.100000000000001" customHeight="1">
      <c r="A169" s="706" t="str">
        <f>$A$1</f>
        <v>KENTUCKY UTILITIES COMPANY</v>
      </c>
      <c r="B169" s="706"/>
      <c r="C169" s="706"/>
      <c r="D169" s="706"/>
      <c r="E169" s="706"/>
      <c r="F169" s="706"/>
      <c r="G169" s="706"/>
      <c r="H169" s="706"/>
      <c r="I169" s="706"/>
      <c r="J169" s="706"/>
    </row>
    <row r="170" spans="1:16" s="387" customFormat="1" ht="20.100000000000001" customHeight="1">
      <c r="A170" s="706" t="str">
        <f>$A$2</f>
        <v>CASE NO. 2016-00370</v>
      </c>
      <c r="B170" s="706"/>
      <c r="C170" s="706"/>
      <c r="D170" s="706"/>
      <c r="E170" s="706"/>
      <c r="F170" s="706"/>
      <c r="G170" s="706"/>
      <c r="H170" s="706"/>
      <c r="I170" s="706"/>
      <c r="J170" s="706"/>
    </row>
    <row r="171" spans="1:16" s="387" customFormat="1" ht="20.100000000000001" customHeight="1">
      <c r="A171" s="706" t="s">
        <v>1225</v>
      </c>
      <c r="B171" s="706"/>
      <c r="C171" s="706"/>
      <c r="D171" s="706"/>
      <c r="E171" s="706"/>
      <c r="F171" s="706"/>
      <c r="G171" s="706"/>
      <c r="H171" s="706"/>
      <c r="I171" s="706"/>
      <c r="J171" s="706"/>
    </row>
    <row r="172" spans="1:16" s="387" customFormat="1" ht="20.100000000000001" customHeight="1">
      <c r="A172" s="706" t="str">
        <f>$A$4</f>
        <v>AS OF FEBRUARY 28, 2017</v>
      </c>
      <c r="B172" s="706"/>
      <c r="C172" s="706"/>
      <c r="D172" s="706"/>
      <c r="E172" s="706"/>
      <c r="F172" s="706"/>
      <c r="G172" s="706"/>
      <c r="H172" s="706"/>
      <c r="I172" s="706"/>
      <c r="J172" s="706"/>
    </row>
    <row r="173" spans="1:16" s="387" customFormat="1" ht="20.100000000000001" customHeight="1">
      <c r="A173" s="370"/>
      <c r="B173" s="370"/>
      <c r="C173" s="370"/>
      <c r="D173" s="370"/>
      <c r="E173" s="370"/>
      <c r="F173" s="370"/>
      <c r="G173" s="370"/>
      <c r="H173" s="370"/>
      <c r="I173" s="370"/>
      <c r="J173" s="370"/>
    </row>
    <row r="174" spans="1:16" s="387" customFormat="1" ht="20.100000000000001" customHeight="1">
      <c r="A174" s="27" t="str">
        <f>$A$6</f>
        <v>DATA:__X__BASE  PERIOD____FORECASTED  PERIOD</v>
      </c>
      <c r="B174" s="371"/>
      <c r="C174" s="28"/>
      <c r="D174" s="109"/>
      <c r="E174" s="109"/>
      <c r="F174" s="28"/>
      <c r="G174" s="34"/>
      <c r="H174" s="34"/>
      <c r="I174" s="34"/>
      <c r="J174" s="34" t="s">
        <v>1767</v>
      </c>
    </row>
    <row r="175" spans="1:16" s="387" customFormat="1" ht="20.100000000000001" customHeight="1">
      <c r="A175" s="27" t="str">
        <f>$A$7</f>
        <v>TYPE OF FILING: __X__ ORIGINAL  _____ UPDATED  _____ REVISED</v>
      </c>
      <c r="B175" s="372"/>
      <c r="C175" s="28"/>
      <c r="D175" s="109"/>
      <c r="E175" s="109"/>
      <c r="F175" s="28"/>
      <c r="G175" s="34"/>
      <c r="H175" s="34"/>
      <c r="I175" s="34"/>
      <c r="J175" s="34" t="s">
        <v>3264</v>
      </c>
    </row>
    <row r="176" spans="1:16" s="387" customFormat="1" ht="20.100000000000001" customHeight="1">
      <c r="A176" s="27" t="str">
        <f>$A$8</f>
        <v>WORKPAPER REFERENCE NO(S).:</v>
      </c>
      <c r="B176" s="371"/>
      <c r="C176" s="28"/>
      <c r="D176" s="109"/>
      <c r="E176" s="109"/>
      <c r="F176" s="27"/>
      <c r="G176" s="35"/>
      <c r="H176" s="35"/>
      <c r="I176" s="35"/>
      <c r="J176" s="35" t="str">
        <f>$J$8</f>
        <v>WITNESS:   C. M. GARRETT</v>
      </c>
    </row>
    <row r="177" spans="1:16" s="387" customFormat="1" ht="20.100000000000001" customHeight="1">
      <c r="A177" s="28"/>
      <c r="B177" s="372"/>
      <c r="C177" s="28"/>
      <c r="D177" s="109"/>
      <c r="E177" s="109"/>
      <c r="F177" s="28"/>
      <c r="G177" s="28"/>
      <c r="H177" s="28"/>
      <c r="I177" s="28"/>
      <c r="J177" s="28"/>
    </row>
    <row r="178" spans="1:16" ht="66.95" customHeight="1">
      <c r="A178" s="36" t="s">
        <v>134</v>
      </c>
      <c r="B178" s="36" t="s">
        <v>1228</v>
      </c>
      <c r="C178" s="36" t="s">
        <v>1229</v>
      </c>
      <c r="D178" s="107" t="s">
        <v>1231</v>
      </c>
      <c r="E178" s="107" t="s">
        <v>1232</v>
      </c>
      <c r="F178" s="36" t="s">
        <v>1233</v>
      </c>
      <c r="G178" s="36" t="s">
        <v>1234</v>
      </c>
      <c r="H178" s="36" t="s">
        <v>1235</v>
      </c>
      <c r="I178" s="36" t="s">
        <v>1236</v>
      </c>
      <c r="J178" s="36" t="s">
        <v>1237</v>
      </c>
      <c r="M178" s="115" t="s">
        <v>1245</v>
      </c>
      <c r="N178" s="115" t="s">
        <v>1246</v>
      </c>
      <c r="O178" s="115" t="s">
        <v>1247</v>
      </c>
      <c r="P178" s="115" t="s">
        <v>1233</v>
      </c>
    </row>
    <row r="179" spans="1:16" s="387" customFormat="1" ht="23.1" customHeight="1">
      <c r="A179" s="40" t="s">
        <v>1226</v>
      </c>
      <c r="B179" s="40" t="s">
        <v>1227</v>
      </c>
      <c r="C179" s="40" t="s">
        <v>1230</v>
      </c>
      <c r="D179" s="383" t="s">
        <v>1238</v>
      </c>
      <c r="E179" s="383" t="s">
        <v>1239</v>
      </c>
      <c r="F179" s="384" t="s">
        <v>1240</v>
      </c>
      <c r="G179" s="384" t="s">
        <v>1241</v>
      </c>
      <c r="H179" s="384" t="s">
        <v>1242</v>
      </c>
      <c r="I179" s="384" t="s">
        <v>1243</v>
      </c>
      <c r="J179" s="384" t="s">
        <v>1244</v>
      </c>
    </row>
    <row r="180" spans="1:16" s="387" customFormat="1" ht="18.95" customHeight="1">
      <c r="A180" s="33"/>
      <c r="B180" s="33"/>
      <c r="C180" s="33"/>
      <c r="D180" s="388"/>
      <c r="E180" s="388"/>
      <c r="F180" s="389"/>
      <c r="G180" s="389"/>
      <c r="H180" s="389"/>
      <c r="I180" s="389"/>
      <c r="J180" s="389"/>
    </row>
    <row r="181" spans="1:16" ht="18.95" customHeight="1">
      <c r="A181" s="372">
        <f>A168+1</f>
        <v>133</v>
      </c>
      <c r="B181" s="385" t="s">
        <v>2854</v>
      </c>
      <c r="C181" s="382" t="s">
        <v>2855</v>
      </c>
      <c r="D181" s="110">
        <v>42736</v>
      </c>
      <c r="E181" s="111">
        <v>43069</v>
      </c>
      <c r="F181" s="114">
        <f t="shared" si="14"/>
        <v>0.17417417417417416</v>
      </c>
      <c r="G181" s="382">
        <v>91999.55</v>
      </c>
      <c r="H181" s="382">
        <v>91999.55</v>
      </c>
      <c r="I181" s="386">
        <v>4600</v>
      </c>
      <c r="J181" s="380">
        <f t="shared" si="15"/>
        <v>5.0000244566413637E-2</v>
      </c>
      <c r="M181" s="34">
        <f t="shared" si="12"/>
        <v>333</v>
      </c>
      <c r="N181" s="111">
        <v>42794</v>
      </c>
      <c r="O181" s="34">
        <f t="shared" si="13"/>
        <v>275</v>
      </c>
      <c r="P181" s="381">
        <f t="shared" si="16"/>
        <v>0.17417417417417416</v>
      </c>
    </row>
    <row r="182" spans="1:16" ht="18.95" customHeight="1">
      <c r="A182" s="372">
        <f t="shared" si="17"/>
        <v>134</v>
      </c>
      <c r="B182" s="385" t="s">
        <v>2866</v>
      </c>
      <c r="C182" s="382" t="s">
        <v>2867</v>
      </c>
      <c r="D182" s="110">
        <v>42736</v>
      </c>
      <c r="E182" s="111">
        <v>43100</v>
      </c>
      <c r="F182" s="114">
        <f t="shared" si="14"/>
        <v>0.15934065934065933</v>
      </c>
      <c r="G182" s="382">
        <v>48760</v>
      </c>
      <c r="H182" s="382">
        <v>48760</v>
      </c>
      <c r="I182" s="386">
        <v>3220</v>
      </c>
      <c r="J182" s="380">
        <f t="shared" si="15"/>
        <v>6.6037735849056603E-2</v>
      </c>
      <c r="M182" s="34">
        <f t="shared" si="12"/>
        <v>364</v>
      </c>
      <c r="N182" s="111">
        <v>42794</v>
      </c>
      <c r="O182" s="34">
        <f t="shared" si="13"/>
        <v>306</v>
      </c>
      <c r="P182" s="381">
        <f t="shared" si="16"/>
        <v>0.15934065934065933</v>
      </c>
    </row>
    <row r="183" spans="1:16" ht="18.95" customHeight="1">
      <c r="A183" s="372">
        <f t="shared" si="17"/>
        <v>135</v>
      </c>
      <c r="B183" s="385" t="s">
        <v>2876</v>
      </c>
      <c r="C183" s="382" t="s">
        <v>2877</v>
      </c>
      <c r="D183" s="110">
        <v>42767</v>
      </c>
      <c r="E183" s="111">
        <v>43100</v>
      </c>
      <c r="F183" s="114">
        <f t="shared" si="14"/>
        <v>8.1081081081081086E-2</v>
      </c>
      <c r="G183" s="382">
        <v>68999.59</v>
      </c>
      <c r="H183" s="382">
        <v>68999.59</v>
      </c>
      <c r="I183" s="386">
        <v>2069.96</v>
      </c>
      <c r="J183" s="380">
        <f t="shared" si="15"/>
        <v>2.9999598548339203E-2</v>
      </c>
      <c r="M183" s="34">
        <f t="shared" si="12"/>
        <v>333</v>
      </c>
      <c r="N183" s="111">
        <v>42794</v>
      </c>
      <c r="O183" s="34">
        <f t="shared" si="13"/>
        <v>306</v>
      </c>
      <c r="P183" s="381">
        <f t="shared" si="16"/>
        <v>8.1081081081081086E-2</v>
      </c>
    </row>
    <row r="184" spans="1:16" ht="18.95" customHeight="1">
      <c r="A184" s="372">
        <f t="shared" si="17"/>
        <v>136</v>
      </c>
      <c r="B184" s="385" t="s">
        <v>2868</v>
      </c>
      <c r="C184" s="382" t="s">
        <v>2869</v>
      </c>
      <c r="D184" s="110">
        <v>42736</v>
      </c>
      <c r="E184" s="111">
        <v>43039</v>
      </c>
      <c r="F184" s="114">
        <f t="shared" si="14"/>
        <v>0.19141914191419143</v>
      </c>
      <c r="G184" s="382">
        <v>46000</v>
      </c>
      <c r="H184" s="382">
        <v>46000</v>
      </c>
      <c r="I184" s="386">
        <v>2760</v>
      </c>
      <c r="J184" s="380">
        <f t="shared" si="15"/>
        <v>0.06</v>
      </c>
      <c r="M184" s="34">
        <f t="shared" si="12"/>
        <v>303</v>
      </c>
      <c r="N184" s="111">
        <v>42794</v>
      </c>
      <c r="O184" s="34">
        <f t="shared" si="13"/>
        <v>245</v>
      </c>
      <c r="P184" s="381">
        <f t="shared" si="16"/>
        <v>0.19141914191419143</v>
      </c>
    </row>
    <row r="185" spans="1:16" ht="18.95" customHeight="1">
      <c r="A185" s="372">
        <f t="shared" si="17"/>
        <v>137</v>
      </c>
      <c r="B185" s="385" t="s">
        <v>2803</v>
      </c>
      <c r="C185" s="382" t="s">
        <v>2804</v>
      </c>
      <c r="D185" s="110">
        <v>42736</v>
      </c>
      <c r="E185" s="111">
        <v>42947</v>
      </c>
      <c r="F185" s="114">
        <f t="shared" si="14"/>
        <v>0.27488151658767773</v>
      </c>
      <c r="G185" s="382">
        <v>75000</v>
      </c>
      <c r="H185" s="382">
        <v>75000</v>
      </c>
      <c r="I185" s="386">
        <v>17500</v>
      </c>
      <c r="J185" s="380">
        <f t="shared" si="15"/>
        <v>0.23333333333333334</v>
      </c>
      <c r="M185" s="34">
        <f t="shared" si="12"/>
        <v>211</v>
      </c>
      <c r="N185" s="111">
        <v>42794</v>
      </c>
      <c r="O185" s="34">
        <f t="shared" si="13"/>
        <v>153</v>
      </c>
      <c r="P185" s="381">
        <f t="shared" si="16"/>
        <v>0.27488151658767773</v>
      </c>
    </row>
    <row r="186" spans="1:16" ht="18.95" customHeight="1">
      <c r="A186" s="372">
        <f t="shared" si="17"/>
        <v>138</v>
      </c>
      <c r="B186" s="385" t="s">
        <v>2815</v>
      </c>
      <c r="C186" s="382" t="s">
        <v>2816</v>
      </c>
      <c r="D186" s="110">
        <v>42767</v>
      </c>
      <c r="E186" s="111">
        <v>42886</v>
      </c>
      <c r="F186" s="114">
        <f t="shared" si="14"/>
        <v>0.22689075630252101</v>
      </c>
      <c r="G186" s="382">
        <v>69000</v>
      </c>
      <c r="H186" s="382">
        <v>69000</v>
      </c>
      <c r="I186" s="386">
        <v>11500</v>
      </c>
      <c r="J186" s="380">
        <f t="shared" si="15"/>
        <v>0.16666666666666666</v>
      </c>
      <c r="M186" s="34">
        <f t="shared" si="12"/>
        <v>119</v>
      </c>
      <c r="N186" s="111">
        <v>42794</v>
      </c>
      <c r="O186" s="34">
        <f t="shared" si="13"/>
        <v>92</v>
      </c>
      <c r="P186" s="381">
        <f t="shared" si="16"/>
        <v>0.22689075630252101</v>
      </c>
    </row>
    <row r="187" spans="1:16" ht="18.95" customHeight="1">
      <c r="A187" s="372">
        <f t="shared" si="17"/>
        <v>139</v>
      </c>
      <c r="B187" s="385" t="s">
        <v>2670</v>
      </c>
      <c r="C187" s="382" t="s">
        <v>2671</v>
      </c>
      <c r="D187" s="110">
        <v>42644</v>
      </c>
      <c r="E187" s="111">
        <v>43404</v>
      </c>
      <c r="F187" s="114">
        <f t="shared" si="14"/>
        <v>0.19736842105263158</v>
      </c>
      <c r="G187" s="382">
        <v>700000.12</v>
      </c>
      <c r="H187" s="382">
        <v>700000.12</v>
      </c>
      <c r="I187" s="386">
        <v>252000.05999999997</v>
      </c>
      <c r="J187" s="380">
        <f t="shared" si="15"/>
        <v>0.36000002399999587</v>
      </c>
      <c r="M187" s="34">
        <f t="shared" si="12"/>
        <v>760</v>
      </c>
      <c r="N187" s="111">
        <v>42794</v>
      </c>
      <c r="O187" s="34">
        <f t="shared" si="13"/>
        <v>610</v>
      </c>
      <c r="P187" s="381">
        <f t="shared" si="16"/>
        <v>0.19736842105263158</v>
      </c>
    </row>
    <row r="188" spans="1:16" ht="18.95" customHeight="1">
      <c r="A188" s="372">
        <f t="shared" si="17"/>
        <v>140</v>
      </c>
      <c r="B188" s="385" t="s">
        <v>2838</v>
      </c>
      <c r="C188" s="382" t="s">
        <v>2839</v>
      </c>
      <c r="D188" s="110">
        <v>42736</v>
      </c>
      <c r="E188" s="111">
        <v>43100</v>
      </c>
      <c r="F188" s="114">
        <f t="shared" si="14"/>
        <v>0.15934065934065933</v>
      </c>
      <c r="G188" s="382">
        <v>91999.74</v>
      </c>
      <c r="H188" s="382">
        <v>91999.74</v>
      </c>
      <c r="I188" s="386">
        <v>6899.95</v>
      </c>
      <c r="J188" s="380">
        <f t="shared" si="15"/>
        <v>7.499966847732395E-2</v>
      </c>
      <c r="M188" s="34">
        <f t="shared" si="12"/>
        <v>364</v>
      </c>
      <c r="N188" s="111">
        <v>42794</v>
      </c>
      <c r="O188" s="34">
        <f t="shared" si="13"/>
        <v>306</v>
      </c>
      <c r="P188" s="381">
        <f t="shared" si="16"/>
        <v>0.15934065934065933</v>
      </c>
    </row>
    <row r="189" spans="1:16" ht="18.95" customHeight="1">
      <c r="A189" s="372">
        <f t="shared" si="17"/>
        <v>141</v>
      </c>
      <c r="B189" s="385" t="s">
        <v>2862</v>
      </c>
      <c r="C189" s="382" t="s">
        <v>2863</v>
      </c>
      <c r="D189" s="110">
        <v>42736</v>
      </c>
      <c r="E189" s="111">
        <v>42978</v>
      </c>
      <c r="F189" s="114">
        <f t="shared" si="14"/>
        <v>0.23966942148760331</v>
      </c>
      <c r="G189" s="382">
        <v>100739.96</v>
      </c>
      <c r="H189" s="382">
        <v>100739.96</v>
      </c>
      <c r="I189" s="386">
        <v>3449.9900000000002</v>
      </c>
      <c r="J189" s="380">
        <f t="shared" si="15"/>
        <v>3.4246489675000866E-2</v>
      </c>
      <c r="M189" s="34">
        <f t="shared" si="12"/>
        <v>242</v>
      </c>
      <c r="N189" s="111">
        <v>42794</v>
      </c>
      <c r="O189" s="34">
        <f t="shared" si="13"/>
        <v>184</v>
      </c>
      <c r="P189" s="381">
        <f t="shared" si="16"/>
        <v>0.23966942148760331</v>
      </c>
    </row>
    <row r="190" spans="1:16" ht="18.95" customHeight="1">
      <c r="A190" s="372">
        <f t="shared" si="17"/>
        <v>142</v>
      </c>
      <c r="B190" s="385" t="s">
        <v>2793</v>
      </c>
      <c r="C190" s="382" t="s">
        <v>2794</v>
      </c>
      <c r="D190" s="110">
        <v>42736</v>
      </c>
      <c r="E190" s="111">
        <v>43100</v>
      </c>
      <c r="F190" s="114">
        <f t="shared" si="14"/>
        <v>0.15934065934065933</v>
      </c>
      <c r="G190" s="382">
        <v>168000</v>
      </c>
      <c r="H190" s="382">
        <v>168000</v>
      </c>
      <c r="I190" s="386">
        <v>22400</v>
      </c>
      <c r="J190" s="380">
        <f t="shared" si="15"/>
        <v>0.13333333333333333</v>
      </c>
      <c r="M190" s="34">
        <f t="shared" si="12"/>
        <v>364</v>
      </c>
      <c r="N190" s="111">
        <v>42794</v>
      </c>
      <c r="O190" s="34">
        <f t="shared" si="13"/>
        <v>306</v>
      </c>
      <c r="P190" s="381">
        <f t="shared" si="16"/>
        <v>0.15934065934065933</v>
      </c>
    </row>
    <row r="191" spans="1:16" ht="18.95" customHeight="1">
      <c r="A191" s="372">
        <f t="shared" si="17"/>
        <v>143</v>
      </c>
      <c r="B191" s="385" t="s">
        <v>2856</v>
      </c>
      <c r="C191" s="382" t="s">
        <v>2857</v>
      </c>
      <c r="D191" s="110">
        <v>42767</v>
      </c>
      <c r="E191" s="111">
        <v>43069</v>
      </c>
      <c r="F191" s="114">
        <f t="shared" si="14"/>
        <v>8.9403973509933773E-2</v>
      </c>
      <c r="G191" s="382">
        <v>390540.07</v>
      </c>
      <c r="H191" s="382">
        <v>390540.07</v>
      </c>
      <c r="I191" s="386">
        <v>4600</v>
      </c>
      <c r="J191" s="380">
        <f t="shared" si="15"/>
        <v>1.1778560904134625E-2</v>
      </c>
      <c r="M191" s="34">
        <f t="shared" si="12"/>
        <v>302</v>
      </c>
      <c r="N191" s="111">
        <v>42794</v>
      </c>
      <c r="O191" s="34">
        <f t="shared" si="13"/>
        <v>275</v>
      </c>
      <c r="P191" s="381">
        <f t="shared" si="16"/>
        <v>8.9403973509933773E-2</v>
      </c>
    </row>
    <row r="192" spans="1:16" ht="18.95" customHeight="1">
      <c r="A192" s="372">
        <f t="shared" si="17"/>
        <v>144</v>
      </c>
      <c r="B192" s="385" t="s">
        <v>2656</v>
      </c>
      <c r="C192" s="382" t="s">
        <v>2657</v>
      </c>
      <c r="D192" s="110">
        <v>42736</v>
      </c>
      <c r="E192" s="111">
        <v>43769</v>
      </c>
      <c r="F192" s="114">
        <f t="shared" si="14"/>
        <v>5.6147144240077447E-2</v>
      </c>
      <c r="G192" s="382">
        <v>7941117.8499999996</v>
      </c>
      <c r="H192" s="382">
        <v>7941117.8499999996</v>
      </c>
      <c r="I192" s="386">
        <v>308000.2</v>
      </c>
      <c r="J192" s="380">
        <f t="shared" si="15"/>
        <v>3.8785496679160862E-2</v>
      </c>
      <c r="M192" s="34">
        <f t="shared" si="12"/>
        <v>1033</v>
      </c>
      <c r="N192" s="111">
        <v>42794</v>
      </c>
      <c r="O192" s="34">
        <f t="shared" si="13"/>
        <v>975</v>
      </c>
      <c r="P192" s="381">
        <f t="shared" si="16"/>
        <v>5.6147144240077447E-2</v>
      </c>
    </row>
    <row r="193" spans="1:16" ht="18.95" customHeight="1">
      <c r="A193" s="372">
        <f t="shared" si="17"/>
        <v>145</v>
      </c>
      <c r="B193" s="385" t="s">
        <v>2779</v>
      </c>
      <c r="C193" s="382" t="s">
        <v>2780</v>
      </c>
      <c r="D193" s="110">
        <v>42736</v>
      </c>
      <c r="E193" s="111">
        <v>42825</v>
      </c>
      <c r="F193" s="114">
        <f t="shared" si="14"/>
        <v>0.651685393258427</v>
      </c>
      <c r="G193" s="382">
        <v>42000</v>
      </c>
      <c r="H193" s="382">
        <v>42000</v>
      </c>
      <c r="I193" s="386">
        <v>28000</v>
      </c>
      <c r="J193" s="380">
        <f t="shared" si="15"/>
        <v>0.66666666666666663</v>
      </c>
      <c r="M193" s="34">
        <f t="shared" si="12"/>
        <v>89</v>
      </c>
      <c r="N193" s="111">
        <v>42794</v>
      </c>
      <c r="O193" s="34">
        <f t="shared" si="13"/>
        <v>31</v>
      </c>
      <c r="P193" s="381">
        <f t="shared" si="16"/>
        <v>0.651685393258427</v>
      </c>
    </row>
    <row r="194" spans="1:16" ht="18.95" customHeight="1">
      <c r="A194" s="372">
        <f t="shared" si="17"/>
        <v>146</v>
      </c>
      <c r="B194" s="385" t="s">
        <v>2723</v>
      </c>
      <c r="C194" s="382" t="s">
        <v>2724</v>
      </c>
      <c r="D194" s="110">
        <v>42736</v>
      </c>
      <c r="E194" s="111">
        <v>43100</v>
      </c>
      <c r="F194" s="114">
        <f t="shared" si="14"/>
        <v>0.15934065934065933</v>
      </c>
      <c r="G194" s="382">
        <v>1347691.71</v>
      </c>
      <c r="H194" s="382">
        <v>1347691.71</v>
      </c>
      <c r="I194" s="386">
        <v>81880.01999999999</v>
      </c>
      <c r="J194" s="380">
        <f t="shared" si="15"/>
        <v>6.075574954749851E-2</v>
      </c>
      <c r="M194" s="34">
        <f t="shared" si="12"/>
        <v>364</v>
      </c>
      <c r="N194" s="111">
        <v>42794</v>
      </c>
      <c r="O194" s="34">
        <f t="shared" si="13"/>
        <v>306</v>
      </c>
      <c r="P194" s="381">
        <f t="shared" si="16"/>
        <v>0.15934065934065933</v>
      </c>
    </row>
    <row r="195" spans="1:16" ht="18.95" customHeight="1">
      <c r="A195" s="372">
        <f t="shared" si="17"/>
        <v>147</v>
      </c>
      <c r="B195" s="385" t="s">
        <v>2878</v>
      </c>
      <c r="C195" s="382" t="s">
        <v>2879</v>
      </c>
      <c r="D195" s="110">
        <v>42767</v>
      </c>
      <c r="E195" s="111">
        <v>43100</v>
      </c>
      <c r="F195" s="114">
        <f t="shared" si="14"/>
        <v>8.1081081081081086E-2</v>
      </c>
      <c r="G195" s="382">
        <v>45999.59</v>
      </c>
      <c r="H195" s="382">
        <v>45999.59</v>
      </c>
      <c r="I195" s="386">
        <v>1379.95</v>
      </c>
      <c r="J195" s="380">
        <f t="shared" si="15"/>
        <v>2.9999180427477727E-2</v>
      </c>
      <c r="M195" s="34">
        <f t="shared" si="12"/>
        <v>333</v>
      </c>
      <c r="N195" s="111">
        <v>42794</v>
      </c>
      <c r="O195" s="34">
        <f t="shared" si="13"/>
        <v>306</v>
      </c>
      <c r="P195" s="381">
        <f t="shared" si="16"/>
        <v>8.1081081081081086E-2</v>
      </c>
    </row>
    <row r="196" spans="1:16" ht="18.95" customHeight="1">
      <c r="A196" s="372">
        <f t="shared" si="17"/>
        <v>148</v>
      </c>
      <c r="B196" s="385" t="s">
        <v>2735</v>
      </c>
      <c r="C196" s="382" t="s">
        <v>2736</v>
      </c>
      <c r="D196" s="110">
        <v>42736</v>
      </c>
      <c r="E196" s="111">
        <v>42825</v>
      </c>
      <c r="F196" s="114">
        <f t="shared" si="14"/>
        <v>0.651685393258427</v>
      </c>
      <c r="G196" s="382">
        <v>77000</v>
      </c>
      <c r="H196" s="382">
        <v>77000</v>
      </c>
      <c r="I196" s="386">
        <v>56000</v>
      </c>
      <c r="J196" s="380">
        <f t="shared" si="15"/>
        <v>0.72727272727272729</v>
      </c>
      <c r="M196" s="34">
        <f t="shared" si="12"/>
        <v>89</v>
      </c>
      <c r="N196" s="111">
        <v>42794</v>
      </c>
      <c r="O196" s="34">
        <f t="shared" si="13"/>
        <v>31</v>
      </c>
      <c r="P196" s="381">
        <f t="shared" si="16"/>
        <v>0.651685393258427</v>
      </c>
    </row>
    <row r="197" spans="1:16" ht="18.95" customHeight="1">
      <c r="A197" s="372">
        <f t="shared" si="17"/>
        <v>149</v>
      </c>
      <c r="B197" s="385" t="s">
        <v>2771</v>
      </c>
      <c r="C197" s="382" t="s">
        <v>2772</v>
      </c>
      <c r="D197" s="110">
        <v>42736</v>
      </c>
      <c r="E197" s="111">
        <v>42947</v>
      </c>
      <c r="F197" s="114">
        <f t="shared" si="14"/>
        <v>0.27488151658767773</v>
      </c>
      <c r="G197" s="382">
        <v>97999.97</v>
      </c>
      <c r="H197" s="382">
        <v>97999.97</v>
      </c>
      <c r="I197" s="386">
        <v>28000.02</v>
      </c>
      <c r="J197" s="380">
        <f t="shared" si="15"/>
        <v>0.28571457725956445</v>
      </c>
      <c r="M197" s="34">
        <f t="shared" si="12"/>
        <v>211</v>
      </c>
      <c r="N197" s="111">
        <v>42794</v>
      </c>
      <c r="O197" s="34">
        <f t="shared" si="13"/>
        <v>153</v>
      </c>
      <c r="P197" s="381">
        <f t="shared" si="16"/>
        <v>0.27488151658767773</v>
      </c>
    </row>
    <row r="198" spans="1:16" ht="18.95" customHeight="1">
      <c r="A198" s="372">
        <f t="shared" si="17"/>
        <v>150</v>
      </c>
      <c r="B198" s="385" t="s">
        <v>2880</v>
      </c>
      <c r="C198" s="382" t="s">
        <v>2881</v>
      </c>
      <c r="D198" s="110">
        <v>42767</v>
      </c>
      <c r="E198" s="111">
        <v>43069</v>
      </c>
      <c r="F198" s="114">
        <f t="shared" si="14"/>
        <v>8.9403973509933773E-2</v>
      </c>
      <c r="G198" s="382">
        <v>69000</v>
      </c>
      <c r="H198" s="382">
        <v>69000</v>
      </c>
      <c r="I198" s="386">
        <v>736</v>
      </c>
      <c r="J198" s="380">
        <f t="shared" si="15"/>
        <v>1.0666666666666666E-2</v>
      </c>
      <c r="M198" s="34">
        <f t="shared" si="12"/>
        <v>302</v>
      </c>
      <c r="N198" s="111">
        <v>42794</v>
      </c>
      <c r="O198" s="34">
        <f t="shared" si="13"/>
        <v>275</v>
      </c>
      <c r="P198" s="381">
        <f t="shared" si="16"/>
        <v>8.9403973509933773E-2</v>
      </c>
    </row>
    <row r="199" spans="1:16" ht="18.95" customHeight="1">
      <c r="A199" s="654">
        <f t="shared" si="17"/>
        <v>151</v>
      </c>
      <c r="B199" s="385" t="s">
        <v>2872</v>
      </c>
      <c r="C199" s="382" t="s">
        <v>2873</v>
      </c>
      <c r="D199" s="110">
        <v>42767</v>
      </c>
      <c r="E199" s="111">
        <v>43100</v>
      </c>
      <c r="F199" s="114">
        <f t="shared" ref="F199:F200" si="18">P199</f>
        <v>8.1081081081081086E-2</v>
      </c>
      <c r="G199" s="382">
        <v>50370.080000000002</v>
      </c>
      <c r="H199" s="382">
        <v>50370.080000000002</v>
      </c>
      <c r="I199" s="386">
        <v>2300.0100000000002</v>
      </c>
      <c r="J199" s="380">
        <f t="shared" ref="J199:J200" si="19">I199/H199</f>
        <v>4.5662226464599623E-2</v>
      </c>
      <c r="M199" s="34">
        <f t="shared" ref="M199:M200" si="20">E199-D199</f>
        <v>333</v>
      </c>
      <c r="N199" s="111">
        <v>42794</v>
      </c>
      <c r="O199" s="34">
        <f t="shared" ref="O199:O200" si="21">E199-N199</f>
        <v>306</v>
      </c>
      <c r="P199" s="381">
        <f t="shared" ref="P199:P200" si="22">(M199-O199)/M199</f>
        <v>8.1081081081081086E-2</v>
      </c>
    </row>
    <row r="200" spans="1:16" ht="18.95" customHeight="1">
      <c r="A200" s="654">
        <f t="shared" si="17"/>
        <v>152</v>
      </c>
      <c r="B200" s="385" t="s">
        <v>2834</v>
      </c>
      <c r="C200" s="382" t="s">
        <v>2835</v>
      </c>
      <c r="D200" s="110">
        <v>42736</v>
      </c>
      <c r="E200" s="111">
        <v>43039</v>
      </c>
      <c r="F200" s="114">
        <f t="shared" si="18"/>
        <v>0.19141914191419143</v>
      </c>
      <c r="G200" s="382">
        <v>36799.910000000003</v>
      </c>
      <c r="H200" s="382">
        <v>36799.910000000003</v>
      </c>
      <c r="I200" s="386">
        <v>7360</v>
      </c>
      <c r="J200" s="380">
        <f t="shared" si="19"/>
        <v>0.20000048913163102</v>
      </c>
      <c r="M200" s="34">
        <f t="shared" si="20"/>
        <v>303</v>
      </c>
      <c r="N200" s="111">
        <v>42794</v>
      </c>
      <c r="O200" s="34">
        <f t="shared" si="21"/>
        <v>245</v>
      </c>
      <c r="P200" s="381">
        <f t="shared" si="22"/>
        <v>0.19141914191419143</v>
      </c>
    </row>
    <row r="201" spans="1:16" ht="18.95" customHeight="1">
      <c r="A201" s="654">
        <f t="shared" si="17"/>
        <v>153</v>
      </c>
      <c r="B201" s="385" t="s">
        <v>2958</v>
      </c>
      <c r="C201" s="382" t="s">
        <v>2959</v>
      </c>
      <c r="D201" s="110">
        <v>42552</v>
      </c>
      <c r="E201" s="111">
        <v>43465</v>
      </c>
      <c r="F201" s="114">
        <f t="shared" si="14"/>
        <v>0.26506024096385544</v>
      </c>
      <c r="G201" s="382">
        <v>904474.94000000006</v>
      </c>
      <c r="H201" s="382">
        <v>904474.94000000006</v>
      </c>
      <c r="I201" s="386">
        <v>3708.72</v>
      </c>
      <c r="J201" s="380">
        <f t="shared" si="15"/>
        <v>4.1004121131316251E-3</v>
      </c>
      <c r="M201" s="34">
        <f t="shared" si="12"/>
        <v>913</v>
      </c>
      <c r="N201" s="111">
        <v>42794</v>
      </c>
      <c r="O201" s="34">
        <f t="shared" si="13"/>
        <v>671</v>
      </c>
      <c r="P201" s="381">
        <f t="shared" si="16"/>
        <v>0.26506024096385544</v>
      </c>
    </row>
  </sheetData>
  <mergeCells count="16">
    <mergeCell ref="A169:J169"/>
    <mergeCell ref="A170:J170"/>
    <mergeCell ref="A171:J171"/>
    <mergeCell ref="A172:J172"/>
    <mergeCell ref="A59:J59"/>
    <mergeCell ref="A60:J60"/>
    <mergeCell ref="A113:J113"/>
    <mergeCell ref="A114:J114"/>
    <mergeCell ref="A115:J115"/>
    <mergeCell ref="A116:J116"/>
    <mergeCell ref="A58:J58"/>
    <mergeCell ref="A1:J1"/>
    <mergeCell ref="A2:J2"/>
    <mergeCell ref="A3:J3"/>
    <mergeCell ref="A4:J4"/>
    <mergeCell ref="A57:J57"/>
  </mergeCells>
  <pageMargins left="0.95" right="0.5" top="0.75" bottom="0.75" header="0.3" footer="0.3"/>
  <pageSetup scale="61" fitToHeight="0" orientation="portrait" r:id="rId1"/>
  <rowBreaks count="3" manualBreakCount="3">
    <brk id="56" max="16383" man="1"/>
    <brk id="112" max="16383" man="1"/>
    <brk id="168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A1:P274"/>
  <sheetViews>
    <sheetView view="pageBreakPreview" zoomScale="60" zoomScaleNormal="100" workbookViewId="0">
      <selection activeCell="I21" sqref="I21"/>
    </sheetView>
  </sheetViews>
  <sheetFormatPr defaultColWidth="9" defaultRowHeight="12.75"/>
  <cols>
    <col min="1" max="1" width="6" style="28" customWidth="1"/>
    <col min="2" max="2" width="13.6640625" style="372" customWidth="1"/>
    <col min="3" max="3" width="34.33203125" style="28" customWidth="1"/>
    <col min="4" max="5" width="14.44140625" style="109" customWidth="1"/>
    <col min="6" max="6" width="10" style="28" customWidth="1"/>
    <col min="7" max="8" width="14.109375" style="28" customWidth="1"/>
    <col min="9" max="9" width="14.44140625" style="28" customWidth="1"/>
    <col min="10" max="10" width="13.77734375" style="28" customWidth="1"/>
    <col min="11" max="11" width="1.6640625" style="28" customWidth="1"/>
    <col min="12" max="14" width="9" style="28"/>
    <col min="15" max="15" width="11.109375" style="28" customWidth="1"/>
    <col min="16" max="16384" width="9" style="28"/>
  </cols>
  <sheetData>
    <row r="1" spans="1:16" ht="20.100000000000001" customHeight="1">
      <c r="A1" s="706" t="str">
        <f>'Rate Case Constants'!C9</f>
        <v>KENTUCKY UTILITIES COMPANY</v>
      </c>
      <c r="B1" s="706"/>
      <c r="C1" s="706"/>
      <c r="D1" s="706"/>
      <c r="E1" s="706"/>
      <c r="F1" s="706"/>
      <c r="G1" s="706"/>
      <c r="H1" s="706"/>
      <c r="I1" s="706"/>
      <c r="J1" s="706"/>
    </row>
    <row r="2" spans="1:16" ht="20.100000000000001" customHeight="1">
      <c r="A2" s="706" t="str">
        <f>'Rate Case Constants'!C10</f>
        <v>CASE NO. 2016-00370</v>
      </c>
      <c r="B2" s="706"/>
      <c r="C2" s="706"/>
      <c r="D2" s="706"/>
      <c r="E2" s="706"/>
      <c r="F2" s="706"/>
      <c r="G2" s="706"/>
      <c r="H2" s="706"/>
      <c r="I2" s="706"/>
      <c r="J2" s="706"/>
    </row>
    <row r="3" spans="1:16" ht="20.100000000000001" customHeight="1">
      <c r="A3" s="706" t="s">
        <v>1225</v>
      </c>
      <c r="B3" s="706"/>
      <c r="C3" s="706"/>
      <c r="D3" s="706"/>
      <c r="E3" s="706"/>
      <c r="F3" s="706"/>
      <c r="G3" s="706"/>
      <c r="H3" s="706"/>
      <c r="I3" s="706"/>
      <c r="J3" s="706"/>
    </row>
    <row r="4" spans="1:16" ht="20.100000000000001" customHeight="1">
      <c r="A4" s="705" t="str">
        <f>'Rate Case Constants'!C18</f>
        <v>AS OF JUNE 30, 2018</v>
      </c>
      <c r="B4" s="706"/>
      <c r="C4" s="706"/>
      <c r="D4" s="706"/>
      <c r="E4" s="706"/>
      <c r="F4" s="706"/>
      <c r="G4" s="706"/>
      <c r="H4" s="706"/>
      <c r="I4" s="706"/>
      <c r="J4" s="706"/>
    </row>
    <row r="5" spans="1:16" ht="20.100000000000001" customHeight="1">
      <c r="A5" s="370"/>
      <c r="B5" s="370"/>
      <c r="C5" s="370"/>
      <c r="D5" s="370"/>
      <c r="E5" s="370"/>
      <c r="F5" s="370"/>
      <c r="G5" s="370"/>
      <c r="H5" s="370"/>
      <c r="I5" s="370"/>
      <c r="J5" s="370"/>
    </row>
    <row r="6" spans="1:16" ht="20.100000000000001" customHeight="1">
      <c r="A6" s="27" t="s">
        <v>164</v>
      </c>
      <c r="B6" s="371"/>
      <c r="G6" s="34"/>
      <c r="H6" s="34"/>
      <c r="I6" s="34"/>
      <c r="J6" s="34" t="s">
        <v>1767</v>
      </c>
    </row>
    <row r="7" spans="1:16" ht="20.100000000000001" customHeight="1">
      <c r="A7" s="28" t="str">
        <f>'Rate Case Constants'!C29</f>
        <v>TYPE OF FILING: __X__ ORIGINAL  _____ UPDATED  _____ REVISED</v>
      </c>
      <c r="G7" s="34"/>
      <c r="H7" s="34"/>
      <c r="I7" s="34"/>
      <c r="J7" s="34" t="s">
        <v>3260</v>
      </c>
    </row>
    <row r="8" spans="1:16" ht="20.100000000000001" customHeight="1">
      <c r="A8" s="27" t="s">
        <v>1204</v>
      </c>
      <c r="B8" s="371"/>
      <c r="F8" s="27"/>
      <c r="G8" s="35"/>
      <c r="H8" s="35"/>
      <c r="I8" s="35"/>
      <c r="J8" s="35" t="str">
        <f>'Rate Case Constants'!C36</f>
        <v>WITNESS:   C. M. GARRETT</v>
      </c>
    </row>
    <row r="9" spans="1:16" ht="20.100000000000001" customHeight="1">
      <c r="G9" s="382"/>
    </row>
    <row r="10" spans="1:16" ht="66.95" customHeight="1">
      <c r="A10" s="36" t="s">
        <v>134</v>
      </c>
      <c r="B10" s="36" t="s">
        <v>1228</v>
      </c>
      <c r="C10" s="36" t="s">
        <v>1229</v>
      </c>
      <c r="D10" s="107" t="s">
        <v>1231</v>
      </c>
      <c r="E10" s="107" t="s">
        <v>1232</v>
      </c>
      <c r="F10" s="36" t="s">
        <v>1233</v>
      </c>
      <c r="G10" s="36" t="s">
        <v>1234</v>
      </c>
      <c r="H10" s="36" t="s">
        <v>1235</v>
      </c>
      <c r="I10" s="36" t="s">
        <v>1236</v>
      </c>
      <c r="J10" s="36" t="s">
        <v>1237</v>
      </c>
      <c r="M10" s="115" t="s">
        <v>1245</v>
      </c>
      <c r="N10" s="115" t="s">
        <v>1246</v>
      </c>
      <c r="O10" s="115" t="s">
        <v>1247</v>
      </c>
      <c r="P10" s="115" t="s">
        <v>1233</v>
      </c>
    </row>
    <row r="11" spans="1:16" ht="23.1" customHeight="1">
      <c r="A11" s="40" t="s">
        <v>1226</v>
      </c>
      <c r="B11" s="40" t="s">
        <v>1227</v>
      </c>
      <c r="C11" s="40" t="s">
        <v>1230</v>
      </c>
      <c r="D11" s="383" t="s">
        <v>1238</v>
      </c>
      <c r="E11" s="383" t="s">
        <v>1239</v>
      </c>
      <c r="F11" s="384" t="s">
        <v>1240</v>
      </c>
      <c r="G11" s="384" t="s">
        <v>1241</v>
      </c>
      <c r="H11" s="384" t="s">
        <v>1242</v>
      </c>
      <c r="I11" s="384" t="s">
        <v>1243</v>
      </c>
      <c r="J11" s="384" t="s">
        <v>1244</v>
      </c>
    </row>
    <row r="12" spans="1:16" ht="18.95" customHeight="1">
      <c r="A12" s="104"/>
      <c r="B12" s="105"/>
      <c r="E12" s="111"/>
    </row>
    <row r="13" spans="1:16" ht="18.95" customHeight="1">
      <c r="A13" s="372">
        <v>1</v>
      </c>
      <c r="B13" s="385" t="s">
        <v>2889</v>
      </c>
      <c r="C13" s="382" t="s">
        <v>2890</v>
      </c>
      <c r="D13" s="110">
        <v>42522</v>
      </c>
      <c r="E13" s="111">
        <v>44561</v>
      </c>
      <c r="F13" s="114">
        <f t="shared" ref="F13:F88" si="0">P13</f>
        <v>0.37224129475232959</v>
      </c>
      <c r="G13" s="382">
        <v>18278840</v>
      </c>
      <c r="H13" s="382">
        <v>15090470</v>
      </c>
      <c r="I13" s="386">
        <v>3840280</v>
      </c>
      <c r="J13" s="380">
        <f t="shared" ref="J13:J88" si="1">I13/H13</f>
        <v>0.25448379010063965</v>
      </c>
      <c r="M13" s="34">
        <f t="shared" ref="M13:M88" si="2">E13-D13</f>
        <v>2039</v>
      </c>
      <c r="N13" s="111">
        <v>43281</v>
      </c>
      <c r="O13" s="34">
        <f t="shared" ref="O13:O88" si="3">E13-N13</f>
        <v>1280</v>
      </c>
      <c r="P13" s="381">
        <f t="shared" ref="P13:P88" si="4">(M13-O13)/M13</f>
        <v>0.37224129475232959</v>
      </c>
    </row>
    <row r="14" spans="1:16" ht="18.95" customHeight="1">
      <c r="A14" s="372">
        <f t="shared" ref="A14:A89" si="5">A13+1</f>
        <v>2</v>
      </c>
      <c r="B14" s="385" t="s">
        <v>2938</v>
      </c>
      <c r="C14" s="382" t="s">
        <v>2939</v>
      </c>
      <c r="D14" s="110">
        <v>43101</v>
      </c>
      <c r="E14" s="111">
        <v>43465</v>
      </c>
      <c r="F14" s="114">
        <f t="shared" si="0"/>
        <v>0.49450549450549453</v>
      </c>
      <c r="G14" s="382">
        <v>324996</v>
      </c>
      <c r="H14" s="382">
        <v>650840</v>
      </c>
      <c r="I14" s="386">
        <v>564067.42999999993</v>
      </c>
      <c r="J14" s="380">
        <f t="shared" si="1"/>
        <v>0.86667603404830673</v>
      </c>
      <c r="M14" s="34">
        <f t="shared" si="2"/>
        <v>364</v>
      </c>
      <c r="N14" s="111">
        <v>43281</v>
      </c>
      <c r="O14" s="34">
        <f t="shared" si="3"/>
        <v>184</v>
      </c>
      <c r="P14" s="381">
        <f t="shared" si="4"/>
        <v>0.49450549450549453</v>
      </c>
    </row>
    <row r="15" spans="1:16" ht="18.95" customHeight="1">
      <c r="A15" s="372">
        <f t="shared" si="5"/>
        <v>3</v>
      </c>
      <c r="B15" s="385" t="s">
        <v>2194</v>
      </c>
      <c r="C15" s="382" t="s">
        <v>2195</v>
      </c>
      <c r="D15" s="110">
        <v>42430</v>
      </c>
      <c r="E15" s="111">
        <v>44530</v>
      </c>
      <c r="F15" s="114">
        <f t="shared" si="0"/>
        <v>0.40523809523809523</v>
      </c>
      <c r="G15" s="382">
        <v>100800</v>
      </c>
      <c r="H15" s="382">
        <v>178204.26</v>
      </c>
      <c r="I15" s="386">
        <v>42429.06</v>
      </c>
      <c r="J15" s="380">
        <f t="shared" si="1"/>
        <v>0.23809228802947804</v>
      </c>
      <c r="M15" s="34">
        <f t="shared" si="2"/>
        <v>2100</v>
      </c>
      <c r="N15" s="111">
        <v>43281</v>
      </c>
      <c r="O15" s="34">
        <f t="shared" si="3"/>
        <v>1249</v>
      </c>
      <c r="P15" s="381">
        <f t="shared" si="4"/>
        <v>0.40523809523809523</v>
      </c>
    </row>
    <row r="16" spans="1:16" ht="18.95" customHeight="1">
      <c r="A16" s="372">
        <f t="shared" si="5"/>
        <v>4</v>
      </c>
      <c r="B16" s="385" t="s">
        <v>3024</v>
      </c>
      <c r="C16" s="382" t="s">
        <v>3025</v>
      </c>
      <c r="D16" s="110">
        <v>42430</v>
      </c>
      <c r="E16" s="111">
        <v>44926</v>
      </c>
      <c r="F16" s="114">
        <f t="shared" si="0"/>
        <v>0.34094551282051283</v>
      </c>
      <c r="G16" s="382">
        <v>22234440</v>
      </c>
      <c r="H16" s="382">
        <v>14599082.4</v>
      </c>
      <c r="I16" s="386">
        <v>122760</v>
      </c>
      <c r="J16" s="380">
        <f t="shared" si="1"/>
        <v>8.4087476621133393E-3</v>
      </c>
      <c r="M16" s="34">
        <f t="shared" si="2"/>
        <v>2496</v>
      </c>
      <c r="N16" s="111">
        <v>43281</v>
      </c>
      <c r="O16" s="34">
        <f t="shared" si="3"/>
        <v>1645</v>
      </c>
      <c r="P16" s="381">
        <f t="shared" si="4"/>
        <v>0.34094551282051283</v>
      </c>
    </row>
    <row r="17" spans="1:16" ht="18.95" customHeight="1">
      <c r="A17" s="372">
        <f t="shared" si="5"/>
        <v>5</v>
      </c>
      <c r="B17" s="385" t="s">
        <v>2907</v>
      </c>
      <c r="C17" s="382" t="s">
        <v>2908</v>
      </c>
      <c r="D17" s="110">
        <v>42736</v>
      </c>
      <c r="E17" s="111">
        <v>43434</v>
      </c>
      <c r="F17" s="114">
        <f t="shared" si="0"/>
        <v>0.78080229226361031</v>
      </c>
      <c r="G17" s="382">
        <v>5000000</v>
      </c>
      <c r="H17" s="382">
        <v>3333200</v>
      </c>
      <c r="I17" s="386">
        <v>2132000</v>
      </c>
      <c r="J17" s="380">
        <f t="shared" si="1"/>
        <v>0.63962558502340094</v>
      </c>
      <c r="M17" s="34">
        <f t="shared" si="2"/>
        <v>698</v>
      </c>
      <c r="N17" s="111">
        <v>43281</v>
      </c>
      <c r="O17" s="34">
        <f t="shared" si="3"/>
        <v>153</v>
      </c>
      <c r="P17" s="381">
        <f t="shared" si="4"/>
        <v>0.78080229226361031</v>
      </c>
    </row>
    <row r="18" spans="1:16" ht="18.95" customHeight="1">
      <c r="A18" s="372">
        <f t="shared" si="5"/>
        <v>6</v>
      </c>
      <c r="B18" s="385" t="s">
        <v>2919</v>
      </c>
      <c r="C18" s="382" t="s">
        <v>2201</v>
      </c>
      <c r="D18" s="110">
        <v>42749</v>
      </c>
      <c r="E18" s="111">
        <v>43434</v>
      </c>
      <c r="F18" s="114">
        <f t="shared" si="0"/>
        <v>0.77664233576642339</v>
      </c>
      <c r="G18" s="382">
        <v>14500000</v>
      </c>
      <c r="H18" s="382">
        <v>4072616.5100000002</v>
      </c>
      <c r="I18" s="386">
        <v>1005310.8099999999</v>
      </c>
      <c r="J18" s="380">
        <f t="shared" si="1"/>
        <v>0.24684642109845983</v>
      </c>
      <c r="M18" s="34">
        <f t="shared" si="2"/>
        <v>685</v>
      </c>
      <c r="N18" s="111">
        <v>43281</v>
      </c>
      <c r="O18" s="34">
        <f t="shared" si="3"/>
        <v>153</v>
      </c>
      <c r="P18" s="381">
        <f t="shared" si="4"/>
        <v>0.77664233576642339</v>
      </c>
    </row>
    <row r="19" spans="1:16" ht="18.95" customHeight="1">
      <c r="A19" s="372">
        <f t="shared" si="5"/>
        <v>7</v>
      </c>
      <c r="B19" s="385" t="s">
        <v>2915</v>
      </c>
      <c r="C19" s="382" t="s">
        <v>2916</v>
      </c>
      <c r="D19" s="110">
        <v>42979</v>
      </c>
      <c r="E19" s="111">
        <v>43465</v>
      </c>
      <c r="F19" s="114">
        <f t="shared" si="0"/>
        <v>0.62139917695473246</v>
      </c>
      <c r="G19" s="382">
        <v>2151707.4299999997</v>
      </c>
      <c r="H19" s="382">
        <v>1874857.71</v>
      </c>
      <c r="I19" s="386">
        <v>1279960.3899999999</v>
      </c>
      <c r="J19" s="380">
        <f t="shared" si="1"/>
        <v>0.68269734986982022</v>
      </c>
      <c r="M19" s="34">
        <f t="shared" si="2"/>
        <v>486</v>
      </c>
      <c r="N19" s="111">
        <v>43281</v>
      </c>
      <c r="O19" s="34">
        <f t="shared" si="3"/>
        <v>184</v>
      </c>
      <c r="P19" s="381">
        <f t="shared" si="4"/>
        <v>0.62139917695473246</v>
      </c>
    </row>
    <row r="20" spans="1:16" ht="18.95" customHeight="1">
      <c r="A20" s="372">
        <f t="shared" si="5"/>
        <v>8</v>
      </c>
      <c r="B20" s="385" t="s">
        <v>2980</v>
      </c>
      <c r="C20" s="382" t="s">
        <v>2981</v>
      </c>
      <c r="D20" s="110">
        <v>43101</v>
      </c>
      <c r="E20" s="111">
        <v>43465</v>
      </c>
      <c r="F20" s="114">
        <f t="shared" si="0"/>
        <v>0.49450549450549453</v>
      </c>
      <c r="G20" s="382">
        <v>300000</v>
      </c>
      <c r="H20" s="382">
        <v>280000</v>
      </c>
      <c r="I20" s="386">
        <v>242669.29</v>
      </c>
      <c r="J20" s="380">
        <f t="shared" si="1"/>
        <v>0.86667603571428575</v>
      </c>
      <c r="M20" s="34">
        <f t="shared" si="2"/>
        <v>364</v>
      </c>
      <c r="N20" s="111">
        <v>43281</v>
      </c>
      <c r="O20" s="34">
        <f t="shared" si="3"/>
        <v>184</v>
      </c>
      <c r="P20" s="381">
        <f t="shared" si="4"/>
        <v>0.49450549450549453</v>
      </c>
    </row>
    <row r="21" spans="1:16" ht="18.95" customHeight="1">
      <c r="A21" s="372">
        <f t="shared" si="5"/>
        <v>9</v>
      </c>
      <c r="B21" s="385" t="s">
        <v>3147</v>
      </c>
      <c r="C21" s="382" t="s">
        <v>3148</v>
      </c>
      <c r="D21" s="110">
        <v>43101</v>
      </c>
      <c r="E21" s="111">
        <v>43465</v>
      </c>
      <c r="F21" s="114">
        <f t="shared" si="0"/>
        <v>0.49450549450549453</v>
      </c>
      <c r="G21" s="382">
        <v>50000</v>
      </c>
      <c r="H21" s="382">
        <v>78120</v>
      </c>
      <c r="I21" s="386">
        <v>39060</v>
      </c>
      <c r="J21" s="380">
        <f t="shared" si="1"/>
        <v>0.5</v>
      </c>
      <c r="M21" s="34">
        <f t="shared" si="2"/>
        <v>364</v>
      </c>
      <c r="N21" s="111">
        <v>43281</v>
      </c>
      <c r="O21" s="34">
        <f t="shared" si="3"/>
        <v>184</v>
      </c>
      <c r="P21" s="381">
        <f t="shared" si="4"/>
        <v>0.49450549450549453</v>
      </c>
    </row>
    <row r="22" spans="1:16" ht="18.95" customHeight="1">
      <c r="A22" s="372">
        <f t="shared" si="5"/>
        <v>10</v>
      </c>
      <c r="B22" s="385" t="s">
        <v>2897</v>
      </c>
      <c r="C22" s="382" t="s">
        <v>2898</v>
      </c>
      <c r="D22" s="110">
        <v>42795</v>
      </c>
      <c r="E22" s="111">
        <v>44043</v>
      </c>
      <c r="F22" s="114">
        <f t="shared" si="0"/>
        <v>0.38942307692307693</v>
      </c>
      <c r="G22" s="382">
        <v>4530854.8899999997</v>
      </c>
      <c r="H22" s="382">
        <v>5000586.18</v>
      </c>
      <c r="I22" s="386">
        <v>3250496.45</v>
      </c>
      <c r="J22" s="380">
        <f t="shared" si="1"/>
        <v>0.65002308389373675</v>
      </c>
      <c r="M22" s="34">
        <f t="shared" si="2"/>
        <v>1248</v>
      </c>
      <c r="N22" s="111">
        <v>43281</v>
      </c>
      <c r="O22" s="34">
        <f t="shared" si="3"/>
        <v>762</v>
      </c>
      <c r="P22" s="381">
        <f t="shared" si="4"/>
        <v>0.38942307692307693</v>
      </c>
    </row>
    <row r="23" spans="1:16" ht="18.95" customHeight="1">
      <c r="A23" s="372">
        <f t="shared" si="5"/>
        <v>11</v>
      </c>
      <c r="B23" s="385" t="s">
        <v>3115</v>
      </c>
      <c r="C23" s="382" t="s">
        <v>3116</v>
      </c>
      <c r="D23" s="110">
        <v>43101</v>
      </c>
      <c r="E23" s="111">
        <v>43434</v>
      </c>
      <c r="F23" s="114">
        <f t="shared" si="0"/>
        <v>0.54054054054054057</v>
      </c>
      <c r="G23" s="382">
        <v>526092.56000000006</v>
      </c>
      <c r="H23" s="382">
        <v>784523.2</v>
      </c>
      <c r="I23" s="386">
        <v>50346</v>
      </c>
      <c r="J23" s="380">
        <f t="shared" si="1"/>
        <v>6.4174010405300949E-2</v>
      </c>
      <c r="M23" s="34">
        <f t="shared" si="2"/>
        <v>333</v>
      </c>
      <c r="N23" s="111">
        <v>43281</v>
      </c>
      <c r="O23" s="34">
        <f t="shared" si="3"/>
        <v>153</v>
      </c>
      <c r="P23" s="381">
        <f t="shared" si="4"/>
        <v>0.54054054054054057</v>
      </c>
    </row>
    <row r="24" spans="1:16" ht="18.95" customHeight="1">
      <c r="A24" s="372">
        <f t="shared" si="5"/>
        <v>12</v>
      </c>
      <c r="B24" s="385" t="s">
        <v>2196</v>
      </c>
      <c r="C24" s="382" t="s">
        <v>2197</v>
      </c>
      <c r="D24" s="110">
        <v>42005</v>
      </c>
      <c r="E24" s="111">
        <v>43434</v>
      </c>
      <c r="F24" s="114">
        <f t="shared" si="0"/>
        <v>0.8929321203638908</v>
      </c>
      <c r="G24" s="382">
        <v>176500</v>
      </c>
      <c r="H24" s="382">
        <v>187160.59</v>
      </c>
      <c r="I24" s="386">
        <v>159160.58999999997</v>
      </c>
      <c r="J24" s="380">
        <f t="shared" si="1"/>
        <v>0.85039585523854122</v>
      </c>
      <c r="M24" s="34">
        <f t="shared" si="2"/>
        <v>1429</v>
      </c>
      <c r="N24" s="111">
        <v>43281</v>
      </c>
      <c r="O24" s="34">
        <f t="shared" si="3"/>
        <v>153</v>
      </c>
      <c r="P24" s="381">
        <f t="shared" si="4"/>
        <v>0.8929321203638908</v>
      </c>
    </row>
    <row r="25" spans="1:16" ht="18.95" customHeight="1">
      <c r="A25" s="372">
        <f t="shared" si="5"/>
        <v>13</v>
      </c>
      <c r="B25" s="385" t="s">
        <v>3038</v>
      </c>
      <c r="C25" s="382" t="s">
        <v>3039</v>
      </c>
      <c r="D25" s="110">
        <v>43101</v>
      </c>
      <c r="E25" s="111">
        <v>43465</v>
      </c>
      <c r="F25" s="114">
        <f t="shared" si="0"/>
        <v>0.49450549450549453</v>
      </c>
      <c r="G25" s="382">
        <v>127335.03</v>
      </c>
      <c r="H25" s="382">
        <v>120000</v>
      </c>
      <c r="I25" s="386">
        <v>104001.13</v>
      </c>
      <c r="J25" s="380">
        <f t="shared" si="1"/>
        <v>0.86667608333333335</v>
      </c>
      <c r="M25" s="34">
        <f t="shared" si="2"/>
        <v>364</v>
      </c>
      <c r="N25" s="111">
        <v>43281</v>
      </c>
      <c r="O25" s="34">
        <f t="shared" si="3"/>
        <v>184</v>
      </c>
      <c r="P25" s="381">
        <f t="shared" si="4"/>
        <v>0.49450549450549453</v>
      </c>
    </row>
    <row r="26" spans="1:16" ht="18.95" customHeight="1">
      <c r="A26" s="372">
        <f t="shared" si="5"/>
        <v>14</v>
      </c>
      <c r="B26" s="385" t="s">
        <v>2886</v>
      </c>
      <c r="C26" s="382" t="s">
        <v>2887</v>
      </c>
      <c r="D26" s="110">
        <v>43009</v>
      </c>
      <c r="E26" s="111">
        <v>43830</v>
      </c>
      <c r="F26" s="114">
        <f t="shared" si="0"/>
        <v>0.33130328867235082</v>
      </c>
      <c r="G26" s="382">
        <v>11388000</v>
      </c>
      <c r="H26" s="382">
        <v>21752290.800000001</v>
      </c>
      <c r="I26" s="386">
        <v>6662540.7999999998</v>
      </c>
      <c r="J26" s="380">
        <f t="shared" si="1"/>
        <v>0.30629145505906896</v>
      </c>
      <c r="M26" s="34">
        <f t="shared" si="2"/>
        <v>821</v>
      </c>
      <c r="N26" s="111">
        <v>43281</v>
      </c>
      <c r="O26" s="34">
        <f t="shared" si="3"/>
        <v>549</v>
      </c>
      <c r="P26" s="381">
        <f t="shared" si="4"/>
        <v>0.33130328867235082</v>
      </c>
    </row>
    <row r="27" spans="1:16" ht="18.95" customHeight="1">
      <c r="A27" s="372">
        <f t="shared" si="5"/>
        <v>15</v>
      </c>
      <c r="B27" s="385" t="s">
        <v>3093</v>
      </c>
      <c r="C27" s="382" t="s">
        <v>3094</v>
      </c>
      <c r="D27" s="110">
        <v>43101</v>
      </c>
      <c r="E27" s="111">
        <v>43465</v>
      </c>
      <c r="F27" s="114">
        <f t="shared" si="0"/>
        <v>0.49450549450549453</v>
      </c>
      <c r="G27" s="382">
        <v>123460.8</v>
      </c>
      <c r="H27" s="382">
        <v>124800</v>
      </c>
      <c r="I27" s="386">
        <v>62400</v>
      </c>
      <c r="J27" s="380">
        <f t="shared" si="1"/>
        <v>0.5</v>
      </c>
      <c r="M27" s="34">
        <f t="shared" si="2"/>
        <v>364</v>
      </c>
      <c r="N27" s="111">
        <v>43281</v>
      </c>
      <c r="O27" s="34">
        <f t="shared" si="3"/>
        <v>184</v>
      </c>
      <c r="P27" s="381">
        <f t="shared" si="4"/>
        <v>0.49450549450549453</v>
      </c>
    </row>
    <row r="28" spans="1:16" ht="18.95" customHeight="1">
      <c r="A28" s="372">
        <f t="shared" si="5"/>
        <v>16</v>
      </c>
      <c r="B28" s="385" t="s">
        <v>2992</v>
      </c>
      <c r="C28" s="382" t="s">
        <v>2993</v>
      </c>
      <c r="D28" s="110">
        <v>43160</v>
      </c>
      <c r="E28" s="111">
        <v>43465</v>
      </c>
      <c r="F28" s="114">
        <f t="shared" si="0"/>
        <v>0.39672131147540984</v>
      </c>
      <c r="G28" s="382">
        <v>68273.83</v>
      </c>
      <c r="H28" s="382">
        <v>204000</v>
      </c>
      <c r="I28" s="386">
        <v>195840</v>
      </c>
      <c r="J28" s="380">
        <f t="shared" si="1"/>
        <v>0.96</v>
      </c>
      <c r="M28" s="34">
        <f t="shared" si="2"/>
        <v>305</v>
      </c>
      <c r="N28" s="111">
        <v>43281</v>
      </c>
      <c r="O28" s="34">
        <f t="shared" si="3"/>
        <v>184</v>
      </c>
      <c r="P28" s="381">
        <f t="shared" si="4"/>
        <v>0.39672131147540984</v>
      </c>
    </row>
    <row r="29" spans="1:16" ht="18.95" customHeight="1">
      <c r="A29" s="372">
        <f t="shared" si="5"/>
        <v>17</v>
      </c>
      <c r="B29" s="385" t="s">
        <v>2968</v>
      </c>
      <c r="C29" s="382" t="s">
        <v>2969</v>
      </c>
      <c r="D29" s="110">
        <v>43101</v>
      </c>
      <c r="E29" s="111">
        <v>43434</v>
      </c>
      <c r="F29" s="114">
        <f t="shared" si="0"/>
        <v>0.54054054054054057</v>
      </c>
      <c r="G29" s="382">
        <v>695495.84</v>
      </c>
      <c r="H29" s="382">
        <v>703040</v>
      </c>
      <c r="I29" s="386">
        <v>335920</v>
      </c>
      <c r="J29" s="380">
        <f t="shared" si="1"/>
        <v>0.47781065088757396</v>
      </c>
      <c r="M29" s="34">
        <f t="shared" si="2"/>
        <v>333</v>
      </c>
      <c r="N29" s="111">
        <v>43281</v>
      </c>
      <c r="O29" s="34">
        <f t="shared" si="3"/>
        <v>153</v>
      </c>
      <c r="P29" s="381">
        <f t="shared" si="4"/>
        <v>0.54054054054054057</v>
      </c>
    </row>
    <row r="30" spans="1:16" ht="18.95" customHeight="1">
      <c r="A30" s="372">
        <f t="shared" si="5"/>
        <v>18</v>
      </c>
      <c r="B30" s="385" t="s">
        <v>2192</v>
      </c>
      <c r="C30" s="382" t="s">
        <v>2193</v>
      </c>
      <c r="D30" s="110">
        <v>42491</v>
      </c>
      <c r="E30" s="111">
        <v>44196</v>
      </c>
      <c r="F30" s="114">
        <f t="shared" si="0"/>
        <v>0.4633431085043988</v>
      </c>
      <c r="G30" s="382">
        <v>50955.5</v>
      </c>
      <c r="H30" s="382">
        <v>48194.8</v>
      </c>
      <c r="I30" s="386">
        <v>23114.799999999999</v>
      </c>
      <c r="J30" s="380">
        <f t="shared" si="1"/>
        <v>0.47961190833865891</v>
      </c>
      <c r="M30" s="34">
        <f t="shared" si="2"/>
        <v>1705</v>
      </c>
      <c r="N30" s="111">
        <v>43281</v>
      </c>
      <c r="O30" s="34">
        <f t="shared" si="3"/>
        <v>915</v>
      </c>
      <c r="P30" s="381">
        <f t="shared" si="4"/>
        <v>0.4633431085043988</v>
      </c>
    </row>
    <row r="31" spans="1:16" ht="18.95" customHeight="1">
      <c r="A31" s="372">
        <f t="shared" si="5"/>
        <v>19</v>
      </c>
      <c r="B31" s="385" t="s">
        <v>2204</v>
      </c>
      <c r="C31" s="382" t="s">
        <v>2205</v>
      </c>
      <c r="D31" s="110">
        <v>43101</v>
      </c>
      <c r="E31" s="111">
        <v>46387</v>
      </c>
      <c r="F31" s="114">
        <f t="shared" si="0"/>
        <v>5.4777845404747415E-2</v>
      </c>
      <c r="G31" s="382">
        <v>621641.19999999995</v>
      </c>
      <c r="H31" s="382">
        <v>1539620.08</v>
      </c>
      <c r="I31" s="386">
        <v>312470.08</v>
      </c>
      <c r="J31" s="380">
        <f t="shared" si="1"/>
        <v>0.20295271804976719</v>
      </c>
      <c r="M31" s="34">
        <f t="shared" si="2"/>
        <v>3286</v>
      </c>
      <c r="N31" s="111">
        <v>43281</v>
      </c>
      <c r="O31" s="34">
        <f t="shared" si="3"/>
        <v>3106</v>
      </c>
      <c r="P31" s="381">
        <f t="shared" si="4"/>
        <v>5.4777845404747415E-2</v>
      </c>
    </row>
    <row r="32" spans="1:16" ht="18.95" customHeight="1">
      <c r="A32" s="372">
        <f t="shared" si="5"/>
        <v>20</v>
      </c>
      <c r="B32" s="385" t="s">
        <v>3086</v>
      </c>
      <c r="C32" s="382" t="s">
        <v>2189</v>
      </c>
      <c r="D32" s="110">
        <v>42005</v>
      </c>
      <c r="E32" s="111">
        <v>44561</v>
      </c>
      <c r="F32" s="114">
        <f t="shared" si="0"/>
        <v>0.49921752738654146</v>
      </c>
      <c r="G32" s="382">
        <v>320000</v>
      </c>
      <c r="H32" s="382">
        <v>162500</v>
      </c>
      <c r="I32" s="386">
        <v>65000</v>
      </c>
      <c r="J32" s="380">
        <f t="shared" si="1"/>
        <v>0.4</v>
      </c>
      <c r="M32" s="34">
        <f t="shared" si="2"/>
        <v>2556</v>
      </c>
      <c r="N32" s="111">
        <v>43281</v>
      </c>
      <c r="O32" s="34">
        <f t="shared" si="3"/>
        <v>1280</v>
      </c>
      <c r="P32" s="381">
        <f t="shared" si="4"/>
        <v>0.49921752738654146</v>
      </c>
    </row>
    <row r="33" spans="1:16" ht="18.95" customHeight="1">
      <c r="A33" s="372">
        <f t="shared" si="5"/>
        <v>21</v>
      </c>
      <c r="B33" s="385" t="s">
        <v>3242</v>
      </c>
      <c r="C33" s="382" t="s">
        <v>3243</v>
      </c>
      <c r="D33" s="110">
        <v>43221</v>
      </c>
      <c r="E33" s="111">
        <v>43312</v>
      </c>
      <c r="F33" s="114">
        <f t="shared" si="0"/>
        <v>0.65934065934065933</v>
      </c>
      <c r="G33" s="382">
        <v>66500</v>
      </c>
      <c r="H33" s="382">
        <v>76125</v>
      </c>
      <c r="I33" s="386">
        <v>10150</v>
      </c>
      <c r="J33" s="380">
        <f t="shared" si="1"/>
        <v>0.13333333333333333</v>
      </c>
      <c r="M33" s="34">
        <f t="shared" si="2"/>
        <v>91</v>
      </c>
      <c r="N33" s="111">
        <v>43281</v>
      </c>
      <c r="O33" s="34">
        <f t="shared" si="3"/>
        <v>31</v>
      </c>
      <c r="P33" s="381">
        <f t="shared" si="4"/>
        <v>0.65934065934065933</v>
      </c>
    </row>
    <row r="34" spans="1:16" ht="18.95" customHeight="1">
      <c r="A34" s="372">
        <f t="shared" si="5"/>
        <v>22</v>
      </c>
      <c r="B34" s="385" t="s">
        <v>3137</v>
      </c>
      <c r="C34" s="382" t="s">
        <v>3138</v>
      </c>
      <c r="D34" s="110">
        <v>43101</v>
      </c>
      <c r="E34" s="111">
        <v>43465</v>
      </c>
      <c r="F34" s="114">
        <f t="shared" si="0"/>
        <v>0.49450549450549453</v>
      </c>
      <c r="G34" s="382">
        <v>168000</v>
      </c>
      <c r="H34" s="382">
        <v>140000</v>
      </c>
      <c r="I34" s="386">
        <v>42000</v>
      </c>
      <c r="J34" s="380">
        <f t="shared" si="1"/>
        <v>0.3</v>
      </c>
      <c r="M34" s="34">
        <f t="shared" si="2"/>
        <v>364</v>
      </c>
      <c r="N34" s="111">
        <v>43281</v>
      </c>
      <c r="O34" s="34">
        <f t="shared" si="3"/>
        <v>184</v>
      </c>
      <c r="P34" s="381">
        <f t="shared" si="4"/>
        <v>0.49450549450549453</v>
      </c>
    </row>
    <row r="35" spans="1:16" ht="18.95" customHeight="1">
      <c r="A35" s="372">
        <f t="shared" si="5"/>
        <v>23</v>
      </c>
      <c r="B35" s="385" t="s">
        <v>2893</v>
      </c>
      <c r="C35" s="382" t="s">
        <v>2894</v>
      </c>
      <c r="D35" s="110">
        <v>42583</v>
      </c>
      <c r="E35" s="111">
        <v>43465</v>
      </c>
      <c r="F35" s="114">
        <f t="shared" si="0"/>
        <v>0.79138321995464855</v>
      </c>
      <c r="G35" s="382">
        <v>1634980.06</v>
      </c>
      <c r="H35" s="382">
        <v>3916059.5100000002</v>
      </c>
      <c r="I35" s="386">
        <v>3607439.7699999996</v>
      </c>
      <c r="J35" s="380">
        <f t="shared" si="1"/>
        <v>0.92119125380706979</v>
      </c>
      <c r="M35" s="34">
        <f t="shared" si="2"/>
        <v>882</v>
      </c>
      <c r="N35" s="111">
        <v>43281</v>
      </c>
      <c r="O35" s="34">
        <f t="shared" si="3"/>
        <v>184</v>
      </c>
      <c r="P35" s="381">
        <f t="shared" si="4"/>
        <v>0.79138321995464855</v>
      </c>
    </row>
    <row r="36" spans="1:16" ht="18.95" customHeight="1">
      <c r="A36" s="372">
        <f t="shared" si="5"/>
        <v>24</v>
      </c>
      <c r="B36" s="385" t="s">
        <v>2917</v>
      </c>
      <c r="C36" s="382" t="s">
        <v>2918</v>
      </c>
      <c r="D36" s="110">
        <v>42736</v>
      </c>
      <c r="E36" s="111">
        <v>43801</v>
      </c>
      <c r="F36" s="114">
        <f t="shared" si="0"/>
        <v>0.51173708920187788</v>
      </c>
      <c r="G36" s="382">
        <v>8572984.370000001</v>
      </c>
      <c r="H36" s="382">
        <v>7746426.7400000002</v>
      </c>
      <c r="I36" s="386">
        <v>1149945.49</v>
      </c>
      <c r="J36" s="380">
        <f t="shared" si="1"/>
        <v>0.14844850775675186</v>
      </c>
      <c r="M36" s="34">
        <f t="shared" si="2"/>
        <v>1065</v>
      </c>
      <c r="N36" s="111">
        <v>43281</v>
      </c>
      <c r="O36" s="34">
        <f t="shared" si="3"/>
        <v>520</v>
      </c>
      <c r="P36" s="381">
        <f t="shared" si="4"/>
        <v>0.51173708920187788</v>
      </c>
    </row>
    <row r="37" spans="1:16" ht="18.95" customHeight="1">
      <c r="A37" s="372">
        <f t="shared" si="5"/>
        <v>25</v>
      </c>
      <c r="B37" s="385" t="s">
        <v>3109</v>
      </c>
      <c r="C37" s="382" t="s">
        <v>3110</v>
      </c>
      <c r="D37" s="110">
        <v>42736</v>
      </c>
      <c r="E37" s="111">
        <v>43436</v>
      </c>
      <c r="F37" s="114">
        <f t="shared" si="0"/>
        <v>0.77857142857142858</v>
      </c>
      <c r="G37" s="382">
        <v>1913843.5</v>
      </c>
      <c r="H37" s="382">
        <v>1924000</v>
      </c>
      <c r="I37" s="386">
        <v>52000</v>
      </c>
      <c r="J37" s="380">
        <f t="shared" si="1"/>
        <v>2.7027027027027029E-2</v>
      </c>
      <c r="M37" s="34">
        <f t="shared" si="2"/>
        <v>700</v>
      </c>
      <c r="N37" s="111">
        <v>43281</v>
      </c>
      <c r="O37" s="34">
        <f t="shared" si="3"/>
        <v>155</v>
      </c>
      <c r="P37" s="381">
        <f t="shared" si="4"/>
        <v>0.77857142857142858</v>
      </c>
    </row>
    <row r="38" spans="1:16" ht="18.95" customHeight="1">
      <c r="A38" s="372">
        <f t="shared" si="5"/>
        <v>26</v>
      </c>
      <c r="B38" s="385" t="s">
        <v>3040</v>
      </c>
      <c r="C38" s="382" t="s">
        <v>3041</v>
      </c>
      <c r="D38" s="110">
        <v>42736</v>
      </c>
      <c r="E38" s="111">
        <v>43436</v>
      </c>
      <c r="F38" s="114">
        <f t="shared" si="0"/>
        <v>0.77857142857142858</v>
      </c>
      <c r="G38" s="382">
        <v>3722901.4800000004</v>
      </c>
      <c r="H38" s="382">
        <v>1534738.4</v>
      </c>
      <c r="I38" s="386">
        <v>104000</v>
      </c>
      <c r="J38" s="380">
        <f t="shared" si="1"/>
        <v>6.7763991570159457E-2</v>
      </c>
      <c r="M38" s="34">
        <f t="shared" si="2"/>
        <v>700</v>
      </c>
      <c r="N38" s="111">
        <v>43281</v>
      </c>
      <c r="O38" s="34">
        <f t="shared" si="3"/>
        <v>155</v>
      </c>
      <c r="P38" s="381">
        <f t="shared" si="4"/>
        <v>0.77857142857142858</v>
      </c>
    </row>
    <row r="39" spans="1:16" ht="18.95" customHeight="1">
      <c r="A39" s="372">
        <f t="shared" si="5"/>
        <v>27</v>
      </c>
      <c r="B39" s="385" t="s">
        <v>3198</v>
      </c>
      <c r="C39" s="382" t="s">
        <v>3199</v>
      </c>
      <c r="D39" s="110">
        <v>43101</v>
      </c>
      <c r="E39" s="111">
        <v>43436</v>
      </c>
      <c r="F39" s="114">
        <f t="shared" si="0"/>
        <v>0.53731343283582089</v>
      </c>
      <c r="G39" s="382">
        <v>200815.98</v>
      </c>
      <c r="H39" s="382">
        <v>201881.69</v>
      </c>
      <c r="I39" s="386">
        <v>20800</v>
      </c>
      <c r="J39" s="380">
        <f t="shared" si="1"/>
        <v>0.1030306413622751</v>
      </c>
      <c r="M39" s="34">
        <f t="shared" si="2"/>
        <v>335</v>
      </c>
      <c r="N39" s="111">
        <v>43281</v>
      </c>
      <c r="O39" s="34">
        <f t="shared" si="3"/>
        <v>155</v>
      </c>
      <c r="P39" s="381">
        <f t="shared" si="4"/>
        <v>0.53731343283582089</v>
      </c>
    </row>
    <row r="40" spans="1:16" ht="18.95" customHeight="1">
      <c r="A40" s="372">
        <f t="shared" si="5"/>
        <v>28</v>
      </c>
      <c r="B40" s="385" t="s">
        <v>3167</v>
      </c>
      <c r="C40" s="382" t="s">
        <v>2212</v>
      </c>
      <c r="D40" s="110">
        <v>42736</v>
      </c>
      <c r="E40" s="111">
        <v>46174</v>
      </c>
      <c r="F40" s="114">
        <f t="shared" si="0"/>
        <v>0.15852239674229204</v>
      </c>
      <c r="G40" s="382">
        <v>171000</v>
      </c>
      <c r="H40" s="382">
        <v>167000</v>
      </c>
      <c r="I40" s="386">
        <v>31000</v>
      </c>
      <c r="J40" s="380">
        <f t="shared" si="1"/>
        <v>0.18562874251497005</v>
      </c>
      <c r="M40" s="34">
        <f t="shared" si="2"/>
        <v>3438</v>
      </c>
      <c r="N40" s="111">
        <v>43281</v>
      </c>
      <c r="O40" s="34">
        <f t="shared" si="3"/>
        <v>2893</v>
      </c>
      <c r="P40" s="381">
        <f t="shared" si="4"/>
        <v>0.15852239674229204</v>
      </c>
    </row>
    <row r="41" spans="1:16" ht="18.95" customHeight="1">
      <c r="A41" s="372">
        <f t="shared" si="5"/>
        <v>29</v>
      </c>
      <c r="B41" s="385" t="s">
        <v>2932</v>
      </c>
      <c r="C41" s="382" t="s">
        <v>2933</v>
      </c>
      <c r="D41" s="110">
        <v>43221</v>
      </c>
      <c r="E41" s="111">
        <v>43830</v>
      </c>
      <c r="F41" s="114">
        <f t="shared" si="0"/>
        <v>9.8522167487684734E-2</v>
      </c>
      <c r="G41" s="382">
        <v>4871000</v>
      </c>
      <c r="H41" s="382">
        <v>1938648</v>
      </c>
      <c r="I41" s="386">
        <v>725000</v>
      </c>
      <c r="J41" s="380">
        <f t="shared" si="1"/>
        <v>0.37397196396664067</v>
      </c>
      <c r="M41" s="34">
        <f t="shared" si="2"/>
        <v>609</v>
      </c>
      <c r="N41" s="111">
        <v>43281</v>
      </c>
      <c r="O41" s="34">
        <f t="shared" si="3"/>
        <v>549</v>
      </c>
      <c r="P41" s="381">
        <f t="shared" si="4"/>
        <v>9.8522167487684734E-2</v>
      </c>
    </row>
    <row r="42" spans="1:16" ht="18.95" customHeight="1">
      <c r="A42" s="372">
        <f t="shared" si="5"/>
        <v>30</v>
      </c>
      <c r="B42" s="385" t="s">
        <v>2913</v>
      </c>
      <c r="C42" s="382" t="s">
        <v>2914</v>
      </c>
      <c r="D42" s="110">
        <v>42736</v>
      </c>
      <c r="E42" s="111">
        <v>43465</v>
      </c>
      <c r="F42" s="114">
        <f t="shared" si="0"/>
        <v>0.74759945130315497</v>
      </c>
      <c r="G42" s="382">
        <v>4060136.19</v>
      </c>
      <c r="H42" s="382">
        <v>3741115.75</v>
      </c>
      <c r="I42" s="386">
        <v>1809799.4100000001</v>
      </c>
      <c r="J42" s="380">
        <f t="shared" si="1"/>
        <v>0.48375926620287013</v>
      </c>
      <c r="M42" s="34">
        <f t="shared" si="2"/>
        <v>729</v>
      </c>
      <c r="N42" s="111">
        <v>43281</v>
      </c>
      <c r="O42" s="34">
        <f t="shared" si="3"/>
        <v>184</v>
      </c>
      <c r="P42" s="381">
        <f t="shared" si="4"/>
        <v>0.74759945130315497</v>
      </c>
    </row>
    <row r="43" spans="1:16" ht="18.95" customHeight="1">
      <c r="A43" s="372">
        <f t="shared" si="5"/>
        <v>31</v>
      </c>
      <c r="B43" s="385" t="s">
        <v>2828</v>
      </c>
      <c r="C43" s="382" t="s">
        <v>2829</v>
      </c>
      <c r="D43" s="110">
        <v>42736</v>
      </c>
      <c r="E43" s="111">
        <v>44165</v>
      </c>
      <c r="F43" s="114">
        <f t="shared" si="0"/>
        <v>0.3813855843247026</v>
      </c>
      <c r="G43" s="382">
        <v>53210</v>
      </c>
      <c r="H43" s="382">
        <v>104584</v>
      </c>
      <c r="I43" s="386">
        <v>51373.999999999985</v>
      </c>
      <c r="J43" s="380">
        <f t="shared" si="1"/>
        <v>0.49122236671001285</v>
      </c>
      <c r="M43" s="34">
        <f t="shared" si="2"/>
        <v>1429</v>
      </c>
      <c r="N43" s="111">
        <v>43281</v>
      </c>
      <c r="O43" s="34">
        <f t="shared" si="3"/>
        <v>884</v>
      </c>
      <c r="P43" s="381">
        <f t="shared" si="4"/>
        <v>0.3813855843247026</v>
      </c>
    </row>
    <row r="44" spans="1:16" ht="18.95" customHeight="1">
      <c r="A44" s="372">
        <f t="shared" si="5"/>
        <v>32</v>
      </c>
      <c r="B44" s="385" t="s">
        <v>3078</v>
      </c>
      <c r="C44" s="382" t="s">
        <v>3079</v>
      </c>
      <c r="D44" s="110">
        <v>43101</v>
      </c>
      <c r="E44" s="111">
        <v>43830</v>
      </c>
      <c r="F44" s="114">
        <f t="shared" si="0"/>
        <v>0.24691358024691357</v>
      </c>
      <c r="G44" s="382">
        <v>214060</v>
      </c>
      <c r="H44" s="382">
        <v>173694.4</v>
      </c>
      <c r="I44" s="386">
        <v>70334</v>
      </c>
      <c r="J44" s="380">
        <f t="shared" si="1"/>
        <v>0.40492957746478875</v>
      </c>
      <c r="M44" s="34">
        <f t="shared" si="2"/>
        <v>729</v>
      </c>
      <c r="N44" s="111">
        <v>43281</v>
      </c>
      <c r="O44" s="34">
        <f t="shared" si="3"/>
        <v>549</v>
      </c>
      <c r="P44" s="381">
        <f t="shared" si="4"/>
        <v>0.24691358024691357</v>
      </c>
    </row>
    <row r="45" spans="1:16" ht="18.95" customHeight="1">
      <c r="A45" s="372">
        <f t="shared" si="5"/>
        <v>33</v>
      </c>
      <c r="B45" s="385" t="s">
        <v>2202</v>
      </c>
      <c r="C45" s="382" t="s">
        <v>2203</v>
      </c>
      <c r="D45" s="110">
        <v>42522</v>
      </c>
      <c r="E45" s="111">
        <v>46387</v>
      </c>
      <c r="F45" s="114">
        <f t="shared" si="0"/>
        <v>0.19637774902975422</v>
      </c>
      <c r="G45" s="382">
        <v>4224787</v>
      </c>
      <c r="H45" s="382">
        <v>4517634.4800000004</v>
      </c>
      <c r="I45" s="386">
        <v>694447.72</v>
      </c>
      <c r="J45" s="380">
        <f t="shared" si="1"/>
        <v>0.15371932436641042</v>
      </c>
      <c r="M45" s="34">
        <f t="shared" si="2"/>
        <v>3865</v>
      </c>
      <c r="N45" s="111">
        <v>43281</v>
      </c>
      <c r="O45" s="34">
        <f t="shared" si="3"/>
        <v>3106</v>
      </c>
      <c r="P45" s="381">
        <f t="shared" si="4"/>
        <v>0.19637774902975422</v>
      </c>
    </row>
    <row r="46" spans="1:16" ht="18.95" customHeight="1">
      <c r="A46" s="372">
        <f t="shared" si="5"/>
        <v>34</v>
      </c>
      <c r="B46" s="385" t="s">
        <v>2911</v>
      </c>
      <c r="C46" s="382" t="s">
        <v>2912</v>
      </c>
      <c r="D46" s="110">
        <v>42948</v>
      </c>
      <c r="E46" s="111">
        <v>43830</v>
      </c>
      <c r="F46" s="114">
        <f t="shared" si="0"/>
        <v>0.37755102040816324</v>
      </c>
      <c r="G46" s="382">
        <v>11000000</v>
      </c>
      <c r="H46" s="382">
        <v>10900000</v>
      </c>
      <c r="I46" s="386">
        <v>1818181.7999999998</v>
      </c>
      <c r="J46" s="380">
        <f t="shared" si="1"/>
        <v>0.16680566972477062</v>
      </c>
      <c r="M46" s="34">
        <f t="shared" si="2"/>
        <v>882</v>
      </c>
      <c r="N46" s="111">
        <v>43281</v>
      </c>
      <c r="O46" s="34">
        <f t="shared" si="3"/>
        <v>549</v>
      </c>
      <c r="P46" s="381">
        <f t="shared" si="4"/>
        <v>0.37755102040816324</v>
      </c>
    </row>
    <row r="47" spans="1:16" ht="18.95" customHeight="1">
      <c r="A47" s="372">
        <f t="shared" si="5"/>
        <v>35</v>
      </c>
      <c r="B47" s="385" t="s">
        <v>2888</v>
      </c>
      <c r="C47" s="382" t="s">
        <v>2206</v>
      </c>
      <c r="D47" s="110">
        <v>42370</v>
      </c>
      <c r="E47" s="111">
        <v>43465</v>
      </c>
      <c r="F47" s="114">
        <f t="shared" si="0"/>
        <v>0.83196347031963469</v>
      </c>
      <c r="G47" s="382">
        <v>467080.82</v>
      </c>
      <c r="H47" s="382">
        <v>4301925.97</v>
      </c>
      <c r="I47" s="386">
        <v>4237683.43</v>
      </c>
      <c r="J47" s="380">
        <f t="shared" si="1"/>
        <v>0.98506656310498997</v>
      </c>
      <c r="M47" s="34">
        <f t="shared" si="2"/>
        <v>1095</v>
      </c>
      <c r="N47" s="111">
        <v>43281</v>
      </c>
      <c r="O47" s="34">
        <f t="shared" si="3"/>
        <v>184</v>
      </c>
      <c r="P47" s="381">
        <f t="shared" si="4"/>
        <v>0.83196347031963469</v>
      </c>
    </row>
    <row r="48" spans="1:16" ht="18.95" customHeight="1">
      <c r="A48" s="372">
        <f t="shared" si="5"/>
        <v>36</v>
      </c>
      <c r="B48" s="385" t="s">
        <v>3087</v>
      </c>
      <c r="C48" s="382" t="s">
        <v>3088</v>
      </c>
      <c r="D48" s="110">
        <v>43101</v>
      </c>
      <c r="E48" s="111">
        <v>43404</v>
      </c>
      <c r="F48" s="114">
        <f t="shared" si="0"/>
        <v>0.59405940594059403</v>
      </c>
      <c r="G48" s="382">
        <v>50000</v>
      </c>
      <c r="H48" s="382">
        <v>75000</v>
      </c>
      <c r="I48" s="386">
        <v>65000</v>
      </c>
      <c r="J48" s="380">
        <f t="shared" si="1"/>
        <v>0.8666666666666667</v>
      </c>
      <c r="M48" s="34">
        <f t="shared" si="2"/>
        <v>303</v>
      </c>
      <c r="N48" s="111">
        <v>43281</v>
      </c>
      <c r="O48" s="34">
        <f t="shared" si="3"/>
        <v>123</v>
      </c>
      <c r="P48" s="381">
        <f t="shared" si="4"/>
        <v>0.59405940594059403</v>
      </c>
    </row>
    <row r="49" spans="1:16" ht="18.95" customHeight="1">
      <c r="A49" s="372">
        <f t="shared" si="5"/>
        <v>37</v>
      </c>
      <c r="B49" s="385" t="s">
        <v>3103</v>
      </c>
      <c r="C49" s="382" t="s">
        <v>3104</v>
      </c>
      <c r="D49" s="110">
        <v>43101</v>
      </c>
      <c r="E49" s="111">
        <v>43465</v>
      </c>
      <c r="F49" s="114">
        <f t="shared" si="0"/>
        <v>0.49450549450549453</v>
      </c>
      <c r="G49" s="382">
        <v>75000</v>
      </c>
      <c r="H49" s="382">
        <v>75000</v>
      </c>
      <c r="I49" s="386">
        <v>55000</v>
      </c>
      <c r="J49" s="380">
        <f t="shared" si="1"/>
        <v>0.73333333333333328</v>
      </c>
      <c r="M49" s="34">
        <f t="shared" si="2"/>
        <v>364</v>
      </c>
      <c r="N49" s="111">
        <v>43281</v>
      </c>
      <c r="O49" s="34">
        <f t="shared" si="3"/>
        <v>184</v>
      </c>
      <c r="P49" s="381">
        <f t="shared" si="4"/>
        <v>0.49450549450549453</v>
      </c>
    </row>
    <row r="50" spans="1:16" ht="18.95" customHeight="1">
      <c r="A50" s="372">
        <f t="shared" si="5"/>
        <v>38</v>
      </c>
      <c r="B50" s="385" t="s">
        <v>3153</v>
      </c>
      <c r="C50" s="382" t="s">
        <v>3154</v>
      </c>
      <c r="D50" s="110">
        <v>43101</v>
      </c>
      <c r="E50" s="111">
        <v>43465</v>
      </c>
      <c r="F50" s="114">
        <f t="shared" si="0"/>
        <v>0.49450549450549453</v>
      </c>
      <c r="G50" s="382">
        <v>25000</v>
      </c>
      <c r="H50" s="382">
        <v>50000</v>
      </c>
      <c r="I50" s="386">
        <v>35000</v>
      </c>
      <c r="J50" s="380">
        <f t="shared" si="1"/>
        <v>0.7</v>
      </c>
      <c r="M50" s="34">
        <f t="shared" si="2"/>
        <v>364</v>
      </c>
      <c r="N50" s="111">
        <v>43281</v>
      </c>
      <c r="O50" s="34">
        <f t="shared" si="3"/>
        <v>184</v>
      </c>
      <c r="P50" s="381">
        <f t="shared" si="4"/>
        <v>0.49450549450549453</v>
      </c>
    </row>
    <row r="51" spans="1:16" ht="18.95" customHeight="1">
      <c r="A51" s="372">
        <f t="shared" si="5"/>
        <v>39</v>
      </c>
      <c r="B51" s="385" t="s">
        <v>3117</v>
      </c>
      <c r="C51" s="382" t="s">
        <v>3118</v>
      </c>
      <c r="D51" s="110">
        <v>43101</v>
      </c>
      <c r="E51" s="111">
        <v>43465</v>
      </c>
      <c r="F51" s="114">
        <f t="shared" si="0"/>
        <v>0.49450549450549453</v>
      </c>
      <c r="G51" s="382">
        <v>60000</v>
      </c>
      <c r="H51" s="382">
        <v>100000</v>
      </c>
      <c r="I51" s="386">
        <v>50000</v>
      </c>
      <c r="J51" s="380">
        <f t="shared" si="1"/>
        <v>0.5</v>
      </c>
      <c r="M51" s="34">
        <f t="shared" si="2"/>
        <v>364</v>
      </c>
      <c r="N51" s="111">
        <v>43281</v>
      </c>
      <c r="O51" s="34">
        <f t="shared" si="3"/>
        <v>184</v>
      </c>
      <c r="P51" s="381">
        <f t="shared" si="4"/>
        <v>0.49450549450549453</v>
      </c>
    </row>
    <row r="52" spans="1:16" ht="18.95" customHeight="1">
      <c r="A52" s="372">
        <f t="shared" si="5"/>
        <v>40</v>
      </c>
      <c r="B52" s="385" t="s">
        <v>2823</v>
      </c>
      <c r="C52" s="382" t="s">
        <v>2213</v>
      </c>
      <c r="D52" s="110">
        <v>42005</v>
      </c>
      <c r="E52" s="111">
        <v>44926</v>
      </c>
      <c r="F52" s="114">
        <f t="shared" si="0"/>
        <v>0.43683669976035605</v>
      </c>
      <c r="G52" s="382">
        <v>51000</v>
      </c>
      <c r="H52" s="382">
        <v>71400</v>
      </c>
      <c r="I52" s="386">
        <v>30600</v>
      </c>
      <c r="J52" s="380">
        <f t="shared" si="1"/>
        <v>0.42857142857142855</v>
      </c>
      <c r="M52" s="34">
        <f t="shared" si="2"/>
        <v>2921</v>
      </c>
      <c r="N52" s="111">
        <v>43281</v>
      </c>
      <c r="O52" s="34">
        <f t="shared" si="3"/>
        <v>1645</v>
      </c>
      <c r="P52" s="381">
        <f t="shared" si="4"/>
        <v>0.43683669976035605</v>
      </c>
    </row>
    <row r="53" spans="1:16" ht="18.95" customHeight="1">
      <c r="A53" s="372">
        <f t="shared" si="5"/>
        <v>41</v>
      </c>
      <c r="B53" s="385" t="s">
        <v>2677</v>
      </c>
      <c r="C53" s="382" t="s">
        <v>2678</v>
      </c>
      <c r="D53" s="110">
        <v>41947</v>
      </c>
      <c r="E53" s="111">
        <v>43830</v>
      </c>
      <c r="F53" s="114">
        <f t="shared" si="0"/>
        <v>0.70844397238449286</v>
      </c>
      <c r="G53" s="382">
        <v>5400393.2599999998</v>
      </c>
      <c r="H53" s="382">
        <v>5517222.8399999999</v>
      </c>
      <c r="I53" s="386">
        <v>212992.84</v>
      </c>
      <c r="J53" s="380">
        <f t="shared" si="1"/>
        <v>3.8605081972726697E-2</v>
      </c>
      <c r="M53" s="34">
        <f t="shared" si="2"/>
        <v>1883</v>
      </c>
      <c r="N53" s="111">
        <v>43281</v>
      </c>
      <c r="O53" s="34">
        <f t="shared" si="3"/>
        <v>549</v>
      </c>
      <c r="P53" s="381">
        <f t="shared" si="4"/>
        <v>0.70844397238449286</v>
      </c>
    </row>
    <row r="54" spans="1:16" ht="18.95" customHeight="1">
      <c r="A54" s="372">
        <f t="shared" si="5"/>
        <v>42</v>
      </c>
      <c r="B54" s="385" t="s">
        <v>3012</v>
      </c>
      <c r="C54" s="382" t="s">
        <v>3013</v>
      </c>
      <c r="D54" s="110">
        <v>43160</v>
      </c>
      <c r="E54" s="111">
        <v>43465</v>
      </c>
      <c r="F54" s="114">
        <f t="shared" si="0"/>
        <v>0.39672131147540984</v>
      </c>
      <c r="G54" s="382">
        <v>175000</v>
      </c>
      <c r="H54" s="382">
        <v>172593.99</v>
      </c>
      <c r="I54" s="386">
        <v>149583.07</v>
      </c>
      <c r="J54" s="380">
        <f t="shared" si="1"/>
        <v>0.86667600650520926</v>
      </c>
      <c r="M54" s="34">
        <f t="shared" si="2"/>
        <v>305</v>
      </c>
      <c r="N54" s="111">
        <v>43281</v>
      </c>
      <c r="O54" s="34">
        <f t="shared" si="3"/>
        <v>184</v>
      </c>
      <c r="P54" s="381">
        <f t="shared" si="4"/>
        <v>0.39672131147540984</v>
      </c>
    </row>
    <row r="55" spans="1:16" ht="18.95" customHeight="1">
      <c r="A55" s="372">
        <f t="shared" si="5"/>
        <v>43</v>
      </c>
      <c r="B55" s="385" t="s">
        <v>2926</v>
      </c>
      <c r="C55" s="382" t="s">
        <v>2927</v>
      </c>
      <c r="D55" s="110">
        <v>42887</v>
      </c>
      <c r="E55" s="111">
        <v>46022</v>
      </c>
      <c r="F55" s="114">
        <f t="shared" si="0"/>
        <v>0.12567783094098883</v>
      </c>
      <c r="G55" s="382">
        <v>10071197.5</v>
      </c>
      <c r="H55" s="382">
        <v>10071197.499999998</v>
      </c>
      <c r="I55" s="386">
        <v>808500.02000000014</v>
      </c>
      <c r="J55" s="380">
        <f t="shared" si="1"/>
        <v>8.0278439579801741E-2</v>
      </c>
      <c r="M55" s="34">
        <f t="shared" si="2"/>
        <v>3135</v>
      </c>
      <c r="N55" s="111">
        <v>43281</v>
      </c>
      <c r="O55" s="34">
        <f t="shared" si="3"/>
        <v>2741</v>
      </c>
      <c r="P55" s="381">
        <f t="shared" si="4"/>
        <v>0.12567783094098883</v>
      </c>
    </row>
    <row r="56" spans="1:16" ht="18.95" customHeight="1">
      <c r="A56" s="372">
        <f t="shared" si="5"/>
        <v>44</v>
      </c>
      <c r="B56" s="385" t="s">
        <v>2903</v>
      </c>
      <c r="C56" s="382" t="s">
        <v>2904</v>
      </c>
      <c r="D56" s="110">
        <v>42736</v>
      </c>
      <c r="E56" s="111">
        <v>43435</v>
      </c>
      <c r="F56" s="114">
        <f t="shared" si="0"/>
        <v>0.77968526466380539</v>
      </c>
      <c r="G56" s="382">
        <v>10624000</v>
      </c>
      <c r="H56" s="382">
        <v>10709804</v>
      </c>
      <c r="I56" s="386">
        <v>2550000</v>
      </c>
      <c r="J56" s="380">
        <f t="shared" si="1"/>
        <v>0.23809959547345591</v>
      </c>
      <c r="M56" s="34">
        <f t="shared" si="2"/>
        <v>699</v>
      </c>
      <c r="N56" s="111">
        <v>43281</v>
      </c>
      <c r="O56" s="34">
        <f t="shared" si="3"/>
        <v>154</v>
      </c>
      <c r="P56" s="381">
        <f t="shared" si="4"/>
        <v>0.77968526466380539</v>
      </c>
    </row>
    <row r="57" spans="1:16" s="387" customFormat="1" ht="20.100000000000001" customHeight="1">
      <c r="A57" s="706" t="str">
        <f>$A$1</f>
        <v>KENTUCKY UTILITIES COMPANY</v>
      </c>
      <c r="B57" s="706"/>
      <c r="C57" s="706"/>
      <c r="D57" s="706"/>
      <c r="E57" s="706"/>
      <c r="F57" s="706"/>
      <c r="G57" s="706"/>
      <c r="H57" s="706"/>
      <c r="I57" s="706"/>
      <c r="J57" s="706"/>
    </row>
    <row r="58" spans="1:16" s="387" customFormat="1" ht="20.100000000000001" customHeight="1">
      <c r="A58" s="706" t="str">
        <f>$A$2</f>
        <v>CASE NO. 2016-00370</v>
      </c>
      <c r="B58" s="706"/>
      <c r="C58" s="706"/>
      <c r="D58" s="706"/>
      <c r="E58" s="706"/>
      <c r="F58" s="706"/>
      <c r="G58" s="706"/>
      <c r="H58" s="706"/>
      <c r="I58" s="706"/>
      <c r="J58" s="706"/>
    </row>
    <row r="59" spans="1:16" s="387" customFormat="1" ht="20.100000000000001" customHeight="1">
      <c r="A59" s="706" t="s">
        <v>1225</v>
      </c>
      <c r="B59" s="706"/>
      <c r="C59" s="706"/>
      <c r="D59" s="706"/>
      <c r="E59" s="706"/>
      <c r="F59" s="706"/>
      <c r="G59" s="706"/>
      <c r="H59" s="706"/>
      <c r="I59" s="706"/>
      <c r="J59" s="706"/>
    </row>
    <row r="60" spans="1:16" s="387" customFormat="1" ht="20.100000000000001" customHeight="1">
      <c r="A60" s="706" t="str">
        <f>$A$4</f>
        <v>AS OF JUNE 30, 2018</v>
      </c>
      <c r="B60" s="706"/>
      <c r="C60" s="706"/>
      <c r="D60" s="706"/>
      <c r="E60" s="706"/>
      <c r="F60" s="706"/>
      <c r="G60" s="706"/>
      <c r="H60" s="706"/>
      <c r="I60" s="706"/>
      <c r="J60" s="706"/>
    </row>
    <row r="61" spans="1:16" s="387" customFormat="1" ht="20.100000000000001" customHeight="1">
      <c r="A61" s="370"/>
      <c r="B61" s="370"/>
      <c r="C61" s="370"/>
      <c r="D61" s="370"/>
      <c r="E61" s="370"/>
      <c r="F61" s="370"/>
      <c r="G61" s="370"/>
      <c r="H61" s="370"/>
      <c r="I61" s="370"/>
      <c r="J61" s="370"/>
    </row>
    <row r="62" spans="1:16" s="387" customFormat="1" ht="20.100000000000001" customHeight="1">
      <c r="A62" s="27" t="str">
        <f>$A$6</f>
        <v>DATA:____BASE  PERIOD__X__FORECASTED  PERIOD</v>
      </c>
      <c r="B62" s="371"/>
      <c r="C62" s="28"/>
      <c r="D62" s="109"/>
      <c r="E62" s="109"/>
      <c r="F62" s="28"/>
      <c r="G62" s="34"/>
      <c r="H62" s="34"/>
      <c r="I62" s="34"/>
      <c r="J62" s="34" t="s">
        <v>1767</v>
      </c>
    </row>
    <row r="63" spans="1:16" s="387" customFormat="1" ht="20.100000000000001" customHeight="1">
      <c r="A63" s="27" t="str">
        <f>$A$7</f>
        <v>TYPE OF FILING: __X__ ORIGINAL  _____ UPDATED  _____ REVISED</v>
      </c>
      <c r="B63" s="372"/>
      <c r="C63" s="28"/>
      <c r="D63" s="109"/>
      <c r="E63" s="109"/>
      <c r="F63" s="28"/>
      <c r="G63" s="34"/>
      <c r="H63" s="34"/>
      <c r="I63" s="34"/>
      <c r="J63" s="34" t="s">
        <v>3259</v>
      </c>
    </row>
    <row r="64" spans="1:16" s="387" customFormat="1" ht="20.100000000000001" customHeight="1">
      <c r="A64" s="27" t="str">
        <f>$A$8</f>
        <v>WORKPAPER REFERENCE NO(S).:</v>
      </c>
      <c r="B64" s="371"/>
      <c r="C64" s="28"/>
      <c r="D64" s="109"/>
      <c r="E64" s="109"/>
      <c r="F64" s="27"/>
      <c r="G64" s="35"/>
      <c r="H64" s="35"/>
      <c r="I64" s="35"/>
      <c r="J64" s="35" t="str">
        <f>$J$8</f>
        <v>WITNESS:   C. M. GARRETT</v>
      </c>
    </row>
    <row r="65" spans="1:16" s="387" customFormat="1" ht="20.100000000000001" customHeight="1">
      <c r="A65" s="28"/>
      <c r="B65" s="372"/>
      <c r="C65" s="28"/>
      <c r="D65" s="109"/>
      <c r="E65" s="109"/>
      <c r="F65" s="28"/>
      <c r="G65" s="28"/>
      <c r="H65" s="28"/>
      <c r="I65" s="28"/>
      <c r="J65" s="28"/>
    </row>
    <row r="66" spans="1:16" ht="66.95" customHeight="1">
      <c r="A66" s="36" t="s">
        <v>134</v>
      </c>
      <c r="B66" s="36" t="s">
        <v>1228</v>
      </c>
      <c r="C66" s="36" t="s">
        <v>1229</v>
      </c>
      <c r="D66" s="107" t="s">
        <v>1231</v>
      </c>
      <c r="E66" s="107" t="s">
        <v>1232</v>
      </c>
      <c r="F66" s="36" t="s">
        <v>1233</v>
      </c>
      <c r="G66" s="36" t="s">
        <v>1234</v>
      </c>
      <c r="H66" s="36" t="s">
        <v>1235</v>
      </c>
      <c r="I66" s="36" t="s">
        <v>1236</v>
      </c>
      <c r="J66" s="36" t="s">
        <v>1237</v>
      </c>
      <c r="M66" s="115" t="s">
        <v>1245</v>
      </c>
      <c r="N66" s="115" t="s">
        <v>1246</v>
      </c>
      <c r="O66" s="115" t="s">
        <v>1247</v>
      </c>
      <c r="P66" s="115" t="s">
        <v>1233</v>
      </c>
    </row>
    <row r="67" spans="1:16" s="387" customFormat="1" ht="23.1" customHeight="1">
      <c r="A67" s="40" t="s">
        <v>1226</v>
      </c>
      <c r="B67" s="40" t="s">
        <v>1227</v>
      </c>
      <c r="C67" s="40" t="s">
        <v>1230</v>
      </c>
      <c r="D67" s="383" t="s">
        <v>1238</v>
      </c>
      <c r="E67" s="383" t="s">
        <v>1239</v>
      </c>
      <c r="F67" s="384" t="s">
        <v>1240</v>
      </c>
      <c r="G67" s="384" t="s">
        <v>1241</v>
      </c>
      <c r="H67" s="384" t="s">
        <v>1242</v>
      </c>
      <c r="I67" s="384" t="s">
        <v>1243</v>
      </c>
      <c r="J67" s="384" t="s">
        <v>1244</v>
      </c>
    </row>
    <row r="68" spans="1:16" s="387" customFormat="1" ht="18.95" customHeight="1">
      <c r="A68" s="33"/>
      <c r="B68" s="33"/>
      <c r="C68" s="33"/>
      <c r="D68" s="388"/>
      <c r="E68" s="388"/>
      <c r="F68" s="389"/>
      <c r="G68" s="389"/>
      <c r="H68" s="389"/>
      <c r="I68" s="389"/>
      <c r="J68" s="389"/>
    </row>
    <row r="69" spans="1:16" ht="18.95" customHeight="1">
      <c r="A69" s="372">
        <f>A56+1</f>
        <v>45</v>
      </c>
      <c r="B69" s="385" t="s">
        <v>3129</v>
      </c>
      <c r="C69" s="382" t="s">
        <v>3130</v>
      </c>
      <c r="D69" s="110">
        <v>43101</v>
      </c>
      <c r="E69" s="111">
        <v>43465</v>
      </c>
      <c r="F69" s="114">
        <f t="shared" si="0"/>
        <v>0.49450549450549453</v>
      </c>
      <c r="G69" s="382">
        <v>52310.92</v>
      </c>
      <c r="H69" s="382">
        <v>51883.99</v>
      </c>
      <c r="I69" s="386">
        <v>44966.600000000006</v>
      </c>
      <c r="J69" s="380">
        <f t="shared" si="1"/>
        <v>0.86667582813118282</v>
      </c>
      <c r="M69" s="34">
        <f t="shared" si="2"/>
        <v>364</v>
      </c>
      <c r="N69" s="111">
        <v>43281</v>
      </c>
      <c r="O69" s="34">
        <f t="shared" si="3"/>
        <v>184</v>
      </c>
      <c r="P69" s="381">
        <f t="shared" si="4"/>
        <v>0.49450549450549453</v>
      </c>
    </row>
    <row r="70" spans="1:16" ht="18.95" customHeight="1">
      <c r="A70" s="372">
        <f t="shared" si="5"/>
        <v>46</v>
      </c>
      <c r="B70" s="385" t="s">
        <v>2842</v>
      </c>
      <c r="C70" s="382" t="s">
        <v>2843</v>
      </c>
      <c r="D70" s="110">
        <v>42736</v>
      </c>
      <c r="E70" s="111">
        <v>45991</v>
      </c>
      <c r="F70" s="114">
        <f t="shared" si="0"/>
        <v>0.1674347158218126</v>
      </c>
      <c r="G70" s="382">
        <v>105180</v>
      </c>
      <c r="H70" s="382">
        <v>105180</v>
      </c>
      <c r="I70" s="386">
        <v>31000.000000000007</v>
      </c>
      <c r="J70" s="380">
        <f t="shared" si="1"/>
        <v>0.29473283894276486</v>
      </c>
      <c r="M70" s="34">
        <f t="shared" si="2"/>
        <v>3255</v>
      </c>
      <c r="N70" s="111">
        <v>43281</v>
      </c>
      <c r="O70" s="34">
        <f t="shared" si="3"/>
        <v>2710</v>
      </c>
      <c r="P70" s="381">
        <f t="shared" si="4"/>
        <v>0.1674347158218126</v>
      </c>
    </row>
    <row r="71" spans="1:16" ht="18.95" customHeight="1">
      <c r="A71" s="372">
        <f t="shared" si="5"/>
        <v>47</v>
      </c>
      <c r="B71" s="385" t="s">
        <v>2759</v>
      </c>
      <c r="C71" s="382" t="s">
        <v>2760</v>
      </c>
      <c r="D71" s="110">
        <v>42736</v>
      </c>
      <c r="E71" s="111">
        <v>43799</v>
      </c>
      <c r="F71" s="114">
        <f t="shared" si="0"/>
        <v>0.51269990592662273</v>
      </c>
      <c r="G71" s="382">
        <v>122320</v>
      </c>
      <c r="H71" s="382">
        <v>305770</v>
      </c>
      <c r="I71" s="386">
        <v>214038</v>
      </c>
      <c r="J71" s="380">
        <f t="shared" si="1"/>
        <v>0.69999672956797598</v>
      </c>
      <c r="M71" s="34">
        <f t="shared" si="2"/>
        <v>1063</v>
      </c>
      <c r="N71" s="111">
        <v>43281</v>
      </c>
      <c r="O71" s="34">
        <f t="shared" si="3"/>
        <v>518</v>
      </c>
      <c r="P71" s="381">
        <f t="shared" si="4"/>
        <v>0.51269990592662273</v>
      </c>
    </row>
    <row r="72" spans="1:16" ht="18.95" customHeight="1">
      <c r="A72" s="372">
        <f t="shared" si="5"/>
        <v>48</v>
      </c>
      <c r="B72" s="385" t="s">
        <v>2909</v>
      </c>
      <c r="C72" s="382" t="s">
        <v>2910</v>
      </c>
      <c r="D72" s="110">
        <v>42736</v>
      </c>
      <c r="E72" s="111">
        <v>43465</v>
      </c>
      <c r="F72" s="114">
        <f t="shared" si="0"/>
        <v>0.74759945130315497</v>
      </c>
      <c r="G72" s="382">
        <v>1353562.48</v>
      </c>
      <c r="H72" s="382">
        <v>2199819.48</v>
      </c>
      <c r="I72" s="386">
        <v>1980067.15</v>
      </c>
      <c r="J72" s="380">
        <f t="shared" si="1"/>
        <v>0.90010438038306662</v>
      </c>
      <c r="M72" s="34">
        <f t="shared" si="2"/>
        <v>729</v>
      </c>
      <c r="N72" s="111">
        <v>43281</v>
      </c>
      <c r="O72" s="34">
        <f t="shared" si="3"/>
        <v>184</v>
      </c>
      <c r="P72" s="381">
        <f t="shared" si="4"/>
        <v>0.74759945130315497</v>
      </c>
    </row>
    <row r="73" spans="1:16" ht="18.95" customHeight="1">
      <c r="A73" s="372">
        <f t="shared" si="5"/>
        <v>49</v>
      </c>
      <c r="B73" s="385" t="s">
        <v>2891</v>
      </c>
      <c r="C73" s="382" t="s">
        <v>2892</v>
      </c>
      <c r="D73" s="110">
        <v>42736</v>
      </c>
      <c r="E73" s="111">
        <v>43465</v>
      </c>
      <c r="F73" s="114">
        <f t="shared" si="0"/>
        <v>0.74759945130315497</v>
      </c>
      <c r="G73" s="382">
        <v>3225369.96</v>
      </c>
      <c r="H73" s="382">
        <v>3873921.5300000003</v>
      </c>
      <c r="I73" s="386">
        <v>3836907.7600000002</v>
      </c>
      <c r="J73" s="380">
        <f t="shared" si="1"/>
        <v>0.99044540016792748</v>
      </c>
      <c r="M73" s="34">
        <f t="shared" si="2"/>
        <v>729</v>
      </c>
      <c r="N73" s="111">
        <v>43281</v>
      </c>
      <c r="O73" s="34">
        <f t="shared" si="3"/>
        <v>184</v>
      </c>
      <c r="P73" s="381">
        <f t="shared" si="4"/>
        <v>0.74759945130315497</v>
      </c>
    </row>
    <row r="74" spans="1:16" ht="18.95" customHeight="1">
      <c r="A74" s="372">
        <f t="shared" si="5"/>
        <v>50</v>
      </c>
      <c r="B74" s="385" t="s">
        <v>2905</v>
      </c>
      <c r="C74" s="382" t="s">
        <v>2906</v>
      </c>
      <c r="D74" s="110">
        <v>42736</v>
      </c>
      <c r="E74" s="111">
        <v>43465</v>
      </c>
      <c r="F74" s="114">
        <f t="shared" si="0"/>
        <v>0.74759945130315497</v>
      </c>
      <c r="G74" s="382">
        <v>2358664.84</v>
      </c>
      <c r="H74" s="382">
        <v>3976473.9000000004</v>
      </c>
      <c r="I74" s="386">
        <v>2170744.0100000002</v>
      </c>
      <c r="J74" s="380">
        <f t="shared" si="1"/>
        <v>0.54589670763336329</v>
      </c>
      <c r="M74" s="34">
        <f t="shared" si="2"/>
        <v>729</v>
      </c>
      <c r="N74" s="111">
        <v>43281</v>
      </c>
      <c r="O74" s="34">
        <f t="shared" si="3"/>
        <v>184</v>
      </c>
      <c r="P74" s="381">
        <f t="shared" si="4"/>
        <v>0.74759945130315497</v>
      </c>
    </row>
    <row r="75" spans="1:16" ht="18.95" customHeight="1">
      <c r="A75" s="372">
        <f t="shared" si="5"/>
        <v>51</v>
      </c>
      <c r="B75" s="385" t="s">
        <v>2899</v>
      </c>
      <c r="C75" s="382" t="s">
        <v>2900</v>
      </c>
      <c r="D75" s="110">
        <v>42736</v>
      </c>
      <c r="E75" s="111">
        <v>43830</v>
      </c>
      <c r="F75" s="114">
        <f t="shared" si="0"/>
        <v>0.49817184643510054</v>
      </c>
      <c r="G75" s="382">
        <v>2466361.12</v>
      </c>
      <c r="H75" s="382">
        <v>3053895.65</v>
      </c>
      <c r="I75" s="386">
        <v>2926546.5200000005</v>
      </c>
      <c r="J75" s="380">
        <f t="shared" si="1"/>
        <v>0.95829944942617817</v>
      </c>
      <c r="M75" s="34">
        <f t="shared" si="2"/>
        <v>1094</v>
      </c>
      <c r="N75" s="111">
        <v>43281</v>
      </c>
      <c r="O75" s="34">
        <f t="shared" si="3"/>
        <v>549</v>
      </c>
      <c r="P75" s="381">
        <f t="shared" si="4"/>
        <v>0.49817184643510054</v>
      </c>
    </row>
    <row r="76" spans="1:16" ht="18.95" customHeight="1">
      <c r="A76" s="372">
        <f t="shared" si="5"/>
        <v>52</v>
      </c>
      <c r="B76" s="385" t="s">
        <v>3234</v>
      </c>
      <c r="C76" s="382" t="s">
        <v>3235</v>
      </c>
      <c r="D76" s="110">
        <v>43101</v>
      </c>
      <c r="E76" s="111">
        <v>43465</v>
      </c>
      <c r="F76" s="114">
        <f t="shared" si="0"/>
        <v>0.49450549450549453</v>
      </c>
      <c r="G76" s="382">
        <v>14265.39</v>
      </c>
      <c r="H76" s="382">
        <v>13856.88</v>
      </c>
      <c r="I76" s="386">
        <v>11527.919999999998</v>
      </c>
      <c r="J76" s="380">
        <f t="shared" si="1"/>
        <v>0.83192753347073789</v>
      </c>
      <c r="M76" s="34">
        <f t="shared" si="2"/>
        <v>364</v>
      </c>
      <c r="N76" s="111">
        <v>43281</v>
      </c>
      <c r="O76" s="34">
        <f t="shared" si="3"/>
        <v>184</v>
      </c>
      <c r="P76" s="381">
        <f t="shared" si="4"/>
        <v>0.49450549450549453</v>
      </c>
    </row>
    <row r="77" spans="1:16" ht="18.95" customHeight="1">
      <c r="A77" s="372">
        <f t="shared" si="5"/>
        <v>53</v>
      </c>
      <c r="B77" s="385" t="s">
        <v>3091</v>
      </c>
      <c r="C77" s="382" t="s">
        <v>3092</v>
      </c>
      <c r="D77" s="110">
        <v>43101</v>
      </c>
      <c r="E77" s="111">
        <v>43465</v>
      </c>
      <c r="F77" s="114">
        <f t="shared" si="0"/>
        <v>0.49450549450549453</v>
      </c>
      <c r="G77" s="382">
        <v>85454.98</v>
      </c>
      <c r="H77" s="382">
        <v>86186.72</v>
      </c>
      <c r="I77" s="386">
        <v>62975</v>
      </c>
      <c r="J77" s="380">
        <f t="shared" si="1"/>
        <v>0.73068101443006528</v>
      </c>
      <c r="M77" s="34">
        <f t="shared" si="2"/>
        <v>364</v>
      </c>
      <c r="N77" s="111">
        <v>43281</v>
      </c>
      <c r="O77" s="34">
        <f t="shared" si="3"/>
        <v>184</v>
      </c>
      <c r="P77" s="381">
        <f t="shared" si="4"/>
        <v>0.49450549450549453</v>
      </c>
    </row>
    <row r="78" spans="1:16" ht="18.95" customHeight="1">
      <c r="A78" s="372">
        <f t="shared" si="5"/>
        <v>54</v>
      </c>
      <c r="B78" s="385" t="s">
        <v>3016</v>
      </c>
      <c r="C78" s="382" t="s">
        <v>3017</v>
      </c>
      <c r="D78" s="110">
        <v>43101</v>
      </c>
      <c r="E78" s="111">
        <v>43465</v>
      </c>
      <c r="F78" s="114">
        <f t="shared" si="0"/>
        <v>0.49450549450549453</v>
      </c>
      <c r="G78" s="382">
        <v>308301.28000000003</v>
      </c>
      <c r="H78" s="382">
        <v>300021.8</v>
      </c>
      <c r="I78" s="386">
        <v>140601.28</v>
      </c>
      <c r="J78" s="380">
        <f t="shared" si="1"/>
        <v>0.46863687905345547</v>
      </c>
      <c r="M78" s="34">
        <f t="shared" si="2"/>
        <v>364</v>
      </c>
      <c r="N78" s="111">
        <v>43281</v>
      </c>
      <c r="O78" s="34">
        <f t="shared" si="3"/>
        <v>184</v>
      </c>
      <c r="P78" s="381">
        <f t="shared" si="4"/>
        <v>0.49450549450549453</v>
      </c>
    </row>
    <row r="79" spans="1:16" ht="18.75" customHeight="1">
      <c r="A79" s="372">
        <f t="shared" si="5"/>
        <v>55</v>
      </c>
      <c r="B79" s="385" t="s">
        <v>3113</v>
      </c>
      <c r="C79" s="382" t="s">
        <v>3114</v>
      </c>
      <c r="D79" s="110">
        <v>43101</v>
      </c>
      <c r="E79" s="111">
        <v>43465</v>
      </c>
      <c r="F79" s="114">
        <f t="shared" si="0"/>
        <v>0.49450549450549453</v>
      </c>
      <c r="G79" s="382">
        <v>57036.63</v>
      </c>
      <c r="H79" s="382">
        <v>65265</v>
      </c>
      <c r="I79" s="386">
        <v>50380</v>
      </c>
      <c r="J79" s="380">
        <f t="shared" si="1"/>
        <v>0.77192982456140347</v>
      </c>
      <c r="M79" s="34">
        <f t="shared" si="2"/>
        <v>364</v>
      </c>
      <c r="N79" s="111">
        <v>43281</v>
      </c>
      <c r="O79" s="34">
        <f t="shared" si="3"/>
        <v>184</v>
      </c>
      <c r="P79" s="381">
        <f t="shared" si="4"/>
        <v>0.49450549450549453</v>
      </c>
    </row>
    <row r="80" spans="1:16" ht="18.75" customHeight="1">
      <c r="A80" s="372">
        <f t="shared" si="5"/>
        <v>56</v>
      </c>
      <c r="B80" s="385" t="s">
        <v>3186</v>
      </c>
      <c r="C80" s="382" t="s">
        <v>3187</v>
      </c>
      <c r="D80" s="110">
        <v>43101</v>
      </c>
      <c r="E80" s="111">
        <v>43465</v>
      </c>
      <c r="F80" s="114">
        <f t="shared" si="0"/>
        <v>0.49450549450549453</v>
      </c>
      <c r="G80" s="382">
        <v>28353.95</v>
      </c>
      <c r="H80" s="382">
        <v>28529.06</v>
      </c>
      <c r="I80" s="386">
        <v>26287.03</v>
      </c>
      <c r="J80" s="380">
        <f t="shared" si="1"/>
        <v>0.92141241246644645</v>
      </c>
      <c r="M80" s="34">
        <f t="shared" si="2"/>
        <v>364</v>
      </c>
      <c r="N80" s="111">
        <v>43281</v>
      </c>
      <c r="O80" s="34">
        <f t="shared" si="3"/>
        <v>184</v>
      </c>
      <c r="P80" s="381">
        <f t="shared" si="4"/>
        <v>0.49450549450549453</v>
      </c>
    </row>
    <row r="81" spans="1:16" ht="18.75" customHeight="1">
      <c r="A81" s="372">
        <f t="shared" si="5"/>
        <v>57</v>
      </c>
      <c r="B81" s="385" t="s">
        <v>3089</v>
      </c>
      <c r="C81" s="382" t="s">
        <v>3090</v>
      </c>
      <c r="D81" s="110">
        <v>43101</v>
      </c>
      <c r="E81" s="111">
        <v>43465</v>
      </c>
      <c r="F81" s="114">
        <f t="shared" si="0"/>
        <v>0.49450549450549453</v>
      </c>
      <c r="G81" s="382">
        <v>142328.79</v>
      </c>
      <c r="H81" s="382">
        <v>143737.22</v>
      </c>
      <c r="I81" s="386">
        <v>64012.22</v>
      </c>
      <c r="J81" s="380">
        <f t="shared" si="1"/>
        <v>0.44534199283943299</v>
      </c>
      <c r="M81" s="34">
        <f t="shared" si="2"/>
        <v>364</v>
      </c>
      <c r="N81" s="111">
        <v>43281</v>
      </c>
      <c r="O81" s="34">
        <f t="shared" si="3"/>
        <v>184</v>
      </c>
      <c r="P81" s="381">
        <f t="shared" si="4"/>
        <v>0.49450549450549453</v>
      </c>
    </row>
    <row r="82" spans="1:16" ht="18.75" customHeight="1">
      <c r="A82" s="372">
        <f t="shared" si="5"/>
        <v>58</v>
      </c>
      <c r="B82" s="385" t="s">
        <v>3030</v>
      </c>
      <c r="C82" s="382" t="s">
        <v>3031</v>
      </c>
      <c r="D82" s="110">
        <v>43101</v>
      </c>
      <c r="E82" s="111">
        <v>43465</v>
      </c>
      <c r="F82" s="114">
        <f t="shared" si="0"/>
        <v>0.49450549450549453</v>
      </c>
      <c r="G82" s="382">
        <v>116474.21</v>
      </c>
      <c r="H82" s="382">
        <v>116910.17</v>
      </c>
      <c r="I82" s="386">
        <v>112426.1</v>
      </c>
      <c r="J82" s="380">
        <f t="shared" si="1"/>
        <v>0.9616451673964721</v>
      </c>
      <c r="M82" s="34">
        <f t="shared" si="2"/>
        <v>364</v>
      </c>
      <c r="N82" s="111">
        <v>43281</v>
      </c>
      <c r="O82" s="34">
        <f t="shared" si="3"/>
        <v>184</v>
      </c>
      <c r="P82" s="381">
        <f t="shared" si="4"/>
        <v>0.49450549450549453</v>
      </c>
    </row>
    <row r="83" spans="1:16" ht="18.75" customHeight="1">
      <c r="A83" s="372">
        <f t="shared" si="5"/>
        <v>59</v>
      </c>
      <c r="B83" s="385" t="s">
        <v>3010</v>
      </c>
      <c r="C83" s="382" t="s">
        <v>3011</v>
      </c>
      <c r="D83" s="110">
        <v>43101</v>
      </c>
      <c r="E83" s="111">
        <v>43465</v>
      </c>
      <c r="F83" s="114">
        <f t="shared" si="0"/>
        <v>0.49450549450549453</v>
      </c>
      <c r="G83" s="382">
        <v>300205.19</v>
      </c>
      <c r="H83" s="382">
        <v>302699.11</v>
      </c>
      <c r="I83" s="386">
        <v>152496.82999999999</v>
      </c>
      <c r="J83" s="380">
        <f t="shared" si="1"/>
        <v>0.50379014989505588</v>
      </c>
      <c r="M83" s="34">
        <f t="shared" si="2"/>
        <v>364</v>
      </c>
      <c r="N83" s="111">
        <v>43281</v>
      </c>
      <c r="O83" s="34">
        <f t="shared" si="3"/>
        <v>184</v>
      </c>
      <c r="P83" s="381">
        <f t="shared" si="4"/>
        <v>0.49450549450549453</v>
      </c>
    </row>
    <row r="84" spans="1:16" ht="18.75" customHeight="1">
      <c r="A84" s="372">
        <f t="shared" si="5"/>
        <v>60</v>
      </c>
      <c r="B84" s="385" t="s">
        <v>3072</v>
      </c>
      <c r="C84" s="382" t="s">
        <v>3073</v>
      </c>
      <c r="D84" s="110">
        <v>43101</v>
      </c>
      <c r="E84" s="111">
        <v>43465</v>
      </c>
      <c r="F84" s="114">
        <f t="shared" si="0"/>
        <v>0.49450549450549453</v>
      </c>
      <c r="G84" s="382">
        <v>114690.12</v>
      </c>
      <c r="H84" s="382">
        <v>115944.55</v>
      </c>
      <c r="I84" s="386">
        <v>74425</v>
      </c>
      <c r="J84" s="380">
        <f t="shared" si="1"/>
        <v>0.64190166765061396</v>
      </c>
      <c r="M84" s="34">
        <f t="shared" si="2"/>
        <v>364</v>
      </c>
      <c r="N84" s="111">
        <v>43281</v>
      </c>
      <c r="O84" s="34">
        <f t="shared" si="3"/>
        <v>184</v>
      </c>
      <c r="P84" s="381">
        <f t="shared" si="4"/>
        <v>0.49450549450549453</v>
      </c>
    </row>
    <row r="85" spans="1:16" ht="18.75" customHeight="1">
      <c r="A85" s="372">
        <f t="shared" si="5"/>
        <v>61</v>
      </c>
      <c r="B85" s="385" t="s">
        <v>3204</v>
      </c>
      <c r="C85" s="382" t="s">
        <v>3205</v>
      </c>
      <c r="D85" s="110">
        <v>43101</v>
      </c>
      <c r="E85" s="111">
        <v>43465</v>
      </c>
      <c r="F85" s="114">
        <f t="shared" si="0"/>
        <v>0.49450549450549453</v>
      </c>
      <c r="G85" s="382">
        <v>24882.3</v>
      </c>
      <c r="H85" s="382">
        <v>24723.39</v>
      </c>
      <c r="I85" s="386">
        <v>19691.13</v>
      </c>
      <c r="J85" s="380">
        <f t="shared" si="1"/>
        <v>0.79645752463557795</v>
      </c>
      <c r="M85" s="34">
        <f t="shared" si="2"/>
        <v>364</v>
      </c>
      <c r="N85" s="111">
        <v>43281</v>
      </c>
      <c r="O85" s="34">
        <f t="shared" si="3"/>
        <v>184</v>
      </c>
      <c r="P85" s="381">
        <f t="shared" si="4"/>
        <v>0.49450549450549453</v>
      </c>
    </row>
    <row r="86" spans="1:16" ht="18.75" customHeight="1">
      <c r="A86" s="372">
        <f t="shared" si="5"/>
        <v>62</v>
      </c>
      <c r="B86" s="385" t="s">
        <v>3135</v>
      </c>
      <c r="C86" s="382" t="s">
        <v>3136</v>
      </c>
      <c r="D86" s="110">
        <v>43101</v>
      </c>
      <c r="E86" s="111">
        <v>43465</v>
      </c>
      <c r="F86" s="114">
        <f t="shared" si="0"/>
        <v>0.49450549450549453</v>
      </c>
      <c r="G86" s="382">
        <v>59357.96</v>
      </c>
      <c r="H86" s="382">
        <v>59812.75</v>
      </c>
      <c r="I86" s="386">
        <v>43510</v>
      </c>
      <c r="J86" s="380">
        <f t="shared" si="1"/>
        <v>0.72743687591692408</v>
      </c>
      <c r="M86" s="34">
        <f t="shared" si="2"/>
        <v>364</v>
      </c>
      <c r="N86" s="111">
        <v>43281</v>
      </c>
      <c r="O86" s="34">
        <f t="shared" si="3"/>
        <v>184</v>
      </c>
      <c r="P86" s="381">
        <f t="shared" si="4"/>
        <v>0.49450549450549453</v>
      </c>
    </row>
    <row r="87" spans="1:16" ht="18.75" customHeight="1">
      <c r="A87" s="372">
        <f t="shared" si="5"/>
        <v>63</v>
      </c>
      <c r="B87" s="385" t="s">
        <v>3139</v>
      </c>
      <c r="C87" s="382" t="s">
        <v>3140</v>
      </c>
      <c r="D87" s="110">
        <v>43101</v>
      </c>
      <c r="E87" s="111">
        <v>43465</v>
      </c>
      <c r="F87" s="114">
        <f t="shared" si="0"/>
        <v>0.49450549450549453</v>
      </c>
      <c r="G87" s="382">
        <v>67807.520000000004</v>
      </c>
      <c r="H87" s="382">
        <v>68295.33</v>
      </c>
      <c r="I87" s="386">
        <v>41570.68</v>
      </c>
      <c r="J87" s="380">
        <f t="shared" si="1"/>
        <v>0.60868993531475724</v>
      </c>
      <c r="M87" s="34">
        <f t="shared" si="2"/>
        <v>364</v>
      </c>
      <c r="N87" s="111">
        <v>43281</v>
      </c>
      <c r="O87" s="34">
        <f t="shared" si="3"/>
        <v>184</v>
      </c>
      <c r="P87" s="381">
        <f t="shared" si="4"/>
        <v>0.49450549450549453</v>
      </c>
    </row>
    <row r="88" spans="1:16" ht="18.75" customHeight="1">
      <c r="A88" s="372">
        <f t="shared" si="5"/>
        <v>64</v>
      </c>
      <c r="B88" s="385" t="s">
        <v>3188</v>
      </c>
      <c r="C88" s="382" t="s">
        <v>3189</v>
      </c>
      <c r="D88" s="110">
        <v>43101</v>
      </c>
      <c r="E88" s="111">
        <v>43465</v>
      </c>
      <c r="F88" s="114">
        <f t="shared" si="0"/>
        <v>0.49450549450549453</v>
      </c>
      <c r="G88" s="382">
        <v>26146.99</v>
      </c>
      <c r="H88" s="382">
        <v>28858.79</v>
      </c>
      <c r="I88" s="386">
        <v>24200.86</v>
      </c>
      <c r="J88" s="380">
        <f t="shared" si="1"/>
        <v>0.83859579698247921</v>
      </c>
      <c r="M88" s="34">
        <f t="shared" si="2"/>
        <v>364</v>
      </c>
      <c r="N88" s="111">
        <v>43281</v>
      </c>
      <c r="O88" s="34">
        <f t="shared" si="3"/>
        <v>184</v>
      </c>
      <c r="P88" s="381">
        <f t="shared" si="4"/>
        <v>0.49450549450549453</v>
      </c>
    </row>
    <row r="89" spans="1:16" ht="18.75" customHeight="1">
      <c r="A89" s="372">
        <f t="shared" si="5"/>
        <v>65</v>
      </c>
      <c r="B89" s="385" t="s">
        <v>3224</v>
      </c>
      <c r="C89" s="382" t="s">
        <v>3225</v>
      </c>
      <c r="D89" s="110">
        <v>43101</v>
      </c>
      <c r="E89" s="111">
        <v>43465</v>
      </c>
      <c r="F89" s="114">
        <f t="shared" ref="F89:F164" si="6">P89</f>
        <v>0.49450549450549453</v>
      </c>
      <c r="G89" s="382">
        <v>20218.7</v>
      </c>
      <c r="H89" s="382">
        <v>21988.799999999999</v>
      </c>
      <c r="I89" s="386">
        <v>15001.9</v>
      </c>
      <c r="J89" s="380">
        <f t="shared" ref="J89:J164" si="7">I89/H89</f>
        <v>0.68225187368114681</v>
      </c>
      <c r="M89" s="34">
        <f t="shared" ref="M89:M164" si="8">E89-D89</f>
        <v>364</v>
      </c>
      <c r="N89" s="111">
        <v>43281</v>
      </c>
      <c r="O89" s="34">
        <f t="shared" ref="O89:O164" si="9">E89-N89</f>
        <v>184</v>
      </c>
      <c r="P89" s="381">
        <f t="shared" ref="P89:P164" si="10">(M89-O89)/M89</f>
        <v>0.49450549450549453</v>
      </c>
    </row>
    <row r="90" spans="1:16" ht="18.75" customHeight="1">
      <c r="A90" s="372">
        <f t="shared" ref="A90:A165" si="11">A89+1</f>
        <v>66</v>
      </c>
      <c r="B90" s="385" t="s">
        <v>3196</v>
      </c>
      <c r="C90" s="382" t="s">
        <v>3197</v>
      </c>
      <c r="D90" s="110">
        <v>43101</v>
      </c>
      <c r="E90" s="111">
        <v>43465</v>
      </c>
      <c r="F90" s="114">
        <f t="shared" si="6"/>
        <v>0.49450549450549453</v>
      </c>
      <c r="G90" s="382">
        <v>77675.56</v>
      </c>
      <c r="H90" s="382">
        <v>74715.45</v>
      </c>
      <c r="I90" s="386">
        <v>21603.77</v>
      </c>
      <c r="J90" s="380">
        <f t="shared" si="7"/>
        <v>0.28914729149058194</v>
      </c>
      <c r="M90" s="34">
        <f t="shared" si="8"/>
        <v>364</v>
      </c>
      <c r="N90" s="111">
        <v>43281</v>
      </c>
      <c r="O90" s="34">
        <f t="shared" si="9"/>
        <v>184</v>
      </c>
      <c r="P90" s="381">
        <f t="shared" si="10"/>
        <v>0.49450549450549453</v>
      </c>
    </row>
    <row r="91" spans="1:16" ht="18.75" customHeight="1">
      <c r="A91" s="372">
        <f t="shared" si="11"/>
        <v>67</v>
      </c>
      <c r="B91" s="385" t="s">
        <v>3044</v>
      </c>
      <c r="C91" s="382" t="s">
        <v>3045</v>
      </c>
      <c r="D91" s="110">
        <v>43101</v>
      </c>
      <c r="E91" s="111">
        <v>43465</v>
      </c>
      <c r="F91" s="114">
        <f t="shared" si="6"/>
        <v>0.49450549450549453</v>
      </c>
      <c r="G91" s="382">
        <v>211095.06</v>
      </c>
      <c r="H91" s="382">
        <v>208440.1</v>
      </c>
      <c r="I91" s="386">
        <v>102833.79999999999</v>
      </c>
      <c r="J91" s="380">
        <f t="shared" si="7"/>
        <v>0.49334940829523677</v>
      </c>
      <c r="M91" s="34">
        <f t="shared" si="8"/>
        <v>364</v>
      </c>
      <c r="N91" s="111">
        <v>43281</v>
      </c>
      <c r="O91" s="34">
        <f t="shared" si="9"/>
        <v>184</v>
      </c>
      <c r="P91" s="381">
        <f t="shared" si="10"/>
        <v>0.49450549450549453</v>
      </c>
    </row>
    <row r="92" spans="1:16" ht="18.75" customHeight="1">
      <c r="A92" s="372">
        <f t="shared" si="11"/>
        <v>68</v>
      </c>
      <c r="B92" s="385" t="s">
        <v>3080</v>
      </c>
      <c r="C92" s="382" t="s">
        <v>3081</v>
      </c>
      <c r="D92" s="110">
        <v>43101</v>
      </c>
      <c r="E92" s="111">
        <v>43465</v>
      </c>
      <c r="F92" s="114">
        <f t="shared" si="6"/>
        <v>0.49450549450549453</v>
      </c>
      <c r="G92" s="382">
        <v>72019.600000000006</v>
      </c>
      <c r="H92" s="382">
        <v>71943.13</v>
      </c>
      <c r="I92" s="386">
        <v>67459.070000000007</v>
      </c>
      <c r="J92" s="380">
        <f t="shared" si="7"/>
        <v>0.93767215855078867</v>
      </c>
      <c r="M92" s="34">
        <f t="shared" si="8"/>
        <v>364</v>
      </c>
      <c r="N92" s="111">
        <v>43281</v>
      </c>
      <c r="O92" s="34">
        <f t="shared" si="9"/>
        <v>184</v>
      </c>
      <c r="P92" s="381">
        <f t="shared" si="10"/>
        <v>0.49450549450549453</v>
      </c>
    </row>
    <row r="93" spans="1:16" ht="18.75" customHeight="1">
      <c r="A93" s="372">
        <f t="shared" si="11"/>
        <v>69</v>
      </c>
      <c r="B93" s="385" t="s">
        <v>3076</v>
      </c>
      <c r="C93" s="382" t="s">
        <v>3077</v>
      </c>
      <c r="D93" s="110">
        <v>43101</v>
      </c>
      <c r="E93" s="111">
        <v>43465</v>
      </c>
      <c r="F93" s="114">
        <f t="shared" si="6"/>
        <v>0.49450549450549453</v>
      </c>
      <c r="G93" s="382">
        <v>84756.21</v>
      </c>
      <c r="H93" s="382">
        <v>84442.21</v>
      </c>
      <c r="I93" s="386">
        <v>70798.14</v>
      </c>
      <c r="J93" s="380">
        <f t="shared" si="7"/>
        <v>0.83842121138231696</v>
      </c>
      <c r="M93" s="34">
        <f t="shared" si="8"/>
        <v>364</v>
      </c>
      <c r="N93" s="111">
        <v>43281</v>
      </c>
      <c r="O93" s="34">
        <f t="shared" si="9"/>
        <v>184</v>
      </c>
      <c r="P93" s="381">
        <f t="shared" si="10"/>
        <v>0.49450549450549453</v>
      </c>
    </row>
    <row r="94" spans="1:16" ht="18.75" customHeight="1">
      <c r="A94" s="372">
        <f t="shared" si="11"/>
        <v>70</v>
      </c>
      <c r="B94" s="385" t="s">
        <v>3068</v>
      </c>
      <c r="C94" s="382" t="s">
        <v>3069</v>
      </c>
      <c r="D94" s="110">
        <v>43101</v>
      </c>
      <c r="E94" s="111">
        <v>43465</v>
      </c>
      <c r="F94" s="114">
        <f t="shared" si="6"/>
        <v>0.49450549450549453</v>
      </c>
      <c r="G94" s="382">
        <v>236622.56</v>
      </c>
      <c r="H94" s="382">
        <v>232195.16</v>
      </c>
      <c r="I94" s="386">
        <v>77716.100000000006</v>
      </c>
      <c r="J94" s="380">
        <f t="shared" si="7"/>
        <v>0.33470163633040417</v>
      </c>
      <c r="M94" s="34">
        <f t="shared" si="8"/>
        <v>364</v>
      </c>
      <c r="N94" s="111">
        <v>43281</v>
      </c>
      <c r="O94" s="34">
        <f t="shared" si="9"/>
        <v>184</v>
      </c>
      <c r="P94" s="381">
        <f t="shared" si="10"/>
        <v>0.49450549450549453</v>
      </c>
    </row>
    <row r="95" spans="1:16" ht="18.75" customHeight="1">
      <c r="A95" s="372">
        <f t="shared" si="11"/>
        <v>71</v>
      </c>
      <c r="B95" s="385" t="s">
        <v>3172</v>
      </c>
      <c r="C95" s="382" t="s">
        <v>3173</v>
      </c>
      <c r="D95" s="110">
        <v>43101</v>
      </c>
      <c r="E95" s="111">
        <v>43465</v>
      </c>
      <c r="F95" s="114">
        <f t="shared" si="6"/>
        <v>0.49450549450549453</v>
      </c>
      <c r="G95" s="382">
        <v>55012.78</v>
      </c>
      <c r="H95" s="382">
        <v>53479.23</v>
      </c>
      <c r="I95" s="386">
        <v>29626.09</v>
      </c>
      <c r="J95" s="380">
        <f t="shared" si="7"/>
        <v>0.55397375766255419</v>
      </c>
      <c r="M95" s="34">
        <f t="shared" si="8"/>
        <v>364</v>
      </c>
      <c r="N95" s="111">
        <v>43281</v>
      </c>
      <c r="O95" s="34">
        <f t="shared" si="9"/>
        <v>184</v>
      </c>
      <c r="P95" s="381">
        <f t="shared" si="10"/>
        <v>0.49450549450549453</v>
      </c>
    </row>
    <row r="96" spans="1:16" ht="18.75" customHeight="1">
      <c r="A96" s="372">
        <f t="shared" si="11"/>
        <v>72</v>
      </c>
      <c r="B96" s="385" t="s">
        <v>3062</v>
      </c>
      <c r="C96" s="382" t="s">
        <v>3063</v>
      </c>
      <c r="D96" s="110">
        <v>43101</v>
      </c>
      <c r="E96" s="111">
        <v>43465</v>
      </c>
      <c r="F96" s="114">
        <f t="shared" si="6"/>
        <v>0.49450549450549453</v>
      </c>
      <c r="G96" s="382">
        <v>155002.26999999999</v>
      </c>
      <c r="H96" s="382">
        <v>156314.22</v>
      </c>
      <c r="I96" s="386">
        <v>80923.69</v>
      </c>
      <c r="J96" s="380">
        <f t="shared" si="7"/>
        <v>0.51769883763614089</v>
      </c>
      <c r="M96" s="34">
        <f t="shared" si="8"/>
        <v>364</v>
      </c>
      <c r="N96" s="111">
        <v>43281</v>
      </c>
      <c r="O96" s="34">
        <f t="shared" si="9"/>
        <v>184</v>
      </c>
      <c r="P96" s="381">
        <f t="shared" si="10"/>
        <v>0.49450549450549453</v>
      </c>
    </row>
    <row r="97" spans="1:16" ht="18.75" customHeight="1">
      <c r="A97" s="372">
        <f t="shared" si="11"/>
        <v>73</v>
      </c>
      <c r="B97" s="385" t="s">
        <v>3165</v>
      </c>
      <c r="C97" s="382" t="s">
        <v>3166</v>
      </c>
      <c r="D97" s="110">
        <v>43101</v>
      </c>
      <c r="E97" s="111">
        <v>43465</v>
      </c>
      <c r="F97" s="114">
        <f t="shared" si="6"/>
        <v>0.49450549450549453</v>
      </c>
      <c r="G97" s="382">
        <v>45629.43</v>
      </c>
      <c r="H97" s="382">
        <v>46609.24</v>
      </c>
      <c r="I97" s="386">
        <v>31868.14</v>
      </c>
      <c r="J97" s="380">
        <f t="shared" si="7"/>
        <v>0.68373009300301835</v>
      </c>
      <c r="M97" s="34">
        <f t="shared" si="8"/>
        <v>364</v>
      </c>
      <c r="N97" s="111">
        <v>43281</v>
      </c>
      <c r="O97" s="34">
        <f t="shared" si="9"/>
        <v>184</v>
      </c>
      <c r="P97" s="381">
        <f t="shared" si="10"/>
        <v>0.49450549450549453</v>
      </c>
    </row>
    <row r="98" spans="1:16" ht="18.75" customHeight="1">
      <c r="A98" s="372">
        <f t="shared" si="11"/>
        <v>74</v>
      </c>
      <c r="B98" s="385" t="s">
        <v>3022</v>
      </c>
      <c r="C98" s="382" t="s">
        <v>3023</v>
      </c>
      <c r="D98" s="110">
        <v>43101</v>
      </c>
      <c r="E98" s="111">
        <v>43465</v>
      </c>
      <c r="F98" s="114">
        <f t="shared" si="6"/>
        <v>0.49450549450549453</v>
      </c>
      <c r="G98" s="382">
        <v>127643.73</v>
      </c>
      <c r="H98" s="382">
        <v>127952.2</v>
      </c>
      <c r="I98" s="386">
        <v>123468.13</v>
      </c>
      <c r="J98" s="380">
        <f t="shared" si="7"/>
        <v>0.96495511605115036</v>
      </c>
      <c r="M98" s="34">
        <f t="shared" si="8"/>
        <v>364</v>
      </c>
      <c r="N98" s="111">
        <v>43281</v>
      </c>
      <c r="O98" s="34">
        <f t="shared" si="9"/>
        <v>184</v>
      </c>
      <c r="P98" s="381">
        <f t="shared" si="10"/>
        <v>0.49450549450549453</v>
      </c>
    </row>
    <row r="99" spans="1:16" ht="18.75" customHeight="1">
      <c r="A99" s="372">
        <f t="shared" si="11"/>
        <v>75</v>
      </c>
      <c r="B99" s="385" t="s">
        <v>3107</v>
      </c>
      <c r="C99" s="382" t="s">
        <v>3108</v>
      </c>
      <c r="D99" s="110">
        <v>43101</v>
      </c>
      <c r="E99" s="111">
        <v>43465</v>
      </c>
      <c r="F99" s="114">
        <f t="shared" si="6"/>
        <v>0.49450549450549453</v>
      </c>
      <c r="G99" s="382">
        <v>97798.44</v>
      </c>
      <c r="H99" s="382">
        <v>99279.22</v>
      </c>
      <c r="I99" s="386">
        <v>54816.09</v>
      </c>
      <c r="J99" s="380">
        <f t="shared" si="7"/>
        <v>0.55214061915474355</v>
      </c>
      <c r="M99" s="34">
        <f t="shared" si="8"/>
        <v>364</v>
      </c>
      <c r="N99" s="111">
        <v>43281</v>
      </c>
      <c r="O99" s="34">
        <f t="shared" si="9"/>
        <v>184</v>
      </c>
      <c r="P99" s="381">
        <f t="shared" si="10"/>
        <v>0.49450549450549453</v>
      </c>
    </row>
    <row r="100" spans="1:16" ht="18.75" customHeight="1">
      <c r="A100" s="372">
        <f t="shared" si="11"/>
        <v>76</v>
      </c>
      <c r="B100" s="385" t="s">
        <v>3105</v>
      </c>
      <c r="C100" s="382" t="s">
        <v>3106</v>
      </c>
      <c r="D100" s="110">
        <v>43101</v>
      </c>
      <c r="E100" s="111">
        <v>43465</v>
      </c>
      <c r="F100" s="114">
        <f t="shared" si="6"/>
        <v>0.49450549450549453</v>
      </c>
      <c r="G100" s="382">
        <v>78929.78</v>
      </c>
      <c r="H100" s="382">
        <v>78765.16</v>
      </c>
      <c r="I100" s="386">
        <v>54864.06</v>
      </c>
      <c r="J100" s="380">
        <f t="shared" si="7"/>
        <v>0.69655238432829936</v>
      </c>
      <c r="M100" s="34">
        <f t="shared" si="8"/>
        <v>364</v>
      </c>
      <c r="N100" s="111">
        <v>43281</v>
      </c>
      <c r="O100" s="34">
        <f t="shared" si="9"/>
        <v>184</v>
      </c>
      <c r="P100" s="381">
        <f t="shared" si="10"/>
        <v>0.49450549450549453</v>
      </c>
    </row>
    <row r="101" spans="1:16" ht="18.75" customHeight="1">
      <c r="A101" s="372">
        <f t="shared" si="11"/>
        <v>77</v>
      </c>
      <c r="B101" s="385" t="s">
        <v>3218</v>
      </c>
      <c r="C101" s="382" t="s">
        <v>3219</v>
      </c>
      <c r="D101" s="110">
        <v>43101</v>
      </c>
      <c r="E101" s="111">
        <v>43465</v>
      </c>
      <c r="F101" s="114">
        <f t="shared" si="6"/>
        <v>0.49450549450549453</v>
      </c>
      <c r="G101" s="382">
        <v>35162.239999999998</v>
      </c>
      <c r="H101" s="382">
        <v>35303.120000000003</v>
      </c>
      <c r="I101" s="386">
        <v>15886.09</v>
      </c>
      <c r="J101" s="380">
        <f t="shared" si="7"/>
        <v>0.44999110560199773</v>
      </c>
      <c r="M101" s="34">
        <f t="shared" si="8"/>
        <v>364</v>
      </c>
      <c r="N101" s="111">
        <v>43281</v>
      </c>
      <c r="O101" s="34">
        <f t="shared" si="9"/>
        <v>184</v>
      </c>
      <c r="P101" s="381">
        <f t="shared" si="10"/>
        <v>0.49450549450549453</v>
      </c>
    </row>
    <row r="102" spans="1:16" ht="18.75" customHeight="1">
      <c r="A102" s="372">
        <f t="shared" si="11"/>
        <v>78</v>
      </c>
      <c r="B102" s="385" t="s">
        <v>3101</v>
      </c>
      <c r="C102" s="382" t="s">
        <v>3102</v>
      </c>
      <c r="D102" s="110">
        <v>43101</v>
      </c>
      <c r="E102" s="111">
        <v>43465</v>
      </c>
      <c r="F102" s="114">
        <f t="shared" si="6"/>
        <v>0.49450549450549453</v>
      </c>
      <c r="G102" s="382">
        <v>90673.3</v>
      </c>
      <c r="H102" s="382">
        <v>92079.56</v>
      </c>
      <c r="I102" s="386">
        <v>57250</v>
      </c>
      <c r="J102" s="380">
        <f t="shared" si="7"/>
        <v>0.62174493448926127</v>
      </c>
      <c r="M102" s="34">
        <f t="shared" si="8"/>
        <v>364</v>
      </c>
      <c r="N102" s="111">
        <v>43281</v>
      </c>
      <c r="O102" s="34">
        <f t="shared" si="9"/>
        <v>184</v>
      </c>
      <c r="P102" s="381">
        <f t="shared" si="10"/>
        <v>0.49450549450549453</v>
      </c>
    </row>
    <row r="103" spans="1:16" ht="18.75" customHeight="1">
      <c r="A103" s="372">
        <f t="shared" si="11"/>
        <v>79</v>
      </c>
      <c r="B103" s="385" t="s">
        <v>3097</v>
      </c>
      <c r="C103" s="382" t="s">
        <v>3098</v>
      </c>
      <c r="D103" s="110">
        <v>43101</v>
      </c>
      <c r="E103" s="111">
        <v>43465</v>
      </c>
      <c r="F103" s="114">
        <f t="shared" si="6"/>
        <v>0.49450549450549453</v>
      </c>
      <c r="G103" s="382">
        <v>117039.36</v>
      </c>
      <c r="H103" s="382">
        <v>116396.84</v>
      </c>
      <c r="I103" s="386">
        <v>58575</v>
      </c>
      <c r="J103" s="380">
        <f t="shared" si="7"/>
        <v>0.50323531119916998</v>
      </c>
      <c r="M103" s="34">
        <f t="shared" si="8"/>
        <v>364</v>
      </c>
      <c r="N103" s="111">
        <v>43281</v>
      </c>
      <c r="O103" s="34">
        <f t="shared" si="9"/>
        <v>184</v>
      </c>
      <c r="P103" s="381">
        <f t="shared" si="10"/>
        <v>0.49450549450549453</v>
      </c>
    </row>
    <row r="104" spans="1:16" ht="18.75" customHeight="1">
      <c r="A104" s="372">
        <f t="shared" si="11"/>
        <v>80</v>
      </c>
      <c r="B104" s="385" t="s">
        <v>3184</v>
      </c>
      <c r="C104" s="382" t="s">
        <v>3185</v>
      </c>
      <c r="D104" s="110">
        <v>43101</v>
      </c>
      <c r="E104" s="111">
        <v>43465</v>
      </c>
      <c r="F104" s="114">
        <f t="shared" si="6"/>
        <v>0.49450549450549453</v>
      </c>
      <c r="G104" s="382">
        <v>55114.52</v>
      </c>
      <c r="H104" s="382">
        <v>56917.26</v>
      </c>
      <c r="I104" s="386">
        <v>26335</v>
      </c>
      <c r="J104" s="380">
        <f t="shared" si="7"/>
        <v>0.46268917372340129</v>
      </c>
      <c r="M104" s="34">
        <f t="shared" si="8"/>
        <v>364</v>
      </c>
      <c r="N104" s="111">
        <v>43281</v>
      </c>
      <c r="O104" s="34">
        <f t="shared" si="9"/>
        <v>184</v>
      </c>
      <c r="P104" s="381">
        <f t="shared" si="10"/>
        <v>0.49450549450549453</v>
      </c>
    </row>
    <row r="105" spans="1:16" ht="18.75" customHeight="1">
      <c r="A105" s="372">
        <f t="shared" si="11"/>
        <v>81</v>
      </c>
      <c r="B105" s="385" t="s">
        <v>3151</v>
      </c>
      <c r="C105" s="382" t="s">
        <v>3152</v>
      </c>
      <c r="D105" s="110">
        <v>43101</v>
      </c>
      <c r="E105" s="111">
        <v>43465</v>
      </c>
      <c r="F105" s="114">
        <f t="shared" si="6"/>
        <v>0.49450549450549453</v>
      </c>
      <c r="G105" s="382">
        <v>55676.38</v>
      </c>
      <c r="H105" s="382">
        <v>53560.25</v>
      </c>
      <c r="I105" s="386">
        <v>35947.279999999999</v>
      </c>
      <c r="J105" s="380">
        <f t="shared" si="7"/>
        <v>0.67115594120639843</v>
      </c>
      <c r="M105" s="34">
        <f t="shared" si="8"/>
        <v>364</v>
      </c>
      <c r="N105" s="111">
        <v>43281</v>
      </c>
      <c r="O105" s="34">
        <f t="shared" si="9"/>
        <v>184</v>
      </c>
      <c r="P105" s="381">
        <f t="shared" si="10"/>
        <v>0.49450549450549453</v>
      </c>
    </row>
    <row r="106" spans="1:16" ht="18.75" customHeight="1">
      <c r="A106" s="372">
        <f t="shared" si="11"/>
        <v>82</v>
      </c>
      <c r="B106" s="385" t="s">
        <v>3222</v>
      </c>
      <c r="C106" s="382" t="s">
        <v>3223</v>
      </c>
      <c r="D106" s="110">
        <v>43101</v>
      </c>
      <c r="E106" s="111">
        <v>43465</v>
      </c>
      <c r="F106" s="114">
        <f t="shared" si="6"/>
        <v>0.49450549450549453</v>
      </c>
      <c r="G106" s="382">
        <v>33772.639999999999</v>
      </c>
      <c r="H106" s="382">
        <v>35162.28</v>
      </c>
      <c r="I106" s="386">
        <v>15065</v>
      </c>
      <c r="J106" s="380">
        <f t="shared" si="7"/>
        <v>0.42844206917185124</v>
      </c>
      <c r="M106" s="34">
        <f t="shared" si="8"/>
        <v>364</v>
      </c>
      <c r="N106" s="111">
        <v>43281</v>
      </c>
      <c r="O106" s="34">
        <f t="shared" si="9"/>
        <v>184</v>
      </c>
      <c r="P106" s="381">
        <f t="shared" si="10"/>
        <v>0.49450549450549453</v>
      </c>
    </row>
    <row r="107" spans="1:16" ht="18.75" customHeight="1">
      <c r="A107" s="372">
        <f t="shared" si="11"/>
        <v>83</v>
      </c>
      <c r="B107" s="385" t="s">
        <v>2934</v>
      </c>
      <c r="C107" s="382" t="s">
        <v>2935</v>
      </c>
      <c r="D107" s="110">
        <v>43101</v>
      </c>
      <c r="E107" s="111">
        <v>43465</v>
      </c>
      <c r="F107" s="114">
        <f t="shared" si="6"/>
        <v>0.49450549450549453</v>
      </c>
      <c r="G107" s="382">
        <v>1307754.3400000001</v>
      </c>
      <c r="H107" s="382">
        <v>1313315</v>
      </c>
      <c r="I107" s="386">
        <v>652650</v>
      </c>
      <c r="J107" s="380">
        <f t="shared" si="7"/>
        <v>0.49694856146469052</v>
      </c>
      <c r="M107" s="34">
        <f t="shared" si="8"/>
        <v>364</v>
      </c>
      <c r="N107" s="111">
        <v>43281</v>
      </c>
      <c r="O107" s="34">
        <f t="shared" si="9"/>
        <v>184</v>
      </c>
      <c r="P107" s="381">
        <f t="shared" si="10"/>
        <v>0.49450549450549453</v>
      </c>
    </row>
    <row r="108" spans="1:16" ht="18.75" customHeight="1">
      <c r="A108" s="372">
        <f t="shared" si="11"/>
        <v>84</v>
      </c>
      <c r="B108" s="385" t="s">
        <v>3240</v>
      </c>
      <c r="C108" s="382" t="s">
        <v>3241</v>
      </c>
      <c r="D108" s="110">
        <v>43101</v>
      </c>
      <c r="E108" s="111">
        <v>43465</v>
      </c>
      <c r="F108" s="114">
        <f t="shared" si="6"/>
        <v>0.49450549450549453</v>
      </c>
      <c r="G108" s="382">
        <v>22527.54</v>
      </c>
      <c r="H108" s="382">
        <v>21755</v>
      </c>
      <c r="I108" s="386">
        <v>10305</v>
      </c>
      <c r="J108" s="380">
        <f t="shared" si="7"/>
        <v>0.47368421052631576</v>
      </c>
      <c r="M108" s="34">
        <f t="shared" si="8"/>
        <v>364</v>
      </c>
      <c r="N108" s="111">
        <v>43281</v>
      </c>
      <c r="O108" s="34">
        <f t="shared" si="9"/>
        <v>184</v>
      </c>
      <c r="P108" s="381">
        <f t="shared" si="10"/>
        <v>0.49450549450549453</v>
      </c>
    </row>
    <row r="109" spans="1:16" ht="18.75" customHeight="1">
      <c r="A109" s="372">
        <f t="shared" si="11"/>
        <v>85</v>
      </c>
      <c r="B109" s="385" t="s">
        <v>3216</v>
      </c>
      <c r="C109" s="382" t="s">
        <v>3217</v>
      </c>
      <c r="D109" s="110">
        <v>43101</v>
      </c>
      <c r="E109" s="111">
        <v>43465</v>
      </c>
      <c r="F109" s="114">
        <f t="shared" si="6"/>
        <v>0.49450549450549453</v>
      </c>
      <c r="G109" s="382">
        <v>22527.54</v>
      </c>
      <c r="H109" s="382">
        <v>21755</v>
      </c>
      <c r="I109" s="386">
        <v>16030</v>
      </c>
      <c r="J109" s="380">
        <f t="shared" si="7"/>
        <v>0.73684210526315785</v>
      </c>
      <c r="M109" s="34">
        <f t="shared" si="8"/>
        <v>364</v>
      </c>
      <c r="N109" s="111">
        <v>43281</v>
      </c>
      <c r="O109" s="34">
        <f t="shared" si="9"/>
        <v>184</v>
      </c>
      <c r="P109" s="381">
        <f t="shared" si="10"/>
        <v>0.49450549450549453</v>
      </c>
    </row>
    <row r="110" spans="1:16" ht="18.75" customHeight="1">
      <c r="A110" s="372">
        <f t="shared" si="11"/>
        <v>86</v>
      </c>
      <c r="B110" s="385" t="s">
        <v>3232</v>
      </c>
      <c r="C110" s="382" t="s">
        <v>3233</v>
      </c>
      <c r="D110" s="110">
        <v>43101</v>
      </c>
      <c r="E110" s="111">
        <v>43677</v>
      </c>
      <c r="F110" s="114">
        <f t="shared" si="6"/>
        <v>0.3125</v>
      </c>
      <c r="G110" s="382">
        <v>14227.92</v>
      </c>
      <c r="H110" s="382">
        <v>28625</v>
      </c>
      <c r="I110" s="386">
        <v>12595</v>
      </c>
      <c r="J110" s="380">
        <f t="shared" si="7"/>
        <v>0.44</v>
      </c>
      <c r="M110" s="34">
        <f t="shared" si="8"/>
        <v>576</v>
      </c>
      <c r="N110" s="111">
        <v>43281</v>
      </c>
      <c r="O110" s="34">
        <f t="shared" si="9"/>
        <v>396</v>
      </c>
      <c r="P110" s="381">
        <f t="shared" si="10"/>
        <v>0.3125</v>
      </c>
    </row>
    <row r="111" spans="1:16" ht="18.75" customHeight="1">
      <c r="A111" s="372">
        <f t="shared" si="11"/>
        <v>87</v>
      </c>
      <c r="B111" s="385" t="s">
        <v>2962</v>
      </c>
      <c r="C111" s="382" t="s">
        <v>2963</v>
      </c>
      <c r="D111" s="110">
        <v>42370</v>
      </c>
      <c r="E111" s="111">
        <v>44561</v>
      </c>
      <c r="F111" s="114">
        <f t="shared" si="6"/>
        <v>0.4157918758557736</v>
      </c>
      <c r="G111" s="382">
        <v>69500</v>
      </c>
      <c r="H111" s="382">
        <v>611200</v>
      </c>
      <c r="I111" s="386">
        <v>341200</v>
      </c>
      <c r="J111" s="380">
        <f t="shared" si="7"/>
        <v>0.55824607329842935</v>
      </c>
      <c r="M111" s="34">
        <f t="shared" si="8"/>
        <v>2191</v>
      </c>
      <c r="N111" s="111">
        <v>43281</v>
      </c>
      <c r="O111" s="34">
        <f t="shared" si="9"/>
        <v>1280</v>
      </c>
      <c r="P111" s="381">
        <f t="shared" si="10"/>
        <v>0.4157918758557736</v>
      </c>
    </row>
    <row r="112" spans="1:16" ht="18.75" customHeight="1">
      <c r="A112" s="372">
        <f t="shared" si="11"/>
        <v>88</v>
      </c>
      <c r="B112" s="385" t="s">
        <v>3111</v>
      </c>
      <c r="C112" s="382" t="s">
        <v>3112</v>
      </c>
      <c r="D112" s="110">
        <v>42205</v>
      </c>
      <c r="E112" s="111">
        <v>43465</v>
      </c>
      <c r="F112" s="114">
        <f t="shared" si="6"/>
        <v>0.85396825396825393</v>
      </c>
      <c r="G112" s="382">
        <v>104000</v>
      </c>
      <c r="H112" s="382">
        <v>104000</v>
      </c>
      <c r="I112" s="386">
        <v>52000</v>
      </c>
      <c r="J112" s="380">
        <f t="shared" si="7"/>
        <v>0.5</v>
      </c>
      <c r="M112" s="34">
        <f t="shared" si="8"/>
        <v>1260</v>
      </c>
      <c r="N112" s="111">
        <v>43281</v>
      </c>
      <c r="O112" s="34">
        <f t="shared" si="9"/>
        <v>184</v>
      </c>
      <c r="P112" s="381">
        <f t="shared" si="10"/>
        <v>0.85396825396825393</v>
      </c>
    </row>
    <row r="113" spans="1:16" s="387" customFormat="1" ht="20.100000000000001" customHeight="1">
      <c r="A113" s="706" t="str">
        <f>$A$1</f>
        <v>KENTUCKY UTILITIES COMPANY</v>
      </c>
      <c r="B113" s="706"/>
      <c r="C113" s="706"/>
      <c r="D113" s="706"/>
      <c r="E113" s="706"/>
      <c r="F113" s="706"/>
      <c r="G113" s="706"/>
      <c r="H113" s="706"/>
      <c r="I113" s="706"/>
      <c r="J113" s="706"/>
    </row>
    <row r="114" spans="1:16" s="387" customFormat="1" ht="20.100000000000001" customHeight="1">
      <c r="A114" s="706" t="str">
        <f>$A$2</f>
        <v>CASE NO. 2016-00370</v>
      </c>
      <c r="B114" s="706"/>
      <c r="C114" s="706"/>
      <c r="D114" s="706"/>
      <c r="E114" s="706"/>
      <c r="F114" s="706"/>
      <c r="G114" s="706"/>
      <c r="H114" s="706"/>
      <c r="I114" s="706"/>
      <c r="J114" s="706"/>
    </row>
    <row r="115" spans="1:16" s="387" customFormat="1" ht="20.100000000000001" customHeight="1">
      <c r="A115" s="706" t="s">
        <v>1225</v>
      </c>
      <c r="B115" s="706"/>
      <c r="C115" s="706"/>
      <c r="D115" s="706"/>
      <c r="E115" s="706"/>
      <c r="F115" s="706"/>
      <c r="G115" s="706"/>
      <c r="H115" s="706"/>
      <c r="I115" s="706"/>
      <c r="J115" s="706"/>
    </row>
    <row r="116" spans="1:16" s="387" customFormat="1" ht="20.100000000000001" customHeight="1">
      <c r="A116" s="706" t="str">
        <f>$A$4</f>
        <v>AS OF JUNE 30, 2018</v>
      </c>
      <c r="B116" s="706"/>
      <c r="C116" s="706"/>
      <c r="D116" s="706"/>
      <c r="E116" s="706"/>
      <c r="F116" s="706"/>
      <c r="G116" s="706"/>
      <c r="H116" s="706"/>
      <c r="I116" s="706"/>
      <c r="J116" s="706"/>
    </row>
    <row r="117" spans="1:16" s="387" customFormat="1" ht="20.100000000000001" customHeight="1">
      <c r="A117" s="370"/>
      <c r="B117" s="370"/>
      <c r="C117" s="370"/>
      <c r="D117" s="370"/>
      <c r="E117" s="370"/>
      <c r="F117" s="370"/>
      <c r="G117" s="370"/>
      <c r="H117" s="370"/>
      <c r="I117" s="370"/>
      <c r="J117" s="370"/>
    </row>
    <row r="118" spans="1:16" s="387" customFormat="1" ht="20.100000000000001" customHeight="1">
      <c r="A118" s="27" t="str">
        <f>$A$6</f>
        <v>DATA:____BASE  PERIOD__X__FORECASTED  PERIOD</v>
      </c>
      <c r="B118" s="371"/>
      <c r="C118" s="28"/>
      <c r="D118" s="109"/>
      <c r="E118" s="109"/>
      <c r="F118" s="28"/>
      <c r="G118" s="34"/>
      <c r="H118" s="34"/>
      <c r="I118" s="34"/>
      <c r="J118" s="34" t="s">
        <v>1767</v>
      </c>
    </row>
    <row r="119" spans="1:16" s="387" customFormat="1" ht="20.100000000000001" customHeight="1">
      <c r="A119" s="27" t="str">
        <f>$A$7</f>
        <v>TYPE OF FILING: __X__ ORIGINAL  _____ UPDATED  _____ REVISED</v>
      </c>
      <c r="B119" s="372"/>
      <c r="C119" s="28"/>
      <c r="D119" s="109"/>
      <c r="E119" s="109"/>
      <c r="F119" s="28"/>
      <c r="G119" s="34"/>
      <c r="H119" s="34"/>
      <c r="I119" s="34"/>
      <c r="J119" s="34" t="s">
        <v>3258</v>
      </c>
    </row>
    <row r="120" spans="1:16" s="387" customFormat="1" ht="20.100000000000001" customHeight="1">
      <c r="A120" s="27" t="str">
        <f>$A$8</f>
        <v>WORKPAPER REFERENCE NO(S).:</v>
      </c>
      <c r="B120" s="371"/>
      <c r="C120" s="28"/>
      <c r="D120" s="109"/>
      <c r="E120" s="109"/>
      <c r="F120" s="27"/>
      <c r="G120" s="35"/>
      <c r="H120" s="35"/>
      <c r="I120" s="35"/>
      <c r="J120" s="35" t="str">
        <f>$J$8</f>
        <v>WITNESS:   C. M. GARRETT</v>
      </c>
    </row>
    <row r="121" spans="1:16" s="387" customFormat="1" ht="20.100000000000001" customHeight="1">
      <c r="A121" s="28"/>
      <c r="B121" s="372"/>
      <c r="C121" s="28"/>
      <c r="D121" s="109"/>
      <c r="E121" s="109"/>
      <c r="F121" s="28"/>
      <c r="G121" s="28"/>
      <c r="H121" s="28"/>
      <c r="I121" s="28"/>
      <c r="J121" s="28"/>
    </row>
    <row r="122" spans="1:16" ht="66.95" customHeight="1">
      <c r="A122" s="36" t="s">
        <v>134</v>
      </c>
      <c r="B122" s="36" t="s">
        <v>1228</v>
      </c>
      <c r="C122" s="36" t="s">
        <v>1229</v>
      </c>
      <c r="D122" s="107" t="s">
        <v>1231</v>
      </c>
      <c r="E122" s="107" t="s">
        <v>1232</v>
      </c>
      <c r="F122" s="36" t="s">
        <v>1233</v>
      </c>
      <c r="G122" s="36" t="s">
        <v>1234</v>
      </c>
      <c r="H122" s="36" t="s">
        <v>1235</v>
      </c>
      <c r="I122" s="36" t="s">
        <v>1236</v>
      </c>
      <c r="J122" s="36" t="s">
        <v>1237</v>
      </c>
      <c r="M122" s="115" t="s">
        <v>1245</v>
      </c>
      <c r="N122" s="115" t="s">
        <v>1246</v>
      </c>
      <c r="O122" s="115" t="s">
        <v>1247</v>
      </c>
      <c r="P122" s="115" t="s">
        <v>1233</v>
      </c>
    </row>
    <row r="123" spans="1:16" s="387" customFormat="1" ht="23.1" customHeight="1">
      <c r="A123" s="40" t="s">
        <v>1226</v>
      </c>
      <c r="B123" s="40" t="s">
        <v>1227</v>
      </c>
      <c r="C123" s="40" t="s">
        <v>1230</v>
      </c>
      <c r="D123" s="383" t="s">
        <v>1238</v>
      </c>
      <c r="E123" s="383" t="s">
        <v>1239</v>
      </c>
      <c r="F123" s="384" t="s">
        <v>1240</v>
      </c>
      <c r="G123" s="384" t="s">
        <v>1241</v>
      </c>
      <c r="H123" s="384" t="s">
        <v>1242</v>
      </c>
      <c r="I123" s="384" t="s">
        <v>1243</v>
      </c>
      <c r="J123" s="384" t="s">
        <v>1244</v>
      </c>
    </row>
    <row r="124" spans="1:16" s="387" customFormat="1" ht="18.95" customHeight="1">
      <c r="A124" s="33"/>
      <c r="B124" s="33"/>
      <c r="C124" s="33"/>
      <c r="D124" s="388"/>
      <c r="E124" s="388"/>
      <c r="F124" s="389"/>
      <c r="G124" s="389"/>
      <c r="H124" s="389"/>
      <c r="I124" s="389"/>
      <c r="J124" s="389"/>
    </row>
    <row r="125" spans="1:16" ht="18.75" customHeight="1">
      <c r="A125" s="372">
        <f>A112+1</f>
        <v>89</v>
      </c>
      <c r="B125" s="385" t="s">
        <v>3095</v>
      </c>
      <c r="C125" s="382" t="s">
        <v>3096</v>
      </c>
      <c r="D125" s="110">
        <v>42205</v>
      </c>
      <c r="E125" s="111">
        <v>43465</v>
      </c>
      <c r="F125" s="114">
        <f t="shared" si="6"/>
        <v>0.85396825396825393</v>
      </c>
      <c r="G125" s="382">
        <v>122000</v>
      </c>
      <c r="H125" s="382">
        <v>122000</v>
      </c>
      <c r="I125" s="386">
        <v>60999.979999999996</v>
      </c>
      <c r="J125" s="380">
        <f t="shared" si="7"/>
        <v>0.49999983606557374</v>
      </c>
      <c r="M125" s="34">
        <f t="shared" si="8"/>
        <v>1260</v>
      </c>
      <c r="N125" s="111">
        <v>43281</v>
      </c>
      <c r="O125" s="34">
        <f t="shared" si="9"/>
        <v>184</v>
      </c>
      <c r="P125" s="381">
        <f t="shared" si="10"/>
        <v>0.85396825396825393</v>
      </c>
    </row>
    <row r="126" spans="1:16" ht="18.75" customHeight="1">
      <c r="A126" s="372">
        <f t="shared" si="11"/>
        <v>90</v>
      </c>
      <c r="B126" s="385" t="s">
        <v>3008</v>
      </c>
      <c r="C126" s="382" t="s">
        <v>3009</v>
      </c>
      <c r="D126" s="110">
        <v>42205</v>
      </c>
      <c r="E126" s="111">
        <v>43465</v>
      </c>
      <c r="F126" s="114">
        <f t="shared" si="6"/>
        <v>0.85396825396825393</v>
      </c>
      <c r="G126" s="382">
        <v>312000</v>
      </c>
      <c r="H126" s="382">
        <v>312000</v>
      </c>
      <c r="I126" s="386">
        <v>162000</v>
      </c>
      <c r="J126" s="380">
        <f t="shared" si="7"/>
        <v>0.51923076923076927</v>
      </c>
      <c r="M126" s="34">
        <f t="shared" si="8"/>
        <v>1260</v>
      </c>
      <c r="N126" s="111">
        <v>43281</v>
      </c>
      <c r="O126" s="34">
        <f t="shared" si="9"/>
        <v>184</v>
      </c>
      <c r="P126" s="381">
        <f t="shared" si="10"/>
        <v>0.85396825396825393</v>
      </c>
    </row>
    <row r="127" spans="1:16" ht="18.75" customHeight="1">
      <c r="A127" s="372">
        <f t="shared" si="11"/>
        <v>91</v>
      </c>
      <c r="B127" s="385" t="s">
        <v>3200</v>
      </c>
      <c r="C127" s="382" t="s">
        <v>3201</v>
      </c>
      <c r="D127" s="110">
        <v>42205</v>
      </c>
      <c r="E127" s="111">
        <v>43465</v>
      </c>
      <c r="F127" s="114">
        <f t="shared" si="6"/>
        <v>0.85396825396825393</v>
      </c>
      <c r="G127" s="382">
        <v>47000</v>
      </c>
      <c r="H127" s="382">
        <v>47000</v>
      </c>
      <c r="I127" s="386">
        <v>20000</v>
      </c>
      <c r="J127" s="380">
        <f t="shared" si="7"/>
        <v>0.42553191489361702</v>
      </c>
      <c r="M127" s="34">
        <f t="shared" si="8"/>
        <v>1260</v>
      </c>
      <c r="N127" s="111">
        <v>43281</v>
      </c>
      <c r="O127" s="34">
        <f t="shared" si="9"/>
        <v>184</v>
      </c>
      <c r="P127" s="381">
        <f t="shared" si="10"/>
        <v>0.85396825396825393</v>
      </c>
    </row>
    <row r="128" spans="1:16" ht="18.75" customHeight="1">
      <c r="A128" s="372">
        <f t="shared" si="11"/>
        <v>92</v>
      </c>
      <c r="B128" s="385" t="s">
        <v>2954</v>
      </c>
      <c r="C128" s="382" t="s">
        <v>2955</v>
      </c>
      <c r="D128" s="110">
        <v>42205</v>
      </c>
      <c r="E128" s="111">
        <v>43465</v>
      </c>
      <c r="F128" s="114">
        <f t="shared" si="6"/>
        <v>0.85396825396825393</v>
      </c>
      <c r="G128" s="382">
        <v>800000</v>
      </c>
      <c r="H128" s="382">
        <v>800000</v>
      </c>
      <c r="I128" s="386">
        <v>400000</v>
      </c>
      <c r="J128" s="380">
        <f t="shared" si="7"/>
        <v>0.5</v>
      </c>
      <c r="M128" s="34">
        <f t="shared" si="8"/>
        <v>1260</v>
      </c>
      <c r="N128" s="111">
        <v>43281</v>
      </c>
      <c r="O128" s="34">
        <f t="shared" si="9"/>
        <v>184</v>
      </c>
      <c r="P128" s="381">
        <f t="shared" si="10"/>
        <v>0.85396825396825393</v>
      </c>
    </row>
    <row r="129" spans="1:16" ht="18.75" customHeight="1">
      <c r="A129" s="372">
        <f t="shared" si="11"/>
        <v>93</v>
      </c>
      <c r="B129" s="385" t="s">
        <v>3208</v>
      </c>
      <c r="C129" s="382" t="s">
        <v>3209</v>
      </c>
      <c r="D129" s="110">
        <v>42522</v>
      </c>
      <c r="E129" s="111">
        <v>43465</v>
      </c>
      <c r="F129" s="114">
        <f t="shared" si="6"/>
        <v>0.80487804878048785</v>
      </c>
      <c r="G129" s="382">
        <v>55257.32</v>
      </c>
      <c r="H129" s="382">
        <v>37440</v>
      </c>
      <c r="I129" s="386">
        <v>18720</v>
      </c>
      <c r="J129" s="380">
        <f t="shared" si="7"/>
        <v>0.5</v>
      </c>
      <c r="M129" s="34">
        <f t="shared" si="8"/>
        <v>943</v>
      </c>
      <c r="N129" s="111">
        <v>43281</v>
      </c>
      <c r="O129" s="34">
        <f t="shared" si="9"/>
        <v>184</v>
      </c>
      <c r="P129" s="381">
        <f t="shared" si="10"/>
        <v>0.80487804878048785</v>
      </c>
    </row>
    <row r="130" spans="1:16" ht="18.75" customHeight="1">
      <c r="A130" s="372">
        <f t="shared" si="11"/>
        <v>94</v>
      </c>
      <c r="B130" s="385" t="s">
        <v>2685</v>
      </c>
      <c r="C130" s="382" t="s">
        <v>2686</v>
      </c>
      <c r="D130" s="110">
        <v>42314</v>
      </c>
      <c r="E130" s="111">
        <v>43646</v>
      </c>
      <c r="F130" s="114">
        <f t="shared" si="6"/>
        <v>0.72597597597597596</v>
      </c>
      <c r="G130" s="382">
        <v>690386.30999999994</v>
      </c>
      <c r="H130" s="382">
        <v>690386.30999999994</v>
      </c>
      <c r="I130" s="386">
        <v>654956.31000000006</v>
      </c>
      <c r="J130" s="380">
        <f t="shared" si="7"/>
        <v>0.9486809059119381</v>
      </c>
      <c r="M130" s="34">
        <f t="shared" si="8"/>
        <v>1332</v>
      </c>
      <c r="N130" s="111">
        <v>43281</v>
      </c>
      <c r="O130" s="34">
        <f t="shared" si="9"/>
        <v>365</v>
      </c>
      <c r="P130" s="381">
        <f t="shared" si="10"/>
        <v>0.72597597597597596</v>
      </c>
    </row>
    <row r="131" spans="1:16" ht="18.75" customHeight="1">
      <c r="A131" s="372">
        <f t="shared" si="11"/>
        <v>95</v>
      </c>
      <c r="B131" s="385" t="s">
        <v>3254</v>
      </c>
      <c r="C131" s="382" t="s">
        <v>3255</v>
      </c>
      <c r="D131" s="110">
        <v>42314</v>
      </c>
      <c r="E131" s="111">
        <v>43646</v>
      </c>
      <c r="F131" s="114">
        <f t="shared" si="6"/>
        <v>0.72597597597597596</v>
      </c>
      <c r="G131" s="382">
        <v>-28078.380000000005</v>
      </c>
      <c r="H131" s="382">
        <v>-28078.380000000005</v>
      </c>
      <c r="I131" s="386">
        <v>-25437.150000000005</v>
      </c>
      <c r="J131" s="380">
        <f t="shared" si="7"/>
        <v>0.90593367566077532</v>
      </c>
      <c r="M131" s="34">
        <f t="shared" si="8"/>
        <v>1332</v>
      </c>
      <c r="N131" s="111">
        <v>43281</v>
      </c>
      <c r="O131" s="34">
        <f t="shared" si="9"/>
        <v>365</v>
      </c>
      <c r="P131" s="381">
        <f t="shared" si="10"/>
        <v>0.72597597597597596</v>
      </c>
    </row>
    <row r="132" spans="1:16" ht="18.75" customHeight="1">
      <c r="A132" s="372">
        <f t="shared" si="11"/>
        <v>96</v>
      </c>
      <c r="B132" s="385" t="s">
        <v>3121</v>
      </c>
      <c r="C132" s="382" t="s">
        <v>3122</v>
      </c>
      <c r="D132" s="110">
        <v>43221</v>
      </c>
      <c r="E132" s="111">
        <v>43616</v>
      </c>
      <c r="F132" s="114">
        <f t="shared" si="6"/>
        <v>0.15189873417721519</v>
      </c>
      <c r="G132" s="382">
        <v>1472016.02</v>
      </c>
      <c r="H132" s="382">
        <v>1472016.02</v>
      </c>
      <c r="I132" s="386">
        <v>49738.01</v>
      </c>
      <c r="J132" s="380">
        <f t="shared" si="7"/>
        <v>3.3789041236113725E-2</v>
      </c>
      <c r="M132" s="34">
        <f t="shared" si="8"/>
        <v>395</v>
      </c>
      <c r="N132" s="111">
        <v>43281</v>
      </c>
      <c r="O132" s="34">
        <f t="shared" si="9"/>
        <v>335</v>
      </c>
      <c r="P132" s="381">
        <f t="shared" si="10"/>
        <v>0.15189873417721519</v>
      </c>
    </row>
    <row r="133" spans="1:16" ht="18.75" customHeight="1">
      <c r="A133" s="372">
        <f t="shared" si="11"/>
        <v>97</v>
      </c>
      <c r="B133" s="385" t="s">
        <v>2960</v>
      </c>
      <c r="C133" s="382" t="s">
        <v>2961</v>
      </c>
      <c r="D133" s="110">
        <v>42736</v>
      </c>
      <c r="E133" s="111">
        <v>46022</v>
      </c>
      <c r="F133" s="114">
        <f t="shared" si="6"/>
        <v>0.16585514303104079</v>
      </c>
      <c r="G133" s="382">
        <v>1440000</v>
      </c>
      <c r="H133" s="382">
        <v>1440000</v>
      </c>
      <c r="I133" s="386">
        <v>360000</v>
      </c>
      <c r="J133" s="380">
        <f t="shared" si="7"/>
        <v>0.25</v>
      </c>
      <c r="M133" s="34">
        <f t="shared" si="8"/>
        <v>3286</v>
      </c>
      <c r="N133" s="111">
        <v>43281</v>
      </c>
      <c r="O133" s="34">
        <f t="shared" si="9"/>
        <v>2741</v>
      </c>
      <c r="P133" s="381">
        <f t="shared" si="10"/>
        <v>0.16585514303104079</v>
      </c>
    </row>
    <row r="134" spans="1:16" ht="18.75" customHeight="1">
      <c r="A134" s="372">
        <f t="shared" si="11"/>
        <v>98</v>
      </c>
      <c r="B134" s="385" t="s">
        <v>3004</v>
      </c>
      <c r="C134" s="382" t="s">
        <v>3005</v>
      </c>
      <c r="D134" s="110">
        <v>43040</v>
      </c>
      <c r="E134" s="111">
        <v>43434</v>
      </c>
      <c r="F134" s="114">
        <f t="shared" si="6"/>
        <v>0.6116751269035533</v>
      </c>
      <c r="G134" s="382">
        <v>477542.01</v>
      </c>
      <c r="H134" s="382">
        <v>477542.01</v>
      </c>
      <c r="I134" s="386">
        <v>169078.01</v>
      </c>
      <c r="J134" s="380">
        <f t="shared" si="7"/>
        <v>0.35405892352800544</v>
      </c>
      <c r="M134" s="34">
        <f t="shared" si="8"/>
        <v>394</v>
      </c>
      <c r="N134" s="111">
        <v>43281</v>
      </c>
      <c r="O134" s="34">
        <f t="shared" si="9"/>
        <v>153</v>
      </c>
      <c r="P134" s="381">
        <f t="shared" si="10"/>
        <v>0.6116751269035533</v>
      </c>
    </row>
    <row r="135" spans="1:16" ht="18.75" customHeight="1">
      <c r="A135" s="372">
        <f t="shared" si="11"/>
        <v>99</v>
      </c>
      <c r="B135" s="385" t="s">
        <v>3170</v>
      </c>
      <c r="C135" s="382" t="s">
        <v>3171</v>
      </c>
      <c r="D135" s="110">
        <v>43160</v>
      </c>
      <c r="E135" s="111">
        <v>43434</v>
      </c>
      <c r="F135" s="114">
        <f t="shared" si="6"/>
        <v>0.44160583941605841</v>
      </c>
      <c r="G135" s="382">
        <v>338208</v>
      </c>
      <c r="H135" s="382">
        <v>338208</v>
      </c>
      <c r="I135" s="386">
        <v>29848</v>
      </c>
      <c r="J135" s="380">
        <f t="shared" si="7"/>
        <v>8.8253382533825336E-2</v>
      </c>
      <c r="M135" s="34">
        <f t="shared" si="8"/>
        <v>274</v>
      </c>
      <c r="N135" s="111">
        <v>43281</v>
      </c>
      <c r="O135" s="34">
        <f t="shared" si="9"/>
        <v>153</v>
      </c>
      <c r="P135" s="381">
        <f t="shared" si="10"/>
        <v>0.44160583941605841</v>
      </c>
    </row>
    <row r="136" spans="1:16" ht="18.75" customHeight="1">
      <c r="A136" s="372">
        <f t="shared" si="11"/>
        <v>100</v>
      </c>
      <c r="B136" s="385" t="s">
        <v>2978</v>
      </c>
      <c r="C136" s="382" t="s">
        <v>2979</v>
      </c>
      <c r="D136" s="110">
        <v>43252</v>
      </c>
      <c r="E136" s="111">
        <v>43404</v>
      </c>
      <c r="F136" s="114">
        <f t="shared" si="6"/>
        <v>0.19078947368421054</v>
      </c>
      <c r="G136" s="382">
        <v>298480</v>
      </c>
      <c r="H136" s="382">
        <v>298480</v>
      </c>
      <c r="I136" s="386">
        <v>248768</v>
      </c>
      <c r="J136" s="380">
        <f t="shared" si="7"/>
        <v>0.83344947735191632</v>
      </c>
      <c r="M136" s="34">
        <f t="shared" si="8"/>
        <v>152</v>
      </c>
      <c r="N136" s="111">
        <v>43281</v>
      </c>
      <c r="O136" s="34">
        <f t="shared" si="9"/>
        <v>123</v>
      </c>
      <c r="P136" s="381">
        <f t="shared" si="10"/>
        <v>0.19078947368421054</v>
      </c>
    </row>
    <row r="137" spans="1:16" ht="18.75" customHeight="1">
      <c r="A137" s="372">
        <f t="shared" si="11"/>
        <v>101</v>
      </c>
      <c r="B137" s="385" t="s">
        <v>3361</v>
      </c>
      <c r="C137" s="382" t="s">
        <v>3362</v>
      </c>
      <c r="D137" s="110">
        <v>43101</v>
      </c>
      <c r="E137" s="111">
        <v>43830</v>
      </c>
      <c r="F137" s="114">
        <f t="shared" si="6"/>
        <v>0.24691358024691357</v>
      </c>
      <c r="G137" s="382">
        <v>3959725.31</v>
      </c>
      <c r="H137" s="382">
        <v>3959725.31</v>
      </c>
      <c r="I137" s="386">
        <v>17762.099999999999</v>
      </c>
      <c r="J137" s="380">
        <f t="shared" si="7"/>
        <v>4.4856899429723315E-3</v>
      </c>
      <c r="M137" s="34">
        <f t="shared" si="8"/>
        <v>729</v>
      </c>
      <c r="N137" s="111">
        <v>43281</v>
      </c>
      <c r="O137" s="34">
        <f t="shared" si="9"/>
        <v>549</v>
      </c>
      <c r="P137" s="381">
        <f t="shared" si="10"/>
        <v>0.24691358024691357</v>
      </c>
    </row>
    <row r="138" spans="1:16" ht="18.75" customHeight="1">
      <c r="A138" s="372">
        <f t="shared" si="11"/>
        <v>102</v>
      </c>
      <c r="B138" s="385" t="s">
        <v>2984</v>
      </c>
      <c r="C138" s="382" t="s">
        <v>2985</v>
      </c>
      <c r="D138" s="110">
        <v>43101</v>
      </c>
      <c r="E138" s="111">
        <v>43465</v>
      </c>
      <c r="F138" s="114">
        <f t="shared" si="6"/>
        <v>0.49450549450549453</v>
      </c>
      <c r="G138" s="382">
        <v>246563</v>
      </c>
      <c r="H138" s="382">
        <v>246563</v>
      </c>
      <c r="I138" s="386">
        <v>213690.23999999999</v>
      </c>
      <c r="J138" s="380">
        <f t="shared" si="7"/>
        <v>0.86667602194976534</v>
      </c>
      <c r="M138" s="34">
        <f t="shared" si="8"/>
        <v>364</v>
      </c>
      <c r="N138" s="111">
        <v>43281</v>
      </c>
      <c r="O138" s="34">
        <f t="shared" si="9"/>
        <v>184</v>
      </c>
      <c r="P138" s="381">
        <f t="shared" si="10"/>
        <v>0.49450549450549453</v>
      </c>
    </row>
    <row r="139" spans="1:16" ht="18.75" customHeight="1">
      <c r="A139" s="372">
        <f t="shared" si="11"/>
        <v>103</v>
      </c>
      <c r="B139" s="385" t="s">
        <v>2666</v>
      </c>
      <c r="C139" s="382" t="s">
        <v>2667</v>
      </c>
      <c r="D139" s="110">
        <v>42736</v>
      </c>
      <c r="E139" s="111">
        <v>46387</v>
      </c>
      <c r="F139" s="114">
        <f t="shared" si="6"/>
        <v>0.14927417145987401</v>
      </c>
      <c r="G139" s="382">
        <v>20360999.980000004</v>
      </c>
      <c r="H139" s="382">
        <v>20360999.980000004</v>
      </c>
      <c r="I139" s="386">
        <v>5437476.370000001</v>
      </c>
      <c r="J139" s="380">
        <f t="shared" si="7"/>
        <v>0.26705350303723147</v>
      </c>
      <c r="M139" s="34">
        <f t="shared" si="8"/>
        <v>3651</v>
      </c>
      <c r="N139" s="111">
        <v>43281</v>
      </c>
      <c r="O139" s="34">
        <f t="shared" si="9"/>
        <v>3106</v>
      </c>
      <c r="P139" s="381">
        <f t="shared" si="10"/>
        <v>0.14927417145987401</v>
      </c>
    </row>
    <row r="140" spans="1:16" ht="18.75" customHeight="1">
      <c r="A140" s="372">
        <f t="shared" si="11"/>
        <v>104</v>
      </c>
      <c r="B140" s="385" t="s">
        <v>2769</v>
      </c>
      <c r="C140" s="382" t="s">
        <v>2770</v>
      </c>
      <c r="D140" s="110">
        <v>42736</v>
      </c>
      <c r="E140" s="111">
        <v>46387</v>
      </c>
      <c r="F140" s="114">
        <f t="shared" si="6"/>
        <v>0.14927417145987401</v>
      </c>
      <c r="G140" s="382">
        <v>1463879.97</v>
      </c>
      <c r="H140" s="382">
        <v>1463879.97</v>
      </c>
      <c r="I140" s="386">
        <v>395999.99</v>
      </c>
      <c r="J140" s="380">
        <f t="shared" si="7"/>
        <v>0.27051397526806792</v>
      </c>
      <c r="M140" s="34">
        <f t="shared" si="8"/>
        <v>3651</v>
      </c>
      <c r="N140" s="111">
        <v>43281</v>
      </c>
      <c r="O140" s="34">
        <f t="shared" si="9"/>
        <v>3106</v>
      </c>
      <c r="P140" s="381">
        <f t="shared" si="10"/>
        <v>0.14927417145987401</v>
      </c>
    </row>
    <row r="141" spans="1:16" ht="18.75" customHeight="1">
      <c r="A141" s="372">
        <f t="shared" si="11"/>
        <v>105</v>
      </c>
      <c r="B141" s="385" t="s">
        <v>2693</v>
      </c>
      <c r="C141" s="382" t="s">
        <v>2694</v>
      </c>
      <c r="D141" s="110">
        <v>42736</v>
      </c>
      <c r="E141" s="111">
        <v>44561</v>
      </c>
      <c r="F141" s="114">
        <f t="shared" si="6"/>
        <v>0.29863013698630136</v>
      </c>
      <c r="G141" s="382">
        <v>5435760.0199999996</v>
      </c>
      <c r="H141" s="382">
        <v>5435760.0199999996</v>
      </c>
      <c r="I141" s="386">
        <v>1584000.0299999998</v>
      </c>
      <c r="J141" s="380">
        <f t="shared" si="7"/>
        <v>0.29140359842449409</v>
      </c>
      <c r="M141" s="34">
        <f t="shared" si="8"/>
        <v>1825</v>
      </c>
      <c r="N141" s="111">
        <v>43281</v>
      </c>
      <c r="O141" s="34">
        <f t="shared" si="9"/>
        <v>1280</v>
      </c>
      <c r="P141" s="381">
        <f t="shared" si="10"/>
        <v>0.29863013698630136</v>
      </c>
    </row>
    <row r="142" spans="1:16" ht="18.75" customHeight="1">
      <c r="A142" s="372">
        <f t="shared" si="11"/>
        <v>106</v>
      </c>
      <c r="B142" s="385" t="s">
        <v>2737</v>
      </c>
      <c r="C142" s="382" t="s">
        <v>2738</v>
      </c>
      <c r="D142" s="110">
        <v>42736</v>
      </c>
      <c r="E142" s="111">
        <v>46387</v>
      </c>
      <c r="F142" s="114">
        <f t="shared" si="6"/>
        <v>0.14927417145987401</v>
      </c>
      <c r="G142" s="382">
        <v>8629000.0099999998</v>
      </c>
      <c r="H142" s="382">
        <v>8629000.0099999998</v>
      </c>
      <c r="I142" s="386">
        <v>1574224.98</v>
      </c>
      <c r="J142" s="380">
        <f t="shared" si="7"/>
        <v>0.1824342308698178</v>
      </c>
      <c r="M142" s="34">
        <f t="shared" si="8"/>
        <v>3651</v>
      </c>
      <c r="N142" s="111">
        <v>43281</v>
      </c>
      <c r="O142" s="34">
        <f t="shared" si="9"/>
        <v>3106</v>
      </c>
      <c r="P142" s="381">
        <f t="shared" si="10"/>
        <v>0.14927417145987401</v>
      </c>
    </row>
    <row r="143" spans="1:16" ht="18.75" customHeight="1">
      <c r="A143" s="372">
        <f t="shared" si="11"/>
        <v>107</v>
      </c>
      <c r="B143" s="385" t="s">
        <v>2930</v>
      </c>
      <c r="C143" s="382" t="s">
        <v>2931</v>
      </c>
      <c r="D143" s="110">
        <v>42736</v>
      </c>
      <c r="E143" s="111">
        <v>46387</v>
      </c>
      <c r="F143" s="114">
        <f t="shared" si="6"/>
        <v>0.14927417145987401</v>
      </c>
      <c r="G143" s="382">
        <v>2037000.01</v>
      </c>
      <c r="H143" s="382">
        <v>2037000.01</v>
      </c>
      <c r="I143" s="386">
        <v>746670.41</v>
      </c>
      <c r="J143" s="380">
        <f t="shared" si="7"/>
        <v>0.36655395499973514</v>
      </c>
      <c r="M143" s="34">
        <f t="shared" si="8"/>
        <v>3651</v>
      </c>
      <c r="N143" s="111">
        <v>43281</v>
      </c>
      <c r="O143" s="34">
        <f t="shared" si="9"/>
        <v>3106</v>
      </c>
      <c r="P143" s="381">
        <f t="shared" si="10"/>
        <v>0.14927417145987401</v>
      </c>
    </row>
    <row r="144" spans="1:16" ht="18.75" customHeight="1">
      <c r="A144" s="372">
        <f t="shared" si="11"/>
        <v>108</v>
      </c>
      <c r="B144" s="385" t="s">
        <v>3028</v>
      </c>
      <c r="C144" s="382" t="s">
        <v>3029</v>
      </c>
      <c r="D144" s="110">
        <v>42736</v>
      </c>
      <c r="E144" s="111">
        <v>46387</v>
      </c>
      <c r="F144" s="114">
        <f t="shared" si="6"/>
        <v>0.14927417145987401</v>
      </c>
      <c r="G144" s="382">
        <v>444300.02</v>
      </c>
      <c r="H144" s="382">
        <v>444300.02</v>
      </c>
      <c r="I144" s="386">
        <v>118200.44</v>
      </c>
      <c r="J144" s="380">
        <f t="shared" si="7"/>
        <v>0.26603744019637898</v>
      </c>
      <c r="M144" s="34">
        <f t="shared" si="8"/>
        <v>3651</v>
      </c>
      <c r="N144" s="111">
        <v>43281</v>
      </c>
      <c r="O144" s="34">
        <f t="shared" si="9"/>
        <v>3106</v>
      </c>
      <c r="P144" s="381">
        <f t="shared" si="10"/>
        <v>0.14927417145987401</v>
      </c>
    </row>
    <row r="145" spans="1:16" ht="18.75" customHeight="1">
      <c r="A145" s="372">
        <f t="shared" si="11"/>
        <v>109</v>
      </c>
      <c r="B145" s="385" t="s">
        <v>3212</v>
      </c>
      <c r="C145" s="382" t="s">
        <v>3213</v>
      </c>
      <c r="D145" s="110">
        <v>43101</v>
      </c>
      <c r="E145" s="111">
        <v>43830</v>
      </c>
      <c r="F145" s="114">
        <f t="shared" si="6"/>
        <v>0.24691358024691357</v>
      </c>
      <c r="G145" s="382">
        <v>1708181.81</v>
      </c>
      <c r="H145" s="382">
        <v>1708181.81</v>
      </c>
      <c r="I145" s="386">
        <v>16857.310000000001</v>
      </c>
      <c r="J145" s="380">
        <f t="shared" si="7"/>
        <v>9.8685689669063981E-3</v>
      </c>
      <c r="M145" s="34">
        <f t="shared" si="8"/>
        <v>729</v>
      </c>
      <c r="N145" s="111">
        <v>43281</v>
      </c>
      <c r="O145" s="34">
        <f t="shared" si="9"/>
        <v>549</v>
      </c>
      <c r="P145" s="381">
        <f t="shared" si="10"/>
        <v>0.24691358024691357</v>
      </c>
    </row>
    <row r="146" spans="1:16" ht="18.75" customHeight="1">
      <c r="A146" s="372">
        <f t="shared" si="11"/>
        <v>110</v>
      </c>
      <c r="B146" s="385" t="s">
        <v>2717</v>
      </c>
      <c r="C146" s="382" t="s">
        <v>2718</v>
      </c>
      <c r="D146" s="110">
        <v>42614</v>
      </c>
      <c r="E146" s="111">
        <v>43465</v>
      </c>
      <c r="F146" s="114">
        <f t="shared" si="6"/>
        <v>0.78378378378378377</v>
      </c>
      <c r="G146" s="382">
        <v>1741592.9</v>
      </c>
      <c r="H146" s="382">
        <v>1741592.9</v>
      </c>
      <c r="I146" s="386">
        <v>1493230.22</v>
      </c>
      <c r="J146" s="380">
        <f t="shared" si="7"/>
        <v>0.85739337821140638</v>
      </c>
      <c r="M146" s="34">
        <f t="shared" si="8"/>
        <v>851</v>
      </c>
      <c r="N146" s="111">
        <v>43281</v>
      </c>
      <c r="O146" s="34">
        <f t="shared" si="9"/>
        <v>184</v>
      </c>
      <c r="P146" s="381">
        <f t="shared" si="10"/>
        <v>0.78378378378378377</v>
      </c>
    </row>
    <row r="147" spans="1:16" ht="18.75" customHeight="1">
      <c r="A147" s="372">
        <f t="shared" si="11"/>
        <v>111</v>
      </c>
      <c r="B147" s="385" t="s">
        <v>2950</v>
      </c>
      <c r="C147" s="382" t="s">
        <v>2951</v>
      </c>
      <c r="D147" s="110">
        <v>42736</v>
      </c>
      <c r="E147" s="111">
        <v>43465</v>
      </c>
      <c r="F147" s="114">
        <f t="shared" si="6"/>
        <v>0.74759945130315497</v>
      </c>
      <c r="G147" s="382">
        <v>1195976.98</v>
      </c>
      <c r="H147" s="382">
        <v>1195976.98</v>
      </c>
      <c r="I147" s="386">
        <v>478992.79000000004</v>
      </c>
      <c r="J147" s="380">
        <f t="shared" si="7"/>
        <v>0.40050335249763758</v>
      </c>
      <c r="M147" s="34">
        <f t="shared" si="8"/>
        <v>729</v>
      </c>
      <c r="N147" s="111">
        <v>43281</v>
      </c>
      <c r="O147" s="34">
        <f t="shared" si="9"/>
        <v>184</v>
      </c>
      <c r="P147" s="381">
        <f t="shared" si="10"/>
        <v>0.74759945130315497</v>
      </c>
    </row>
    <row r="148" spans="1:16" ht="18.75" customHeight="1">
      <c r="A148" s="372">
        <f t="shared" si="11"/>
        <v>112</v>
      </c>
      <c r="B148" s="385" t="s">
        <v>2924</v>
      </c>
      <c r="C148" s="382" t="s">
        <v>2925</v>
      </c>
      <c r="D148" s="110">
        <v>43101</v>
      </c>
      <c r="E148" s="111">
        <v>46387</v>
      </c>
      <c r="F148" s="114">
        <f t="shared" si="6"/>
        <v>5.4777845404747415E-2</v>
      </c>
      <c r="G148" s="382">
        <v>26969149.509999998</v>
      </c>
      <c r="H148" s="382">
        <v>26969149.509999998</v>
      </c>
      <c r="I148" s="386">
        <v>863734.7899999998</v>
      </c>
      <c r="J148" s="380">
        <f t="shared" si="7"/>
        <v>3.2026771540560897E-2</v>
      </c>
      <c r="M148" s="34">
        <f t="shared" si="8"/>
        <v>3286</v>
      </c>
      <c r="N148" s="111">
        <v>43281</v>
      </c>
      <c r="O148" s="34">
        <f t="shared" si="9"/>
        <v>3106</v>
      </c>
      <c r="P148" s="381">
        <f t="shared" si="10"/>
        <v>5.4777845404747415E-2</v>
      </c>
    </row>
    <row r="149" spans="1:16" ht="18.75" customHeight="1">
      <c r="A149" s="372">
        <f t="shared" si="11"/>
        <v>113</v>
      </c>
      <c r="B149" s="385" t="s">
        <v>3034</v>
      </c>
      <c r="C149" s="382" t="s">
        <v>3035</v>
      </c>
      <c r="D149" s="110">
        <v>42736</v>
      </c>
      <c r="E149" s="111">
        <v>43830</v>
      </c>
      <c r="F149" s="114">
        <f t="shared" si="6"/>
        <v>0.49817184643510054</v>
      </c>
      <c r="G149" s="382">
        <v>312614.67</v>
      </c>
      <c r="H149" s="382">
        <v>312614.67</v>
      </c>
      <c r="I149" s="386">
        <v>104204.89</v>
      </c>
      <c r="J149" s="380">
        <f t="shared" si="7"/>
        <v>0.33333333333333337</v>
      </c>
      <c r="M149" s="34">
        <f t="shared" si="8"/>
        <v>1094</v>
      </c>
      <c r="N149" s="111">
        <v>43281</v>
      </c>
      <c r="O149" s="34">
        <f t="shared" si="9"/>
        <v>549</v>
      </c>
      <c r="P149" s="381">
        <f t="shared" si="10"/>
        <v>0.49817184643510054</v>
      </c>
    </row>
    <row r="150" spans="1:16" ht="18.75" customHeight="1">
      <c r="A150" s="372">
        <f t="shared" si="11"/>
        <v>114</v>
      </c>
      <c r="B150" s="385" t="s">
        <v>3036</v>
      </c>
      <c r="C150" s="382" t="s">
        <v>3037</v>
      </c>
      <c r="D150" s="110">
        <v>42736</v>
      </c>
      <c r="E150" s="111">
        <v>43830</v>
      </c>
      <c r="F150" s="114">
        <f t="shared" si="6"/>
        <v>0.49817184643510054</v>
      </c>
      <c r="G150" s="382">
        <v>312614.67</v>
      </c>
      <c r="H150" s="382">
        <v>312614.67</v>
      </c>
      <c r="I150" s="386">
        <v>104204.89</v>
      </c>
      <c r="J150" s="380">
        <f t="shared" si="7"/>
        <v>0.33333333333333337</v>
      </c>
      <c r="M150" s="34">
        <f t="shared" si="8"/>
        <v>1094</v>
      </c>
      <c r="N150" s="111">
        <v>43281</v>
      </c>
      <c r="O150" s="34">
        <f t="shared" si="9"/>
        <v>549</v>
      </c>
      <c r="P150" s="381">
        <f t="shared" si="10"/>
        <v>0.49817184643510054</v>
      </c>
    </row>
    <row r="151" spans="1:16" ht="18.75" customHeight="1">
      <c r="A151" s="372">
        <f t="shared" si="11"/>
        <v>115</v>
      </c>
      <c r="B151" s="385" t="s">
        <v>3149</v>
      </c>
      <c r="C151" s="382" t="s">
        <v>3150</v>
      </c>
      <c r="D151" s="110">
        <v>43101</v>
      </c>
      <c r="E151" s="111">
        <v>44165</v>
      </c>
      <c r="F151" s="114">
        <f t="shared" si="6"/>
        <v>0.16917293233082706</v>
      </c>
      <c r="G151" s="382">
        <v>220176</v>
      </c>
      <c r="H151" s="382">
        <v>220176</v>
      </c>
      <c r="I151" s="386">
        <v>36696</v>
      </c>
      <c r="J151" s="380">
        <f t="shared" si="7"/>
        <v>0.16666666666666666</v>
      </c>
      <c r="M151" s="34">
        <f t="shared" si="8"/>
        <v>1064</v>
      </c>
      <c r="N151" s="111">
        <v>43281</v>
      </c>
      <c r="O151" s="34">
        <f t="shared" si="9"/>
        <v>884</v>
      </c>
      <c r="P151" s="381">
        <f t="shared" si="10"/>
        <v>0.16917293233082706</v>
      </c>
    </row>
    <row r="152" spans="1:16" ht="18.75" customHeight="1">
      <c r="A152" s="372">
        <f t="shared" si="11"/>
        <v>116</v>
      </c>
      <c r="B152" s="385" t="s">
        <v>2998</v>
      </c>
      <c r="C152" s="382" t="s">
        <v>2999</v>
      </c>
      <c r="D152" s="110">
        <v>43101</v>
      </c>
      <c r="E152" s="111">
        <v>43465</v>
      </c>
      <c r="F152" s="114">
        <f t="shared" si="6"/>
        <v>0.49450549450549453</v>
      </c>
      <c r="G152" s="382">
        <v>198717.01</v>
      </c>
      <c r="H152" s="382">
        <v>198717.01</v>
      </c>
      <c r="I152" s="386">
        <v>172223.28</v>
      </c>
      <c r="J152" s="380">
        <f t="shared" si="7"/>
        <v>0.86667608374340976</v>
      </c>
      <c r="M152" s="34">
        <f t="shared" si="8"/>
        <v>364</v>
      </c>
      <c r="N152" s="111">
        <v>43281</v>
      </c>
      <c r="O152" s="34">
        <f t="shared" si="9"/>
        <v>184</v>
      </c>
      <c r="P152" s="381">
        <f t="shared" si="10"/>
        <v>0.49450549450549453</v>
      </c>
    </row>
    <row r="153" spans="1:16" ht="18.75" customHeight="1">
      <c r="A153" s="372">
        <f t="shared" si="11"/>
        <v>117</v>
      </c>
      <c r="B153" s="385" t="s">
        <v>3000</v>
      </c>
      <c r="C153" s="382" t="s">
        <v>3001</v>
      </c>
      <c r="D153" s="110">
        <v>43101</v>
      </c>
      <c r="E153" s="111">
        <v>43465</v>
      </c>
      <c r="F153" s="114">
        <f t="shared" si="6"/>
        <v>0.49450549450549453</v>
      </c>
      <c r="G153" s="382">
        <v>198717.01</v>
      </c>
      <c r="H153" s="382">
        <v>198717.01</v>
      </c>
      <c r="I153" s="386">
        <v>172223.28</v>
      </c>
      <c r="J153" s="380">
        <f t="shared" si="7"/>
        <v>0.86667608374340976</v>
      </c>
      <c r="M153" s="34">
        <f t="shared" si="8"/>
        <v>364</v>
      </c>
      <c r="N153" s="111">
        <v>43281</v>
      </c>
      <c r="O153" s="34">
        <f t="shared" si="9"/>
        <v>184</v>
      </c>
      <c r="P153" s="381">
        <f t="shared" si="10"/>
        <v>0.49450549450549453</v>
      </c>
    </row>
    <row r="154" spans="1:16" ht="18.75" customHeight="1">
      <c r="A154" s="372">
        <f t="shared" si="11"/>
        <v>118</v>
      </c>
      <c r="B154" s="385" t="s">
        <v>3002</v>
      </c>
      <c r="C154" s="382" t="s">
        <v>3003</v>
      </c>
      <c r="D154" s="110">
        <v>43101</v>
      </c>
      <c r="E154" s="111">
        <v>43465</v>
      </c>
      <c r="F154" s="114">
        <f t="shared" si="6"/>
        <v>0.49450549450549453</v>
      </c>
      <c r="G154" s="382">
        <v>198717.01</v>
      </c>
      <c r="H154" s="382">
        <v>198717.01</v>
      </c>
      <c r="I154" s="386">
        <v>172223.28</v>
      </c>
      <c r="J154" s="380">
        <f t="shared" si="7"/>
        <v>0.86667608374340976</v>
      </c>
      <c r="M154" s="34">
        <f t="shared" si="8"/>
        <v>364</v>
      </c>
      <c r="N154" s="111">
        <v>43281</v>
      </c>
      <c r="O154" s="34">
        <f t="shared" si="9"/>
        <v>184</v>
      </c>
      <c r="P154" s="381">
        <f t="shared" si="10"/>
        <v>0.49450549450549453</v>
      </c>
    </row>
    <row r="155" spans="1:16" ht="18.75" customHeight="1">
      <c r="A155" s="372">
        <f t="shared" si="11"/>
        <v>119</v>
      </c>
      <c r="B155" s="385" t="s">
        <v>2895</v>
      </c>
      <c r="C155" s="382" t="s">
        <v>2896</v>
      </c>
      <c r="D155" s="110">
        <v>42736</v>
      </c>
      <c r="E155" s="111">
        <v>43465</v>
      </c>
      <c r="F155" s="114">
        <f t="shared" si="6"/>
        <v>0.74759945130315497</v>
      </c>
      <c r="G155" s="382">
        <v>5029244.5199999996</v>
      </c>
      <c r="H155" s="382">
        <v>5029244.5199999996</v>
      </c>
      <c r="I155" s="386">
        <v>3457593.39</v>
      </c>
      <c r="J155" s="380">
        <f t="shared" si="7"/>
        <v>0.68749757070869177</v>
      </c>
      <c r="M155" s="34">
        <f t="shared" si="8"/>
        <v>729</v>
      </c>
      <c r="N155" s="111">
        <v>43281</v>
      </c>
      <c r="O155" s="34">
        <f t="shared" si="9"/>
        <v>184</v>
      </c>
      <c r="P155" s="381">
        <f t="shared" si="10"/>
        <v>0.74759945130315497</v>
      </c>
    </row>
    <row r="156" spans="1:16" ht="18.75" customHeight="1">
      <c r="A156" s="372">
        <f t="shared" si="11"/>
        <v>120</v>
      </c>
      <c r="B156" s="385" t="s">
        <v>2646</v>
      </c>
      <c r="C156" s="382" t="s">
        <v>2647</v>
      </c>
      <c r="D156" s="110">
        <v>42370</v>
      </c>
      <c r="E156" s="111">
        <v>43465</v>
      </c>
      <c r="F156" s="114">
        <f t="shared" si="6"/>
        <v>0.83196347031963469</v>
      </c>
      <c r="G156" s="382">
        <v>5600000</v>
      </c>
      <c r="H156" s="382">
        <v>5600000</v>
      </c>
      <c r="I156" s="386">
        <v>4198000</v>
      </c>
      <c r="J156" s="380">
        <f t="shared" si="7"/>
        <v>0.74964285714285717</v>
      </c>
      <c r="M156" s="34">
        <f t="shared" si="8"/>
        <v>1095</v>
      </c>
      <c r="N156" s="111">
        <v>43281</v>
      </c>
      <c r="O156" s="34">
        <f t="shared" si="9"/>
        <v>184</v>
      </c>
      <c r="P156" s="381">
        <f t="shared" si="10"/>
        <v>0.83196347031963469</v>
      </c>
    </row>
    <row r="157" spans="1:16" ht="18.75" customHeight="1">
      <c r="A157" s="372">
        <f t="shared" si="11"/>
        <v>121</v>
      </c>
      <c r="B157" s="385" t="s">
        <v>2922</v>
      </c>
      <c r="C157" s="382" t="s">
        <v>2923</v>
      </c>
      <c r="D157" s="110">
        <v>42736</v>
      </c>
      <c r="E157" s="111">
        <v>44561</v>
      </c>
      <c r="F157" s="114">
        <f t="shared" si="6"/>
        <v>0.29863013698630136</v>
      </c>
      <c r="G157" s="382">
        <v>3725040.13</v>
      </c>
      <c r="H157" s="382">
        <v>3725040.13</v>
      </c>
      <c r="I157" s="386">
        <v>924000.03999999992</v>
      </c>
      <c r="J157" s="380">
        <f t="shared" si="7"/>
        <v>0.24805102972138987</v>
      </c>
      <c r="M157" s="34">
        <f t="shared" si="8"/>
        <v>1825</v>
      </c>
      <c r="N157" s="111">
        <v>43281</v>
      </c>
      <c r="O157" s="34">
        <f t="shared" si="9"/>
        <v>1280</v>
      </c>
      <c r="P157" s="381">
        <f t="shared" si="10"/>
        <v>0.29863013698630136</v>
      </c>
    </row>
    <row r="158" spans="1:16" ht="18.75" customHeight="1">
      <c r="A158" s="372">
        <f t="shared" si="11"/>
        <v>122</v>
      </c>
      <c r="B158" s="385" t="s">
        <v>2901</v>
      </c>
      <c r="C158" s="382" t="s">
        <v>2902</v>
      </c>
      <c r="D158" s="110">
        <v>42736</v>
      </c>
      <c r="E158" s="111">
        <v>44561</v>
      </c>
      <c r="F158" s="114">
        <f t="shared" si="6"/>
        <v>0.29863013698630136</v>
      </c>
      <c r="G158" s="382">
        <v>5111040.0699999994</v>
      </c>
      <c r="H158" s="382">
        <v>5111040.0699999994</v>
      </c>
      <c r="I158" s="386">
        <v>2587213.0000000005</v>
      </c>
      <c r="J158" s="380">
        <f t="shared" si="7"/>
        <v>0.50620088368823934</v>
      </c>
      <c r="M158" s="34">
        <f t="shared" si="8"/>
        <v>1825</v>
      </c>
      <c r="N158" s="111">
        <v>43281</v>
      </c>
      <c r="O158" s="34">
        <f t="shared" si="9"/>
        <v>1280</v>
      </c>
      <c r="P158" s="381">
        <f t="shared" si="10"/>
        <v>0.29863013698630136</v>
      </c>
    </row>
    <row r="159" spans="1:16" ht="18.75" customHeight="1">
      <c r="A159" s="372">
        <f t="shared" si="11"/>
        <v>123</v>
      </c>
      <c r="B159" s="385" t="s">
        <v>2948</v>
      </c>
      <c r="C159" s="382" t="s">
        <v>2949</v>
      </c>
      <c r="D159" s="110">
        <v>42736</v>
      </c>
      <c r="E159" s="111">
        <v>44561</v>
      </c>
      <c r="F159" s="114">
        <f t="shared" si="6"/>
        <v>0.29863013698630136</v>
      </c>
      <c r="G159" s="382">
        <v>1749000</v>
      </c>
      <c r="H159" s="382">
        <v>1749000</v>
      </c>
      <c r="I159" s="386">
        <v>494999.98</v>
      </c>
      <c r="J159" s="380">
        <f t="shared" si="7"/>
        <v>0.28301885648942254</v>
      </c>
      <c r="M159" s="34">
        <f t="shared" si="8"/>
        <v>1825</v>
      </c>
      <c r="N159" s="111">
        <v>43281</v>
      </c>
      <c r="O159" s="34">
        <f t="shared" si="9"/>
        <v>1280</v>
      </c>
      <c r="P159" s="381">
        <f t="shared" si="10"/>
        <v>0.29863013698630136</v>
      </c>
    </row>
    <row r="160" spans="1:16" ht="18.75" customHeight="1">
      <c r="A160" s="372">
        <f t="shared" si="11"/>
        <v>124</v>
      </c>
      <c r="B160" s="385" t="s">
        <v>2942</v>
      </c>
      <c r="C160" s="382" t="s">
        <v>2943</v>
      </c>
      <c r="D160" s="110">
        <v>42736</v>
      </c>
      <c r="E160" s="111">
        <v>45291</v>
      </c>
      <c r="F160" s="114">
        <f t="shared" si="6"/>
        <v>0.21330724070450097</v>
      </c>
      <c r="G160" s="382">
        <v>1218605.51</v>
      </c>
      <c r="H160" s="382">
        <v>1218605.51</v>
      </c>
      <c r="I160" s="386">
        <v>546171.86</v>
      </c>
      <c r="J160" s="380">
        <f t="shared" si="7"/>
        <v>0.44819414939294011</v>
      </c>
      <c r="M160" s="34">
        <f t="shared" si="8"/>
        <v>2555</v>
      </c>
      <c r="N160" s="111">
        <v>43281</v>
      </c>
      <c r="O160" s="34">
        <f t="shared" si="9"/>
        <v>2010</v>
      </c>
      <c r="P160" s="381">
        <f t="shared" si="10"/>
        <v>0.21330724070450097</v>
      </c>
    </row>
    <row r="161" spans="1:16" ht="18.75" customHeight="1">
      <c r="A161" s="372">
        <f t="shared" si="11"/>
        <v>125</v>
      </c>
      <c r="B161" s="385" t="s">
        <v>2982</v>
      </c>
      <c r="C161" s="382" t="s">
        <v>2983</v>
      </c>
      <c r="D161" s="110">
        <v>43101</v>
      </c>
      <c r="E161" s="111">
        <v>45657</v>
      </c>
      <c r="F161" s="114">
        <f t="shared" si="6"/>
        <v>7.0422535211267609E-2</v>
      </c>
      <c r="G161" s="382">
        <v>503944.95999999996</v>
      </c>
      <c r="H161" s="382">
        <v>503944.95999999996</v>
      </c>
      <c r="I161" s="386">
        <v>234596.96</v>
      </c>
      <c r="J161" s="380">
        <f t="shared" si="7"/>
        <v>0.46552099657867402</v>
      </c>
      <c r="M161" s="34">
        <f t="shared" si="8"/>
        <v>2556</v>
      </c>
      <c r="N161" s="111">
        <v>43281</v>
      </c>
      <c r="O161" s="34">
        <f t="shared" si="9"/>
        <v>2376</v>
      </c>
      <c r="P161" s="381">
        <f t="shared" si="10"/>
        <v>7.0422535211267609E-2</v>
      </c>
    </row>
    <row r="162" spans="1:16" ht="18.75" customHeight="1">
      <c r="A162" s="372">
        <f t="shared" si="11"/>
        <v>126</v>
      </c>
      <c r="B162" s="385" t="s">
        <v>3070</v>
      </c>
      <c r="C162" s="382" t="s">
        <v>3071</v>
      </c>
      <c r="D162" s="110">
        <v>42736</v>
      </c>
      <c r="E162" s="111">
        <v>46752</v>
      </c>
      <c r="F162" s="114">
        <f t="shared" si="6"/>
        <v>0.13570717131474103</v>
      </c>
      <c r="G162" s="382">
        <v>430731.87999999995</v>
      </c>
      <c r="H162" s="382">
        <v>430731.87999999995</v>
      </c>
      <c r="I162" s="386">
        <v>77497.2</v>
      </c>
      <c r="J162" s="380">
        <f t="shared" si="7"/>
        <v>0.17991981461878329</v>
      </c>
      <c r="M162" s="34">
        <f t="shared" si="8"/>
        <v>4016</v>
      </c>
      <c r="N162" s="111">
        <v>43281</v>
      </c>
      <c r="O162" s="34">
        <f t="shared" si="9"/>
        <v>3471</v>
      </c>
      <c r="P162" s="381">
        <f t="shared" si="10"/>
        <v>0.13570717131474103</v>
      </c>
    </row>
    <row r="163" spans="1:16" ht="18.75" customHeight="1">
      <c r="A163" s="372">
        <f t="shared" si="11"/>
        <v>127</v>
      </c>
      <c r="B163" s="385" t="s">
        <v>3006</v>
      </c>
      <c r="C163" s="382" t="s">
        <v>3007</v>
      </c>
      <c r="D163" s="110">
        <v>42736</v>
      </c>
      <c r="E163" s="111">
        <v>46752</v>
      </c>
      <c r="F163" s="114">
        <f t="shared" si="6"/>
        <v>0.13570717131474103</v>
      </c>
      <c r="G163" s="382">
        <v>722039.47</v>
      </c>
      <c r="H163" s="382">
        <v>722039.47</v>
      </c>
      <c r="I163" s="386">
        <v>166740.5</v>
      </c>
      <c r="J163" s="380">
        <f t="shared" si="7"/>
        <v>0.23092989639472203</v>
      </c>
      <c r="M163" s="34">
        <f t="shared" si="8"/>
        <v>4016</v>
      </c>
      <c r="N163" s="111">
        <v>43281</v>
      </c>
      <c r="O163" s="34">
        <f t="shared" si="9"/>
        <v>3471</v>
      </c>
      <c r="P163" s="381">
        <f t="shared" si="10"/>
        <v>0.13570717131474103</v>
      </c>
    </row>
    <row r="164" spans="1:16" ht="18.75" customHeight="1">
      <c r="A164" s="372">
        <f t="shared" si="11"/>
        <v>128</v>
      </c>
      <c r="B164" s="385" t="s">
        <v>2988</v>
      </c>
      <c r="C164" s="382" t="s">
        <v>2989</v>
      </c>
      <c r="D164" s="110">
        <v>42736</v>
      </c>
      <c r="E164" s="111">
        <v>46387</v>
      </c>
      <c r="F164" s="114">
        <f t="shared" si="6"/>
        <v>0.14927417145987401</v>
      </c>
      <c r="G164" s="382">
        <v>657461.32000000007</v>
      </c>
      <c r="H164" s="382">
        <v>657461.32000000007</v>
      </c>
      <c r="I164" s="386">
        <v>202050.16</v>
      </c>
      <c r="J164" s="380">
        <f t="shared" si="7"/>
        <v>0.30731870279456136</v>
      </c>
      <c r="M164" s="34">
        <f t="shared" si="8"/>
        <v>3651</v>
      </c>
      <c r="N164" s="111">
        <v>43281</v>
      </c>
      <c r="O164" s="34">
        <f t="shared" si="9"/>
        <v>3106</v>
      </c>
      <c r="P164" s="381">
        <f t="shared" si="10"/>
        <v>0.14927417145987401</v>
      </c>
    </row>
    <row r="165" spans="1:16" ht="18.75" customHeight="1">
      <c r="A165" s="372">
        <f t="shared" si="11"/>
        <v>129</v>
      </c>
      <c r="B165" s="385" t="s">
        <v>2952</v>
      </c>
      <c r="C165" s="382" t="s">
        <v>2953</v>
      </c>
      <c r="D165" s="110">
        <v>43101</v>
      </c>
      <c r="E165" s="111">
        <v>43465</v>
      </c>
      <c r="F165" s="114">
        <f t="shared" ref="F165:F252" si="12">P165</f>
        <v>0.49450549450549453</v>
      </c>
      <c r="G165" s="382">
        <v>942091.2</v>
      </c>
      <c r="H165" s="382">
        <v>942091.2</v>
      </c>
      <c r="I165" s="386">
        <v>471045.6</v>
      </c>
      <c r="J165" s="380">
        <f t="shared" ref="J165:J252" si="13">I165/H165</f>
        <v>0.5</v>
      </c>
      <c r="M165" s="34">
        <f t="shared" ref="M165:M252" si="14">E165-D165</f>
        <v>364</v>
      </c>
      <c r="N165" s="111">
        <v>43281</v>
      </c>
      <c r="O165" s="34">
        <f t="shared" ref="O165:O252" si="15">E165-N165</f>
        <v>184</v>
      </c>
      <c r="P165" s="381">
        <f t="shared" ref="P165:P252" si="16">(M165-O165)/M165</f>
        <v>0.49450549450549453</v>
      </c>
    </row>
    <row r="166" spans="1:16" ht="18.75" customHeight="1">
      <c r="A166" s="372">
        <f t="shared" ref="A166:A253" si="17">A165+1</f>
        <v>130</v>
      </c>
      <c r="B166" s="385" t="s">
        <v>2972</v>
      </c>
      <c r="C166" s="382" t="s">
        <v>2973</v>
      </c>
      <c r="D166" s="110">
        <v>43101</v>
      </c>
      <c r="E166" s="111">
        <v>43465</v>
      </c>
      <c r="F166" s="114">
        <f t="shared" si="12"/>
        <v>0.49450549450549453</v>
      </c>
      <c r="G166" s="382">
        <v>400336.48</v>
      </c>
      <c r="H166" s="382">
        <v>400336.48</v>
      </c>
      <c r="I166" s="386">
        <v>267774.32</v>
      </c>
      <c r="J166" s="380">
        <f t="shared" si="13"/>
        <v>0.66887314391134178</v>
      </c>
      <c r="M166" s="34">
        <f t="shared" si="14"/>
        <v>364</v>
      </c>
      <c r="N166" s="111">
        <v>43281</v>
      </c>
      <c r="O166" s="34">
        <f t="shared" si="15"/>
        <v>184</v>
      </c>
      <c r="P166" s="381">
        <f t="shared" si="16"/>
        <v>0.49450549450549453</v>
      </c>
    </row>
    <row r="167" spans="1:16" ht="18.75" customHeight="1">
      <c r="A167" s="372">
        <f t="shared" si="17"/>
        <v>131</v>
      </c>
      <c r="B167" s="385" t="s">
        <v>2719</v>
      </c>
      <c r="C167" s="382" t="s">
        <v>2720</v>
      </c>
      <c r="D167" s="110">
        <v>42736</v>
      </c>
      <c r="E167" s="111">
        <v>43465</v>
      </c>
      <c r="F167" s="114">
        <f t="shared" si="12"/>
        <v>0.74759945130315497</v>
      </c>
      <c r="G167" s="382">
        <v>1131620</v>
      </c>
      <c r="H167" s="382">
        <v>1131620</v>
      </c>
      <c r="I167" s="386">
        <v>847050.02</v>
      </c>
      <c r="J167" s="380">
        <f t="shared" si="13"/>
        <v>0.74852867570385817</v>
      </c>
      <c r="M167" s="34">
        <f t="shared" si="14"/>
        <v>729</v>
      </c>
      <c r="N167" s="111">
        <v>43281</v>
      </c>
      <c r="O167" s="34">
        <f t="shared" si="15"/>
        <v>184</v>
      </c>
      <c r="P167" s="381">
        <f t="shared" si="16"/>
        <v>0.74759945130315497</v>
      </c>
    </row>
    <row r="168" spans="1:16" ht="18.75" customHeight="1">
      <c r="A168" s="372">
        <f t="shared" si="17"/>
        <v>132</v>
      </c>
      <c r="B168" s="385" t="s">
        <v>3250</v>
      </c>
      <c r="C168" s="382" t="s">
        <v>3251</v>
      </c>
      <c r="D168" s="110">
        <v>43101</v>
      </c>
      <c r="E168" s="111">
        <v>43465</v>
      </c>
      <c r="F168" s="114">
        <f t="shared" si="12"/>
        <v>0.49450549450549453</v>
      </c>
      <c r="G168" s="382">
        <v>130884.54</v>
      </c>
      <c r="H168" s="382">
        <v>130884.54</v>
      </c>
      <c r="I168" s="386">
        <v>4616.84</v>
      </c>
      <c r="J168" s="380">
        <f t="shared" si="13"/>
        <v>3.527414314937425E-2</v>
      </c>
      <c r="M168" s="34">
        <f t="shared" si="14"/>
        <v>364</v>
      </c>
      <c r="N168" s="111">
        <v>43281</v>
      </c>
      <c r="O168" s="34">
        <f t="shared" si="15"/>
        <v>184</v>
      </c>
      <c r="P168" s="381">
        <f t="shared" si="16"/>
        <v>0.49450549450549453</v>
      </c>
    </row>
    <row r="169" spans="1:16" s="387" customFormat="1" ht="20.100000000000001" customHeight="1">
      <c r="A169" s="706" t="str">
        <f>$A$1</f>
        <v>KENTUCKY UTILITIES COMPANY</v>
      </c>
      <c r="B169" s="706"/>
      <c r="C169" s="706"/>
      <c r="D169" s="706"/>
      <c r="E169" s="706"/>
      <c r="F169" s="706"/>
      <c r="G169" s="706"/>
      <c r="H169" s="706"/>
      <c r="I169" s="706"/>
      <c r="J169" s="706"/>
    </row>
    <row r="170" spans="1:16" s="387" customFormat="1" ht="20.100000000000001" customHeight="1">
      <c r="A170" s="706" t="str">
        <f>$A$2</f>
        <v>CASE NO. 2016-00370</v>
      </c>
      <c r="B170" s="706"/>
      <c r="C170" s="706"/>
      <c r="D170" s="706"/>
      <c r="E170" s="706"/>
      <c r="F170" s="706"/>
      <c r="G170" s="706"/>
      <c r="H170" s="706"/>
      <c r="I170" s="706"/>
      <c r="J170" s="706"/>
    </row>
    <row r="171" spans="1:16" s="387" customFormat="1" ht="20.100000000000001" customHeight="1">
      <c r="A171" s="706" t="s">
        <v>1225</v>
      </c>
      <c r="B171" s="706"/>
      <c r="C171" s="706"/>
      <c r="D171" s="706"/>
      <c r="E171" s="706"/>
      <c r="F171" s="706"/>
      <c r="G171" s="706"/>
      <c r="H171" s="706"/>
      <c r="I171" s="706"/>
      <c r="J171" s="706"/>
    </row>
    <row r="172" spans="1:16" s="387" customFormat="1" ht="20.100000000000001" customHeight="1">
      <c r="A172" s="706" t="str">
        <f>$A$4</f>
        <v>AS OF JUNE 30, 2018</v>
      </c>
      <c r="B172" s="706"/>
      <c r="C172" s="706"/>
      <c r="D172" s="706"/>
      <c r="E172" s="706"/>
      <c r="F172" s="706"/>
      <c r="G172" s="706"/>
      <c r="H172" s="706"/>
      <c r="I172" s="706"/>
      <c r="J172" s="706"/>
    </row>
    <row r="173" spans="1:16" s="387" customFormat="1" ht="20.100000000000001" customHeight="1">
      <c r="A173" s="370"/>
      <c r="B173" s="370"/>
      <c r="C173" s="370"/>
      <c r="D173" s="370"/>
      <c r="E173" s="370"/>
      <c r="F173" s="370"/>
      <c r="G173" s="370"/>
      <c r="H173" s="370"/>
      <c r="I173" s="370"/>
      <c r="J173" s="370"/>
    </row>
    <row r="174" spans="1:16" s="387" customFormat="1" ht="20.100000000000001" customHeight="1">
      <c r="A174" s="27" t="str">
        <f>$A$6</f>
        <v>DATA:____BASE  PERIOD__X__FORECASTED  PERIOD</v>
      </c>
      <c r="B174" s="371"/>
      <c r="C174" s="28"/>
      <c r="D174" s="109"/>
      <c r="E174" s="109"/>
      <c r="F174" s="28"/>
      <c r="G174" s="34"/>
      <c r="H174" s="34"/>
      <c r="I174" s="34"/>
      <c r="J174" s="34" t="s">
        <v>1767</v>
      </c>
    </row>
    <row r="175" spans="1:16" s="387" customFormat="1" ht="20.100000000000001" customHeight="1">
      <c r="A175" s="27" t="str">
        <f>$A$7</f>
        <v>TYPE OF FILING: __X__ ORIGINAL  _____ UPDATED  _____ REVISED</v>
      </c>
      <c r="B175" s="372"/>
      <c r="C175" s="28"/>
      <c r="D175" s="109"/>
      <c r="E175" s="109"/>
      <c r="F175" s="28"/>
      <c r="G175" s="34"/>
      <c r="H175" s="34"/>
      <c r="I175" s="34"/>
      <c r="J175" s="34" t="s">
        <v>3257</v>
      </c>
    </row>
    <row r="176" spans="1:16" s="387" customFormat="1" ht="20.100000000000001" customHeight="1">
      <c r="A176" s="27" t="str">
        <f>$A$8</f>
        <v>WORKPAPER REFERENCE NO(S).:</v>
      </c>
      <c r="B176" s="371"/>
      <c r="C176" s="28"/>
      <c r="D176" s="109"/>
      <c r="E176" s="109"/>
      <c r="F176" s="27"/>
      <c r="G176" s="35"/>
      <c r="H176" s="35"/>
      <c r="I176" s="35"/>
      <c r="J176" s="35" t="str">
        <f>$J$8</f>
        <v>WITNESS:   C. M. GARRETT</v>
      </c>
    </row>
    <row r="177" spans="1:16" s="387" customFormat="1" ht="20.100000000000001" customHeight="1">
      <c r="A177" s="28"/>
      <c r="B177" s="372"/>
      <c r="C177" s="28"/>
      <c r="D177" s="109"/>
      <c r="E177" s="109"/>
      <c r="F177" s="28"/>
      <c r="G177" s="28"/>
      <c r="H177" s="28"/>
      <c r="I177" s="28"/>
      <c r="J177" s="28"/>
    </row>
    <row r="178" spans="1:16" ht="66.95" customHeight="1">
      <c r="A178" s="36" t="s">
        <v>134</v>
      </c>
      <c r="B178" s="36" t="s">
        <v>1228</v>
      </c>
      <c r="C178" s="36" t="s">
        <v>1229</v>
      </c>
      <c r="D178" s="107" t="s">
        <v>1231</v>
      </c>
      <c r="E178" s="107" t="s">
        <v>1232</v>
      </c>
      <c r="F178" s="36" t="s">
        <v>1233</v>
      </c>
      <c r="G178" s="36" t="s">
        <v>1234</v>
      </c>
      <c r="H178" s="36" t="s">
        <v>1235</v>
      </c>
      <c r="I178" s="36" t="s">
        <v>1236</v>
      </c>
      <c r="J178" s="36" t="s">
        <v>1237</v>
      </c>
      <c r="M178" s="115" t="s">
        <v>1245</v>
      </c>
      <c r="N178" s="115" t="s">
        <v>1246</v>
      </c>
      <c r="O178" s="115" t="s">
        <v>1247</v>
      </c>
      <c r="P178" s="115" t="s">
        <v>1233</v>
      </c>
    </row>
    <row r="179" spans="1:16" s="387" customFormat="1" ht="23.1" customHeight="1">
      <c r="A179" s="40" t="s">
        <v>1226</v>
      </c>
      <c r="B179" s="40" t="s">
        <v>1227</v>
      </c>
      <c r="C179" s="40" t="s">
        <v>1230</v>
      </c>
      <c r="D179" s="383" t="s">
        <v>1238</v>
      </c>
      <c r="E179" s="383" t="s">
        <v>1239</v>
      </c>
      <c r="F179" s="384" t="s">
        <v>1240</v>
      </c>
      <c r="G179" s="384" t="s">
        <v>1241</v>
      </c>
      <c r="H179" s="384" t="s">
        <v>1242</v>
      </c>
      <c r="I179" s="384" t="s">
        <v>1243</v>
      </c>
      <c r="J179" s="384" t="s">
        <v>1244</v>
      </c>
    </row>
    <row r="180" spans="1:16" s="387" customFormat="1" ht="18.95" customHeight="1">
      <c r="A180" s="33"/>
      <c r="B180" s="33"/>
      <c r="C180" s="33"/>
      <c r="D180" s="388"/>
      <c r="E180" s="388"/>
      <c r="F180" s="389"/>
      <c r="G180" s="389"/>
      <c r="H180" s="389"/>
      <c r="I180" s="389"/>
      <c r="J180" s="389"/>
    </row>
    <row r="181" spans="1:16" ht="18.75" customHeight="1">
      <c r="A181" s="372">
        <f>A168+1</f>
        <v>133</v>
      </c>
      <c r="B181" s="385" t="s">
        <v>2928</v>
      </c>
      <c r="C181" s="382" t="s">
        <v>2929</v>
      </c>
      <c r="D181" s="110">
        <v>43101</v>
      </c>
      <c r="E181" s="111">
        <v>43465</v>
      </c>
      <c r="F181" s="114">
        <f t="shared" si="12"/>
        <v>0.49450549450549453</v>
      </c>
      <c r="G181" s="382">
        <v>1576250</v>
      </c>
      <c r="H181" s="382">
        <v>1576250</v>
      </c>
      <c r="I181" s="386">
        <v>786980</v>
      </c>
      <c r="J181" s="380">
        <f t="shared" si="13"/>
        <v>0.49927359238699442</v>
      </c>
      <c r="M181" s="34">
        <f t="shared" si="14"/>
        <v>364</v>
      </c>
      <c r="N181" s="111">
        <v>43281</v>
      </c>
      <c r="O181" s="34">
        <f t="shared" si="15"/>
        <v>184</v>
      </c>
      <c r="P181" s="381">
        <f t="shared" si="16"/>
        <v>0.49450549450549453</v>
      </c>
    </row>
    <row r="182" spans="1:16" ht="18.75" customHeight="1">
      <c r="A182" s="372">
        <f t="shared" si="17"/>
        <v>134</v>
      </c>
      <c r="B182" s="385" t="s">
        <v>3058</v>
      </c>
      <c r="C182" s="382" t="s">
        <v>3059</v>
      </c>
      <c r="D182" s="110">
        <v>43101</v>
      </c>
      <c r="E182" s="111">
        <v>43465</v>
      </c>
      <c r="F182" s="114">
        <f t="shared" si="12"/>
        <v>0.49450549450549453</v>
      </c>
      <c r="G182" s="382">
        <v>341665</v>
      </c>
      <c r="H182" s="382">
        <v>341665</v>
      </c>
      <c r="I182" s="386">
        <v>84300</v>
      </c>
      <c r="J182" s="380">
        <f t="shared" si="13"/>
        <v>0.24673291089224825</v>
      </c>
      <c r="M182" s="34">
        <f t="shared" si="14"/>
        <v>364</v>
      </c>
      <c r="N182" s="111">
        <v>43281</v>
      </c>
      <c r="O182" s="34">
        <f t="shared" si="15"/>
        <v>184</v>
      </c>
      <c r="P182" s="381">
        <f t="shared" si="16"/>
        <v>0.49450549450549453</v>
      </c>
    </row>
    <row r="183" spans="1:16" ht="18.75" customHeight="1">
      <c r="A183" s="372">
        <f t="shared" si="17"/>
        <v>135</v>
      </c>
      <c r="B183" s="385" t="s">
        <v>2727</v>
      </c>
      <c r="C183" s="382" t="s">
        <v>2728</v>
      </c>
      <c r="D183" s="110">
        <v>42736</v>
      </c>
      <c r="E183" s="111">
        <v>43465</v>
      </c>
      <c r="F183" s="114">
        <f t="shared" si="12"/>
        <v>0.74759945130315497</v>
      </c>
      <c r="G183" s="382">
        <v>800430</v>
      </c>
      <c r="H183" s="382">
        <v>800430</v>
      </c>
      <c r="I183" s="386">
        <v>670880</v>
      </c>
      <c r="J183" s="380">
        <f t="shared" si="13"/>
        <v>0.83814949464662747</v>
      </c>
      <c r="M183" s="34">
        <f t="shared" si="14"/>
        <v>729</v>
      </c>
      <c r="N183" s="111">
        <v>43281</v>
      </c>
      <c r="O183" s="34">
        <f t="shared" si="15"/>
        <v>184</v>
      </c>
      <c r="P183" s="381">
        <f t="shared" si="16"/>
        <v>0.74759945130315497</v>
      </c>
    </row>
    <row r="184" spans="1:16" ht="18.75" customHeight="1">
      <c r="A184" s="372">
        <f t="shared" si="17"/>
        <v>136</v>
      </c>
      <c r="B184" s="385" t="s">
        <v>2994</v>
      </c>
      <c r="C184" s="382" t="s">
        <v>2995</v>
      </c>
      <c r="D184" s="110">
        <v>43101</v>
      </c>
      <c r="E184" s="111">
        <v>43465</v>
      </c>
      <c r="F184" s="114">
        <f t="shared" si="12"/>
        <v>0.49450549450549453</v>
      </c>
      <c r="G184" s="382">
        <v>531668.11</v>
      </c>
      <c r="H184" s="382">
        <v>531668.11</v>
      </c>
      <c r="I184" s="386">
        <v>194888.56</v>
      </c>
      <c r="J184" s="380">
        <f t="shared" si="13"/>
        <v>0.36656055974468732</v>
      </c>
      <c r="M184" s="34">
        <f t="shared" si="14"/>
        <v>364</v>
      </c>
      <c r="N184" s="111">
        <v>43281</v>
      </c>
      <c r="O184" s="34">
        <f t="shared" si="15"/>
        <v>184</v>
      </c>
      <c r="P184" s="381">
        <f t="shared" si="16"/>
        <v>0.49450549450549453</v>
      </c>
    </row>
    <row r="185" spans="1:16" ht="18.75" customHeight="1">
      <c r="A185" s="372">
        <f t="shared" si="17"/>
        <v>137</v>
      </c>
      <c r="B185" s="385" t="s">
        <v>3168</v>
      </c>
      <c r="C185" s="382" t="s">
        <v>3169</v>
      </c>
      <c r="D185" s="110">
        <v>42736</v>
      </c>
      <c r="E185" s="111">
        <v>44561</v>
      </c>
      <c r="F185" s="114">
        <f t="shared" si="12"/>
        <v>0.29863013698630136</v>
      </c>
      <c r="G185" s="382">
        <v>150000</v>
      </c>
      <c r="H185" s="382">
        <v>150000</v>
      </c>
      <c r="I185" s="386">
        <v>30000</v>
      </c>
      <c r="J185" s="380">
        <f t="shared" si="13"/>
        <v>0.2</v>
      </c>
      <c r="M185" s="34">
        <f t="shared" si="14"/>
        <v>1825</v>
      </c>
      <c r="N185" s="111">
        <v>43281</v>
      </c>
      <c r="O185" s="34">
        <f t="shared" si="15"/>
        <v>1280</v>
      </c>
      <c r="P185" s="381">
        <f t="shared" si="16"/>
        <v>0.29863013698630136</v>
      </c>
    </row>
    <row r="186" spans="1:16" ht="18.75" customHeight="1">
      <c r="A186" s="372">
        <f t="shared" si="17"/>
        <v>138</v>
      </c>
      <c r="B186" s="385" t="s">
        <v>2654</v>
      </c>
      <c r="C186" s="382" t="s">
        <v>2655</v>
      </c>
      <c r="D186" s="110">
        <v>42736</v>
      </c>
      <c r="E186" s="111">
        <v>44926</v>
      </c>
      <c r="F186" s="114">
        <f t="shared" si="12"/>
        <v>0.24885844748858446</v>
      </c>
      <c r="G186" s="382">
        <v>47842623.390000001</v>
      </c>
      <c r="H186" s="382">
        <v>47842623.390000001</v>
      </c>
      <c r="I186" s="386">
        <v>8986567.660000002</v>
      </c>
      <c r="J186" s="380">
        <f t="shared" si="13"/>
        <v>0.18783601364716054</v>
      </c>
      <c r="M186" s="34">
        <f t="shared" si="14"/>
        <v>2190</v>
      </c>
      <c r="N186" s="111">
        <v>43281</v>
      </c>
      <c r="O186" s="34">
        <f t="shared" si="15"/>
        <v>1645</v>
      </c>
      <c r="P186" s="381">
        <f t="shared" si="16"/>
        <v>0.24885844748858446</v>
      </c>
    </row>
    <row r="187" spans="1:16" ht="18.75" customHeight="1">
      <c r="A187" s="372">
        <f t="shared" si="17"/>
        <v>139</v>
      </c>
      <c r="B187" s="385" t="s">
        <v>2701</v>
      </c>
      <c r="C187" s="382" t="s">
        <v>2702</v>
      </c>
      <c r="D187" s="110">
        <v>42736</v>
      </c>
      <c r="E187" s="111">
        <v>44561</v>
      </c>
      <c r="F187" s="114">
        <f t="shared" si="12"/>
        <v>0.29863013698630136</v>
      </c>
      <c r="G187" s="382">
        <v>9478860</v>
      </c>
      <c r="H187" s="382">
        <v>9478860</v>
      </c>
      <c r="I187" s="386">
        <v>3339930</v>
      </c>
      <c r="J187" s="380">
        <f t="shared" si="13"/>
        <v>0.35235566302276855</v>
      </c>
      <c r="M187" s="34">
        <f t="shared" si="14"/>
        <v>1825</v>
      </c>
      <c r="N187" s="111">
        <v>43281</v>
      </c>
      <c r="O187" s="34">
        <f t="shared" si="15"/>
        <v>1280</v>
      </c>
      <c r="P187" s="381">
        <f t="shared" si="16"/>
        <v>0.29863013698630136</v>
      </c>
    </row>
    <row r="188" spans="1:16" ht="18.75" customHeight="1">
      <c r="A188" s="372">
        <f t="shared" si="17"/>
        <v>140</v>
      </c>
      <c r="B188" s="385" t="s">
        <v>3066</v>
      </c>
      <c r="C188" s="382" t="s">
        <v>3067</v>
      </c>
      <c r="D188" s="110">
        <v>42675</v>
      </c>
      <c r="E188" s="111">
        <v>46387</v>
      </c>
      <c r="F188" s="114">
        <f t="shared" si="12"/>
        <v>0.1632543103448276</v>
      </c>
      <c r="G188" s="382">
        <v>855357</v>
      </c>
      <c r="H188" s="382">
        <v>855357</v>
      </c>
      <c r="I188" s="386">
        <v>79040</v>
      </c>
      <c r="J188" s="380">
        <f t="shared" si="13"/>
        <v>9.2405860944611437E-2</v>
      </c>
      <c r="M188" s="34">
        <f t="shared" si="14"/>
        <v>3712</v>
      </c>
      <c r="N188" s="111">
        <v>43281</v>
      </c>
      <c r="O188" s="34">
        <f t="shared" si="15"/>
        <v>3106</v>
      </c>
      <c r="P188" s="381">
        <f t="shared" si="16"/>
        <v>0.1632543103448276</v>
      </c>
    </row>
    <row r="189" spans="1:16" ht="18.75" customHeight="1">
      <c r="A189" s="372">
        <f t="shared" si="17"/>
        <v>141</v>
      </c>
      <c r="B189" s="385" t="s">
        <v>3020</v>
      </c>
      <c r="C189" s="382" t="s">
        <v>3021</v>
      </c>
      <c r="D189" s="110">
        <v>42675</v>
      </c>
      <c r="E189" s="111">
        <v>45291</v>
      </c>
      <c r="F189" s="114">
        <f t="shared" si="12"/>
        <v>0.23165137614678899</v>
      </c>
      <c r="G189" s="382">
        <v>1054680</v>
      </c>
      <c r="H189" s="382">
        <v>1054680</v>
      </c>
      <c r="I189" s="386">
        <v>132080</v>
      </c>
      <c r="J189" s="380">
        <f t="shared" si="13"/>
        <v>0.12523229794819282</v>
      </c>
      <c r="M189" s="34">
        <f t="shared" si="14"/>
        <v>2616</v>
      </c>
      <c r="N189" s="111">
        <v>43281</v>
      </c>
      <c r="O189" s="34">
        <f t="shared" si="15"/>
        <v>2010</v>
      </c>
      <c r="P189" s="381">
        <f t="shared" si="16"/>
        <v>0.23165137614678899</v>
      </c>
    </row>
    <row r="190" spans="1:16" ht="18.75" customHeight="1">
      <c r="A190" s="372">
        <f t="shared" si="17"/>
        <v>142</v>
      </c>
      <c r="B190" s="385" t="s">
        <v>3054</v>
      </c>
      <c r="C190" s="382" t="s">
        <v>3055</v>
      </c>
      <c r="D190" s="110">
        <v>42675</v>
      </c>
      <c r="E190" s="111">
        <v>45291</v>
      </c>
      <c r="F190" s="114">
        <f t="shared" si="12"/>
        <v>0.23165137614678899</v>
      </c>
      <c r="G190" s="382">
        <v>568662</v>
      </c>
      <c r="H190" s="382">
        <v>568662</v>
      </c>
      <c r="I190" s="386">
        <v>88400</v>
      </c>
      <c r="J190" s="380">
        <f t="shared" si="13"/>
        <v>0.15545262387850781</v>
      </c>
      <c r="M190" s="34">
        <f t="shared" si="14"/>
        <v>2616</v>
      </c>
      <c r="N190" s="111">
        <v>43281</v>
      </c>
      <c r="O190" s="34">
        <f t="shared" si="15"/>
        <v>2010</v>
      </c>
      <c r="P190" s="381">
        <f t="shared" si="16"/>
        <v>0.23165137614678899</v>
      </c>
    </row>
    <row r="191" spans="1:16" ht="18.75" customHeight="1">
      <c r="A191" s="372">
        <f t="shared" si="17"/>
        <v>143</v>
      </c>
      <c r="B191" s="385" t="s">
        <v>2785</v>
      </c>
      <c r="C191" s="382" t="s">
        <v>2786</v>
      </c>
      <c r="D191" s="110">
        <v>42736</v>
      </c>
      <c r="E191" s="111">
        <v>44561</v>
      </c>
      <c r="F191" s="114">
        <f t="shared" si="12"/>
        <v>0.29863013698630136</v>
      </c>
      <c r="G191" s="382">
        <v>3874105</v>
      </c>
      <c r="H191" s="382">
        <v>3874105</v>
      </c>
      <c r="I191" s="386">
        <v>935315</v>
      </c>
      <c r="J191" s="380">
        <f t="shared" si="13"/>
        <v>0.24142737483883375</v>
      </c>
      <c r="M191" s="34">
        <f t="shared" si="14"/>
        <v>1825</v>
      </c>
      <c r="N191" s="111">
        <v>43281</v>
      </c>
      <c r="O191" s="34">
        <f t="shared" si="15"/>
        <v>1280</v>
      </c>
      <c r="P191" s="381">
        <f t="shared" si="16"/>
        <v>0.29863013698630136</v>
      </c>
    </row>
    <row r="192" spans="1:16" ht="18.75" customHeight="1">
      <c r="A192" s="372">
        <f t="shared" si="17"/>
        <v>144</v>
      </c>
      <c r="B192" s="385" t="s">
        <v>2703</v>
      </c>
      <c r="C192" s="382" t="s">
        <v>2704</v>
      </c>
      <c r="D192" s="110">
        <v>42736</v>
      </c>
      <c r="E192" s="111">
        <v>44561</v>
      </c>
      <c r="F192" s="114">
        <f t="shared" si="12"/>
        <v>0.29863013698630136</v>
      </c>
      <c r="G192" s="382">
        <v>13368245</v>
      </c>
      <c r="H192" s="382">
        <v>13368245</v>
      </c>
      <c r="I192" s="386">
        <v>2376940</v>
      </c>
      <c r="J192" s="380">
        <f t="shared" si="13"/>
        <v>0.17780493999025301</v>
      </c>
      <c r="M192" s="34">
        <f t="shared" si="14"/>
        <v>1825</v>
      </c>
      <c r="N192" s="111">
        <v>43281</v>
      </c>
      <c r="O192" s="34">
        <f t="shared" si="15"/>
        <v>1280</v>
      </c>
      <c r="P192" s="381">
        <f t="shared" si="16"/>
        <v>0.29863013698630136</v>
      </c>
    </row>
    <row r="193" spans="1:16" ht="18.75" customHeight="1">
      <c r="A193" s="372">
        <f t="shared" si="17"/>
        <v>145</v>
      </c>
      <c r="B193" s="385" t="s">
        <v>2787</v>
      </c>
      <c r="C193" s="382" t="s">
        <v>2788</v>
      </c>
      <c r="D193" s="110">
        <v>42736</v>
      </c>
      <c r="E193" s="111">
        <v>44561</v>
      </c>
      <c r="F193" s="114">
        <f t="shared" si="12"/>
        <v>0.29863013698630136</v>
      </c>
      <c r="G193" s="382">
        <v>2352145</v>
      </c>
      <c r="H193" s="382">
        <v>2352145</v>
      </c>
      <c r="I193" s="386">
        <v>617480</v>
      </c>
      <c r="J193" s="380">
        <f t="shared" si="13"/>
        <v>0.26251782947054708</v>
      </c>
      <c r="M193" s="34">
        <f t="shared" si="14"/>
        <v>1825</v>
      </c>
      <c r="N193" s="111">
        <v>43281</v>
      </c>
      <c r="O193" s="34">
        <f t="shared" si="15"/>
        <v>1280</v>
      </c>
      <c r="P193" s="381">
        <f t="shared" si="16"/>
        <v>0.29863013698630136</v>
      </c>
    </row>
    <row r="194" spans="1:16" ht="18.75" customHeight="1">
      <c r="A194" s="372">
        <f t="shared" si="17"/>
        <v>146</v>
      </c>
      <c r="B194" s="385" t="s">
        <v>2884</v>
      </c>
      <c r="C194" s="382" t="s">
        <v>2885</v>
      </c>
      <c r="D194" s="110">
        <v>42736</v>
      </c>
      <c r="E194" s="111">
        <v>43830</v>
      </c>
      <c r="F194" s="114">
        <f t="shared" si="12"/>
        <v>0.49817184643510054</v>
      </c>
      <c r="G194" s="382">
        <v>52982500</v>
      </c>
      <c r="H194" s="382">
        <v>52982500</v>
      </c>
      <c r="I194" s="386">
        <v>28258750.000000004</v>
      </c>
      <c r="J194" s="380">
        <f t="shared" si="13"/>
        <v>0.533360071721795</v>
      </c>
      <c r="M194" s="34">
        <f t="shared" si="14"/>
        <v>1094</v>
      </c>
      <c r="N194" s="111">
        <v>43281</v>
      </c>
      <c r="O194" s="34">
        <f t="shared" si="15"/>
        <v>549</v>
      </c>
      <c r="P194" s="381">
        <f t="shared" si="16"/>
        <v>0.49817184643510054</v>
      </c>
    </row>
    <row r="195" spans="1:16" ht="18.75" customHeight="1">
      <c r="A195" s="372">
        <f t="shared" si="17"/>
        <v>147</v>
      </c>
      <c r="B195" s="385" t="s">
        <v>2940</v>
      </c>
      <c r="C195" s="382" t="s">
        <v>2941</v>
      </c>
      <c r="D195" s="110">
        <v>42736</v>
      </c>
      <c r="E195" s="111">
        <v>44561</v>
      </c>
      <c r="F195" s="114">
        <f t="shared" si="12"/>
        <v>0.29863013698630136</v>
      </c>
      <c r="G195" s="382">
        <v>1385567.02</v>
      </c>
      <c r="H195" s="382">
        <v>1385567.02</v>
      </c>
      <c r="I195" s="386">
        <v>554229.58000000007</v>
      </c>
      <c r="J195" s="380">
        <f t="shared" si="13"/>
        <v>0.40000200062498603</v>
      </c>
      <c r="M195" s="34">
        <f t="shared" si="14"/>
        <v>1825</v>
      </c>
      <c r="N195" s="111">
        <v>43281</v>
      </c>
      <c r="O195" s="34">
        <f t="shared" si="15"/>
        <v>1280</v>
      </c>
      <c r="P195" s="381">
        <f t="shared" si="16"/>
        <v>0.29863013698630136</v>
      </c>
    </row>
    <row r="196" spans="1:16" ht="18.75" customHeight="1">
      <c r="A196" s="372">
        <f t="shared" si="17"/>
        <v>148</v>
      </c>
      <c r="B196" s="385" t="s">
        <v>2944</v>
      </c>
      <c r="C196" s="382" t="s">
        <v>2945</v>
      </c>
      <c r="D196" s="110">
        <v>42736</v>
      </c>
      <c r="E196" s="111">
        <v>44561</v>
      </c>
      <c r="F196" s="114">
        <f t="shared" si="12"/>
        <v>0.29863013698630136</v>
      </c>
      <c r="G196" s="382">
        <v>1421052.6500000001</v>
      </c>
      <c r="H196" s="382">
        <v>1421052.6500000001</v>
      </c>
      <c r="I196" s="386">
        <v>530528.97000000009</v>
      </c>
      <c r="J196" s="380">
        <f t="shared" si="13"/>
        <v>0.37333519627158079</v>
      </c>
      <c r="M196" s="34">
        <f t="shared" si="14"/>
        <v>1825</v>
      </c>
      <c r="N196" s="111">
        <v>43281</v>
      </c>
      <c r="O196" s="34">
        <f t="shared" si="15"/>
        <v>1280</v>
      </c>
      <c r="P196" s="381">
        <f t="shared" si="16"/>
        <v>0.29863013698630136</v>
      </c>
    </row>
    <row r="197" spans="1:16" ht="18.75" customHeight="1">
      <c r="A197" s="372">
        <f t="shared" si="17"/>
        <v>149</v>
      </c>
      <c r="B197" s="385" t="s">
        <v>2920</v>
      </c>
      <c r="C197" s="382" t="s">
        <v>2921</v>
      </c>
      <c r="D197" s="110">
        <v>42736</v>
      </c>
      <c r="E197" s="111">
        <v>44561</v>
      </c>
      <c r="F197" s="114">
        <f t="shared" si="12"/>
        <v>0.29863013698630136</v>
      </c>
      <c r="G197" s="382">
        <v>2582706.75</v>
      </c>
      <c r="H197" s="382">
        <v>2582706.75</v>
      </c>
      <c r="I197" s="386">
        <v>964215.37999999989</v>
      </c>
      <c r="J197" s="380">
        <f t="shared" si="13"/>
        <v>0.3733352150800705</v>
      </c>
      <c r="M197" s="34">
        <f t="shared" si="14"/>
        <v>1825</v>
      </c>
      <c r="N197" s="111">
        <v>43281</v>
      </c>
      <c r="O197" s="34">
        <f t="shared" si="15"/>
        <v>1280</v>
      </c>
      <c r="P197" s="381">
        <f t="shared" si="16"/>
        <v>0.29863013698630136</v>
      </c>
    </row>
    <row r="198" spans="1:16" ht="18.75" customHeight="1">
      <c r="A198" s="372">
        <f t="shared" si="17"/>
        <v>150</v>
      </c>
      <c r="B198" s="385" t="s">
        <v>2946</v>
      </c>
      <c r="C198" s="382" t="s">
        <v>2947</v>
      </c>
      <c r="D198" s="110">
        <v>42675</v>
      </c>
      <c r="E198" s="111">
        <v>46387</v>
      </c>
      <c r="F198" s="114">
        <f t="shared" si="12"/>
        <v>0.1632543103448276</v>
      </c>
      <c r="G198" s="382">
        <v>5000000</v>
      </c>
      <c r="H198" s="382">
        <v>5000000</v>
      </c>
      <c r="I198" s="386">
        <v>500000</v>
      </c>
      <c r="J198" s="380">
        <f t="shared" si="13"/>
        <v>0.1</v>
      </c>
      <c r="M198" s="34">
        <f t="shared" si="14"/>
        <v>3712</v>
      </c>
      <c r="N198" s="111">
        <v>43281</v>
      </c>
      <c r="O198" s="34">
        <f t="shared" si="15"/>
        <v>3106</v>
      </c>
      <c r="P198" s="381">
        <f t="shared" si="16"/>
        <v>0.1632543103448276</v>
      </c>
    </row>
    <row r="199" spans="1:16" ht="18.75" customHeight="1">
      <c r="A199" s="372">
        <f t="shared" si="17"/>
        <v>151</v>
      </c>
      <c r="B199" s="385" t="s">
        <v>3202</v>
      </c>
      <c r="C199" s="382" t="s">
        <v>3203</v>
      </c>
      <c r="D199" s="110">
        <v>42826</v>
      </c>
      <c r="E199" s="111">
        <v>43465</v>
      </c>
      <c r="F199" s="114">
        <f t="shared" si="12"/>
        <v>0.7120500782472613</v>
      </c>
      <c r="G199" s="382">
        <v>22540</v>
      </c>
      <c r="H199" s="382">
        <v>22540</v>
      </c>
      <c r="I199" s="386">
        <v>19780</v>
      </c>
      <c r="J199" s="380">
        <f t="shared" si="13"/>
        <v>0.87755102040816324</v>
      </c>
      <c r="M199" s="34">
        <f t="shared" si="14"/>
        <v>639</v>
      </c>
      <c r="N199" s="111">
        <v>43281</v>
      </c>
      <c r="O199" s="34">
        <f t="shared" si="15"/>
        <v>184</v>
      </c>
      <c r="P199" s="381">
        <f t="shared" si="16"/>
        <v>0.7120500782472613</v>
      </c>
    </row>
    <row r="200" spans="1:16" ht="18.75" customHeight="1">
      <c r="A200" s="372">
        <f t="shared" si="17"/>
        <v>152</v>
      </c>
      <c r="B200" s="385" t="s">
        <v>2974</v>
      </c>
      <c r="C200" s="382" t="s">
        <v>2975</v>
      </c>
      <c r="D200" s="110">
        <v>42795</v>
      </c>
      <c r="E200" s="111">
        <v>43404</v>
      </c>
      <c r="F200" s="114">
        <f t="shared" si="12"/>
        <v>0.79802955665024633</v>
      </c>
      <c r="G200" s="382">
        <v>335999.79000000004</v>
      </c>
      <c r="H200" s="382">
        <v>335999.79000000004</v>
      </c>
      <c r="I200" s="386">
        <v>260399.9</v>
      </c>
      <c r="J200" s="380">
        <f t="shared" si="13"/>
        <v>0.77500018675606897</v>
      </c>
      <c r="M200" s="34">
        <f t="shared" si="14"/>
        <v>609</v>
      </c>
      <c r="N200" s="111">
        <v>43281</v>
      </c>
      <c r="O200" s="34">
        <f t="shared" si="15"/>
        <v>123</v>
      </c>
      <c r="P200" s="381">
        <f t="shared" si="16"/>
        <v>0.79802955665024633</v>
      </c>
    </row>
    <row r="201" spans="1:16" ht="18.75" customHeight="1">
      <c r="A201" s="372">
        <f t="shared" si="17"/>
        <v>153</v>
      </c>
      <c r="B201" s="385" t="s">
        <v>2656</v>
      </c>
      <c r="C201" s="382" t="s">
        <v>2657</v>
      </c>
      <c r="D201" s="110">
        <v>42736</v>
      </c>
      <c r="E201" s="111">
        <v>43769</v>
      </c>
      <c r="F201" s="114">
        <f t="shared" si="12"/>
        <v>0.52758954501452082</v>
      </c>
      <c r="G201" s="382">
        <v>7941117.8499999996</v>
      </c>
      <c r="H201" s="382">
        <v>7941117.8499999996</v>
      </c>
      <c r="I201" s="386">
        <v>3220581.9400000009</v>
      </c>
      <c r="J201" s="380">
        <f t="shared" si="13"/>
        <v>0.40555775658209142</v>
      </c>
      <c r="M201" s="34">
        <f t="shared" si="14"/>
        <v>1033</v>
      </c>
      <c r="N201" s="111">
        <v>43281</v>
      </c>
      <c r="O201" s="34">
        <f t="shared" si="15"/>
        <v>488</v>
      </c>
      <c r="P201" s="381">
        <f t="shared" si="16"/>
        <v>0.52758954501452082</v>
      </c>
    </row>
    <row r="202" spans="1:16" ht="18.75" customHeight="1">
      <c r="A202" s="372">
        <f t="shared" si="17"/>
        <v>154</v>
      </c>
      <c r="B202" s="385" t="s">
        <v>3048</v>
      </c>
      <c r="C202" s="382" t="s">
        <v>3049</v>
      </c>
      <c r="D202" s="110">
        <v>42795</v>
      </c>
      <c r="E202" s="111">
        <v>43434</v>
      </c>
      <c r="F202" s="114">
        <f t="shared" si="12"/>
        <v>0.76056338028169013</v>
      </c>
      <c r="G202" s="382">
        <v>167999.99</v>
      </c>
      <c r="H202" s="382">
        <v>167999.99</v>
      </c>
      <c r="I202" s="386">
        <v>97999.99</v>
      </c>
      <c r="J202" s="380">
        <f t="shared" si="13"/>
        <v>0.58333330853174459</v>
      </c>
      <c r="M202" s="34">
        <f t="shared" si="14"/>
        <v>639</v>
      </c>
      <c r="N202" s="111">
        <v>43281</v>
      </c>
      <c r="O202" s="34">
        <f t="shared" si="15"/>
        <v>153</v>
      </c>
      <c r="P202" s="381">
        <f t="shared" si="16"/>
        <v>0.76056338028169013</v>
      </c>
    </row>
    <row r="203" spans="1:16" ht="18.75" customHeight="1">
      <c r="A203" s="372">
        <f t="shared" si="17"/>
        <v>155</v>
      </c>
      <c r="B203" s="385" t="s">
        <v>2958</v>
      </c>
      <c r="C203" s="382" t="s">
        <v>2959</v>
      </c>
      <c r="D203" s="110">
        <v>42552</v>
      </c>
      <c r="E203" s="111">
        <v>43465</v>
      </c>
      <c r="F203" s="114">
        <f t="shared" si="12"/>
        <v>0.79846659364731654</v>
      </c>
      <c r="G203" s="382">
        <v>904474.94000000006</v>
      </c>
      <c r="H203" s="382">
        <v>904474.94000000006</v>
      </c>
      <c r="I203" s="386">
        <v>361191.97000000003</v>
      </c>
      <c r="J203" s="380">
        <f t="shared" si="13"/>
        <v>0.39933883629766459</v>
      </c>
      <c r="M203" s="34">
        <f t="shared" si="14"/>
        <v>913</v>
      </c>
      <c r="N203" s="111">
        <v>43281</v>
      </c>
      <c r="O203" s="34">
        <f t="shared" si="15"/>
        <v>184</v>
      </c>
      <c r="P203" s="381">
        <f t="shared" si="16"/>
        <v>0.79846659364731654</v>
      </c>
    </row>
    <row r="204" spans="1:16" ht="18.75" customHeight="1">
      <c r="A204" s="372">
        <f t="shared" si="17"/>
        <v>156</v>
      </c>
      <c r="B204" s="385" t="s">
        <v>2964</v>
      </c>
      <c r="C204" s="382" t="s">
        <v>2965</v>
      </c>
      <c r="D204" s="110">
        <v>43160</v>
      </c>
      <c r="E204" s="111">
        <v>43343</v>
      </c>
      <c r="F204" s="114">
        <f t="shared" si="12"/>
        <v>0.66120218579234968</v>
      </c>
      <c r="G204" s="382">
        <v>448000</v>
      </c>
      <c r="H204" s="382">
        <v>448000</v>
      </c>
      <c r="I204" s="386">
        <v>336000</v>
      </c>
      <c r="J204" s="380">
        <f t="shared" si="13"/>
        <v>0.75</v>
      </c>
      <c r="M204" s="34">
        <f t="shared" si="14"/>
        <v>183</v>
      </c>
      <c r="N204" s="111">
        <v>43281</v>
      </c>
      <c r="O204" s="34">
        <f t="shared" si="15"/>
        <v>62</v>
      </c>
      <c r="P204" s="381">
        <f t="shared" si="16"/>
        <v>0.66120218579234968</v>
      </c>
    </row>
    <row r="205" spans="1:16" ht="18.75" customHeight="1">
      <c r="A205" s="372">
        <f t="shared" si="17"/>
        <v>157</v>
      </c>
      <c r="B205" s="385" t="s">
        <v>3018</v>
      </c>
      <c r="C205" s="382" t="s">
        <v>3019</v>
      </c>
      <c r="D205" s="110">
        <v>43252</v>
      </c>
      <c r="E205" s="111">
        <v>43373</v>
      </c>
      <c r="F205" s="114">
        <f t="shared" si="12"/>
        <v>0.23966942148760331</v>
      </c>
      <c r="G205" s="382">
        <v>229999.43</v>
      </c>
      <c r="H205" s="382">
        <v>229999.43</v>
      </c>
      <c r="I205" s="386">
        <v>137999.62</v>
      </c>
      <c r="J205" s="380">
        <f t="shared" si="13"/>
        <v>0.5999998347821992</v>
      </c>
      <c r="M205" s="34">
        <f t="shared" si="14"/>
        <v>121</v>
      </c>
      <c r="N205" s="111">
        <v>43281</v>
      </c>
      <c r="O205" s="34">
        <f t="shared" si="15"/>
        <v>92</v>
      </c>
      <c r="P205" s="381">
        <f t="shared" si="16"/>
        <v>0.23966942148760331</v>
      </c>
    </row>
    <row r="206" spans="1:16" ht="18.75" customHeight="1">
      <c r="A206" s="372">
        <f t="shared" si="17"/>
        <v>158</v>
      </c>
      <c r="B206" s="385" t="s">
        <v>3074</v>
      </c>
      <c r="C206" s="382" t="s">
        <v>3075</v>
      </c>
      <c r="D206" s="110">
        <v>43101</v>
      </c>
      <c r="E206" s="111">
        <v>43465</v>
      </c>
      <c r="F206" s="114">
        <f t="shared" si="12"/>
        <v>0.49450549450549453</v>
      </c>
      <c r="G206" s="382">
        <v>122359.22</v>
      </c>
      <c r="H206" s="382">
        <v>122359.22</v>
      </c>
      <c r="I206" s="386">
        <v>71299.66</v>
      </c>
      <c r="J206" s="380">
        <f t="shared" si="13"/>
        <v>0.58270770277875261</v>
      </c>
      <c r="M206" s="34">
        <f t="shared" si="14"/>
        <v>364</v>
      </c>
      <c r="N206" s="111">
        <v>43281</v>
      </c>
      <c r="O206" s="34">
        <f t="shared" si="15"/>
        <v>184</v>
      </c>
      <c r="P206" s="381">
        <f t="shared" si="16"/>
        <v>0.49450549450549453</v>
      </c>
    </row>
    <row r="207" spans="1:16" ht="18.75" customHeight="1">
      <c r="A207" s="372">
        <f t="shared" si="17"/>
        <v>159</v>
      </c>
      <c r="B207" s="385" t="s">
        <v>3145</v>
      </c>
      <c r="C207" s="382" t="s">
        <v>3146</v>
      </c>
      <c r="D207" s="110">
        <v>43101</v>
      </c>
      <c r="E207" s="111">
        <v>43465</v>
      </c>
      <c r="F207" s="114">
        <f t="shared" si="12"/>
        <v>0.49450549450549453</v>
      </c>
      <c r="G207" s="382">
        <v>57500.06</v>
      </c>
      <c r="H207" s="382">
        <v>57500.06</v>
      </c>
      <c r="I207" s="386">
        <v>39100.070000000007</v>
      </c>
      <c r="J207" s="380">
        <f t="shared" si="13"/>
        <v>0.68000050782555721</v>
      </c>
      <c r="M207" s="34">
        <f t="shared" si="14"/>
        <v>364</v>
      </c>
      <c r="N207" s="111">
        <v>43281</v>
      </c>
      <c r="O207" s="34">
        <f t="shared" si="15"/>
        <v>184</v>
      </c>
      <c r="P207" s="381">
        <f t="shared" si="16"/>
        <v>0.49450549450549453</v>
      </c>
    </row>
    <row r="208" spans="1:16" ht="18.75" customHeight="1">
      <c r="A208" s="372">
        <f t="shared" si="17"/>
        <v>160</v>
      </c>
      <c r="B208" s="385" t="s">
        <v>3228</v>
      </c>
      <c r="C208" s="382" t="s">
        <v>3229</v>
      </c>
      <c r="D208" s="110">
        <v>43160</v>
      </c>
      <c r="E208" s="111">
        <v>43373</v>
      </c>
      <c r="F208" s="114">
        <f t="shared" si="12"/>
        <v>0.568075117370892</v>
      </c>
      <c r="G208" s="382">
        <v>20700</v>
      </c>
      <c r="H208" s="382">
        <v>20700</v>
      </c>
      <c r="I208" s="386">
        <v>13800</v>
      </c>
      <c r="J208" s="380">
        <f t="shared" si="13"/>
        <v>0.66666666666666663</v>
      </c>
      <c r="M208" s="34">
        <f t="shared" si="14"/>
        <v>213</v>
      </c>
      <c r="N208" s="111">
        <v>43281</v>
      </c>
      <c r="O208" s="34">
        <f t="shared" si="15"/>
        <v>92</v>
      </c>
      <c r="P208" s="381">
        <f t="shared" si="16"/>
        <v>0.568075117370892</v>
      </c>
    </row>
    <row r="209" spans="1:16" ht="18.75" customHeight="1">
      <c r="A209" s="372">
        <f t="shared" si="17"/>
        <v>161</v>
      </c>
      <c r="B209" s="385" t="s">
        <v>3050</v>
      </c>
      <c r="C209" s="382" t="s">
        <v>3051</v>
      </c>
      <c r="D209" s="110">
        <v>43191</v>
      </c>
      <c r="E209" s="111">
        <v>43343</v>
      </c>
      <c r="F209" s="114">
        <f t="shared" si="12"/>
        <v>0.59210526315789469</v>
      </c>
      <c r="G209" s="382">
        <v>183999.9</v>
      </c>
      <c r="H209" s="382">
        <v>183999.9</v>
      </c>
      <c r="I209" s="386">
        <v>91999.95</v>
      </c>
      <c r="J209" s="380">
        <f t="shared" si="13"/>
        <v>0.5</v>
      </c>
      <c r="M209" s="34">
        <f t="shared" si="14"/>
        <v>152</v>
      </c>
      <c r="N209" s="111">
        <v>43281</v>
      </c>
      <c r="O209" s="34">
        <f t="shared" si="15"/>
        <v>62</v>
      </c>
      <c r="P209" s="381">
        <f t="shared" si="16"/>
        <v>0.59210526315789469</v>
      </c>
    </row>
    <row r="210" spans="1:16" ht="18.75" customHeight="1">
      <c r="A210" s="372">
        <f t="shared" si="17"/>
        <v>162</v>
      </c>
      <c r="B210" s="385" t="s">
        <v>3026</v>
      </c>
      <c r="C210" s="382" t="s">
        <v>3027</v>
      </c>
      <c r="D210" s="110">
        <v>43101</v>
      </c>
      <c r="E210" s="111">
        <v>43465</v>
      </c>
      <c r="F210" s="114">
        <f t="shared" si="12"/>
        <v>0.49450549450549453</v>
      </c>
      <c r="G210" s="382">
        <v>229999.69</v>
      </c>
      <c r="H210" s="382">
        <v>229999.69</v>
      </c>
      <c r="I210" s="386">
        <v>121439.82</v>
      </c>
      <c r="J210" s="380">
        <f t="shared" si="13"/>
        <v>0.52799992904338267</v>
      </c>
      <c r="M210" s="34">
        <f t="shared" si="14"/>
        <v>364</v>
      </c>
      <c r="N210" s="111">
        <v>43281</v>
      </c>
      <c r="O210" s="34">
        <f t="shared" si="15"/>
        <v>184</v>
      </c>
      <c r="P210" s="381">
        <f t="shared" si="16"/>
        <v>0.49450549450549453</v>
      </c>
    </row>
    <row r="211" spans="1:16" ht="18.75" customHeight="1">
      <c r="A211" s="372">
        <f t="shared" si="17"/>
        <v>163</v>
      </c>
      <c r="B211" s="385" t="s">
        <v>3143</v>
      </c>
      <c r="C211" s="382" t="s">
        <v>3144</v>
      </c>
      <c r="D211" s="110">
        <v>43101</v>
      </c>
      <c r="E211" s="111">
        <v>43343</v>
      </c>
      <c r="F211" s="114">
        <f t="shared" si="12"/>
        <v>0.74380165289256195</v>
      </c>
      <c r="G211" s="382">
        <v>50139.8</v>
      </c>
      <c r="H211" s="382">
        <v>50139.8</v>
      </c>
      <c r="I211" s="386">
        <v>40939.879999999997</v>
      </c>
      <c r="J211" s="380">
        <f t="shared" si="13"/>
        <v>0.81651462510819739</v>
      </c>
      <c r="M211" s="34">
        <f t="shared" si="14"/>
        <v>242</v>
      </c>
      <c r="N211" s="111">
        <v>43281</v>
      </c>
      <c r="O211" s="34">
        <f t="shared" si="15"/>
        <v>62</v>
      </c>
      <c r="P211" s="381">
        <f t="shared" si="16"/>
        <v>0.74380165289256195</v>
      </c>
    </row>
    <row r="212" spans="1:16" ht="18.75" customHeight="1">
      <c r="A212" s="372">
        <f t="shared" si="17"/>
        <v>164</v>
      </c>
      <c r="B212" s="385" t="s">
        <v>3099</v>
      </c>
      <c r="C212" s="382" t="s">
        <v>3100</v>
      </c>
      <c r="D212" s="110">
        <v>43132</v>
      </c>
      <c r="E212" s="111">
        <v>43343</v>
      </c>
      <c r="F212" s="114">
        <f t="shared" si="12"/>
        <v>0.70616113744075826</v>
      </c>
      <c r="G212" s="382">
        <v>76359.679999999993</v>
      </c>
      <c r="H212" s="382">
        <v>76359.679999999993</v>
      </c>
      <c r="I212" s="386">
        <v>57959.729999999996</v>
      </c>
      <c r="J212" s="380">
        <f t="shared" si="13"/>
        <v>0.75903578956852624</v>
      </c>
      <c r="M212" s="34">
        <f t="shared" si="14"/>
        <v>211</v>
      </c>
      <c r="N212" s="111">
        <v>43281</v>
      </c>
      <c r="O212" s="34">
        <f t="shared" si="15"/>
        <v>62</v>
      </c>
      <c r="P212" s="381">
        <f t="shared" si="16"/>
        <v>0.70616113744075826</v>
      </c>
    </row>
    <row r="213" spans="1:16" ht="18.75" customHeight="1">
      <c r="A213" s="372">
        <f t="shared" si="17"/>
        <v>165</v>
      </c>
      <c r="B213" s="385" t="s">
        <v>3042</v>
      </c>
      <c r="C213" s="382" t="s">
        <v>3043</v>
      </c>
      <c r="D213" s="110">
        <v>43101</v>
      </c>
      <c r="E213" s="111">
        <v>43465</v>
      </c>
      <c r="F213" s="114">
        <f t="shared" si="12"/>
        <v>0.49450549450549453</v>
      </c>
      <c r="G213" s="382">
        <v>206999.28</v>
      </c>
      <c r="H213" s="382">
        <v>206999.28</v>
      </c>
      <c r="I213" s="386">
        <v>103499.64</v>
      </c>
      <c r="J213" s="380">
        <f t="shared" si="13"/>
        <v>0.5</v>
      </c>
      <c r="M213" s="34">
        <f t="shared" si="14"/>
        <v>364</v>
      </c>
      <c r="N213" s="111">
        <v>43281</v>
      </c>
      <c r="O213" s="34">
        <f t="shared" si="15"/>
        <v>184</v>
      </c>
      <c r="P213" s="381">
        <f t="shared" si="16"/>
        <v>0.49450549450549453</v>
      </c>
    </row>
    <row r="214" spans="1:16" ht="18.75" customHeight="1">
      <c r="A214" s="372">
        <f t="shared" si="17"/>
        <v>166</v>
      </c>
      <c r="B214" s="385" t="s">
        <v>3084</v>
      </c>
      <c r="C214" s="382" t="s">
        <v>3085</v>
      </c>
      <c r="D214" s="110">
        <v>43160</v>
      </c>
      <c r="E214" s="111">
        <v>43404</v>
      </c>
      <c r="F214" s="114">
        <f t="shared" si="12"/>
        <v>0.49590163934426229</v>
      </c>
      <c r="G214" s="382">
        <v>170200</v>
      </c>
      <c r="H214" s="382">
        <v>170200</v>
      </c>
      <c r="I214" s="386">
        <v>66700</v>
      </c>
      <c r="J214" s="380">
        <f t="shared" si="13"/>
        <v>0.39189189189189189</v>
      </c>
      <c r="M214" s="34">
        <f t="shared" si="14"/>
        <v>244</v>
      </c>
      <c r="N214" s="111">
        <v>43281</v>
      </c>
      <c r="O214" s="34">
        <f t="shared" si="15"/>
        <v>123</v>
      </c>
      <c r="P214" s="381">
        <f t="shared" si="16"/>
        <v>0.49590163934426229</v>
      </c>
    </row>
    <row r="215" spans="1:16" ht="18.75" customHeight="1">
      <c r="A215" s="372">
        <f t="shared" si="17"/>
        <v>167</v>
      </c>
      <c r="B215" s="385" t="s">
        <v>3014</v>
      </c>
      <c r="C215" s="382" t="s">
        <v>3015</v>
      </c>
      <c r="D215" s="110">
        <v>43191</v>
      </c>
      <c r="E215" s="111">
        <v>43555</v>
      </c>
      <c r="F215" s="114">
        <f t="shared" si="12"/>
        <v>0.24725274725274726</v>
      </c>
      <c r="G215" s="382">
        <v>573999.99</v>
      </c>
      <c r="H215" s="382">
        <v>573999.99</v>
      </c>
      <c r="I215" s="386">
        <v>142799.99</v>
      </c>
      <c r="J215" s="380">
        <f t="shared" si="13"/>
        <v>0.24878047471742987</v>
      </c>
      <c r="M215" s="34">
        <f t="shared" si="14"/>
        <v>364</v>
      </c>
      <c r="N215" s="111">
        <v>43281</v>
      </c>
      <c r="O215" s="34">
        <f t="shared" si="15"/>
        <v>274</v>
      </c>
      <c r="P215" s="381">
        <f t="shared" si="16"/>
        <v>0.24725274725274726</v>
      </c>
    </row>
    <row r="216" spans="1:16" ht="18.75" customHeight="1">
      <c r="A216" s="372">
        <f t="shared" si="17"/>
        <v>168</v>
      </c>
      <c r="B216" s="385" t="s">
        <v>3032</v>
      </c>
      <c r="C216" s="382" t="s">
        <v>3033</v>
      </c>
      <c r="D216" s="110">
        <v>43101</v>
      </c>
      <c r="E216" s="111">
        <v>43646</v>
      </c>
      <c r="F216" s="114">
        <f t="shared" si="12"/>
        <v>0.33027522935779818</v>
      </c>
      <c r="G216" s="382">
        <v>223999.99</v>
      </c>
      <c r="H216" s="382">
        <v>223999.99</v>
      </c>
      <c r="I216" s="386">
        <v>111999.99</v>
      </c>
      <c r="J216" s="380">
        <f t="shared" si="13"/>
        <v>0.49999997767857046</v>
      </c>
      <c r="M216" s="34">
        <f t="shared" si="14"/>
        <v>545</v>
      </c>
      <c r="N216" s="111">
        <v>43281</v>
      </c>
      <c r="O216" s="34">
        <f t="shared" si="15"/>
        <v>365</v>
      </c>
      <c r="P216" s="381">
        <f t="shared" si="16"/>
        <v>0.33027522935779818</v>
      </c>
    </row>
    <row r="217" spans="1:16" ht="18.75" customHeight="1">
      <c r="A217" s="372">
        <f t="shared" si="17"/>
        <v>169</v>
      </c>
      <c r="B217" s="385" t="s">
        <v>3133</v>
      </c>
      <c r="C217" s="382" t="s">
        <v>3134</v>
      </c>
      <c r="D217" s="110">
        <v>43221</v>
      </c>
      <c r="E217" s="111">
        <v>43373</v>
      </c>
      <c r="F217" s="114">
        <f t="shared" si="12"/>
        <v>0.39473684210526316</v>
      </c>
      <c r="G217" s="382">
        <v>57086.89</v>
      </c>
      <c r="H217" s="382">
        <v>57086.89</v>
      </c>
      <c r="I217" s="386">
        <v>44799.96</v>
      </c>
      <c r="J217" s="380">
        <f t="shared" si="13"/>
        <v>0.7847679213213401</v>
      </c>
      <c r="M217" s="34">
        <f t="shared" si="14"/>
        <v>152</v>
      </c>
      <c r="N217" s="111">
        <v>43281</v>
      </c>
      <c r="O217" s="34">
        <f t="shared" si="15"/>
        <v>92</v>
      </c>
      <c r="P217" s="381">
        <f t="shared" si="16"/>
        <v>0.39473684210526316</v>
      </c>
    </row>
    <row r="218" spans="1:16" ht="18.75" customHeight="1">
      <c r="A218" s="372">
        <f t="shared" si="17"/>
        <v>170</v>
      </c>
      <c r="B218" s="385" t="s">
        <v>3127</v>
      </c>
      <c r="C218" s="382" t="s">
        <v>3128</v>
      </c>
      <c r="D218" s="110">
        <v>43221</v>
      </c>
      <c r="E218" s="111">
        <v>43312</v>
      </c>
      <c r="F218" s="114">
        <f t="shared" si="12"/>
        <v>0.65934065934065933</v>
      </c>
      <c r="G218" s="382">
        <v>68999.94</v>
      </c>
      <c r="H218" s="382">
        <v>68999.94</v>
      </c>
      <c r="I218" s="386">
        <v>45999.96</v>
      </c>
      <c r="J218" s="380">
        <f t="shared" si="13"/>
        <v>0.66666666666666663</v>
      </c>
      <c r="M218" s="34">
        <f t="shared" si="14"/>
        <v>91</v>
      </c>
      <c r="N218" s="111">
        <v>43281</v>
      </c>
      <c r="O218" s="34">
        <f t="shared" si="15"/>
        <v>31</v>
      </c>
      <c r="P218" s="381">
        <f t="shared" si="16"/>
        <v>0.65934065934065933</v>
      </c>
    </row>
    <row r="219" spans="1:16" ht="18.75" customHeight="1">
      <c r="A219" s="372">
        <f t="shared" si="17"/>
        <v>171</v>
      </c>
      <c r="B219" s="385" t="s">
        <v>3210</v>
      </c>
      <c r="C219" s="382" t="s">
        <v>3211</v>
      </c>
      <c r="D219" s="110">
        <v>43101</v>
      </c>
      <c r="E219" s="111">
        <v>43465</v>
      </c>
      <c r="F219" s="114">
        <f t="shared" si="12"/>
        <v>0.49450549450549453</v>
      </c>
      <c r="G219" s="382">
        <v>34500</v>
      </c>
      <c r="H219" s="382">
        <v>34500</v>
      </c>
      <c r="I219" s="386">
        <v>17250</v>
      </c>
      <c r="J219" s="380">
        <f t="shared" si="13"/>
        <v>0.5</v>
      </c>
      <c r="M219" s="34">
        <f t="shared" si="14"/>
        <v>364</v>
      </c>
      <c r="N219" s="111">
        <v>43281</v>
      </c>
      <c r="O219" s="34">
        <f t="shared" si="15"/>
        <v>184</v>
      </c>
      <c r="P219" s="381">
        <f t="shared" si="16"/>
        <v>0.49450549450549453</v>
      </c>
    </row>
    <row r="220" spans="1:16" ht="18.75" customHeight="1">
      <c r="A220" s="372">
        <f t="shared" si="17"/>
        <v>172</v>
      </c>
      <c r="B220" s="385" t="s">
        <v>3060</v>
      </c>
      <c r="C220" s="382" t="s">
        <v>3061</v>
      </c>
      <c r="D220" s="110">
        <v>43132</v>
      </c>
      <c r="E220" s="111">
        <v>43465</v>
      </c>
      <c r="F220" s="114">
        <f t="shared" si="12"/>
        <v>0.44744744744744747</v>
      </c>
      <c r="G220" s="382">
        <v>206999.82</v>
      </c>
      <c r="H220" s="382">
        <v>206999.82</v>
      </c>
      <c r="I220" s="386">
        <v>82799.98</v>
      </c>
      <c r="J220" s="380">
        <f t="shared" si="13"/>
        <v>0.40000025120794785</v>
      </c>
      <c r="M220" s="34">
        <f t="shared" si="14"/>
        <v>333</v>
      </c>
      <c r="N220" s="111">
        <v>43281</v>
      </c>
      <c r="O220" s="34">
        <f t="shared" si="15"/>
        <v>184</v>
      </c>
      <c r="P220" s="381">
        <f t="shared" si="16"/>
        <v>0.44744744744744747</v>
      </c>
    </row>
    <row r="221" spans="1:16" ht="18.75" customHeight="1">
      <c r="A221" s="372">
        <f t="shared" si="17"/>
        <v>173</v>
      </c>
      <c r="B221" s="385" t="s">
        <v>3230</v>
      </c>
      <c r="C221" s="382" t="s">
        <v>3231</v>
      </c>
      <c r="D221" s="110">
        <v>43132</v>
      </c>
      <c r="E221" s="111">
        <v>43404</v>
      </c>
      <c r="F221" s="114">
        <f t="shared" si="12"/>
        <v>0.54779411764705888</v>
      </c>
      <c r="G221" s="382">
        <v>23000</v>
      </c>
      <c r="H221" s="382">
        <v>23000</v>
      </c>
      <c r="I221" s="386">
        <v>13800</v>
      </c>
      <c r="J221" s="380">
        <f t="shared" si="13"/>
        <v>0.6</v>
      </c>
      <c r="M221" s="34">
        <f t="shared" si="14"/>
        <v>272</v>
      </c>
      <c r="N221" s="111">
        <v>43281</v>
      </c>
      <c r="O221" s="34">
        <f t="shared" si="15"/>
        <v>123</v>
      </c>
      <c r="P221" s="381">
        <f t="shared" si="16"/>
        <v>0.54779411764705888</v>
      </c>
    </row>
    <row r="222" spans="1:16" ht="18.75" customHeight="1">
      <c r="A222" s="372">
        <f t="shared" si="17"/>
        <v>174</v>
      </c>
      <c r="B222" s="385" t="s">
        <v>3046</v>
      </c>
      <c r="C222" s="382" t="s">
        <v>3047</v>
      </c>
      <c r="D222" s="110">
        <v>43160</v>
      </c>
      <c r="E222" s="111">
        <v>43799</v>
      </c>
      <c r="F222" s="114">
        <f t="shared" si="12"/>
        <v>0.18935837245696402</v>
      </c>
      <c r="G222" s="382">
        <v>559999.96</v>
      </c>
      <c r="H222" s="382">
        <v>559999.96</v>
      </c>
      <c r="I222" s="386">
        <v>98000</v>
      </c>
      <c r="J222" s="380">
        <f t="shared" si="13"/>
        <v>0.17500001250000091</v>
      </c>
      <c r="M222" s="34">
        <f t="shared" si="14"/>
        <v>639</v>
      </c>
      <c r="N222" s="111">
        <v>43281</v>
      </c>
      <c r="O222" s="34">
        <f t="shared" si="15"/>
        <v>518</v>
      </c>
      <c r="P222" s="381">
        <f t="shared" si="16"/>
        <v>0.18935837245696402</v>
      </c>
    </row>
    <row r="223" spans="1:16" ht="18.75" customHeight="1">
      <c r="A223" s="372">
        <f t="shared" si="17"/>
        <v>175</v>
      </c>
      <c r="B223" s="385" t="s">
        <v>3052</v>
      </c>
      <c r="C223" s="382" t="s">
        <v>3053</v>
      </c>
      <c r="D223" s="110">
        <v>43132</v>
      </c>
      <c r="E223" s="111">
        <v>43465</v>
      </c>
      <c r="F223" s="114">
        <f t="shared" si="12"/>
        <v>0.44744744744744747</v>
      </c>
      <c r="G223" s="382">
        <v>223099.21</v>
      </c>
      <c r="H223" s="382">
        <v>223099.21</v>
      </c>
      <c r="I223" s="386">
        <v>89239.62</v>
      </c>
      <c r="J223" s="380">
        <f t="shared" si="13"/>
        <v>0.39999971313210836</v>
      </c>
      <c r="M223" s="34">
        <f t="shared" si="14"/>
        <v>333</v>
      </c>
      <c r="N223" s="111">
        <v>43281</v>
      </c>
      <c r="O223" s="34">
        <f t="shared" si="15"/>
        <v>184</v>
      </c>
      <c r="P223" s="381">
        <f t="shared" si="16"/>
        <v>0.44744744744744747</v>
      </c>
    </row>
    <row r="224" spans="1:16" ht="18.75" customHeight="1">
      <c r="A224" s="372">
        <f t="shared" si="17"/>
        <v>176</v>
      </c>
      <c r="B224" s="385" t="s">
        <v>3190</v>
      </c>
      <c r="C224" s="382" t="s">
        <v>3191</v>
      </c>
      <c r="D224" s="110">
        <v>43191</v>
      </c>
      <c r="E224" s="111">
        <v>43465</v>
      </c>
      <c r="F224" s="114">
        <f t="shared" si="12"/>
        <v>0.32846715328467152</v>
      </c>
      <c r="G224" s="382">
        <v>69000</v>
      </c>
      <c r="H224" s="382">
        <v>69000</v>
      </c>
      <c r="I224" s="386">
        <v>23000</v>
      </c>
      <c r="J224" s="380">
        <f t="shared" si="13"/>
        <v>0.33333333333333331</v>
      </c>
      <c r="M224" s="34">
        <f t="shared" si="14"/>
        <v>274</v>
      </c>
      <c r="N224" s="111">
        <v>43281</v>
      </c>
      <c r="O224" s="34">
        <f t="shared" si="15"/>
        <v>184</v>
      </c>
      <c r="P224" s="381">
        <f t="shared" si="16"/>
        <v>0.32846715328467152</v>
      </c>
    </row>
    <row r="225" spans="1:16" s="387" customFormat="1" ht="20.100000000000001" customHeight="1">
      <c r="A225" s="706" t="str">
        <f>$A$1</f>
        <v>KENTUCKY UTILITIES COMPANY</v>
      </c>
      <c r="B225" s="706"/>
      <c r="C225" s="706"/>
      <c r="D225" s="706"/>
      <c r="E225" s="706"/>
      <c r="F225" s="706"/>
      <c r="G225" s="706"/>
      <c r="H225" s="706"/>
      <c r="I225" s="706"/>
      <c r="J225" s="706"/>
    </row>
    <row r="226" spans="1:16" s="387" customFormat="1" ht="20.100000000000001" customHeight="1">
      <c r="A226" s="706" t="str">
        <f>$A$2</f>
        <v>CASE NO. 2016-00370</v>
      </c>
      <c r="B226" s="706"/>
      <c r="C226" s="706"/>
      <c r="D226" s="706"/>
      <c r="E226" s="706"/>
      <c r="F226" s="706"/>
      <c r="G226" s="706"/>
      <c r="H226" s="706"/>
      <c r="I226" s="706"/>
      <c r="J226" s="706"/>
    </row>
    <row r="227" spans="1:16" s="387" customFormat="1" ht="20.100000000000001" customHeight="1">
      <c r="A227" s="706" t="s">
        <v>1225</v>
      </c>
      <c r="B227" s="706"/>
      <c r="C227" s="706"/>
      <c r="D227" s="706"/>
      <c r="E227" s="706"/>
      <c r="F227" s="706"/>
      <c r="G227" s="706"/>
      <c r="H227" s="706"/>
      <c r="I227" s="706"/>
      <c r="J227" s="706"/>
    </row>
    <row r="228" spans="1:16" s="387" customFormat="1" ht="20.100000000000001" customHeight="1">
      <c r="A228" s="706" t="str">
        <f>$A$4</f>
        <v>AS OF JUNE 30, 2018</v>
      </c>
      <c r="B228" s="706"/>
      <c r="C228" s="706"/>
      <c r="D228" s="706"/>
      <c r="E228" s="706"/>
      <c r="F228" s="706"/>
      <c r="G228" s="706"/>
      <c r="H228" s="706"/>
      <c r="I228" s="706"/>
      <c r="J228" s="706"/>
    </row>
    <row r="229" spans="1:16" s="387" customFormat="1" ht="20.100000000000001" customHeight="1">
      <c r="A229" s="370"/>
      <c r="B229" s="370"/>
      <c r="C229" s="370"/>
      <c r="D229" s="370"/>
      <c r="E229" s="370"/>
      <c r="F229" s="370"/>
      <c r="G229" s="370"/>
      <c r="H229" s="370"/>
      <c r="I229" s="370"/>
      <c r="J229" s="370"/>
    </row>
    <row r="230" spans="1:16" s="387" customFormat="1" ht="20.100000000000001" customHeight="1">
      <c r="A230" s="27" t="str">
        <f>$A$6</f>
        <v>DATA:____BASE  PERIOD__X__FORECASTED  PERIOD</v>
      </c>
      <c r="B230" s="371"/>
      <c r="C230" s="28"/>
      <c r="D230" s="109"/>
      <c r="E230" s="109"/>
      <c r="F230" s="28"/>
      <c r="G230" s="34"/>
      <c r="H230" s="34"/>
      <c r="I230" s="34"/>
      <c r="J230" s="34" t="s">
        <v>1767</v>
      </c>
    </row>
    <row r="231" spans="1:16" s="387" customFormat="1" ht="20.100000000000001" customHeight="1">
      <c r="A231" s="27" t="str">
        <f>$A$7</f>
        <v>TYPE OF FILING: __X__ ORIGINAL  _____ UPDATED  _____ REVISED</v>
      </c>
      <c r="B231" s="372"/>
      <c r="C231" s="28"/>
      <c r="D231" s="109"/>
      <c r="E231" s="109"/>
      <c r="F231" s="28"/>
      <c r="G231" s="34"/>
      <c r="H231" s="34"/>
      <c r="I231" s="34"/>
      <c r="J231" s="34" t="s">
        <v>3256</v>
      </c>
    </row>
    <row r="232" spans="1:16" s="387" customFormat="1" ht="20.100000000000001" customHeight="1">
      <c r="A232" s="27" t="str">
        <f>$A$8</f>
        <v>WORKPAPER REFERENCE NO(S).:</v>
      </c>
      <c r="B232" s="371"/>
      <c r="C232" s="28"/>
      <c r="D232" s="109"/>
      <c r="E232" s="109"/>
      <c r="F232" s="27"/>
      <c r="G232" s="35"/>
      <c r="H232" s="35"/>
      <c r="I232" s="35"/>
      <c r="J232" s="35" t="str">
        <f>$J$8</f>
        <v>WITNESS:   C. M. GARRETT</v>
      </c>
    </row>
    <row r="233" spans="1:16" s="387" customFormat="1" ht="20.100000000000001" customHeight="1">
      <c r="A233" s="28"/>
      <c r="B233" s="372"/>
      <c r="C233" s="28"/>
      <c r="D233" s="109"/>
      <c r="E233" s="109"/>
      <c r="F233" s="28"/>
      <c r="G233" s="28"/>
      <c r="H233" s="28"/>
      <c r="I233" s="28"/>
      <c r="J233" s="28"/>
    </row>
    <row r="234" spans="1:16" ht="66.95" customHeight="1">
      <c r="A234" s="36" t="s">
        <v>134</v>
      </c>
      <c r="B234" s="36" t="s">
        <v>1228</v>
      </c>
      <c r="C234" s="36" t="s">
        <v>1229</v>
      </c>
      <c r="D234" s="107" t="s">
        <v>1231</v>
      </c>
      <c r="E234" s="107" t="s">
        <v>1232</v>
      </c>
      <c r="F234" s="36" t="s">
        <v>1233</v>
      </c>
      <c r="G234" s="36" t="s">
        <v>1234</v>
      </c>
      <c r="H234" s="36" t="s">
        <v>1235</v>
      </c>
      <c r="I234" s="36" t="s">
        <v>1236</v>
      </c>
      <c r="J234" s="36" t="s">
        <v>1237</v>
      </c>
      <c r="M234" s="115" t="s">
        <v>1245</v>
      </c>
      <c r="N234" s="115" t="s">
        <v>1246</v>
      </c>
      <c r="O234" s="115" t="s">
        <v>1247</v>
      </c>
      <c r="P234" s="115" t="s">
        <v>1233</v>
      </c>
    </row>
    <row r="235" spans="1:16" s="387" customFormat="1" ht="23.1" customHeight="1">
      <c r="A235" s="40" t="s">
        <v>1226</v>
      </c>
      <c r="B235" s="40" t="s">
        <v>1227</v>
      </c>
      <c r="C235" s="40" t="s">
        <v>1230</v>
      </c>
      <c r="D235" s="383" t="s">
        <v>1238</v>
      </c>
      <c r="E235" s="383" t="s">
        <v>1239</v>
      </c>
      <c r="F235" s="384" t="s">
        <v>1240</v>
      </c>
      <c r="G235" s="384" t="s">
        <v>1241</v>
      </c>
      <c r="H235" s="384" t="s">
        <v>1242</v>
      </c>
      <c r="I235" s="384" t="s">
        <v>1243</v>
      </c>
      <c r="J235" s="384" t="s">
        <v>1244</v>
      </c>
    </row>
    <row r="236" spans="1:16" s="387" customFormat="1" ht="18.95" customHeight="1">
      <c r="A236" s="33"/>
      <c r="B236" s="33"/>
      <c r="C236" s="33"/>
      <c r="D236" s="388"/>
      <c r="E236" s="388"/>
      <c r="F236" s="389"/>
      <c r="G236" s="389"/>
      <c r="H236" s="389"/>
      <c r="I236" s="389"/>
      <c r="J236" s="389"/>
    </row>
    <row r="237" spans="1:16" ht="18.75" customHeight="1">
      <c r="A237" s="372">
        <f>A224+1</f>
        <v>177</v>
      </c>
      <c r="B237" s="385" t="s">
        <v>3220</v>
      </c>
      <c r="C237" s="382" t="s">
        <v>3221</v>
      </c>
      <c r="D237" s="110">
        <v>43160</v>
      </c>
      <c r="E237" s="111">
        <v>43404</v>
      </c>
      <c r="F237" s="114">
        <f t="shared" si="12"/>
        <v>0.49590163934426229</v>
      </c>
      <c r="G237" s="382">
        <v>34960</v>
      </c>
      <c r="H237" s="382">
        <v>34960</v>
      </c>
      <c r="I237" s="386">
        <v>15640</v>
      </c>
      <c r="J237" s="380">
        <f t="shared" si="13"/>
        <v>0.44736842105263158</v>
      </c>
      <c r="M237" s="34">
        <f t="shared" si="14"/>
        <v>244</v>
      </c>
      <c r="N237" s="111">
        <v>43281</v>
      </c>
      <c r="O237" s="34">
        <f t="shared" si="15"/>
        <v>123</v>
      </c>
      <c r="P237" s="381">
        <f t="shared" si="16"/>
        <v>0.49590163934426229</v>
      </c>
    </row>
    <row r="238" spans="1:16" ht="18.75" customHeight="1">
      <c r="A238" s="372">
        <f t="shared" si="17"/>
        <v>178</v>
      </c>
      <c r="B238" s="385" t="s">
        <v>2970</v>
      </c>
      <c r="C238" s="382" t="s">
        <v>2971</v>
      </c>
      <c r="D238" s="110">
        <v>43101</v>
      </c>
      <c r="E238" s="111">
        <v>43404</v>
      </c>
      <c r="F238" s="114">
        <f t="shared" si="12"/>
        <v>0.59405940594059403</v>
      </c>
      <c r="G238" s="382">
        <v>531999.99</v>
      </c>
      <c r="H238" s="382">
        <v>531999.99</v>
      </c>
      <c r="I238" s="386">
        <v>319199.99</v>
      </c>
      <c r="J238" s="380">
        <f t="shared" si="13"/>
        <v>0.59999999248120284</v>
      </c>
      <c r="M238" s="34">
        <f t="shared" si="14"/>
        <v>303</v>
      </c>
      <c r="N238" s="111">
        <v>43281</v>
      </c>
      <c r="O238" s="34">
        <f t="shared" si="15"/>
        <v>123</v>
      </c>
      <c r="P238" s="381">
        <f t="shared" si="16"/>
        <v>0.59405940594059403</v>
      </c>
    </row>
    <row r="239" spans="1:16" ht="18.75" customHeight="1">
      <c r="A239" s="372">
        <f t="shared" si="17"/>
        <v>179</v>
      </c>
      <c r="B239" s="385" t="s">
        <v>3082</v>
      </c>
      <c r="C239" s="382" t="s">
        <v>3083</v>
      </c>
      <c r="D239" s="110">
        <v>43101</v>
      </c>
      <c r="E239" s="111">
        <v>43465</v>
      </c>
      <c r="F239" s="114">
        <f t="shared" si="12"/>
        <v>0.49450549450549453</v>
      </c>
      <c r="G239" s="382">
        <v>140000</v>
      </c>
      <c r="H239" s="382">
        <v>140000</v>
      </c>
      <c r="I239" s="386">
        <v>67200</v>
      </c>
      <c r="J239" s="380">
        <f t="shared" si="13"/>
        <v>0.48</v>
      </c>
      <c r="M239" s="34">
        <f t="shared" si="14"/>
        <v>364</v>
      </c>
      <c r="N239" s="111">
        <v>43281</v>
      </c>
      <c r="O239" s="34">
        <f t="shared" si="15"/>
        <v>184</v>
      </c>
      <c r="P239" s="381">
        <f t="shared" si="16"/>
        <v>0.49450549450549453</v>
      </c>
    </row>
    <row r="240" spans="1:16" ht="18.75" customHeight="1">
      <c r="A240" s="372">
        <f t="shared" si="17"/>
        <v>180</v>
      </c>
      <c r="B240" s="385" t="s">
        <v>3123</v>
      </c>
      <c r="C240" s="382" t="s">
        <v>3124</v>
      </c>
      <c r="D240" s="110">
        <v>43101</v>
      </c>
      <c r="E240" s="111">
        <v>43434</v>
      </c>
      <c r="F240" s="114">
        <f t="shared" si="12"/>
        <v>0.54054054054054057</v>
      </c>
      <c r="G240" s="382">
        <v>91999.54</v>
      </c>
      <c r="H240" s="382">
        <v>91999.54</v>
      </c>
      <c r="I240" s="386">
        <v>48299.74</v>
      </c>
      <c r="J240" s="380">
        <f t="shared" si="13"/>
        <v>0.52499979891203807</v>
      </c>
      <c r="M240" s="34">
        <f t="shared" si="14"/>
        <v>333</v>
      </c>
      <c r="N240" s="111">
        <v>43281</v>
      </c>
      <c r="O240" s="34">
        <f t="shared" si="15"/>
        <v>153</v>
      </c>
      <c r="P240" s="381">
        <f t="shared" si="16"/>
        <v>0.54054054054054057</v>
      </c>
    </row>
    <row r="241" spans="1:16" ht="18.75" customHeight="1">
      <c r="A241" s="372">
        <f t="shared" si="17"/>
        <v>181</v>
      </c>
      <c r="B241" s="385" t="s">
        <v>3182</v>
      </c>
      <c r="C241" s="382" t="s">
        <v>3183</v>
      </c>
      <c r="D241" s="110">
        <v>43101</v>
      </c>
      <c r="E241" s="111">
        <v>43465</v>
      </c>
      <c r="F241" s="114">
        <f t="shared" si="12"/>
        <v>0.49450549450549453</v>
      </c>
      <c r="G241" s="382">
        <v>48760</v>
      </c>
      <c r="H241" s="382">
        <v>48760</v>
      </c>
      <c r="I241" s="386">
        <v>26680</v>
      </c>
      <c r="J241" s="380">
        <f t="shared" si="13"/>
        <v>0.54716981132075471</v>
      </c>
      <c r="M241" s="34">
        <f t="shared" si="14"/>
        <v>364</v>
      </c>
      <c r="N241" s="111">
        <v>43281</v>
      </c>
      <c r="O241" s="34">
        <f t="shared" si="15"/>
        <v>184</v>
      </c>
      <c r="P241" s="381">
        <f t="shared" si="16"/>
        <v>0.49450549450549453</v>
      </c>
    </row>
    <row r="242" spans="1:16" ht="18.75" customHeight="1">
      <c r="A242" s="372">
        <f t="shared" si="17"/>
        <v>182</v>
      </c>
      <c r="B242" s="385" t="s">
        <v>3226</v>
      </c>
      <c r="C242" s="382" t="s">
        <v>3227</v>
      </c>
      <c r="D242" s="110">
        <v>43252</v>
      </c>
      <c r="E242" s="111">
        <v>43312</v>
      </c>
      <c r="F242" s="114">
        <f t="shared" si="12"/>
        <v>0.48333333333333334</v>
      </c>
      <c r="G242" s="382">
        <v>28000</v>
      </c>
      <c r="H242" s="382">
        <v>28000</v>
      </c>
      <c r="I242" s="386">
        <v>14000</v>
      </c>
      <c r="J242" s="380">
        <f t="shared" si="13"/>
        <v>0.5</v>
      </c>
      <c r="M242" s="34">
        <f t="shared" si="14"/>
        <v>60</v>
      </c>
      <c r="N242" s="111">
        <v>43281</v>
      </c>
      <c r="O242" s="34">
        <f t="shared" si="15"/>
        <v>31</v>
      </c>
      <c r="P242" s="381">
        <f t="shared" si="16"/>
        <v>0.48333333333333334</v>
      </c>
    </row>
    <row r="243" spans="1:16" ht="18.75" customHeight="1">
      <c r="A243" s="372">
        <f t="shared" si="17"/>
        <v>183</v>
      </c>
      <c r="B243" s="385" t="s">
        <v>3246</v>
      </c>
      <c r="C243" s="382" t="s">
        <v>3247</v>
      </c>
      <c r="D243" s="110">
        <v>43132</v>
      </c>
      <c r="E243" s="111">
        <v>43434</v>
      </c>
      <c r="F243" s="114">
        <f t="shared" si="12"/>
        <v>0.49337748344370863</v>
      </c>
      <c r="G243" s="382">
        <v>18400</v>
      </c>
      <c r="H243" s="382">
        <v>18400</v>
      </c>
      <c r="I243" s="386">
        <v>9200</v>
      </c>
      <c r="J243" s="380">
        <f t="shared" si="13"/>
        <v>0.5</v>
      </c>
      <c r="M243" s="34">
        <f t="shared" si="14"/>
        <v>302</v>
      </c>
      <c r="N243" s="111">
        <v>43281</v>
      </c>
      <c r="O243" s="34">
        <f t="shared" si="15"/>
        <v>153</v>
      </c>
      <c r="P243" s="381">
        <f t="shared" si="16"/>
        <v>0.49337748344370863</v>
      </c>
    </row>
    <row r="244" spans="1:16" ht="18.75" customHeight="1">
      <c r="A244" s="372">
        <f t="shared" si="17"/>
        <v>184</v>
      </c>
      <c r="B244" s="385" t="s">
        <v>3180</v>
      </c>
      <c r="C244" s="382" t="s">
        <v>3181</v>
      </c>
      <c r="D244" s="110">
        <v>43132</v>
      </c>
      <c r="E244" s="111">
        <v>43465</v>
      </c>
      <c r="F244" s="114">
        <f t="shared" si="12"/>
        <v>0.44744744744744747</v>
      </c>
      <c r="G244" s="382">
        <v>68999.17</v>
      </c>
      <c r="H244" s="382">
        <v>68999.17</v>
      </c>
      <c r="I244" s="386">
        <v>27599.62</v>
      </c>
      <c r="J244" s="380">
        <f t="shared" si="13"/>
        <v>0.39999930433945802</v>
      </c>
      <c r="M244" s="34">
        <f t="shared" si="14"/>
        <v>333</v>
      </c>
      <c r="N244" s="111">
        <v>43281</v>
      </c>
      <c r="O244" s="34">
        <f t="shared" si="15"/>
        <v>184</v>
      </c>
      <c r="P244" s="381">
        <f t="shared" si="16"/>
        <v>0.44744744744744747</v>
      </c>
    </row>
    <row r="245" spans="1:16" ht="18.75" customHeight="1">
      <c r="A245" s="372">
        <f t="shared" si="17"/>
        <v>185</v>
      </c>
      <c r="B245" s="385" t="s">
        <v>3236</v>
      </c>
      <c r="C245" s="382" t="s">
        <v>3237</v>
      </c>
      <c r="D245" s="110">
        <v>43221</v>
      </c>
      <c r="E245" s="111">
        <v>43343</v>
      </c>
      <c r="F245" s="114">
        <f t="shared" si="12"/>
        <v>0.49180327868852458</v>
      </c>
      <c r="G245" s="382">
        <v>23000</v>
      </c>
      <c r="H245" s="382">
        <v>23000</v>
      </c>
      <c r="I245" s="386">
        <v>11500</v>
      </c>
      <c r="J245" s="380">
        <f t="shared" si="13"/>
        <v>0.5</v>
      </c>
      <c r="M245" s="34">
        <f t="shared" si="14"/>
        <v>122</v>
      </c>
      <c r="N245" s="111">
        <v>43281</v>
      </c>
      <c r="O245" s="34">
        <f t="shared" si="15"/>
        <v>62</v>
      </c>
      <c r="P245" s="381">
        <f t="shared" si="16"/>
        <v>0.49180327868852458</v>
      </c>
    </row>
    <row r="246" spans="1:16" ht="18.75" customHeight="1">
      <c r="A246" s="372">
        <f t="shared" si="17"/>
        <v>186</v>
      </c>
      <c r="B246" s="385" t="s">
        <v>3163</v>
      </c>
      <c r="C246" s="382" t="s">
        <v>3164</v>
      </c>
      <c r="D246" s="110">
        <v>43101</v>
      </c>
      <c r="E246" s="111">
        <v>43434</v>
      </c>
      <c r="F246" s="114">
        <f t="shared" si="12"/>
        <v>0.54054054054054057</v>
      </c>
      <c r="G246" s="382">
        <v>57500</v>
      </c>
      <c r="H246" s="382">
        <v>57500</v>
      </c>
      <c r="I246" s="386">
        <v>32660</v>
      </c>
      <c r="J246" s="380">
        <f t="shared" si="13"/>
        <v>0.56799999999999995</v>
      </c>
      <c r="M246" s="34">
        <f t="shared" si="14"/>
        <v>333</v>
      </c>
      <c r="N246" s="111">
        <v>43281</v>
      </c>
      <c r="O246" s="34">
        <f t="shared" si="15"/>
        <v>153</v>
      </c>
      <c r="P246" s="381">
        <f t="shared" si="16"/>
        <v>0.54054054054054057</v>
      </c>
    </row>
    <row r="247" spans="1:16" ht="18.75" customHeight="1">
      <c r="A247" s="372">
        <f t="shared" si="17"/>
        <v>187</v>
      </c>
      <c r="B247" s="385" t="s">
        <v>3155</v>
      </c>
      <c r="C247" s="382" t="s">
        <v>3156</v>
      </c>
      <c r="D247" s="110">
        <v>43221</v>
      </c>
      <c r="E247" s="111">
        <v>43343</v>
      </c>
      <c r="F247" s="114">
        <f t="shared" si="12"/>
        <v>0.49180327868852458</v>
      </c>
      <c r="G247" s="382">
        <v>69999.990000000005</v>
      </c>
      <c r="H247" s="382">
        <v>69999.990000000005</v>
      </c>
      <c r="I247" s="386">
        <v>34999.990000000005</v>
      </c>
      <c r="J247" s="380">
        <f t="shared" si="13"/>
        <v>0.49999992857141839</v>
      </c>
      <c r="M247" s="34">
        <f t="shared" si="14"/>
        <v>122</v>
      </c>
      <c r="N247" s="111">
        <v>43281</v>
      </c>
      <c r="O247" s="34">
        <f t="shared" si="15"/>
        <v>62</v>
      </c>
      <c r="P247" s="381">
        <f t="shared" si="16"/>
        <v>0.49180327868852458</v>
      </c>
    </row>
    <row r="248" spans="1:16" ht="18.75" customHeight="1">
      <c r="A248" s="372">
        <f t="shared" si="17"/>
        <v>188</v>
      </c>
      <c r="B248" s="385" t="s">
        <v>2976</v>
      </c>
      <c r="C248" s="382" t="s">
        <v>2977</v>
      </c>
      <c r="D248" s="110">
        <v>43101</v>
      </c>
      <c r="E248" s="111">
        <v>43465</v>
      </c>
      <c r="F248" s="114">
        <f t="shared" si="12"/>
        <v>0.49450549450549453</v>
      </c>
      <c r="G248" s="382">
        <v>400199.54</v>
      </c>
      <c r="H248" s="382">
        <v>400199.54</v>
      </c>
      <c r="I248" s="386">
        <v>257599.81</v>
      </c>
      <c r="J248" s="380">
        <f t="shared" si="13"/>
        <v>0.64367842601718139</v>
      </c>
      <c r="M248" s="34">
        <f t="shared" si="14"/>
        <v>364</v>
      </c>
      <c r="N248" s="111">
        <v>43281</v>
      </c>
      <c r="O248" s="34">
        <f t="shared" si="15"/>
        <v>184</v>
      </c>
      <c r="P248" s="381">
        <f t="shared" si="16"/>
        <v>0.49450549450549453</v>
      </c>
    </row>
    <row r="249" spans="1:16" ht="18.75" customHeight="1">
      <c r="A249" s="372">
        <f t="shared" si="17"/>
        <v>189</v>
      </c>
      <c r="B249" s="385" t="s">
        <v>3141</v>
      </c>
      <c r="C249" s="382" t="s">
        <v>3142</v>
      </c>
      <c r="D249" s="110">
        <v>43101</v>
      </c>
      <c r="E249" s="111">
        <v>43465</v>
      </c>
      <c r="F249" s="114">
        <f t="shared" si="12"/>
        <v>0.49450549450549453</v>
      </c>
      <c r="G249" s="382">
        <v>91999.42</v>
      </c>
      <c r="H249" s="382">
        <v>91999.42</v>
      </c>
      <c r="I249" s="386">
        <v>41399.71</v>
      </c>
      <c r="J249" s="380">
        <f t="shared" si="13"/>
        <v>0.44999968478062147</v>
      </c>
      <c r="M249" s="34">
        <f t="shared" si="14"/>
        <v>364</v>
      </c>
      <c r="N249" s="111">
        <v>43281</v>
      </c>
      <c r="O249" s="34">
        <f t="shared" si="15"/>
        <v>184</v>
      </c>
      <c r="P249" s="381">
        <f t="shared" si="16"/>
        <v>0.49450549450549453</v>
      </c>
    </row>
    <row r="250" spans="1:16" ht="18.75" customHeight="1">
      <c r="A250" s="372">
        <f t="shared" si="17"/>
        <v>190</v>
      </c>
      <c r="B250" s="385" t="s">
        <v>3119</v>
      </c>
      <c r="C250" s="382" t="s">
        <v>3120</v>
      </c>
      <c r="D250" s="110">
        <v>43221</v>
      </c>
      <c r="E250" s="111">
        <v>43312</v>
      </c>
      <c r="F250" s="114">
        <f t="shared" si="12"/>
        <v>0.65934065934065933</v>
      </c>
      <c r="G250" s="382">
        <v>74999.990000000005</v>
      </c>
      <c r="H250" s="382">
        <v>74999.990000000005</v>
      </c>
      <c r="I250" s="386">
        <v>49999.990000000005</v>
      </c>
      <c r="J250" s="380">
        <f t="shared" si="13"/>
        <v>0.66666662222221629</v>
      </c>
      <c r="M250" s="34">
        <f t="shared" si="14"/>
        <v>91</v>
      </c>
      <c r="N250" s="111">
        <v>43281</v>
      </c>
      <c r="O250" s="34">
        <f t="shared" si="15"/>
        <v>31</v>
      </c>
      <c r="P250" s="381">
        <f t="shared" si="16"/>
        <v>0.65934065934065933</v>
      </c>
    </row>
    <row r="251" spans="1:16" ht="18.75" customHeight="1">
      <c r="A251" s="372">
        <f t="shared" si="17"/>
        <v>191</v>
      </c>
      <c r="B251" s="385" t="s">
        <v>3056</v>
      </c>
      <c r="C251" s="382" t="s">
        <v>3057</v>
      </c>
      <c r="D251" s="110">
        <v>43101</v>
      </c>
      <c r="E251" s="111">
        <v>43404</v>
      </c>
      <c r="F251" s="114">
        <f t="shared" si="12"/>
        <v>0.59405940594059403</v>
      </c>
      <c r="G251" s="382">
        <v>138000.01</v>
      </c>
      <c r="H251" s="382">
        <v>138000.01</v>
      </c>
      <c r="I251" s="386">
        <v>85099.989999999991</v>
      </c>
      <c r="J251" s="380">
        <f t="shared" si="13"/>
        <v>0.61666654951691657</v>
      </c>
      <c r="M251" s="34">
        <f t="shared" si="14"/>
        <v>303</v>
      </c>
      <c r="N251" s="111">
        <v>43281</v>
      </c>
      <c r="O251" s="34">
        <f t="shared" si="15"/>
        <v>123</v>
      </c>
      <c r="P251" s="381">
        <f t="shared" si="16"/>
        <v>0.59405940594059403</v>
      </c>
    </row>
    <row r="252" spans="1:16" ht="18.75" customHeight="1">
      <c r="A252" s="372">
        <f t="shared" si="17"/>
        <v>192</v>
      </c>
      <c r="B252" s="385" t="s">
        <v>3174</v>
      </c>
      <c r="C252" s="382" t="s">
        <v>3175</v>
      </c>
      <c r="D252" s="110">
        <v>43252</v>
      </c>
      <c r="E252" s="111">
        <v>43555</v>
      </c>
      <c r="F252" s="114">
        <f t="shared" si="12"/>
        <v>9.5709570957095716E-2</v>
      </c>
      <c r="G252" s="382">
        <v>447999.99</v>
      </c>
      <c r="H252" s="382">
        <v>447999.99</v>
      </c>
      <c r="I252" s="386">
        <v>27999.99</v>
      </c>
      <c r="J252" s="380">
        <f t="shared" si="13"/>
        <v>6.2499979073660249E-2</v>
      </c>
      <c r="M252" s="34">
        <f t="shared" si="14"/>
        <v>303</v>
      </c>
      <c r="N252" s="111">
        <v>43281</v>
      </c>
      <c r="O252" s="34">
        <f t="shared" si="15"/>
        <v>274</v>
      </c>
      <c r="P252" s="381">
        <f t="shared" si="16"/>
        <v>9.5709570957095716E-2</v>
      </c>
    </row>
    <row r="253" spans="1:16" ht="18.75" customHeight="1">
      <c r="A253" s="372">
        <f t="shared" si="17"/>
        <v>193</v>
      </c>
      <c r="B253" s="385" t="s">
        <v>3192</v>
      </c>
      <c r="C253" s="382" t="s">
        <v>3193</v>
      </c>
      <c r="D253" s="110">
        <v>43160</v>
      </c>
      <c r="E253" s="111">
        <v>43373</v>
      </c>
      <c r="F253" s="114">
        <f t="shared" ref="F253:F274" si="18">P253</f>
        <v>0.568075117370892</v>
      </c>
      <c r="G253" s="382">
        <v>46000</v>
      </c>
      <c r="H253" s="382">
        <v>46000</v>
      </c>
      <c r="I253" s="386">
        <v>23000</v>
      </c>
      <c r="J253" s="380">
        <f t="shared" ref="J253:J273" si="19">I253/H253</f>
        <v>0.5</v>
      </c>
      <c r="M253" s="34">
        <f t="shared" ref="M253:M273" si="20">E253-D253</f>
        <v>213</v>
      </c>
      <c r="N253" s="111">
        <v>43281</v>
      </c>
      <c r="O253" s="34">
        <f t="shared" ref="O253:O273" si="21">E253-N253</f>
        <v>92</v>
      </c>
      <c r="P253" s="381">
        <f t="shared" ref="P253:P273" si="22">(M253-O253)/M253</f>
        <v>0.568075117370892</v>
      </c>
    </row>
    <row r="254" spans="1:16" ht="18.75" customHeight="1">
      <c r="A254" s="372">
        <f t="shared" ref="A254:A273" si="23">A253+1</f>
        <v>194</v>
      </c>
      <c r="B254" s="385" t="s">
        <v>3131</v>
      </c>
      <c r="C254" s="382" t="s">
        <v>3132</v>
      </c>
      <c r="D254" s="110">
        <v>43160</v>
      </c>
      <c r="E254" s="111">
        <v>43465</v>
      </c>
      <c r="F254" s="114">
        <f t="shared" si="18"/>
        <v>0.39672131147540984</v>
      </c>
      <c r="G254" s="382">
        <v>111999.99</v>
      </c>
      <c r="H254" s="382">
        <v>111999.99</v>
      </c>
      <c r="I254" s="386">
        <v>44799.99</v>
      </c>
      <c r="J254" s="380">
        <f t="shared" si="19"/>
        <v>0.39999994642856662</v>
      </c>
      <c r="M254" s="34">
        <f t="shared" si="20"/>
        <v>305</v>
      </c>
      <c r="N254" s="111">
        <v>43281</v>
      </c>
      <c r="O254" s="34">
        <f t="shared" si="21"/>
        <v>184</v>
      </c>
      <c r="P254" s="381">
        <f t="shared" si="22"/>
        <v>0.39672131147540984</v>
      </c>
    </row>
    <row r="255" spans="1:16" ht="18.75" customHeight="1">
      <c r="A255" s="372">
        <f t="shared" si="23"/>
        <v>195</v>
      </c>
      <c r="B255" s="385" t="s">
        <v>2986</v>
      </c>
      <c r="C255" s="382" t="s">
        <v>2987</v>
      </c>
      <c r="D255" s="110">
        <v>43132</v>
      </c>
      <c r="E255" s="111">
        <v>43434</v>
      </c>
      <c r="F255" s="114">
        <f t="shared" si="18"/>
        <v>0.49337748344370863</v>
      </c>
      <c r="G255" s="382">
        <v>419997.99</v>
      </c>
      <c r="H255" s="382">
        <v>419997.99</v>
      </c>
      <c r="I255" s="386">
        <v>209998.99000000002</v>
      </c>
      <c r="J255" s="380">
        <f t="shared" si="19"/>
        <v>0.4999999880951812</v>
      </c>
      <c r="M255" s="34">
        <f t="shared" si="20"/>
        <v>302</v>
      </c>
      <c r="N255" s="111">
        <v>43281</v>
      </c>
      <c r="O255" s="34">
        <f t="shared" si="21"/>
        <v>153</v>
      </c>
      <c r="P255" s="381">
        <f t="shared" si="22"/>
        <v>0.49337748344370863</v>
      </c>
    </row>
    <row r="256" spans="1:16" ht="18.75" customHeight="1">
      <c r="A256" s="372">
        <f t="shared" si="23"/>
        <v>196</v>
      </c>
      <c r="B256" s="385" t="s">
        <v>3194</v>
      </c>
      <c r="C256" s="382" t="s">
        <v>3195</v>
      </c>
      <c r="D256" s="110">
        <v>43221</v>
      </c>
      <c r="E256" s="111">
        <v>43373</v>
      </c>
      <c r="F256" s="114">
        <f t="shared" si="18"/>
        <v>0.39473684210526316</v>
      </c>
      <c r="G256" s="382">
        <v>46000</v>
      </c>
      <c r="H256" s="382">
        <v>46000</v>
      </c>
      <c r="I256" s="386">
        <v>23000</v>
      </c>
      <c r="J256" s="380">
        <f t="shared" si="19"/>
        <v>0.5</v>
      </c>
      <c r="M256" s="34">
        <f t="shared" si="20"/>
        <v>152</v>
      </c>
      <c r="N256" s="111">
        <v>43281</v>
      </c>
      <c r="O256" s="34">
        <f t="shared" si="21"/>
        <v>92</v>
      </c>
      <c r="P256" s="381">
        <f t="shared" si="22"/>
        <v>0.39473684210526316</v>
      </c>
    </row>
    <row r="257" spans="1:16" ht="18.75" customHeight="1">
      <c r="A257" s="372">
        <f t="shared" si="23"/>
        <v>197</v>
      </c>
      <c r="B257" s="385" t="s">
        <v>3206</v>
      </c>
      <c r="C257" s="382" t="s">
        <v>3207</v>
      </c>
      <c r="D257" s="110">
        <v>43160</v>
      </c>
      <c r="E257" s="111">
        <v>43404</v>
      </c>
      <c r="F257" s="114">
        <f t="shared" si="18"/>
        <v>0.49590163934426229</v>
      </c>
      <c r="G257" s="382">
        <v>39099.86</v>
      </c>
      <c r="H257" s="382">
        <v>39099.86</v>
      </c>
      <c r="I257" s="386">
        <v>19342.870000000003</v>
      </c>
      <c r="J257" s="380">
        <f t="shared" si="19"/>
        <v>0.49470432886460469</v>
      </c>
      <c r="M257" s="34">
        <f t="shared" si="20"/>
        <v>244</v>
      </c>
      <c r="N257" s="111">
        <v>43281</v>
      </c>
      <c r="O257" s="34">
        <f t="shared" si="21"/>
        <v>123</v>
      </c>
      <c r="P257" s="381">
        <f t="shared" si="22"/>
        <v>0.49590163934426229</v>
      </c>
    </row>
    <row r="258" spans="1:16" ht="18.75" customHeight="1">
      <c r="A258" s="372">
        <f t="shared" si="23"/>
        <v>198</v>
      </c>
      <c r="B258" s="385" t="s">
        <v>2996</v>
      </c>
      <c r="C258" s="382" t="s">
        <v>2997</v>
      </c>
      <c r="D258" s="110">
        <v>43132</v>
      </c>
      <c r="E258" s="111">
        <v>43434</v>
      </c>
      <c r="F258" s="114">
        <f t="shared" si="18"/>
        <v>0.49337748344370863</v>
      </c>
      <c r="G258" s="382">
        <v>211599.59</v>
      </c>
      <c r="H258" s="382">
        <v>211599.59</v>
      </c>
      <c r="I258" s="386">
        <v>193199.63</v>
      </c>
      <c r="J258" s="380">
        <f t="shared" si="19"/>
        <v>0.91304349880829172</v>
      </c>
      <c r="M258" s="34">
        <f t="shared" si="20"/>
        <v>302</v>
      </c>
      <c r="N258" s="111">
        <v>43281</v>
      </c>
      <c r="O258" s="34">
        <f t="shared" si="21"/>
        <v>153</v>
      </c>
      <c r="P258" s="381">
        <f t="shared" si="22"/>
        <v>0.49337748344370863</v>
      </c>
    </row>
    <row r="259" spans="1:16" ht="18.75" customHeight="1">
      <c r="A259" s="372">
        <f t="shared" si="23"/>
        <v>199</v>
      </c>
      <c r="B259" s="385" t="s">
        <v>3238</v>
      </c>
      <c r="C259" s="382" t="s">
        <v>3239</v>
      </c>
      <c r="D259" s="110">
        <v>43191</v>
      </c>
      <c r="E259" s="111">
        <v>43404</v>
      </c>
      <c r="F259" s="114">
        <f t="shared" si="18"/>
        <v>0.42253521126760563</v>
      </c>
      <c r="G259" s="382">
        <v>23000</v>
      </c>
      <c r="H259" s="382">
        <v>23000</v>
      </c>
      <c r="I259" s="386">
        <v>11500</v>
      </c>
      <c r="J259" s="380">
        <f t="shared" si="19"/>
        <v>0.5</v>
      </c>
      <c r="M259" s="34">
        <f t="shared" si="20"/>
        <v>213</v>
      </c>
      <c r="N259" s="111">
        <v>43281</v>
      </c>
      <c r="O259" s="34">
        <f t="shared" si="21"/>
        <v>123</v>
      </c>
      <c r="P259" s="381">
        <f t="shared" si="22"/>
        <v>0.42253521126760563</v>
      </c>
    </row>
    <row r="260" spans="1:16" ht="18.75" customHeight="1">
      <c r="A260" s="372">
        <f t="shared" si="23"/>
        <v>200</v>
      </c>
      <c r="B260" s="385" t="s">
        <v>3244</v>
      </c>
      <c r="C260" s="382" t="s">
        <v>3245</v>
      </c>
      <c r="D260" s="110">
        <v>43160</v>
      </c>
      <c r="E260" s="111">
        <v>43404</v>
      </c>
      <c r="F260" s="114">
        <f t="shared" si="18"/>
        <v>0.49590163934426229</v>
      </c>
      <c r="G260" s="382">
        <v>22999.8</v>
      </c>
      <c r="H260" s="382">
        <v>22999.8</v>
      </c>
      <c r="I260" s="386">
        <v>9659.91</v>
      </c>
      <c r="J260" s="380">
        <f t="shared" si="19"/>
        <v>0.41999973912816635</v>
      </c>
      <c r="M260" s="34">
        <f t="shared" si="20"/>
        <v>244</v>
      </c>
      <c r="N260" s="111">
        <v>43281</v>
      </c>
      <c r="O260" s="34">
        <f t="shared" si="21"/>
        <v>123</v>
      </c>
      <c r="P260" s="381">
        <f t="shared" si="22"/>
        <v>0.49590163934426229</v>
      </c>
    </row>
    <row r="261" spans="1:16" ht="18.75" customHeight="1">
      <c r="A261" s="372">
        <f t="shared" si="23"/>
        <v>201</v>
      </c>
      <c r="B261" s="385" t="s">
        <v>3064</v>
      </c>
      <c r="C261" s="382" t="s">
        <v>3065</v>
      </c>
      <c r="D261" s="110">
        <v>43191</v>
      </c>
      <c r="E261" s="111">
        <v>43312</v>
      </c>
      <c r="F261" s="114">
        <f t="shared" si="18"/>
        <v>0.74380165289256195</v>
      </c>
      <c r="G261" s="382">
        <v>115000</v>
      </c>
      <c r="H261" s="382">
        <v>115000</v>
      </c>
      <c r="I261" s="386">
        <v>80500</v>
      </c>
      <c r="J261" s="380">
        <f t="shared" si="19"/>
        <v>0.7</v>
      </c>
      <c r="M261" s="34">
        <f t="shared" si="20"/>
        <v>121</v>
      </c>
      <c r="N261" s="111">
        <v>43281</v>
      </c>
      <c r="O261" s="34">
        <f t="shared" si="21"/>
        <v>31</v>
      </c>
      <c r="P261" s="381">
        <f t="shared" si="22"/>
        <v>0.74380165289256195</v>
      </c>
    </row>
    <row r="262" spans="1:16" ht="18.75" customHeight="1">
      <c r="A262" s="372">
        <f t="shared" si="23"/>
        <v>202</v>
      </c>
      <c r="B262" s="385" t="s">
        <v>2936</v>
      </c>
      <c r="C262" s="382" t="s">
        <v>2937</v>
      </c>
      <c r="D262" s="110">
        <v>43101</v>
      </c>
      <c r="E262" s="111">
        <v>43465</v>
      </c>
      <c r="F262" s="114">
        <f t="shared" si="18"/>
        <v>0.49450549450549453</v>
      </c>
      <c r="G262" s="382">
        <v>1313322.76</v>
      </c>
      <c r="H262" s="382">
        <v>1313322.76</v>
      </c>
      <c r="I262" s="386">
        <v>643999.41999999993</v>
      </c>
      <c r="J262" s="380">
        <f t="shared" si="19"/>
        <v>0.4903588360868732</v>
      </c>
      <c r="M262" s="34">
        <f t="shared" si="20"/>
        <v>364</v>
      </c>
      <c r="N262" s="111">
        <v>43281</v>
      </c>
      <c r="O262" s="34">
        <f t="shared" si="21"/>
        <v>184</v>
      </c>
      <c r="P262" s="381">
        <f t="shared" si="22"/>
        <v>0.49450549450549453</v>
      </c>
    </row>
    <row r="263" spans="1:16" ht="18.75" customHeight="1">
      <c r="A263" s="372">
        <f t="shared" si="23"/>
        <v>203</v>
      </c>
      <c r="B263" s="385" t="s">
        <v>3214</v>
      </c>
      <c r="C263" s="382" t="s">
        <v>3215</v>
      </c>
      <c r="D263" s="110">
        <v>43101</v>
      </c>
      <c r="E263" s="111">
        <v>43434</v>
      </c>
      <c r="F263" s="114">
        <f t="shared" si="18"/>
        <v>0.54054054054054057</v>
      </c>
      <c r="G263" s="382">
        <v>45999.42</v>
      </c>
      <c r="H263" s="382">
        <v>45999.42</v>
      </c>
      <c r="I263" s="386">
        <v>16099.76</v>
      </c>
      <c r="J263" s="380">
        <f t="shared" si="19"/>
        <v>0.34999919564203202</v>
      </c>
      <c r="M263" s="34">
        <f t="shared" si="20"/>
        <v>333</v>
      </c>
      <c r="N263" s="111">
        <v>43281</v>
      </c>
      <c r="O263" s="34">
        <f t="shared" si="21"/>
        <v>153</v>
      </c>
      <c r="P263" s="381">
        <f t="shared" si="22"/>
        <v>0.54054054054054057</v>
      </c>
    </row>
    <row r="264" spans="1:16" ht="18.75" customHeight="1">
      <c r="A264" s="372">
        <f t="shared" si="23"/>
        <v>204</v>
      </c>
      <c r="B264" s="385" t="s">
        <v>3248</v>
      </c>
      <c r="C264" s="382" t="s">
        <v>3249</v>
      </c>
      <c r="D264" s="110">
        <v>43191</v>
      </c>
      <c r="E264" s="111">
        <v>43404</v>
      </c>
      <c r="F264" s="114">
        <f t="shared" si="18"/>
        <v>0.42253521126760563</v>
      </c>
      <c r="G264" s="382">
        <v>56000</v>
      </c>
      <c r="H264" s="382">
        <v>56000</v>
      </c>
      <c r="I264" s="386">
        <v>8400</v>
      </c>
      <c r="J264" s="380">
        <f t="shared" si="19"/>
        <v>0.15</v>
      </c>
      <c r="M264" s="34">
        <f t="shared" si="20"/>
        <v>213</v>
      </c>
      <c r="N264" s="111">
        <v>43281</v>
      </c>
      <c r="O264" s="34">
        <f t="shared" si="21"/>
        <v>123</v>
      </c>
      <c r="P264" s="381">
        <f t="shared" si="22"/>
        <v>0.42253521126760563</v>
      </c>
    </row>
    <row r="265" spans="1:16" ht="18.75" customHeight="1">
      <c r="A265" s="372">
        <f t="shared" si="23"/>
        <v>205</v>
      </c>
      <c r="B265" s="385" t="s">
        <v>3176</v>
      </c>
      <c r="C265" s="382" t="s">
        <v>3177</v>
      </c>
      <c r="D265" s="110">
        <v>43221</v>
      </c>
      <c r="E265" s="111">
        <v>43343</v>
      </c>
      <c r="F265" s="114">
        <f t="shared" si="18"/>
        <v>0.49180327868852458</v>
      </c>
      <c r="G265" s="382">
        <v>55999.99</v>
      </c>
      <c r="H265" s="382">
        <v>55999.99</v>
      </c>
      <c r="I265" s="386">
        <v>27999.989999999998</v>
      </c>
      <c r="J265" s="380">
        <f t="shared" si="19"/>
        <v>0.49999991071426975</v>
      </c>
      <c r="M265" s="34">
        <f t="shared" si="20"/>
        <v>122</v>
      </c>
      <c r="N265" s="111">
        <v>43281</v>
      </c>
      <c r="O265" s="34">
        <f t="shared" si="21"/>
        <v>62</v>
      </c>
      <c r="P265" s="381">
        <f t="shared" si="22"/>
        <v>0.49180327868852458</v>
      </c>
    </row>
    <row r="266" spans="1:16" ht="18.75" customHeight="1">
      <c r="A266" s="372">
        <f t="shared" si="23"/>
        <v>206</v>
      </c>
      <c r="B266" s="385" t="s">
        <v>3159</v>
      </c>
      <c r="C266" s="382" t="s">
        <v>3160</v>
      </c>
      <c r="D266" s="110">
        <v>43160</v>
      </c>
      <c r="E266" s="111">
        <v>43465</v>
      </c>
      <c r="F266" s="114">
        <f t="shared" si="18"/>
        <v>0.39672131147540984</v>
      </c>
      <c r="G266" s="382">
        <v>97999.69</v>
      </c>
      <c r="H266" s="382">
        <v>97999.69</v>
      </c>
      <c r="I266" s="386">
        <v>33599.869999999995</v>
      </c>
      <c r="J266" s="380">
        <f t="shared" si="19"/>
        <v>0.34285690087387005</v>
      </c>
      <c r="M266" s="34">
        <f t="shared" si="20"/>
        <v>305</v>
      </c>
      <c r="N266" s="111">
        <v>43281</v>
      </c>
      <c r="O266" s="34">
        <f t="shared" si="21"/>
        <v>184</v>
      </c>
      <c r="P266" s="381">
        <f t="shared" si="22"/>
        <v>0.39672131147540984</v>
      </c>
    </row>
    <row r="267" spans="1:16" ht="18.75" customHeight="1">
      <c r="A267" s="372">
        <f t="shared" si="23"/>
        <v>207</v>
      </c>
      <c r="B267" s="385" t="s">
        <v>3252</v>
      </c>
      <c r="C267" s="382" t="s">
        <v>3253</v>
      </c>
      <c r="D267" s="110">
        <v>43132</v>
      </c>
      <c r="E267" s="111">
        <v>43434</v>
      </c>
      <c r="F267" s="114">
        <f t="shared" si="18"/>
        <v>0.49337748344370863</v>
      </c>
      <c r="G267" s="382">
        <v>73600</v>
      </c>
      <c r="H267" s="382">
        <v>73600</v>
      </c>
      <c r="I267" s="386">
        <v>2116</v>
      </c>
      <c r="J267" s="380">
        <f t="shared" si="19"/>
        <v>2.8750000000000001E-2</v>
      </c>
      <c r="M267" s="34">
        <f t="shared" si="20"/>
        <v>302</v>
      </c>
      <c r="N267" s="111">
        <v>43281</v>
      </c>
      <c r="O267" s="34">
        <f t="shared" si="21"/>
        <v>153</v>
      </c>
      <c r="P267" s="381">
        <f t="shared" si="22"/>
        <v>0.49337748344370863</v>
      </c>
    </row>
    <row r="268" spans="1:16" ht="18.75" customHeight="1">
      <c r="A268" s="372">
        <f t="shared" si="23"/>
        <v>208</v>
      </c>
      <c r="B268" s="385" t="s">
        <v>3157</v>
      </c>
      <c r="C268" s="382" t="s">
        <v>3158</v>
      </c>
      <c r="D268" s="110">
        <v>43191</v>
      </c>
      <c r="E268" s="111">
        <v>43312</v>
      </c>
      <c r="F268" s="114">
        <f t="shared" si="18"/>
        <v>0.74380165289256195</v>
      </c>
      <c r="G268" s="382">
        <v>45999.96</v>
      </c>
      <c r="H268" s="382">
        <v>45999.96</v>
      </c>
      <c r="I268" s="386">
        <v>34499.97</v>
      </c>
      <c r="J268" s="380">
        <f t="shared" si="19"/>
        <v>0.75</v>
      </c>
      <c r="M268" s="34">
        <f t="shared" si="20"/>
        <v>121</v>
      </c>
      <c r="N268" s="111">
        <v>43281</v>
      </c>
      <c r="O268" s="34">
        <f t="shared" si="21"/>
        <v>31</v>
      </c>
      <c r="P268" s="381">
        <f t="shared" si="22"/>
        <v>0.74380165289256195</v>
      </c>
    </row>
    <row r="269" spans="1:16" ht="18.75" customHeight="1">
      <c r="A269" s="372">
        <f t="shared" si="23"/>
        <v>209</v>
      </c>
      <c r="B269" s="385" t="s">
        <v>3161</v>
      </c>
      <c r="C269" s="382" t="s">
        <v>3162</v>
      </c>
      <c r="D269" s="110">
        <v>43132</v>
      </c>
      <c r="E269" s="111">
        <v>43465</v>
      </c>
      <c r="F269" s="114">
        <f t="shared" si="18"/>
        <v>0.44744744744744747</v>
      </c>
      <c r="G269" s="382">
        <v>68999.98</v>
      </c>
      <c r="H269" s="382">
        <v>68999.98</v>
      </c>
      <c r="I269" s="386">
        <v>33119.990000000005</v>
      </c>
      <c r="J269" s="380">
        <f t="shared" si="19"/>
        <v>0.47999999420289696</v>
      </c>
      <c r="M269" s="34">
        <f t="shared" si="20"/>
        <v>333</v>
      </c>
      <c r="N269" s="111">
        <v>43281</v>
      </c>
      <c r="O269" s="34">
        <f t="shared" si="21"/>
        <v>184</v>
      </c>
      <c r="P269" s="381">
        <f t="shared" si="22"/>
        <v>0.44744744744744747</v>
      </c>
    </row>
    <row r="270" spans="1:16" ht="18.75" customHeight="1">
      <c r="A270" s="372">
        <f t="shared" si="23"/>
        <v>210</v>
      </c>
      <c r="B270" s="385" t="s">
        <v>3125</v>
      </c>
      <c r="C270" s="382" t="s">
        <v>3126</v>
      </c>
      <c r="D270" s="110">
        <v>43191</v>
      </c>
      <c r="E270" s="111">
        <v>43373</v>
      </c>
      <c r="F270" s="114">
        <f t="shared" si="18"/>
        <v>0.49450549450549453</v>
      </c>
      <c r="G270" s="382">
        <v>69000</v>
      </c>
      <c r="H270" s="382">
        <v>69000</v>
      </c>
      <c r="I270" s="386">
        <v>46000</v>
      </c>
      <c r="J270" s="380">
        <f t="shared" si="19"/>
        <v>0.66666666666666663</v>
      </c>
      <c r="M270" s="34">
        <f t="shared" si="20"/>
        <v>182</v>
      </c>
      <c r="N270" s="111">
        <v>43281</v>
      </c>
      <c r="O270" s="34">
        <f t="shared" si="21"/>
        <v>92</v>
      </c>
      <c r="P270" s="381">
        <f t="shared" si="22"/>
        <v>0.49450549450549453</v>
      </c>
    </row>
    <row r="271" spans="1:16" ht="18.75" customHeight="1">
      <c r="A271" s="372">
        <f t="shared" si="23"/>
        <v>211</v>
      </c>
      <c r="B271" s="385" t="s">
        <v>3178</v>
      </c>
      <c r="C271" s="382" t="s">
        <v>3179</v>
      </c>
      <c r="D271" s="110">
        <v>43221</v>
      </c>
      <c r="E271" s="111">
        <v>43343</v>
      </c>
      <c r="F271" s="114">
        <f t="shared" si="18"/>
        <v>0.49180327868852458</v>
      </c>
      <c r="G271" s="382">
        <v>55999.99</v>
      </c>
      <c r="H271" s="382">
        <v>55999.99</v>
      </c>
      <c r="I271" s="386">
        <v>27999.989999999998</v>
      </c>
      <c r="J271" s="380">
        <f t="shared" si="19"/>
        <v>0.49999991071426975</v>
      </c>
      <c r="M271" s="34">
        <f t="shared" si="20"/>
        <v>122</v>
      </c>
      <c r="N271" s="111">
        <v>43281</v>
      </c>
      <c r="O271" s="34">
        <f t="shared" si="21"/>
        <v>62</v>
      </c>
      <c r="P271" s="381">
        <f t="shared" si="22"/>
        <v>0.49180327868852458</v>
      </c>
    </row>
    <row r="272" spans="1:16" ht="18.75" customHeight="1">
      <c r="A272" s="372">
        <f t="shared" si="23"/>
        <v>212</v>
      </c>
      <c r="B272" s="385" t="s">
        <v>2966</v>
      </c>
      <c r="C272" s="382" t="s">
        <v>2967</v>
      </c>
      <c r="D272" s="110">
        <v>43101</v>
      </c>
      <c r="E272" s="111">
        <v>43708</v>
      </c>
      <c r="F272" s="114">
        <f t="shared" si="18"/>
        <v>0.29654036243822074</v>
      </c>
      <c r="G272" s="382">
        <v>1091999.54</v>
      </c>
      <c r="H272" s="382">
        <v>1091999.54</v>
      </c>
      <c r="I272" s="386">
        <v>335999.81</v>
      </c>
      <c r="J272" s="380">
        <f t="shared" si="19"/>
        <v>0.30769226331359079</v>
      </c>
      <c r="M272" s="34">
        <f t="shared" si="20"/>
        <v>607</v>
      </c>
      <c r="N272" s="111">
        <v>43281</v>
      </c>
      <c r="O272" s="34">
        <f t="shared" si="21"/>
        <v>427</v>
      </c>
      <c r="P272" s="381">
        <f t="shared" si="22"/>
        <v>0.29654036243822074</v>
      </c>
    </row>
    <row r="273" spans="1:16" ht="18.75" customHeight="1">
      <c r="A273" s="372">
        <f t="shared" si="23"/>
        <v>213</v>
      </c>
      <c r="B273" s="385" t="s">
        <v>2956</v>
      </c>
      <c r="C273" s="382" t="s">
        <v>2957</v>
      </c>
      <c r="D273" s="110">
        <v>43101</v>
      </c>
      <c r="E273" s="111">
        <v>43465</v>
      </c>
      <c r="F273" s="114">
        <f t="shared" si="18"/>
        <v>0.49450549450549453</v>
      </c>
      <c r="G273" s="382">
        <v>436999.51</v>
      </c>
      <c r="H273" s="382">
        <v>436999.51</v>
      </c>
      <c r="I273" s="386">
        <v>390999.74</v>
      </c>
      <c r="J273" s="380">
        <f t="shared" si="19"/>
        <v>0.89473725039188257</v>
      </c>
      <c r="M273" s="34">
        <f t="shared" si="20"/>
        <v>364</v>
      </c>
      <c r="N273" s="111">
        <v>43281</v>
      </c>
      <c r="O273" s="34">
        <f t="shared" si="21"/>
        <v>184</v>
      </c>
      <c r="P273" s="381">
        <f t="shared" si="22"/>
        <v>0.49450549450549453</v>
      </c>
    </row>
    <row r="274" spans="1:16" ht="18.75" customHeight="1">
      <c r="A274" s="654">
        <f>A273+1</f>
        <v>214</v>
      </c>
      <c r="B274" s="385" t="s">
        <v>2990</v>
      </c>
      <c r="C274" s="382" t="s">
        <v>2991</v>
      </c>
      <c r="D274" s="110">
        <v>43101</v>
      </c>
      <c r="E274" s="111">
        <v>43465</v>
      </c>
      <c r="F274" s="114">
        <f t="shared" si="18"/>
        <v>0.49450549450549453</v>
      </c>
      <c r="G274" s="382">
        <v>218499.96</v>
      </c>
      <c r="H274" s="382">
        <v>218499.96</v>
      </c>
      <c r="I274" s="386">
        <v>197800.03999999998</v>
      </c>
      <c r="J274" s="380">
        <f t="shared" ref="J274" si="24">I274/H274</f>
        <v>0.9052635066843947</v>
      </c>
      <c r="M274" s="34">
        <f t="shared" ref="M274" si="25">E274-D274</f>
        <v>364</v>
      </c>
      <c r="N274" s="111">
        <v>43281</v>
      </c>
      <c r="O274" s="34">
        <f t="shared" ref="O274" si="26">E274-N274</f>
        <v>184</v>
      </c>
      <c r="P274" s="381">
        <f t="shared" ref="P274" si="27">(M274-O274)/M274</f>
        <v>0.49450549450549453</v>
      </c>
    </row>
  </sheetData>
  <mergeCells count="20">
    <mergeCell ref="A172:J172"/>
    <mergeCell ref="A225:J225"/>
    <mergeCell ref="A226:J226"/>
    <mergeCell ref="A227:J227"/>
    <mergeCell ref="A228:J228"/>
    <mergeCell ref="A169:J169"/>
    <mergeCell ref="A170:J170"/>
    <mergeCell ref="A171:J171"/>
    <mergeCell ref="A116:J116"/>
    <mergeCell ref="A1:J1"/>
    <mergeCell ref="A2:J2"/>
    <mergeCell ref="A3:J3"/>
    <mergeCell ref="A4:J4"/>
    <mergeCell ref="A57:J57"/>
    <mergeCell ref="A58:J58"/>
    <mergeCell ref="A59:J59"/>
    <mergeCell ref="A60:J60"/>
    <mergeCell ref="A113:J113"/>
    <mergeCell ref="A114:J114"/>
    <mergeCell ref="A115:J115"/>
  </mergeCells>
  <pageMargins left="0.95" right="0.5" top="0.75" bottom="0.75" header="0.3" footer="0.3"/>
  <pageSetup scale="61" fitToHeight="0" orientation="portrait" r:id="rId1"/>
  <rowBreaks count="4" manualBreakCount="4">
    <brk id="56" max="16383" man="1"/>
    <brk id="112" max="16383" man="1"/>
    <brk id="168" max="16383" man="1"/>
    <brk id="224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A1:G53"/>
  <sheetViews>
    <sheetView zoomScaleNormal="100" workbookViewId="0">
      <selection activeCell="A2" sqref="A2:G2"/>
    </sheetView>
  </sheetViews>
  <sheetFormatPr defaultColWidth="9" defaultRowHeight="12.75"/>
  <cols>
    <col min="1" max="1" width="6" style="29" customWidth="1"/>
    <col min="2" max="2" width="38.33203125" style="29" customWidth="1"/>
    <col min="3" max="3" width="28.21875" style="29" customWidth="1"/>
    <col min="4" max="4" width="13.6640625" style="29" customWidth="1"/>
    <col min="5" max="5" width="14.21875" style="29" customWidth="1"/>
    <col min="6" max="6" width="13.6640625" style="29" customWidth="1"/>
    <col min="7" max="7" width="15" style="29" customWidth="1"/>
    <col min="8" max="8" width="1.6640625" style="29" customWidth="1"/>
    <col min="9" max="16384" width="9" style="29"/>
  </cols>
  <sheetData>
    <row r="1" spans="1:7" s="28" customFormat="1" ht="20.100000000000001" customHeight="1">
      <c r="A1" s="706" t="str">
        <f>'Rate Case Constants'!C9</f>
        <v>KENTUCKY UTILITIES COMPANY</v>
      </c>
      <c r="B1" s="706"/>
      <c r="C1" s="706"/>
      <c r="D1" s="706"/>
      <c r="E1" s="706"/>
      <c r="F1" s="706"/>
      <c r="G1" s="706"/>
    </row>
    <row r="2" spans="1:7" s="28" customFormat="1" ht="20.100000000000001" customHeight="1">
      <c r="A2" s="706" t="str">
        <f>'Rate Case Constants'!C10</f>
        <v>CASE NO. 2016-00370</v>
      </c>
      <c r="B2" s="706"/>
      <c r="C2" s="706"/>
      <c r="D2" s="706"/>
      <c r="E2" s="706"/>
      <c r="F2" s="706"/>
      <c r="G2" s="706"/>
    </row>
    <row r="3" spans="1:7" s="28" customFormat="1" ht="20.100000000000001" customHeight="1">
      <c r="A3" s="706" t="s">
        <v>1462</v>
      </c>
      <c r="B3" s="706"/>
      <c r="C3" s="706"/>
      <c r="D3" s="706"/>
      <c r="E3" s="706"/>
      <c r="F3" s="706"/>
      <c r="G3" s="706"/>
    </row>
    <row r="4" spans="1:7" s="28" customFormat="1" ht="20.100000000000001" customHeight="1">
      <c r="A4" s="705" t="str">
        <f>'Rate Case Constants'!C14</f>
        <v>FROM MARCH 1, 2016 TO FEBRUARY 28, 2017</v>
      </c>
      <c r="B4" s="709"/>
      <c r="C4" s="709"/>
      <c r="D4" s="709"/>
      <c r="E4" s="709"/>
      <c r="F4" s="709"/>
      <c r="G4" s="709"/>
    </row>
    <row r="5" spans="1:7" s="28" customFormat="1" ht="20.100000000000001" customHeight="1">
      <c r="A5" s="103"/>
      <c r="B5" s="103"/>
      <c r="C5" s="103"/>
      <c r="D5" s="103"/>
      <c r="E5" s="103"/>
      <c r="F5" s="103"/>
      <c r="G5" s="103"/>
    </row>
    <row r="6" spans="1:7" s="28" customFormat="1" ht="20.100000000000001" customHeight="1">
      <c r="A6" s="27" t="s">
        <v>136</v>
      </c>
      <c r="D6" s="34"/>
      <c r="E6" s="34"/>
      <c r="G6" s="34" t="s">
        <v>1463</v>
      </c>
    </row>
    <row r="7" spans="1:7" s="28" customFormat="1" ht="20.100000000000001" customHeight="1">
      <c r="A7" s="28" t="str">
        <f>'Rate Case Constants'!C29</f>
        <v>TYPE OF FILING: __X__ ORIGINAL  _____ UPDATED  _____ REVISED</v>
      </c>
      <c r="D7" s="34"/>
      <c r="E7" s="34"/>
      <c r="G7" s="34" t="s">
        <v>180</v>
      </c>
    </row>
    <row r="8" spans="1:7" s="28" customFormat="1" ht="20.100000000000001" customHeight="1">
      <c r="A8" s="27" t="s">
        <v>1204</v>
      </c>
      <c r="D8" s="35"/>
      <c r="E8" s="35"/>
      <c r="G8" s="35" t="str">
        <f>'Rate Case Constants'!C36</f>
        <v>WITNESS:   C. M. GARRETT</v>
      </c>
    </row>
    <row r="9" spans="1:7" s="28" customFormat="1" ht="20.100000000000001" customHeight="1"/>
    <row r="10" spans="1:7" ht="51.95" customHeight="1">
      <c r="A10" s="124" t="s">
        <v>134</v>
      </c>
      <c r="B10" s="125" t="s">
        <v>1464</v>
      </c>
      <c r="C10" s="124" t="s">
        <v>1465</v>
      </c>
      <c r="D10" s="124" t="s">
        <v>222</v>
      </c>
      <c r="E10" s="124" t="s">
        <v>1208</v>
      </c>
      <c r="F10" s="124" t="s">
        <v>227</v>
      </c>
      <c r="G10" s="124" t="s">
        <v>1466</v>
      </c>
    </row>
    <row r="11" spans="1:7" ht="23.1" customHeight="1">
      <c r="A11" s="40"/>
      <c r="B11" s="41"/>
      <c r="C11" s="42"/>
      <c r="D11" s="42"/>
      <c r="E11" s="42" t="s">
        <v>145</v>
      </c>
      <c r="F11" s="42"/>
      <c r="G11" s="42" t="s">
        <v>145</v>
      </c>
    </row>
    <row r="12" spans="1:7" ht="23.1" customHeight="1">
      <c r="A12" s="33"/>
      <c r="B12" s="38" t="s">
        <v>1178</v>
      </c>
      <c r="C12" s="38"/>
      <c r="D12" s="38"/>
      <c r="E12" s="60"/>
      <c r="F12" s="60"/>
      <c r="G12" s="60"/>
    </row>
    <row r="13" spans="1:7" ht="18.95" customHeight="1">
      <c r="A13" s="30">
        <v>1</v>
      </c>
      <c r="B13" s="38" t="s">
        <v>1467</v>
      </c>
      <c r="C13" s="38" t="s">
        <v>1473</v>
      </c>
      <c r="D13" s="31" t="s">
        <v>1474</v>
      </c>
      <c r="E13" s="51">
        <f>'SCH B-5.1'!C14</f>
        <v>100950355.99999999</v>
      </c>
      <c r="F13" s="95">
        <f>G13/E13</f>
        <v>0.87938242823882595</v>
      </c>
      <c r="G13" s="51">
        <f>'SCH B-5.1'!E14</f>
        <v>88773969.190853924</v>
      </c>
    </row>
    <row r="14" spans="1:7" ht="18.95" customHeight="1">
      <c r="A14" s="30"/>
      <c r="B14" s="38"/>
      <c r="C14" s="38"/>
      <c r="D14" s="38"/>
      <c r="E14" s="51"/>
      <c r="F14" s="95"/>
      <c r="G14" s="51"/>
    </row>
    <row r="15" spans="1:7" ht="18.95" customHeight="1">
      <c r="A15" s="30">
        <v>2</v>
      </c>
      <c r="B15" s="38" t="s">
        <v>1468</v>
      </c>
      <c r="C15" s="38" t="s">
        <v>1473</v>
      </c>
      <c r="D15" s="31" t="s">
        <v>1474</v>
      </c>
      <c r="E15" s="51">
        <f>'SCH B-5.1'!C16</f>
        <v>54089819.999999993</v>
      </c>
      <c r="F15" s="95">
        <f>G15/E15</f>
        <v>0.88464793156269772</v>
      </c>
      <c r="G15" s="51">
        <f>'SCH B-5.1'!E16</f>
        <v>47850447.381598629</v>
      </c>
    </row>
    <row r="16" spans="1:7" ht="18.95" customHeight="1">
      <c r="A16" s="30"/>
      <c r="B16" s="38"/>
      <c r="C16" s="38"/>
      <c r="D16" s="38"/>
      <c r="E16" s="51"/>
      <c r="F16" s="51"/>
      <c r="G16" s="51"/>
    </row>
    <row r="17" spans="1:7" ht="18.95" customHeight="1">
      <c r="A17" s="30">
        <v>3</v>
      </c>
      <c r="B17" s="38" t="s">
        <v>1471</v>
      </c>
      <c r="C17" s="38" t="s">
        <v>1473</v>
      </c>
      <c r="D17" s="31" t="s">
        <v>1474</v>
      </c>
      <c r="E17" s="51">
        <f>'SCH B-5.1'!C18</f>
        <v>14433442.042318262</v>
      </c>
      <c r="F17" s="95">
        <f>G17/E17</f>
        <v>0.93927323029754983</v>
      </c>
      <c r="G17" s="51">
        <f>'SCH B-5.1'!E18</f>
        <v>13556945.731400739</v>
      </c>
    </row>
    <row r="18" spans="1:7" ht="18.95" customHeight="1">
      <c r="A18" s="30"/>
      <c r="B18" s="38"/>
      <c r="C18" s="38"/>
      <c r="D18" s="38"/>
      <c r="E18" s="51"/>
      <c r="F18" s="51"/>
      <c r="G18" s="51"/>
    </row>
    <row r="19" spans="1:7" ht="18.95" customHeight="1">
      <c r="A19" s="30">
        <v>4</v>
      </c>
      <c r="B19" s="38" t="s">
        <v>2217</v>
      </c>
      <c r="C19" s="38" t="s">
        <v>1473</v>
      </c>
      <c r="D19" s="31" t="s">
        <v>1474</v>
      </c>
      <c r="E19" s="51">
        <f>'SCH B-5.1'!C20</f>
        <v>7.692307690740563E-2</v>
      </c>
      <c r="F19" s="95">
        <f>G19/E19</f>
        <v>0.87577725765383918</v>
      </c>
      <c r="G19" s="51">
        <f>'SCH B-5.1'!E20</f>
        <v>6.7367481344263069E-2</v>
      </c>
    </row>
    <row r="20" spans="1:7" ht="18.95" customHeight="1">
      <c r="A20" s="30"/>
      <c r="B20" s="38"/>
      <c r="C20" s="38"/>
      <c r="D20" s="38"/>
      <c r="E20" s="51"/>
      <c r="F20" s="51"/>
      <c r="G20" s="51"/>
    </row>
    <row r="21" spans="1:7" ht="31.5" customHeight="1">
      <c r="A21" s="30">
        <v>5</v>
      </c>
      <c r="B21" s="38" t="s">
        <v>1469</v>
      </c>
      <c r="C21" s="38" t="s">
        <v>1476</v>
      </c>
      <c r="D21" s="31" t="s">
        <v>1475</v>
      </c>
      <c r="E21" s="96">
        <f ca="1">'SCH B-5.2'!C19</f>
        <v>113452441.30985537</v>
      </c>
      <c r="F21" s="95">
        <f ca="1">G21/E21</f>
        <v>0.89026050327809136</v>
      </c>
      <c r="G21" s="96">
        <f ca="1">'SCH B-5.2'!E19</f>
        <v>101002227.49863997</v>
      </c>
    </row>
    <row r="22" spans="1:7" ht="18.95" customHeight="1">
      <c r="A22" s="30"/>
      <c r="B22" s="38"/>
      <c r="C22" s="38"/>
      <c r="D22" s="38"/>
      <c r="E22" s="51"/>
      <c r="F22" s="51"/>
      <c r="G22" s="51"/>
    </row>
    <row r="23" spans="1:7" ht="18.95" customHeight="1" thickBot="1">
      <c r="A23" s="30">
        <v>6</v>
      </c>
      <c r="B23" s="38" t="s">
        <v>1470</v>
      </c>
      <c r="C23" s="38"/>
      <c r="D23" s="38"/>
      <c r="E23" s="59">
        <f ca="1">SUM(E13:E21)</f>
        <v>282926059.4290967</v>
      </c>
      <c r="F23" s="51"/>
      <c r="G23" s="59">
        <f ca="1">SUM(G13:G21)</f>
        <v>251183589.86986074</v>
      </c>
    </row>
    <row r="24" spans="1:7" ht="18.95" customHeight="1" thickTop="1">
      <c r="A24" s="30"/>
      <c r="B24" s="38"/>
      <c r="C24" s="38"/>
      <c r="D24" s="38"/>
      <c r="E24" s="51"/>
      <c r="F24" s="51"/>
      <c r="G24" s="51"/>
    </row>
    <row r="25" spans="1:7" ht="18.95" customHeight="1">
      <c r="A25" s="30"/>
      <c r="B25" s="27" t="s">
        <v>1472</v>
      </c>
      <c r="C25" s="38"/>
      <c r="D25" s="38"/>
      <c r="E25" s="51"/>
      <c r="F25" s="51"/>
      <c r="G25" s="51"/>
    </row>
    <row r="26" spans="1:7" ht="18.95" customHeight="1">
      <c r="A26" s="30"/>
      <c r="B26" s="27" t="s">
        <v>2218</v>
      </c>
      <c r="C26" s="51"/>
      <c r="D26" s="51"/>
      <c r="E26" s="51"/>
      <c r="F26" s="51"/>
      <c r="G26" s="51"/>
    </row>
    <row r="27" spans="1:7" s="28" customFormat="1" ht="20.100000000000001" customHeight="1">
      <c r="A27" s="706" t="str">
        <f>$A$1</f>
        <v>KENTUCKY UTILITIES COMPANY</v>
      </c>
      <c r="B27" s="706"/>
      <c r="C27" s="706"/>
      <c r="D27" s="706"/>
      <c r="E27" s="706"/>
      <c r="F27" s="706"/>
      <c r="G27" s="706"/>
    </row>
    <row r="28" spans="1:7" s="28" customFormat="1" ht="20.100000000000001" customHeight="1">
      <c r="A28" s="706" t="str">
        <f>$A$2</f>
        <v>CASE NO. 2016-00370</v>
      </c>
      <c r="B28" s="706"/>
      <c r="C28" s="706"/>
      <c r="D28" s="706"/>
      <c r="E28" s="706"/>
      <c r="F28" s="706"/>
      <c r="G28" s="706"/>
    </row>
    <row r="29" spans="1:7" s="28" customFormat="1" ht="20.100000000000001" customHeight="1">
      <c r="A29" s="706" t="str">
        <f>$A$3</f>
        <v>ALLOWANCE FOR WORKING CAPITAL</v>
      </c>
      <c r="B29" s="706"/>
      <c r="C29" s="706"/>
      <c r="D29" s="706"/>
      <c r="E29" s="706"/>
      <c r="F29" s="706"/>
      <c r="G29" s="706"/>
    </row>
    <row r="30" spans="1:7" s="28" customFormat="1" ht="20.100000000000001" customHeight="1">
      <c r="A30" s="705" t="str">
        <f>'Rate Case Constants'!C20</f>
        <v>FROM JULY 1, 2017 TO JUNE 30, 2018</v>
      </c>
      <c r="B30" s="709"/>
      <c r="C30" s="709"/>
      <c r="D30" s="709"/>
      <c r="E30" s="709"/>
      <c r="F30" s="709"/>
      <c r="G30" s="709"/>
    </row>
    <row r="31" spans="1:7" s="28" customFormat="1" ht="20.100000000000001" customHeight="1">
      <c r="A31" s="103"/>
      <c r="B31" s="103"/>
      <c r="C31" s="103"/>
      <c r="D31" s="103"/>
      <c r="E31" s="103"/>
      <c r="F31" s="103"/>
      <c r="G31" s="103"/>
    </row>
    <row r="32" spans="1:7" s="28" customFormat="1" ht="20.100000000000001" customHeight="1">
      <c r="A32" s="27" t="s">
        <v>164</v>
      </c>
      <c r="D32" s="34"/>
      <c r="E32" s="34"/>
      <c r="G32" s="34" t="s">
        <v>1463</v>
      </c>
    </row>
    <row r="33" spans="1:7" s="28" customFormat="1" ht="20.100000000000001" customHeight="1">
      <c r="A33" s="27" t="str">
        <f>$A$7</f>
        <v>TYPE OF FILING: __X__ ORIGINAL  _____ UPDATED  _____ REVISED</v>
      </c>
      <c r="D33" s="34"/>
      <c r="E33" s="34"/>
      <c r="G33" s="34" t="s">
        <v>188</v>
      </c>
    </row>
    <row r="34" spans="1:7" s="28" customFormat="1" ht="20.100000000000001" customHeight="1">
      <c r="A34" s="27" t="str">
        <f>$A$8</f>
        <v>WORKPAPER REFERENCE NO(S).:</v>
      </c>
      <c r="D34" s="35"/>
      <c r="E34" s="35"/>
      <c r="G34" s="35" t="str">
        <f>$G$8</f>
        <v>WITNESS:   C. M. GARRETT</v>
      </c>
    </row>
    <row r="35" spans="1:7" s="28" customFormat="1" ht="20.100000000000001" customHeight="1"/>
    <row r="36" spans="1:7" ht="51.95" customHeight="1">
      <c r="A36" s="124" t="s">
        <v>134</v>
      </c>
      <c r="B36" s="125" t="s">
        <v>1464</v>
      </c>
      <c r="C36" s="124" t="s">
        <v>1465</v>
      </c>
      <c r="D36" s="124" t="s">
        <v>222</v>
      </c>
      <c r="E36" s="124" t="s">
        <v>1208</v>
      </c>
      <c r="F36" s="124" t="s">
        <v>227</v>
      </c>
      <c r="G36" s="124" t="s">
        <v>1466</v>
      </c>
    </row>
    <row r="37" spans="1:7" ht="23.1" customHeight="1">
      <c r="A37" s="40"/>
      <c r="B37" s="41"/>
      <c r="C37" s="42"/>
      <c r="D37" s="42"/>
      <c r="E37" s="42" t="s">
        <v>145</v>
      </c>
      <c r="F37" s="42"/>
      <c r="G37" s="42" t="s">
        <v>145</v>
      </c>
    </row>
    <row r="38" spans="1:7" ht="23.1" customHeight="1">
      <c r="A38" s="33"/>
      <c r="B38" s="38" t="s">
        <v>1178</v>
      </c>
      <c r="C38" s="38"/>
      <c r="D38" s="38"/>
      <c r="E38" s="60"/>
      <c r="F38" s="60"/>
      <c r="G38" s="60"/>
    </row>
    <row r="39" spans="1:7" ht="18.95" customHeight="1">
      <c r="A39" s="30">
        <v>1</v>
      </c>
      <c r="B39" s="38" t="s">
        <v>1467</v>
      </c>
      <c r="C39" s="38" t="s">
        <v>1473</v>
      </c>
      <c r="D39" s="31" t="s">
        <v>1474</v>
      </c>
      <c r="E39" s="51">
        <f>'SCH B-5.1'!C39</f>
        <v>81295504.999999985</v>
      </c>
      <c r="F39" s="95">
        <f>G39/E39</f>
        <v>0.87938242823882606</v>
      </c>
      <c r="G39" s="51">
        <f>'SCH B-5.1'!E39</f>
        <v>71489838.591801614</v>
      </c>
    </row>
    <row r="40" spans="1:7" ht="18.95" customHeight="1">
      <c r="A40" s="30"/>
      <c r="B40" s="38"/>
      <c r="C40" s="38"/>
      <c r="D40" s="38"/>
      <c r="E40" s="51"/>
      <c r="F40" s="95"/>
      <c r="G40" s="51"/>
    </row>
    <row r="41" spans="1:7" ht="18.95" customHeight="1">
      <c r="A41" s="30">
        <v>2</v>
      </c>
      <c r="B41" s="38" t="s">
        <v>1468</v>
      </c>
      <c r="C41" s="38" t="s">
        <v>1473</v>
      </c>
      <c r="D41" s="31" t="s">
        <v>1474</v>
      </c>
      <c r="E41" s="51">
        <f>'SCH B-5.1'!C41</f>
        <v>54563930.000000007</v>
      </c>
      <c r="F41" s="95">
        <f>G41/E41</f>
        <v>0.88553931444006773</v>
      </c>
      <c r="G41" s="51">
        <f>'SCH B-5.1'!E41</f>
        <v>48318505.165355854</v>
      </c>
    </row>
    <row r="42" spans="1:7" ht="18.95" customHeight="1">
      <c r="A42" s="30"/>
      <c r="B42" s="38"/>
      <c r="C42" s="38"/>
      <c r="D42" s="38"/>
      <c r="E42" s="51"/>
      <c r="F42" s="51"/>
      <c r="G42" s="51"/>
    </row>
    <row r="43" spans="1:7" ht="18.95" customHeight="1">
      <c r="A43" s="30">
        <v>3</v>
      </c>
      <c r="B43" s="38" t="s">
        <v>1471</v>
      </c>
      <c r="C43" s="38" t="s">
        <v>1473</v>
      </c>
      <c r="D43" s="31" t="s">
        <v>1474</v>
      </c>
      <c r="E43" s="51">
        <f>'SCH B-5.1'!C43</f>
        <v>17200529.232544325</v>
      </c>
      <c r="F43" s="95">
        <f>G43/E43</f>
        <v>0.94016024006654308</v>
      </c>
      <c r="G43" s="51">
        <f>'SCH B-5.1'!E43</f>
        <v>16171253.692540465</v>
      </c>
    </row>
    <row r="44" spans="1:7" ht="18.95" customHeight="1">
      <c r="A44" s="30"/>
      <c r="B44" s="38"/>
      <c r="C44" s="38"/>
      <c r="D44" s="38"/>
      <c r="E44" s="51"/>
      <c r="F44" s="51"/>
      <c r="G44" s="51"/>
    </row>
    <row r="45" spans="1:7" ht="18.95" customHeight="1">
      <c r="A45" s="30">
        <v>4</v>
      </c>
      <c r="B45" s="38" t="s">
        <v>2217</v>
      </c>
      <c r="C45" s="38" t="s">
        <v>1473</v>
      </c>
      <c r="D45" s="31" t="s">
        <v>1474</v>
      </c>
      <c r="E45" s="51">
        <f>'SCH B-5.1'!C45</f>
        <v>0.21999999997206032</v>
      </c>
      <c r="F45" s="95">
        <f>G45/E45</f>
        <v>0.87577725767792247</v>
      </c>
      <c r="G45" s="51">
        <f>'SCH B-5.1'!E45</f>
        <v>0.19267099666467402</v>
      </c>
    </row>
    <row r="46" spans="1:7" ht="18.95" customHeight="1">
      <c r="A46" s="30"/>
      <c r="B46" s="38"/>
      <c r="C46" s="38"/>
      <c r="D46" s="38"/>
      <c r="E46" s="51"/>
      <c r="F46" s="51"/>
      <c r="G46" s="51"/>
    </row>
    <row r="47" spans="1:7" ht="31.5" customHeight="1">
      <c r="A47" s="30">
        <v>5</v>
      </c>
      <c r="B47" s="38" t="s">
        <v>1469</v>
      </c>
      <c r="C47" s="38" t="s">
        <v>1476</v>
      </c>
      <c r="D47" s="31" t="s">
        <v>1475</v>
      </c>
      <c r="E47" s="96">
        <f>'SCH B-5.2'!C40</f>
        <v>119318931.02691007</v>
      </c>
      <c r="F47" s="95">
        <f>G47/E47</f>
        <v>0.89129662095035611</v>
      </c>
      <c r="G47" s="96">
        <f>'SCH B-5.2'!E40</f>
        <v>106348560.03969355</v>
      </c>
    </row>
    <row r="48" spans="1:7" ht="18.95" customHeight="1">
      <c r="A48" s="30"/>
      <c r="B48" s="38"/>
      <c r="C48" s="38"/>
      <c r="D48" s="38"/>
      <c r="E48" s="51"/>
      <c r="F48" s="51"/>
      <c r="G48" s="51"/>
    </row>
    <row r="49" spans="1:7" ht="18.95" customHeight="1" thickBot="1">
      <c r="A49" s="30">
        <v>6</v>
      </c>
      <c r="B49" s="38" t="s">
        <v>1470</v>
      </c>
      <c r="C49" s="38"/>
      <c r="D49" s="38"/>
      <c r="E49" s="59">
        <f>SUM(E39:E47)</f>
        <v>272378895.4794544</v>
      </c>
      <c r="F49" s="51"/>
      <c r="G49" s="59">
        <f>SUM(G39:G47)</f>
        <v>242328157.68206251</v>
      </c>
    </row>
    <row r="50" spans="1:7" ht="18.95" customHeight="1" thickTop="1">
      <c r="A50" s="30"/>
      <c r="B50" s="38"/>
      <c r="C50" s="38"/>
      <c r="D50" s="38"/>
      <c r="E50" s="51"/>
      <c r="F50" s="51"/>
      <c r="G50" s="51"/>
    </row>
    <row r="51" spans="1:7" ht="18.95" customHeight="1">
      <c r="A51" s="30"/>
      <c r="B51" s="27" t="s">
        <v>1472</v>
      </c>
      <c r="C51" s="38"/>
      <c r="D51" s="38"/>
      <c r="E51" s="51"/>
      <c r="F51" s="51"/>
      <c r="G51" s="51"/>
    </row>
    <row r="52" spans="1:7" ht="18.95" customHeight="1">
      <c r="B52" s="27" t="s">
        <v>2218</v>
      </c>
    </row>
    <row r="53" spans="1:7" ht="18.95" customHeight="1"/>
  </sheetData>
  <mergeCells count="8">
    <mergeCell ref="A28:G28"/>
    <mergeCell ref="A29:G29"/>
    <mergeCell ref="A30:G30"/>
    <mergeCell ref="A1:G1"/>
    <mergeCell ref="A2:G2"/>
    <mergeCell ref="A3:G3"/>
    <mergeCell ref="A4:G4"/>
    <mergeCell ref="A27:G27"/>
  </mergeCells>
  <pageMargins left="0.95" right="0.5" top="0.75" bottom="0.75" header="0.3" footer="0.3"/>
  <pageSetup scale="64" fitToHeight="0" orientation="portrait" r:id="rId1"/>
  <rowBreaks count="1" manualBreakCount="1">
    <brk id="26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1:E51"/>
  <sheetViews>
    <sheetView zoomScaleNormal="100" workbookViewId="0">
      <selection activeCell="A2" sqref="A2:E2"/>
    </sheetView>
  </sheetViews>
  <sheetFormatPr defaultColWidth="9" defaultRowHeight="12.75"/>
  <cols>
    <col min="1" max="1" width="6" style="29" customWidth="1"/>
    <col min="2" max="2" width="38.33203125" style="29" customWidth="1"/>
    <col min="3" max="3" width="14.21875" style="29" customWidth="1"/>
    <col min="4" max="4" width="13.6640625" style="29" customWidth="1"/>
    <col min="5" max="5" width="15" style="29" customWidth="1"/>
    <col min="6" max="6" width="1.6640625" style="29" customWidth="1"/>
    <col min="7" max="16384" width="9" style="29"/>
  </cols>
  <sheetData>
    <row r="1" spans="1:5" s="28" customFormat="1" ht="20.100000000000001" customHeight="1">
      <c r="A1" s="706" t="str">
        <f>'Rate Case Constants'!C9</f>
        <v>KENTUCKY UTILITIES COMPANY</v>
      </c>
      <c r="B1" s="706"/>
      <c r="C1" s="706"/>
      <c r="D1" s="706"/>
      <c r="E1" s="706"/>
    </row>
    <row r="2" spans="1:5" s="28" customFormat="1" ht="20.100000000000001" customHeight="1">
      <c r="A2" s="706" t="str">
        <f>'Rate Case Constants'!C10</f>
        <v>CASE NO. 2016-00370</v>
      </c>
      <c r="B2" s="706"/>
      <c r="C2" s="706"/>
      <c r="D2" s="706"/>
      <c r="E2" s="706"/>
    </row>
    <row r="3" spans="1:5" s="28" customFormat="1" ht="20.100000000000001" customHeight="1">
      <c r="A3" s="706" t="s">
        <v>1480</v>
      </c>
      <c r="B3" s="706"/>
      <c r="C3" s="706"/>
      <c r="D3" s="706"/>
      <c r="E3" s="706"/>
    </row>
    <row r="4" spans="1:5" s="28" customFormat="1" ht="20.100000000000001" customHeight="1">
      <c r="A4" s="705" t="str">
        <f>'Rate Case Constants'!C14</f>
        <v>FROM MARCH 1, 2016 TO FEBRUARY 28, 2017</v>
      </c>
      <c r="B4" s="706"/>
      <c r="C4" s="706"/>
      <c r="D4" s="706"/>
      <c r="E4" s="706"/>
    </row>
    <row r="5" spans="1:5" s="28" customFormat="1" ht="20.100000000000001" customHeight="1">
      <c r="A5" s="103"/>
      <c r="B5" s="103"/>
      <c r="C5" s="103"/>
      <c r="D5" s="103"/>
      <c r="E5" s="103"/>
    </row>
    <row r="6" spans="1:5" s="28" customFormat="1" ht="20.100000000000001" customHeight="1">
      <c r="A6" s="27" t="s">
        <v>136</v>
      </c>
      <c r="C6" s="34"/>
      <c r="E6" s="34" t="s">
        <v>1477</v>
      </c>
    </row>
    <row r="7" spans="1:5" s="28" customFormat="1" ht="20.100000000000001" customHeight="1">
      <c r="A7" s="28" t="str">
        <f>'Rate Case Constants'!C29</f>
        <v>TYPE OF FILING: __X__ ORIGINAL  _____ UPDATED  _____ REVISED</v>
      </c>
      <c r="C7" s="34"/>
      <c r="E7" s="34" t="s">
        <v>180</v>
      </c>
    </row>
    <row r="8" spans="1:5" s="28" customFormat="1" ht="20.100000000000001" customHeight="1">
      <c r="A8" s="27" t="s">
        <v>1204</v>
      </c>
      <c r="C8" s="35"/>
      <c r="E8" s="35" t="str">
        <f>'Rate Case Constants'!C36</f>
        <v>WITNESS:   C. M. GARRETT</v>
      </c>
    </row>
    <row r="9" spans="1:5" s="28" customFormat="1" ht="20.100000000000001" customHeight="1"/>
    <row r="10" spans="1:5" s="28" customFormat="1" ht="20.100000000000001" customHeight="1">
      <c r="A10" s="61"/>
      <c r="B10" s="61"/>
      <c r="C10" s="708" t="s">
        <v>1478</v>
      </c>
      <c r="D10" s="708"/>
      <c r="E10" s="708"/>
    </row>
    <row r="11" spans="1:5" ht="39.75" customHeight="1">
      <c r="A11" s="63" t="s">
        <v>134</v>
      </c>
      <c r="B11" s="126" t="s">
        <v>208</v>
      </c>
      <c r="C11" s="63" t="s">
        <v>1208</v>
      </c>
      <c r="D11" s="63" t="s">
        <v>227</v>
      </c>
      <c r="E11" s="63" t="s">
        <v>1466</v>
      </c>
    </row>
    <row r="12" spans="1:5" ht="23.1" customHeight="1">
      <c r="A12" s="40"/>
      <c r="B12" s="41"/>
      <c r="C12" s="42" t="s">
        <v>145</v>
      </c>
      <c r="D12" s="42"/>
      <c r="E12" s="42" t="s">
        <v>145</v>
      </c>
    </row>
    <row r="13" spans="1:5" ht="23.1" customHeight="1">
      <c r="A13" s="33"/>
      <c r="B13" s="38" t="s">
        <v>1178</v>
      </c>
      <c r="C13" s="60"/>
      <c r="D13" s="60"/>
      <c r="E13" s="60"/>
    </row>
    <row r="14" spans="1:5" ht="18.95" customHeight="1">
      <c r="A14" s="30">
        <v>1</v>
      </c>
      <c r="B14" s="38" t="s">
        <v>1467</v>
      </c>
      <c r="C14" s="51">
        <f>'JURISSEP B'!$E$310</f>
        <v>100950355.99999999</v>
      </c>
      <c r="D14" s="95">
        <f>E14/C14</f>
        <v>0.87938242823882595</v>
      </c>
      <c r="E14" s="51">
        <f>'JURISSEP B'!$G$310</f>
        <v>88773969.190853924</v>
      </c>
    </row>
    <row r="15" spans="1:5" ht="18.95" customHeight="1">
      <c r="A15" s="30"/>
      <c r="B15" s="38"/>
      <c r="C15" s="51"/>
      <c r="D15" s="95"/>
      <c r="E15" s="51"/>
    </row>
    <row r="16" spans="1:5" ht="18.95" customHeight="1">
      <c r="A16" s="30">
        <v>2</v>
      </c>
      <c r="B16" s="38" t="s">
        <v>1468</v>
      </c>
      <c r="C16" s="51">
        <f>'JURISSEP B'!$E$317</f>
        <v>54089819.999999993</v>
      </c>
      <c r="D16" s="95">
        <f>E16/C16</f>
        <v>0.88464793156269772</v>
      </c>
      <c r="E16" s="51">
        <f>'JURISSEP B'!$G$317</f>
        <v>47850447.381598629</v>
      </c>
    </row>
    <row r="17" spans="1:5" ht="18.95" customHeight="1">
      <c r="A17" s="30"/>
      <c r="B17" s="38"/>
      <c r="C17" s="51"/>
      <c r="D17" s="51"/>
      <c r="E17" s="51"/>
    </row>
    <row r="18" spans="1:5" ht="18.95" customHeight="1">
      <c r="A18" s="30">
        <v>3</v>
      </c>
      <c r="B18" s="38" t="s">
        <v>1471</v>
      </c>
      <c r="C18" s="51">
        <f>'JURISSEP B'!$E$321</f>
        <v>14433442.042318262</v>
      </c>
      <c r="D18" s="95">
        <f>E18/C18</f>
        <v>0.93927323029754983</v>
      </c>
      <c r="E18" s="51">
        <f>'JURISSEP B'!$G$321</f>
        <v>13556945.731400739</v>
      </c>
    </row>
    <row r="19" spans="1:5" ht="18.95" customHeight="1">
      <c r="A19" s="30"/>
      <c r="B19" s="38"/>
      <c r="C19" s="51"/>
      <c r="D19" s="51"/>
      <c r="E19" s="51"/>
    </row>
    <row r="20" spans="1:5" ht="18.95" customHeight="1">
      <c r="A20" s="30">
        <v>4</v>
      </c>
      <c r="B20" s="38" t="s">
        <v>2217</v>
      </c>
      <c r="C20" s="96">
        <f>'JURISSEP B'!$E$329-'ECR ALLOW'!P5*1000</f>
        <v>7.692307690740563E-2</v>
      </c>
      <c r="D20" s="95">
        <f>E20/C20</f>
        <v>0.87577725765383918</v>
      </c>
      <c r="E20" s="96">
        <f>'JURISSEP B'!$G$329-'ECR ALLOW'!P7*1000</f>
        <v>6.7367481344263069E-2</v>
      </c>
    </row>
    <row r="21" spans="1:5" ht="18.95" customHeight="1">
      <c r="A21" s="30"/>
      <c r="B21" s="38"/>
      <c r="C21" s="51"/>
      <c r="D21" s="51"/>
      <c r="E21" s="51"/>
    </row>
    <row r="22" spans="1:5" ht="18.95" customHeight="1" thickBot="1">
      <c r="A22" s="30">
        <v>5</v>
      </c>
      <c r="B22" s="38" t="s">
        <v>1479</v>
      </c>
      <c r="C22" s="59">
        <f>SUM(C14:C20)</f>
        <v>169473618.1192413</v>
      </c>
      <c r="D22" s="51"/>
      <c r="E22" s="59">
        <f>SUM(E14:E20)</f>
        <v>150181362.37122077</v>
      </c>
    </row>
    <row r="23" spans="1:5" ht="18.95" customHeight="1" thickTop="1">
      <c r="A23" s="30"/>
      <c r="B23" s="38"/>
      <c r="C23" s="51"/>
      <c r="D23" s="51"/>
      <c r="E23" s="51"/>
    </row>
    <row r="24" spans="1:5" ht="18.95" customHeight="1">
      <c r="A24" s="30"/>
      <c r="B24" s="27" t="s">
        <v>1472</v>
      </c>
      <c r="C24" s="51"/>
      <c r="D24" s="51"/>
      <c r="E24" s="51"/>
    </row>
    <row r="25" spans="1:5" ht="18.95" customHeight="1">
      <c r="A25" s="30"/>
      <c r="B25" s="27" t="s">
        <v>2218</v>
      </c>
      <c r="C25" s="51"/>
      <c r="D25" s="51"/>
      <c r="E25" s="51"/>
    </row>
    <row r="26" spans="1:5" s="28" customFormat="1" ht="20.100000000000001" customHeight="1">
      <c r="A26" s="706" t="str">
        <f>$A$1</f>
        <v>KENTUCKY UTILITIES COMPANY</v>
      </c>
      <c r="B26" s="706"/>
      <c r="C26" s="706"/>
      <c r="D26" s="706"/>
      <c r="E26" s="706"/>
    </row>
    <row r="27" spans="1:5" s="28" customFormat="1" ht="20.100000000000001" customHeight="1">
      <c r="A27" s="706" t="str">
        <f>$A$2</f>
        <v>CASE NO. 2016-00370</v>
      </c>
      <c r="B27" s="706"/>
      <c r="C27" s="706"/>
      <c r="D27" s="706"/>
      <c r="E27" s="706"/>
    </row>
    <row r="28" spans="1:5" s="28" customFormat="1" ht="20.100000000000001" customHeight="1">
      <c r="A28" s="706" t="str">
        <f>$A$3</f>
        <v>OTHER WORKING CAPITAL COMPONENTS</v>
      </c>
      <c r="B28" s="706"/>
      <c r="C28" s="706"/>
      <c r="D28" s="706"/>
      <c r="E28" s="706"/>
    </row>
    <row r="29" spans="1:5" s="28" customFormat="1" ht="20.100000000000001" customHeight="1">
      <c r="A29" s="705" t="str">
        <f>'Rate Case Constants'!C20</f>
        <v>FROM JULY 1, 2017 TO JUNE 30, 2018</v>
      </c>
      <c r="B29" s="709"/>
      <c r="C29" s="709"/>
      <c r="D29" s="709"/>
      <c r="E29" s="709"/>
    </row>
    <row r="30" spans="1:5" s="28" customFormat="1" ht="20.100000000000001" customHeight="1">
      <c r="A30" s="103"/>
      <c r="B30" s="103"/>
      <c r="C30" s="103"/>
      <c r="D30" s="103"/>
      <c r="E30" s="103"/>
    </row>
    <row r="31" spans="1:5" s="28" customFormat="1" ht="20.100000000000001" customHeight="1">
      <c r="A31" s="27" t="s">
        <v>164</v>
      </c>
      <c r="C31" s="34"/>
      <c r="E31" s="34" t="s">
        <v>1477</v>
      </c>
    </row>
    <row r="32" spans="1:5" s="28" customFormat="1" ht="20.100000000000001" customHeight="1">
      <c r="A32" s="27" t="str">
        <f>$A$7</f>
        <v>TYPE OF FILING: __X__ ORIGINAL  _____ UPDATED  _____ REVISED</v>
      </c>
      <c r="C32" s="34"/>
      <c r="E32" s="34" t="s">
        <v>188</v>
      </c>
    </row>
    <row r="33" spans="1:5" s="28" customFormat="1" ht="20.100000000000001" customHeight="1">
      <c r="A33" s="27" t="str">
        <f>$A$8</f>
        <v>WORKPAPER REFERENCE NO(S).:</v>
      </c>
      <c r="C33" s="35"/>
      <c r="E33" s="35" t="str">
        <f>$E$8</f>
        <v>WITNESS:   C. M. GARRETT</v>
      </c>
    </row>
    <row r="34" spans="1:5" s="28" customFormat="1" ht="20.100000000000001" customHeight="1"/>
    <row r="35" spans="1:5" s="28" customFormat="1" ht="20.100000000000001" customHeight="1">
      <c r="A35" s="61"/>
      <c r="B35" s="61"/>
      <c r="C35" s="708" t="s">
        <v>1478</v>
      </c>
      <c r="D35" s="708"/>
      <c r="E35" s="708"/>
    </row>
    <row r="36" spans="1:5" ht="39.75" customHeight="1">
      <c r="A36" s="63" t="s">
        <v>134</v>
      </c>
      <c r="B36" s="126" t="s">
        <v>208</v>
      </c>
      <c r="C36" s="63" t="s">
        <v>1208</v>
      </c>
      <c r="D36" s="63" t="s">
        <v>227</v>
      </c>
      <c r="E36" s="63" t="s">
        <v>1466</v>
      </c>
    </row>
    <row r="37" spans="1:5" ht="23.1" customHeight="1">
      <c r="A37" s="40"/>
      <c r="B37" s="41"/>
      <c r="C37" s="42" t="s">
        <v>145</v>
      </c>
      <c r="D37" s="42"/>
      <c r="E37" s="42" t="s">
        <v>145</v>
      </c>
    </row>
    <row r="38" spans="1:5" ht="23.1" customHeight="1">
      <c r="A38" s="33"/>
      <c r="B38" s="38" t="s">
        <v>1178</v>
      </c>
      <c r="C38" s="60"/>
      <c r="D38" s="60"/>
      <c r="E38" s="60"/>
    </row>
    <row r="39" spans="1:5" ht="18.95" customHeight="1">
      <c r="A39" s="30">
        <v>1</v>
      </c>
      <c r="B39" s="38" t="s">
        <v>1467</v>
      </c>
      <c r="C39" s="51">
        <f>'JURISSEP F'!$E$310</f>
        <v>81295504.999999985</v>
      </c>
      <c r="D39" s="95">
        <f>E39/C39</f>
        <v>0.87938242823882606</v>
      </c>
      <c r="E39" s="51">
        <f>'JURISSEP F'!$G$310</f>
        <v>71489838.591801614</v>
      </c>
    </row>
    <row r="40" spans="1:5" ht="18.95" customHeight="1">
      <c r="A40" s="30"/>
      <c r="B40" s="38"/>
      <c r="C40" s="51"/>
      <c r="D40" s="95"/>
      <c r="E40" s="51"/>
    </row>
    <row r="41" spans="1:5" ht="18.95" customHeight="1">
      <c r="A41" s="30">
        <v>2</v>
      </c>
      <c r="B41" s="38" t="s">
        <v>1468</v>
      </c>
      <c r="C41" s="51">
        <f>'JURISSEP F'!$E$317</f>
        <v>54563930.000000007</v>
      </c>
      <c r="D41" s="95">
        <f>E41/C41</f>
        <v>0.88553931444006773</v>
      </c>
      <c r="E41" s="51">
        <f>'JURISSEP F'!$G$317</f>
        <v>48318505.165355854</v>
      </c>
    </row>
    <row r="42" spans="1:5" ht="18.95" customHeight="1">
      <c r="A42" s="30"/>
      <c r="B42" s="38"/>
      <c r="C42" s="51"/>
      <c r="D42" s="51"/>
      <c r="E42" s="51"/>
    </row>
    <row r="43" spans="1:5" ht="18.95" customHeight="1">
      <c r="A43" s="30">
        <v>3</v>
      </c>
      <c r="B43" s="38" t="s">
        <v>1471</v>
      </c>
      <c r="C43" s="51">
        <f>'JURISSEP F'!$E$321</f>
        <v>17200529.232544325</v>
      </c>
      <c r="D43" s="95">
        <f>E43/C43</f>
        <v>0.94016024006654308</v>
      </c>
      <c r="E43" s="51">
        <f>'JURISSEP F'!$G$321</f>
        <v>16171253.692540465</v>
      </c>
    </row>
    <row r="44" spans="1:5" ht="18.95" customHeight="1">
      <c r="A44" s="30"/>
      <c r="B44" s="38"/>
      <c r="C44" s="51"/>
      <c r="D44" s="51"/>
      <c r="E44" s="51"/>
    </row>
    <row r="45" spans="1:5" ht="18.95" customHeight="1">
      <c r="A45" s="30">
        <v>4</v>
      </c>
      <c r="B45" s="38" t="s">
        <v>2217</v>
      </c>
      <c r="C45" s="96">
        <f>'JURISSEP F'!$E$329-'ECR ALLOW'!AG5*1000</f>
        <v>0.21999999997206032</v>
      </c>
      <c r="D45" s="95">
        <f>E45/C45</f>
        <v>0.87577725767792247</v>
      </c>
      <c r="E45" s="96">
        <f>'JURISSEP F'!$G$329-'ECR ALLOW'!AG7*1000</f>
        <v>0.19267099666467402</v>
      </c>
    </row>
    <row r="46" spans="1:5" ht="18.95" customHeight="1">
      <c r="A46" s="30"/>
      <c r="B46" s="38"/>
      <c r="C46" s="51"/>
      <c r="D46" s="51"/>
      <c r="E46" s="51"/>
    </row>
    <row r="47" spans="1:5" ht="18.95" customHeight="1" thickBot="1">
      <c r="A47" s="30">
        <v>5</v>
      </c>
      <c r="B47" s="38" t="s">
        <v>1479</v>
      </c>
      <c r="C47" s="59">
        <f>SUM(C39:C45)</f>
        <v>153059964.45254433</v>
      </c>
      <c r="D47" s="51"/>
      <c r="E47" s="59">
        <f>SUM(E39:E45)</f>
        <v>135979597.64236894</v>
      </c>
    </row>
    <row r="48" spans="1:5" ht="18.95" customHeight="1" thickTop="1">
      <c r="A48" s="30"/>
      <c r="B48" s="38"/>
      <c r="C48" s="51"/>
      <c r="D48" s="51"/>
      <c r="E48" s="51"/>
    </row>
    <row r="49" spans="1:5" ht="18.95" customHeight="1">
      <c r="A49" s="30"/>
      <c r="B49" s="27" t="s">
        <v>1472</v>
      </c>
      <c r="C49" s="51"/>
      <c r="D49" s="51"/>
      <c r="E49" s="51"/>
    </row>
    <row r="50" spans="1:5" ht="18.95" customHeight="1">
      <c r="B50" s="27" t="s">
        <v>2218</v>
      </c>
    </row>
    <row r="51" spans="1:5" ht="18.95" customHeight="1"/>
  </sheetData>
  <mergeCells count="10">
    <mergeCell ref="A28:E28"/>
    <mergeCell ref="A29:E29"/>
    <mergeCell ref="C10:E10"/>
    <mergeCell ref="C35:E35"/>
    <mergeCell ref="A1:E1"/>
    <mergeCell ref="A2:E2"/>
    <mergeCell ref="A3:E3"/>
    <mergeCell ref="A4:E4"/>
    <mergeCell ref="A26:E26"/>
    <mergeCell ref="A27:E27"/>
  </mergeCells>
  <pageMargins left="0.95" right="0.5" top="0.75" bottom="0.75" header="0.3" footer="0.3"/>
  <pageSetup scale="94" fitToHeight="0" orientation="portrait" r:id="rId1"/>
  <rowBreaks count="1" manualBreakCount="1">
    <brk id="25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A1:H43"/>
  <sheetViews>
    <sheetView zoomScaleNormal="100" workbookViewId="0">
      <selection activeCell="H34" sqref="H34"/>
    </sheetView>
  </sheetViews>
  <sheetFormatPr defaultColWidth="9" defaultRowHeight="12.75"/>
  <cols>
    <col min="1" max="1" width="6" style="29" customWidth="1"/>
    <col min="2" max="2" width="45.44140625" style="29" customWidth="1"/>
    <col min="3" max="3" width="14.21875" style="29" customWidth="1"/>
    <col min="4" max="4" width="13.6640625" style="29" customWidth="1"/>
    <col min="5" max="5" width="15" style="29" customWidth="1"/>
    <col min="6" max="6" width="1.6640625" style="29" customWidth="1"/>
    <col min="7" max="7" width="9" style="29"/>
    <col min="8" max="8" width="12.44140625" style="29" customWidth="1"/>
    <col min="9" max="16384" width="9" style="29"/>
  </cols>
  <sheetData>
    <row r="1" spans="1:8" s="28" customFormat="1" ht="20.100000000000001" customHeight="1">
      <c r="A1" s="706" t="str">
        <f>'Rate Case Constants'!C9</f>
        <v>KENTUCKY UTILITIES COMPANY</v>
      </c>
      <c r="B1" s="706"/>
      <c r="C1" s="706"/>
      <c r="D1" s="706"/>
      <c r="E1" s="706"/>
    </row>
    <row r="2" spans="1:8" s="28" customFormat="1" ht="20.100000000000001" customHeight="1">
      <c r="A2" s="706" t="str">
        <f>'Rate Case Constants'!C10</f>
        <v>CASE NO. 2016-00370</v>
      </c>
      <c r="B2" s="706"/>
      <c r="C2" s="706"/>
      <c r="D2" s="706"/>
      <c r="E2" s="706"/>
    </row>
    <row r="3" spans="1:8" s="28" customFormat="1" ht="20.100000000000001" customHeight="1">
      <c r="A3" s="706" t="s">
        <v>1481</v>
      </c>
      <c r="B3" s="706"/>
      <c r="C3" s="706"/>
      <c r="D3" s="706"/>
      <c r="E3" s="706"/>
    </row>
    <row r="4" spans="1:8" s="28" customFormat="1" ht="20.100000000000001" customHeight="1">
      <c r="A4" s="705" t="str">
        <f>'Rate Case Constants'!C15</f>
        <v>BASE YEAR FOR THE 12 MONTHS ENDED FEBRUARY 28, 2017</v>
      </c>
      <c r="B4" s="706"/>
      <c r="C4" s="706"/>
      <c r="D4" s="706"/>
      <c r="E4" s="706"/>
    </row>
    <row r="5" spans="1:8" s="28" customFormat="1" ht="20.100000000000001" customHeight="1">
      <c r="A5" s="103"/>
      <c r="B5" s="103"/>
      <c r="C5" s="103"/>
      <c r="D5" s="103"/>
      <c r="E5" s="103"/>
    </row>
    <row r="6" spans="1:8" s="28" customFormat="1" ht="20.100000000000001" customHeight="1">
      <c r="A6" s="27" t="s">
        <v>136</v>
      </c>
      <c r="C6" s="34"/>
      <c r="E6" s="34" t="s">
        <v>1482</v>
      </c>
    </row>
    <row r="7" spans="1:8" s="28" customFormat="1" ht="20.100000000000001" customHeight="1">
      <c r="A7" s="28" t="str">
        <f>'Rate Case Constants'!C29</f>
        <v>TYPE OF FILING: __X__ ORIGINAL  _____ UPDATED  _____ REVISED</v>
      </c>
      <c r="C7" s="34"/>
      <c r="E7" s="34" t="s">
        <v>180</v>
      </c>
    </row>
    <row r="8" spans="1:8" s="28" customFormat="1" ht="20.100000000000001" customHeight="1">
      <c r="A8" s="27" t="s">
        <v>1204</v>
      </c>
      <c r="C8" s="35"/>
      <c r="E8" s="35" t="str">
        <f>'Rate Case Constants'!C36</f>
        <v>WITNESS:   C. M. GARRETT</v>
      </c>
    </row>
    <row r="9" spans="1:8" s="28" customFormat="1" ht="20.100000000000001" customHeight="1"/>
    <row r="10" spans="1:8" ht="39.75" customHeight="1">
      <c r="A10" s="124" t="s">
        <v>134</v>
      </c>
      <c r="B10" s="125" t="s">
        <v>208</v>
      </c>
      <c r="C10" s="124" t="s">
        <v>1208</v>
      </c>
      <c r="D10" s="124" t="s">
        <v>227</v>
      </c>
      <c r="E10" s="124" t="s">
        <v>1466</v>
      </c>
    </row>
    <row r="11" spans="1:8" ht="23.1" customHeight="1">
      <c r="A11" s="40"/>
      <c r="B11" s="41"/>
      <c r="C11" s="42" t="s">
        <v>145</v>
      </c>
      <c r="D11" s="42"/>
      <c r="E11" s="42" t="s">
        <v>145</v>
      </c>
    </row>
    <row r="12" spans="1:8" ht="23.1" customHeight="1">
      <c r="A12" s="33"/>
      <c r="B12" s="38" t="s">
        <v>1178</v>
      </c>
      <c r="C12" s="60"/>
      <c r="D12" s="60"/>
      <c r="E12" s="60"/>
    </row>
    <row r="13" spans="1:8" ht="18.95" customHeight="1">
      <c r="A13" s="30">
        <v>1</v>
      </c>
      <c r="B13" s="38" t="s">
        <v>1547</v>
      </c>
      <c r="C13" s="51">
        <f ca="1">'JURISSEP B'!$E$593-'ECR EXP B'!O24*1000</f>
        <v>953343404.19824302</v>
      </c>
      <c r="D13" s="95">
        <f>'JURISSEP B'!G593/'JURISSEP B'!E593</f>
        <v>0.88970908453847553</v>
      </c>
      <c r="E13" s="51">
        <f ca="1">C13*D13</f>
        <v>848198287.40001261</v>
      </c>
      <c r="H13" s="51"/>
    </row>
    <row r="14" spans="1:8" ht="18.95" customHeight="1">
      <c r="A14" s="30"/>
      <c r="B14" s="38"/>
      <c r="C14" s="51"/>
      <c r="D14" s="95"/>
      <c r="E14" s="51"/>
    </row>
    <row r="15" spans="1:8" ht="18.95" customHeight="1">
      <c r="A15" s="30">
        <v>2</v>
      </c>
      <c r="B15" s="38" t="s">
        <v>1483</v>
      </c>
      <c r="C15" s="96">
        <f>'JURISSEP B'!$E$479</f>
        <v>45723873.719400004</v>
      </c>
      <c r="D15" s="95">
        <f>E15/C15</f>
        <v>0.87876341487324239</v>
      </c>
      <c r="E15" s="96">
        <f>'JURISSEP B'!$G$479</f>
        <v>40180467.410892852</v>
      </c>
    </row>
    <row r="16" spans="1:8" ht="18.95" customHeight="1">
      <c r="A16" s="30"/>
      <c r="B16" s="38"/>
      <c r="C16" s="51"/>
      <c r="D16" s="51"/>
      <c r="E16" s="51"/>
    </row>
    <row r="17" spans="1:5" ht="18.95" customHeight="1" thickBot="1">
      <c r="A17" s="30">
        <v>3</v>
      </c>
      <c r="B17" s="38" t="s">
        <v>1484</v>
      </c>
      <c r="C17" s="59">
        <f ca="1">C13-C15</f>
        <v>907619530.47884297</v>
      </c>
      <c r="D17" s="95"/>
      <c r="E17" s="59">
        <f ca="1">E13-E15</f>
        <v>808017819.98911977</v>
      </c>
    </row>
    <row r="18" spans="1:5" ht="18.95" customHeight="1" thickTop="1">
      <c r="A18" s="30"/>
      <c r="B18" s="38"/>
      <c r="C18" s="51"/>
      <c r="D18" s="51"/>
      <c r="E18" s="51"/>
    </row>
    <row r="19" spans="1:5" ht="18.95" customHeight="1" thickBot="1">
      <c r="A19" s="30">
        <v>4</v>
      </c>
      <c r="B19" s="38" t="s">
        <v>1485</v>
      </c>
      <c r="C19" s="59">
        <f ca="1">C17*0.125</f>
        <v>113452441.30985537</v>
      </c>
      <c r="D19" s="51"/>
      <c r="E19" s="59">
        <f ca="1">E17*0.125</f>
        <v>101002227.49863997</v>
      </c>
    </row>
    <row r="20" spans="1:5" ht="18.95" customHeight="1" thickTop="1">
      <c r="A20" s="30"/>
      <c r="B20" s="38"/>
      <c r="C20" s="51"/>
      <c r="D20" s="51"/>
      <c r="E20" s="51"/>
    </row>
    <row r="21" spans="1:5" ht="18.95" customHeight="1">
      <c r="A21" s="30"/>
      <c r="B21" s="426" t="s">
        <v>1546</v>
      </c>
      <c r="C21" s="51"/>
      <c r="D21" s="51"/>
      <c r="E21" s="51"/>
    </row>
    <row r="22" spans="1:5" s="28" customFormat="1" ht="20.100000000000001" customHeight="1">
      <c r="A22" s="706" t="str">
        <f>$A$1</f>
        <v>KENTUCKY UTILITIES COMPANY</v>
      </c>
      <c r="B22" s="706"/>
      <c r="C22" s="706"/>
      <c r="D22" s="706"/>
      <c r="E22" s="706"/>
    </row>
    <row r="23" spans="1:5" s="28" customFormat="1" ht="20.100000000000001" customHeight="1">
      <c r="A23" s="706" t="str">
        <f>$A$2</f>
        <v>CASE NO. 2016-00370</v>
      </c>
      <c r="B23" s="706"/>
      <c r="C23" s="706"/>
      <c r="D23" s="706"/>
      <c r="E23" s="706"/>
    </row>
    <row r="24" spans="1:5" s="28" customFormat="1" ht="20.100000000000001" customHeight="1">
      <c r="A24" s="706" t="str">
        <f>$A$3</f>
        <v>CASH WORKING CAPITAL COMPONENTS</v>
      </c>
      <c r="B24" s="706"/>
      <c r="C24" s="706"/>
      <c r="D24" s="706"/>
      <c r="E24" s="706"/>
    </row>
    <row r="25" spans="1:5" s="28" customFormat="1" ht="20.100000000000001" customHeight="1">
      <c r="A25" s="705" t="str">
        <f>'Rate Case Constants'!C21</f>
        <v>FORECAST PERIOD FOR THE 12 MONTHS ENDED JUNE 30, 2018</v>
      </c>
      <c r="B25" s="709"/>
      <c r="C25" s="709"/>
      <c r="D25" s="709"/>
      <c r="E25" s="709"/>
    </row>
    <row r="26" spans="1:5" s="28" customFormat="1" ht="20.100000000000001" customHeight="1">
      <c r="A26" s="103"/>
      <c r="B26" s="103"/>
      <c r="C26" s="103"/>
      <c r="D26" s="103"/>
      <c r="E26" s="103"/>
    </row>
    <row r="27" spans="1:5" s="28" customFormat="1" ht="20.100000000000001" customHeight="1">
      <c r="A27" s="27" t="s">
        <v>164</v>
      </c>
      <c r="C27" s="34"/>
      <c r="E27" s="34" t="s">
        <v>1482</v>
      </c>
    </row>
    <row r="28" spans="1:5" s="28" customFormat="1" ht="20.100000000000001" customHeight="1">
      <c r="A28" s="27" t="str">
        <f>$A$7</f>
        <v>TYPE OF FILING: __X__ ORIGINAL  _____ UPDATED  _____ REVISED</v>
      </c>
      <c r="C28" s="34"/>
      <c r="E28" s="34" t="s">
        <v>188</v>
      </c>
    </row>
    <row r="29" spans="1:5" s="28" customFormat="1" ht="20.100000000000001" customHeight="1">
      <c r="A29" s="27" t="str">
        <f>$A$8</f>
        <v>WORKPAPER REFERENCE NO(S).:</v>
      </c>
      <c r="C29" s="35"/>
      <c r="E29" s="35" t="str">
        <f>$E$8</f>
        <v>WITNESS:   C. M. GARRETT</v>
      </c>
    </row>
    <row r="30" spans="1:5" s="28" customFormat="1" ht="20.100000000000001" customHeight="1"/>
    <row r="31" spans="1:5" ht="39.75" customHeight="1">
      <c r="A31" s="124" t="s">
        <v>134</v>
      </c>
      <c r="B31" s="125" t="s">
        <v>208</v>
      </c>
      <c r="C31" s="124" t="s">
        <v>1208</v>
      </c>
      <c r="D31" s="124" t="s">
        <v>227</v>
      </c>
      <c r="E31" s="124" t="s">
        <v>1466</v>
      </c>
    </row>
    <row r="32" spans="1:5" ht="23.1" customHeight="1">
      <c r="A32" s="40"/>
      <c r="B32" s="41"/>
      <c r="C32" s="42" t="s">
        <v>145</v>
      </c>
      <c r="D32" s="42"/>
      <c r="E32" s="42" t="s">
        <v>145</v>
      </c>
    </row>
    <row r="33" spans="1:8" ht="23.1" customHeight="1">
      <c r="A33" s="33"/>
      <c r="B33" s="38" t="s">
        <v>1178</v>
      </c>
      <c r="C33" s="60"/>
      <c r="D33" s="60"/>
      <c r="E33" s="60"/>
    </row>
    <row r="34" spans="1:8" ht="18.95" customHeight="1">
      <c r="A34" s="30">
        <v>1</v>
      </c>
      <c r="B34" s="38" t="s">
        <v>1547</v>
      </c>
      <c r="C34" s="51">
        <f>'JURISSEP F'!$E$593-'ECR EXP F'!N23*1000</f>
        <v>1012300429.8785896</v>
      </c>
      <c r="D34" s="95">
        <f>'JURISSEP F'!G593/'JURISSEP F'!E593</f>
        <v>0.89058721341376212</v>
      </c>
      <c r="E34" s="51">
        <f>C34*D34</f>
        <v>901541818.98312664</v>
      </c>
      <c r="H34" s="51"/>
    </row>
    <row r="35" spans="1:8" ht="18.95" customHeight="1">
      <c r="A35" s="30"/>
      <c r="B35" s="38"/>
      <c r="C35" s="51"/>
      <c r="D35" s="95"/>
      <c r="E35" s="51"/>
    </row>
    <row r="36" spans="1:8" ht="18.95" customHeight="1">
      <c r="A36" s="30">
        <v>2</v>
      </c>
      <c r="B36" s="38" t="s">
        <v>1483</v>
      </c>
      <c r="C36" s="96">
        <f>'JURISSEP F'!$E$479</f>
        <v>57748981.663309105</v>
      </c>
      <c r="D36" s="95">
        <f>E36/C36</f>
        <v>0.87886118860905271</v>
      </c>
      <c r="E36" s="96">
        <f>'JURISSEP F'!$G$479</f>
        <v>50753338.665578231</v>
      </c>
    </row>
    <row r="37" spans="1:8" ht="18.95" customHeight="1">
      <c r="A37" s="30"/>
      <c r="B37" s="38"/>
      <c r="C37" s="51"/>
      <c r="D37" s="51"/>
      <c r="E37" s="51"/>
    </row>
    <row r="38" spans="1:8" ht="18.95" customHeight="1" thickBot="1">
      <c r="A38" s="30">
        <v>3</v>
      </c>
      <c r="B38" s="38" t="s">
        <v>1484</v>
      </c>
      <c r="C38" s="59">
        <f>C34-C36</f>
        <v>954551448.21528053</v>
      </c>
      <c r="D38" s="95"/>
      <c r="E38" s="59">
        <f>E34-E36</f>
        <v>850788480.31754839</v>
      </c>
    </row>
    <row r="39" spans="1:8" ht="18.95" customHeight="1" thickTop="1">
      <c r="A39" s="30"/>
      <c r="B39" s="38"/>
      <c r="C39" s="51"/>
      <c r="D39" s="51"/>
      <c r="E39" s="51"/>
    </row>
    <row r="40" spans="1:8" ht="18.95" customHeight="1" thickBot="1">
      <c r="A40" s="30">
        <v>4</v>
      </c>
      <c r="B40" s="38" t="s">
        <v>1485</v>
      </c>
      <c r="C40" s="59">
        <f>C38*0.125</f>
        <v>119318931.02691007</v>
      </c>
      <c r="D40" s="51"/>
      <c r="E40" s="59">
        <f>E38*0.125</f>
        <v>106348560.03969355</v>
      </c>
    </row>
    <row r="41" spans="1:8" ht="18.95" customHeight="1" thickTop="1">
      <c r="A41" s="30"/>
      <c r="B41" s="38"/>
      <c r="C41" s="51"/>
      <c r="D41" s="51"/>
      <c r="E41" s="51"/>
    </row>
    <row r="42" spans="1:8" ht="18.95" customHeight="1">
      <c r="B42" s="426" t="s">
        <v>1546</v>
      </c>
    </row>
    <row r="43" spans="1:8" ht="18.95" customHeight="1"/>
  </sheetData>
  <mergeCells count="8">
    <mergeCell ref="A23:E23"/>
    <mergeCell ref="A24:E24"/>
    <mergeCell ref="A25:E25"/>
    <mergeCell ref="A1:E1"/>
    <mergeCell ref="A2:E2"/>
    <mergeCell ref="A3:E3"/>
    <mergeCell ref="A4:E4"/>
    <mergeCell ref="A22:E22"/>
  </mergeCells>
  <pageMargins left="0.95" right="0.5" top="0.75" bottom="0.75" header="0.3" footer="0.3"/>
  <pageSetup scale="87" fitToHeight="0" orientation="portrait" r:id="rId1"/>
  <rowBreaks count="1" manualBreakCount="1">
    <brk id="21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H43"/>
  <sheetViews>
    <sheetView topLeftCell="A22" zoomScaleNormal="100" workbookViewId="0">
      <selection activeCell="A28" sqref="A28"/>
    </sheetView>
  </sheetViews>
  <sheetFormatPr defaultColWidth="9" defaultRowHeight="12.75"/>
  <cols>
    <col min="1" max="1" width="6" style="29" customWidth="1"/>
    <col min="2" max="2" width="16.33203125" style="29" customWidth="1"/>
    <col min="3" max="3" width="34.21875" style="29" customWidth="1"/>
    <col min="4" max="4" width="12.88671875" style="29" customWidth="1"/>
    <col min="5" max="5" width="13.6640625" style="29" customWidth="1"/>
    <col min="6" max="6" width="14.77734375" style="29" customWidth="1"/>
    <col min="7" max="8" width="13.6640625" style="29" customWidth="1"/>
    <col min="9" max="9" width="1.6640625" style="29" customWidth="1"/>
    <col min="10" max="16384" width="9" style="29"/>
  </cols>
  <sheetData>
    <row r="1" spans="1:8" s="28" customFormat="1" ht="20.100000000000001" customHeight="1">
      <c r="A1" s="706" t="str">
        <f>'Rate Case Constants'!C9</f>
        <v>KENTUCKY UTILITIES COMPANY</v>
      </c>
      <c r="B1" s="706"/>
      <c r="C1" s="706"/>
      <c r="D1" s="706"/>
      <c r="E1" s="706"/>
      <c r="F1" s="706"/>
      <c r="G1" s="706"/>
      <c r="H1" s="706"/>
    </row>
    <row r="2" spans="1:8" s="28" customFormat="1" ht="20.100000000000001" customHeight="1">
      <c r="A2" s="706" t="str">
        <f>'Rate Case Constants'!C10</f>
        <v>CASE NO. 2016-00370</v>
      </c>
      <c r="B2" s="706"/>
      <c r="C2" s="706"/>
      <c r="D2" s="706"/>
      <c r="E2" s="706"/>
      <c r="F2" s="706"/>
      <c r="G2" s="706"/>
      <c r="H2" s="706"/>
    </row>
    <row r="3" spans="1:8" s="28" customFormat="1" ht="20.100000000000001" customHeight="1">
      <c r="A3" s="706" t="s">
        <v>1487</v>
      </c>
      <c r="B3" s="706"/>
      <c r="C3" s="706"/>
      <c r="D3" s="706"/>
      <c r="E3" s="706"/>
      <c r="F3" s="706"/>
      <c r="G3" s="706"/>
      <c r="H3" s="706"/>
    </row>
    <row r="4" spans="1:8" s="28" customFormat="1" ht="20.100000000000001" customHeight="1">
      <c r="A4" s="706" t="str">
        <f>'Rate Case Constants'!C12</f>
        <v>AS OF FEBRUARY 28, 2017</v>
      </c>
      <c r="B4" s="706"/>
      <c r="C4" s="706"/>
      <c r="D4" s="706"/>
      <c r="E4" s="706"/>
      <c r="F4" s="706"/>
      <c r="G4" s="706"/>
      <c r="H4" s="706"/>
    </row>
    <row r="5" spans="1:8" s="28" customFormat="1" ht="20.100000000000001" customHeight="1">
      <c r="A5" s="103"/>
      <c r="B5" s="103"/>
      <c r="C5" s="103"/>
      <c r="D5" s="103"/>
      <c r="E5" s="103"/>
      <c r="F5" s="103"/>
      <c r="G5" s="103"/>
      <c r="H5" s="103"/>
    </row>
    <row r="6" spans="1:8" s="28" customFormat="1" ht="20.100000000000001" customHeight="1">
      <c r="A6" s="27" t="s">
        <v>136</v>
      </c>
      <c r="B6" s="27"/>
      <c r="G6" s="34"/>
      <c r="H6" s="34" t="s">
        <v>1486</v>
      </c>
    </row>
    <row r="7" spans="1:8" s="28" customFormat="1" ht="20.100000000000001" customHeight="1">
      <c r="A7" s="28" t="str">
        <f>'Rate Case Constants'!C29</f>
        <v>TYPE OF FILING: __X__ ORIGINAL  _____ UPDATED  _____ REVISED</v>
      </c>
      <c r="G7" s="34"/>
      <c r="H7" s="34" t="s">
        <v>180</v>
      </c>
    </row>
    <row r="8" spans="1:8" s="28" customFormat="1" ht="20.100000000000001" customHeight="1">
      <c r="A8" s="27" t="s">
        <v>1460</v>
      </c>
      <c r="B8" s="27"/>
      <c r="F8" s="27"/>
      <c r="G8" s="35"/>
      <c r="H8" s="35" t="str">
        <f>'Rate Case Constants'!C36</f>
        <v>WITNESS:   C. M. GARRETT</v>
      </c>
    </row>
    <row r="9" spans="1:8" s="28" customFormat="1" ht="20.100000000000001" customHeight="1"/>
    <row r="10" spans="1:8" ht="58.5" customHeight="1">
      <c r="A10" s="36" t="s">
        <v>134</v>
      </c>
      <c r="B10" s="36" t="s">
        <v>137</v>
      </c>
      <c r="C10" s="39" t="s">
        <v>208</v>
      </c>
      <c r="D10" s="36" t="s">
        <v>226</v>
      </c>
      <c r="E10" s="36" t="s">
        <v>227</v>
      </c>
      <c r="F10" s="36" t="s">
        <v>228</v>
      </c>
      <c r="G10" s="36" t="s">
        <v>229</v>
      </c>
      <c r="H10" s="36" t="s">
        <v>230</v>
      </c>
    </row>
    <row r="11" spans="1:8" ht="23.1" customHeight="1">
      <c r="A11" s="40"/>
      <c r="B11" s="40"/>
      <c r="C11" s="41"/>
      <c r="D11" s="42" t="s">
        <v>145</v>
      </c>
      <c r="E11" s="42"/>
      <c r="F11" s="42" t="s">
        <v>145</v>
      </c>
      <c r="G11" s="42" t="s">
        <v>145</v>
      </c>
      <c r="H11" s="42" t="s">
        <v>145</v>
      </c>
    </row>
    <row r="12" spans="1:8" ht="23.1" customHeight="1">
      <c r="A12" s="33">
        <v>1</v>
      </c>
      <c r="B12" s="33">
        <v>252</v>
      </c>
      <c r="C12" s="38" t="s">
        <v>1197</v>
      </c>
      <c r="D12" s="51">
        <f>'JURISSEP B'!$E$369</f>
        <v>1576406.04</v>
      </c>
      <c r="E12" s="95">
        <f>F12/D12</f>
        <v>0.9830612018582785</v>
      </c>
      <c r="F12" s="51">
        <f>'JURISSEP B'!$G$369</f>
        <v>1549703.6162990495</v>
      </c>
      <c r="G12" s="51">
        <v>0</v>
      </c>
      <c r="H12" s="51">
        <f>SUM(F12:G12)</f>
        <v>1549703.6162990495</v>
      </c>
    </row>
    <row r="13" spans="1:8" ht="18.95" customHeight="1">
      <c r="A13" s="30"/>
      <c r="B13" s="31"/>
      <c r="C13" s="38"/>
      <c r="D13" s="51"/>
      <c r="E13" s="95"/>
      <c r="F13" s="51"/>
      <c r="G13" s="51"/>
      <c r="H13" s="51"/>
    </row>
    <row r="14" spans="1:8" ht="18.95" customHeight="1">
      <c r="A14" s="30">
        <v>2</v>
      </c>
      <c r="B14" s="31">
        <v>255</v>
      </c>
      <c r="C14" s="38" t="s">
        <v>1488</v>
      </c>
      <c r="D14" s="51">
        <f>'JURISSEP B'!$E$367</f>
        <v>94865036.069999918</v>
      </c>
      <c r="E14" s="95">
        <f>F14/D14</f>
        <v>0.87006067220833805</v>
      </c>
      <c r="F14" s="51">
        <f>'JURISSEP B'!$G$367</f>
        <v>82538337.052132368</v>
      </c>
      <c r="G14" s="51">
        <v>0</v>
      </c>
      <c r="H14" s="51">
        <f t="shared" ref="H14" si="0">SUM(F14:G14)</f>
        <v>82538337.052132368</v>
      </c>
    </row>
    <row r="15" spans="1:8" ht="18.95" customHeight="1">
      <c r="A15" s="30"/>
      <c r="B15" s="31"/>
      <c r="C15" s="38"/>
      <c r="D15" s="51"/>
      <c r="E15" s="95"/>
      <c r="F15" s="51"/>
      <c r="G15" s="51"/>
      <c r="H15" s="51"/>
    </row>
    <row r="16" spans="1:8" ht="18.95" customHeight="1">
      <c r="A16" s="30">
        <v>3</v>
      </c>
      <c r="B16" s="30" t="s">
        <v>1498</v>
      </c>
      <c r="C16" s="38" t="s">
        <v>2089</v>
      </c>
      <c r="D16" s="51">
        <f>'JURISSEP B'!$E$358</f>
        <v>1198800295</v>
      </c>
      <c r="E16" s="95">
        <f>F16/D16</f>
        <v>0.89002216020065761</v>
      </c>
      <c r="F16" s="51">
        <f>'JURISSEP B'!$G$358</f>
        <v>1066958828.2050856</v>
      </c>
      <c r="G16" s="51">
        <f>'ECR DEFTAX'!$H4+'DSM DEFTAX'!$O2</f>
        <v>-247375434.11881199</v>
      </c>
      <c r="H16" s="51">
        <f t="shared" ref="H16" si="1">SUM(F16:G16)</f>
        <v>819583394.08627367</v>
      </c>
    </row>
    <row r="17" spans="1:8" ht="18.95" customHeight="1">
      <c r="A17" s="30"/>
      <c r="B17" s="31"/>
      <c r="C17" s="38"/>
      <c r="D17" s="51"/>
      <c r="E17" s="542"/>
      <c r="F17" s="51"/>
      <c r="G17" s="51"/>
      <c r="H17" s="51"/>
    </row>
    <row r="18" spans="1:8" ht="18.75" customHeight="1">
      <c r="A18" s="30">
        <v>4</v>
      </c>
      <c r="B18" s="30" t="s">
        <v>2481</v>
      </c>
      <c r="C18" s="38" t="s">
        <v>2482</v>
      </c>
      <c r="D18" s="51">
        <f>-'ECR CCR'!O$19*1000</f>
        <v>-4288025.3015468596</v>
      </c>
      <c r="E18" s="542">
        <f>'JURISSEP B'!G$1248</f>
        <v>0.87577725766318837</v>
      </c>
      <c r="F18" s="51">
        <f>D18*E18</f>
        <v>-3755355.0393790752</v>
      </c>
      <c r="G18" s="51">
        <f>-F18</f>
        <v>3755355.0393790752</v>
      </c>
      <c r="H18" s="51">
        <f t="shared" ref="H18" si="2">SUM(F18:G18)</f>
        <v>0</v>
      </c>
    </row>
    <row r="19" spans="1:8" ht="18.95" customHeight="1">
      <c r="A19" s="30"/>
      <c r="B19" s="30"/>
      <c r="C19" s="38"/>
      <c r="D19" s="51"/>
      <c r="E19" s="95"/>
      <c r="F19" s="51"/>
      <c r="G19" s="51"/>
      <c r="H19" s="51"/>
    </row>
    <row r="20" spans="1:8" ht="18.95" customHeight="1">
      <c r="A20" s="30"/>
      <c r="B20" s="30"/>
      <c r="C20" s="27" t="s">
        <v>2483</v>
      </c>
      <c r="D20" s="51"/>
      <c r="E20" s="51"/>
      <c r="F20" s="51"/>
      <c r="G20" s="51"/>
      <c r="H20" s="51"/>
    </row>
    <row r="21" spans="1:8" ht="18.95" customHeight="1">
      <c r="A21" s="30"/>
      <c r="B21" s="30"/>
      <c r="C21" s="38"/>
      <c r="D21" s="51"/>
      <c r="E21" s="51"/>
      <c r="F21" s="51"/>
      <c r="G21" s="51"/>
      <c r="H21" s="51"/>
    </row>
    <row r="22" spans="1:8" s="28" customFormat="1" ht="20.100000000000001" customHeight="1">
      <c r="A22" s="706" t="str">
        <f>$A$1</f>
        <v>KENTUCKY UTILITIES COMPANY</v>
      </c>
      <c r="B22" s="706"/>
      <c r="C22" s="706"/>
      <c r="D22" s="706"/>
      <c r="E22" s="706"/>
      <c r="F22" s="706"/>
      <c r="G22" s="706"/>
      <c r="H22" s="706"/>
    </row>
    <row r="23" spans="1:8" s="28" customFormat="1" ht="20.100000000000001" customHeight="1">
      <c r="A23" s="706" t="str">
        <f>$A$2</f>
        <v>CASE NO. 2016-00370</v>
      </c>
      <c r="B23" s="706"/>
      <c r="C23" s="706"/>
      <c r="D23" s="706"/>
      <c r="E23" s="706"/>
      <c r="F23" s="706"/>
      <c r="G23" s="706"/>
      <c r="H23" s="706"/>
    </row>
    <row r="24" spans="1:8" s="28" customFormat="1" ht="20.100000000000001" customHeight="1">
      <c r="A24" s="706" t="str">
        <f>A3</f>
        <v>CERTAIN DEFERRED CREDITS AND ACCUMULATED DEFERRED INCOME TAXES</v>
      </c>
      <c r="B24" s="706"/>
      <c r="C24" s="706"/>
      <c r="D24" s="706"/>
      <c r="E24" s="706"/>
      <c r="F24" s="706"/>
      <c r="G24" s="706"/>
      <c r="H24" s="706"/>
    </row>
    <row r="25" spans="1:8" s="28" customFormat="1" ht="20.100000000000001" customHeight="1">
      <c r="A25" s="705" t="str">
        <f>'Rate Case Constants'!C20</f>
        <v>FROM JULY 1, 2017 TO JUNE 30, 2018</v>
      </c>
      <c r="B25" s="709"/>
      <c r="C25" s="709"/>
      <c r="D25" s="709"/>
      <c r="E25" s="709"/>
      <c r="F25" s="709"/>
      <c r="G25" s="709"/>
      <c r="H25" s="709"/>
    </row>
    <row r="26" spans="1:8" s="28" customFormat="1" ht="20.100000000000001" customHeight="1">
      <c r="A26" s="103"/>
      <c r="B26" s="103"/>
      <c r="C26" s="103"/>
      <c r="D26" s="103"/>
      <c r="E26" s="103"/>
      <c r="F26" s="103"/>
      <c r="G26" s="103"/>
      <c r="H26" s="103"/>
    </row>
    <row r="27" spans="1:8" s="28" customFormat="1" ht="20.100000000000001" customHeight="1">
      <c r="A27" s="27" t="s">
        <v>164</v>
      </c>
      <c r="B27" s="27"/>
      <c r="G27" s="34"/>
      <c r="H27" s="34" t="s">
        <v>1486</v>
      </c>
    </row>
    <row r="28" spans="1:8" s="28" customFormat="1" ht="20.100000000000001" customHeight="1">
      <c r="A28" s="28" t="s">
        <v>3367</v>
      </c>
      <c r="G28" s="34"/>
      <c r="H28" s="34" t="s">
        <v>188</v>
      </c>
    </row>
    <row r="29" spans="1:8" s="28" customFormat="1" ht="20.100000000000001" customHeight="1">
      <c r="A29" s="27" t="s">
        <v>1460</v>
      </c>
      <c r="B29" s="27"/>
      <c r="F29" s="27"/>
      <c r="G29" s="35"/>
      <c r="H29" s="35" t="str">
        <f>$H$8</f>
        <v>WITNESS:   C. M. GARRETT</v>
      </c>
    </row>
    <row r="30" spans="1:8" s="28" customFormat="1" ht="20.100000000000001" customHeight="1"/>
    <row r="31" spans="1:8" s="28" customFormat="1" ht="21.75" customHeight="1">
      <c r="A31" s="61"/>
      <c r="B31" s="61"/>
      <c r="C31" s="61"/>
      <c r="D31" s="708" t="s">
        <v>2463</v>
      </c>
      <c r="E31" s="708"/>
      <c r="F31" s="708"/>
      <c r="G31" s="708"/>
      <c r="H31" s="708"/>
    </row>
    <row r="32" spans="1:8" ht="67.5" customHeight="1">
      <c r="A32" s="63" t="s">
        <v>134</v>
      </c>
      <c r="B32" s="63" t="s">
        <v>137</v>
      </c>
      <c r="C32" s="126" t="s">
        <v>208</v>
      </c>
      <c r="D32" s="63" t="s">
        <v>1499</v>
      </c>
      <c r="E32" s="63" t="s">
        <v>227</v>
      </c>
      <c r="F32" s="63" t="s">
        <v>228</v>
      </c>
      <c r="G32" s="63" t="s">
        <v>229</v>
      </c>
      <c r="H32" s="63" t="s">
        <v>230</v>
      </c>
    </row>
    <row r="33" spans="1:8" ht="23.1" customHeight="1">
      <c r="A33" s="33"/>
      <c r="B33" s="33"/>
      <c r="C33" s="97"/>
      <c r="D33" s="60" t="s">
        <v>145</v>
      </c>
      <c r="E33" s="60"/>
      <c r="F33" s="60" t="s">
        <v>145</v>
      </c>
      <c r="G33" s="60" t="s">
        <v>145</v>
      </c>
      <c r="H33" s="60" t="s">
        <v>145</v>
      </c>
    </row>
    <row r="34" spans="1:8" ht="23.1" customHeight="1">
      <c r="A34" s="33">
        <v>1</v>
      </c>
      <c r="B34" s="33">
        <v>252</v>
      </c>
      <c r="C34" s="38" t="s">
        <v>1197</v>
      </c>
      <c r="D34" s="51">
        <f>'JURISSEP F'!$E$369</f>
        <v>1576406.0400000003</v>
      </c>
      <c r="E34" s="95">
        <f>F34/D34</f>
        <v>0.9830612018582785</v>
      </c>
      <c r="F34" s="51">
        <f>'JURISSEP F'!$G$369</f>
        <v>1549703.6162990497</v>
      </c>
      <c r="G34" s="51">
        <v>0</v>
      </c>
      <c r="H34" s="51">
        <f>SUM(F34:G34)</f>
        <v>1549703.6162990497</v>
      </c>
    </row>
    <row r="35" spans="1:8" ht="18.95" customHeight="1">
      <c r="A35" s="30"/>
      <c r="B35" s="31"/>
      <c r="C35" s="38"/>
      <c r="D35" s="51"/>
      <c r="E35" s="95"/>
      <c r="F35" s="51"/>
      <c r="G35" s="51"/>
      <c r="H35" s="51"/>
    </row>
    <row r="36" spans="1:8" ht="18.95" customHeight="1">
      <c r="A36" s="30">
        <v>2</v>
      </c>
      <c r="B36" s="31">
        <v>255</v>
      </c>
      <c r="C36" s="38" t="s">
        <v>1488</v>
      </c>
      <c r="D36" s="51">
        <f>'JURISSEP F'!$E$367</f>
        <v>93303579.627692223</v>
      </c>
      <c r="E36" s="95">
        <f>F36/D36</f>
        <v>0.87012107919337778</v>
      </c>
      <c r="F36" s="51">
        <f>'JURISSEP F'!$G$367</f>
        <v>81185411.398252815</v>
      </c>
      <c r="G36" s="51">
        <v>0</v>
      </c>
      <c r="H36" s="51">
        <f t="shared" ref="H36" si="3">SUM(F36:G36)</f>
        <v>81185411.398252815</v>
      </c>
    </row>
    <row r="37" spans="1:8" ht="18.95" customHeight="1">
      <c r="A37" s="30"/>
      <c r="B37" s="31"/>
      <c r="C37" s="38"/>
      <c r="D37" s="51"/>
      <c r="E37" s="95"/>
      <c r="F37" s="51"/>
      <c r="G37" s="51"/>
      <c r="H37" s="51"/>
    </row>
    <row r="38" spans="1:8" ht="18.95" customHeight="1">
      <c r="A38" s="30">
        <v>3</v>
      </c>
      <c r="B38" s="30" t="s">
        <v>1498</v>
      </c>
      <c r="C38" s="38" t="s">
        <v>2089</v>
      </c>
      <c r="D38" s="51">
        <f>'JURISSEP F'!$E$358</f>
        <v>1311341483</v>
      </c>
      <c r="E38" s="95">
        <f>F38/D38</f>
        <v>0.89342076568543571</v>
      </c>
      <c r="F38" s="51">
        <f>'JURISSEP F'!$G$358</f>
        <v>1171579711.8169348</v>
      </c>
      <c r="G38" s="51">
        <f>'ECR DEFTAX'!$Y4+'DSM DEFTAX'!$AF2</f>
        <v>-269346504.63586974</v>
      </c>
      <c r="H38" s="51">
        <f t="shared" ref="H38" si="4">SUM(F38:G38)</f>
        <v>902233207.18106508</v>
      </c>
    </row>
    <row r="39" spans="1:8" ht="18.95" customHeight="1">
      <c r="A39" s="30"/>
      <c r="B39" s="31"/>
      <c r="C39" s="38"/>
      <c r="D39" s="51"/>
      <c r="E39" s="542"/>
      <c r="F39" s="51"/>
      <c r="G39" s="51"/>
      <c r="H39" s="51"/>
    </row>
    <row r="40" spans="1:8" ht="18.75" customHeight="1">
      <c r="A40" s="30">
        <v>4</v>
      </c>
      <c r="B40" s="30" t="s">
        <v>2481</v>
      </c>
      <c r="C40" s="38" t="s">
        <v>2482</v>
      </c>
      <c r="D40" s="51">
        <f>-'ECR CCR'!AF$19*1000</f>
        <v>-27237538.639289826</v>
      </c>
      <c r="E40" s="542">
        <f>'JURISSEP F'!G$1248</f>
        <v>0.87577725766318848</v>
      </c>
      <c r="F40" s="51">
        <f>D40*E40</f>
        <v>-23854016.895012379</v>
      </c>
      <c r="G40" s="51">
        <f>-F40</f>
        <v>23854016.895012379</v>
      </c>
      <c r="H40" s="51">
        <f t="shared" ref="H40" si="5">SUM(F40:G40)</f>
        <v>0</v>
      </c>
    </row>
    <row r="41" spans="1:8" ht="18.95" customHeight="1">
      <c r="A41" s="30"/>
      <c r="B41" s="30"/>
      <c r="C41" s="38"/>
      <c r="D41" s="51"/>
      <c r="E41" s="95"/>
      <c r="F41" s="51"/>
      <c r="G41" s="51"/>
      <c r="H41" s="51"/>
    </row>
    <row r="42" spans="1:8" ht="18.95" customHeight="1">
      <c r="A42" s="30"/>
      <c r="B42" s="30"/>
      <c r="C42" s="27" t="s">
        <v>2483</v>
      </c>
      <c r="D42" s="51"/>
      <c r="E42" s="51"/>
      <c r="F42" s="51"/>
      <c r="G42" s="51"/>
      <c r="H42" s="51"/>
    </row>
    <row r="43" spans="1:8" ht="18.95" customHeight="1">
      <c r="A43" s="30"/>
      <c r="B43" s="30"/>
      <c r="C43" s="38"/>
      <c r="D43" s="51"/>
      <c r="E43" s="51"/>
      <c r="F43" s="51"/>
      <c r="G43" s="51"/>
      <c r="H43" s="51"/>
    </row>
  </sheetData>
  <mergeCells count="9">
    <mergeCell ref="A1:H1"/>
    <mergeCell ref="A2:H2"/>
    <mergeCell ref="A3:H3"/>
    <mergeCell ref="A4:H4"/>
    <mergeCell ref="D31:H31"/>
    <mergeCell ref="A22:H22"/>
    <mergeCell ref="A23:H23"/>
    <mergeCell ref="A24:H24"/>
    <mergeCell ref="A25:H25"/>
  </mergeCells>
  <pageMargins left="0.95" right="0.5" top="0.75" bottom="0.75" header="0.3" footer="0.3"/>
  <pageSetup scale="66" fitToHeight="0" orientation="portrait" r:id="rId1"/>
  <rowBreaks count="1" manualBreakCount="1">
    <brk id="21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theme="3" tint="0.59999389629810485"/>
  </sheetPr>
  <dimension ref="A1"/>
  <sheetViews>
    <sheetView workbookViewId="0"/>
  </sheetViews>
  <sheetFormatPr defaultColWidth="9" defaultRowHeight="12.75"/>
  <cols>
    <col min="1" max="16384" width="9" style="459"/>
  </cols>
  <sheetData/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pageSetUpPr fitToPage="1"/>
  </sheetPr>
  <dimension ref="A1:F263"/>
  <sheetViews>
    <sheetView zoomScaleNormal="100" workbookViewId="0">
      <selection activeCell="D149" sqref="D149"/>
    </sheetView>
  </sheetViews>
  <sheetFormatPr defaultColWidth="9" defaultRowHeight="12.75"/>
  <cols>
    <col min="1" max="1" width="6" style="29" customWidth="1"/>
    <col min="2" max="2" width="16.109375" style="29" customWidth="1"/>
    <col min="3" max="3" width="42.44140625" style="29" customWidth="1"/>
    <col min="4" max="4" width="13.6640625" style="29" customWidth="1"/>
    <col min="5" max="5" width="18.21875" style="404" customWidth="1"/>
    <col min="6" max="6" width="69.77734375" style="29" customWidth="1"/>
    <col min="7" max="7" width="1.6640625" style="29" customWidth="1"/>
    <col min="8" max="16384" width="9" style="29"/>
  </cols>
  <sheetData>
    <row r="1" spans="1:6" s="28" customFormat="1" ht="20.100000000000001" customHeight="1">
      <c r="A1" s="706" t="str">
        <f>'Rate Case Constants'!C9</f>
        <v>KENTUCKY UTILITIES COMPANY</v>
      </c>
      <c r="B1" s="706"/>
      <c r="C1" s="706"/>
      <c r="D1" s="706"/>
      <c r="E1" s="706"/>
      <c r="F1" s="706"/>
    </row>
    <row r="2" spans="1:6" s="28" customFormat="1" ht="20.100000000000001" customHeight="1">
      <c r="A2" s="706" t="str">
        <f>'Rate Case Constants'!C10</f>
        <v>CASE NO. 2016-00370</v>
      </c>
      <c r="B2" s="706"/>
      <c r="C2" s="706"/>
      <c r="D2" s="706"/>
      <c r="E2" s="706"/>
      <c r="F2" s="706"/>
    </row>
    <row r="3" spans="1:6" s="28" customFormat="1" ht="20.100000000000001" customHeight="1">
      <c r="A3" s="706" t="s">
        <v>1502</v>
      </c>
      <c r="B3" s="706"/>
      <c r="C3" s="706"/>
      <c r="D3" s="706"/>
      <c r="E3" s="706"/>
      <c r="F3" s="706"/>
    </row>
    <row r="4" spans="1:6" s="28" customFormat="1" ht="20.100000000000001" customHeight="1">
      <c r="A4" s="705" t="str">
        <f>'Rate Case Constants'!C15</f>
        <v>BASE YEAR FOR THE 12 MONTHS ENDED FEBRUARY 28, 2017</v>
      </c>
      <c r="B4" s="705"/>
      <c r="C4" s="705"/>
      <c r="D4" s="705"/>
      <c r="E4" s="705"/>
      <c r="F4" s="705"/>
    </row>
    <row r="5" spans="1:6" s="28" customFormat="1" ht="20.100000000000001" customHeight="1">
      <c r="A5" s="405"/>
      <c r="B5" s="405"/>
      <c r="C5" s="405"/>
      <c r="D5" s="405"/>
      <c r="E5" s="405"/>
      <c r="F5" s="405"/>
    </row>
    <row r="6" spans="1:6" s="28" customFormat="1" ht="20.100000000000001" customHeight="1">
      <c r="A6" s="27" t="s">
        <v>136</v>
      </c>
      <c r="B6" s="27"/>
      <c r="E6" s="406"/>
      <c r="F6" s="34" t="s">
        <v>1501</v>
      </c>
    </row>
    <row r="7" spans="1:6" s="28" customFormat="1" ht="20.100000000000001" customHeight="1">
      <c r="A7" s="28" t="str">
        <f>'Rate Case Constants'!C29</f>
        <v>TYPE OF FILING: __X__ ORIGINAL  _____ UPDATED  _____ REVISED</v>
      </c>
      <c r="E7" s="406"/>
      <c r="F7" s="34" t="s">
        <v>2301</v>
      </c>
    </row>
    <row r="8" spans="1:6" s="28" customFormat="1" ht="20.100000000000001" customHeight="1">
      <c r="A8" s="27" t="s">
        <v>1460</v>
      </c>
      <c r="B8" s="27"/>
      <c r="E8" s="406"/>
      <c r="F8" s="35" t="str">
        <f>'Rate Case Constants'!C37</f>
        <v>WITNESS:   C. M. GARRETT</v>
      </c>
    </row>
    <row r="9" spans="1:6" s="28" customFormat="1" ht="20.100000000000001" customHeight="1">
      <c r="E9" s="406"/>
    </row>
    <row r="10" spans="1:6" ht="58.5" customHeight="1">
      <c r="A10" s="36" t="s">
        <v>134</v>
      </c>
      <c r="B10" s="36" t="s">
        <v>137</v>
      </c>
      <c r="C10" s="39" t="s">
        <v>2228</v>
      </c>
      <c r="D10" s="36" t="s">
        <v>227</v>
      </c>
      <c r="E10" s="36" t="s">
        <v>2230</v>
      </c>
      <c r="F10" s="36" t="s">
        <v>1500</v>
      </c>
    </row>
    <row r="11" spans="1:6" ht="23.1" customHeight="1">
      <c r="A11" s="40"/>
      <c r="B11" s="40"/>
      <c r="C11" s="41"/>
      <c r="D11" s="42"/>
      <c r="E11" s="42"/>
      <c r="F11" s="42"/>
    </row>
    <row r="12" spans="1:6" ht="23.1" customHeight="1">
      <c r="A12" s="33">
        <v>1</v>
      </c>
      <c r="B12" s="33"/>
      <c r="C12" s="407" t="s">
        <v>2245</v>
      </c>
      <c r="D12" s="60"/>
      <c r="E12" s="60"/>
      <c r="F12" s="60"/>
    </row>
    <row r="13" spans="1:6" ht="18.95" customHeight="1">
      <c r="A13" s="33">
        <f>A12+1</f>
        <v>2</v>
      </c>
      <c r="B13" s="33"/>
      <c r="C13" s="407" t="s">
        <v>58</v>
      </c>
      <c r="D13" s="95"/>
      <c r="E13" s="403"/>
      <c r="F13" s="51"/>
    </row>
    <row r="14" spans="1:6" ht="18.95" customHeight="1">
      <c r="A14" s="30">
        <f>A13+1</f>
        <v>3</v>
      </c>
      <c r="B14" s="31" t="s">
        <v>1673</v>
      </c>
      <c r="C14" s="38" t="s">
        <v>1674</v>
      </c>
      <c r="D14" s="95">
        <f>'JURISSEP B'!G1244</f>
        <v>0.88727847343853128</v>
      </c>
      <c r="E14" s="389" t="s">
        <v>299</v>
      </c>
      <c r="F14" s="402" t="s">
        <v>2231</v>
      </c>
    </row>
    <row r="15" spans="1:6" ht="18.95" customHeight="1">
      <c r="A15" s="30">
        <f t="shared" ref="A15:A48" si="0">A14+1</f>
        <v>4</v>
      </c>
      <c r="B15" s="31" t="s">
        <v>1675</v>
      </c>
      <c r="C15" s="38" t="s">
        <v>1676</v>
      </c>
      <c r="D15" s="95">
        <v>1</v>
      </c>
      <c r="E15" s="389" t="s">
        <v>301</v>
      </c>
      <c r="F15" s="402" t="s">
        <v>2244</v>
      </c>
    </row>
    <row r="16" spans="1:6" ht="18.95" customHeight="1">
      <c r="A16" s="30">
        <f t="shared" si="0"/>
        <v>5</v>
      </c>
      <c r="B16" s="31" t="s">
        <v>1677</v>
      </c>
      <c r="C16" s="38" t="s">
        <v>1678</v>
      </c>
      <c r="D16" s="95">
        <f>D14</f>
        <v>0.88727847343853128</v>
      </c>
      <c r="E16" s="389" t="s">
        <v>299</v>
      </c>
      <c r="F16" s="402" t="s">
        <v>2231</v>
      </c>
    </row>
    <row r="17" spans="1:6" ht="18.95" customHeight="1">
      <c r="A17" s="30"/>
      <c r="B17" s="30"/>
      <c r="D17" s="95"/>
      <c r="E17" s="389"/>
      <c r="F17" s="51"/>
    </row>
    <row r="18" spans="1:6" ht="18.95" customHeight="1">
      <c r="A18" s="30">
        <f>A16+1</f>
        <v>6</v>
      </c>
      <c r="B18" s="30"/>
      <c r="C18" s="412" t="s">
        <v>74</v>
      </c>
      <c r="D18" s="95"/>
    </row>
    <row r="19" spans="1:6" ht="18.95" customHeight="1">
      <c r="A19" s="30">
        <f t="shared" si="0"/>
        <v>7</v>
      </c>
      <c r="B19" s="31" t="s">
        <v>1679</v>
      </c>
      <c r="C19" s="38" t="s">
        <v>157</v>
      </c>
      <c r="D19" s="95">
        <f>'JURISSEP B'!G1152</f>
        <v>0.87577725766318848</v>
      </c>
      <c r="E19" s="389" t="s">
        <v>307</v>
      </c>
      <c r="F19" s="402" t="s">
        <v>2234</v>
      </c>
    </row>
    <row r="20" spans="1:6" ht="18.95" customHeight="1">
      <c r="A20" s="30">
        <f t="shared" si="0"/>
        <v>8</v>
      </c>
      <c r="B20" s="31" t="s">
        <v>1680</v>
      </c>
      <c r="C20" s="38" t="s">
        <v>151</v>
      </c>
      <c r="D20" s="95">
        <f>D$19</f>
        <v>0.87577725766318848</v>
      </c>
      <c r="E20" s="389" t="s">
        <v>307</v>
      </c>
      <c r="F20" s="402" t="s">
        <v>2234</v>
      </c>
    </row>
    <row r="21" spans="1:6" ht="18.95" customHeight="1">
      <c r="A21" s="30">
        <f t="shared" si="0"/>
        <v>9</v>
      </c>
      <c r="B21" s="31" t="s">
        <v>1681</v>
      </c>
      <c r="C21" s="38" t="s">
        <v>1682</v>
      </c>
      <c r="D21" s="95">
        <f t="shared" ref="D21:D26" si="1">D$19</f>
        <v>0.87577725766318848</v>
      </c>
      <c r="E21" s="389" t="s">
        <v>307</v>
      </c>
      <c r="F21" s="402" t="s">
        <v>2234</v>
      </c>
    </row>
    <row r="22" spans="1:6" ht="18.95" customHeight="1">
      <c r="A22" s="30">
        <f>A20+1</f>
        <v>9</v>
      </c>
      <c r="B22" s="31">
        <v>313</v>
      </c>
      <c r="C22" s="38" t="s">
        <v>147</v>
      </c>
      <c r="D22" s="95">
        <f t="shared" si="1"/>
        <v>0.87577725766318848</v>
      </c>
      <c r="E22" s="389" t="s">
        <v>307</v>
      </c>
      <c r="F22" s="402" t="s">
        <v>2234</v>
      </c>
    </row>
    <row r="23" spans="1:6" ht="18.95" customHeight="1">
      <c r="A23" s="30">
        <f>A21+1</f>
        <v>10</v>
      </c>
      <c r="B23" s="31" t="s">
        <v>1683</v>
      </c>
      <c r="C23" s="38" t="s">
        <v>1684</v>
      </c>
      <c r="D23" s="95">
        <f t="shared" si="1"/>
        <v>0.87577725766318848</v>
      </c>
      <c r="E23" s="389" t="s">
        <v>307</v>
      </c>
      <c r="F23" s="402" t="s">
        <v>2234</v>
      </c>
    </row>
    <row r="24" spans="1:6" ht="18.95" customHeight="1">
      <c r="A24" s="30">
        <f t="shared" si="0"/>
        <v>11</v>
      </c>
      <c r="B24" s="31" t="s">
        <v>1685</v>
      </c>
      <c r="C24" s="38" t="s">
        <v>1686</v>
      </c>
      <c r="D24" s="95">
        <f t="shared" si="1"/>
        <v>0.87577725766318848</v>
      </c>
      <c r="E24" s="389" t="s">
        <v>307</v>
      </c>
      <c r="F24" s="402" t="s">
        <v>2234</v>
      </c>
    </row>
    <row r="25" spans="1:6" ht="18.95" customHeight="1">
      <c r="A25" s="30">
        <f t="shared" si="0"/>
        <v>12</v>
      </c>
      <c r="B25" s="31" t="s">
        <v>1687</v>
      </c>
      <c r="C25" s="38" t="s">
        <v>1688</v>
      </c>
      <c r="D25" s="95">
        <f t="shared" si="1"/>
        <v>0.87577725766318848</v>
      </c>
      <c r="E25" s="389" t="s">
        <v>307</v>
      </c>
      <c r="F25" s="402" t="s">
        <v>2234</v>
      </c>
    </row>
    <row r="26" spans="1:6" ht="18.95" customHeight="1">
      <c r="A26" s="30">
        <f>A25+1</f>
        <v>13</v>
      </c>
      <c r="B26" s="31" t="s">
        <v>1689</v>
      </c>
      <c r="C26" s="38" t="s">
        <v>1708</v>
      </c>
      <c r="D26" s="95">
        <f t="shared" si="1"/>
        <v>0.87577725766318848</v>
      </c>
      <c r="E26" s="389" t="s">
        <v>307</v>
      </c>
      <c r="F26" s="402" t="s">
        <v>2234</v>
      </c>
    </row>
    <row r="27" spans="1:6" ht="18.95" customHeight="1">
      <c r="A27" s="30">
        <f>A26+1</f>
        <v>14</v>
      </c>
      <c r="B27" s="410" t="s">
        <v>2251</v>
      </c>
      <c r="C27" s="38" t="s">
        <v>2229</v>
      </c>
      <c r="D27" s="95">
        <v>0</v>
      </c>
      <c r="E27" s="389" t="s">
        <v>315</v>
      </c>
      <c r="F27" s="402" t="s">
        <v>2232</v>
      </c>
    </row>
    <row r="28" spans="1:6" ht="18.95" customHeight="1">
      <c r="A28" s="30"/>
      <c r="C28" s="38"/>
      <c r="D28" s="95"/>
    </row>
    <row r="29" spans="1:6" ht="18.95" customHeight="1">
      <c r="A29" s="30">
        <f>A27+1</f>
        <v>15</v>
      </c>
      <c r="C29" s="412" t="s">
        <v>49</v>
      </c>
      <c r="D29" s="95"/>
    </row>
    <row r="30" spans="1:6" ht="18.95" customHeight="1">
      <c r="A30" s="30">
        <f t="shared" si="0"/>
        <v>16</v>
      </c>
      <c r="B30" s="31" t="s">
        <v>1690</v>
      </c>
      <c r="C30" s="38" t="s">
        <v>157</v>
      </c>
      <c r="D30" s="95">
        <f t="shared" ref="D30:D37" si="2">D$19</f>
        <v>0.87577725766318848</v>
      </c>
      <c r="E30" s="389" t="s">
        <v>307</v>
      </c>
      <c r="F30" s="402" t="s">
        <v>2234</v>
      </c>
    </row>
    <row r="31" spans="1:6" ht="18.95" customHeight="1">
      <c r="A31" s="30">
        <f t="shared" si="0"/>
        <v>17</v>
      </c>
      <c r="B31" s="31" t="s">
        <v>1691</v>
      </c>
      <c r="C31" s="38" t="s">
        <v>151</v>
      </c>
      <c r="D31" s="95">
        <f t="shared" si="2"/>
        <v>0.87577725766318848</v>
      </c>
      <c r="E31" s="389" t="s">
        <v>307</v>
      </c>
      <c r="F31" s="402" t="s">
        <v>2234</v>
      </c>
    </row>
    <row r="32" spans="1:6" ht="18.95" customHeight="1">
      <c r="A32" s="30">
        <f t="shared" si="0"/>
        <v>18</v>
      </c>
      <c r="B32" s="31" t="s">
        <v>1692</v>
      </c>
      <c r="C32" s="38" t="s">
        <v>1693</v>
      </c>
      <c r="D32" s="95">
        <f t="shared" si="2"/>
        <v>0.87577725766318848</v>
      </c>
      <c r="E32" s="389" t="s">
        <v>307</v>
      </c>
      <c r="F32" s="402" t="s">
        <v>2234</v>
      </c>
    </row>
    <row r="33" spans="1:6" ht="18.95" customHeight="1">
      <c r="A33" s="30">
        <f t="shared" si="0"/>
        <v>19</v>
      </c>
      <c r="B33" s="31" t="s">
        <v>1694</v>
      </c>
      <c r="C33" s="38" t="s">
        <v>1695</v>
      </c>
      <c r="D33" s="95">
        <f t="shared" si="2"/>
        <v>0.87577725766318848</v>
      </c>
      <c r="E33" s="389" t="s">
        <v>307</v>
      </c>
      <c r="F33" s="402" t="s">
        <v>2234</v>
      </c>
    </row>
    <row r="34" spans="1:6" ht="18.95" customHeight="1">
      <c r="A34" s="30">
        <f t="shared" si="0"/>
        <v>20</v>
      </c>
      <c r="B34" s="31" t="s">
        <v>1696</v>
      </c>
      <c r="C34" s="38" t="s">
        <v>1686</v>
      </c>
      <c r="D34" s="95">
        <f t="shared" si="2"/>
        <v>0.87577725766318848</v>
      </c>
      <c r="E34" s="389" t="s">
        <v>307</v>
      </c>
      <c r="F34" s="402" t="s">
        <v>2234</v>
      </c>
    </row>
    <row r="35" spans="1:6" ht="18.95" customHeight="1">
      <c r="A35" s="30">
        <f t="shared" si="0"/>
        <v>21</v>
      </c>
      <c r="B35" s="31" t="s">
        <v>1697</v>
      </c>
      <c r="C35" s="38" t="s">
        <v>1698</v>
      </c>
      <c r="D35" s="95">
        <f t="shared" si="2"/>
        <v>0.87577725766318848</v>
      </c>
      <c r="E35" s="389" t="s">
        <v>307</v>
      </c>
      <c r="F35" s="402" t="s">
        <v>2234</v>
      </c>
    </row>
    <row r="36" spans="1:6" ht="18.95" customHeight="1">
      <c r="A36" s="30">
        <f t="shared" si="0"/>
        <v>22</v>
      </c>
      <c r="B36" s="31" t="s">
        <v>1699</v>
      </c>
      <c r="C36" s="38" t="s">
        <v>1700</v>
      </c>
      <c r="D36" s="95">
        <f t="shared" si="2"/>
        <v>0.87577725766318848</v>
      </c>
      <c r="E36" s="389" t="s">
        <v>307</v>
      </c>
      <c r="F36" s="402" t="s">
        <v>2234</v>
      </c>
    </row>
    <row r="37" spans="1:6" ht="18.95" customHeight="1">
      <c r="A37" s="30">
        <f t="shared" si="0"/>
        <v>23</v>
      </c>
      <c r="B37" s="31" t="s">
        <v>1701</v>
      </c>
      <c r="C37" s="38" t="s">
        <v>1709</v>
      </c>
      <c r="D37" s="95">
        <f t="shared" si="2"/>
        <v>0.87577725766318848</v>
      </c>
      <c r="E37" s="389" t="s">
        <v>307</v>
      </c>
      <c r="F37" s="402" t="s">
        <v>2234</v>
      </c>
    </row>
    <row r="38" spans="1:6" ht="18.95" customHeight="1">
      <c r="A38" s="30">
        <f>A37+1</f>
        <v>24</v>
      </c>
      <c r="B38" s="410" t="s">
        <v>2252</v>
      </c>
      <c r="C38" s="38" t="s">
        <v>2229</v>
      </c>
      <c r="D38" s="95">
        <v>0</v>
      </c>
      <c r="E38" s="389" t="s">
        <v>315</v>
      </c>
      <c r="F38" s="402" t="s">
        <v>2232</v>
      </c>
    </row>
    <row r="39" spans="1:6" ht="18.95" customHeight="1">
      <c r="A39" s="30"/>
      <c r="B39" s="31"/>
      <c r="C39" s="38"/>
      <c r="D39" s="95"/>
    </row>
    <row r="40" spans="1:6" ht="18.95" customHeight="1">
      <c r="A40" s="30">
        <f>A38+1</f>
        <v>25</v>
      </c>
      <c r="C40" s="412" t="s">
        <v>63</v>
      </c>
      <c r="D40" s="95"/>
    </row>
    <row r="41" spans="1:6" ht="18.95" customHeight="1">
      <c r="A41" s="30">
        <f t="shared" si="0"/>
        <v>26</v>
      </c>
      <c r="B41" s="31" t="s">
        <v>1702</v>
      </c>
      <c r="C41" s="38" t="s">
        <v>157</v>
      </c>
      <c r="D41" s="95">
        <f t="shared" ref="D41:D48" si="3">D$19</f>
        <v>0.87577725766318848</v>
      </c>
      <c r="E41" s="389" t="s">
        <v>307</v>
      </c>
      <c r="F41" s="402" t="s">
        <v>2234</v>
      </c>
    </row>
    <row r="42" spans="1:6" ht="18.95" customHeight="1">
      <c r="A42" s="30">
        <f t="shared" si="0"/>
        <v>27</v>
      </c>
      <c r="B42" s="31" t="s">
        <v>1703</v>
      </c>
      <c r="C42" s="38" t="s">
        <v>151</v>
      </c>
      <c r="D42" s="95">
        <f t="shared" si="3"/>
        <v>0.87577725766318848</v>
      </c>
      <c r="E42" s="389" t="s">
        <v>307</v>
      </c>
      <c r="F42" s="402" t="s">
        <v>2234</v>
      </c>
    </row>
    <row r="43" spans="1:6" ht="18.95" customHeight="1">
      <c r="A43" s="30">
        <f t="shared" si="0"/>
        <v>28</v>
      </c>
      <c r="B43" s="31" t="s">
        <v>1704</v>
      </c>
      <c r="C43" s="38" t="s">
        <v>1705</v>
      </c>
      <c r="D43" s="95">
        <f t="shared" si="3"/>
        <v>0.87577725766318848</v>
      </c>
      <c r="E43" s="389" t="s">
        <v>307</v>
      </c>
      <c r="F43" s="402" t="s">
        <v>2234</v>
      </c>
    </row>
    <row r="44" spans="1:6" ht="18.95" customHeight="1">
      <c r="A44" s="30">
        <f t="shared" si="0"/>
        <v>29</v>
      </c>
      <c r="B44" s="31" t="s">
        <v>1706</v>
      </c>
      <c r="C44" s="38" t="s">
        <v>1707</v>
      </c>
      <c r="D44" s="95">
        <f t="shared" si="3"/>
        <v>0.87577725766318848</v>
      </c>
      <c r="E44" s="389" t="s">
        <v>307</v>
      </c>
      <c r="F44" s="402" t="s">
        <v>2234</v>
      </c>
    </row>
    <row r="45" spans="1:6" ht="18.95" customHeight="1">
      <c r="A45" s="30">
        <f>A44+1</f>
        <v>30</v>
      </c>
      <c r="B45" s="31" t="s">
        <v>1710</v>
      </c>
      <c r="C45" s="38" t="s">
        <v>1711</v>
      </c>
      <c r="D45" s="95">
        <f t="shared" si="3"/>
        <v>0.87577725766318848</v>
      </c>
      <c r="E45" s="389" t="s">
        <v>307</v>
      </c>
      <c r="F45" s="402" t="s">
        <v>2234</v>
      </c>
    </row>
    <row r="46" spans="1:6" ht="18.95" customHeight="1">
      <c r="A46" s="30">
        <f t="shared" si="0"/>
        <v>31</v>
      </c>
      <c r="B46" s="31" t="s">
        <v>1712</v>
      </c>
      <c r="C46" s="38" t="s">
        <v>1686</v>
      </c>
      <c r="D46" s="95">
        <f t="shared" si="3"/>
        <v>0.87577725766318848</v>
      </c>
      <c r="E46" s="389" t="s">
        <v>307</v>
      </c>
      <c r="F46" s="402" t="s">
        <v>2234</v>
      </c>
    </row>
    <row r="47" spans="1:6" ht="18.95" customHeight="1">
      <c r="A47" s="30">
        <f t="shared" si="0"/>
        <v>32</v>
      </c>
      <c r="B47" s="31" t="s">
        <v>1713</v>
      </c>
      <c r="C47" s="38" t="s">
        <v>1698</v>
      </c>
      <c r="D47" s="95">
        <f t="shared" si="3"/>
        <v>0.87577725766318848</v>
      </c>
      <c r="E47" s="389" t="s">
        <v>307</v>
      </c>
      <c r="F47" s="402" t="s">
        <v>2234</v>
      </c>
    </row>
    <row r="48" spans="1:6" ht="18.95" customHeight="1">
      <c r="A48" s="30">
        <f t="shared" si="0"/>
        <v>33</v>
      </c>
      <c r="B48" s="31" t="s">
        <v>1714</v>
      </c>
      <c r="C48" s="38" t="s">
        <v>1749</v>
      </c>
      <c r="D48" s="95">
        <f t="shared" si="3"/>
        <v>0.87577725766318848</v>
      </c>
      <c r="E48" s="389" t="s">
        <v>307</v>
      </c>
      <c r="F48" s="402" t="s">
        <v>2234</v>
      </c>
    </row>
    <row r="49" spans="1:6" ht="18.95" customHeight="1">
      <c r="A49" s="30">
        <f>A48+1</f>
        <v>34</v>
      </c>
      <c r="B49" s="410" t="s">
        <v>2253</v>
      </c>
      <c r="C49" s="38" t="s">
        <v>2229</v>
      </c>
      <c r="D49" s="95">
        <v>0</v>
      </c>
      <c r="E49" s="389" t="s">
        <v>315</v>
      </c>
      <c r="F49" s="402" t="s">
        <v>2232</v>
      </c>
    </row>
    <row r="50" spans="1:6" ht="18.95" customHeight="1">
      <c r="D50" s="95"/>
    </row>
    <row r="51" spans="1:6" ht="18.95" customHeight="1">
      <c r="A51" s="30">
        <f>A49+1</f>
        <v>35</v>
      </c>
      <c r="C51" s="412" t="s">
        <v>86</v>
      </c>
      <c r="D51" s="95"/>
    </row>
    <row r="52" spans="1:6" ht="18.95" customHeight="1">
      <c r="A52" s="30">
        <f>A51+1</f>
        <v>36</v>
      </c>
      <c r="C52" s="413" t="s">
        <v>2233</v>
      </c>
      <c r="D52" s="95"/>
    </row>
    <row r="53" spans="1:6" ht="18.95" customHeight="1">
      <c r="A53" s="30">
        <f>A52+1</f>
        <v>37</v>
      </c>
      <c r="B53" s="31" t="s">
        <v>1715</v>
      </c>
      <c r="C53" s="38" t="s">
        <v>157</v>
      </c>
      <c r="D53" s="95">
        <f>'JURISSEP B'!G1161</f>
        <v>0.95582457705600388</v>
      </c>
      <c r="E53" s="389" t="s">
        <v>344</v>
      </c>
      <c r="F53" s="402" t="s">
        <v>2235</v>
      </c>
    </row>
    <row r="54" spans="1:6" ht="18.95" customHeight="1">
      <c r="A54" s="30">
        <f t="shared" ref="A54:A98" si="4">A53+1</f>
        <v>38</v>
      </c>
      <c r="B54" s="31" t="s">
        <v>1716</v>
      </c>
      <c r="C54" s="38" t="s">
        <v>151</v>
      </c>
      <c r="D54" s="95">
        <f>D$53</f>
        <v>0.95582457705600388</v>
      </c>
      <c r="E54" s="389" t="s">
        <v>344</v>
      </c>
      <c r="F54" s="402" t="s">
        <v>2235</v>
      </c>
    </row>
    <row r="55" spans="1:6" ht="18.95" customHeight="1">
      <c r="A55" s="30">
        <f t="shared" si="4"/>
        <v>39</v>
      </c>
      <c r="B55" s="31" t="s">
        <v>1717</v>
      </c>
      <c r="C55" s="38" t="s">
        <v>152</v>
      </c>
      <c r="D55" s="95">
        <f t="shared" ref="D55:D60" si="5">D$53</f>
        <v>0.95582457705600388</v>
      </c>
      <c r="E55" s="389" t="s">
        <v>344</v>
      </c>
      <c r="F55" s="402" t="s">
        <v>2235</v>
      </c>
    </row>
    <row r="56" spans="1:6" ht="18.95" customHeight="1">
      <c r="A56" s="30">
        <f t="shared" si="4"/>
        <v>40</v>
      </c>
      <c r="B56" s="31" t="s">
        <v>1718</v>
      </c>
      <c r="C56" s="38" t="s">
        <v>1719</v>
      </c>
      <c r="D56" s="95">
        <f t="shared" si="5"/>
        <v>0.95582457705600388</v>
      </c>
      <c r="E56" s="389" t="s">
        <v>344</v>
      </c>
      <c r="F56" s="402" t="s">
        <v>2235</v>
      </c>
    </row>
    <row r="57" spans="1:6" ht="18.95" customHeight="1">
      <c r="A57" s="30">
        <f t="shared" si="4"/>
        <v>41</v>
      </c>
      <c r="B57" s="31" t="s">
        <v>1720</v>
      </c>
      <c r="C57" s="38" t="s">
        <v>1721</v>
      </c>
      <c r="D57" s="95">
        <f t="shared" si="5"/>
        <v>0.95582457705600388</v>
      </c>
      <c r="E57" s="389" t="s">
        <v>344</v>
      </c>
      <c r="F57" s="402" t="s">
        <v>2235</v>
      </c>
    </row>
    <row r="58" spans="1:6" ht="18.95" customHeight="1">
      <c r="A58" s="30">
        <f t="shared" si="4"/>
        <v>42</v>
      </c>
      <c r="B58" s="31" t="s">
        <v>1722</v>
      </c>
      <c r="C58" s="38" t="s">
        <v>1723</v>
      </c>
      <c r="D58" s="95">
        <f t="shared" si="5"/>
        <v>0.95582457705600388</v>
      </c>
      <c r="E58" s="389" t="s">
        <v>344</v>
      </c>
      <c r="F58" s="402" t="s">
        <v>2235</v>
      </c>
    </row>
    <row r="59" spans="1:6" ht="18.95" customHeight="1">
      <c r="A59" s="30">
        <f t="shared" si="4"/>
        <v>43</v>
      </c>
      <c r="B59" s="31" t="s">
        <v>1724</v>
      </c>
      <c r="C59" s="38" t="s">
        <v>1725</v>
      </c>
      <c r="D59" s="95">
        <f t="shared" si="5"/>
        <v>0.95582457705600388</v>
      </c>
      <c r="E59" s="389" t="s">
        <v>344</v>
      </c>
      <c r="F59" s="402" t="s">
        <v>2235</v>
      </c>
    </row>
    <row r="60" spans="1:6" ht="18.95" customHeight="1">
      <c r="A60" s="30">
        <f t="shared" si="4"/>
        <v>44</v>
      </c>
      <c r="B60" s="31" t="s">
        <v>1726</v>
      </c>
      <c r="C60" s="38" t="s">
        <v>1727</v>
      </c>
      <c r="D60" s="95">
        <f t="shared" si="5"/>
        <v>0.95582457705600388</v>
      </c>
      <c r="E60" s="389" t="s">
        <v>344</v>
      </c>
      <c r="F60" s="402" t="s">
        <v>2235</v>
      </c>
    </row>
    <row r="61" spans="1:6" s="28" customFormat="1" ht="20.100000000000001" customHeight="1">
      <c r="A61" s="706" t="str">
        <f>A$1</f>
        <v>KENTUCKY UTILITIES COMPANY</v>
      </c>
      <c r="B61" s="706"/>
      <c r="C61" s="706"/>
      <c r="D61" s="706"/>
      <c r="E61" s="706"/>
      <c r="F61" s="706"/>
    </row>
    <row r="62" spans="1:6" s="28" customFormat="1" ht="20.100000000000001" customHeight="1">
      <c r="A62" s="706" t="str">
        <f>A$2</f>
        <v>CASE NO. 2016-00370</v>
      </c>
      <c r="B62" s="706"/>
      <c r="C62" s="706"/>
      <c r="D62" s="706"/>
      <c r="E62" s="706"/>
      <c r="F62" s="706"/>
    </row>
    <row r="63" spans="1:6" s="28" customFormat="1" ht="20.100000000000001" customHeight="1">
      <c r="A63" s="706" t="s">
        <v>1502</v>
      </c>
      <c r="B63" s="706"/>
      <c r="C63" s="706"/>
      <c r="D63" s="706"/>
      <c r="E63" s="706"/>
      <c r="F63" s="706"/>
    </row>
    <row r="64" spans="1:6" s="28" customFormat="1" ht="20.100000000000001" customHeight="1">
      <c r="A64" s="705" t="str">
        <f>A$4</f>
        <v>BASE YEAR FOR THE 12 MONTHS ENDED FEBRUARY 28, 2017</v>
      </c>
      <c r="B64" s="706"/>
      <c r="C64" s="706"/>
      <c r="D64" s="706"/>
      <c r="E64" s="706"/>
      <c r="F64" s="706"/>
    </row>
    <row r="65" spans="1:6" s="28" customFormat="1" ht="20.100000000000001" customHeight="1">
      <c r="A65" s="405"/>
      <c r="B65" s="405"/>
      <c r="C65" s="405"/>
      <c r="D65" s="405"/>
      <c r="E65" s="405"/>
      <c r="F65" s="405"/>
    </row>
    <row r="66" spans="1:6" s="28" customFormat="1" ht="20.100000000000001" customHeight="1">
      <c r="A66" s="27" t="str">
        <f>A$6</f>
        <v>DATA:__X__BASE  PERIOD____FORECASTED  PERIOD</v>
      </c>
      <c r="B66" s="27"/>
      <c r="E66" s="406"/>
      <c r="F66" s="34" t="s">
        <v>1501</v>
      </c>
    </row>
    <row r="67" spans="1:6" s="28" customFormat="1" ht="20.100000000000001" customHeight="1">
      <c r="A67" s="27" t="str">
        <f>A$7</f>
        <v>TYPE OF FILING: __X__ ORIGINAL  _____ UPDATED  _____ REVISED</v>
      </c>
      <c r="E67" s="406"/>
      <c r="F67" s="34" t="s">
        <v>2302</v>
      </c>
    </row>
    <row r="68" spans="1:6" s="28" customFormat="1" ht="20.100000000000001" customHeight="1">
      <c r="A68" s="27" t="str">
        <f>A$8</f>
        <v xml:space="preserve">WORKPAPER REFERENCE NO(S).: </v>
      </c>
      <c r="B68" s="27"/>
      <c r="E68" s="406"/>
      <c r="F68" s="35" t="str">
        <f>F$8</f>
        <v>WITNESS:   C. M. GARRETT</v>
      </c>
    </row>
    <row r="69" spans="1:6" s="28" customFormat="1" ht="20.100000000000001" customHeight="1">
      <c r="E69" s="406"/>
    </row>
    <row r="70" spans="1:6" ht="58.5" customHeight="1">
      <c r="A70" s="36" t="s">
        <v>134</v>
      </c>
      <c r="B70" s="36" t="s">
        <v>137</v>
      </c>
      <c r="C70" s="39" t="s">
        <v>2228</v>
      </c>
      <c r="D70" s="36" t="s">
        <v>227</v>
      </c>
      <c r="E70" s="36" t="s">
        <v>2230</v>
      </c>
      <c r="F70" s="36" t="s">
        <v>1500</v>
      </c>
    </row>
    <row r="71" spans="1:6" ht="23.1" customHeight="1">
      <c r="A71" s="40"/>
      <c r="B71" s="40"/>
      <c r="C71" s="41"/>
      <c r="D71" s="42"/>
      <c r="E71" s="42"/>
      <c r="F71" s="42"/>
    </row>
    <row r="72" spans="1:6" ht="18.95" customHeight="1">
      <c r="A72" s="30">
        <f>A60+1</f>
        <v>45</v>
      </c>
      <c r="B72" s="31" t="s">
        <v>1728</v>
      </c>
      <c r="C72" s="38" t="s">
        <v>155</v>
      </c>
      <c r="D72" s="95">
        <f t="shared" ref="D72" si="6">D$53</f>
        <v>0.95582457705600388</v>
      </c>
      <c r="E72" s="389" t="s">
        <v>344</v>
      </c>
      <c r="F72" s="402" t="s">
        <v>2235</v>
      </c>
    </row>
    <row r="73" spans="1:6" ht="18.95" customHeight="1">
      <c r="A73" s="30">
        <f>A72+1</f>
        <v>46</v>
      </c>
      <c r="B73" s="410" t="s">
        <v>2254</v>
      </c>
      <c r="C73" s="38" t="s">
        <v>2229</v>
      </c>
      <c r="D73" s="95">
        <v>0</v>
      </c>
      <c r="E73" s="389" t="s">
        <v>315</v>
      </c>
      <c r="F73" s="402" t="s">
        <v>2232</v>
      </c>
    </row>
    <row r="74" spans="1:6" ht="18.95" customHeight="1">
      <c r="A74" s="30"/>
      <c r="B74" s="31"/>
      <c r="D74" s="95"/>
    </row>
    <row r="75" spans="1:6" ht="18.95" customHeight="1">
      <c r="A75" s="30">
        <f>A73+1</f>
        <v>47</v>
      </c>
      <c r="C75" s="413" t="s">
        <v>2237</v>
      </c>
      <c r="D75" s="95"/>
    </row>
    <row r="76" spans="1:6" ht="18.95" customHeight="1">
      <c r="A76" s="30">
        <f>A75+1</f>
        <v>48</v>
      </c>
      <c r="B76" s="31" t="s">
        <v>1715</v>
      </c>
      <c r="C76" s="38" t="s">
        <v>157</v>
      </c>
      <c r="D76" s="95">
        <v>0</v>
      </c>
      <c r="E76" s="389" t="s">
        <v>737</v>
      </c>
      <c r="F76" s="402" t="s">
        <v>2236</v>
      </c>
    </row>
    <row r="77" spans="1:6" ht="18.95" customHeight="1">
      <c r="A77" s="30">
        <f t="shared" si="4"/>
        <v>49</v>
      </c>
      <c r="B77" s="31" t="s">
        <v>1716</v>
      </c>
      <c r="C77" s="38" t="s">
        <v>151</v>
      </c>
      <c r="D77" s="95">
        <v>0</v>
      </c>
      <c r="E77" s="389" t="s">
        <v>737</v>
      </c>
      <c r="F77" s="402" t="s">
        <v>2236</v>
      </c>
    </row>
    <row r="78" spans="1:6" ht="18.95" customHeight="1">
      <c r="A78" s="30">
        <f t="shared" si="4"/>
        <v>50</v>
      </c>
      <c r="B78" s="31" t="s">
        <v>1717</v>
      </c>
      <c r="C78" s="38" t="s">
        <v>152</v>
      </c>
      <c r="D78" s="95">
        <v>0</v>
      </c>
      <c r="E78" s="389" t="s">
        <v>737</v>
      </c>
      <c r="F78" s="402" t="s">
        <v>2236</v>
      </c>
    </row>
    <row r="79" spans="1:6" ht="18.95" customHeight="1">
      <c r="A79" s="30">
        <f t="shared" si="4"/>
        <v>51</v>
      </c>
      <c r="B79" s="31" t="s">
        <v>1718</v>
      </c>
      <c r="C79" s="38" t="s">
        <v>1719</v>
      </c>
      <c r="D79" s="95">
        <v>0</v>
      </c>
      <c r="E79" s="389" t="s">
        <v>737</v>
      </c>
      <c r="F79" s="402" t="s">
        <v>2236</v>
      </c>
    </row>
    <row r="80" spans="1:6" ht="18.95" customHeight="1">
      <c r="A80" s="30">
        <f t="shared" si="4"/>
        <v>52</v>
      </c>
      <c r="B80" s="31" t="s">
        <v>1720</v>
      </c>
      <c r="C80" s="38" t="s">
        <v>1721</v>
      </c>
      <c r="D80" s="95">
        <v>0</v>
      </c>
      <c r="E80" s="389" t="s">
        <v>737</v>
      </c>
      <c r="F80" s="402" t="s">
        <v>2236</v>
      </c>
    </row>
    <row r="81" spans="1:6" ht="18.95" customHeight="1">
      <c r="A81" s="30">
        <f t="shared" si="4"/>
        <v>53</v>
      </c>
      <c r="B81" s="31" t="s">
        <v>1722</v>
      </c>
      <c r="C81" s="38" t="s">
        <v>1723</v>
      </c>
      <c r="D81" s="95">
        <v>0</v>
      </c>
      <c r="E81" s="389" t="s">
        <v>737</v>
      </c>
      <c r="F81" s="402" t="s">
        <v>2236</v>
      </c>
    </row>
    <row r="82" spans="1:6" ht="18.95" customHeight="1">
      <c r="A82" s="30">
        <f>A81+1</f>
        <v>54</v>
      </c>
      <c r="B82" s="410" t="s">
        <v>2255</v>
      </c>
      <c r="C82" s="38" t="s">
        <v>2229</v>
      </c>
      <c r="D82" s="95">
        <v>0</v>
      </c>
      <c r="E82" s="389" t="s">
        <v>737</v>
      </c>
      <c r="F82" s="402" t="s">
        <v>2236</v>
      </c>
    </row>
    <row r="83" spans="1:6" ht="18.95" customHeight="1">
      <c r="A83" s="30"/>
      <c r="B83" s="31"/>
      <c r="D83" s="95"/>
    </row>
    <row r="84" spans="1:6" ht="18.95" customHeight="1">
      <c r="A84" s="30">
        <f>A73+1</f>
        <v>47</v>
      </c>
      <c r="B84" s="31" t="s">
        <v>254</v>
      </c>
      <c r="C84" s="412" t="s">
        <v>16</v>
      </c>
      <c r="D84" s="95"/>
    </row>
    <row r="85" spans="1:6" ht="18.95" customHeight="1">
      <c r="A85" s="30">
        <f>A84+1</f>
        <v>48</v>
      </c>
      <c r="C85" s="413" t="s">
        <v>2233</v>
      </c>
      <c r="D85" s="95"/>
    </row>
    <row r="86" spans="1:6" ht="18.95" customHeight="1">
      <c r="A86" s="30">
        <f>A85+1</f>
        <v>49</v>
      </c>
      <c r="B86" s="31" t="s">
        <v>1729</v>
      </c>
      <c r="C86" s="38" t="s">
        <v>157</v>
      </c>
      <c r="D86" s="95">
        <f>'JURISSEP B'!G1166</f>
        <v>0.9988937822163354</v>
      </c>
      <c r="E86" s="389" t="s">
        <v>737</v>
      </c>
      <c r="F86" s="402" t="s">
        <v>2240</v>
      </c>
    </row>
    <row r="87" spans="1:6" ht="18.95" customHeight="1">
      <c r="A87" s="30">
        <f t="shared" si="4"/>
        <v>50</v>
      </c>
      <c r="B87" s="31" t="s">
        <v>1730</v>
      </c>
      <c r="C87" s="38" t="s">
        <v>151</v>
      </c>
      <c r="D87" s="95">
        <f>'JURISSEP B'!G1167</f>
        <v>0.97068352618418197</v>
      </c>
      <c r="E87" s="389" t="s">
        <v>737</v>
      </c>
      <c r="F87" s="402" t="s">
        <v>2240</v>
      </c>
    </row>
    <row r="88" spans="1:6" ht="18.95" customHeight="1">
      <c r="A88" s="30">
        <f t="shared" si="4"/>
        <v>51</v>
      </c>
      <c r="B88" s="31" t="s">
        <v>1731</v>
      </c>
      <c r="C88" s="38" t="s">
        <v>1732</v>
      </c>
      <c r="D88" s="95">
        <f>'JURISSEP B'!G1168</f>
        <v>0.97985804307371993</v>
      </c>
      <c r="E88" s="389" t="s">
        <v>737</v>
      </c>
      <c r="F88" s="402" t="s">
        <v>2240</v>
      </c>
    </row>
    <row r="89" spans="1:6" ht="18.95" customHeight="1">
      <c r="A89" s="30">
        <f t="shared" si="4"/>
        <v>52</v>
      </c>
      <c r="B89" s="31" t="s">
        <v>1733</v>
      </c>
      <c r="C89" s="38" t="s">
        <v>1734</v>
      </c>
      <c r="D89" s="95">
        <f>'JURISSEP B'!G1169</f>
        <v>1</v>
      </c>
      <c r="E89" s="389" t="s">
        <v>737</v>
      </c>
      <c r="F89" s="402" t="s">
        <v>2239</v>
      </c>
    </row>
    <row r="90" spans="1:6" ht="18.95" customHeight="1">
      <c r="A90" s="30">
        <f t="shared" si="4"/>
        <v>53</v>
      </c>
      <c r="B90" s="31" t="s">
        <v>1735</v>
      </c>
      <c r="C90" s="38" t="s">
        <v>1723</v>
      </c>
      <c r="D90" s="95">
        <f>'JURISSEP B'!G1170</f>
        <v>1</v>
      </c>
      <c r="E90" s="389" t="s">
        <v>737</v>
      </c>
      <c r="F90" s="402" t="s">
        <v>2239</v>
      </c>
    </row>
    <row r="91" spans="1:6" ht="18.95" customHeight="1">
      <c r="A91" s="30">
        <f t="shared" si="4"/>
        <v>54</v>
      </c>
      <c r="B91" s="31" t="s">
        <v>1736</v>
      </c>
      <c r="C91" s="38" t="s">
        <v>1725</v>
      </c>
      <c r="D91" s="95">
        <f>'JURISSEP B'!G1171</f>
        <v>1</v>
      </c>
      <c r="E91" s="389" t="s">
        <v>737</v>
      </c>
      <c r="F91" s="402" t="s">
        <v>2239</v>
      </c>
    </row>
    <row r="92" spans="1:6" ht="18.95" customHeight="1">
      <c r="A92" s="30">
        <f t="shared" si="4"/>
        <v>55</v>
      </c>
      <c r="B92" s="31" t="s">
        <v>1737</v>
      </c>
      <c r="C92" s="38" t="s">
        <v>1727</v>
      </c>
      <c r="D92" s="95">
        <f>'JURISSEP B'!G1172</f>
        <v>1</v>
      </c>
      <c r="E92" s="389" t="s">
        <v>737</v>
      </c>
      <c r="F92" s="402" t="s">
        <v>2239</v>
      </c>
    </row>
    <row r="93" spans="1:6" ht="18.95" customHeight="1">
      <c r="A93" s="30">
        <f t="shared" si="4"/>
        <v>56</v>
      </c>
      <c r="B93" s="31" t="s">
        <v>1738</v>
      </c>
      <c r="C93" s="38" t="s">
        <v>1739</v>
      </c>
      <c r="D93" s="95">
        <f>'JURISSEP B'!G170/'JURISSEP B'!E170</f>
        <v>0.99828858245231278</v>
      </c>
      <c r="E93" s="389" t="s">
        <v>2242</v>
      </c>
      <c r="F93" s="402" t="s">
        <v>2241</v>
      </c>
    </row>
    <row r="94" spans="1:6" ht="18.95" customHeight="1">
      <c r="A94" s="30">
        <f t="shared" si="4"/>
        <v>57</v>
      </c>
      <c r="B94" s="31" t="s">
        <v>1740</v>
      </c>
      <c r="C94" s="38" t="s">
        <v>1741</v>
      </c>
      <c r="D94" s="95">
        <f>'JURISSEP B'!G171/'JURISSEP B'!E171</f>
        <v>1</v>
      </c>
      <c r="E94" s="389" t="s">
        <v>737</v>
      </c>
      <c r="F94" s="402" t="s">
        <v>2239</v>
      </c>
    </row>
    <row r="95" spans="1:6" ht="18.95" customHeight="1">
      <c r="A95" s="30">
        <f>A94+1</f>
        <v>58</v>
      </c>
      <c r="B95" s="31" t="s">
        <v>1742</v>
      </c>
      <c r="C95" s="38" t="s">
        <v>1743</v>
      </c>
      <c r="D95" s="95">
        <f>'JURISSEP B'!G172/'JURISSEP B'!E172</f>
        <v>0.99514880490542212</v>
      </c>
      <c r="E95" s="389" t="s">
        <v>737</v>
      </c>
      <c r="F95" s="402" t="s">
        <v>2240</v>
      </c>
    </row>
    <row r="96" spans="1:6" ht="18.95" customHeight="1">
      <c r="A96" s="30">
        <f t="shared" si="4"/>
        <v>59</v>
      </c>
      <c r="B96" s="31" t="s">
        <v>1744</v>
      </c>
      <c r="C96" s="38" t="s">
        <v>1745</v>
      </c>
      <c r="D96" s="95">
        <f>'JURISSEP B'!G173/'JURISSEP B'!E173</f>
        <v>1</v>
      </c>
      <c r="E96" s="389" t="s">
        <v>737</v>
      </c>
      <c r="F96" s="402" t="s">
        <v>2239</v>
      </c>
    </row>
    <row r="97" spans="1:6" ht="18.95" customHeight="1">
      <c r="A97" s="30">
        <f t="shared" si="4"/>
        <v>60</v>
      </c>
      <c r="B97" s="31" t="s">
        <v>1746</v>
      </c>
      <c r="C97" s="38" t="s">
        <v>1747</v>
      </c>
      <c r="D97" s="95">
        <f>'JURISSEP B'!G174/'JURISSEP B'!E174</f>
        <v>1</v>
      </c>
      <c r="E97" s="389" t="s">
        <v>737</v>
      </c>
      <c r="F97" s="402" t="s">
        <v>2239</v>
      </c>
    </row>
    <row r="98" spans="1:6" ht="18.95" customHeight="1">
      <c r="A98" s="30">
        <f t="shared" si="4"/>
        <v>61</v>
      </c>
      <c r="B98" s="31" t="s">
        <v>1748</v>
      </c>
      <c r="C98" s="38" t="s">
        <v>154</v>
      </c>
      <c r="D98" s="95">
        <f>'JURISSEP B'!G175/'JURISSEP B'!E175</f>
        <v>1</v>
      </c>
      <c r="E98" s="389" t="s">
        <v>737</v>
      </c>
      <c r="F98" s="402" t="s">
        <v>2239</v>
      </c>
    </row>
    <row r="99" spans="1:6" ht="18.95" customHeight="1">
      <c r="A99" s="30"/>
      <c r="B99" s="31"/>
      <c r="C99" s="38"/>
      <c r="D99" s="95"/>
    </row>
    <row r="100" spans="1:6" ht="18.95" customHeight="1">
      <c r="A100" s="30">
        <f>A98+1</f>
        <v>62</v>
      </c>
      <c r="C100" s="413" t="s">
        <v>2237</v>
      </c>
      <c r="D100" s="95"/>
    </row>
    <row r="101" spans="1:6" ht="18.95" customHeight="1">
      <c r="A101" s="30">
        <f>A100+1</f>
        <v>63</v>
      </c>
      <c r="B101" s="31" t="s">
        <v>1729</v>
      </c>
      <c r="C101" s="38" t="s">
        <v>157</v>
      </c>
      <c r="D101" s="95">
        <v>0</v>
      </c>
      <c r="E101" s="389" t="s">
        <v>737</v>
      </c>
      <c r="F101" s="402" t="s">
        <v>2236</v>
      </c>
    </row>
    <row r="102" spans="1:6" ht="18.95" customHeight="1">
      <c r="A102" s="30">
        <f t="shared" ref="A102:A112" si="7">A101+1</f>
        <v>64</v>
      </c>
      <c r="B102" s="31" t="s">
        <v>1730</v>
      </c>
      <c r="C102" s="38" t="s">
        <v>151</v>
      </c>
      <c r="D102" s="95">
        <v>0</v>
      </c>
      <c r="E102" s="389" t="s">
        <v>737</v>
      </c>
      <c r="F102" s="402" t="s">
        <v>2236</v>
      </c>
    </row>
    <row r="103" spans="1:6" ht="18.95" customHeight="1">
      <c r="A103" s="30">
        <f t="shared" si="7"/>
        <v>65</v>
      </c>
      <c r="B103" s="31" t="s">
        <v>1731</v>
      </c>
      <c r="C103" s="38" t="s">
        <v>1732</v>
      </c>
      <c r="D103" s="95">
        <v>0</v>
      </c>
      <c r="E103" s="389" t="s">
        <v>737</v>
      </c>
      <c r="F103" s="402" t="s">
        <v>2236</v>
      </c>
    </row>
    <row r="104" spans="1:6" ht="18.95" customHeight="1">
      <c r="A104" s="30">
        <f t="shared" si="7"/>
        <v>66</v>
      </c>
      <c r="B104" s="31" t="s">
        <v>1733</v>
      </c>
      <c r="C104" s="38" t="s">
        <v>1734</v>
      </c>
      <c r="D104" s="95">
        <v>0</v>
      </c>
      <c r="E104" s="389" t="s">
        <v>737</v>
      </c>
      <c r="F104" s="402" t="s">
        <v>2236</v>
      </c>
    </row>
    <row r="105" spans="1:6" ht="18.95" customHeight="1">
      <c r="A105" s="30">
        <f t="shared" si="7"/>
        <v>67</v>
      </c>
      <c r="B105" s="31" t="s">
        <v>1735</v>
      </c>
      <c r="C105" s="38" t="s">
        <v>1723</v>
      </c>
      <c r="D105" s="95">
        <v>0</v>
      </c>
      <c r="E105" s="389" t="s">
        <v>737</v>
      </c>
      <c r="F105" s="402" t="s">
        <v>2236</v>
      </c>
    </row>
    <row r="106" spans="1:6" ht="18.95" customHeight="1">
      <c r="A106" s="30">
        <f t="shared" si="7"/>
        <v>68</v>
      </c>
      <c r="B106" s="31" t="s">
        <v>1736</v>
      </c>
      <c r="C106" s="38" t="s">
        <v>1725</v>
      </c>
      <c r="D106" s="95">
        <v>0</v>
      </c>
      <c r="E106" s="389" t="s">
        <v>737</v>
      </c>
      <c r="F106" s="402" t="s">
        <v>2236</v>
      </c>
    </row>
    <row r="107" spans="1:6" ht="18.95" customHeight="1">
      <c r="A107" s="30">
        <f t="shared" si="7"/>
        <v>69</v>
      </c>
      <c r="B107" s="31" t="s">
        <v>1737</v>
      </c>
      <c r="C107" s="38" t="s">
        <v>1727</v>
      </c>
      <c r="D107" s="95">
        <v>0</v>
      </c>
      <c r="E107" s="389" t="s">
        <v>737</v>
      </c>
      <c r="F107" s="402" t="s">
        <v>2236</v>
      </c>
    </row>
    <row r="108" spans="1:6" ht="18.95" customHeight="1">
      <c r="A108" s="30">
        <f t="shared" si="7"/>
        <v>70</v>
      </c>
      <c r="B108" s="31" t="s">
        <v>1738</v>
      </c>
      <c r="C108" s="38" t="s">
        <v>1739</v>
      </c>
      <c r="D108" s="95">
        <v>0</v>
      </c>
      <c r="E108" s="389" t="s">
        <v>737</v>
      </c>
      <c r="F108" s="402" t="s">
        <v>2236</v>
      </c>
    </row>
    <row r="109" spans="1:6" ht="18.95" customHeight="1">
      <c r="A109" s="30">
        <f t="shared" si="7"/>
        <v>71</v>
      </c>
      <c r="B109" s="31" t="s">
        <v>1740</v>
      </c>
      <c r="C109" s="38" t="s">
        <v>1741</v>
      </c>
      <c r="D109" s="95">
        <v>0</v>
      </c>
      <c r="E109" s="389" t="s">
        <v>737</v>
      </c>
      <c r="F109" s="402" t="s">
        <v>2236</v>
      </c>
    </row>
    <row r="110" spans="1:6" ht="18.95" customHeight="1">
      <c r="A110" s="30">
        <f>A109+1</f>
        <v>72</v>
      </c>
      <c r="B110" s="31" t="s">
        <v>1742</v>
      </c>
      <c r="C110" s="38" t="s">
        <v>1743</v>
      </c>
      <c r="D110" s="95">
        <v>0</v>
      </c>
      <c r="E110" s="389" t="s">
        <v>737</v>
      </c>
      <c r="F110" s="402" t="s">
        <v>2236</v>
      </c>
    </row>
    <row r="111" spans="1:6" ht="18.95" customHeight="1">
      <c r="A111" s="30">
        <f t="shared" si="7"/>
        <v>73</v>
      </c>
      <c r="B111" s="31" t="s">
        <v>1744</v>
      </c>
      <c r="C111" s="38" t="s">
        <v>1745</v>
      </c>
      <c r="D111" s="95">
        <v>0</v>
      </c>
      <c r="E111" s="389" t="s">
        <v>737</v>
      </c>
      <c r="F111" s="402" t="s">
        <v>2236</v>
      </c>
    </row>
    <row r="112" spans="1:6" ht="18.95" customHeight="1">
      <c r="A112" s="30">
        <f t="shared" si="7"/>
        <v>74</v>
      </c>
      <c r="B112" s="31" t="s">
        <v>1746</v>
      </c>
      <c r="C112" s="38" t="s">
        <v>1747</v>
      </c>
      <c r="D112" s="95">
        <v>0</v>
      </c>
      <c r="E112" s="389" t="s">
        <v>737</v>
      </c>
      <c r="F112" s="402" t="s">
        <v>2236</v>
      </c>
    </row>
    <row r="113" spans="1:6" ht="18.95" customHeight="1">
      <c r="A113" s="30"/>
      <c r="B113" s="31"/>
      <c r="C113" s="38"/>
      <c r="D113" s="95"/>
    </row>
    <row r="114" spans="1:6" ht="18.95" customHeight="1">
      <c r="A114" s="30">
        <f>A112+1</f>
        <v>75</v>
      </c>
      <c r="C114" s="413" t="s">
        <v>2238</v>
      </c>
      <c r="D114" s="95"/>
    </row>
    <row r="115" spans="1:6" ht="18.95" customHeight="1">
      <c r="A115" s="30">
        <f>A114+1</f>
        <v>76</v>
      </c>
      <c r="B115" s="31" t="s">
        <v>1729</v>
      </c>
      <c r="C115" s="38" t="s">
        <v>157</v>
      </c>
      <c r="D115" s="95">
        <v>0</v>
      </c>
      <c r="E115" s="389" t="s">
        <v>737</v>
      </c>
      <c r="F115" s="402" t="s">
        <v>2243</v>
      </c>
    </row>
    <row r="116" spans="1:6" ht="18.95" customHeight="1">
      <c r="A116" s="30">
        <f t="shared" ref="A116:A136" si="8">A115+1</f>
        <v>77</v>
      </c>
      <c r="B116" s="31" t="s">
        <v>1730</v>
      </c>
      <c r="C116" s="38" t="s">
        <v>151</v>
      </c>
      <c r="D116" s="95">
        <v>0</v>
      </c>
      <c r="E116" s="389" t="s">
        <v>737</v>
      </c>
      <c r="F116" s="402" t="s">
        <v>2243</v>
      </c>
    </row>
    <row r="117" spans="1:6" ht="18.95" customHeight="1">
      <c r="A117" s="30">
        <f t="shared" si="8"/>
        <v>78</v>
      </c>
      <c r="B117" s="31" t="s">
        <v>1731</v>
      </c>
      <c r="C117" s="38" t="s">
        <v>1732</v>
      </c>
      <c r="D117" s="95">
        <v>0</v>
      </c>
      <c r="E117" s="389" t="s">
        <v>737</v>
      </c>
      <c r="F117" s="402" t="s">
        <v>2243</v>
      </c>
    </row>
    <row r="118" spans="1:6" ht="18.95" customHeight="1">
      <c r="A118" s="30">
        <f t="shared" si="8"/>
        <v>79</v>
      </c>
      <c r="B118" s="31" t="s">
        <v>1733</v>
      </c>
      <c r="C118" s="38" t="s">
        <v>1734</v>
      </c>
      <c r="D118" s="95">
        <v>0</v>
      </c>
      <c r="E118" s="389" t="s">
        <v>737</v>
      </c>
      <c r="F118" s="402" t="s">
        <v>2243</v>
      </c>
    </row>
    <row r="119" spans="1:6" ht="18.95" customHeight="1">
      <c r="A119" s="30">
        <f t="shared" si="8"/>
        <v>80</v>
      </c>
      <c r="B119" s="31" t="s">
        <v>1735</v>
      </c>
      <c r="C119" s="38" t="s">
        <v>1723</v>
      </c>
      <c r="D119" s="95">
        <v>0</v>
      </c>
      <c r="E119" s="389" t="s">
        <v>737</v>
      </c>
      <c r="F119" s="402" t="s">
        <v>2243</v>
      </c>
    </row>
    <row r="120" spans="1:6" ht="18.95" customHeight="1">
      <c r="A120" s="30">
        <f t="shared" si="8"/>
        <v>81</v>
      </c>
      <c r="B120" s="31" t="s">
        <v>1736</v>
      </c>
      <c r="C120" s="38" t="s">
        <v>1725</v>
      </c>
      <c r="D120" s="95">
        <v>0</v>
      </c>
      <c r="E120" s="389" t="s">
        <v>737</v>
      </c>
      <c r="F120" s="402" t="s">
        <v>2243</v>
      </c>
    </row>
    <row r="121" spans="1:6" ht="18.95" customHeight="1">
      <c r="A121" s="30">
        <f t="shared" si="8"/>
        <v>82</v>
      </c>
      <c r="B121" s="31" t="s">
        <v>1737</v>
      </c>
      <c r="C121" s="38" t="s">
        <v>1727</v>
      </c>
      <c r="D121" s="95">
        <v>0</v>
      </c>
      <c r="E121" s="389" t="s">
        <v>737</v>
      </c>
      <c r="F121" s="402" t="s">
        <v>2243</v>
      </c>
    </row>
    <row r="122" spans="1:6" s="28" customFormat="1" ht="20.100000000000001" customHeight="1">
      <c r="A122" s="706" t="str">
        <f>A$1</f>
        <v>KENTUCKY UTILITIES COMPANY</v>
      </c>
      <c r="B122" s="706"/>
      <c r="C122" s="706"/>
      <c r="D122" s="706"/>
      <c r="E122" s="706"/>
      <c r="F122" s="706"/>
    </row>
    <row r="123" spans="1:6" s="28" customFormat="1" ht="20.100000000000001" customHeight="1">
      <c r="A123" s="706" t="str">
        <f>A$2</f>
        <v>CASE NO. 2016-00370</v>
      </c>
      <c r="B123" s="706"/>
      <c r="C123" s="706"/>
      <c r="D123" s="706"/>
      <c r="E123" s="706"/>
      <c r="F123" s="706"/>
    </row>
    <row r="124" spans="1:6" s="28" customFormat="1" ht="20.100000000000001" customHeight="1">
      <c r="A124" s="706" t="s">
        <v>1502</v>
      </c>
      <c r="B124" s="706"/>
      <c r="C124" s="706"/>
      <c r="D124" s="706"/>
      <c r="E124" s="706"/>
      <c r="F124" s="706"/>
    </row>
    <row r="125" spans="1:6" s="28" customFormat="1" ht="20.100000000000001" customHeight="1">
      <c r="A125" s="705" t="str">
        <f>A$4</f>
        <v>BASE YEAR FOR THE 12 MONTHS ENDED FEBRUARY 28, 2017</v>
      </c>
      <c r="B125" s="706"/>
      <c r="C125" s="706"/>
      <c r="D125" s="706"/>
      <c r="E125" s="706"/>
      <c r="F125" s="706"/>
    </row>
    <row r="126" spans="1:6" s="28" customFormat="1" ht="20.100000000000001" customHeight="1">
      <c r="A126" s="405"/>
      <c r="B126" s="405"/>
      <c r="C126" s="405"/>
      <c r="D126" s="405"/>
      <c r="E126" s="405"/>
      <c r="F126" s="405"/>
    </row>
    <row r="127" spans="1:6" s="28" customFormat="1" ht="20.100000000000001" customHeight="1">
      <c r="A127" s="27" t="str">
        <f>A$6</f>
        <v>DATA:__X__BASE  PERIOD____FORECASTED  PERIOD</v>
      </c>
      <c r="B127" s="27"/>
      <c r="E127" s="406"/>
      <c r="F127" s="34" t="s">
        <v>1501</v>
      </c>
    </row>
    <row r="128" spans="1:6" s="28" customFormat="1" ht="20.100000000000001" customHeight="1">
      <c r="A128" s="27" t="str">
        <f>A$7</f>
        <v>TYPE OF FILING: __X__ ORIGINAL  _____ UPDATED  _____ REVISED</v>
      </c>
      <c r="E128" s="406"/>
      <c r="F128" s="34" t="s">
        <v>2303</v>
      </c>
    </row>
    <row r="129" spans="1:6" s="28" customFormat="1" ht="20.100000000000001" customHeight="1">
      <c r="A129" s="27" t="str">
        <f>A$8</f>
        <v xml:space="preserve">WORKPAPER REFERENCE NO(S).: </v>
      </c>
      <c r="B129" s="27"/>
      <c r="E129" s="406"/>
      <c r="F129" s="35" t="str">
        <f>F$8</f>
        <v>WITNESS:   C. M. GARRETT</v>
      </c>
    </row>
    <row r="130" spans="1:6" s="28" customFormat="1" ht="20.100000000000001" customHeight="1">
      <c r="E130" s="406"/>
    </row>
    <row r="131" spans="1:6" ht="58.5" customHeight="1">
      <c r="A131" s="36" t="s">
        <v>134</v>
      </c>
      <c r="B131" s="36" t="s">
        <v>137</v>
      </c>
      <c r="C131" s="39" t="s">
        <v>2228</v>
      </c>
      <c r="D131" s="36" t="s">
        <v>227</v>
      </c>
      <c r="E131" s="36" t="s">
        <v>2230</v>
      </c>
      <c r="F131" s="36" t="s">
        <v>1500</v>
      </c>
    </row>
    <row r="132" spans="1:6" ht="23.1" customHeight="1">
      <c r="A132" s="40"/>
      <c r="B132" s="40"/>
      <c r="C132" s="41"/>
      <c r="D132" s="42"/>
      <c r="E132" s="42"/>
      <c r="F132" s="42"/>
    </row>
    <row r="133" spans="1:6" ht="18.95" customHeight="1">
      <c r="A133" s="30">
        <f>A121+1</f>
        <v>83</v>
      </c>
      <c r="B133" s="31" t="s">
        <v>1738</v>
      </c>
      <c r="C133" s="38" t="s">
        <v>1739</v>
      </c>
      <c r="D133" s="95">
        <v>0</v>
      </c>
      <c r="E133" s="389" t="s">
        <v>737</v>
      </c>
      <c r="F133" s="402" t="s">
        <v>2243</v>
      </c>
    </row>
    <row r="134" spans="1:6" ht="18.95" customHeight="1">
      <c r="A134" s="30">
        <f t="shared" si="8"/>
        <v>84</v>
      </c>
      <c r="B134" s="31" t="s">
        <v>1740</v>
      </c>
      <c r="C134" s="38" t="s">
        <v>1741</v>
      </c>
      <c r="D134" s="95">
        <v>0</v>
      </c>
      <c r="E134" s="389" t="s">
        <v>737</v>
      </c>
      <c r="F134" s="402" t="s">
        <v>2243</v>
      </c>
    </row>
    <row r="135" spans="1:6" ht="18.95" customHeight="1">
      <c r="A135" s="30">
        <f>A134+1</f>
        <v>85</v>
      </c>
      <c r="B135" s="31" t="s">
        <v>1742</v>
      </c>
      <c r="C135" s="38" t="s">
        <v>1743</v>
      </c>
      <c r="D135" s="95">
        <v>0</v>
      </c>
      <c r="E135" s="389" t="s">
        <v>737</v>
      </c>
      <c r="F135" s="402" t="s">
        <v>2243</v>
      </c>
    </row>
    <row r="136" spans="1:6" ht="18.95" customHeight="1">
      <c r="A136" s="30">
        <f t="shared" si="8"/>
        <v>86</v>
      </c>
      <c r="B136" s="31" t="s">
        <v>1744</v>
      </c>
      <c r="C136" s="38" t="s">
        <v>1745</v>
      </c>
      <c r="D136" s="95">
        <v>0</v>
      </c>
      <c r="E136" s="389" t="s">
        <v>737</v>
      </c>
      <c r="F136" s="402" t="s">
        <v>2243</v>
      </c>
    </row>
    <row r="137" spans="1:6" ht="18.95" customHeight="1">
      <c r="A137" s="30"/>
      <c r="B137" s="31"/>
      <c r="C137" s="38"/>
      <c r="D137" s="95"/>
      <c r="E137" s="389"/>
    </row>
    <row r="138" spans="1:6" ht="18.95" customHeight="1">
      <c r="A138" s="30">
        <f>A136+1</f>
        <v>87</v>
      </c>
      <c r="C138" s="412" t="s">
        <v>33</v>
      </c>
      <c r="D138" s="95"/>
      <c r="E138" s="389"/>
    </row>
    <row r="139" spans="1:6" ht="18.95" customHeight="1">
      <c r="A139" s="30">
        <f t="shared" ref="A139:A147" si="9">A138+1</f>
        <v>88</v>
      </c>
      <c r="B139" s="31" t="s">
        <v>1750</v>
      </c>
      <c r="C139" s="38" t="s">
        <v>157</v>
      </c>
      <c r="D139" s="95">
        <f>'JURISSEP B'!G212/'JURISSEP B'!E212</f>
        <v>0.90241299825518873</v>
      </c>
      <c r="E139" s="389" t="s">
        <v>422</v>
      </c>
      <c r="F139" s="402" t="s">
        <v>2246</v>
      </c>
    </row>
    <row r="140" spans="1:6" ht="18.95" customHeight="1">
      <c r="A140" s="30">
        <f t="shared" si="9"/>
        <v>89</v>
      </c>
      <c r="B140" s="31" t="s">
        <v>1751</v>
      </c>
      <c r="C140" s="38" t="s">
        <v>151</v>
      </c>
      <c r="D140" s="95">
        <f>'JURISSEP B'!G213/'JURISSEP B'!E213</f>
        <v>0.90241299825518861</v>
      </c>
      <c r="E140" s="389" t="s">
        <v>422</v>
      </c>
      <c r="F140" s="402" t="s">
        <v>2246</v>
      </c>
    </row>
    <row r="141" spans="1:6" ht="18.95" customHeight="1">
      <c r="A141" s="30">
        <f t="shared" si="9"/>
        <v>90</v>
      </c>
      <c r="B141" s="31" t="s">
        <v>1752</v>
      </c>
      <c r="C141" s="38" t="s">
        <v>159</v>
      </c>
      <c r="D141" s="95">
        <f>'JURISSEP B'!G214/'JURISSEP B'!E214</f>
        <v>0.90241299825518861</v>
      </c>
      <c r="E141" s="389" t="s">
        <v>422</v>
      </c>
      <c r="F141" s="402" t="s">
        <v>2246</v>
      </c>
    </row>
    <row r="142" spans="1:6" ht="18.95" customHeight="1">
      <c r="A142" s="30">
        <f t="shared" si="9"/>
        <v>91</v>
      </c>
      <c r="B142" s="31" t="s">
        <v>1753</v>
      </c>
      <c r="C142" s="38" t="s">
        <v>158</v>
      </c>
      <c r="D142" s="95">
        <f>'JURISSEP B'!G215/'JURISSEP B'!E215</f>
        <v>0.90241299825518861</v>
      </c>
      <c r="E142" s="389" t="s">
        <v>422</v>
      </c>
      <c r="F142" s="402" t="s">
        <v>2246</v>
      </c>
    </row>
    <row r="143" spans="1:6" ht="18.95" customHeight="1">
      <c r="A143" s="30">
        <f t="shared" si="9"/>
        <v>92</v>
      </c>
      <c r="B143" s="31" t="s">
        <v>1754</v>
      </c>
      <c r="C143" s="38" t="s">
        <v>1755</v>
      </c>
      <c r="D143" s="95">
        <f>'JURISSEP B'!G216/'JURISSEP B'!E216</f>
        <v>0.90241299825518861</v>
      </c>
      <c r="E143" s="389" t="s">
        <v>422</v>
      </c>
      <c r="F143" s="402" t="s">
        <v>2246</v>
      </c>
    </row>
    <row r="144" spans="1:6" ht="18.95" customHeight="1">
      <c r="A144" s="30">
        <f t="shared" si="9"/>
        <v>93</v>
      </c>
      <c r="B144" s="31" t="s">
        <v>1756</v>
      </c>
      <c r="C144" s="38" t="s">
        <v>1757</v>
      </c>
      <c r="D144" s="95">
        <f>'JURISSEP B'!G217/'JURISSEP B'!E217</f>
        <v>0.90241299825518861</v>
      </c>
      <c r="E144" s="389" t="s">
        <v>422</v>
      </c>
      <c r="F144" s="402" t="s">
        <v>2246</v>
      </c>
    </row>
    <row r="145" spans="1:6" ht="18.95" customHeight="1">
      <c r="A145" s="30">
        <f t="shared" si="9"/>
        <v>94</v>
      </c>
      <c r="B145" s="31" t="s">
        <v>1758</v>
      </c>
      <c r="C145" s="38" t="s">
        <v>1759</v>
      </c>
      <c r="D145" s="95">
        <f>D139</f>
        <v>0.90241299825518873</v>
      </c>
      <c r="E145" s="389" t="s">
        <v>422</v>
      </c>
      <c r="F145" s="402" t="s">
        <v>2246</v>
      </c>
    </row>
    <row r="146" spans="1:6" ht="18.95" customHeight="1">
      <c r="A146" s="30">
        <f>A145+1</f>
        <v>95</v>
      </c>
      <c r="B146" s="31" t="s">
        <v>1760</v>
      </c>
      <c r="C146" s="38" t="s">
        <v>1761</v>
      </c>
      <c r="D146" s="95">
        <f>'JURISSEP B'!G219/'JURISSEP B'!E219</f>
        <v>0.90241299825518873</v>
      </c>
      <c r="E146" s="389" t="s">
        <v>422</v>
      </c>
      <c r="F146" s="402" t="s">
        <v>2246</v>
      </c>
    </row>
    <row r="147" spans="1:6" ht="18.95" customHeight="1">
      <c r="A147" s="30">
        <f t="shared" si="9"/>
        <v>96</v>
      </c>
      <c r="B147" s="31" t="s">
        <v>1762</v>
      </c>
      <c r="C147" s="38" t="s">
        <v>160</v>
      </c>
      <c r="D147" s="95">
        <f>'JURISSEP B'!G223/'JURISSEP B'!E223</f>
        <v>0.91850908067521464</v>
      </c>
      <c r="E147" s="389" t="s">
        <v>2247</v>
      </c>
      <c r="F147" s="402" t="s">
        <v>2248</v>
      </c>
    </row>
    <row r="148" spans="1:6" ht="18.95" customHeight="1">
      <c r="A148" s="30">
        <f>A147+1</f>
        <v>97</v>
      </c>
      <c r="B148" s="31" t="s">
        <v>1763</v>
      </c>
      <c r="C148" s="38" t="s">
        <v>1764</v>
      </c>
      <c r="D148" s="95">
        <f>D139</f>
        <v>0.90241299825518873</v>
      </c>
      <c r="E148" s="389" t="s">
        <v>422</v>
      </c>
      <c r="F148" s="402" t="s">
        <v>2246</v>
      </c>
    </row>
    <row r="149" spans="1:6" ht="18.95" customHeight="1">
      <c r="A149" s="30"/>
      <c r="B149" s="31"/>
      <c r="C149" s="38"/>
      <c r="D149" s="95"/>
      <c r="E149" s="389"/>
      <c r="F149" s="402"/>
    </row>
    <row r="150" spans="1:6" ht="18.95" customHeight="1">
      <c r="A150" s="30">
        <f>A148+1</f>
        <v>98</v>
      </c>
      <c r="B150" s="31"/>
      <c r="C150" s="407" t="s">
        <v>1206</v>
      </c>
      <c r="D150" s="95"/>
      <c r="E150" s="389"/>
      <c r="F150" s="402"/>
    </row>
    <row r="151" spans="1:6" ht="18.95" customHeight="1">
      <c r="A151" s="30">
        <f>A150+1</f>
        <v>99</v>
      </c>
      <c r="B151" s="31">
        <v>302</v>
      </c>
      <c r="C151" s="38" t="s">
        <v>1676</v>
      </c>
      <c r="D151" s="95">
        <f>'JURISSEP B'!G274/'JURISSEP B'!E274</f>
        <v>1</v>
      </c>
      <c r="E151" s="389" t="s">
        <v>473</v>
      </c>
      <c r="F151" s="402" t="s">
        <v>2249</v>
      </c>
    </row>
    <row r="152" spans="1:6" ht="18.95" customHeight="1">
      <c r="A152" s="30">
        <f t="shared" ref="A152" si="10">A151+1</f>
        <v>100</v>
      </c>
      <c r="B152" s="31">
        <v>303</v>
      </c>
      <c r="C152" s="38" t="s">
        <v>1678</v>
      </c>
      <c r="D152" s="95">
        <f>'JURISSEP B'!G275/'JURISSEP B'!E275</f>
        <v>0.88727847343853139</v>
      </c>
      <c r="E152" s="389" t="s">
        <v>475</v>
      </c>
      <c r="F152" s="402" t="s">
        <v>2250</v>
      </c>
    </row>
    <row r="153" spans="1:6" ht="18.95" customHeight="1">
      <c r="A153" s="30">
        <f>A152+1</f>
        <v>101</v>
      </c>
      <c r="B153" s="410" t="s">
        <v>2256</v>
      </c>
      <c r="C153" s="414" t="s">
        <v>74</v>
      </c>
      <c r="D153" s="95">
        <f>'JURISSEP B'!G$1248</f>
        <v>0.87577725766318837</v>
      </c>
      <c r="E153" s="389" t="s">
        <v>447</v>
      </c>
      <c r="F153" s="402" t="s">
        <v>2257</v>
      </c>
    </row>
    <row r="154" spans="1:6" ht="18.95" customHeight="1">
      <c r="A154" s="30">
        <f>A153+1</f>
        <v>102</v>
      </c>
      <c r="B154" s="410" t="s">
        <v>2259</v>
      </c>
      <c r="C154" s="414" t="s">
        <v>49</v>
      </c>
      <c r="D154" s="95">
        <f>'JURISSEP B'!G1249</f>
        <v>0.87577725766318837</v>
      </c>
      <c r="E154" s="389" t="s">
        <v>452</v>
      </c>
      <c r="F154" s="402" t="s">
        <v>2260</v>
      </c>
    </row>
    <row r="155" spans="1:6" ht="18.95" customHeight="1">
      <c r="A155" s="30">
        <f>A154+1</f>
        <v>103</v>
      </c>
      <c r="B155" s="410" t="s">
        <v>2262</v>
      </c>
      <c r="C155" s="414" t="s">
        <v>63</v>
      </c>
      <c r="D155" s="95">
        <f>'JURISSEP B'!G1250</f>
        <v>0.87577725766318837</v>
      </c>
      <c r="E155" s="389" t="s">
        <v>455</v>
      </c>
      <c r="F155" s="402" t="s">
        <v>2261</v>
      </c>
    </row>
    <row r="156" spans="1:6" ht="18.95" customHeight="1">
      <c r="A156" s="30">
        <f t="shared" ref="A156:A159" si="11">A155+1</f>
        <v>104</v>
      </c>
      <c r="B156" s="410" t="s">
        <v>2265</v>
      </c>
      <c r="C156" s="414" t="s">
        <v>2263</v>
      </c>
      <c r="D156" s="95">
        <f>'JURISSEP B'!G1251</f>
        <v>0.95064033419138572</v>
      </c>
      <c r="E156" s="389" t="s">
        <v>1011</v>
      </c>
      <c r="F156" s="402" t="s">
        <v>2267</v>
      </c>
    </row>
    <row r="157" spans="1:6" ht="18.95" customHeight="1">
      <c r="A157" s="30">
        <f t="shared" si="11"/>
        <v>105</v>
      </c>
      <c r="B157" s="410" t="s">
        <v>2266</v>
      </c>
      <c r="C157" s="414" t="s">
        <v>2264</v>
      </c>
      <c r="D157" s="95">
        <f>'JURISSEP B'!G1271</f>
        <v>0.13101650606866291</v>
      </c>
      <c r="E157" s="389" t="s">
        <v>462</v>
      </c>
      <c r="F157" s="402" t="s">
        <v>2285</v>
      </c>
    </row>
    <row r="158" spans="1:6" ht="18.95" customHeight="1">
      <c r="A158" s="30">
        <f t="shared" si="11"/>
        <v>106</v>
      </c>
      <c r="B158" s="410" t="s">
        <v>2271</v>
      </c>
      <c r="C158" s="414" t="s">
        <v>2269</v>
      </c>
      <c r="D158" s="95">
        <f>'JURISSEP B'!G269/'JURISSEP B'!E269</f>
        <v>0.99705743251608525</v>
      </c>
      <c r="E158" s="389" t="s">
        <v>2272</v>
      </c>
      <c r="F158" s="402" t="s">
        <v>2273</v>
      </c>
    </row>
    <row r="159" spans="1:6" ht="18.95" customHeight="1">
      <c r="A159" s="30">
        <f t="shared" si="11"/>
        <v>107</v>
      </c>
      <c r="B159" s="410" t="s">
        <v>2270</v>
      </c>
      <c r="C159" s="414" t="s">
        <v>2268</v>
      </c>
      <c r="D159" s="95">
        <v>0</v>
      </c>
      <c r="E159" s="389" t="s">
        <v>467</v>
      </c>
      <c r="F159" s="402" t="s">
        <v>2274</v>
      </c>
    </row>
    <row r="160" spans="1:6" ht="18.95" customHeight="1">
      <c r="A160" s="30">
        <f>A159+1</f>
        <v>108</v>
      </c>
      <c r="B160" s="410" t="s">
        <v>2275</v>
      </c>
      <c r="C160" s="414" t="s">
        <v>2276</v>
      </c>
      <c r="D160" s="95">
        <f>'JURISSEP B'!G272/'JURISSEP B'!E272</f>
        <v>0.90713801513087144</v>
      </c>
      <c r="E160" s="389" t="s">
        <v>471</v>
      </c>
      <c r="F160" s="402" t="s">
        <v>2277</v>
      </c>
    </row>
    <row r="161" spans="1:6" ht="18.95" customHeight="1">
      <c r="A161" s="30">
        <f>A160+1</f>
        <v>109</v>
      </c>
      <c r="B161" s="410" t="s">
        <v>2258</v>
      </c>
      <c r="C161" s="38" t="s">
        <v>2229</v>
      </c>
      <c r="D161" s="95">
        <v>0</v>
      </c>
      <c r="E161" s="389" t="s">
        <v>315</v>
      </c>
      <c r="F161" s="402" t="s">
        <v>2232</v>
      </c>
    </row>
    <row r="162" spans="1:6" ht="18.95" customHeight="1">
      <c r="A162" s="30"/>
      <c r="B162" s="410"/>
      <c r="C162" s="414"/>
      <c r="D162" s="95"/>
      <c r="E162" s="389"/>
      <c r="F162" s="402"/>
    </row>
    <row r="163" spans="1:6" ht="18.95" customHeight="1">
      <c r="A163" s="30">
        <f>A161+1</f>
        <v>110</v>
      </c>
      <c r="B163" s="410"/>
      <c r="C163" s="407" t="s">
        <v>479</v>
      </c>
      <c r="D163" s="95"/>
      <c r="E163" s="389"/>
      <c r="F163" s="402"/>
    </row>
    <row r="164" spans="1:6" ht="18.95" customHeight="1">
      <c r="A164" s="30">
        <f>A163+1</f>
        <v>111</v>
      </c>
      <c r="B164" s="410" t="s">
        <v>2282</v>
      </c>
      <c r="C164" s="38" t="s">
        <v>2278</v>
      </c>
      <c r="D164" s="95">
        <f>'JURISSEP B'!G1259</f>
        <v>0.87577725766318837</v>
      </c>
      <c r="E164" s="389" t="s">
        <v>481</v>
      </c>
      <c r="F164" s="402" t="s">
        <v>2280</v>
      </c>
    </row>
    <row r="165" spans="1:6" ht="18.95" customHeight="1">
      <c r="A165" s="30">
        <f t="shared" ref="A165:A170" si="12">A164+1</f>
        <v>112</v>
      </c>
      <c r="B165" s="410" t="s">
        <v>2265</v>
      </c>
      <c r="C165" s="414" t="s">
        <v>2263</v>
      </c>
      <c r="D165" s="95">
        <f>'JURISSEP B'!G$1343</f>
        <v>0.95465884083569341</v>
      </c>
      <c r="E165" s="389" t="s">
        <v>1011</v>
      </c>
      <c r="F165" s="402" t="s">
        <v>2267</v>
      </c>
    </row>
    <row r="166" spans="1:6" ht="18.95" customHeight="1">
      <c r="A166" s="30">
        <f t="shared" si="12"/>
        <v>113</v>
      </c>
      <c r="B166" s="410" t="s">
        <v>2266</v>
      </c>
      <c r="C166" s="414" t="s">
        <v>2264</v>
      </c>
      <c r="D166" s="95">
        <v>0</v>
      </c>
      <c r="E166" s="389" t="s">
        <v>487</v>
      </c>
      <c r="F166" s="402" t="s">
        <v>2284</v>
      </c>
    </row>
    <row r="167" spans="1:6" ht="18.95" customHeight="1">
      <c r="A167" s="30">
        <f t="shared" si="12"/>
        <v>114</v>
      </c>
      <c r="B167" s="410" t="s">
        <v>2271</v>
      </c>
      <c r="C167" s="414" t="s">
        <v>2269</v>
      </c>
      <c r="D167" s="95">
        <f>'JURISSEP B'!G1274</f>
        <v>1</v>
      </c>
      <c r="E167" s="389" t="s">
        <v>492</v>
      </c>
      <c r="F167" s="402" t="s">
        <v>2283</v>
      </c>
    </row>
    <row r="168" spans="1:6" ht="18.95" customHeight="1">
      <c r="A168" s="30">
        <f t="shared" si="12"/>
        <v>115</v>
      </c>
      <c r="B168" s="410" t="s">
        <v>2270</v>
      </c>
      <c r="C168" s="414" t="s">
        <v>2268</v>
      </c>
      <c r="D168" s="95">
        <v>0</v>
      </c>
      <c r="E168" s="389" t="s">
        <v>490</v>
      </c>
      <c r="F168" s="402" t="s">
        <v>2281</v>
      </c>
    </row>
    <row r="169" spans="1:6" ht="18.95" customHeight="1">
      <c r="A169" s="30">
        <f t="shared" si="12"/>
        <v>116</v>
      </c>
      <c r="B169" s="410" t="s">
        <v>2275</v>
      </c>
      <c r="C169" s="414" t="s">
        <v>2276</v>
      </c>
      <c r="D169" s="95">
        <f>'JURISSEP B'!G1256</f>
        <v>0.90713801513087144</v>
      </c>
      <c r="E169" s="389" t="s">
        <v>471</v>
      </c>
      <c r="F169" s="402" t="s">
        <v>2277</v>
      </c>
    </row>
    <row r="170" spans="1:6" ht="18.95" customHeight="1">
      <c r="A170" s="30">
        <f t="shared" si="12"/>
        <v>117</v>
      </c>
      <c r="B170" s="31" t="s">
        <v>2258</v>
      </c>
      <c r="C170" s="38" t="s">
        <v>2229</v>
      </c>
      <c r="D170" s="95">
        <v>0</v>
      </c>
      <c r="E170" s="389" t="s">
        <v>315</v>
      </c>
      <c r="F170" s="402" t="s">
        <v>2232</v>
      </c>
    </row>
    <row r="171" spans="1:6" ht="18.95" customHeight="1">
      <c r="A171" s="30"/>
      <c r="B171" s="31"/>
      <c r="C171" s="38"/>
      <c r="D171" s="95"/>
      <c r="E171" s="389"/>
      <c r="F171" s="402"/>
    </row>
    <row r="172" spans="1:6" ht="18.95" customHeight="1">
      <c r="A172" s="30">
        <f>A170+1</f>
        <v>118</v>
      </c>
      <c r="B172" s="31"/>
      <c r="C172" s="407" t="s">
        <v>495</v>
      </c>
      <c r="D172" s="95"/>
      <c r="E172" s="389"/>
      <c r="F172" s="402"/>
    </row>
    <row r="173" spans="1:6" ht="18.95" customHeight="1">
      <c r="A173" s="30">
        <f>A172+1</f>
        <v>119</v>
      </c>
      <c r="B173" s="31">
        <v>151</v>
      </c>
      <c r="C173" s="38" t="s">
        <v>2286</v>
      </c>
      <c r="D173" s="95">
        <f>'JURISSEP B'!G1209</f>
        <v>0.87938242823882584</v>
      </c>
      <c r="E173" s="389" t="s">
        <v>498</v>
      </c>
      <c r="F173" s="402" t="s">
        <v>2287</v>
      </c>
    </row>
    <row r="174" spans="1:6" ht="18.95" customHeight="1">
      <c r="A174" s="30">
        <f t="shared" ref="A174:A177" si="13">A173+1</f>
        <v>120</v>
      </c>
      <c r="B174" s="31">
        <v>154</v>
      </c>
      <c r="C174" s="38" t="s">
        <v>2288</v>
      </c>
      <c r="D174" s="95">
        <f>'JURISSEP B'!G$1263</f>
        <v>0.88464793156269761</v>
      </c>
      <c r="E174" s="389" t="s">
        <v>2289</v>
      </c>
      <c r="F174" s="402" t="s">
        <v>2290</v>
      </c>
    </row>
    <row r="175" spans="1:6" ht="18.95" customHeight="1">
      <c r="A175" s="30">
        <f t="shared" si="13"/>
        <v>121</v>
      </c>
      <c r="B175" s="31">
        <v>158</v>
      </c>
      <c r="C175" s="38" t="s">
        <v>2291</v>
      </c>
      <c r="D175" s="95">
        <f t="shared" ref="D175" si="14">D$19</f>
        <v>0.87577725766318848</v>
      </c>
      <c r="E175" s="389" t="s">
        <v>307</v>
      </c>
      <c r="F175" s="402" t="s">
        <v>2234</v>
      </c>
    </row>
    <row r="176" spans="1:6" ht="18.95" customHeight="1">
      <c r="A176" s="30">
        <f t="shared" si="13"/>
        <v>122</v>
      </c>
      <c r="B176" s="31">
        <v>163</v>
      </c>
      <c r="C176" s="38" t="s">
        <v>2292</v>
      </c>
      <c r="D176" s="95">
        <f>'JURISSEP B'!G$1263</f>
        <v>0.88464793156269761</v>
      </c>
      <c r="E176" s="389" t="s">
        <v>2293</v>
      </c>
      <c r="F176" s="402" t="s">
        <v>2294</v>
      </c>
    </row>
    <row r="177" spans="1:6" ht="18.95" customHeight="1">
      <c r="A177" s="30">
        <f t="shared" si="13"/>
        <v>123</v>
      </c>
      <c r="B177" s="31">
        <v>165</v>
      </c>
      <c r="C177" s="38" t="s">
        <v>1570</v>
      </c>
      <c r="D177" s="95">
        <f>'JURISSEP B'!G1264</f>
        <v>0.89353190455540554</v>
      </c>
      <c r="E177" s="389" t="s">
        <v>2295</v>
      </c>
      <c r="F177" s="402" t="s">
        <v>2296</v>
      </c>
    </row>
    <row r="178" spans="1:6" ht="18.95" customHeight="1">
      <c r="A178" s="30"/>
      <c r="B178" s="31"/>
      <c r="C178" s="38"/>
      <c r="D178" s="95"/>
      <c r="E178" s="389"/>
      <c r="F178" s="402"/>
    </row>
    <row r="179" spans="1:6" ht="36.75" customHeight="1">
      <c r="A179" s="30">
        <f>A177+1</f>
        <v>124</v>
      </c>
      <c r="B179" s="31"/>
      <c r="C179" s="407" t="s">
        <v>2486</v>
      </c>
      <c r="D179" s="95"/>
      <c r="E179" s="389"/>
      <c r="F179" s="402"/>
    </row>
    <row r="180" spans="1:6" ht="18.95" customHeight="1">
      <c r="A180" s="30">
        <f>A179+1</f>
        <v>125</v>
      </c>
      <c r="B180" s="30" t="s">
        <v>1498</v>
      </c>
      <c r="C180" s="38" t="s">
        <v>2278</v>
      </c>
      <c r="D180" s="95">
        <f>D164</f>
        <v>0.87577725766318837</v>
      </c>
      <c r="E180" s="389" t="s">
        <v>481</v>
      </c>
      <c r="F180" s="402" t="s">
        <v>2280</v>
      </c>
    </row>
    <row r="181" spans="1:6" ht="18.95" customHeight="1">
      <c r="A181" s="30">
        <f t="shared" ref="A181:A197" si="15">A180+1</f>
        <v>126</v>
      </c>
      <c r="B181" s="30" t="s">
        <v>1498</v>
      </c>
      <c r="C181" s="414" t="s">
        <v>2263</v>
      </c>
      <c r="D181" s="95">
        <f>D165</f>
        <v>0.95465884083569341</v>
      </c>
      <c r="E181" s="389" t="s">
        <v>1011</v>
      </c>
      <c r="F181" s="402" t="s">
        <v>2267</v>
      </c>
    </row>
    <row r="182" spans="1:6" ht="18.95" customHeight="1">
      <c r="A182" s="30">
        <f t="shared" si="15"/>
        <v>127</v>
      </c>
      <c r="B182" s="30" t="s">
        <v>1498</v>
      </c>
      <c r="C182" s="414" t="s">
        <v>2264</v>
      </c>
      <c r="D182" s="95">
        <v>0</v>
      </c>
      <c r="E182" s="389" t="s">
        <v>487</v>
      </c>
      <c r="F182" s="402" t="s">
        <v>2284</v>
      </c>
    </row>
    <row r="183" spans="1:6" s="28" customFormat="1" ht="20.100000000000001" customHeight="1">
      <c r="A183" s="706" t="str">
        <f>A$1</f>
        <v>KENTUCKY UTILITIES COMPANY</v>
      </c>
      <c r="B183" s="706"/>
      <c r="C183" s="706"/>
      <c r="D183" s="706"/>
      <c r="E183" s="706"/>
      <c r="F183" s="706"/>
    </row>
    <row r="184" spans="1:6" s="28" customFormat="1" ht="20.100000000000001" customHeight="1">
      <c r="A184" s="706" t="str">
        <f>A$2</f>
        <v>CASE NO. 2016-00370</v>
      </c>
      <c r="B184" s="706"/>
      <c r="C184" s="706"/>
      <c r="D184" s="706"/>
      <c r="E184" s="706"/>
      <c r="F184" s="706"/>
    </row>
    <row r="185" spans="1:6" s="28" customFormat="1" ht="20.100000000000001" customHeight="1">
      <c r="A185" s="706" t="s">
        <v>1502</v>
      </c>
      <c r="B185" s="706"/>
      <c r="C185" s="706"/>
      <c r="D185" s="706"/>
      <c r="E185" s="706"/>
      <c r="F185" s="706"/>
    </row>
    <row r="186" spans="1:6" s="28" customFormat="1" ht="20.100000000000001" customHeight="1">
      <c r="A186" s="705" t="str">
        <f>A$4</f>
        <v>BASE YEAR FOR THE 12 MONTHS ENDED FEBRUARY 28, 2017</v>
      </c>
      <c r="B186" s="706"/>
      <c r="C186" s="706"/>
      <c r="D186" s="706"/>
      <c r="E186" s="706"/>
      <c r="F186" s="706"/>
    </row>
    <row r="187" spans="1:6" s="28" customFormat="1" ht="20.100000000000001" customHeight="1">
      <c r="A187" s="405"/>
      <c r="B187" s="405"/>
      <c r="C187" s="405"/>
      <c r="D187" s="405"/>
      <c r="E187" s="405"/>
      <c r="F187" s="405"/>
    </row>
    <row r="188" spans="1:6" s="28" customFormat="1" ht="20.100000000000001" customHeight="1">
      <c r="A188" s="27" t="str">
        <f>A$6</f>
        <v>DATA:__X__BASE  PERIOD____FORECASTED  PERIOD</v>
      </c>
      <c r="B188" s="27"/>
      <c r="E188" s="406"/>
      <c r="F188" s="34" t="s">
        <v>1501</v>
      </c>
    </row>
    <row r="189" spans="1:6" s="28" customFormat="1" ht="20.100000000000001" customHeight="1">
      <c r="A189" s="27" t="str">
        <f>A$7</f>
        <v>TYPE OF FILING: __X__ ORIGINAL  _____ UPDATED  _____ REVISED</v>
      </c>
      <c r="E189" s="406"/>
      <c r="F189" s="34" t="s">
        <v>2304</v>
      </c>
    </row>
    <row r="190" spans="1:6" s="28" customFormat="1" ht="20.100000000000001" customHeight="1">
      <c r="A190" s="27" t="str">
        <f>A$8</f>
        <v xml:space="preserve">WORKPAPER REFERENCE NO(S).: </v>
      </c>
      <c r="B190" s="27"/>
      <c r="E190" s="406"/>
      <c r="F190" s="35" t="str">
        <f>F$8</f>
        <v>WITNESS:   C. M. GARRETT</v>
      </c>
    </row>
    <row r="191" spans="1:6" s="28" customFormat="1" ht="20.100000000000001" customHeight="1">
      <c r="E191" s="406"/>
    </row>
    <row r="192" spans="1:6" ht="58.5" customHeight="1">
      <c r="A192" s="36" t="s">
        <v>134</v>
      </c>
      <c r="B192" s="36" t="s">
        <v>137</v>
      </c>
      <c r="C192" s="39" t="s">
        <v>2228</v>
      </c>
      <c r="D192" s="36" t="s">
        <v>227</v>
      </c>
      <c r="E192" s="36" t="s">
        <v>2230</v>
      </c>
      <c r="F192" s="36" t="s">
        <v>1500</v>
      </c>
    </row>
    <row r="193" spans="1:6" ht="23.1" customHeight="1">
      <c r="A193" s="40"/>
      <c r="B193" s="40"/>
      <c r="C193" s="41"/>
      <c r="D193" s="42"/>
      <c r="E193" s="42"/>
      <c r="F193" s="42"/>
    </row>
    <row r="194" spans="1:6" ht="18.95" customHeight="1">
      <c r="A194" s="30">
        <f>A182+1</f>
        <v>128</v>
      </c>
      <c r="B194" s="30" t="s">
        <v>1498</v>
      </c>
      <c r="C194" s="414" t="s">
        <v>2298</v>
      </c>
      <c r="D194" s="95">
        <f>D167</f>
        <v>1</v>
      </c>
      <c r="E194" s="389" t="s">
        <v>492</v>
      </c>
      <c r="F194" s="402" t="s">
        <v>2283</v>
      </c>
    </row>
    <row r="195" spans="1:6" ht="18.95" customHeight="1">
      <c r="A195" s="30">
        <f t="shared" si="15"/>
        <v>129</v>
      </c>
      <c r="B195" s="30" t="s">
        <v>1498</v>
      </c>
      <c r="C195" s="414" t="s">
        <v>2297</v>
      </c>
      <c r="D195" s="95">
        <v>0</v>
      </c>
      <c r="E195" s="389" t="s">
        <v>490</v>
      </c>
      <c r="F195" s="402" t="s">
        <v>2299</v>
      </c>
    </row>
    <row r="196" spans="1:6" ht="18.95" customHeight="1">
      <c r="A196" s="30">
        <f t="shared" si="15"/>
        <v>130</v>
      </c>
      <c r="B196" s="30" t="s">
        <v>1498</v>
      </c>
      <c r="C196" s="414" t="s">
        <v>2276</v>
      </c>
      <c r="D196" s="95">
        <f>D169</f>
        <v>0.90713801513087144</v>
      </c>
      <c r="E196" s="389" t="s">
        <v>471</v>
      </c>
      <c r="F196" s="402" t="s">
        <v>2277</v>
      </c>
    </row>
    <row r="197" spans="1:6" ht="18.95" customHeight="1">
      <c r="A197" s="30">
        <f t="shared" si="15"/>
        <v>131</v>
      </c>
      <c r="B197" s="30" t="s">
        <v>1498</v>
      </c>
      <c r="C197" s="38" t="s">
        <v>2229</v>
      </c>
      <c r="D197" s="95">
        <v>0</v>
      </c>
      <c r="E197" s="389" t="s">
        <v>315</v>
      </c>
      <c r="F197" s="402" t="s">
        <v>2232</v>
      </c>
    </row>
    <row r="198" spans="1:6" ht="18.95" customHeight="1">
      <c r="A198" s="30"/>
      <c r="B198" s="31"/>
      <c r="C198" s="38"/>
      <c r="D198" s="95"/>
      <c r="E198" s="389"/>
      <c r="F198" s="402"/>
    </row>
    <row r="199" spans="1:6" ht="18.95" customHeight="1">
      <c r="A199" s="30">
        <f>A197+1</f>
        <v>132</v>
      </c>
      <c r="B199" s="33">
        <v>252</v>
      </c>
      <c r="C199" s="38" t="s">
        <v>1197</v>
      </c>
      <c r="D199" s="95">
        <f>'JURISSEP B'!G1220</f>
        <v>0.9830612018582785</v>
      </c>
      <c r="E199" s="389" t="s">
        <v>540</v>
      </c>
      <c r="F199" s="402" t="s">
        <v>2300</v>
      </c>
    </row>
    <row r="200" spans="1:6" ht="18.95" customHeight="1">
      <c r="A200" s="30"/>
      <c r="B200" s="31"/>
      <c r="C200" s="38"/>
      <c r="D200" s="95"/>
      <c r="E200" s="389"/>
      <c r="F200" s="402"/>
    </row>
    <row r="201" spans="1:6" ht="18.95" customHeight="1">
      <c r="A201" s="30">
        <f>A199+1</f>
        <v>133</v>
      </c>
      <c r="B201" s="31">
        <v>255</v>
      </c>
      <c r="C201" s="38" t="s">
        <v>1488</v>
      </c>
      <c r="D201" s="95">
        <f>'JURISSEP B'!G1260</f>
        <v>0.87006067220833816</v>
      </c>
      <c r="E201" s="389" t="s">
        <v>501</v>
      </c>
      <c r="F201" s="402" t="s">
        <v>2279</v>
      </c>
    </row>
    <row r="202" spans="1:6" ht="18.95" customHeight="1">
      <c r="A202" s="30"/>
      <c r="B202" s="31"/>
      <c r="C202" s="38"/>
      <c r="D202" s="95"/>
      <c r="E202" s="389"/>
      <c r="F202" s="402"/>
    </row>
    <row r="203" spans="1:6" ht="18.95" customHeight="1">
      <c r="A203" s="30">
        <f>A201+1</f>
        <v>134</v>
      </c>
      <c r="B203" s="30" t="s">
        <v>2481</v>
      </c>
      <c r="C203" s="38" t="s">
        <v>2485</v>
      </c>
      <c r="D203" s="95">
        <f>'JURISSEP B'!G$1248</f>
        <v>0.87577725766318837</v>
      </c>
      <c r="E203" s="389" t="s">
        <v>447</v>
      </c>
      <c r="F203" s="402" t="s">
        <v>2257</v>
      </c>
    </row>
    <row r="204" spans="1:6" ht="18.95" customHeight="1">
      <c r="A204" s="30"/>
      <c r="B204" s="31"/>
      <c r="C204" s="38"/>
      <c r="D204" s="95"/>
      <c r="E204" s="389"/>
      <c r="F204" s="402"/>
    </row>
    <row r="205" spans="1:6" ht="18.95" customHeight="1">
      <c r="A205" s="30"/>
      <c r="B205" s="31"/>
      <c r="C205" s="38"/>
      <c r="D205" s="95"/>
      <c r="E205" s="389"/>
      <c r="F205" s="402"/>
    </row>
    <row r="206" spans="1:6" ht="18.95" customHeight="1">
      <c r="A206" s="30"/>
      <c r="B206" s="31"/>
      <c r="C206" s="38"/>
      <c r="D206" s="95"/>
      <c r="E206" s="389"/>
      <c r="F206" s="402"/>
    </row>
    <row r="207" spans="1:6" ht="18.95" customHeight="1">
      <c r="A207" s="30"/>
      <c r="B207" s="31"/>
      <c r="C207" s="38"/>
      <c r="D207" s="95"/>
      <c r="E207" s="389"/>
      <c r="F207" s="402"/>
    </row>
    <row r="208" spans="1:6" ht="18.95" customHeight="1">
      <c r="A208" s="30"/>
      <c r="B208" s="31"/>
      <c r="C208" s="38"/>
      <c r="D208" s="95"/>
      <c r="E208" s="389"/>
      <c r="F208" s="402"/>
    </row>
    <row r="209" spans="1:6" ht="18.95" customHeight="1">
      <c r="A209" s="30"/>
      <c r="B209" s="31"/>
      <c r="C209" s="38"/>
      <c r="D209" s="95"/>
      <c r="E209" s="389"/>
      <c r="F209" s="402"/>
    </row>
    <row r="210" spans="1:6" ht="18.95" customHeight="1">
      <c r="A210" s="30"/>
      <c r="B210" s="31"/>
      <c r="C210" s="38"/>
      <c r="D210" s="95"/>
      <c r="E210" s="389"/>
      <c r="F210" s="402"/>
    </row>
    <row r="211" spans="1:6" ht="18.95" customHeight="1">
      <c r="A211" s="30"/>
      <c r="B211" s="31"/>
      <c r="C211" s="38"/>
      <c r="D211" s="95"/>
      <c r="E211" s="389"/>
      <c r="F211" s="402"/>
    </row>
    <row r="212" spans="1:6" ht="18.95" customHeight="1">
      <c r="A212" s="30"/>
      <c r="B212" s="31"/>
      <c r="C212" s="38"/>
      <c r="D212" s="95"/>
      <c r="E212" s="389"/>
      <c r="F212" s="402"/>
    </row>
    <row r="213" spans="1:6" ht="18.95" customHeight="1">
      <c r="A213" s="30"/>
      <c r="B213" s="31"/>
      <c r="C213" s="38"/>
      <c r="D213" s="95"/>
      <c r="E213" s="389"/>
      <c r="F213" s="402"/>
    </row>
    <row r="214" spans="1:6" ht="18.95" customHeight="1">
      <c r="A214" s="30"/>
      <c r="B214" s="31"/>
      <c r="C214" s="38"/>
      <c r="D214" s="95"/>
      <c r="E214" s="389"/>
      <c r="F214" s="402"/>
    </row>
    <row r="215" spans="1:6" ht="18.95" customHeight="1">
      <c r="A215" s="30"/>
      <c r="B215" s="31"/>
      <c r="C215" s="38"/>
      <c r="D215" s="95"/>
      <c r="E215" s="389"/>
      <c r="F215" s="402"/>
    </row>
    <row r="216" spans="1:6" ht="18.95" customHeight="1">
      <c r="A216" s="30"/>
      <c r="B216" s="31"/>
      <c r="C216" s="38"/>
      <c r="D216" s="95"/>
      <c r="E216" s="389"/>
      <c r="F216" s="402"/>
    </row>
    <row r="217" spans="1:6" ht="18.95" customHeight="1">
      <c r="A217" s="30"/>
      <c r="B217" s="31"/>
      <c r="C217" s="38"/>
      <c r="D217" s="95"/>
      <c r="E217" s="389"/>
      <c r="F217" s="402"/>
    </row>
    <row r="218" spans="1:6" ht="18.95" customHeight="1">
      <c r="A218" s="30"/>
      <c r="B218" s="31"/>
      <c r="C218" s="38"/>
      <c r="D218" s="95"/>
      <c r="E218" s="389"/>
      <c r="F218" s="402"/>
    </row>
    <row r="219" spans="1:6" ht="18.95" customHeight="1">
      <c r="A219" s="30"/>
      <c r="B219" s="31"/>
      <c r="C219" s="38"/>
      <c r="D219" s="95"/>
      <c r="E219" s="389"/>
      <c r="F219" s="402"/>
    </row>
    <row r="220" spans="1:6" ht="18.95" customHeight="1">
      <c r="A220" s="30"/>
      <c r="B220" s="31"/>
      <c r="C220" s="38"/>
      <c r="D220" s="95"/>
      <c r="E220" s="389"/>
      <c r="F220" s="402"/>
    </row>
    <row r="221" spans="1:6" ht="18.95" customHeight="1">
      <c r="A221" s="30"/>
      <c r="B221" s="31"/>
      <c r="C221" s="38"/>
      <c r="D221" s="95"/>
      <c r="E221" s="389"/>
      <c r="F221" s="402"/>
    </row>
    <row r="222" spans="1:6" ht="18.95" customHeight="1">
      <c r="A222" s="30"/>
      <c r="B222" s="31"/>
      <c r="C222" s="38"/>
      <c r="D222" s="95"/>
      <c r="E222" s="389"/>
      <c r="F222" s="402"/>
    </row>
    <row r="223" spans="1:6" ht="18.95" customHeight="1">
      <c r="A223" s="30"/>
      <c r="B223" s="31"/>
      <c r="C223" s="38"/>
      <c r="D223" s="95"/>
      <c r="E223" s="389"/>
      <c r="F223" s="402"/>
    </row>
    <row r="224" spans="1:6" ht="18.95" customHeight="1">
      <c r="A224" s="30"/>
      <c r="B224" s="31"/>
      <c r="C224" s="38"/>
      <c r="D224" s="95"/>
      <c r="E224" s="389"/>
      <c r="F224" s="402"/>
    </row>
    <row r="225" spans="1:6" ht="18.95" customHeight="1">
      <c r="A225" s="30"/>
      <c r="B225" s="31"/>
      <c r="C225" s="38"/>
      <c r="D225" s="95"/>
      <c r="E225" s="389"/>
      <c r="F225" s="402"/>
    </row>
    <row r="226" spans="1:6" ht="18.95" customHeight="1">
      <c r="A226" s="30"/>
      <c r="B226" s="31"/>
      <c r="C226" s="38"/>
      <c r="D226" s="95"/>
      <c r="E226" s="389"/>
      <c r="F226" s="402"/>
    </row>
    <row r="227" spans="1:6" ht="18.95" customHeight="1">
      <c r="A227" s="30"/>
      <c r="B227" s="31"/>
      <c r="C227" s="38"/>
      <c r="D227" s="95"/>
      <c r="E227" s="389"/>
      <c r="F227" s="402"/>
    </row>
    <row r="228" spans="1:6" ht="18.95" customHeight="1">
      <c r="A228" s="30"/>
      <c r="B228" s="31"/>
      <c r="C228" s="38"/>
      <c r="D228" s="95"/>
      <c r="E228" s="389"/>
      <c r="F228" s="402"/>
    </row>
    <row r="229" spans="1:6" ht="18.95" customHeight="1">
      <c r="A229" s="30"/>
      <c r="B229" s="31"/>
      <c r="C229" s="38"/>
      <c r="D229" s="95"/>
      <c r="E229" s="389"/>
      <c r="F229" s="402"/>
    </row>
    <row r="230" spans="1:6" ht="18.95" customHeight="1">
      <c r="A230" s="30"/>
      <c r="B230" s="31"/>
      <c r="C230" s="38"/>
      <c r="D230" s="95"/>
      <c r="E230" s="389"/>
      <c r="F230" s="402"/>
    </row>
    <row r="231" spans="1:6" ht="18.95" customHeight="1">
      <c r="A231" s="30"/>
      <c r="B231" s="31"/>
      <c r="C231" s="38"/>
      <c r="D231" s="95"/>
      <c r="E231" s="389"/>
      <c r="F231" s="402"/>
    </row>
    <row r="232" spans="1:6" ht="18.95" customHeight="1">
      <c r="A232" s="30"/>
      <c r="B232" s="31"/>
      <c r="C232" s="38"/>
      <c r="D232" s="95"/>
      <c r="E232" s="389"/>
      <c r="F232" s="402"/>
    </row>
    <row r="233" spans="1:6" ht="18.95" customHeight="1">
      <c r="A233" s="30"/>
      <c r="B233" s="31"/>
      <c r="C233" s="38"/>
      <c r="D233" s="95"/>
      <c r="E233" s="389"/>
      <c r="F233" s="402"/>
    </row>
    <row r="234" spans="1:6" ht="18.95" customHeight="1">
      <c r="A234" s="30"/>
      <c r="B234" s="31"/>
      <c r="C234" s="38"/>
      <c r="D234" s="95"/>
      <c r="E234" s="389"/>
      <c r="F234" s="402"/>
    </row>
    <row r="235" spans="1:6" ht="18.95" customHeight="1">
      <c r="A235" s="30"/>
      <c r="B235" s="31"/>
      <c r="C235" s="38"/>
      <c r="D235" s="95"/>
      <c r="E235" s="389"/>
      <c r="F235" s="402"/>
    </row>
    <row r="236" spans="1:6" ht="18.95" customHeight="1">
      <c r="A236" s="30"/>
      <c r="B236" s="31"/>
      <c r="C236" s="38"/>
      <c r="D236" s="95"/>
      <c r="E236" s="389"/>
      <c r="F236" s="402"/>
    </row>
    <row r="237" spans="1:6" ht="18.95" customHeight="1">
      <c r="A237" s="30"/>
      <c r="B237" s="31"/>
      <c r="C237" s="38"/>
      <c r="D237" s="95"/>
      <c r="E237" s="389"/>
      <c r="F237" s="402"/>
    </row>
    <row r="238" spans="1:6" ht="18.95" customHeight="1">
      <c r="A238" s="30"/>
      <c r="B238" s="31"/>
      <c r="C238" s="38"/>
      <c r="D238" s="95"/>
      <c r="E238" s="389"/>
      <c r="F238" s="402"/>
    </row>
    <row r="239" spans="1:6" ht="18.95" customHeight="1">
      <c r="A239" s="30"/>
      <c r="B239" s="31"/>
      <c r="C239" s="38"/>
      <c r="D239" s="95"/>
      <c r="E239" s="389"/>
      <c r="F239" s="402"/>
    </row>
    <row r="240" spans="1:6" ht="18.95" customHeight="1">
      <c r="A240" s="30"/>
      <c r="B240" s="31"/>
      <c r="C240" s="38"/>
      <c r="D240" s="95"/>
      <c r="E240" s="389"/>
      <c r="F240" s="402"/>
    </row>
    <row r="241" spans="1:6" ht="18.95" customHeight="1">
      <c r="A241" s="30"/>
      <c r="B241" s="31"/>
      <c r="C241" s="38"/>
      <c r="D241" s="95"/>
      <c r="E241" s="389"/>
      <c r="F241" s="402"/>
    </row>
    <row r="242" spans="1:6" ht="18.95" customHeight="1">
      <c r="A242" s="30"/>
      <c r="B242" s="31"/>
      <c r="C242" s="38"/>
      <c r="D242" s="95"/>
      <c r="E242" s="389"/>
      <c r="F242" s="402"/>
    </row>
    <row r="243" spans="1:6" ht="18.95" customHeight="1">
      <c r="A243" s="30"/>
      <c r="B243" s="31"/>
      <c r="C243" s="38"/>
      <c r="D243" s="95"/>
      <c r="E243" s="389"/>
      <c r="F243" s="402"/>
    </row>
    <row r="244" spans="1:6" ht="18.95" customHeight="1">
      <c r="A244" s="30"/>
      <c r="B244" s="31"/>
      <c r="C244" s="38"/>
      <c r="D244" s="95"/>
      <c r="E244" s="389"/>
      <c r="F244" s="402"/>
    </row>
    <row r="245" spans="1:6" ht="18.95" customHeight="1">
      <c r="A245" s="30"/>
      <c r="B245" s="31"/>
      <c r="C245" s="38"/>
      <c r="D245" s="95"/>
      <c r="E245" s="389"/>
      <c r="F245" s="402"/>
    </row>
    <row r="246" spans="1:6" ht="18.95" customHeight="1">
      <c r="A246" s="30"/>
      <c r="B246" s="31"/>
      <c r="C246" s="38"/>
      <c r="D246" s="95"/>
      <c r="E246" s="389"/>
      <c r="F246" s="402"/>
    </row>
    <row r="247" spans="1:6" ht="18.95" customHeight="1">
      <c r="A247" s="30"/>
      <c r="B247" s="31"/>
      <c r="C247" s="38"/>
      <c r="D247" s="95"/>
      <c r="E247" s="389"/>
      <c r="F247" s="402"/>
    </row>
    <row r="248" spans="1:6" ht="18.95" customHeight="1">
      <c r="A248" s="30"/>
      <c r="B248" s="31"/>
      <c r="C248" s="38"/>
      <c r="D248" s="95"/>
      <c r="E248" s="389"/>
      <c r="F248" s="402"/>
    </row>
    <row r="249" spans="1:6" ht="18.95" customHeight="1">
      <c r="A249" s="30"/>
      <c r="B249" s="31"/>
      <c r="C249" s="38"/>
      <c r="D249" s="95"/>
      <c r="E249" s="389"/>
      <c r="F249" s="402"/>
    </row>
    <row r="250" spans="1:6" ht="18.95" customHeight="1">
      <c r="A250" s="30"/>
      <c r="B250" s="31"/>
      <c r="C250" s="38"/>
      <c r="D250" s="95"/>
      <c r="E250" s="389"/>
      <c r="F250" s="402"/>
    </row>
    <row r="251" spans="1:6" ht="18.95" customHeight="1">
      <c r="A251" s="30"/>
      <c r="B251" s="31"/>
      <c r="C251" s="38"/>
      <c r="D251" s="95"/>
      <c r="E251" s="389"/>
      <c r="F251" s="402"/>
    </row>
    <row r="252" spans="1:6" ht="18.95" customHeight="1">
      <c r="A252" s="30"/>
      <c r="B252" s="31"/>
      <c r="C252" s="38"/>
      <c r="D252" s="95"/>
      <c r="E252" s="389"/>
      <c r="F252" s="402"/>
    </row>
    <row r="253" spans="1:6" ht="18.95" customHeight="1">
      <c r="A253" s="30"/>
      <c r="B253" s="31"/>
      <c r="C253" s="38"/>
      <c r="D253" s="95"/>
      <c r="E253" s="389"/>
      <c r="F253" s="402"/>
    </row>
    <row r="254" spans="1:6" ht="18.95" customHeight="1">
      <c r="A254" s="30"/>
      <c r="B254" s="31"/>
      <c r="C254" s="38"/>
      <c r="D254" s="95"/>
      <c r="E254" s="389"/>
      <c r="F254" s="402"/>
    </row>
    <row r="255" spans="1:6" ht="18.95" customHeight="1">
      <c r="A255" s="30"/>
      <c r="B255" s="31"/>
      <c r="C255" s="38"/>
      <c r="D255" s="95"/>
      <c r="E255" s="389"/>
      <c r="F255" s="402"/>
    </row>
    <row r="256" spans="1:6" ht="18.95" customHeight="1">
      <c r="A256" s="30"/>
      <c r="B256" s="31"/>
      <c r="C256" s="38"/>
      <c r="D256" s="95"/>
      <c r="E256" s="389"/>
      <c r="F256" s="402"/>
    </row>
    <row r="257" spans="1:6" ht="18.95" customHeight="1">
      <c r="A257" s="30"/>
      <c r="B257" s="31"/>
      <c r="C257" s="38"/>
      <c r="D257" s="95"/>
      <c r="E257" s="389"/>
      <c r="F257" s="402"/>
    </row>
    <row r="258" spans="1:6" ht="18.95" customHeight="1">
      <c r="A258" s="30"/>
      <c r="B258" s="31"/>
      <c r="C258" s="38"/>
      <c r="D258" s="95"/>
      <c r="E258" s="389"/>
      <c r="F258" s="402"/>
    </row>
    <row r="259" spans="1:6" ht="18.95" customHeight="1">
      <c r="A259" s="30"/>
      <c r="B259" s="31"/>
      <c r="C259" s="38"/>
      <c r="D259" s="95"/>
      <c r="E259" s="389"/>
      <c r="F259" s="402"/>
    </row>
    <row r="260" spans="1:6" ht="18.95" customHeight="1">
      <c r="A260" s="30"/>
      <c r="B260" s="31"/>
      <c r="C260" s="38"/>
      <c r="D260" s="95"/>
      <c r="E260" s="389"/>
      <c r="F260" s="402"/>
    </row>
    <row r="261" spans="1:6" ht="18.95" customHeight="1">
      <c r="A261" s="30"/>
      <c r="B261" s="31"/>
      <c r="C261" s="38"/>
      <c r="D261" s="95"/>
      <c r="E261" s="389"/>
      <c r="F261" s="402"/>
    </row>
    <row r="262" spans="1:6">
      <c r="D262" s="95"/>
    </row>
    <row r="263" spans="1:6">
      <c r="D263" s="95"/>
    </row>
  </sheetData>
  <mergeCells count="16">
    <mergeCell ref="A124:F124"/>
    <mergeCell ref="A1:F1"/>
    <mergeCell ref="A2:F2"/>
    <mergeCell ref="A3:F3"/>
    <mergeCell ref="A4:F4"/>
    <mergeCell ref="A61:F61"/>
    <mergeCell ref="A62:F62"/>
    <mergeCell ref="A63:F63"/>
    <mergeCell ref="A64:F64"/>
    <mergeCell ref="A122:F122"/>
    <mergeCell ref="A123:F123"/>
    <mergeCell ref="A125:F125"/>
    <mergeCell ref="A183:F183"/>
    <mergeCell ref="A184:F184"/>
    <mergeCell ref="A185:F185"/>
    <mergeCell ref="A186:F186"/>
  </mergeCells>
  <pageMargins left="0.95" right="0.5" top="0.75" bottom="0.75" header="0.3" footer="0.3"/>
  <pageSetup scale="50" fitToHeight="0" orientation="portrait" r:id="rId1"/>
  <rowBreaks count="3" manualBreakCount="3">
    <brk id="60" max="5" man="1"/>
    <brk id="121" max="5" man="1"/>
    <brk id="182" max="5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F261"/>
  <sheetViews>
    <sheetView zoomScaleNormal="100" workbookViewId="0">
      <selection activeCell="A4" sqref="A4:F4"/>
    </sheetView>
  </sheetViews>
  <sheetFormatPr defaultColWidth="9" defaultRowHeight="12.75"/>
  <cols>
    <col min="1" max="1" width="6" style="29" customWidth="1"/>
    <col min="2" max="2" width="16.21875" style="29" customWidth="1"/>
    <col min="3" max="3" width="42.44140625" style="29" customWidth="1"/>
    <col min="4" max="4" width="13.6640625" style="29" customWidth="1"/>
    <col min="5" max="5" width="18.21875" style="404" customWidth="1"/>
    <col min="6" max="6" width="69.77734375" style="29" customWidth="1"/>
    <col min="7" max="7" width="1.6640625" style="29" customWidth="1"/>
    <col min="8" max="16384" width="9" style="29"/>
  </cols>
  <sheetData>
    <row r="1" spans="1:6" s="28" customFormat="1" ht="20.100000000000001" customHeight="1">
      <c r="A1" s="706" t="str">
        <f>'Rate Case Constants'!C9</f>
        <v>KENTUCKY UTILITIES COMPANY</v>
      </c>
      <c r="B1" s="706"/>
      <c r="C1" s="706"/>
      <c r="D1" s="706"/>
      <c r="E1" s="706"/>
      <c r="F1" s="706"/>
    </row>
    <row r="2" spans="1:6" s="28" customFormat="1" ht="20.100000000000001" customHeight="1">
      <c r="A2" s="706" t="str">
        <f>'Rate Case Constants'!C10</f>
        <v>CASE NO. 2016-00370</v>
      </c>
      <c r="B2" s="706"/>
      <c r="C2" s="706"/>
      <c r="D2" s="706"/>
      <c r="E2" s="706"/>
      <c r="F2" s="706"/>
    </row>
    <row r="3" spans="1:6" s="28" customFormat="1" ht="20.100000000000001" customHeight="1">
      <c r="A3" s="706" t="s">
        <v>1502</v>
      </c>
      <c r="B3" s="706"/>
      <c r="C3" s="706"/>
      <c r="D3" s="706"/>
      <c r="E3" s="706"/>
      <c r="F3" s="706"/>
    </row>
    <row r="4" spans="1:6" s="28" customFormat="1" ht="20.100000000000001" customHeight="1">
      <c r="A4" s="705" t="str">
        <f>'Rate Case Constants'!C21</f>
        <v>FORECAST PERIOD FOR THE 12 MONTHS ENDED JUNE 30, 2018</v>
      </c>
      <c r="B4" s="705"/>
      <c r="C4" s="705"/>
      <c r="D4" s="705"/>
      <c r="E4" s="705"/>
      <c r="F4" s="705"/>
    </row>
    <row r="5" spans="1:6" s="28" customFormat="1" ht="20.100000000000001" customHeight="1">
      <c r="A5" s="103"/>
      <c r="B5" s="103"/>
      <c r="C5" s="103"/>
      <c r="D5" s="103"/>
      <c r="E5" s="398"/>
      <c r="F5" s="103"/>
    </row>
    <row r="6" spans="1:6" s="28" customFormat="1" ht="20.100000000000001" customHeight="1">
      <c r="A6" s="27" t="s">
        <v>164</v>
      </c>
      <c r="B6" s="27"/>
      <c r="E6" s="399"/>
      <c r="F6" s="34" t="s">
        <v>1501</v>
      </c>
    </row>
    <row r="7" spans="1:6" s="28" customFormat="1" ht="20.100000000000001" customHeight="1">
      <c r="A7" s="28" t="str">
        <f>'Rate Case Constants'!C29</f>
        <v>TYPE OF FILING: __X__ ORIGINAL  _____ UPDATED  _____ REVISED</v>
      </c>
      <c r="E7" s="399"/>
      <c r="F7" s="34" t="s">
        <v>2306</v>
      </c>
    </row>
    <row r="8" spans="1:6" s="28" customFormat="1" ht="20.100000000000001" customHeight="1">
      <c r="A8" s="27" t="s">
        <v>1460</v>
      </c>
      <c r="B8" s="27"/>
      <c r="E8" s="399"/>
      <c r="F8" s="35" t="str">
        <f>'Rate Case Constants'!C37</f>
        <v>WITNESS:   C. M. GARRETT</v>
      </c>
    </row>
    <row r="9" spans="1:6" s="28" customFormat="1" ht="20.100000000000001" customHeight="1">
      <c r="E9" s="399"/>
    </row>
    <row r="10" spans="1:6" ht="58.5" customHeight="1">
      <c r="A10" s="36" t="s">
        <v>134</v>
      </c>
      <c r="B10" s="36" t="s">
        <v>137</v>
      </c>
      <c r="C10" s="39" t="s">
        <v>2228</v>
      </c>
      <c r="D10" s="36" t="s">
        <v>227</v>
      </c>
      <c r="E10" s="36" t="s">
        <v>2230</v>
      </c>
      <c r="F10" s="36" t="s">
        <v>1500</v>
      </c>
    </row>
    <row r="11" spans="1:6" ht="23.1" customHeight="1">
      <c r="A11" s="40"/>
      <c r="B11" s="40"/>
      <c r="C11" s="41"/>
      <c r="D11" s="42"/>
      <c r="E11" s="42"/>
      <c r="F11" s="42"/>
    </row>
    <row r="12" spans="1:6" ht="23.1" customHeight="1">
      <c r="A12" s="33">
        <v>1</v>
      </c>
      <c r="B12" s="33"/>
      <c r="C12" s="407" t="s">
        <v>2245</v>
      </c>
      <c r="D12" s="60"/>
      <c r="E12" s="60"/>
      <c r="F12" s="60"/>
    </row>
    <row r="13" spans="1:6" ht="18.95" customHeight="1">
      <c r="A13" s="33">
        <f>A12+1</f>
        <v>2</v>
      </c>
      <c r="B13" s="33"/>
      <c r="C13" s="407" t="s">
        <v>58</v>
      </c>
      <c r="D13" s="95"/>
      <c r="E13" s="403"/>
      <c r="F13" s="51"/>
    </row>
    <row r="14" spans="1:6" ht="18.95" customHeight="1">
      <c r="A14" s="30">
        <f>A13+1</f>
        <v>3</v>
      </c>
      <c r="B14" s="31" t="s">
        <v>1673</v>
      </c>
      <c r="C14" s="38" t="s">
        <v>1674</v>
      </c>
      <c r="D14" s="95">
        <f>'JURISSEP F'!G1244</f>
        <v>0.88836656691270399</v>
      </c>
      <c r="E14" s="389" t="s">
        <v>299</v>
      </c>
      <c r="F14" s="402" t="s">
        <v>2231</v>
      </c>
    </row>
    <row r="15" spans="1:6" ht="18.95" customHeight="1">
      <c r="A15" s="30">
        <f t="shared" ref="A15:A48" si="0">A14+1</f>
        <v>4</v>
      </c>
      <c r="B15" s="31" t="s">
        <v>1675</v>
      </c>
      <c r="C15" s="38" t="s">
        <v>1676</v>
      </c>
      <c r="D15" s="95">
        <v>1</v>
      </c>
      <c r="E15" s="389" t="s">
        <v>301</v>
      </c>
      <c r="F15" s="402" t="s">
        <v>2244</v>
      </c>
    </row>
    <row r="16" spans="1:6" ht="18.95" customHeight="1">
      <c r="A16" s="30">
        <f t="shared" si="0"/>
        <v>5</v>
      </c>
      <c r="B16" s="31" t="s">
        <v>1677</v>
      </c>
      <c r="C16" s="38" t="s">
        <v>1678</v>
      </c>
      <c r="D16" s="95">
        <f>D14</f>
        <v>0.88836656691270399</v>
      </c>
      <c r="E16" s="389" t="s">
        <v>299</v>
      </c>
      <c r="F16" s="402" t="s">
        <v>2231</v>
      </c>
    </row>
    <row r="17" spans="1:6" ht="18.95" customHeight="1">
      <c r="A17" s="30"/>
      <c r="B17" s="30"/>
      <c r="D17" s="95"/>
      <c r="E17" s="389"/>
      <c r="F17" s="51"/>
    </row>
    <row r="18" spans="1:6" ht="18.95" customHeight="1">
      <c r="A18" s="30">
        <f>A16+1</f>
        <v>6</v>
      </c>
      <c r="B18" s="30"/>
      <c r="C18" s="408" t="s">
        <v>74</v>
      </c>
      <c r="D18" s="95"/>
    </row>
    <row r="19" spans="1:6" ht="18.95" customHeight="1">
      <c r="A19" s="30">
        <f t="shared" si="0"/>
        <v>7</v>
      </c>
      <c r="B19" s="31" t="s">
        <v>1679</v>
      </c>
      <c r="C19" s="38" t="s">
        <v>157</v>
      </c>
      <c r="D19" s="95">
        <f>'JURISSEP F'!G1152</f>
        <v>0.87577725766318848</v>
      </c>
      <c r="E19" s="389" t="s">
        <v>307</v>
      </c>
      <c r="F19" s="402" t="s">
        <v>2234</v>
      </c>
    </row>
    <row r="20" spans="1:6" ht="18.95" customHeight="1">
      <c r="A20" s="30">
        <f t="shared" si="0"/>
        <v>8</v>
      </c>
      <c r="B20" s="31" t="s">
        <v>1680</v>
      </c>
      <c r="C20" s="38" t="s">
        <v>151</v>
      </c>
      <c r="D20" s="95">
        <f>D$19</f>
        <v>0.87577725766318848</v>
      </c>
      <c r="E20" s="389" t="s">
        <v>307</v>
      </c>
      <c r="F20" s="402" t="s">
        <v>2234</v>
      </c>
    </row>
    <row r="21" spans="1:6" ht="18.95" customHeight="1">
      <c r="A21" s="30">
        <f t="shared" si="0"/>
        <v>9</v>
      </c>
      <c r="B21" s="31" t="s">
        <v>1681</v>
      </c>
      <c r="C21" s="38" t="s">
        <v>1682</v>
      </c>
      <c r="D21" s="95">
        <f t="shared" ref="D21:D26" si="1">D$19</f>
        <v>0.87577725766318848</v>
      </c>
      <c r="E21" s="389" t="s">
        <v>307</v>
      </c>
      <c r="F21" s="402" t="s">
        <v>2234</v>
      </c>
    </row>
    <row r="22" spans="1:6" ht="18.95" customHeight="1">
      <c r="A22" s="30">
        <f>A20+1</f>
        <v>9</v>
      </c>
      <c r="B22" s="31">
        <v>313</v>
      </c>
      <c r="C22" s="38" t="s">
        <v>147</v>
      </c>
      <c r="D22" s="95">
        <f t="shared" si="1"/>
        <v>0.87577725766318848</v>
      </c>
      <c r="E22" s="389" t="s">
        <v>307</v>
      </c>
      <c r="F22" s="402" t="s">
        <v>2234</v>
      </c>
    </row>
    <row r="23" spans="1:6" ht="18.95" customHeight="1">
      <c r="A23" s="30">
        <f>A21+1</f>
        <v>10</v>
      </c>
      <c r="B23" s="31" t="s">
        <v>1683</v>
      </c>
      <c r="C23" s="38" t="s">
        <v>1684</v>
      </c>
      <c r="D23" s="95">
        <f t="shared" si="1"/>
        <v>0.87577725766318848</v>
      </c>
      <c r="E23" s="389" t="s">
        <v>307</v>
      </c>
      <c r="F23" s="402" t="s">
        <v>2234</v>
      </c>
    </row>
    <row r="24" spans="1:6" ht="18.95" customHeight="1">
      <c r="A24" s="30">
        <f t="shared" si="0"/>
        <v>11</v>
      </c>
      <c r="B24" s="31" t="s">
        <v>1685</v>
      </c>
      <c r="C24" s="38" t="s">
        <v>1686</v>
      </c>
      <c r="D24" s="95">
        <f t="shared" si="1"/>
        <v>0.87577725766318848</v>
      </c>
      <c r="E24" s="389" t="s">
        <v>307</v>
      </c>
      <c r="F24" s="402" t="s">
        <v>2234</v>
      </c>
    </row>
    <row r="25" spans="1:6" ht="18.95" customHeight="1">
      <c r="A25" s="30">
        <f t="shared" si="0"/>
        <v>12</v>
      </c>
      <c r="B25" s="31" t="s">
        <v>1687</v>
      </c>
      <c r="C25" s="38" t="s">
        <v>1688</v>
      </c>
      <c r="D25" s="95">
        <f t="shared" si="1"/>
        <v>0.87577725766318848</v>
      </c>
      <c r="E25" s="389" t="s">
        <v>307</v>
      </c>
      <c r="F25" s="402" t="s">
        <v>2234</v>
      </c>
    </row>
    <row r="26" spans="1:6" ht="18.95" customHeight="1">
      <c r="A26" s="30">
        <f>A25+1</f>
        <v>13</v>
      </c>
      <c r="B26" s="31" t="s">
        <v>1689</v>
      </c>
      <c r="C26" s="38" t="s">
        <v>1708</v>
      </c>
      <c r="D26" s="95">
        <f t="shared" si="1"/>
        <v>0.87577725766318848</v>
      </c>
      <c r="E26" s="389" t="s">
        <v>307</v>
      </c>
      <c r="F26" s="402" t="s">
        <v>2234</v>
      </c>
    </row>
    <row r="27" spans="1:6" ht="18.95" customHeight="1">
      <c r="A27" s="30">
        <f>A26+1</f>
        <v>14</v>
      </c>
      <c r="B27" s="410" t="s">
        <v>2251</v>
      </c>
      <c r="C27" s="38" t="s">
        <v>2229</v>
      </c>
      <c r="D27" s="95">
        <v>0</v>
      </c>
      <c r="E27" s="389" t="s">
        <v>315</v>
      </c>
      <c r="F27" s="402" t="s">
        <v>2232</v>
      </c>
    </row>
    <row r="28" spans="1:6" ht="18.95" customHeight="1">
      <c r="A28" s="30"/>
      <c r="C28" s="38"/>
      <c r="D28" s="95"/>
    </row>
    <row r="29" spans="1:6" ht="18.95" customHeight="1">
      <c r="A29" s="30">
        <f>A27+1</f>
        <v>15</v>
      </c>
      <c r="C29" s="408" t="s">
        <v>49</v>
      </c>
      <c r="D29" s="95"/>
    </row>
    <row r="30" spans="1:6" ht="18.95" customHeight="1">
      <c r="A30" s="30">
        <f t="shared" si="0"/>
        <v>16</v>
      </c>
      <c r="B30" s="31" t="s">
        <v>1690</v>
      </c>
      <c r="C30" s="38" t="s">
        <v>157</v>
      </c>
      <c r="D30" s="95">
        <f t="shared" ref="D30:D37" si="2">D$19</f>
        <v>0.87577725766318848</v>
      </c>
      <c r="E30" s="389" t="s">
        <v>307</v>
      </c>
      <c r="F30" s="402" t="s">
        <v>2234</v>
      </c>
    </row>
    <row r="31" spans="1:6" ht="18.95" customHeight="1">
      <c r="A31" s="30">
        <f t="shared" si="0"/>
        <v>17</v>
      </c>
      <c r="B31" s="31" t="s">
        <v>1691</v>
      </c>
      <c r="C31" s="38" t="s">
        <v>151</v>
      </c>
      <c r="D31" s="95">
        <f t="shared" si="2"/>
        <v>0.87577725766318848</v>
      </c>
      <c r="E31" s="389" t="s">
        <v>307</v>
      </c>
      <c r="F31" s="402" t="s">
        <v>2234</v>
      </c>
    </row>
    <row r="32" spans="1:6" ht="18.95" customHeight="1">
      <c r="A32" s="30">
        <f t="shared" si="0"/>
        <v>18</v>
      </c>
      <c r="B32" s="31" t="s">
        <v>1692</v>
      </c>
      <c r="C32" s="38" t="s">
        <v>1693</v>
      </c>
      <c r="D32" s="95">
        <f t="shared" si="2"/>
        <v>0.87577725766318848</v>
      </c>
      <c r="E32" s="389" t="s">
        <v>307</v>
      </c>
      <c r="F32" s="402" t="s">
        <v>2234</v>
      </c>
    </row>
    <row r="33" spans="1:6" ht="18.95" customHeight="1">
      <c r="A33" s="30">
        <f t="shared" si="0"/>
        <v>19</v>
      </c>
      <c r="B33" s="31" t="s">
        <v>1694</v>
      </c>
      <c r="C33" s="38" t="s">
        <v>1695</v>
      </c>
      <c r="D33" s="95">
        <f t="shared" si="2"/>
        <v>0.87577725766318848</v>
      </c>
      <c r="E33" s="389" t="s">
        <v>307</v>
      </c>
      <c r="F33" s="402" t="s">
        <v>2234</v>
      </c>
    </row>
    <row r="34" spans="1:6" ht="18.95" customHeight="1">
      <c r="A34" s="30">
        <f t="shared" si="0"/>
        <v>20</v>
      </c>
      <c r="B34" s="31" t="s">
        <v>1696</v>
      </c>
      <c r="C34" s="38" t="s">
        <v>1686</v>
      </c>
      <c r="D34" s="95">
        <f t="shared" si="2"/>
        <v>0.87577725766318848</v>
      </c>
      <c r="E34" s="389" t="s">
        <v>307</v>
      </c>
      <c r="F34" s="402" t="s">
        <v>2234</v>
      </c>
    </row>
    <row r="35" spans="1:6" ht="18.95" customHeight="1">
      <c r="A35" s="30">
        <f t="shared" si="0"/>
        <v>21</v>
      </c>
      <c r="B35" s="31" t="s">
        <v>1697</v>
      </c>
      <c r="C35" s="38" t="s">
        <v>1698</v>
      </c>
      <c r="D35" s="95">
        <f t="shared" si="2"/>
        <v>0.87577725766318848</v>
      </c>
      <c r="E35" s="389" t="s">
        <v>307</v>
      </c>
      <c r="F35" s="402" t="s">
        <v>2234</v>
      </c>
    </row>
    <row r="36" spans="1:6" ht="18.95" customHeight="1">
      <c r="A36" s="30">
        <f t="shared" si="0"/>
        <v>22</v>
      </c>
      <c r="B36" s="31" t="s">
        <v>1699</v>
      </c>
      <c r="C36" s="38" t="s">
        <v>1700</v>
      </c>
      <c r="D36" s="95">
        <f t="shared" si="2"/>
        <v>0.87577725766318848</v>
      </c>
      <c r="E36" s="389" t="s">
        <v>307</v>
      </c>
      <c r="F36" s="402" t="s">
        <v>2234</v>
      </c>
    </row>
    <row r="37" spans="1:6" ht="18.95" customHeight="1">
      <c r="A37" s="30">
        <f t="shared" si="0"/>
        <v>23</v>
      </c>
      <c r="B37" s="31" t="s">
        <v>1701</v>
      </c>
      <c r="C37" s="38" t="s">
        <v>1709</v>
      </c>
      <c r="D37" s="95">
        <f t="shared" si="2"/>
        <v>0.87577725766318848</v>
      </c>
      <c r="E37" s="389" t="s">
        <v>307</v>
      </c>
      <c r="F37" s="402" t="s">
        <v>2234</v>
      </c>
    </row>
    <row r="38" spans="1:6" ht="18.95" customHeight="1">
      <c r="A38" s="30">
        <f>A37+1</f>
        <v>24</v>
      </c>
      <c r="B38" s="410" t="s">
        <v>2252</v>
      </c>
      <c r="C38" s="38" t="s">
        <v>2229</v>
      </c>
      <c r="D38" s="95">
        <v>0</v>
      </c>
      <c r="E38" s="389" t="s">
        <v>315</v>
      </c>
      <c r="F38" s="402" t="s">
        <v>2232</v>
      </c>
    </row>
    <row r="39" spans="1:6" ht="18.95" customHeight="1">
      <c r="A39" s="30"/>
      <c r="B39" s="31"/>
      <c r="C39" s="38"/>
      <c r="D39" s="95"/>
    </row>
    <row r="40" spans="1:6" ht="18.95" customHeight="1">
      <c r="A40" s="30">
        <f>A38+1</f>
        <v>25</v>
      </c>
      <c r="C40" s="408" t="s">
        <v>63</v>
      </c>
      <c r="D40" s="95"/>
    </row>
    <row r="41" spans="1:6" ht="18.95" customHeight="1">
      <c r="A41" s="30">
        <f t="shared" si="0"/>
        <v>26</v>
      </c>
      <c r="B41" s="31" t="s">
        <v>1702</v>
      </c>
      <c r="C41" s="38" t="s">
        <v>157</v>
      </c>
      <c r="D41" s="95">
        <f t="shared" ref="D41:D48" si="3">D$19</f>
        <v>0.87577725766318848</v>
      </c>
      <c r="E41" s="389" t="s">
        <v>307</v>
      </c>
      <c r="F41" s="402" t="s">
        <v>2234</v>
      </c>
    </row>
    <row r="42" spans="1:6" ht="18.95" customHeight="1">
      <c r="A42" s="30">
        <f t="shared" si="0"/>
        <v>27</v>
      </c>
      <c r="B42" s="31" t="s">
        <v>1703</v>
      </c>
      <c r="C42" s="38" t="s">
        <v>151</v>
      </c>
      <c r="D42" s="95">
        <f t="shared" si="3"/>
        <v>0.87577725766318848</v>
      </c>
      <c r="E42" s="389" t="s">
        <v>307</v>
      </c>
      <c r="F42" s="402" t="s">
        <v>2234</v>
      </c>
    </row>
    <row r="43" spans="1:6" ht="18.95" customHeight="1">
      <c r="A43" s="30">
        <f t="shared" si="0"/>
        <v>28</v>
      </c>
      <c r="B43" s="31" t="s">
        <v>1704</v>
      </c>
      <c r="C43" s="38" t="s">
        <v>1705</v>
      </c>
      <c r="D43" s="95">
        <f t="shared" si="3"/>
        <v>0.87577725766318848</v>
      </c>
      <c r="E43" s="389" t="s">
        <v>307</v>
      </c>
      <c r="F43" s="402" t="s">
        <v>2234</v>
      </c>
    </row>
    <row r="44" spans="1:6" ht="18.95" customHeight="1">
      <c r="A44" s="30">
        <f t="shared" si="0"/>
        <v>29</v>
      </c>
      <c r="B44" s="31" t="s">
        <v>1706</v>
      </c>
      <c r="C44" s="38" t="s">
        <v>1707</v>
      </c>
      <c r="D44" s="95">
        <f t="shared" si="3"/>
        <v>0.87577725766318848</v>
      </c>
      <c r="E44" s="389" t="s">
        <v>307</v>
      </c>
      <c r="F44" s="402" t="s">
        <v>2234</v>
      </c>
    </row>
    <row r="45" spans="1:6" ht="18.95" customHeight="1">
      <c r="A45" s="30">
        <f>A44+1</f>
        <v>30</v>
      </c>
      <c r="B45" s="31" t="s">
        <v>1710</v>
      </c>
      <c r="C45" s="38" t="s">
        <v>1711</v>
      </c>
      <c r="D45" s="95">
        <f t="shared" si="3"/>
        <v>0.87577725766318848</v>
      </c>
      <c r="E45" s="389" t="s">
        <v>307</v>
      </c>
      <c r="F45" s="402" t="s">
        <v>2234</v>
      </c>
    </row>
    <row r="46" spans="1:6" ht="18.95" customHeight="1">
      <c r="A46" s="30">
        <f t="shared" si="0"/>
        <v>31</v>
      </c>
      <c r="B46" s="31" t="s">
        <v>1712</v>
      </c>
      <c r="C46" s="38" t="s">
        <v>1686</v>
      </c>
      <c r="D46" s="95">
        <f t="shared" si="3"/>
        <v>0.87577725766318848</v>
      </c>
      <c r="E46" s="389" t="s">
        <v>307</v>
      </c>
      <c r="F46" s="402" t="s">
        <v>2234</v>
      </c>
    </row>
    <row r="47" spans="1:6" ht="18.95" customHeight="1">
      <c r="A47" s="30">
        <f t="shared" si="0"/>
        <v>32</v>
      </c>
      <c r="B47" s="31" t="s">
        <v>1713</v>
      </c>
      <c r="C47" s="38" t="s">
        <v>1698</v>
      </c>
      <c r="D47" s="95">
        <f t="shared" si="3"/>
        <v>0.87577725766318848</v>
      </c>
      <c r="E47" s="389" t="s">
        <v>307</v>
      </c>
      <c r="F47" s="402" t="s">
        <v>2234</v>
      </c>
    </row>
    <row r="48" spans="1:6" ht="18.95" customHeight="1">
      <c r="A48" s="30">
        <f t="shared" si="0"/>
        <v>33</v>
      </c>
      <c r="B48" s="31" t="s">
        <v>1714</v>
      </c>
      <c r="C48" s="38" t="s">
        <v>1749</v>
      </c>
      <c r="D48" s="95">
        <f t="shared" si="3"/>
        <v>0.87577725766318848</v>
      </c>
      <c r="E48" s="389" t="s">
        <v>307</v>
      </c>
      <c r="F48" s="402" t="s">
        <v>2234</v>
      </c>
    </row>
    <row r="49" spans="1:6" ht="18.95" customHeight="1">
      <c r="A49" s="30">
        <f>A48+1</f>
        <v>34</v>
      </c>
      <c r="B49" s="410" t="s">
        <v>2253</v>
      </c>
      <c r="C49" s="38" t="s">
        <v>2229</v>
      </c>
      <c r="D49" s="95">
        <v>0</v>
      </c>
      <c r="E49" s="389" t="s">
        <v>315</v>
      </c>
      <c r="F49" s="402" t="s">
        <v>2232</v>
      </c>
    </row>
    <row r="50" spans="1:6" ht="18.95" customHeight="1">
      <c r="D50" s="95"/>
    </row>
    <row r="51" spans="1:6" ht="18.95" customHeight="1">
      <c r="A51" s="30">
        <f>A49+1</f>
        <v>35</v>
      </c>
      <c r="C51" s="408" t="s">
        <v>86</v>
      </c>
      <c r="D51" s="95"/>
    </row>
    <row r="52" spans="1:6" ht="18.95" customHeight="1">
      <c r="A52" s="30">
        <f>A51+1</f>
        <v>36</v>
      </c>
      <c r="C52" s="409" t="s">
        <v>2233</v>
      </c>
      <c r="D52" s="95"/>
    </row>
    <row r="53" spans="1:6" ht="18.95" customHeight="1">
      <c r="A53" s="30">
        <f>A52+1</f>
        <v>37</v>
      </c>
      <c r="B53" s="31" t="s">
        <v>1715</v>
      </c>
      <c r="C53" s="38" t="s">
        <v>157</v>
      </c>
      <c r="D53" s="95">
        <f>'JURISSEP F'!G1161</f>
        <v>0.95582457705600388</v>
      </c>
      <c r="E53" s="389" t="s">
        <v>344</v>
      </c>
      <c r="F53" s="402" t="s">
        <v>2235</v>
      </c>
    </row>
    <row r="54" spans="1:6" ht="18.95" customHeight="1">
      <c r="A54" s="30">
        <f t="shared" ref="A54:A98" si="4">A53+1</f>
        <v>38</v>
      </c>
      <c r="B54" s="31" t="s">
        <v>1716</v>
      </c>
      <c r="C54" s="38" t="s">
        <v>151</v>
      </c>
      <c r="D54" s="95">
        <f>D$53</f>
        <v>0.95582457705600388</v>
      </c>
      <c r="E54" s="389" t="s">
        <v>344</v>
      </c>
      <c r="F54" s="402" t="s">
        <v>2235</v>
      </c>
    </row>
    <row r="55" spans="1:6" ht="18.95" customHeight="1">
      <c r="A55" s="30">
        <f t="shared" si="4"/>
        <v>39</v>
      </c>
      <c r="B55" s="31" t="s">
        <v>1717</v>
      </c>
      <c r="C55" s="38" t="s">
        <v>152</v>
      </c>
      <c r="D55" s="95">
        <f t="shared" ref="D55:D72" si="5">D$53</f>
        <v>0.95582457705600388</v>
      </c>
      <c r="E55" s="389" t="s">
        <v>344</v>
      </c>
      <c r="F55" s="402" t="s">
        <v>2235</v>
      </c>
    </row>
    <row r="56" spans="1:6" ht="18.95" customHeight="1">
      <c r="A56" s="30">
        <f t="shared" si="4"/>
        <v>40</v>
      </c>
      <c r="B56" s="31" t="s">
        <v>1718</v>
      </c>
      <c r="C56" s="38" t="s">
        <v>1719</v>
      </c>
      <c r="D56" s="95">
        <f t="shared" si="5"/>
        <v>0.95582457705600388</v>
      </c>
      <c r="E56" s="389" t="s">
        <v>344</v>
      </c>
      <c r="F56" s="402" t="s">
        <v>2235</v>
      </c>
    </row>
    <row r="57" spans="1:6" ht="18.95" customHeight="1">
      <c r="A57" s="30">
        <f t="shared" si="4"/>
        <v>41</v>
      </c>
      <c r="B57" s="31" t="s">
        <v>1720</v>
      </c>
      <c r="C57" s="38" t="s">
        <v>1721</v>
      </c>
      <c r="D57" s="95">
        <f t="shared" si="5"/>
        <v>0.95582457705600388</v>
      </c>
      <c r="E57" s="389" t="s">
        <v>344</v>
      </c>
      <c r="F57" s="402" t="s">
        <v>2235</v>
      </c>
    </row>
    <row r="58" spans="1:6" ht="18.95" customHeight="1">
      <c r="A58" s="30">
        <f t="shared" si="4"/>
        <v>42</v>
      </c>
      <c r="B58" s="31" t="s">
        <v>1722</v>
      </c>
      <c r="C58" s="38" t="s">
        <v>1723</v>
      </c>
      <c r="D58" s="95">
        <f t="shared" si="5"/>
        <v>0.95582457705600388</v>
      </c>
      <c r="E58" s="389" t="s">
        <v>344</v>
      </c>
      <c r="F58" s="402" t="s">
        <v>2235</v>
      </c>
    </row>
    <row r="59" spans="1:6" ht="18.95" customHeight="1">
      <c r="A59" s="30">
        <f t="shared" si="4"/>
        <v>43</v>
      </c>
      <c r="B59" s="31" t="s">
        <v>1724</v>
      </c>
      <c r="C59" s="38" t="s">
        <v>1725</v>
      </c>
      <c r="D59" s="95">
        <f t="shared" si="5"/>
        <v>0.95582457705600388</v>
      </c>
      <c r="E59" s="389" t="s">
        <v>344</v>
      </c>
      <c r="F59" s="402" t="s">
        <v>2235</v>
      </c>
    </row>
    <row r="60" spans="1:6" ht="18.95" customHeight="1">
      <c r="A60" s="30">
        <f t="shared" si="4"/>
        <v>44</v>
      </c>
      <c r="B60" s="31" t="s">
        <v>1726</v>
      </c>
      <c r="C60" s="38" t="s">
        <v>1727</v>
      </c>
      <c r="D60" s="95">
        <f t="shared" si="5"/>
        <v>0.95582457705600388</v>
      </c>
      <c r="E60" s="389" t="s">
        <v>344</v>
      </c>
      <c r="F60" s="402" t="s">
        <v>2235</v>
      </c>
    </row>
    <row r="61" spans="1:6" s="28" customFormat="1" ht="20.100000000000001" customHeight="1">
      <c r="A61" s="706" t="str">
        <f>A$1</f>
        <v>KENTUCKY UTILITIES COMPANY</v>
      </c>
      <c r="B61" s="706"/>
      <c r="C61" s="706"/>
      <c r="D61" s="706"/>
      <c r="E61" s="706"/>
      <c r="F61" s="706"/>
    </row>
    <row r="62" spans="1:6" s="28" customFormat="1" ht="20.100000000000001" customHeight="1">
      <c r="A62" s="706" t="str">
        <f>A$2</f>
        <v>CASE NO. 2016-00370</v>
      </c>
      <c r="B62" s="706"/>
      <c r="C62" s="706"/>
      <c r="D62" s="706"/>
      <c r="E62" s="706"/>
      <c r="F62" s="706"/>
    </row>
    <row r="63" spans="1:6" s="28" customFormat="1" ht="20.100000000000001" customHeight="1">
      <c r="A63" s="706" t="s">
        <v>1502</v>
      </c>
      <c r="B63" s="706"/>
      <c r="C63" s="706"/>
      <c r="D63" s="706"/>
      <c r="E63" s="706"/>
      <c r="F63" s="706"/>
    </row>
    <row r="64" spans="1:6" s="28" customFormat="1" ht="20.100000000000001" customHeight="1">
      <c r="A64" s="705" t="str">
        <f>A$4</f>
        <v>FORECAST PERIOD FOR THE 12 MONTHS ENDED JUNE 30, 2018</v>
      </c>
      <c r="B64" s="706"/>
      <c r="C64" s="706"/>
      <c r="D64" s="706"/>
      <c r="E64" s="706"/>
      <c r="F64" s="706"/>
    </row>
    <row r="65" spans="1:6" s="28" customFormat="1" ht="20.100000000000001" customHeight="1">
      <c r="A65" s="400"/>
      <c r="B65" s="400"/>
      <c r="C65" s="400"/>
      <c r="D65" s="400"/>
      <c r="E65" s="400"/>
      <c r="F65" s="400"/>
    </row>
    <row r="66" spans="1:6" s="28" customFormat="1" ht="20.100000000000001" customHeight="1">
      <c r="A66" s="27" t="str">
        <f>A$6</f>
        <v>DATA:____BASE  PERIOD__X__FORECASTED  PERIOD</v>
      </c>
      <c r="B66" s="27"/>
      <c r="E66" s="401"/>
      <c r="F66" s="34" t="s">
        <v>1501</v>
      </c>
    </row>
    <row r="67" spans="1:6" s="28" customFormat="1" ht="20.100000000000001" customHeight="1">
      <c r="A67" s="27" t="str">
        <f>A$7</f>
        <v>TYPE OF FILING: __X__ ORIGINAL  _____ UPDATED  _____ REVISED</v>
      </c>
      <c r="E67" s="401"/>
      <c r="F67" s="34" t="s">
        <v>2305</v>
      </c>
    </row>
    <row r="68" spans="1:6" s="28" customFormat="1" ht="20.100000000000001" customHeight="1">
      <c r="A68" s="27" t="str">
        <f>A$8</f>
        <v xml:space="preserve">WORKPAPER REFERENCE NO(S).: </v>
      </c>
      <c r="B68" s="27"/>
      <c r="E68" s="401"/>
      <c r="F68" s="35" t="str">
        <f>F$8</f>
        <v>WITNESS:   C. M. GARRETT</v>
      </c>
    </row>
    <row r="69" spans="1:6" s="28" customFormat="1" ht="20.100000000000001" customHeight="1">
      <c r="E69" s="401"/>
    </row>
    <row r="70" spans="1:6" ht="58.5" customHeight="1">
      <c r="A70" s="36" t="s">
        <v>134</v>
      </c>
      <c r="B70" s="36" t="s">
        <v>137</v>
      </c>
      <c r="C70" s="39" t="s">
        <v>2228</v>
      </c>
      <c r="D70" s="36" t="s">
        <v>227</v>
      </c>
      <c r="E70" s="36" t="s">
        <v>2230</v>
      </c>
      <c r="F70" s="36" t="s">
        <v>1500</v>
      </c>
    </row>
    <row r="71" spans="1:6" ht="23.1" customHeight="1">
      <c r="A71" s="40"/>
      <c r="B71" s="40"/>
      <c r="C71" s="41"/>
      <c r="D71" s="42"/>
      <c r="E71" s="42"/>
      <c r="F71" s="42"/>
    </row>
    <row r="72" spans="1:6" ht="18.95" customHeight="1">
      <c r="A72" s="30">
        <f>A60+1</f>
        <v>45</v>
      </c>
      <c r="B72" s="31" t="s">
        <v>1728</v>
      </c>
      <c r="C72" s="38" t="s">
        <v>155</v>
      </c>
      <c r="D72" s="95">
        <f t="shared" si="5"/>
        <v>0.95582457705600388</v>
      </c>
      <c r="E72" s="389" t="s">
        <v>344</v>
      </c>
      <c r="F72" s="402" t="s">
        <v>2235</v>
      </c>
    </row>
    <row r="73" spans="1:6" ht="18.95" customHeight="1">
      <c r="A73" s="30">
        <f>A72+1</f>
        <v>46</v>
      </c>
      <c r="B73" s="410" t="s">
        <v>2254</v>
      </c>
      <c r="C73" s="38" t="s">
        <v>2229</v>
      </c>
      <c r="D73" s="95">
        <v>0</v>
      </c>
      <c r="E73" s="389" t="s">
        <v>315</v>
      </c>
      <c r="F73" s="402" t="s">
        <v>2232</v>
      </c>
    </row>
    <row r="74" spans="1:6" ht="18.95" customHeight="1">
      <c r="A74" s="30"/>
      <c r="B74" s="31"/>
      <c r="D74" s="95"/>
    </row>
    <row r="75" spans="1:6" ht="18.95" customHeight="1">
      <c r="A75" s="30">
        <f>A73+1</f>
        <v>47</v>
      </c>
      <c r="C75" s="409" t="s">
        <v>2237</v>
      </c>
      <c r="D75" s="95"/>
    </row>
    <row r="76" spans="1:6" ht="18.95" customHeight="1">
      <c r="A76" s="30">
        <f>A75+1</f>
        <v>48</v>
      </c>
      <c r="B76" s="31" t="s">
        <v>1715</v>
      </c>
      <c r="C76" s="38" t="s">
        <v>157</v>
      </c>
      <c r="D76" s="95">
        <v>0</v>
      </c>
      <c r="E76" s="389" t="s">
        <v>737</v>
      </c>
      <c r="F76" s="402" t="s">
        <v>2236</v>
      </c>
    </row>
    <row r="77" spans="1:6" ht="18.95" customHeight="1">
      <c r="A77" s="30">
        <f t="shared" si="4"/>
        <v>49</v>
      </c>
      <c r="B77" s="31" t="s">
        <v>1716</v>
      </c>
      <c r="C77" s="38" t="s">
        <v>151</v>
      </c>
      <c r="D77" s="95">
        <v>0</v>
      </c>
      <c r="E77" s="389" t="s">
        <v>737</v>
      </c>
      <c r="F77" s="402" t="s">
        <v>2236</v>
      </c>
    </row>
    <row r="78" spans="1:6" ht="18.95" customHeight="1">
      <c r="A78" s="30">
        <f t="shared" si="4"/>
        <v>50</v>
      </c>
      <c r="B78" s="31" t="s">
        <v>1717</v>
      </c>
      <c r="C78" s="38" t="s">
        <v>152</v>
      </c>
      <c r="D78" s="95">
        <v>0</v>
      </c>
      <c r="E78" s="389" t="s">
        <v>737</v>
      </c>
      <c r="F78" s="402" t="s">
        <v>2236</v>
      </c>
    </row>
    <row r="79" spans="1:6" ht="18.95" customHeight="1">
      <c r="A79" s="30">
        <f t="shared" si="4"/>
        <v>51</v>
      </c>
      <c r="B79" s="31" t="s">
        <v>1718</v>
      </c>
      <c r="C79" s="38" t="s">
        <v>1719</v>
      </c>
      <c r="D79" s="95">
        <v>0</v>
      </c>
      <c r="E79" s="389" t="s">
        <v>737</v>
      </c>
      <c r="F79" s="402" t="s">
        <v>2236</v>
      </c>
    </row>
    <row r="80" spans="1:6" ht="18.95" customHeight="1">
      <c r="A80" s="30">
        <f t="shared" si="4"/>
        <v>52</v>
      </c>
      <c r="B80" s="31" t="s">
        <v>1720</v>
      </c>
      <c r="C80" s="38" t="s">
        <v>1721</v>
      </c>
      <c r="D80" s="95">
        <v>0</v>
      </c>
      <c r="E80" s="389" t="s">
        <v>737</v>
      </c>
      <c r="F80" s="402" t="s">
        <v>2236</v>
      </c>
    </row>
    <row r="81" spans="1:6" ht="18.95" customHeight="1">
      <c r="A81" s="30">
        <f t="shared" si="4"/>
        <v>53</v>
      </c>
      <c r="B81" s="31" t="s">
        <v>1722</v>
      </c>
      <c r="C81" s="38" t="s">
        <v>1723</v>
      </c>
      <c r="D81" s="95">
        <v>0</v>
      </c>
      <c r="E81" s="389" t="s">
        <v>737</v>
      </c>
      <c r="F81" s="402" t="s">
        <v>2236</v>
      </c>
    </row>
    <row r="82" spans="1:6" ht="18.95" customHeight="1">
      <c r="A82" s="30">
        <f>A81+1</f>
        <v>54</v>
      </c>
      <c r="B82" s="410" t="s">
        <v>2255</v>
      </c>
      <c r="C82" s="38" t="s">
        <v>2229</v>
      </c>
      <c r="D82" s="95">
        <v>0</v>
      </c>
      <c r="E82" s="389" t="s">
        <v>737</v>
      </c>
      <c r="F82" s="402" t="s">
        <v>2236</v>
      </c>
    </row>
    <row r="83" spans="1:6" ht="18.95" customHeight="1">
      <c r="A83" s="30"/>
      <c r="B83" s="31"/>
      <c r="D83" s="95"/>
    </row>
    <row r="84" spans="1:6" ht="18.95" customHeight="1">
      <c r="A84" s="30">
        <f>A73+1</f>
        <v>47</v>
      </c>
      <c r="B84" s="31" t="s">
        <v>254</v>
      </c>
      <c r="C84" s="408" t="s">
        <v>16</v>
      </c>
      <c r="D84" s="95"/>
    </row>
    <row r="85" spans="1:6" ht="18.95" customHeight="1">
      <c r="A85" s="30">
        <f>A84+1</f>
        <v>48</v>
      </c>
      <c r="C85" s="409" t="s">
        <v>2233</v>
      </c>
      <c r="D85" s="95"/>
    </row>
    <row r="86" spans="1:6" ht="18.95" customHeight="1">
      <c r="A86" s="30">
        <f>A85+1</f>
        <v>49</v>
      </c>
      <c r="B86" s="31" t="s">
        <v>1729</v>
      </c>
      <c r="C86" s="38" t="s">
        <v>157</v>
      </c>
      <c r="D86" s="95">
        <f>'JURISSEP F'!G1166</f>
        <v>0.99890723508251555</v>
      </c>
      <c r="E86" s="389" t="s">
        <v>737</v>
      </c>
      <c r="F86" s="402" t="s">
        <v>2240</v>
      </c>
    </row>
    <row r="87" spans="1:6" ht="18.95" customHeight="1">
      <c r="A87" s="30">
        <f t="shared" si="4"/>
        <v>50</v>
      </c>
      <c r="B87" s="31" t="s">
        <v>1730</v>
      </c>
      <c r="C87" s="38" t="s">
        <v>151</v>
      </c>
      <c r="D87" s="95">
        <f>'JURISSEP F'!G1167</f>
        <v>0.97391780486480506</v>
      </c>
      <c r="E87" s="389" t="s">
        <v>737</v>
      </c>
      <c r="F87" s="402" t="s">
        <v>2240</v>
      </c>
    </row>
    <row r="88" spans="1:6" ht="18.95" customHeight="1">
      <c r="A88" s="30">
        <f t="shared" si="4"/>
        <v>51</v>
      </c>
      <c r="B88" s="31" t="s">
        <v>1731</v>
      </c>
      <c r="C88" s="38" t="s">
        <v>1732</v>
      </c>
      <c r="D88" s="95">
        <f>'JURISSEP F'!G1168</f>
        <v>0.98081785602138105</v>
      </c>
      <c r="E88" s="389" t="s">
        <v>737</v>
      </c>
      <c r="F88" s="402" t="s">
        <v>2240</v>
      </c>
    </row>
    <row r="89" spans="1:6" ht="18.95" customHeight="1">
      <c r="A89" s="30">
        <f t="shared" si="4"/>
        <v>52</v>
      </c>
      <c r="B89" s="31" t="s">
        <v>1733</v>
      </c>
      <c r="C89" s="38" t="s">
        <v>1734</v>
      </c>
      <c r="D89" s="95">
        <f>'JURISSEP F'!G1169</f>
        <v>1</v>
      </c>
      <c r="E89" s="389" t="s">
        <v>737</v>
      </c>
      <c r="F89" s="402" t="s">
        <v>2239</v>
      </c>
    </row>
    <row r="90" spans="1:6" ht="18.95" customHeight="1">
      <c r="A90" s="30">
        <f t="shared" si="4"/>
        <v>53</v>
      </c>
      <c r="B90" s="31" t="s">
        <v>1735</v>
      </c>
      <c r="C90" s="38" t="s">
        <v>1723</v>
      </c>
      <c r="D90" s="95">
        <f>'JURISSEP F'!G1170</f>
        <v>1</v>
      </c>
      <c r="E90" s="389" t="s">
        <v>737</v>
      </c>
      <c r="F90" s="402" t="s">
        <v>2239</v>
      </c>
    </row>
    <row r="91" spans="1:6" ht="18.95" customHeight="1">
      <c r="A91" s="30">
        <f t="shared" si="4"/>
        <v>54</v>
      </c>
      <c r="B91" s="31" t="s">
        <v>1736</v>
      </c>
      <c r="C91" s="38" t="s">
        <v>1725</v>
      </c>
      <c r="D91" s="95">
        <f>'JURISSEP F'!G1171</f>
        <v>1</v>
      </c>
      <c r="E91" s="389" t="s">
        <v>737</v>
      </c>
      <c r="F91" s="402" t="s">
        <v>2239</v>
      </c>
    </row>
    <row r="92" spans="1:6" ht="18.95" customHeight="1">
      <c r="A92" s="30">
        <f t="shared" si="4"/>
        <v>55</v>
      </c>
      <c r="B92" s="31" t="s">
        <v>1737</v>
      </c>
      <c r="C92" s="38" t="s">
        <v>1727</v>
      </c>
      <c r="D92" s="95">
        <f>'JURISSEP F'!G1172</f>
        <v>1</v>
      </c>
      <c r="E92" s="389" t="s">
        <v>737</v>
      </c>
      <c r="F92" s="402" t="s">
        <v>2239</v>
      </c>
    </row>
    <row r="93" spans="1:6" ht="18.95" customHeight="1">
      <c r="A93" s="30">
        <f t="shared" si="4"/>
        <v>56</v>
      </c>
      <c r="B93" s="31" t="s">
        <v>1738</v>
      </c>
      <c r="C93" s="38" t="s">
        <v>1739</v>
      </c>
      <c r="D93" s="95">
        <f>'JURISSEP F'!G170/'JURISSEP F'!E170</f>
        <v>0.99832467409919878</v>
      </c>
      <c r="E93" s="389" t="s">
        <v>2242</v>
      </c>
      <c r="F93" s="402" t="s">
        <v>2241</v>
      </c>
    </row>
    <row r="94" spans="1:6" ht="18.95" customHeight="1">
      <c r="A94" s="30">
        <f t="shared" si="4"/>
        <v>57</v>
      </c>
      <c r="B94" s="31" t="s">
        <v>1740</v>
      </c>
      <c r="C94" s="38" t="s">
        <v>1741</v>
      </c>
      <c r="D94" s="95">
        <f>'JURISSEP F'!G171/'JURISSEP F'!E171</f>
        <v>1</v>
      </c>
      <c r="E94" s="389" t="s">
        <v>737</v>
      </c>
      <c r="F94" s="402" t="s">
        <v>2239</v>
      </c>
    </row>
    <row r="95" spans="1:6" ht="18.95" customHeight="1">
      <c r="A95" s="30">
        <f>A94+1</f>
        <v>58</v>
      </c>
      <c r="B95" s="31" t="s">
        <v>1742</v>
      </c>
      <c r="C95" s="38" t="s">
        <v>1743</v>
      </c>
      <c r="D95" s="95">
        <f>'JURISSEP F'!G172/'JURISSEP F'!E172</f>
        <v>0.9956636515730628</v>
      </c>
      <c r="E95" s="389" t="s">
        <v>737</v>
      </c>
      <c r="F95" s="402" t="s">
        <v>2240</v>
      </c>
    </row>
    <row r="96" spans="1:6" ht="18.95" customHeight="1">
      <c r="A96" s="30">
        <f t="shared" si="4"/>
        <v>59</v>
      </c>
      <c r="B96" s="31" t="s">
        <v>1744</v>
      </c>
      <c r="C96" s="38" t="s">
        <v>1745</v>
      </c>
      <c r="D96" s="95">
        <f>'JURISSEP F'!G173/'JURISSEP F'!E173</f>
        <v>1</v>
      </c>
      <c r="E96" s="389" t="s">
        <v>737</v>
      </c>
      <c r="F96" s="402" t="s">
        <v>2239</v>
      </c>
    </row>
    <row r="97" spans="1:6" ht="18.95" customHeight="1">
      <c r="A97" s="30">
        <f t="shared" si="4"/>
        <v>60</v>
      </c>
      <c r="B97" s="31" t="s">
        <v>1746</v>
      </c>
      <c r="C97" s="38" t="s">
        <v>1747</v>
      </c>
      <c r="D97" s="95">
        <f>'JURISSEP F'!G174/'JURISSEP F'!E174</f>
        <v>1</v>
      </c>
      <c r="E97" s="389" t="s">
        <v>737</v>
      </c>
      <c r="F97" s="402" t="s">
        <v>2239</v>
      </c>
    </row>
    <row r="98" spans="1:6" ht="18.95" customHeight="1">
      <c r="A98" s="30">
        <f t="shared" si="4"/>
        <v>61</v>
      </c>
      <c r="B98" s="31" t="s">
        <v>1748</v>
      </c>
      <c r="C98" s="38" t="s">
        <v>154</v>
      </c>
      <c r="D98" s="95">
        <f>'JURISSEP F'!G175/'JURISSEP F'!E175</f>
        <v>1</v>
      </c>
      <c r="E98" s="389" t="s">
        <v>737</v>
      </c>
      <c r="F98" s="402" t="s">
        <v>2239</v>
      </c>
    </row>
    <row r="99" spans="1:6" ht="18.95" customHeight="1">
      <c r="A99" s="30"/>
      <c r="B99" s="31"/>
      <c r="C99" s="38"/>
      <c r="D99" s="95"/>
    </row>
    <row r="100" spans="1:6" ht="18.95" customHeight="1">
      <c r="A100" s="30">
        <f>A98+1</f>
        <v>62</v>
      </c>
      <c r="C100" s="409" t="s">
        <v>2237</v>
      </c>
      <c r="D100" s="95"/>
    </row>
    <row r="101" spans="1:6" ht="18.95" customHeight="1">
      <c r="A101" s="30">
        <f>A100+1</f>
        <v>63</v>
      </c>
      <c r="B101" s="31" t="s">
        <v>1729</v>
      </c>
      <c r="C101" s="38" t="s">
        <v>157</v>
      </c>
      <c r="D101" s="95">
        <v>0</v>
      </c>
      <c r="E101" s="389" t="s">
        <v>737</v>
      </c>
      <c r="F101" s="402" t="s">
        <v>2236</v>
      </c>
    </row>
    <row r="102" spans="1:6" ht="18.95" customHeight="1">
      <c r="A102" s="30">
        <f t="shared" ref="A102:A112" si="6">A101+1</f>
        <v>64</v>
      </c>
      <c r="B102" s="31" t="s">
        <v>1730</v>
      </c>
      <c r="C102" s="38" t="s">
        <v>151</v>
      </c>
      <c r="D102" s="95">
        <v>0</v>
      </c>
      <c r="E102" s="389" t="s">
        <v>737</v>
      </c>
      <c r="F102" s="402" t="s">
        <v>2236</v>
      </c>
    </row>
    <row r="103" spans="1:6" ht="18.95" customHeight="1">
      <c r="A103" s="30">
        <f t="shared" si="6"/>
        <v>65</v>
      </c>
      <c r="B103" s="31" t="s">
        <v>1731</v>
      </c>
      <c r="C103" s="38" t="s">
        <v>1732</v>
      </c>
      <c r="D103" s="95">
        <v>0</v>
      </c>
      <c r="E103" s="389" t="s">
        <v>737</v>
      </c>
      <c r="F103" s="402" t="s">
        <v>2236</v>
      </c>
    </row>
    <row r="104" spans="1:6" ht="18.95" customHeight="1">
      <c r="A104" s="30">
        <f t="shared" si="6"/>
        <v>66</v>
      </c>
      <c r="B104" s="31" t="s">
        <v>1733</v>
      </c>
      <c r="C104" s="38" t="s">
        <v>1734</v>
      </c>
      <c r="D104" s="95">
        <v>0</v>
      </c>
      <c r="E104" s="389" t="s">
        <v>737</v>
      </c>
      <c r="F104" s="402" t="s">
        <v>2236</v>
      </c>
    </row>
    <row r="105" spans="1:6" ht="18.95" customHeight="1">
      <c r="A105" s="30">
        <f t="shared" si="6"/>
        <v>67</v>
      </c>
      <c r="B105" s="31" t="s">
        <v>1735</v>
      </c>
      <c r="C105" s="38" t="s">
        <v>1723</v>
      </c>
      <c r="D105" s="95">
        <v>0</v>
      </c>
      <c r="E105" s="389" t="s">
        <v>737</v>
      </c>
      <c r="F105" s="402" t="s">
        <v>2236</v>
      </c>
    </row>
    <row r="106" spans="1:6" ht="18.95" customHeight="1">
      <c r="A106" s="30">
        <f t="shared" si="6"/>
        <v>68</v>
      </c>
      <c r="B106" s="31" t="s">
        <v>1736</v>
      </c>
      <c r="C106" s="38" t="s">
        <v>1725</v>
      </c>
      <c r="D106" s="95">
        <v>0</v>
      </c>
      <c r="E106" s="389" t="s">
        <v>737</v>
      </c>
      <c r="F106" s="402" t="s">
        <v>2236</v>
      </c>
    </row>
    <row r="107" spans="1:6" ht="18.95" customHeight="1">
      <c r="A107" s="30">
        <f t="shared" si="6"/>
        <v>69</v>
      </c>
      <c r="B107" s="31" t="s">
        <v>1737</v>
      </c>
      <c r="C107" s="38" t="s">
        <v>1727</v>
      </c>
      <c r="D107" s="95">
        <v>0</v>
      </c>
      <c r="E107" s="389" t="s">
        <v>737</v>
      </c>
      <c r="F107" s="402" t="s">
        <v>2236</v>
      </c>
    </row>
    <row r="108" spans="1:6" ht="18.95" customHeight="1">
      <c r="A108" s="30">
        <f t="shared" si="6"/>
        <v>70</v>
      </c>
      <c r="B108" s="31" t="s">
        <v>1738</v>
      </c>
      <c r="C108" s="38" t="s">
        <v>1739</v>
      </c>
      <c r="D108" s="95">
        <v>0</v>
      </c>
      <c r="E108" s="389" t="s">
        <v>737</v>
      </c>
      <c r="F108" s="402" t="s">
        <v>2236</v>
      </c>
    </row>
    <row r="109" spans="1:6" ht="18.95" customHeight="1">
      <c r="A109" s="30">
        <f t="shared" si="6"/>
        <v>71</v>
      </c>
      <c r="B109" s="31" t="s">
        <v>1740</v>
      </c>
      <c r="C109" s="38" t="s">
        <v>1741</v>
      </c>
      <c r="D109" s="95">
        <v>0</v>
      </c>
      <c r="E109" s="389" t="s">
        <v>737</v>
      </c>
      <c r="F109" s="402" t="s">
        <v>2236</v>
      </c>
    </row>
    <row r="110" spans="1:6" ht="18.95" customHeight="1">
      <c r="A110" s="30">
        <f>A109+1</f>
        <v>72</v>
      </c>
      <c r="B110" s="31" t="s">
        <v>1742</v>
      </c>
      <c r="C110" s="38" t="s">
        <v>1743</v>
      </c>
      <c r="D110" s="95">
        <v>0</v>
      </c>
      <c r="E110" s="389" t="s">
        <v>737</v>
      </c>
      <c r="F110" s="402" t="s">
        <v>2236</v>
      </c>
    </row>
    <row r="111" spans="1:6" ht="18.95" customHeight="1">
      <c r="A111" s="30">
        <f t="shared" si="6"/>
        <v>73</v>
      </c>
      <c r="B111" s="31" t="s">
        <v>1744</v>
      </c>
      <c r="C111" s="38" t="s">
        <v>1745</v>
      </c>
      <c r="D111" s="95">
        <v>0</v>
      </c>
      <c r="E111" s="389" t="s">
        <v>737</v>
      </c>
      <c r="F111" s="402" t="s">
        <v>2236</v>
      </c>
    </row>
    <row r="112" spans="1:6" ht="18.95" customHeight="1">
      <c r="A112" s="30">
        <f t="shared" si="6"/>
        <v>74</v>
      </c>
      <c r="B112" s="31" t="s">
        <v>1746</v>
      </c>
      <c r="C112" s="38" t="s">
        <v>1747</v>
      </c>
      <c r="D112" s="95">
        <v>0</v>
      </c>
      <c r="E112" s="389" t="s">
        <v>737</v>
      </c>
      <c r="F112" s="402" t="s">
        <v>2236</v>
      </c>
    </row>
    <row r="113" spans="1:6" ht="18.95" customHeight="1">
      <c r="A113" s="30"/>
      <c r="B113" s="31"/>
      <c r="C113" s="38"/>
      <c r="D113" s="95"/>
    </row>
    <row r="114" spans="1:6" ht="18.95" customHeight="1">
      <c r="A114" s="30">
        <f>A112+1</f>
        <v>75</v>
      </c>
      <c r="C114" s="409" t="s">
        <v>2238</v>
      </c>
      <c r="D114" s="95"/>
    </row>
    <row r="115" spans="1:6" ht="18.95" customHeight="1">
      <c r="A115" s="30">
        <f>A114+1</f>
        <v>76</v>
      </c>
      <c r="B115" s="31" t="s">
        <v>1729</v>
      </c>
      <c r="C115" s="38" t="s">
        <v>157</v>
      </c>
      <c r="D115" s="95">
        <v>0</v>
      </c>
      <c r="E115" s="389" t="s">
        <v>737</v>
      </c>
      <c r="F115" s="402" t="s">
        <v>2243</v>
      </c>
    </row>
    <row r="116" spans="1:6" ht="18.95" customHeight="1">
      <c r="A116" s="30">
        <f t="shared" ref="A116:A136" si="7">A115+1</f>
        <v>77</v>
      </c>
      <c r="B116" s="31" t="s">
        <v>1730</v>
      </c>
      <c r="C116" s="38" t="s">
        <v>151</v>
      </c>
      <c r="D116" s="95">
        <v>0</v>
      </c>
      <c r="E116" s="389" t="s">
        <v>737</v>
      </c>
      <c r="F116" s="402" t="s">
        <v>2243</v>
      </c>
    </row>
    <row r="117" spans="1:6" ht="18.95" customHeight="1">
      <c r="A117" s="30">
        <f t="shared" si="7"/>
        <v>78</v>
      </c>
      <c r="B117" s="31" t="s">
        <v>1731</v>
      </c>
      <c r="C117" s="38" t="s">
        <v>1732</v>
      </c>
      <c r="D117" s="95">
        <v>0</v>
      </c>
      <c r="E117" s="389" t="s">
        <v>737</v>
      </c>
      <c r="F117" s="402" t="s">
        <v>2243</v>
      </c>
    </row>
    <row r="118" spans="1:6" ht="18.95" customHeight="1">
      <c r="A118" s="30">
        <f t="shared" si="7"/>
        <v>79</v>
      </c>
      <c r="B118" s="31" t="s">
        <v>1733</v>
      </c>
      <c r="C118" s="38" t="s">
        <v>1734</v>
      </c>
      <c r="D118" s="95">
        <v>0</v>
      </c>
      <c r="E118" s="389" t="s">
        <v>737</v>
      </c>
      <c r="F118" s="402" t="s">
        <v>2243</v>
      </c>
    </row>
    <row r="119" spans="1:6" ht="18.95" customHeight="1">
      <c r="A119" s="30">
        <f t="shared" si="7"/>
        <v>80</v>
      </c>
      <c r="B119" s="31" t="s">
        <v>1735</v>
      </c>
      <c r="C119" s="38" t="s">
        <v>1723</v>
      </c>
      <c r="D119" s="95">
        <v>0</v>
      </c>
      <c r="E119" s="389" t="s">
        <v>737</v>
      </c>
      <c r="F119" s="402" t="s">
        <v>2243</v>
      </c>
    </row>
    <row r="120" spans="1:6" ht="18.95" customHeight="1">
      <c r="A120" s="30">
        <f t="shared" si="7"/>
        <v>81</v>
      </c>
      <c r="B120" s="31" t="s">
        <v>1736</v>
      </c>
      <c r="C120" s="38" t="s">
        <v>1725</v>
      </c>
      <c r="D120" s="95">
        <v>0</v>
      </c>
      <c r="E120" s="389" t="s">
        <v>737</v>
      </c>
      <c r="F120" s="402" t="s">
        <v>2243</v>
      </c>
    </row>
    <row r="121" spans="1:6" ht="18.95" customHeight="1">
      <c r="A121" s="30">
        <f t="shared" si="7"/>
        <v>82</v>
      </c>
      <c r="B121" s="31" t="s">
        <v>1737</v>
      </c>
      <c r="C121" s="38" t="s">
        <v>1727</v>
      </c>
      <c r="D121" s="95">
        <v>0</v>
      </c>
      <c r="E121" s="389" t="s">
        <v>737</v>
      </c>
      <c r="F121" s="402" t="s">
        <v>2243</v>
      </c>
    </row>
    <row r="122" spans="1:6" s="28" customFormat="1" ht="20.100000000000001" customHeight="1">
      <c r="A122" s="706" t="str">
        <f>A$1</f>
        <v>KENTUCKY UTILITIES COMPANY</v>
      </c>
      <c r="B122" s="706"/>
      <c r="C122" s="706"/>
      <c r="D122" s="706"/>
      <c r="E122" s="706"/>
      <c r="F122" s="706"/>
    </row>
    <row r="123" spans="1:6" s="28" customFormat="1" ht="20.100000000000001" customHeight="1">
      <c r="A123" s="706" t="str">
        <f>A$2</f>
        <v>CASE NO. 2016-00370</v>
      </c>
      <c r="B123" s="706"/>
      <c r="C123" s="706"/>
      <c r="D123" s="706"/>
      <c r="E123" s="706"/>
      <c r="F123" s="706"/>
    </row>
    <row r="124" spans="1:6" s="28" customFormat="1" ht="20.100000000000001" customHeight="1">
      <c r="A124" s="706" t="s">
        <v>1502</v>
      </c>
      <c r="B124" s="706"/>
      <c r="C124" s="706"/>
      <c r="D124" s="706"/>
      <c r="E124" s="706"/>
      <c r="F124" s="706"/>
    </row>
    <row r="125" spans="1:6" s="28" customFormat="1" ht="20.100000000000001" customHeight="1">
      <c r="A125" s="705" t="str">
        <f>A$4</f>
        <v>FORECAST PERIOD FOR THE 12 MONTHS ENDED JUNE 30, 2018</v>
      </c>
      <c r="B125" s="706"/>
      <c r="C125" s="706"/>
      <c r="D125" s="706"/>
      <c r="E125" s="706"/>
      <c r="F125" s="706"/>
    </row>
    <row r="126" spans="1:6" s="28" customFormat="1" ht="20.100000000000001" customHeight="1">
      <c r="A126" s="400"/>
      <c r="B126" s="400"/>
      <c r="C126" s="400"/>
      <c r="D126" s="400"/>
      <c r="E126" s="400"/>
      <c r="F126" s="400"/>
    </row>
    <row r="127" spans="1:6" s="28" customFormat="1" ht="20.100000000000001" customHeight="1">
      <c r="A127" s="27" t="str">
        <f>A$6</f>
        <v>DATA:____BASE  PERIOD__X__FORECASTED  PERIOD</v>
      </c>
      <c r="B127" s="27"/>
      <c r="E127" s="401"/>
      <c r="F127" s="34" t="s">
        <v>1501</v>
      </c>
    </row>
    <row r="128" spans="1:6" s="28" customFormat="1" ht="20.100000000000001" customHeight="1">
      <c r="A128" s="27" t="str">
        <f>A$7</f>
        <v>TYPE OF FILING: __X__ ORIGINAL  _____ UPDATED  _____ REVISED</v>
      </c>
      <c r="E128" s="401"/>
      <c r="F128" s="34" t="s">
        <v>2307</v>
      </c>
    </row>
    <row r="129" spans="1:6" s="28" customFormat="1" ht="20.100000000000001" customHeight="1">
      <c r="A129" s="27" t="str">
        <f>A$8</f>
        <v xml:space="preserve">WORKPAPER REFERENCE NO(S).: </v>
      </c>
      <c r="B129" s="27"/>
      <c r="E129" s="401"/>
      <c r="F129" s="35" t="str">
        <f>F$8</f>
        <v>WITNESS:   C. M. GARRETT</v>
      </c>
    </row>
    <row r="130" spans="1:6" s="28" customFormat="1" ht="20.100000000000001" customHeight="1">
      <c r="E130" s="401"/>
    </row>
    <row r="131" spans="1:6" ht="58.5" customHeight="1">
      <c r="A131" s="36" t="s">
        <v>134</v>
      </c>
      <c r="B131" s="36" t="s">
        <v>137</v>
      </c>
      <c r="C131" s="39" t="s">
        <v>2228</v>
      </c>
      <c r="D131" s="36" t="s">
        <v>227</v>
      </c>
      <c r="E131" s="36" t="s">
        <v>2230</v>
      </c>
      <c r="F131" s="36" t="s">
        <v>1500</v>
      </c>
    </row>
    <row r="132" spans="1:6" ht="23.1" customHeight="1">
      <c r="A132" s="40"/>
      <c r="B132" s="40"/>
      <c r="C132" s="41"/>
      <c r="D132" s="42"/>
      <c r="E132" s="42"/>
      <c r="F132" s="42"/>
    </row>
    <row r="133" spans="1:6" ht="18.95" customHeight="1">
      <c r="A133" s="30">
        <f>A121+1</f>
        <v>83</v>
      </c>
      <c r="B133" s="31" t="s">
        <v>1738</v>
      </c>
      <c r="C133" s="38" t="s">
        <v>1739</v>
      </c>
      <c r="D133" s="95">
        <v>0</v>
      </c>
      <c r="E133" s="389" t="s">
        <v>737</v>
      </c>
      <c r="F133" s="402" t="s">
        <v>2243</v>
      </c>
    </row>
    <row r="134" spans="1:6" ht="18.95" customHeight="1">
      <c r="A134" s="30">
        <f t="shared" si="7"/>
        <v>84</v>
      </c>
      <c r="B134" s="31" t="s">
        <v>1740</v>
      </c>
      <c r="C134" s="38" t="s">
        <v>1741</v>
      </c>
      <c r="D134" s="95">
        <v>0</v>
      </c>
      <c r="E134" s="389" t="s">
        <v>737</v>
      </c>
      <c r="F134" s="402" t="s">
        <v>2243</v>
      </c>
    </row>
    <row r="135" spans="1:6" ht="18.95" customHeight="1">
      <c r="A135" s="30">
        <f>A134+1</f>
        <v>85</v>
      </c>
      <c r="B135" s="31" t="s">
        <v>1742</v>
      </c>
      <c r="C135" s="38" t="s">
        <v>1743</v>
      </c>
      <c r="D135" s="95">
        <v>0</v>
      </c>
      <c r="E135" s="389" t="s">
        <v>737</v>
      </c>
      <c r="F135" s="402" t="s">
        <v>2243</v>
      </c>
    </row>
    <row r="136" spans="1:6" ht="18.95" customHeight="1">
      <c r="A136" s="30">
        <f t="shared" si="7"/>
        <v>86</v>
      </c>
      <c r="B136" s="31" t="s">
        <v>1744</v>
      </c>
      <c r="C136" s="38" t="s">
        <v>1745</v>
      </c>
      <c r="D136" s="95">
        <v>0</v>
      </c>
      <c r="E136" s="389" t="s">
        <v>737</v>
      </c>
      <c r="F136" s="402" t="s">
        <v>2243</v>
      </c>
    </row>
    <row r="137" spans="1:6" ht="18.95" customHeight="1">
      <c r="A137" s="30"/>
      <c r="B137" s="31"/>
      <c r="C137" s="38"/>
      <c r="D137" s="95"/>
      <c r="E137" s="389"/>
    </row>
    <row r="138" spans="1:6" ht="18.95" customHeight="1">
      <c r="A138" s="30">
        <f>A136+1</f>
        <v>87</v>
      </c>
      <c r="C138" s="408" t="s">
        <v>33</v>
      </c>
      <c r="D138" s="95"/>
      <c r="E138" s="389"/>
    </row>
    <row r="139" spans="1:6" ht="18.95" customHeight="1">
      <c r="A139" s="30">
        <f t="shared" ref="A139:A147" si="8">A138+1</f>
        <v>88</v>
      </c>
      <c r="B139" s="31" t="s">
        <v>1750</v>
      </c>
      <c r="C139" s="38" t="s">
        <v>157</v>
      </c>
      <c r="D139" s="95">
        <f>'JURISSEP F'!G212/'JURISSEP F'!E212</f>
        <v>0.90371060862444874</v>
      </c>
      <c r="E139" s="389" t="s">
        <v>422</v>
      </c>
      <c r="F139" s="402" t="s">
        <v>2246</v>
      </c>
    </row>
    <row r="140" spans="1:6" ht="18.95" customHeight="1">
      <c r="A140" s="30">
        <f t="shared" si="8"/>
        <v>89</v>
      </c>
      <c r="B140" s="31" t="s">
        <v>1751</v>
      </c>
      <c r="C140" s="38" t="s">
        <v>151</v>
      </c>
      <c r="D140" s="95">
        <f>'JURISSEP F'!G213/'JURISSEP F'!E213</f>
        <v>0.90371060862444874</v>
      </c>
      <c r="E140" s="389" t="s">
        <v>422</v>
      </c>
      <c r="F140" s="402" t="s">
        <v>2246</v>
      </c>
    </row>
    <row r="141" spans="1:6" ht="18.95" customHeight="1">
      <c r="A141" s="30">
        <f t="shared" si="8"/>
        <v>90</v>
      </c>
      <c r="B141" s="31" t="s">
        <v>1752</v>
      </c>
      <c r="C141" s="38" t="s">
        <v>159</v>
      </c>
      <c r="D141" s="95">
        <f>'JURISSEP F'!G214/'JURISSEP F'!E214</f>
        <v>0.90371060862444874</v>
      </c>
      <c r="E141" s="389" t="s">
        <v>422</v>
      </c>
      <c r="F141" s="402" t="s">
        <v>2246</v>
      </c>
    </row>
    <row r="142" spans="1:6" ht="18.95" customHeight="1">
      <c r="A142" s="30">
        <f t="shared" si="8"/>
        <v>91</v>
      </c>
      <c r="B142" s="31" t="s">
        <v>1753</v>
      </c>
      <c r="C142" s="38" t="s">
        <v>158</v>
      </c>
      <c r="D142" s="95">
        <f>'JURISSEP F'!G215/'JURISSEP F'!E215</f>
        <v>0.90371060862444874</v>
      </c>
      <c r="E142" s="389" t="s">
        <v>422</v>
      </c>
      <c r="F142" s="402" t="s">
        <v>2246</v>
      </c>
    </row>
    <row r="143" spans="1:6" ht="18.95" customHeight="1">
      <c r="A143" s="30">
        <f t="shared" si="8"/>
        <v>92</v>
      </c>
      <c r="B143" s="31" t="s">
        <v>1754</v>
      </c>
      <c r="C143" s="38" t="s">
        <v>1755</v>
      </c>
      <c r="D143" s="95">
        <f>'JURISSEP F'!G216/'JURISSEP F'!E216</f>
        <v>0.90371060862444885</v>
      </c>
      <c r="E143" s="389" t="s">
        <v>422</v>
      </c>
      <c r="F143" s="402" t="s">
        <v>2246</v>
      </c>
    </row>
    <row r="144" spans="1:6" ht="18.95" customHeight="1">
      <c r="A144" s="30">
        <f t="shared" si="8"/>
        <v>93</v>
      </c>
      <c r="B144" s="31" t="s">
        <v>1756</v>
      </c>
      <c r="C144" s="38" t="s">
        <v>1757</v>
      </c>
      <c r="D144" s="95">
        <f>'JURISSEP F'!G217/'JURISSEP F'!E217</f>
        <v>0.90371060862444874</v>
      </c>
      <c r="E144" s="389" t="s">
        <v>422</v>
      </c>
      <c r="F144" s="402" t="s">
        <v>2246</v>
      </c>
    </row>
    <row r="145" spans="1:6" ht="18.95" customHeight="1">
      <c r="A145" s="30">
        <f t="shared" si="8"/>
        <v>94</v>
      </c>
      <c r="B145" s="31" t="s">
        <v>1758</v>
      </c>
      <c r="C145" s="38" t="s">
        <v>1759</v>
      </c>
      <c r="D145" s="95">
        <f>D139</f>
        <v>0.90371060862444874</v>
      </c>
      <c r="E145" s="389" t="s">
        <v>422</v>
      </c>
      <c r="F145" s="402" t="s">
        <v>2246</v>
      </c>
    </row>
    <row r="146" spans="1:6" ht="18.95" customHeight="1">
      <c r="A146" s="30">
        <f>A145+1</f>
        <v>95</v>
      </c>
      <c r="B146" s="31" t="s">
        <v>1760</v>
      </c>
      <c r="C146" s="38" t="s">
        <v>1761</v>
      </c>
      <c r="D146" s="95">
        <f>'JURISSEP F'!G219/'JURISSEP F'!E219</f>
        <v>0.90371060862444874</v>
      </c>
      <c r="E146" s="389" t="s">
        <v>422</v>
      </c>
      <c r="F146" s="402" t="s">
        <v>2246</v>
      </c>
    </row>
    <row r="147" spans="1:6" ht="18.95" customHeight="1">
      <c r="A147" s="30">
        <f t="shared" si="8"/>
        <v>96</v>
      </c>
      <c r="B147" s="31" t="s">
        <v>1762</v>
      </c>
      <c r="C147" s="38" t="s">
        <v>160</v>
      </c>
      <c r="D147" s="95">
        <f>'JURISSEP F'!G223/'JURISSEP F'!E223</f>
        <v>0.92074352528161585</v>
      </c>
      <c r="E147" s="389" t="s">
        <v>2247</v>
      </c>
      <c r="F147" s="402" t="s">
        <v>2248</v>
      </c>
    </row>
    <row r="148" spans="1:6" ht="18.95" customHeight="1">
      <c r="A148" s="30">
        <f>A147+1</f>
        <v>97</v>
      </c>
      <c r="B148" s="31" t="s">
        <v>1763</v>
      </c>
      <c r="C148" s="38" t="s">
        <v>1764</v>
      </c>
      <c r="D148" s="95">
        <f>D139</f>
        <v>0.90371060862444874</v>
      </c>
      <c r="E148" s="389" t="s">
        <v>422</v>
      </c>
      <c r="F148" s="402" t="s">
        <v>2246</v>
      </c>
    </row>
    <row r="149" spans="1:6" ht="18.95" customHeight="1">
      <c r="A149" s="30"/>
      <c r="B149" s="31"/>
      <c r="C149" s="38"/>
      <c r="D149" s="95"/>
      <c r="E149" s="389"/>
      <c r="F149" s="402"/>
    </row>
    <row r="150" spans="1:6" ht="18.95" customHeight="1">
      <c r="A150" s="30">
        <f>A148+1</f>
        <v>98</v>
      </c>
      <c r="B150" s="31"/>
      <c r="C150" s="407" t="s">
        <v>1206</v>
      </c>
      <c r="D150" s="95"/>
      <c r="E150" s="389"/>
      <c r="F150" s="402"/>
    </row>
    <row r="151" spans="1:6" ht="18.95" customHeight="1">
      <c r="A151" s="30">
        <f>A150+1</f>
        <v>99</v>
      </c>
      <c r="B151" s="31">
        <v>302</v>
      </c>
      <c r="C151" s="38" t="s">
        <v>1676</v>
      </c>
      <c r="D151" s="95">
        <f>'JURISSEP F'!G274/'JURISSEP F'!E274</f>
        <v>1</v>
      </c>
      <c r="E151" s="389"/>
      <c r="F151" s="402" t="s">
        <v>2249</v>
      </c>
    </row>
    <row r="152" spans="1:6" ht="18.95" customHeight="1">
      <c r="A152" s="30">
        <f t="shared" ref="A152" si="9">A151+1</f>
        <v>100</v>
      </c>
      <c r="B152" s="31">
        <v>303</v>
      </c>
      <c r="C152" s="38" t="s">
        <v>1678</v>
      </c>
      <c r="D152" s="95">
        <f>'JURISSEP F'!G275/'JURISSEP F'!E275</f>
        <v>0.88836656691270399</v>
      </c>
      <c r="E152" s="389"/>
      <c r="F152" s="402" t="s">
        <v>2250</v>
      </c>
    </row>
    <row r="153" spans="1:6" ht="18.95" customHeight="1">
      <c r="A153" s="30">
        <f>A152+1</f>
        <v>101</v>
      </c>
      <c r="B153" s="410" t="s">
        <v>2256</v>
      </c>
      <c r="C153" s="411" t="s">
        <v>74</v>
      </c>
      <c r="D153" s="95">
        <f>'JURISSEP F'!G$1248</f>
        <v>0.87577725766318848</v>
      </c>
      <c r="E153" s="389" t="s">
        <v>447</v>
      </c>
      <c r="F153" s="402" t="s">
        <v>2257</v>
      </c>
    </row>
    <row r="154" spans="1:6" ht="18.95" customHeight="1">
      <c r="A154" s="30">
        <f>A153+1</f>
        <v>102</v>
      </c>
      <c r="B154" s="410" t="s">
        <v>2259</v>
      </c>
      <c r="C154" s="411" t="s">
        <v>49</v>
      </c>
      <c r="D154" s="95">
        <f>'JURISSEP F'!G1249</f>
        <v>0.87577725766318848</v>
      </c>
      <c r="E154" s="389" t="s">
        <v>452</v>
      </c>
      <c r="F154" s="402" t="s">
        <v>2260</v>
      </c>
    </row>
    <row r="155" spans="1:6" ht="18.95" customHeight="1">
      <c r="A155" s="30">
        <f>A154+1</f>
        <v>103</v>
      </c>
      <c r="B155" s="410" t="s">
        <v>2262</v>
      </c>
      <c r="C155" s="411" t="s">
        <v>63</v>
      </c>
      <c r="D155" s="95">
        <f>'JURISSEP F'!G1250</f>
        <v>0.87577725766318848</v>
      </c>
      <c r="E155" s="389" t="s">
        <v>455</v>
      </c>
      <c r="F155" s="402" t="s">
        <v>2261</v>
      </c>
    </row>
    <row r="156" spans="1:6" ht="18.95" customHeight="1">
      <c r="A156" s="30">
        <f t="shared" ref="A156:A159" si="10">A155+1</f>
        <v>104</v>
      </c>
      <c r="B156" s="410" t="s">
        <v>2265</v>
      </c>
      <c r="C156" s="411" t="s">
        <v>2263</v>
      </c>
      <c r="D156" s="95">
        <f>'JURISSEP F'!G1251</f>
        <v>0.95106318110181076</v>
      </c>
      <c r="E156" s="389" t="s">
        <v>1011</v>
      </c>
      <c r="F156" s="402" t="s">
        <v>2267</v>
      </c>
    </row>
    <row r="157" spans="1:6" ht="18.95" customHeight="1">
      <c r="A157" s="30">
        <f t="shared" si="10"/>
        <v>105</v>
      </c>
      <c r="B157" s="410" t="s">
        <v>2266</v>
      </c>
      <c r="C157" s="411" t="s">
        <v>2264</v>
      </c>
      <c r="D157" s="95">
        <f>'JURISSEP F'!G1271</f>
        <v>0.1303997516937824</v>
      </c>
      <c r="E157" s="389" t="s">
        <v>462</v>
      </c>
      <c r="F157" s="402" t="s">
        <v>2285</v>
      </c>
    </row>
    <row r="158" spans="1:6" ht="18.95" customHeight="1">
      <c r="A158" s="30">
        <f t="shared" si="10"/>
        <v>106</v>
      </c>
      <c r="B158" s="410" t="s">
        <v>2271</v>
      </c>
      <c r="C158" s="411" t="s">
        <v>2269</v>
      </c>
      <c r="D158" s="95">
        <f>'JURISSEP F'!G269/'JURISSEP F'!E269</f>
        <v>0.99717076150041828</v>
      </c>
      <c r="E158" s="389" t="s">
        <v>2272</v>
      </c>
      <c r="F158" s="402" t="s">
        <v>2273</v>
      </c>
    </row>
    <row r="159" spans="1:6" ht="18.95" customHeight="1">
      <c r="A159" s="30">
        <f t="shared" si="10"/>
        <v>107</v>
      </c>
      <c r="B159" s="410" t="s">
        <v>2270</v>
      </c>
      <c r="C159" s="411" t="s">
        <v>2268</v>
      </c>
      <c r="D159" s="95">
        <v>0</v>
      </c>
      <c r="E159" s="389" t="s">
        <v>467</v>
      </c>
      <c r="F159" s="402" t="s">
        <v>2274</v>
      </c>
    </row>
    <row r="160" spans="1:6" ht="18.95" customHeight="1">
      <c r="A160" s="30">
        <f>A159+1</f>
        <v>108</v>
      </c>
      <c r="B160" s="410" t="s">
        <v>2275</v>
      </c>
      <c r="C160" s="411" t="s">
        <v>2276</v>
      </c>
      <c r="D160" s="95">
        <f>'JURISSEP F'!G272/'JURISSEP F'!E272</f>
        <v>0.90871558561033627</v>
      </c>
      <c r="E160" s="389" t="s">
        <v>471</v>
      </c>
      <c r="F160" s="402" t="s">
        <v>2277</v>
      </c>
    </row>
    <row r="161" spans="1:6" ht="18.95" customHeight="1">
      <c r="A161" s="30">
        <f>A160+1</f>
        <v>109</v>
      </c>
      <c r="B161" s="410" t="s">
        <v>2258</v>
      </c>
      <c r="C161" s="38" t="s">
        <v>2229</v>
      </c>
      <c r="D161" s="95">
        <v>0</v>
      </c>
      <c r="E161" s="389" t="s">
        <v>315</v>
      </c>
      <c r="F161" s="402" t="s">
        <v>2232</v>
      </c>
    </row>
    <row r="162" spans="1:6" ht="18.95" customHeight="1">
      <c r="A162" s="30"/>
      <c r="B162" s="410"/>
      <c r="C162" s="411"/>
      <c r="D162" s="95"/>
      <c r="E162" s="389"/>
      <c r="F162" s="402"/>
    </row>
    <row r="163" spans="1:6" ht="18.95" customHeight="1">
      <c r="A163" s="30">
        <f>A161+1</f>
        <v>110</v>
      </c>
      <c r="B163" s="410"/>
      <c r="C163" s="407" t="s">
        <v>479</v>
      </c>
      <c r="D163" s="95"/>
      <c r="E163" s="389"/>
      <c r="F163" s="402"/>
    </row>
    <row r="164" spans="1:6" ht="18.95" customHeight="1">
      <c r="A164" s="30">
        <f>A163+1</f>
        <v>111</v>
      </c>
      <c r="B164" s="410" t="s">
        <v>2282</v>
      </c>
      <c r="C164" s="38" t="s">
        <v>2278</v>
      </c>
      <c r="D164" s="95">
        <f>'JURISSEP F'!G1259</f>
        <v>0.87577725766318848</v>
      </c>
      <c r="E164" s="389" t="s">
        <v>481</v>
      </c>
      <c r="F164" s="402" t="s">
        <v>2280</v>
      </c>
    </row>
    <row r="165" spans="1:6" ht="18.95" customHeight="1">
      <c r="A165" s="30">
        <f t="shared" ref="A165:A170" si="11">A164+1</f>
        <v>112</v>
      </c>
      <c r="B165" s="410" t="s">
        <v>2265</v>
      </c>
      <c r="C165" s="411" t="s">
        <v>2263</v>
      </c>
      <c r="D165" s="95">
        <f>'JURISSEP F'!G$1343</f>
        <v>0.95475429180960469</v>
      </c>
      <c r="E165" s="389" t="s">
        <v>460</v>
      </c>
      <c r="F165" s="402" t="s">
        <v>2267</v>
      </c>
    </row>
    <row r="166" spans="1:6" ht="18.95" customHeight="1">
      <c r="A166" s="30">
        <f t="shared" si="11"/>
        <v>113</v>
      </c>
      <c r="B166" s="410" t="s">
        <v>2266</v>
      </c>
      <c r="C166" s="411" t="s">
        <v>2264</v>
      </c>
      <c r="D166" s="95">
        <v>0</v>
      </c>
      <c r="E166" s="389" t="s">
        <v>487</v>
      </c>
      <c r="F166" s="402" t="s">
        <v>2284</v>
      </c>
    </row>
    <row r="167" spans="1:6" ht="18.95" customHeight="1">
      <c r="A167" s="30">
        <f t="shared" si="11"/>
        <v>114</v>
      </c>
      <c r="B167" s="410" t="s">
        <v>2271</v>
      </c>
      <c r="C167" s="411" t="s">
        <v>2269</v>
      </c>
      <c r="D167" s="95">
        <f>'JURISSEP F'!G1274</f>
        <v>1</v>
      </c>
      <c r="E167" s="389" t="s">
        <v>492</v>
      </c>
      <c r="F167" s="402" t="s">
        <v>2283</v>
      </c>
    </row>
    <row r="168" spans="1:6" ht="18.95" customHeight="1">
      <c r="A168" s="30">
        <f t="shared" si="11"/>
        <v>115</v>
      </c>
      <c r="B168" s="410" t="s">
        <v>2270</v>
      </c>
      <c r="C168" s="411" t="s">
        <v>2268</v>
      </c>
      <c r="D168" s="95">
        <v>0</v>
      </c>
      <c r="E168" s="389" t="s">
        <v>490</v>
      </c>
      <c r="F168" s="402" t="s">
        <v>2281</v>
      </c>
    </row>
    <row r="169" spans="1:6" ht="18.95" customHeight="1">
      <c r="A169" s="30">
        <f t="shared" si="11"/>
        <v>116</v>
      </c>
      <c r="B169" s="410" t="s">
        <v>2275</v>
      </c>
      <c r="C169" s="411" t="s">
        <v>2276</v>
      </c>
      <c r="D169" s="95">
        <f>'JURISSEP F'!G1256</f>
        <v>0.90871558561033627</v>
      </c>
      <c r="E169" s="389" t="s">
        <v>471</v>
      </c>
      <c r="F169" s="402" t="s">
        <v>2277</v>
      </c>
    </row>
    <row r="170" spans="1:6" ht="18.95" customHeight="1">
      <c r="A170" s="30">
        <f t="shared" si="11"/>
        <v>117</v>
      </c>
      <c r="B170" s="31" t="s">
        <v>2258</v>
      </c>
      <c r="C170" s="38" t="s">
        <v>2229</v>
      </c>
      <c r="D170" s="95">
        <v>0</v>
      </c>
      <c r="E170" s="389" t="s">
        <v>315</v>
      </c>
      <c r="F170" s="402" t="s">
        <v>2232</v>
      </c>
    </row>
    <row r="171" spans="1:6" ht="18.95" customHeight="1">
      <c r="A171" s="30"/>
      <c r="B171" s="31"/>
      <c r="C171" s="38"/>
      <c r="D171" s="95"/>
      <c r="E171" s="389"/>
      <c r="F171" s="402"/>
    </row>
    <row r="172" spans="1:6" ht="18.95" customHeight="1">
      <c r="A172" s="30">
        <f>A170+1</f>
        <v>118</v>
      </c>
      <c r="B172" s="31"/>
      <c r="C172" s="407" t="s">
        <v>495</v>
      </c>
      <c r="D172" s="95"/>
      <c r="E172" s="389"/>
      <c r="F172" s="402"/>
    </row>
    <row r="173" spans="1:6" ht="18.95" customHeight="1">
      <c r="A173" s="30">
        <f>A172+1</f>
        <v>119</v>
      </c>
      <c r="B173" s="31">
        <v>151</v>
      </c>
      <c r="C173" s="38" t="s">
        <v>2286</v>
      </c>
      <c r="D173" s="95">
        <f>'JURISSEP F'!G1209</f>
        <v>0.87938242823882584</v>
      </c>
      <c r="E173" s="389" t="s">
        <v>498</v>
      </c>
      <c r="F173" s="402" t="s">
        <v>2287</v>
      </c>
    </row>
    <row r="174" spans="1:6" ht="18.95" customHeight="1">
      <c r="A174" s="30">
        <f t="shared" ref="A174:A177" si="12">A173+1</f>
        <v>120</v>
      </c>
      <c r="B174" s="31">
        <v>154</v>
      </c>
      <c r="C174" s="38" t="s">
        <v>2288</v>
      </c>
      <c r="D174" s="95">
        <f>'JURISSEP F'!G$1263</f>
        <v>0.88553931444006784</v>
      </c>
      <c r="E174" s="389" t="s">
        <v>2289</v>
      </c>
      <c r="F174" s="402" t="s">
        <v>2290</v>
      </c>
    </row>
    <row r="175" spans="1:6" ht="18.95" customHeight="1">
      <c r="A175" s="30">
        <f t="shared" si="12"/>
        <v>121</v>
      </c>
      <c r="B175" s="31">
        <v>158</v>
      </c>
      <c r="C175" s="38" t="s">
        <v>2291</v>
      </c>
      <c r="D175" s="95">
        <f t="shared" ref="D175" si="13">D$19</f>
        <v>0.87577725766318848</v>
      </c>
      <c r="E175" s="389" t="s">
        <v>307</v>
      </c>
      <c r="F175" s="402" t="s">
        <v>2234</v>
      </c>
    </row>
    <row r="176" spans="1:6" ht="18.95" customHeight="1">
      <c r="A176" s="30">
        <f t="shared" si="12"/>
        <v>122</v>
      </c>
      <c r="B176" s="31">
        <v>163</v>
      </c>
      <c r="C176" s="38" t="s">
        <v>2292</v>
      </c>
      <c r="D176" s="95">
        <f>'JURISSEP F'!G$1263</f>
        <v>0.88553931444006784</v>
      </c>
      <c r="E176" s="389" t="s">
        <v>2293</v>
      </c>
      <c r="F176" s="402" t="s">
        <v>2294</v>
      </c>
    </row>
    <row r="177" spans="1:6" ht="18.95" customHeight="1">
      <c r="A177" s="30">
        <f t="shared" si="12"/>
        <v>123</v>
      </c>
      <c r="B177" s="31">
        <v>165</v>
      </c>
      <c r="C177" s="38" t="s">
        <v>1570</v>
      </c>
      <c r="D177" s="95">
        <f>'JURISSEP F'!G1264</f>
        <v>0.89465443055790106</v>
      </c>
      <c r="E177" s="389" t="s">
        <v>2295</v>
      </c>
      <c r="F177" s="402" t="s">
        <v>2296</v>
      </c>
    </row>
    <row r="178" spans="1:6" ht="18.95" customHeight="1">
      <c r="A178" s="30"/>
      <c r="B178" s="31"/>
      <c r="C178" s="38"/>
      <c r="D178" s="95"/>
      <c r="E178" s="389"/>
      <c r="F178" s="402"/>
    </row>
    <row r="179" spans="1:6" ht="33.75" customHeight="1">
      <c r="A179" s="30">
        <f>A177+1</f>
        <v>124</v>
      </c>
      <c r="B179" s="31"/>
      <c r="C179" s="407" t="s">
        <v>2486</v>
      </c>
      <c r="D179" s="95"/>
      <c r="E179" s="389"/>
      <c r="F179" s="402"/>
    </row>
    <row r="180" spans="1:6" ht="18.95" customHeight="1">
      <c r="A180" s="30">
        <f>A179+1</f>
        <v>125</v>
      </c>
      <c r="B180" s="30" t="s">
        <v>1498</v>
      </c>
      <c r="C180" s="38" t="s">
        <v>2278</v>
      </c>
      <c r="D180" s="95">
        <f>D164</f>
        <v>0.87577725766318848</v>
      </c>
      <c r="E180" s="389" t="s">
        <v>481</v>
      </c>
      <c r="F180" s="402" t="s">
        <v>2280</v>
      </c>
    </row>
    <row r="181" spans="1:6" ht="18.95" customHeight="1">
      <c r="A181" s="30">
        <f t="shared" ref="A181:A197" si="14">A180+1</f>
        <v>126</v>
      </c>
      <c r="B181" s="30" t="s">
        <v>1498</v>
      </c>
      <c r="C181" s="411" t="s">
        <v>2263</v>
      </c>
      <c r="D181" s="95">
        <f>D165</f>
        <v>0.95475429180960469</v>
      </c>
      <c r="E181" s="389" t="s">
        <v>460</v>
      </c>
      <c r="F181" s="402" t="s">
        <v>2267</v>
      </c>
    </row>
    <row r="182" spans="1:6" ht="18.95" customHeight="1">
      <c r="A182" s="30">
        <f t="shared" si="14"/>
        <v>127</v>
      </c>
      <c r="B182" s="30" t="s">
        <v>1498</v>
      </c>
      <c r="C182" s="411" t="s">
        <v>2264</v>
      </c>
      <c r="D182" s="95">
        <v>0</v>
      </c>
      <c r="E182" s="389" t="s">
        <v>487</v>
      </c>
      <c r="F182" s="402" t="s">
        <v>2284</v>
      </c>
    </row>
    <row r="183" spans="1:6" s="28" customFormat="1" ht="20.100000000000001" customHeight="1">
      <c r="A183" s="706" t="str">
        <f>A$1</f>
        <v>KENTUCKY UTILITIES COMPANY</v>
      </c>
      <c r="B183" s="706"/>
      <c r="C183" s="706"/>
      <c r="D183" s="706"/>
      <c r="E183" s="706"/>
      <c r="F183" s="706"/>
    </row>
    <row r="184" spans="1:6" s="28" customFormat="1" ht="20.100000000000001" customHeight="1">
      <c r="A184" s="706" t="str">
        <f>A$2</f>
        <v>CASE NO. 2016-00370</v>
      </c>
      <c r="B184" s="706"/>
      <c r="C184" s="706"/>
      <c r="D184" s="706"/>
      <c r="E184" s="706"/>
      <c r="F184" s="706"/>
    </row>
    <row r="185" spans="1:6" s="28" customFormat="1" ht="20.100000000000001" customHeight="1">
      <c r="A185" s="706" t="s">
        <v>1502</v>
      </c>
      <c r="B185" s="706"/>
      <c r="C185" s="706"/>
      <c r="D185" s="706"/>
      <c r="E185" s="706"/>
      <c r="F185" s="706"/>
    </row>
    <row r="186" spans="1:6" s="28" customFormat="1" ht="20.100000000000001" customHeight="1">
      <c r="A186" s="705" t="str">
        <f>A$4</f>
        <v>FORECAST PERIOD FOR THE 12 MONTHS ENDED JUNE 30, 2018</v>
      </c>
      <c r="B186" s="706"/>
      <c r="C186" s="706"/>
      <c r="D186" s="706"/>
      <c r="E186" s="706"/>
      <c r="F186" s="706"/>
    </row>
    <row r="187" spans="1:6" s="28" customFormat="1" ht="20.100000000000001" customHeight="1">
      <c r="A187" s="400"/>
      <c r="B187" s="400"/>
      <c r="C187" s="400"/>
      <c r="D187" s="400"/>
      <c r="E187" s="400"/>
      <c r="F187" s="400"/>
    </row>
    <row r="188" spans="1:6" s="28" customFormat="1" ht="20.100000000000001" customHeight="1">
      <c r="A188" s="27" t="str">
        <f>A$6</f>
        <v>DATA:____BASE  PERIOD__X__FORECASTED  PERIOD</v>
      </c>
      <c r="B188" s="27"/>
      <c r="E188" s="401"/>
      <c r="F188" s="34" t="s">
        <v>1501</v>
      </c>
    </row>
    <row r="189" spans="1:6" s="28" customFormat="1" ht="20.100000000000001" customHeight="1">
      <c r="A189" s="27" t="str">
        <f>A$7</f>
        <v>TYPE OF FILING: __X__ ORIGINAL  _____ UPDATED  _____ REVISED</v>
      </c>
      <c r="E189" s="401"/>
      <c r="F189" s="34" t="s">
        <v>2308</v>
      </c>
    </row>
    <row r="190" spans="1:6" s="28" customFormat="1" ht="20.100000000000001" customHeight="1">
      <c r="A190" s="27" t="str">
        <f>A$8</f>
        <v xml:space="preserve">WORKPAPER REFERENCE NO(S).: </v>
      </c>
      <c r="B190" s="27"/>
      <c r="E190" s="401"/>
      <c r="F190" s="35" t="str">
        <f>F$8</f>
        <v>WITNESS:   C. M. GARRETT</v>
      </c>
    </row>
    <row r="191" spans="1:6" s="28" customFormat="1" ht="20.100000000000001" customHeight="1">
      <c r="E191" s="401"/>
    </row>
    <row r="192" spans="1:6" ht="58.5" customHeight="1">
      <c r="A192" s="36" t="s">
        <v>134</v>
      </c>
      <c r="B192" s="36" t="s">
        <v>137</v>
      </c>
      <c r="C192" s="39" t="s">
        <v>2228</v>
      </c>
      <c r="D192" s="36" t="s">
        <v>227</v>
      </c>
      <c r="E192" s="36" t="s">
        <v>2230</v>
      </c>
      <c r="F192" s="36" t="s">
        <v>1500</v>
      </c>
    </row>
    <row r="193" spans="1:6" ht="23.1" customHeight="1">
      <c r="A193" s="40"/>
      <c r="B193" s="40"/>
      <c r="C193" s="41"/>
      <c r="D193" s="42"/>
      <c r="E193" s="42"/>
      <c r="F193" s="42"/>
    </row>
    <row r="194" spans="1:6" ht="18.95" customHeight="1">
      <c r="A194" s="30">
        <f>A182+1</f>
        <v>128</v>
      </c>
      <c r="B194" s="30" t="s">
        <v>1498</v>
      </c>
      <c r="C194" s="411" t="s">
        <v>2298</v>
      </c>
      <c r="D194" s="95">
        <f>D167</f>
        <v>1</v>
      </c>
      <c r="E194" s="389" t="s">
        <v>492</v>
      </c>
      <c r="F194" s="402" t="s">
        <v>2283</v>
      </c>
    </row>
    <row r="195" spans="1:6" ht="18.95" customHeight="1">
      <c r="A195" s="30">
        <f t="shared" si="14"/>
        <v>129</v>
      </c>
      <c r="B195" s="30" t="s">
        <v>1498</v>
      </c>
      <c r="C195" s="411" t="s">
        <v>2297</v>
      </c>
      <c r="D195" s="95">
        <v>0</v>
      </c>
      <c r="E195" s="389" t="s">
        <v>490</v>
      </c>
      <c r="F195" s="402" t="s">
        <v>2299</v>
      </c>
    </row>
    <row r="196" spans="1:6" ht="18.95" customHeight="1">
      <c r="A196" s="30">
        <f t="shared" si="14"/>
        <v>130</v>
      </c>
      <c r="B196" s="30" t="s">
        <v>1498</v>
      </c>
      <c r="C196" s="411" t="s">
        <v>2276</v>
      </c>
      <c r="D196" s="95">
        <f>D169</f>
        <v>0.90871558561033627</v>
      </c>
      <c r="E196" s="389" t="s">
        <v>471</v>
      </c>
      <c r="F196" s="402" t="s">
        <v>2277</v>
      </c>
    </row>
    <row r="197" spans="1:6" ht="18.95" customHeight="1">
      <c r="A197" s="30">
        <f t="shared" si="14"/>
        <v>131</v>
      </c>
      <c r="B197" s="30" t="s">
        <v>1498</v>
      </c>
      <c r="C197" s="38" t="s">
        <v>2229</v>
      </c>
      <c r="D197" s="95">
        <v>0</v>
      </c>
      <c r="E197" s="389" t="s">
        <v>315</v>
      </c>
      <c r="F197" s="402" t="s">
        <v>2232</v>
      </c>
    </row>
    <row r="198" spans="1:6" ht="18.95" customHeight="1">
      <c r="A198" s="30"/>
      <c r="B198" s="31"/>
      <c r="C198" s="38"/>
      <c r="D198" s="95"/>
      <c r="E198" s="389"/>
      <c r="F198" s="402"/>
    </row>
    <row r="199" spans="1:6" ht="18.95" customHeight="1">
      <c r="A199" s="30">
        <f>A197+1</f>
        <v>132</v>
      </c>
      <c r="B199" s="33">
        <v>252</v>
      </c>
      <c r="C199" s="38" t="s">
        <v>1197</v>
      </c>
      <c r="D199" s="95">
        <f>'JURISSEP F'!G1220</f>
        <v>0.9830612018582785</v>
      </c>
      <c r="E199" s="389" t="s">
        <v>540</v>
      </c>
      <c r="F199" s="402" t="s">
        <v>2300</v>
      </c>
    </row>
    <row r="200" spans="1:6" ht="18.95" customHeight="1">
      <c r="A200" s="30"/>
      <c r="B200" s="31"/>
      <c r="C200" s="38"/>
      <c r="D200" s="95"/>
      <c r="E200" s="389"/>
      <c r="F200" s="402"/>
    </row>
    <row r="201" spans="1:6" ht="18.95" customHeight="1">
      <c r="A201" s="30">
        <f>A199+1</f>
        <v>133</v>
      </c>
      <c r="B201" s="31">
        <v>255</v>
      </c>
      <c r="C201" s="38" t="s">
        <v>1488</v>
      </c>
      <c r="D201" s="95">
        <f>'JURISSEP F'!G1260</f>
        <v>0.87012107919337789</v>
      </c>
      <c r="E201" s="389" t="s">
        <v>501</v>
      </c>
      <c r="F201" s="402" t="s">
        <v>2279</v>
      </c>
    </row>
    <row r="202" spans="1:6" ht="18.95" customHeight="1">
      <c r="A202" s="30"/>
      <c r="B202" s="31"/>
      <c r="C202" s="38"/>
      <c r="D202" s="95"/>
      <c r="E202" s="389"/>
      <c r="F202" s="402"/>
    </row>
    <row r="203" spans="1:6" ht="18.95" customHeight="1">
      <c r="A203" s="30">
        <f>A201+1</f>
        <v>134</v>
      </c>
      <c r="B203" s="30" t="s">
        <v>2481</v>
      </c>
      <c r="C203" s="38" t="s">
        <v>2485</v>
      </c>
      <c r="D203" s="95">
        <f>'JURISSEP F'!G$1248</f>
        <v>0.87577725766318848</v>
      </c>
      <c r="E203" s="389" t="s">
        <v>447</v>
      </c>
      <c r="F203" s="402" t="s">
        <v>2257</v>
      </c>
    </row>
    <row r="204" spans="1:6" ht="18.95" customHeight="1">
      <c r="A204" s="30"/>
      <c r="B204" s="31"/>
      <c r="C204" s="38"/>
      <c r="D204" s="95"/>
      <c r="E204" s="389"/>
      <c r="F204" s="402"/>
    </row>
    <row r="205" spans="1:6" ht="18.95" customHeight="1">
      <c r="A205" s="30"/>
      <c r="B205" s="31"/>
      <c r="C205" s="38"/>
      <c r="D205" s="95"/>
      <c r="E205" s="389"/>
      <c r="F205" s="402"/>
    </row>
    <row r="206" spans="1:6" ht="18.95" customHeight="1">
      <c r="A206" s="30"/>
      <c r="B206" s="31"/>
      <c r="C206" s="38"/>
      <c r="D206" s="95"/>
      <c r="E206" s="389"/>
      <c r="F206" s="402"/>
    </row>
    <row r="207" spans="1:6" ht="18.95" customHeight="1">
      <c r="A207" s="30"/>
      <c r="B207" s="31"/>
      <c r="C207" s="38"/>
      <c r="D207" s="95"/>
      <c r="E207" s="389"/>
      <c r="F207" s="402"/>
    </row>
    <row r="208" spans="1:6" ht="18.95" customHeight="1">
      <c r="A208" s="30"/>
      <c r="B208" s="31"/>
      <c r="C208" s="38"/>
      <c r="D208" s="95"/>
      <c r="E208" s="389"/>
      <c r="F208" s="402"/>
    </row>
    <row r="209" spans="1:6" ht="18.95" customHeight="1">
      <c r="A209" s="30"/>
      <c r="B209" s="31"/>
      <c r="C209" s="38"/>
      <c r="D209" s="95"/>
      <c r="E209" s="389"/>
      <c r="F209" s="402"/>
    </row>
    <row r="210" spans="1:6" ht="18.95" customHeight="1">
      <c r="A210" s="30"/>
      <c r="B210" s="31"/>
      <c r="C210" s="38"/>
      <c r="D210" s="95"/>
      <c r="E210" s="389"/>
      <c r="F210" s="402"/>
    </row>
    <row r="211" spans="1:6" ht="18.95" customHeight="1">
      <c r="A211" s="30"/>
      <c r="B211" s="31"/>
      <c r="C211" s="38"/>
      <c r="D211" s="95"/>
      <c r="E211" s="389"/>
      <c r="F211" s="402"/>
    </row>
    <row r="212" spans="1:6" ht="18.95" customHeight="1">
      <c r="A212" s="30"/>
      <c r="B212" s="31"/>
      <c r="C212" s="38"/>
      <c r="D212" s="95"/>
      <c r="E212" s="389"/>
      <c r="F212" s="402"/>
    </row>
    <row r="213" spans="1:6" ht="18.95" customHeight="1">
      <c r="A213" s="30"/>
      <c r="B213" s="31"/>
      <c r="C213" s="38"/>
      <c r="D213" s="95"/>
      <c r="E213" s="389"/>
      <c r="F213" s="402"/>
    </row>
    <row r="214" spans="1:6" ht="18.95" customHeight="1">
      <c r="A214" s="30"/>
      <c r="B214" s="31"/>
      <c r="C214" s="38"/>
      <c r="D214" s="95"/>
      <c r="E214" s="389"/>
      <c r="F214" s="402"/>
    </row>
    <row r="215" spans="1:6" ht="18.95" customHeight="1">
      <c r="A215" s="30"/>
      <c r="B215" s="31"/>
      <c r="C215" s="38"/>
      <c r="D215" s="95"/>
      <c r="E215" s="389"/>
      <c r="F215" s="402"/>
    </row>
    <row r="216" spans="1:6" ht="18.95" customHeight="1">
      <c r="A216" s="30"/>
      <c r="B216" s="31"/>
      <c r="C216" s="38"/>
      <c r="D216" s="95"/>
      <c r="E216" s="389"/>
      <c r="F216" s="402"/>
    </row>
    <row r="217" spans="1:6" ht="18.95" customHeight="1">
      <c r="A217" s="30"/>
      <c r="B217" s="31"/>
      <c r="C217" s="38"/>
      <c r="D217" s="95"/>
      <c r="E217" s="389"/>
      <c r="F217" s="402"/>
    </row>
    <row r="218" spans="1:6" ht="18.95" customHeight="1">
      <c r="A218" s="30"/>
      <c r="B218" s="31"/>
      <c r="C218" s="38"/>
      <c r="D218" s="95"/>
      <c r="E218" s="389"/>
      <c r="F218" s="402"/>
    </row>
    <row r="219" spans="1:6" ht="18.95" customHeight="1">
      <c r="A219" s="30"/>
      <c r="B219" s="31"/>
      <c r="C219" s="38"/>
      <c r="D219" s="95"/>
      <c r="E219" s="389"/>
      <c r="F219" s="402"/>
    </row>
    <row r="220" spans="1:6" ht="18.95" customHeight="1">
      <c r="A220" s="30"/>
      <c r="B220" s="31"/>
      <c r="C220" s="38"/>
      <c r="D220" s="95"/>
      <c r="E220" s="389"/>
      <c r="F220" s="402"/>
    </row>
    <row r="221" spans="1:6" ht="18.95" customHeight="1">
      <c r="A221" s="30"/>
      <c r="B221" s="31"/>
      <c r="C221" s="38"/>
      <c r="D221" s="95"/>
      <c r="E221" s="389"/>
      <c r="F221" s="402"/>
    </row>
    <row r="222" spans="1:6" ht="18.95" customHeight="1">
      <c r="A222" s="30"/>
      <c r="B222" s="31"/>
      <c r="C222" s="38"/>
      <c r="D222" s="95"/>
      <c r="E222" s="389"/>
      <c r="F222" s="402"/>
    </row>
    <row r="223" spans="1:6" ht="18.95" customHeight="1">
      <c r="A223" s="30"/>
      <c r="B223" s="31"/>
      <c r="C223" s="38"/>
      <c r="D223" s="95"/>
      <c r="E223" s="389"/>
      <c r="F223" s="402"/>
    </row>
    <row r="224" spans="1:6" ht="18.95" customHeight="1">
      <c r="A224" s="30"/>
      <c r="B224" s="31"/>
      <c r="C224" s="38"/>
      <c r="D224" s="95"/>
      <c r="E224" s="389"/>
      <c r="F224" s="402"/>
    </row>
    <row r="225" spans="1:6" ht="18.95" customHeight="1">
      <c r="A225" s="30"/>
      <c r="B225" s="31"/>
      <c r="C225" s="38"/>
      <c r="D225" s="95"/>
      <c r="E225" s="389"/>
      <c r="F225" s="402"/>
    </row>
    <row r="226" spans="1:6" ht="18.95" customHeight="1">
      <c r="A226" s="30"/>
      <c r="B226" s="31"/>
      <c r="C226" s="38"/>
      <c r="D226" s="95"/>
      <c r="E226" s="389"/>
      <c r="F226" s="402"/>
    </row>
    <row r="227" spans="1:6" ht="18.95" customHeight="1">
      <c r="A227" s="30"/>
      <c r="B227" s="31"/>
      <c r="C227" s="38"/>
      <c r="D227" s="95"/>
      <c r="E227" s="389"/>
      <c r="F227" s="402"/>
    </row>
    <row r="228" spans="1:6" ht="18.95" customHeight="1">
      <c r="A228" s="30"/>
      <c r="B228" s="31"/>
      <c r="C228" s="38"/>
      <c r="D228" s="95"/>
      <c r="E228" s="389"/>
      <c r="F228" s="402"/>
    </row>
    <row r="229" spans="1:6" ht="18.95" customHeight="1">
      <c r="A229" s="30"/>
      <c r="B229" s="31"/>
      <c r="C229" s="38"/>
      <c r="D229" s="95"/>
      <c r="E229" s="389"/>
      <c r="F229" s="402"/>
    </row>
    <row r="230" spans="1:6" ht="18.95" customHeight="1">
      <c r="A230" s="30"/>
      <c r="B230" s="31"/>
      <c r="C230" s="38"/>
      <c r="D230" s="95"/>
      <c r="E230" s="389"/>
      <c r="F230" s="402"/>
    </row>
    <row r="231" spans="1:6" ht="18.95" customHeight="1">
      <c r="A231" s="30"/>
      <c r="B231" s="31"/>
      <c r="C231" s="38"/>
      <c r="D231" s="95"/>
      <c r="E231" s="389"/>
      <c r="F231" s="402"/>
    </row>
    <row r="232" spans="1:6" ht="18.95" customHeight="1">
      <c r="A232" s="30"/>
      <c r="B232" s="31"/>
      <c r="C232" s="38"/>
      <c r="D232" s="95"/>
      <c r="E232" s="389"/>
      <c r="F232" s="402"/>
    </row>
    <row r="233" spans="1:6" ht="18.95" customHeight="1">
      <c r="A233" s="30"/>
      <c r="B233" s="31"/>
      <c r="C233" s="38"/>
      <c r="D233" s="95"/>
      <c r="E233" s="389"/>
      <c r="F233" s="402"/>
    </row>
    <row r="234" spans="1:6" ht="18.95" customHeight="1">
      <c r="A234" s="30"/>
      <c r="B234" s="31"/>
      <c r="C234" s="38"/>
      <c r="D234" s="95"/>
      <c r="E234" s="389"/>
      <c r="F234" s="402"/>
    </row>
    <row r="235" spans="1:6" ht="18.95" customHeight="1">
      <c r="A235" s="30"/>
      <c r="B235" s="31"/>
      <c r="C235" s="38"/>
      <c r="D235" s="95"/>
      <c r="E235" s="389"/>
      <c r="F235" s="402"/>
    </row>
    <row r="236" spans="1:6" ht="18.95" customHeight="1">
      <c r="A236" s="30"/>
      <c r="B236" s="31"/>
      <c r="C236" s="38"/>
      <c r="D236" s="95"/>
      <c r="E236" s="389"/>
      <c r="F236" s="402"/>
    </row>
    <row r="237" spans="1:6" ht="18.95" customHeight="1">
      <c r="A237" s="30"/>
      <c r="B237" s="31"/>
      <c r="C237" s="38"/>
      <c r="D237" s="95"/>
      <c r="E237" s="389"/>
      <c r="F237" s="402"/>
    </row>
    <row r="238" spans="1:6" ht="18.95" customHeight="1">
      <c r="A238" s="30"/>
      <c r="B238" s="31"/>
      <c r="C238" s="38"/>
      <c r="D238" s="95"/>
      <c r="E238" s="389"/>
      <c r="F238" s="402"/>
    </row>
    <row r="239" spans="1:6" ht="18.95" customHeight="1">
      <c r="A239" s="30"/>
      <c r="B239" s="31"/>
      <c r="C239" s="38"/>
      <c r="D239" s="95"/>
      <c r="E239" s="389"/>
      <c r="F239" s="402"/>
    </row>
    <row r="240" spans="1:6" ht="18.95" customHeight="1">
      <c r="A240" s="30"/>
      <c r="B240" s="31"/>
      <c r="C240" s="38"/>
      <c r="D240" s="95"/>
      <c r="E240" s="389"/>
      <c r="F240" s="402"/>
    </row>
    <row r="241" spans="1:6" ht="18.95" customHeight="1">
      <c r="A241" s="30"/>
      <c r="B241" s="31"/>
      <c r="C241" s="38"/>
      <c r="D241" s="95"/>
      <c r="E241" s="389"/>
      <c r="F241" s="402"/>
    </row>
    <row r="242" spans="1:6" ht="18.95" customHeight="1">
      <c r="A242" s="30"/>
      <c r="B242" s="31"/>
      <c r="C242" s="38"/>
      <c r="D242" s="95"/>
      <c r="E242" s="389"/>
      <c r="F242" s="402"/>
    </row>
    <row r="243" spans="1:6" ht="18.95" customHeight="1">
      <c r="A243" s="30"/>
      <c r="B243" s="31"/>
      <c r="C243" s="38"/>
      <c r="D243" s="95"/>
      <c r="E243" s="389"/>
      <c r="F243" s="402"/>
    </row>
    <row r="244" spans="1:6" ht="18.95" customHeight="1">
      <c r="A244" s="30"/>
      <c r="B244" s="31"/>
      <c r="C244" s="38"/>
      <c r="D244" s="95"/>
      <c r="E244" s="389"/>
      <c r="F244" s="402"/>
    </row>
    <row r="245" spans="1:6" ht="18.95" customHeight="1">
      <c r="A245" s="30"/>
      <c r="B245" s="31"/>
      <c r="C245" s="38"/>
      <c r="D245" s="95"/>
      <c r="E245" s="389"/>
      <c r="F245" s="402"/>
    </row>
    <row r="246" spans="1:6" ht="18.95" customHeight="1">
      <c r="A246" s="30"/>
      <c r="B246" s="31"/>
      <c r="C246" s="38"/>
      <c r="D246" s="95"/>
      <c r="E246" s="389"/>
      <c r="F246" s="402"/>
    </row>
    <row r="247" spans="1:6" ht="18.95" customHeight="1">
      <c r="A247" s="30"/>
      <c r="B247" s="31"/>
      <c r="C247" s="38"/>
      <c r="D247" s="95"/>
      <c r="E247" s="389"/>
      <c r="F247" s="402"/>
    </row>
    <row r="248" spans="1:6" ht="18.95" customHeight="1">
      <c r="A248" s="30"/>
      <c r="B248" s="31"/>
      <c r="C248" s="38"/>
      <c r="D248" s="95"/>
      <c r="E248" s="389"/>
      <c r="F248" s="402"/>
    </row>
    <row r="249" spans="1:6" ht="18.95" customHeight="1">
      <c r="A249" s="30"/>
      <c r="B249" s="31"/>
      <c r="C249" s="38"/>
      <c r="D249" s="95"/>
      <c r="E249" s="389"/>
      <c r="F249" s="402"/>
    </row>
    <row r="250" spans="1:6" ht="18.95" customHeight="1">
      <c r="A250" s="30"/>
      <c r="B250" s="31"/>
      <c r="C250" s="38"/>
      <c r="D250" s="95"/>
      <c r="E250" s="389"/>
      <c r="F250" s="402"/>
    </row>
    <row r="251" spans="1:6" ht="18.95" customHeight="1">
      <c r="A251" s="30"/>
      <c r="B251" s="31"/>
      <c r="C251" s="38"/>
      <c r="D251" s="95"/>
      <c r="E251" s="389"/>
      <c r="F251" s="402"/>
    </row>
    <row r="252" spans="1:6" ht="18.95" customHeight="1">
      <c r="A252" s="30"/>
      <c r="B252" s="31"/>
      <c r="C252" s="38"/>
      <c r="D252" s="95"/>
      <c r="E252" s="389"/>
      <c r="F252" s="402"/>
    </row>
    <row r="253" spans="1:6" ht="18.95" customHeight="1">
      <c r="A253" s="30"/>
      <c r="B253" s="31"/>
      <c r="C253" s="38"/>
      <c r="D253" s="95"/>
      <c r="E253" s="389"/>
      <c r="F253" s="402"/>
    </row>
    <row r="254" spans="1:6" ht="18.95" customHeight="1">
      <c r="A254" s="30"/>
      <c r="B254" s="31"/>
      <c r="C254" s="38"/>
      <c r="D254" s="95"/>
      <c r="E254" s="389"/>
      <c r="F254" s="402"/>
    </row>
    <row r="255" spans="1:6" ht="18.95" customHeight="1">
      <c r="A255" s="30"/>
      <c r="B255" s="31"/>
      <c r="C255" s="38"/>
      <c r="D255" s="95"/>
      <c r="E255" s="389"/>
      <c r="F255" s="402"/>
    </row>
    <row r="256" spans="1:6" ht="18.95" customHeight="1">
      <c r="A256" s="30"/>
      <c r="B256" s="31"/>
      <c r="C256" s="38"/>
      <c r="D256" s="95"/>
      <c r="E256" s="389"/>
      <c r="F256" s="402"/>
    </row>
    <row r="257" spans="1:6" ht="18.95" customHeight="1">
      <c r="A257" s="30"/>
      <c r="B257" s="31"/>
      <c r="C257" s="38"/>
      <c r="D257" s="95"/>
      <c r="E257" s="389"/>
      <c r="F257" s="402"/>
    </row>
    <row r="258" spans="1:6" ht="18.95" customHeight="1">
      <c r="A258" s="30"/>
      <c r="B258" s="31"/>
      <c r="C258" s="38"/>
      <c r="D258" s="95"/>
      <c r="E258" s="389"/>
      <c r="F258" s="402"/>
    </row>
    <row r="259" spans="1:6" ht="18.95" customHeight="1">
      <c r="A259" s="30"/>
      <c r="B259" s="31"/>
      <c r="C259" s="38"/>
      <c r="D259" s="95"/>
      <c r="E259" s="389"/>
      <c r="F259" s="402"/>
    </row>
    <row r="260" spans="1:6">
      <c r="D260" s="95"/>
    </row>
    <row r="261" spans="1:6">
      <c r="D261" s="95"/>
    </row>
  </sheetData>
  <mergeCells count="16">
    <mergeCell ref="A4:F4"/>
    <mergeCell ref="A1:F1"/>
    <mergeCell ref="A2:F2"/>
    <mergeCell ref="A3:F3"/>
    <mergeCell ref="A61:F61"/>
    <mergeCell ref="A62:F62"/>
    <mergeCell ref="A63:F63"/>
    <mergeCell ref="A64:F64"/>
    <mergeCell ref="A122:F122"/>
    <mergeCell ref="A185:F185"/>
    <mergeCell ref="A186:F186"/>
    <mergeCell ref="A123:F123"/>
    <mergeCell ref="A124:F124"/>
    <mergeCell ref="A125:F125"/>
    <mergeCell ref="A183:F183"/>
    <mergeCell ref="A184:F184"/>
  </mergeCells>
  <pageMargins left="0.95" right="0.5" top="0.75" bottom="0.75" header="0.3" footer="0.3"/>
  <pageSetup scale="50" fitToHeight="0" orientation="portrait" r:id="rId1"/>
  <rowBreaks count="3" manualBreakCount="3">
    <brk id="60" max="5" man="1"/>
    <brk id="121" max="5" man="1"/>
    <brk id="182" max="5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pageSetUpPr fitToPage="1"/>
  </sheetPr>
  <dimension ref="A1:I42"/>
  <sheetViews>
    <sheetView topLeftCell="A10" zoomScaleNormal="100" workbookViewId="0">
      <selection activeCell="F29" sqref="F29"/>
    </sheetView>
  </sheetViews>
  <sheetFormatPr defaultColWidth="9" defaultRowHeight="12.75"/>
  <cols>
    <col min="1" max="1" width="6" style="29" customWidth="1"/>
    <col min="2" max="2" width="34.21875" style="29" customWidth="1"/>
    <col min="3" max="5" width="13.6640625" style="29" customWidth="1"/>
    <col min="6" max="6" width="14.77734375" style="29" customWidth="1"/>
    <col min="7" max="7" width="15.21875" style="29" customWidth="1"/>
    <col min="8" max="8" width="1.6640625" style="29" customWidth="1"/>
    <col min="9" max="16384" width="9" style="29"/>
  </cols>
  <sheetData>
    <row r="1" spans="1:9" s="28" customFormat="1" ht="20.100000000000001" customHeight="1">
      <c r="A1" s="706" t="str">
        <f>'Rate Case Constants'!C9</f>
        <v>KENTUCKY UTILITIES COMPANY</v>
      </c>
      <c r="B1" s="706"/>
      <c r="C1" s="706"/>
      <c r="D1" s="706"/>
      <c r="E1" s="706"/>
      <c r="F1" s="706"/>
      <c r="G1" s="706"/>
    </row>
    <row r="2" spans="1:9" s="28" customFormat="1" ht="20.100000000000001" customHeight="1">
      <c r="A2" s="706" t="str">
        <f>'Rate Case Constants'!C10</f>
        <v>CASE NO. 2016-00370</v>
      </c>
      <c r="B2" s="706"/>
      <c r="C2" s="706"/>
      <c r="D2" s="706"/>
      <c r="E2" s="706"/>
      <c r="F2" s="706"/>
      <c r="G2" s="706"/>
    </row>
    <row r="3" spans="1:9" s="28" customFormat="1" ht="20.100000000000001" customHeight="1">
      <c r="A3" s="706" t="s">
        <v>1516</v>
      </c>
      <c r="B3" s="706"/>
      <c r="C3" s="706"/>
      <c r="D3" s="706"/>
      <c r="E3" s="706"/>
      <c r="F3" s="706"/>
      <c r="G3" s="706"/>
    </row>
    <row r="4" spans="1:9" s="28" customFormat="1" ht="20.100000000000001" customHeight="1">
      <c r="A4" s="705" t="str">
        <f>'Rate Case Constants'!C15</f>
        <v>BASE YEAR FOR THE 12 MONTHS ENDED FEBRUARY 28, 2017</v>
      </c>
      <c r="B4" s="705"/>
      <c r="C4" s="705"/>
      <c r="D4" s="705"/>
      <c r="E4" s="705"/>
      <c r="F4" s="705"/>
      <c r="G4" s="705"/>
    </row>
    <row r="5" spans="1:9" s="28" customFormat="1" ht="20.100000000000001" customHeight="1">
      <c r="A5" s="392"/>
      <c r="B5" s="392"/>
      <c r="C5" s="392"/>
      <c r="D5" s="392"/>
      <c r="E5" s="392"/>
      <c r="F5" s="392"/>
      <c r="G5" s="392"/>
    </row>
    <row r="6" spans="1:9" s="28" customFormat="1" ht="20.100000000000001" customHeight="1">
      <c r="A6" s="27" t="s">
        <v>136</v>
      </c>
      <c r="G6" s="34" t="s">
        <v>1515</v>
      </c>
    </row>
    <row r="7" spans="1:9" s="28" customFormat="1" ht="20.100000000000001" customHeight="1">
      <c r="A7" s="28" t="str">
        <f>'Rate Case Constants'!C29</f>
        <v>TYPE OF FILING: __X__ ORIGINAL  _____ UPDATED  _____ REVISED</v>
      </c>
      <c r="G7" s="34" t="s">
        <v>180</v>
      </c>
    </row>
    <row r="8" spans="1:9" s="28" customFormat="1" ht="20.100000000000001" customHeight="1">
      <c r="A8" s="27" t="s">
        <v>1460</v>
      </c>
      <c r="G8" s="35" t="str">
        <f>'Rate Case Constants'!C37</f>
        <v>WITNESS:   C. M. GARRETT</v>
      </c>
    </row>
    <row r="9" spans="1:9" s="28" customFormat="1" ht="20.100000000000001" customHeight="1"/>
    <row r="10" spans="1:9" ht="65.099999999999994" customHeight="1">
      <c r="A10" s="36" t="s">
        <v>134</v>
      </c>
      <c r="B10" s="39" t="s">
        <v>1183</v>
      </c>
      <c r="C10" s="36" t="s">
        <v>1517</v>
      </c>
      <c r="D10" s="36" t="s">
        <v>1518</v>
      </c>
      <c r="E10" s="36" t="s">
        <v>1519</v>
      </c>
      <c r="F10" s="36" t="s">
        <v>2226</v>
      </c>
      <c r="G10" s="36" t="s">
        <v>1521</v>
      </c>
    </row>
    <row r="11" spans="1:9" ht="23.1" customHeight="1">
      <c r="A11" s="40" t="s">
        <v>1226</v>
      </c>
      <c r="B11" s="40" t="s">
        <v>1227</v>
      </c>
      <c r="C11" s="40" t="s">
        <v>1230</v>
      </c>
      <c r="D11" s="40" t="s">
        <v>1238</v>
      </c>
      <c r="E11" s="40" t="s">
        <v>1520</v>
      </c>
      <c r="F11" s="40" t="s">
        <v>1240</v>
      </c>
      <c r="G11" s="40" t="s">
        <v>1522</v>
      </c>
    </row>
    <row r="12" spans="1:9" ht="18.95" customHeight="1">
      <c r="A12" s="33"/>
      <c r="B12" s="33"/>
      <c r="C12" s="33"/>
      <c r="D12" s="33"/>
      <c r="E12" s="33"/>
      <c r="F12" s="33"/>
      <c r="G12" s="33"/>
    </row>
    <row r="13" spans="1:9" ht="18.95" customHeight="1">
      <c r="A13" s="30">
        <v>1</v>
      </c>
      <c r="B13" s="38" t="s">
        <v>15</v>
      </c>
      <c r="C13" s="51">
        <f>'SCH B-2.1 B'!D113</f>
        <v>9282639661.7299938</v>
      </c>
      <c r="D13" s="51">
        <f>'SCH B-2.2'!D29</f>
        <v>-1689523496.7800009</v>
      </c>
      <c r="E13" s="51">
        <f>C13+D13</f>
        <v>7593116164.9499931</v>
      </c>
      <c r="F13" s="51">
        <f>'SCH B-1'!D14</f>
        <v>6763836329.1472015</v>
      </c>
      <c r="G13" s="95">
        <f>F13/E13</f>
        <v>0.89078530898410757</v>
      </c>
      <c r="I13" s="95"/>
    </row>
    <row r="14" spans="1:9" ht="18.95" customHeight="1">
      <c r="A14" s="30">
        <v>2</v>
      </c>
      <c r="B14" s="38" t="s">
        <v>1190</v>
      </c>
      <c r="C14" s="51">
        <f>SUM('SCH B-2.6'!D13:D15)</f>
        <v>747510.94</v>
      </c>
      <c r="D14" s="51">
        <v>0</v>
      </c>
      <c r="E14" s="51">
        <f t="shared" ref="E14:E15" si="0">C14+D14</f>
        <v>747510.94</v>
      </c>
      <c r="F14" s="51">
        <f>SUM('SCH B-2.6'!G13:G15)</f>
        <v>384971.08674773236</v>
      </c>
      <c r="G14" s="95">
        <f t="shared" ref="G14:G18" si="1">F14/E14</f>
        <v>0.51500394997260157</v>
      </c>
      <c r="I14" s="95"/>
    </row>
    <row r="15" spans="1:9" ht="18.95" customHeight="1">
      <c r="A15" s="30">
        <v>3</v>
      </c>
      <c r="B15" s="38" t="s">
        <v>1187</v>
      </c>
      <c r="C15" s="96">
        <f>'SCH B-3 B'!E116</f>
        <v>-3083012494.1474018</v>
      </c>
      <c r="D15" s="96">
        <f>'SCH B-3.1'!D28</f>
        <v>169417029.98403016</v>
      </c>
      <c r="E15" s="96">
        <f t="shared" si="0"/>
        <v>-2913595464.1633716</v>
      </c>
      <c r="F15" s="96">
        <f>'SCH B-1'!D16</f>
        <v>-2573686914.4091501</v>
      </c>
      <c r="G15" s="95">
        <f t="shared" si="1"/>
        <v>0.88333708164533231</v>
      </c>
      <c r="I15" s="95"/>
    </row>
    <row r="16" spans="1:9" ht="18.95" customHeight="1">
      <c r="A16" s="30">
        <v>4</v>
      </c>
      <c r="B16" s="38" t="s">
        <v>1214</v>
      </c>
      <c r="C16" s="51">
        <f>SUM(C13:C15)</f>
        <v>6200374678.5225925</v>
      </c>
      <c r="D16" s="51">
        <f>SUM(D13:D15)</f>
        <v>-1520106466.7959707</v>
      </c>
      <c r="E16" s="51">
        <f>SUM(E13:E15)</f>
        <v>4680268211.7266216</v>
      </c>
      <c r="F16" s="51">
        <f>SUM(F13:F15)</f>
        <v>4190534385.8247995</v>
      </c>
      <c r="G16" s="95">
        <f t="shared" si="1"/>
        <v>0.89536201692997597</v>
      </c>
      <c r="I16" s="95"/>
    </row>
    <row r="17" spans="1:9" ht="18.95" customHeight="1">
      <c r="A17" s="30">
        <v>5</v>
      </c>
      <c r="B17" s="38" t="s">
        <v>1188</v>
      </c>
      <c r="C17" s="96">
        <f>'SCH B-4'!F22</f>
        <v>139671981.03999999</v>
      </c>
      <c r="D17" s="96">
        <f>'SCH B-4.1'!C12</f>
        <v>-64188482.709999993</v>
      </c>
      <c r="E17" s="96">
        <f>C17+D17</f>
        <v>75483498.329999998</v>
      </c>
      <c r="F17" s="96">
        <f>'SCH B-1'!D18</f>
        <v>69767635.860117227</v>
      </c>
      <c r="G17" s="95">
        <f t="shared" si="1"/>
        <v>0.92427666183549062</v>
      </c>
      <c r="I17" s="95"/>
    </row>
    <row r="18" spans="1:9" ht="18.95" customHeight="1">
      <c r="A18" s="30">
        <v>6</v>
      </c>
      <c r="B18" s="38" t="s">
        <v>1215</v>
      </c>
      <c r="C18" s="51">
        <f>SUM(C16:C17)</f>
        <v>6340046659.5625925</v>
      </c>
      <c r="D18" s="51">
        <f>SUM(D16:D17)</f>
        <v>-1584294949.5059707</v>
      </c>
      <c r="E18" s="51">
        <f>SUM(E16:E17)</f>
        <v>4755751710.0566216</v>
      </c>
      <c r="F18" s="51">
        <f>SUM(F16:F17)</f>
        <v>4260302021.684917</v>
      </c>
      <c r="G18" s="95">
        <f t="shared" si="1"/>
        <v>0.89582095143360507</v>
      </c>
      <c r="I18" s="95"/>
    </row>
    <row r="19" spans="1:9" ht="18.95" customHeight="1">
      <c r="A19" s="30"/>
      <c r="B19" s="38"/>
      <c r="C19" s="51"/>
      <c r="D19" s="51"/>
      <c r="E19" s="51"/>
      <c r="F19" s="51"/>
    </row>
    <row r="20" spans="1:9" ht="18.95" customHeight="1">
      <c r="A20" s="30">
        <v>7</v>
      </c>
      <c r="B20" s="38" t="s">
        <v>1189</v>
      </c>
      <c r="C20" s="51">
        <f>'SUPP SCH B-1.1 B'!R38</f>
        <v>111647266.31580596</v>
      </c>
      <c r="D20" s="51">
        <f ca="1">-'ECR EXP B'!O25*1000</f>
        <v>-3109255.2362499973</v>
      </c>
      <c r="E20" s="51">
        <f t="shared" ref="E20:E25" ca="1" si="2">C20+D20</f>
        <v>108538011.07955596</v>
      </c>
      <c r="F20" s="51">
        <f ca="1">'SCH B-1'!D21</f>
        <v>101002227.49863997</v>
      </c>
      <c r="G20" s="95">
        <f t="shared" ref="G20:G24" ca="1" si="3">F20/E20</f>
        <v>0.93057009700138671</v>
      </c>
      <c r="I20" s="95"/>
    </row>
    <row r="21" spans="1:9" ht="18.95" customHeight="1">
      <c r="A21" s="30">
        <v>8</v>
      </c>
      <c r="B21" s="38" t="s">
        <v>1196</v>
      </c>
      <c r="C21" s="51">
        <f>'SUPP SCH B-1.1 B'!R35+'SUPP SCH B-1.1 B'!R36+'SUPP SCH B-1.1 B'!R37</f>
        <v>169611005.04231822</v>
      </c>
      <c r="D21" s="51">
        <f>-'ECR ALLOW'!O5*1000</f>
        <v>-136559.78</v>
      </c>
      <c r="E21" s="51">
        <f t="shared" si="2"/>
        <v>169474445.26231822</v>
      </c>
      <c r="F21" s="51">
        <f>'SCH B-1'!D22</f>
        <v>150181362.37122077</v>
      </c>
      <c r="G21" s="95">
        <f t="shared" si="3"/>
        <v>0.88615933888300991</v>
      </c>
      <c r="I21" s="95"/>
    </row>
    <row r="22" spans="1:9" ht="18.95" customHeight="1">
      <c r="A22" s="30">
        <v>9</v>
      </c>
      <c r="B22" s="38" t="s">
        <v>1197</v>
      </c>
      <c r="C22" s="51">
        <f>-'SUPP SCH B-1.1 B'!R26</f>
        <v>-1576406.04</v>
      </c>
      <c r="D22" s="51">
        <v>0</v>
      </c>
      <c r="E22" s="51">
        <f t="shared" si="2"/>
        <v>-1576406.04</v>
      </c>
      <c r="F22" s="51">
        <f>'SCH B-1'!D23</f>
        <v>-1549703.6162990495</v>
      </c>
      <c r="G22" s="95">
        <f t="shared" si="3"/>
        <v>0.9830612018582785</v>
      </c>
      <c r="I22" s="95"/>
    </row>
    <row r="23" spans="1:9" ht="18.95" customHeight="1">
      <c r="A23" s="30">
        <v>10</v>
      </c>
      <c r="B23" s="38" t="s">
        <v>1199</v>
      </c>
      <c r="C23" s="51">
        <f>-'SUPP SCH B-1.1 B'!R27</f>
        <v>-1198800295</v>
      </c>
      <c r="D23" s="51">
        <f>-'ECR DEFTAX'!H2</f>
        <v>280314806.03432101</v>
      </c>
      <c r="E23" s="51">
        <f t="shared" si="2"/>
        <v>-918485488.96567893</v>
      </c>
      <c r="F23" s="51">
        <f>'SCH B-1'!D24</f>
        <v>-819583394.08627367</v>
      </c>
      <c r="G23" s="95">
        <f t="shared" si="3"/>
        <v>0.89232046007522614</v>
      </c>
      <c r="I23" s="95"/>
    </row>
    <row r="24" spans="1:9" ht="18.95" customHeight="1">
      <c r="A24" s="30">
        <v>11</v>
      </c>
      <c r="B24" s="38" t="s">
        <v>1200</v>
      </c>
      <c r="C24" s="51">
        <f>-'SUPP SCH B-1.1 B'!R28</f>
        <v>-94865036.069999918</v>
      </c>
      <c r="D24" s="51">
        <v>0</v>
      </c>
      <c r="E24" s="51">
        <f t="shared" si="2"/>
        <v>-94865036.069999918</v>
      </c>
      <c r="F24" s="51">
        <f>'SCH B-1'!D25</f>
        <v>-82538337.052132368</v>
      </c>
      <c r="G24" s="95">
        <f t="shared" si="3"/>
        <v>0.87006067220833805</v>
      </c>
      <c r="I24" s="95"/>
    </row>
    <row r="25" spans="1:9" ht="18.95" customHeight="1">
      <c r="A25" s="30">
        <v>12</v>
      </c>
      <c r="B25" s="38" t="s">
        <v>1201</v>
      </c>
      <c r="C25" s="96">
        <f>-'SCH B-6'!D18</f>
        <v>4288025.3015468596</v>
      </c>
      <c r="D25" s="96">
        <f>-C25</f>
        <v>-4288025.3015468596</v>
      </c>
      <c r="E25" s="96">
        <f t="shared" si="2"/>
        <v>0</v>
      </c>
      <c r="F25" s="96">
        <f>'SCH B-1'!F26</f>
        <v>0</v>
      </c>
      <c r="G25" s="95">
        <v>0</v>
      </c>
      <c r="I25" s="95"/>
    </row>
    <row r="26" spans="1:9" ht="18.95" customHeight="1">
      <c r="A26" s="30"/>
      <c r="B26" s="38"/>
      <c r="C26" s="51"/>
      <c r="D26" s="51"/>
      <c r="E26" s="51"/>
      <c r="F26" s="51"/>
    </row>
    <row r="27" spans="1:9" ht="18.95" customHeight="1" thickBot="1">
      <c r="A27" s="30">
        <v>13</v>
      </c>
      <c r="B27" s="38" t="s">
        <v>1202</v>
      </c>
      <c r="C27" s="59">
        <f>SUM(C18:C25)</f>
        <v>5330351219.1122646</v>
      </c>
      <c r="D27" s="59">
        <f ca="1">SUM(D18:D25)</f>
        <v>-1311513983.7894464</v>
      </c>
      <c r="E27" s="59">
        <f ca="1">SUM(E18:E25)</f>
        <v>4018837235.3228168</v>
      </c>
      <c r="F27" s="59">
        <f ca="1">SUM(F18:F25)</f>
        <v>3607814176.8000727</v>
      </c>
      <c r="G27" s="95">
        <f ca="1">F27/E27</f>
        <v>0.89772587580553553</v>
      </c>
      <c r="I27" s="95"/>
    </row>
    <row r="28" spans="1:9" ht="18.95" customHeight="1" thickTop="1">
      <c r="C28" s="51"/>
      <c r="D28" s="51"/>
      <c r="E28" s="51"/>
      <c r="F28" s="51"/>
    </row>
    <row r="29" spans="1:9" ht="18.95" customHeight="1">
      <c r="C29" s="51"/>
      <c r="D29" s="51"/>
      <c r="E29" s="51"/>
      <c r="F29" s="51"/>
    </row>
    <row r="30" spans="1:9" ht="18.95" customHeight="1">
      <c r="C30" s="51"/>
      <c r="D30" s="51"/>
      <c r="E30" s="51"/>
      <c r="F30" s="51"/>
    </row>
    <row r="31" spans="1:9" ht="18.95" customHeight="1">
      <c r="C31" s="51"/>
      <c r="D31" s="51"/>
      <c r="E31" s="51"/>
      <c r="F31" s="51"/>
    </row>
    <row r="32" spans="1:9">
      <c r="C32" s="51"/>
      <c r="D32" s="51"/>
      <c r="E32" s="51"/>
      <c r="F32" s="51"/>
    </row>
    <row r="33" spans="3:6">
      <c r="C33" s="51"/>
      <c r="D33" s="51"/>
      <c r="E33" s="51"/>
      <c r="F33" s="51"/>
    </row>
    <row r="34" spans="3:6">
      <c r="C34" s="51"/>
      <c r="D34" s="51"/>
      <c r="E34" s="51"/>
      <c r="F34" s="51"/>
    </row>
    <row r="35" spans="3:6">
      <c r="C35" s="51"/>
      <c r="D35" s="51"/>
      <c r="E35" s="51"/>
      <c r="F35" s="51"/>
    </row>
    <row r="36" spans="3:6">
      <c r="C36" s="51"/>
      <c r="D36" s="51"/>
      <c r="E36" s="51"/>
      <c r="F36" s="51"/>
    </row>
    <row r="37" spans="3:6">
      <c r="C37" s="51"/>
      <c r="D37" s="51"/>
      <c r="E37" s="51"/>
      <c r="F37" s="51"/>
    </row>
    <row r="38" spans="3:6">
      <c r="C38" s="51"/>
      <c r="D38" s="51"/>
      <c r="E38" s="51"/>
      <c r="F38" s="51"/>
    </row>
    <row r="39" spans="3:6">
      <c r="C39" s="51"/>
      <c r="D39" s="51"/>
      <c r="E39" s="51"/>
      <c r="F39" s="51"/>
    </row>
    <row r="40" spans="3:6">
      <c r="C40" s="51"/>
      <c r="D40" s="51"/>
      <c r="E40" s="51"/>
      <c r="F40" s="51"/>
    </row>
    <row r="41" spans="3:6">
      <c r="C41" s="51"/>
      <c r="D41" s="51"/>
      <c r="E41" s="51"/>
      <c r="F41" s="51"/>
    </row>
    <row r="42" spans="3:6">
      <c r="C42" s="51"/>
      <c r="D42" s="51"/>
      <c r="E42" s="51"/>
      <c r="F42" s="51"/>
    </row>
  </sheetData>
  <mergeCells count="4">
    <mergeCell ref="A1:G1"/>
    <mergeCell ref="A2:G2"/>
    <mergeCell ref="A3:G3"/>
    <mergeCell ref="A4:G4"/>
  </mergeCells>
  <pageMargins left="0.95" right="0.5" top="0.75" bottom="0.75" header="0.3" footer="0.3"/>
  <pageSetup scale="74" fitToHeight="0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pageSetUpPr fitToPage="1"/>
  </sheetPr>
  <dimension ref="A1:I42"/>
  <sheetViews>
    <sheetView zoomScaleNormal="100" workbookViewId="0">
      <selection activeCell="A7" sqref="A7"/>
    </sheetView>
  </sheetViews>
  <sheetFormatPr defaultColWidth="9" defaultRowHeight="12.75"/>
  <cols>
    <col min="1" max="1" width="6" style="29" customWidth="1"/>
    <col min="2" max="2" width="34.21875" style="29" customWidth="1"/>
    <col min="3" max="5" width="13.6640625" style="29" customWidth="1"/>
    <col min="6" max="6" width="14.77734375" style="29" customWidth="1"/>
    <col min="7" max="7" width="15.21875" style="29" customWidth="1"/>
    <col min="8" max="8" width="1.6640625" style="29" customWidth="1"/>
    <col min="9" max="16384" width="9" style="29"/>
  </cols>
  <sheetData>
    <row r="1" spans="1:9" s="28" customFormat="1" ht="20.100000000000001" customHeight="1">
      <c r="A1" s="706" t="str">
        <f>'Rate Case Constants'!C9</f>
        <v>KENTUCKY UTILITIES COMPANY</v>
      </c>
      <c r="B1" s="706"/>
      <c r="C1" s="706"/>
      <c r="D1" s="706"/>
      <c r="E1" s="706"/>
      <c r="F1" s="706"/>
      <c r="G1" s="706"/>
    </row>
    <row r="2" spans="1:9" s="28" customFormat="1" ht="20.100000000000001" customHeight="1">
      <c r="A2" s="706" t="str">
        <f>'Rate Case Constants'!C10</f>
        <v>CASE NO. 2016-00370</v>
      </c>
      <c r="B2" s="706"/>
      <c r="C2" s="706"/>
      <c r="D2" s="706"/>
      <c r="E2" s="706"/>
      <c r="F2" s="706"/>
      <c r="G2" s="706"/>
    </row>
    <row r="3" spans="1:9" s="28" customFormat="1" ht="20.100000000000001" customHeight="1">
      <c r="A3" s="706" t="s">
        <v>1516</v>
      </c>
      <c r="B3" s="706"/>
      <c r="C3" s="706"/>
      <c r="D3" s="706"/>
      <c r="E3" s="706"/>
      <c r="F3" s="706"/>
      <c r="G3" s="706"/>
    </row>
    <row r="4" spans="1:9" s="28" customFormat="1" ht="20.100000000000001" customHeight="1">
      <c r="A4" s="705" t="str">
        <f>'Rate Case Constants'!C21</f>
        <v>FORECAST PERIOD FOR THE 12 MONTHS ENDED JUNE 30, 2018</v>
      </c>
      <c r="B4" s="709"/>
      <c r="C4" s="709"/>
      <c r="D4" s="709"/>
      <c r="E4" s="709"/>
      <c r="F4" s="709"/>
      <c r="G4" s="709"/>
    </row>
    <row r="5" spans="1:9" s="28" customFormat="1" ht="20.100000000000001" customHeight="1">
      <c r="A5" s="392"/>
      <c r="B5" s="392"/>
      <c r="C5" s="392"/>
      <c r="D5" s="392"/>
      <c r="E5" s="392"/>
      <c r="F5" s="392"/>
      <c r="G5" s="392"/>
    </row>
    <row r="6" spans="1:9" s="28" customFormat="1" ht="20.100000000000001" customHeight="1">
      <c r="A6" s="27" t="s">
        <v>164</v>
      </c>
      <c r="G6" s="34" t="s">
        <v>1515</v>
      </c>
    </row>
    <row r="7" spans="1:9" s="28" customFormat="1" ht="20.100000000000001" customHeight="1">
      <c r="A7" s="28" t="s">
        <v>3367</v>
      </c>
      <c r="G7" s="34" t="s">
        <v>188</v>
      </c>
    </row>
    <row r="8" spans="1:9" s="28" customFormat="1" ht="20.100000000000001" customHeight="1">
      <c r="A8" s="27" t="s">
        <v>1460</v>
      </c>
      <c r="G8" s="35" t="str">
        <f>'Rate Case Constants'!C37</f>
        <v>WITNESS:   C. M. GARRETT</v>
      </c>
    </row>
    <row r="9" spans="1:9" s="28" customFormat="1" ht="20.100000000000001" customHeight="1"/>
    <row r="10" spans="1:9" ht="65.099999999999994" customHeight="1">
      <c r="A10" s="36" t="s">
        <v>134</v>
      </c>
      <c r="B10" s="39" t="s">
        <v>1183</v>
      </c>
      <c r="C10" s="36" t="s">
        <v>1517</v>
      </c>
      <c r="D10" s="36" t="s">
        <v>1518</v>
      </c>
      <c r="E10" s="36" t="s">
        <v>1519</v>
      </c>
      <c r="F10" s="36" t="s">
        <v>2226</v>
      </c>
      <c r="G10" s="36" t="s">
        <v>1521</v>
      </c>
    </row>
    <row r="11" spans="1:9" ht="23.1" customHeight="1">
      <c r="A11" s="40" t="s">
        <v>1226</v>
      </c>
      <c r="B11" s="40" t="s">
        <v>1227</v>
      </c>
      <c r="C11" s="40" t="s">
        <v>1230</v>
      </c>
      <c r="D11" s="40" t="s">
        <v>1238</v>
      </c>
      <c r="E11" s="40" t="s">
        <v>1520</v>
      </c>
      <c r="F11" s="40" t="s">
        <v>1240</v>
      </c>
      <c r="G11" s="40" t="s">
        <v>1522</v>
      </c>
    </row>
    <row r="12" spans="1:9" ht="18.95" customHeight="1">
      <c r="A12" s="33"/>
      <c r="B12" s="33"/>
      <c r="C12" s="33"/>
      <c r="D12" s="33"/>
      <c r="E12" s="33"/>
      <c r="F12" s="33"/>
      <c r="G12" s="33"/>
    </row>
    <row r="13" spans="1:9" ht="18.95" customHeight="1">
      <c r="A13" s="30">
        <v>1</v>
      </c>
      <c r="B13" s="38" t="s">
        <v>15</v>
      </c>
      <c r="C13" s="51">
        <f>'SCH B-2.1 F'!D113</f>
        <v>9526311610.1107655</v>
      </c>
      <c r="D13" s="51">
        <f>'SCH B-2.2'!D59</f>
        <v>-1712238352.0246165</v>
      </c>
      <c r="E13" s="51">
        <f>C13+D13</f>
        <v>7814073258.0861492</v>
      </c>
      <c r="F13" s="51">
        <f>'SCH B-1'!F14</f>
        <v>6970368267.9741955</v>
      </c>
      <c r="G13" s="95">
        <f>F13/E13</f>
        <v>0.89202750444668888</v>
      </c>
      <c r="I13" s="95"/>
    </row>
    <row r="14" spans="1:9" ht="18.95" customHeight="1">
      <c r="A14" s="30">
        <v>2</v>
      </c>
      <c r="B14" s="38" t="s">
        <v>1190</v>
      </c>
      <c r="C14" s="51">
        <f>SUM('SCH B-2.6'!D29:D31)</f>
        <v>747510.94</v>
      </c>
      <c r="D14" s="51">
        <v>0</v>
      </c>
      <c r="E14" s="51">
        <f t="shared" ref="E14:E15" si="0">C14+D14</f>
        <v>747510.94</v>
      </c>
      <c r="F14" s="51">
        <f>SUM('SCH B-2.6'!G29:G31)</f>
        <v>384971.08674773236</v>
      </c>
      <c r="G14" s="95">
        <f t="shared" ref="G14:G18" si="1">F14/E14</f>
        <v>0.51500394997260157</v>
      </c>
      <c r="I14" s="95"/>
    </row>
    <row r="15" spans="1:9" ht="18.95" customHeight="1">
      <c r="A15" s="30">
        <v>3</v>
      </c>
      <c r="B15" s="38" t="s">
        <v>1187</v>
      </c>
      <c r="C15" s="96">
        <f>'SCH B-3 F'!E116</f>
        <v>-3301600480.7989864</v>
      </c>
      <c r="D15" s="96">
        <f>'SCH B-3.1'!D57</f>
        <v>245570706.34450188</v>
      </c>
      <c r="E15" s="96">
        <f t="shared" si="0"/>
        <v>-3056029774.4544845</v>
      </c>
      <c r="F15" s="96">
        <f>'SCH B-1'!F16</f>
        <v>-2699542764.4517398</v>
      </c>
      <c r="G15" s="95">
        <f t="shared" si="1"/>
        <v>0.88334962800996297</v>
      </c>
      <c r="I15" s="95"/>
    </row>
    <row r="16" spans="1:9" ht="18.95" customHeight="1">
      <c r="A16" s="30">
        <v>4</v>
      </c>
      <c r="B16" s="38" t="s">
        <v>1214</v>
      </c>
      <c r="C16" s="51">
        <f>SUM(C13:C15)</f>
        <v>6225458640.2517796</v>
      </c>
      <c r="D16" s="51">
        <f>SUM(D13:D15)</f>
        <v>-1466667645.6801145</v>
      </c>
      <c r="E16" s="51">
        <f>SUM(E13:E15)</f>
        <v>4758790994.5716648</v>
      </c>
      <c r="F16" s="51">
        <f>SUM(F13:F15)</f>
        <v>4271210474.6092038</v>
      </c>
      <c r="G16" s="95">
        <f t="shared" si="1"/>
        <v>0.89754109383693415</v>
      </c>
      <c r="I16" s="95"/>
    </row>
    <row r="17" spans="1:9" ht="18.95" customHeight="1">
      <c r="A17" s="30">
        <v>5</v>
      </c>
      <c r="B17" s="38" t="s">
        <v>1188</v>
      </c>
      <c r="C17" s="96">
        <f>'SCH B-4'!F47</f>
        <v>310684174.58846152</v>
      </c>
      <c r="D17" s="96">
        <f>'SCH B-4.1'!C35</f>
        <v>-183727410.50615382</v>
      </c>
      <c r="E17" s="96">
        <f>C17+D17</f>
        <v>126956764.0823077</v>
      </c>
      <c r="F17" s="96">
        <f>'SCH B-1'!F18</f>
        <v>118703941.05026916</v>
      </c>
      <c r="G17" s="95">
        <f t="shared" si="1"/>
        <v>0.93499501116231876</v>
      </c>
      <c r="I17" s="95"/>
    </row>
    <row r="18" spans="1:9" ht="18.95" customHeight="1">
      <c r="A18" s="30">
        <v>6</v>
      </c>
      <c r="B18" s="38" t="s">
        <v>1215</v>
      </c>
      <c r="C18" s="51">
        <f>SUM(C16:C17)</f>
        <v>6536142814.8402414</v>
      </c>
      <c r="D18" s="51">
        <f>SUM(D16:D17)</f>
        <v>-1650395056.1862683</v>
      </c>
      <c r="E18" s="51">
        <f>SUM(E16:E17)</f>
        <v>4885747758.6539726</v>
      </c>
      <c r="F18" s="51">
        <f>SUM(F16:F17)</f>
        <v>4389914415.6594734</v>
      </c>
      <c r="G18" s="95">
        <f t="shared" si="1"/>
        <v>0.89851433854393215</v>
      </c>
      <c r="I18" s="95"/>
    </row>
    <row r="19" spans="1:9" ht="18.95" customHeight="1">
      <c r="A19" s="30"/>
      <c r="B19" s="38"/>
      <c r="C19" s="51"/>
      <c r="D19" s="51"/>
      <c r="E19" s="51"/>
      <c r="F19" s="51"/>
    </row>
    <row r="20" spans="1:9" ht="18.95" customHeight="1">
      <c r="A20" s="30">
        <v>7</v>
      </c>
      <c r="B20" s="38" t="s">
        <v>1189</v>
      </c>
      <c r="C20" s="51">
        <f>'SUPP SCH B-1.1 F'!R38</f>
        <v>117152089.92994511</v>
      </c>
      <c r="D20" s="51">
        <f>-'ECR EXP F'!N24*1000</f>
        <v>-2988449.4999999977</v>
      </c>
      <c r="E20" s="51">
        <f t="shared" ref="E20:E25" si="2">C20+D20</f>
        <v>114163640.42994511</v>
      </c>
      <c r="F20" s="51">
        <f>'SCH B-1'!F21</f>
        <v>106348560.03969355</v>
      </c>
      <c r="G20" s="95">
        <f t="shared" ref="G20:G24" si="3">F20/E20</f>
        <v>0.93154492655612908</v>
      </c>
      <c r="I20" s="95"/>
    </row>
    <row r="21" spans="1:9" ht="18.95" customHeight="1">
      <c r="A21" s="30">
        <v>8</v>
      </c>
      <c r="B21" s="38" t="s">
        <v>1196</v>
      </c>
      <c r="C21" s="51">
        <f>'SUPP SCH B-1.1 F'!R35+'SUPP SCH B-1.1 F'!R36+'SUPP SCH B-1.1 F'!R37</f>
        <v>153196524.23254433</v>
      </c>
      <c r="D21" s="51">
        <f>-'ECR ALLOW'!AG5*1000</f>
        <v>-136559.78000000003</v>
      </c>
      <c r="E21" s="51">
        <f t="shared" si="2"/>
        <v>153059964.45254433</v>
      </c>
      <c r="F21" s="51">
        <f>'SCH B-1'!F22</f>
        <v>135979597.64236894</v>
      </c>
      <c r="G21" s="95">
        <f t="shared" si="3"/>
        <v>0.8884073515156794</v>
      </c>
      <c r="I21" s="95"/>
    </row>
    <row r="22" spans="1:9" ht="18.95" customHeight="1">
      <c r="A22" s="30">
        <v>9</v>
      </c>
      <c r="B22" s="38" t="s">
        <v>1197</v>
      </c>
      <c r="C22" s="51">
        <f>-'SUPP SCH B-1.1 F'!R26</f>
        <v>-1576406.0400000003</v>
      </c>
      <c r="D22" s="51">
        <v>0</v>
      </c>
      <c r="E22" s="51">
        <f t="shared" si="2"/>
        <v>-1576406.0400000003</v>
      </c>
      <c r="F22" s="51">
        <f>'SCH B-1'!F23</f>
        <v>-1549703.6162990497</v>
      </c>
      <c r="G22" s="95">
        <f t="shared" si="3"/>
        <v>0.9830612018582785</v>
      </c>
      <c r="I22" s="95"/>
    </row>
    <row r="23" spans="1:9" ht="18.95" customHeight="1">
      <c r="A23" s="30">
        <v>10</v>
      </c>
      <c r="B23" s="38" t="s">
        <v>1199</v>
      </c>
      <c r="C23" s="51">
        <f>-'SUPP SCH B-1.1 F'!R27</f>
        <v>-1311341483</v>
      </c>
      <c r="D23" s="51">
        <f>-'ECR DEFTAX'!Y2</f>
        <v>305379172.01487732</v>
      </c>
      <c r="E23" s="51">
        <f t="shared" si="2"/>
        <v>-1005962310.9851227</v>
      </c>
      <c r="F23" s="51">
        <f>'SCH B-1'!F24</f>
        <v>-902233207.18106508</v>
      </c>
      <c r="G23" s="95">
        <f t="shared" si="3"/>
        <v>0.89688569574492572</v>
      </c>
      <c r="I23" s="95"/>
    </row>
    <row r="24" spans="1:9" ht="18.95" customHeight="1">
      <c r="A24" s="30">
        <v>11</v>
      </c>
      <c r="B24" s="38" t="s">
        <v>1200</v>
      </c>
      <c r="C24" s="51">
        <f>-'SUPP SCH B-1.1 F'!R28</f>
        <v>-93303579.627692223</v>
      </c>
      <c r="D24" s="51">
        <v>0</v>
      </c>
      <c r="E24" s="51">
        <f t="shared" si="2"/>
        <v>-93303579.627692223</v>
      </c>
      <c r="F24" s="51">
        <f>'SCH B-1'!F25</f>
        <v>-81185411.398252815</v>
      </c>
      <c r="G24" s="95">
        <f t="shared" si="3"/>
        <v>0.87012107919337778</v>
      </c>
      <c r="I24" s="95"/>
    </row>
    <row r="25" spans="1:9" ht="18.95" customHeight="1">
      <c r="A25" s="30">
        <v>12</v>
      </c>
      <c r="B25" s="38" t="s">
        <v>1201</v>
      </c>
      <c r="C25" s="96">
        <f>-'SCH B-6'!D40</f>
        <v>27237538.639289826</v>
      </c>
      <c r="D25" s="96">
        <f>-C25</f>
        <v>-27237538.639289826</v>
      </c>
      <c r="E25" s="96">
        <f t="shared" si="2"/>
        <v>0</v>
      </c>
      <c r="F25" s="96">
        <f>'SCH B-1'!F26</f>
        <v>0</v>
      </c>
      <c r="G25" s="95">
        <v>0</v>
      </c>
      <c r="I25" s="95"/>
    </row>
    <row r="26" spans="1:9" ht="18.95" customHeight="1">
      <c r="A26" s="30"/>
      <c r="B26" s="38"/>
      <c r="C26" s="51"/>
      <c r="D26" s="51"/>
      <c r="E26" s="51"/>
      <c r="F26" s="51"/>
    </row>
    <row r="27" spans="1:9" ht="18.95" customHeight="1" thickBot="1">
      <c r="A27" s="30">
        <v>13</v>
      </c>
      <c r="B27" s="38" t="s">
        <v>1202</v>
      </c>
      <c r="C27" s="59">
        <f>SUM(C18:C25)</f>
        <v>5427507498.974328</v>
      </c>
      <c r="D27" s="59">
        <f>SUM(D18:D25)</f>
        <v>-1375378432.0906808</v>
      </c>
      <c r="E27" s="59">
        <f>SUM(E18:E25)</f>
        <v>4052129066.883647</v>
      </c>
      <c r="F27" s="59">
        <f>SUM(F18:F25)</f>
        <v>3647274251.1459198</v>
      </c>
      <c r="G27" s="95">
        <f>F27/E27</f>
        <v>0.90008837106240369</v>
      </c>
      <c r="I27" s="95"/>
    </row>
    <row r="28" spans="1:9" ht="18.95" customHeight="1" thickTop="1">
      <c r="C28" s="51"/>
      <c r="D28" s="51"/>
      <c r="E28" s="51"/>
      <c r="F28" s="51"/>
    </row>
    <row r="29" spans="1:9" ht="18.95" customHeight="1">
      <c r="C29" s="51"/>
      <c r="D29" s="51"/>
      <c r="E29" s="51"/>
      <c r="F29" s="51"/>
    </row>
    <row r="30" spans="1:9" ht="18.95" customHeight="1">
      <c r="C30" s="51"/>
      <c r="D30" s="51"/>
      <c r="E30" s="51"/>
      <c r="F30" s="51"/>
    </row>
    <row r="31" spans="1:9" ht="18.95" customHeight="1">
      <c r="C31" s="51"/>
      <c r="D31" s="51"/>
      <c r="E31" s="51"/>
      <c r="F31" s="51"/>
    </row>
    <row r="32" spans="1:9">
      <c r="C32" s="51"/>
      <c r="D32" s="51"/>
      <c r="E32" s="51"/>
      <c r="F32" s="51"/>
    </row>
    <row r="33" spans="3:6">
      <c r="C33" s="51"/>
      <c r="D33" s="51"/>
      <c r="E33" s="51"/>
      <c r="F33" s="51"/>
    </row>
    <row r="34" spans="3:6">
      <c r="C34" s="51"/>
      <c r="D34" s="51"/>
      <c r="E34" s="51"/>
      <c r="F34" s="51"/>
    </row>
    <row r="35" spans="3:6">
      <c r="C35" s="51"/>
      <c r="D35" s="51"/>
      <c r="E35" s="51"/>
      <c r="F35" s="51"/>
    </row>
    <row r="36" spans="3:6">
      <c r="C36" s="51"/>
      <c r="D36" s="51"/>
      <c r="E36" s="51"/>
      <c r="F36" s="51"/>
    </row>
    <row r="37" spans="3:6">
      <c r="C37" s="51"/>
      <c r="D37" s="51"/>
      <c r="E37" s="51"/>
      <c r="F37" s="51"/>
    </row>
    <row r="38" spans="3:6">
      <c r="C38" s="51"/>
      <c r="D38" s="51"/>
      <c r="E38" s="51"/>
      <c r="F38" s="51"/>
    </row>
    <row r="39" spans="3:6">
      <c r="C39" s="51"/>
      <c r="D39" s="51"/>
      <c r="E39" s="51"/>
      <c r="F39" s="51"/>
    </row>
    <row r="40" spans="3:6">
      <c r="C40" s="51"/>
      <c r="D40" s="51"/>
      <c r="E40" s="51"/>
      <c r="F40" s="51"/>
    </row>
    <row r="41" spans="3:6">
      <c r="C41" s="51"/>
      <c r="D41" s="51"/>
      <c r="E41" s="51"/>
      <c r="F41" s="51"/>
    </row>
    <row r="42" spans="3:6">
      <c r="C42" s="51"/>
      <c r="D42" s="51"/>
      <c r="E42" s="51"/>
      <c r="F42" s="51"/>
    </row>
  </sheetData>
  <mergeCells count="4">
    <mergeCell ref="A1:G1"/>
    <mergeCell ref="A2:G2"/>
    <mergeCell ref="A3:G3"/>
    <mergeCell ref="A4:G4"/>
  </mergeCells>
  <pageMargins left="0.95" right="0.5" top="0.75" bottom="0.75" header="0.3" footer="0.3"/>
  <pageSetup scale="74" fitToHeight="0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fitToPage="1"/>
  </sheetPr>
  <dimension ref="A1:E18"/>
  <sheetViews>
    <sheetView zoomScaleNormal="100" workbookViewId="0">
      <selection sqref="A1:E1"/>
    </sheetView>
  </sheetViews>
  <sheetFormatPr defaultColWidth="9" defaultRowHeight="12.75"/>
  <cols>
    <col min="1" max="1" width="6" style="29" customWidth="1"/>
    <col min="2" max="2" width="8" style="29" customWidth="1"/>
    <col min="3" max="3" width="26.6640625" style="29" customWidth="1"/>
    <col min="4" max="4" width="40.33203125" style="29" customWidth="1"/>
    <col min="5" max="5" width="40.109375" style="29" customWidth="1"/>
    <col min="6" max="6" width="1.6640625" style="29" customWidth="1"/>
    <col min="7" max="16384" width="9" style="29"/>
  </cols>
  <sheetData>
    <row r="1" spans="1:5" s="28" customFormat="1" ht="20.100000000000001" customHeight="1">
      <c r="A1" s="706" t="str">
        <f>'Rate Case Constants'!C9</f>
        <v>KENTUCKY UTILITIES COMPANY</v>
      </c>
      <c r="B1" s="706"/>
      <c r="C1" s="706"/>
      <c r="D1" s="706"/>
      <c r="E1" s="706"/>
    </row>
    <row r="2" spans="1:5" s="28" customFormat="1" ht="20.100000000000001" customHeight="1">
      <c r="A2" s="706" t="str">
        <f>'Rate Case Constants'!C10</f>
        <v>CASE NO. 2016-00370</v>
      </c>
      <c r="B2" s="706"/>
      <c r="C2" s="706"/>
      <c r="D2" s="706"/>
      <c r="E2" s="706"/>
    </row>
    <row r="3" spans="1:5" s="28" customFormat="1" ht="20.100000000000001" customHeight="1">
      <c r="A3" s="706" t="s">
        <v>1525</v>
      </c>
      <c r="B3" s="706"/>
      <c r="C3" s="706"/>
      <c r="D3" s="706"/>
      <c r="E3" s="706"/>
    </row>
    <row r="4" spans="1:5" s="28" customFormat="1" ht="20.100000000000001" customHeight="1">
      <c r="A4" s="705" t="str">
        <f>'Rate Case Constants'!C15</f>
        <v>BASE YEAR FOR THE 12 MONTHS ENDED FEBRUARY 28, 2017</v>
      </c>
      <c r="B4" s="705"/>
      <c r="C4" s="705"/>
      <c r="D4" s="705"/>
      <c r="E4" s="705"/>
    </row>
    <row r="5" spans="1:5" s="28" customFormat="1" ht="20.100000000000001" customHeight="1">
      <c r="A5" s="705" t="str">
        <f>'Rate Case Constants'!C21</f>
        <v>FORECAST PERIOD FOR THE 12 MONTHS ENDED JUNE 30, 2018</v>
      </c>
      <c r="B5" s="705"/>
      <c r="C5" s="705"/>
      <c r="D5" s="705"/>
      <c r="E5" s="705"/>
    </row>
    <row r="6" spans="1:5" s="28" customFormat="1" ht="20.100000000000001" customHeight="1">
      <c r="A6" s="123"/>
      <c r="B6" s="123"/>
      <c r="C6" s="123"/>
      <c r="D6" s="123"/>
      <c r="E6" s="123"/>
    </row>
    <row r="7" spans="1:5" s="28" customFormat="1" ht="20.100000000000001" customHeight="1">
      <c r="A7" s="27" t="s">
        <v>177</v>
      </c>
      <c r="B7" s="27"/>
      <c r="D7" s="34"/>
      <c r="E7" s="34" t="s">
        <v>1526</v>
      </c>
    </row>
    <row r="8" spans="1:5" s="28" customFormat="1" ht="20.100000000000001" customHeight="1">
      <c r="A8" s="28" t="str">
        <f>'Rate Case Constants'!C29</f>
        <v>TYPE OF FILING: __X__ ORIGINAL  _____ UPDATED  _____ REVISED</v>
      </c>
      <c r="D8" s="34"/>
      <c r="E8" s="34" t="s">
        <v>179</v>
      </c>
    </row>
    <row r="9" spans="1:5" s="28" customFormat="1" ht="20.100000000000001" customHeight="1">
      <c r="A9" s="27" t="s">
        <v>1460</v>
      </c>
      <c r="B9" s="27"/>
      <c r="D9" s="35"/>
      <c r="E9" s="35" t="str">
        <f>'Rate Case Constants'!C37</f>
        <v>WITNESS:   C. M. GARRETT</v>
      </c>
    </row>
    <row r="10" spans="1:5" s="28" customFormat="1" ht="20.100000000000001" customHeight="1"/>
    <row r="11" spans="1:5" ht="58.5" customHeight="1">
      <c r="A11" s="36" t="s">
        <v>134</v>
      </c>
      <c r="B11" s="36" t="s">
        <v>137</v>
      </c>
      <c r="C11" s="39" t="s">
        <v>208</v>
      </c>
      <c r="D11" s="36" t="s">
        <v>1523</v>
      </c>
      <c r="E11" s="36" t="s">
        <v>1524</v>
      </c>
    </row>
    <row r="12" spans="1:5" ht="23.1" customHeight="1">
      <c r="A12" s="40"/>
      <c r="B12" s="40"/>
      <c r="C12" s="41"/>
      <c r="D12" s="42"/>
      <c r="E12" s="42"/>
    </row>
    <row r="13" spans="1:5" s="28" customFormat="1" ht="20.100000000000001" customHeight="1">
      <c r="A13" s="706" t="s">
        <v>2227</v>
      </c>
      <c r="B13" s="706"/>
      <c r="C13" s="706"/>
      <c r="D13" s="706"/>
      <c r="E13" s="706"/>
    </row>
    <row r="14" spans="1:5" ht="18.95" customHeight="1">
      <c r="A14" s="30"/>
      <c r="B14" s="31"/>
      <c r="C14" s="38"/>
      <c r="D14" s="51"/>
      <c r="E14" s="51"/>
    </row>
    <row r="15" spans="1:5" ht="18.95" customHeight="1">
      <c r="A15" s="30"/>
      <c r="B15" s="31"/>
      <c r="C15" s="38"/>
      <c r="D15" s="51"/>
      <c r="E15" s="51"/>
    </row>
    <row r="16" spans="1:5" ht="18.95" customHeight="1">
      <c r="A16" s="30"/>
      <c r="B16" s="31"/>
      <c r="C16" s="38"/>
      <c r="D16" s="51"/>
      <c r="E16" s="51"/>
    </row>
    <row r="17" spans="1:5" ht="18.95" customHeight="1">
      <c r="A17" s="30"/>
      <c r="B17" s="30"/>
      <c r="C17" s="38"/>
      <c r="D17" s="51"/>
      <c r="E17" s="51"/>
    </row>
    <row r="18" spans="1:5" ht="18.95" customHeight="1">
      <c r="A18" s="30"/>
      <c r="B18" s="30"/>
      <c r="C18" s="38"/>
      <c r="D18" s="51"/>
      <c r="E18" s="51"/>
    </row>
  </sheetData>
  <mergeCells count="6">
    <mergeCell ref="A13:E13"/>
    <mergeCell ref="A1:E1"/>
    <mergeCell ref="A2:E2"/>
    <mergeCell ref="A3:E3"/>
    <mergeCell ref="A4:E4"/>
    <mergeCell ref="A5:E5"/>
  </mergeCells>
  <pageMargins left="0.95" right="0.5" top="0.75" bottom="0.75" header="0.3" footer="0.3"/>
  <pageSetup scale="68" fitToHeight="0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T2192"/>
  <sheetViews>
    <sheetView showRuler="0" zoomScale="85" zoomScaleNormal="85" workbookViewId="0">
      <selection activeCell="E28" sqref="E28"/>
    </sheetView>
  </sheetViews>
  <sheetFormatPr defaultColWidth="9" defaultRowHeight="12.75"/>
  <cols>
    <col min="1" max="1" width="5.33203125" style="133" customWidth="1"/>
    <col min="2" max="2" width="17.44140625" style="133" customWidth="1"/>
    <col min="3" max="3" width="22.21875" style="133" customWidth="1"/>
    <col min="4" max="4" width="16.21875" style="133" customWidth="1"/>
    <col min="5" max="5" width="11.6640625" style="133" customWidth="1"/>
    <col min="6" max="6" width="13.6640625" style="133" customWidth="1"/>
    <col min="7" max="7" width="11.6640625" style="133" customWidth="1"/>
    <col min="8" max="8" width="15.6640625" style="133" customWidth="1"/>
    <col min="9" max="9" width="11.6640625" style="133" customWidth="1"/>
    <col min="10" max="10" width="15.6640625" style="133" customWidth="1"/>
    <col min="11" max="11" width="11.6640625" style="133" customWidth="1"/>
    <col min="12" max="12" width="15.6640625" style="133" customWidth="1"/>
    <col min="13" max="13" width="11.6640625" style="133" customWidth="1"/>
    <col min="14" max="14" width="13.6640625" style="133" customWidth="1"/>
    <col min="15" max="15" width="11.6640625" style="133" customWidth="1"/>
    <col min="16" max="16" width="15.6640625" style="133" customWidth="1"/>
    <col min="17" max="17" width="13.21875" style="133" customWidth="1"/>
    <col min="18" max="19" width="16.77734375" style="133" bestFit="1" customWidth="1"/>
    <col min="20" max="22" width="9" style="133"/>
    <col min="23" max="24" width="16.77734375" style="133" bestFit="1" customWidth="1"/>
    <col min="25" max="25" width="9" style="133"/>
    <col min="26" max="26" width="16.77734375" style="133" bestFit="1" customWidth="1"/>
    <col min="27" max="27" width="17.109375" style="133" bestFit="1" customWidth="1"/>
    <col min="28" max="16384" width="9" style="133"/>
  </cols>
  <sheetData>
    <row r="1" spans="1:46" s="132" customFormat="1" ht="15" customHeight="1">
      <c r="A1" s="131" t="str">
        <f>'Rate Case Constants'!C9</f>
        <v>KENTUCKY UTILITIES COMPANY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</row>
    <row r="2" spans="1:46" s="132" customFormat="1" ht="15" customHeight="1">
      <c r="A2" s="131" t="str">
        <f>'Rate Case Constants'!C10</f>
        <v>CASE NO. 2016-00370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  <c r="AB2" s="133"/>
      <c r="AC2" s="133"/>
      <c r="AD2" s="133"/>
      <c r="AE2" s="133"/>
      <c r="AF2" s="133"/>
      <c r="AG2" s="133"/>
      <c r="AH2" s="133"/>
      <c r="AI2" s="133"/>
      <c r="AJ2" s="133"/>
      <c r="AK2" s="133"/>
      <c r="AL2" s="133"/>
      <c r="AM2" s="133"/>
      <c r="AN2" s="133"/>
      <c r="AO2" s="133"/>
      <c r="AP2" s="133"/>
      <c r="AQ2" s="133"/>
      <c r="AR2" s="133"/>
      <c r="AS2" s="133"/>
      <c r="AT2" s="133"/>
    </row>
    <row r="3" spans="1:46" s="132" customFormat="1" ht="15" customHeight="1">
      <c r="A3" s="131" t="s">
        <v>2220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/>
      <c r="AI3" s="133"/>
      <c r="AJ3" s="133"/>
      <c r="AK3" s="133"/>
      <c r="AL3" s="133"/>
      <c r="AM3" s="133"/>
      <c r="AN3" s="133"/>
      <c r="AO3" s="133"/>
      <c r="AP3" s="133"/>
      <c r="AQ3" s="133"/>
      <c r="AR3" s="133"/>
      <c r="AS3" s="133"/>
      <c r="AT3" s="133"/>
    </row>
    <row r="4" spans="1:46" s="132" customFormat="1" ht="15" customHeight="1">
      <c r="A4" s="134" t="s">
        <v>2458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3"/>
      <c r="R4" s="133"/>
      <c r="S4" s="133"/>
      <c r="T4" s="133"/>
      <c r="U4" s="133"/>
      <c r="V4" s="133"/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33"/>
      <c r="AI4" s="133"/>
      <c r="AJ4" s="133"/>
      <c r="AK4" s="133"/>
      <c r="AL4" s="133"/>
      <c r="AM4" s="133"/>
      <c r="AN4" s="133"/>
      <c r="AO4" s="133"/>
      <c r="AP4" s="133"/>
      <c r="AQ4" s="133"/>
      <c r="AR4" s="133"/>
      <c r="AS4" s="133"/>
      <c r="AT4" s="133"/>
    </row>
    <row r="5" spans="1:46" s="136" customFormat="1">
      <c r="B5" s="137"/>
      <c r="D5" s="138"/>
      <c r="E5" s="138"/>
      <c r="F5" s="138"/>
      <c r="G5" s="138"/>
      <c r="H5" s="138"/>
      <c r="I5" s="138"/>
      <c r="J5" s="138"/>
      <c r="K5" s="138"/>
      <c r="L5" s="138"/>
    </row>
    <row r="6" spans="1:46" s="132" customFormat="1" ht="15" customHeight="1">
      <c r="A6" s="27" t="s">
        <v>177</v>
      </c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5" t="s">
        <v>1508</v>
      </c>
      <c r="Q6" s="133"/>
      <c r="R6" s="133"/>
      <c r="S6" s="133"/>
      <c r="T6" s="133"/>
      <c r="U6" s="133"/>
      <c r="V6" s="133"/>
      <c r="W6" s="133"/>
      <c r="X6" s="133"/>
      <c r="Y6" s="133"/>
      <c r="Z6" s="133"/>
      <c r="AA6" s="133"/>
      <c r="AB6" s="133"/>
      <c r="AC6" s="133"/>
      <c r="AD6" s="133"/>
      <c r="AE6" s="133"/>
      <c r="AF6" s="133"/>
      <c r="AG6" s="133"/>
      <c r="AH6" s="133"/>
      <c r="AI6" s="133"/>
      <c r="AJ6" s="133"/>
      <c r="AK6" s="133"/>
      <c r="AL6" s="133"/>
      <c r="AM6" s="133"/>
      <c r="AN6" s="133"/>
      <c r="AO6" s="133"/>
      <c r="AP6" s="133"/>
      <c r="AQ6" s="133"/>
      <c r="AR6" s="133"/>
      <c r="AS6" s="133"/>
      <c r="AT6" s="133"/>
    </row>
    <row r="7" spans="1:46" s="132" customFormat="1" ht="15" customHeight="1">
      <c r="A7" s="133" t="str">
        <f>'Rate Case Constants'!C29</f>
        <v>TYPE OF FILING: __X__ ORIGINAL  _____ UPDATED  _____ REVISED</v>
      </c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5" t="s">
        <v>2156</v>
      </c>
      <c r="Q7" s="133"/>
      <c r="R7" s="133"/>
      <c r="S7" s="133"/>
      <c r="T7" s="133"/>
      <c r="U7" s="133"/>
      <c r="V7" s="133"/>
      <c r="W7" s="133"/>
      <c r="X7" s="133"/>
      <c r="Y7" s="133"/>
      <c r="Z7" s="133"/>
      <c r="AA7" s="133"/>
      <c r="AB7" s="133"/>
      <c r="AC7" s="133"/>
      <c r="AD7" s="133"/>
      <c r="AE7" s="133"/>
      <c r="AF7" s="133"/>
      <c r="AG7" s="133"/>
      <c r="AH7" s="133"/>
      <c r="AI7" s="133"/>
      <c r="AJ7" s="133"/>
      <c r="AK7" s="133"/>
      <c r="AL7" s="133"/>
      <c r="AM7" s="133"/>
      <c r="AN7" s="133"/>
      <c r="AO7" s="133"/>
      <c r="AP7" s="133"/>
      <c r="AQ7" s="133"/>
      <c r="AR7" s="133"/>
      <c r="AS7" s="133"/>
      <c r="AT7" s="133"/>
    </row>
    <row r="8" spans="1:46" s="132" customFormat="1" ht="15" customHeight="1">
      <c r="A8" s="133" t="s">
        <v>1504</v>
      </c>
      <c r="B8" s="133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  <c r="P8" s="135" t="str">
        <f>'Rate Case Constants'!C36</f>
        <v>WITNESS:   C. M. GARRETT</v>
      </c>
      <c r="Q8" s="133"/>
      <c r="R8" s="133"/>
      <c r="S8" s="133"/>
      <c r="T8" s="133"/>
      <c r="U8" s="133"/>
      <c r="V8" s="133"/>
      <c r="W8" s="133"/>
      <c r="X8" s="133"/>
      <c r="Y8" s="133"/>
      <c r="Z8" s="133"/>
      <c r="AA8" s="133"/>
      <c r="AB8" s="133"/>
      <c r="AC8" s="133"/>
      <c r="AD8" s="133"/>
      <c r="AE8" s="133"/>
      <c r="AF8" s="133"/>
      <c r="AG8" s="133"/>
      <c r="AH8" s="133"/>
      <c r="AI8" s="133"/>
      <c r="AJ8" s="133"/>
      <c r="AK8" s="133"/>
      <c r="AL8" s="133"/>
      <c r="AM8" s="133"/>
      <c r="AN8" s="133"/>
      <c r="AO8" s="133"/>
      <c r="AP8" s="133"/>
      <c r="AQ8" s="133"/>
      <c r="AR8" s="133"/>
      <c r="AS8" s="133"/>
      <c r="AT8" s="133"/>
    </row>
    <row r="9" spans="1:46" ht="15" customHeight="1" thickBot="1"/>
    <row r="10" spans="1:46" s="132" customFormat="1" ht="15" customHeight="1">
      <c r="A10" s="139"/>
      <c r="B10" s="139"/>
      <c r="C10" s="139"/>
      <c r="D10" s="142" t="s">
        <v>1527</v>
      </c>
      <c r="E10" s="139"/>
      <c r="F10" s="139"/>
      <c r="G10" s="139"/>
      <c r="H10" s="139"/>
      <c r="I10" s="139"/>
      <c r="J10" s="139"/>
      <c r="K10" s="139"/>
      <c r="L10" s="139"/>
      <c r="M10" s="139"/>
      <c r="N10" s="139"/>
      <c r="O10" s="139"/>
      <c r="P10" s="139"/>
      <c r="Q10" s="133"/>
      <c r="R10" s="133"/>
      <c r="S10" s="133"/>
      <c r="T10" s="133"/>
      <c r="U10" s="133"/>
      <c r="V10" s="133"/>
      <c r="W10" s="133"/>
      <c r="X10" s="133"/>
      <c r="Y10" s="133"/>
      <c r="Z10" s="133"/>
      <c r="AA10" s="133"/>
      <c r="AB10" s="133"/>
      <c r="AC10" s="133"/>
      <c r="AD10" s="133"/>
      <c r="AE10" s="133"/>
      <c r="AF10" s="133"/>
      <c r="AG10" s="133"/>
      <c r="AH10" s="133"/>
      <c r="AI10" s="133"/>
      <c r="AJ10" s="133"/>
      <c r="AK10" s="133"/>
      <c r="AL10" s="133"/>
      <c r="AM10" s="133"/>
      <c r="AN10" s="133"/>
      <c r="AO10" s="133"/>
      <c r="AP10" s="133"/>
      <c r="AQ10" s="133"/>
      <c r="AR10" s="133"/>
      <c r="AS10" s="133"/>
      <c r="AT10" s="133"/>
    </row>
    <row r="11" spans="1:46" s="132" customFormat="1" ht="15" customHeight="1">
      <c r="A11" s="140" t="s">
        <v>1513</v>
      </c>
      <c r="B11" s="133"/>
      <c r="C11" s="133"/>
      <c r="D11" s="140" t="s">
        <v>1509</v>
      </c>
      <c r="E11" s="133"/>
      <c r="F11" s="140" t="s">
        <v>1512</v>
      </c>
      <c r="G11" s="133"/>
      <c r="H11" s="133"/>
      <c r="I11" s="133"/>
      <c r="J11" s="133"/>
      <c r="K11" s="133"/>
      <c r="L11" s="133"/>
      <c r="M11" s="133"/>
      <c r="N11" s="133"/>
      <c r="O11" s="133"/>
      <c r="P11" s="141"/>
      <c r="Q11" s="133"/>
      <c r="R11" s="133"/>
      <c r="S11" s="133"/>
      <c r="T11" s="133"/>
      <c r="U11" s="133"/>
      <c r="V11" s="133"/>
      <c r="W11" s="133"/>
      <c r="X11" s="133"/>
      <c r="Y11" s="133"/>
      <c r="Z11" s="133"/>
      <c r="AA11" s="133"/>
      <c r="AB11" s="133"/>
      <c r="AC11" s="133"/>
      <c r="AD11" s="133"/>
      <c r="AE11" s="133"/>
      <c r="AF11" s="133"/>
      <c r="AG11" s="133"/>
      <c r="AH11" s="133"/>
      <c r="AI11" s="133"/>
      <c r="AJ11" s="133"/>
      <c r="AK11" s="133"/>
      <c r="AL11" s="133"/>
      <c r="AM11" s="133"/>
      <c r="AN11" s="133"/>
      <c r="AO11" s="133"/>
      <c r="AP11" s="133"/>
      <c r="AQ11" s="133"/>
      <c r="AR11" s="133"/>
      <c r="AS11" s="133"/>
      <c r="AT11" s="133"/>
    </row>
    <row r="12" spans="1:46" s="132" customFormat="1" ht="15" customHeight="1" thickBot="1">
      <c r="A12" s="140" t="s">
        <v>1514</v>
      </c>
      <c r="B12" s="140" t="s">
        <v>208</v>
      </c>
      <c r="C12" s="133"/>
      <c r="D12" s="140" t="s">
        <v>1510</v>
      </c>
      <c r="E12" s="140" t="s">
        <v>1511</v>
      </c>
      <c r="F12" s="140" t="s">
        <v>1510</v>
      </c>
      <c r="G12" s="140" t="s">
        <v>1511</v>
      </c>
      <c r="H12" s="141">
        <v>2015</v>
      </c>
      <c r="I12" s="140" t="s">
        <v>1511</v>
      </c>
      <c r="J12" s="141">
        <v>2014</v>
      </c>
      <c r="K12" s="140" t="s">
        <v>1511</v>
      </c>
      <c r="L12" s="141">
        <v>2013</v>
      </c>
      <c r="M12" s="140" t="s">
        <v>1511</v>
      </c>
      <c r="N12" s="141">
        <v>2012</v>
      </c>
      <c r="O12" s="140" t="s">
        <v>1511</v>
      </c>
      <c r="P12" s="141">
        <v>2011</v>
      </c>
      <c r="Q12" s="133"/>
      <c r="R12" s="133"/>
      <c r="S12" s="133"/>
      <c r="T12" s="133"/>
      <c r="U12" s="133"/>
      <c r="V12" s="133"/>
      <c r="W12" s="133"/>
      <c r="X12" s="133"/>
      <c r="Y12" s="133"/>
      <c r="Z12" s="133"/>
      <c r="AA12" s="133"/>
      <c r="AB12" s="133"/>
      <c r="AC12" s="133"/>
      <c r="AD12" s="133"/>
      <c r="AE12" s="133"/>
      <c r="AF12" s="133"/>
      <c r="AG12" s="133"/>
      <c r="AH12" s="133"/>
      <c r="AI12" s="133"/>
      <c r="AJ12" s="133"/>
      <c r="AK12" s="133"/>
      <c r="AL12" s="133"/>
      <c r="AM12" s="133"/>
      <c r="AN12" s="133"/>
      <c r="AO12" s="133"/>
      <c r="AP12" s="133"/>
      <c r="AQ12" s="133"/>
      <c r="AR12" s="133"/>
      <c r="AS12" s="133"/>
      <c r="AT12" s="133"/>
    </row>
    <row r="13" spans="1:46" s="132" customFormat="1" ht="15" customHeight="1">
      <c r="A13" s="142"/>
      <c r="B13" s="143"/>
      <c r="C13" s="143"/>
      <c r="D13" s="143"/>
      <c r="E13" s="143"/>
      <c r="F13" s="143"/>
      <c r="G13" s="143"/>
      <c r="H13" s="143"/>
      <c r="I13" s="143"/>
      <c r="J13" s="143"/>
      <c r="K13" s="143"/>
      <c r="L13" s="143"/>
      <c r="M13" s="143"/>
      <c r="N13" s="143"/>
      <c r="O13" s="143"/>
      <c r="P13" s="143"/>
      <c r="Q13" s="133"/>
      <c r="R13" s="133"/>
      <c r="S13" s="133"/>
      <c r="T13" s="133"/>
      <c r="U13" s="133"/>
      <c r="V13" s="133"/>
      <c r="W13" s="133"/>
      <c r="X13" s="133"/>
      <c r="Y13" s="133"/>
      <c r="Z13" s="133"/>
      <c r="AA13" s="133"/>
      <c r="AB13" s="133"/>
      <c r="AC13" s="133"/>
      <c r="AD13" s="133"/>
      <c r="AE13" s="133"/>
      <c r="AF13" s="133"/>
      <c r="AG13" s="133"/>
      <c r="AH13" s="133"/>
      <c r="AI13" s="133"/>
      <c r="AJ13" s="133"/>
      <c r="AK13" s="133"/>
      <c r="AL13" s="133"/>
      <c r="AM13" s="133"/>
      <c r="AN13" s="133"/>
      <c r="AO13" s="133"/>
      <c r="AP13" s="133"/>
      <c r="AQ13" s="133"/>
      <c r="AR13" s="133"/>
      <c r="AS13" s="133"/>
      <c r="AT13" s="133"/>
    </row>
    <row r="14" spans="1:46" s="132" customFormat="1" ht="17.100000000000001" customHeight="1">
      <c r="A14" s="140">
        <v>1</v>
      </c>
      <c r="B14" s="711" t="s">
        <v>1548</v>
      </c>
      <c r="C14" s="711"/>
      <c r="D14" s="133"/>
      <c r="E14" s="133"/>
      <c r="F14" s="133"/>
      <c r="G14" s="133"/>
      <c r="H14" s="133"/>
      <c r="I14" s="133"/>
      <c r="J14" s="133"/>
      <c r="K14" s="133"/>
      <c r="L14" s="133"/>
      <c r="M14" s="133"/>
      <c r="N14" s="133"/>
      <c r="O14" s="133"/>
      <c r="P14" s="133"/>
      <c r="Q14" s="133"/>
      <c r="R14" s="133"/>
      <c r="S14" s="133"/>
      <c r="T14" s="133"/>
      <c r="U14" s="133"/>
      <c r="V14" s="133"/>
      <c r="W14" s="133"/>
      <c r="X14" s="133"/>
      <c r="Y14" s="133"/>
      <c r="Z14" s="133"/>
      <c r="AA14" s="133"/>
      <c r="AB14" s="133"/>
      <c r="AC14" s="133"/>
      <c r="AD14" s="133"/>
      <c r="AE14" s="133"/>
      <c r="AF14" s="133"/>
      <c r="AG14" s="133"/>
      <c r="AH14" s="133"/>
      <c r="AI14" s="133"/>
      <c r="AJ14" s="133"/>
      <c r="AK14" s="133"/>
      <c r="AL14" s="133"/>
      <c r="AM14" s="133"/>
      <c r="AN14" s="133"/>
      <c r="AO14" s="133"/>
      <c r="AP14" s="133"/>
      <c r="AQ14" s="133"/>
      <c r="AR14" s="133"/>
      <c r="AS14" s="133"/>
      <c r="AT14" s="133"/>
    </row>
    <row r="15" spans="1:46" s="132" customFormat="1" ht="15" customHeight="1">
      <c r="A15" s="155"/>
      <c r="B15" s="156"/>
      <c r="C15" s="156"/>
      <c r="D15" s="133"/>
      <c r="E15" s="133"/>
      <c r="F15" s="133"/>
      <c r="G15" s="133"/>
      <c r="H15" s="133"/>
      <c r="I15" s="133"/>
      <c r="J15" s="133"/>
      <c r="K15" s="133"/>
      <c r="L15" s="133"/>
      <c r="M15" s="133"/>
      <c r="N15" s="133"/>
      <c r="O15" s="133"/>
      <c r="P15" s="133"/>
      <c r="Q15" s="133"/>
      <c r="R15" s="133"/>
      <c r="S15" s="133"/>
      <c r="T15" s="133"/>
      <c r="U15" s="133"/>
      <c r="V15" s="133"/>
      <c r="W15" s="133"/>
      <c r="X15" s="133"/>
      <c r="Y15" s="133"/>
      <c r="Z15" s="133"/>
      <c r="AA15" s="133"/>
      <c r="AB15" s="133"/>
      <c r="AC15" s="133"/>
      <c r="AD15" s="133"/>
      <c r="AE15" s="133"/>
      <c r="AF15" s="133"/>
      <c r="AG15" s="133"/>
      <c r="AH15" s="133"/>
      <c r="AI15" s="133"/>
      <c r="AJ15" s="133"/>
      <c r="AK15" s="133"/>
      <c r="AL15" s="133"/>
      <c r="AM15" s="133"/>
      <c r="AN15" s="133"/>
      <c r="AO15" s="133"/>
      <c r="AP15" s="133"/>
      <c r="AQ15" s="133"/>
      <c r="AR15" s="133"/>
      <c r="AS15" s="133"/>
      <c r="AT15" s="133"/>
    </row>
    <row r="16" spans="1:46" s="132" customFormat="1" ht="15" customHeight="1">
      <c r="A16" s="140">
        <f>A14+1</f>
        <v>2</v>
      </c>
      <c r="B16" s="144" t="s">
        <v>1489</v>
      </c>
      <c r="C16" s="133"/>
      <c r="D16" s="157"/>
      <c r="E16" s="158"/>
      <c r="F16" s="157"/>
      <c r="G16" s="158"/>
      <c r="H16" s="157"/>
      <c r="I16" s="158"/>
      <c r="J16" s="157"/>
      <c r="K16" s="158"/>
      <c r="L16" s="157"/>
      <c r="M16" s="158"/>
      <c r="N16" s="157"/>
      <c r="O16" s="158"/>
      <c r="P16" s="157"/>
      <c r="Q16" s="146"/>
      <c r="R16" s="133"/>
      <c r="S16" s="133"/>
      <c r="T16" s="133"/>
      <c r="U16" s="133"/>
      <c r="V16" s="133"/>
      <c r="W16" s="133"/>
      <c r="X16" s="133"/>
      <c r="Y16" s="133"/>
      <c r="Z16" s="133"/>
      <c r="AA16" s="133"/>
      <c r="AB16" s="133"/>
      <c r="AC16" s="133"/>
      <c r="AD16" s="133"/>
      <c r="AE16" s="133"/>
      <c r="AF16" s="133"/>
      <c r="AG16" s="133"/>
      <c r="AH16" s="133"/>
      <c r="AI16" s="133"/>
      <c r="AJ16" s="133"/>
      <c r="AK16" s="133"/>
      <c r="AL16" s="133"/>
      <c r="AM16" s="133"/>
      <c r="AN16" s="133"/>
      <c r="AO16" s="133"/>
      <c r="AP16" s="133"/>
      <c r="AQ16" s="133"/>
      <c r="AR16" s="133"/>
      <c r="AS16" s="133"/>
      <c r="AT16" s="133"/>
    </row>
    <row r="17" spans="1:46" s="132" customFormat="1" ht="15" customHeight="1">
      <c r="A17" s="153">
        <f t="shared" ref="A17:A21" si="0">A16+1</f>
        <v>3</v>
      </c>
      <c r="B17" s="133" t="s">
        <v>1505</v>
      </c>
      <c r="C17" s="133"/>
      <c r="D17" s="170">
        <f>BS!AG$15*1000-D18</f>
        <v>9527059120.6307602</v>
      </c>
      <c r="E17" s="145">
        <f t="shared" ref="E17:O21" si="1">(+D17-F17)/F17</f>
        <v>2.624817249629631E-2</v>
      </c>
      <c r="F17" s="170">
        <f>BS!O$15*1000-F18</f>
        <v>9283387172.769989</v>
      </c>
      <c r="G17" s="145">
        <f t="shared" si="1"/>
        <v>5.3137402051877267E-2</v>
      </c>
      <c r="H17" s="170">
        <f>9082008901.23-H18</f>
        <v>8814981933.6800003</v>
      </c>
      <c r="I17" s="145">
        <f t="shared" si="1"/>
        <v>0.13191963759175729</v>
      </c>
      <c r="J17" s="170">
        <f>8667708179.24-J18</f>
        <v>7787639370.2600002</v>
      </c>
      <c r="K17" s="145">
        <f t="shared" si="1"/>
        <v>0.11730955883619387</v>
      </c>
      <c r="L17" s="170">
        <f>8108605484.28-L18</f>
        <v>6969992611.8699999</v>
      </c>
      <c r="M17" s="145">
        <f t="shared" si="1"/>
        <v>3.3879583985408052E-2</v>
      </c>
      <c r="N17" s="170">
        <f>7231771995.2-N18</f>
        <v>6741590335.8899994</v>
      </c>
      <c r="O17" s="145">
        <f t="shared" si="1"/>
        <v>4.6264086148477733E-2</v>
      </c>
      <c r="P17" s="170">
        <v>6443488240.8199997</v>
      </c>
      <c r="Q17" s="147"/>
      <c r="R17" s="133"/>
      <c r="S17" s="133"/>
      <c r="T17" s="133"/>
      <c r="U17" s="133"/>
      <c r="V17" s="133"/>
      <c r="W17" s="133"/>
      <c r="X17" s="133"/>
      <c r="Y17" s="133"/>
      <c r="Z17" s="133"/>
      <c r="AA17" s="133"/>
      <c r="AB17" s="133"/>
      <c r="AC17" s="133"/>
      <c r="AD17" s="133"/>
      <c r="AE17" s="133"/>
      <c r="AF17" s="133"/>
      <c r="AG17" s="133"/>
      <c r="AH17" s="133"/>
      <c r="AI17" s="133"/>
      <c r="AJ17" s="133"/>
      <c r="AK17" s="133"/>
      <c r="AL17" s="133"/>
      <c r="AM17" s="133"/>
      <c r="AN17" s="133"/>
      <c r="AO17" s="133"/>
      <c r="AP17" s="133"/>
      <c r="AQ17" s="133"/>
      <c r="AR17" s="133"/>
      <c r="AS17" s="133"/>
      <c r="AT17" s="133"/>
    </row>
    <row r="18" spans="1:46" s="132" customFormat="1" ht="15" customHeight="1">
      <c r="A18" s="153">
        <f t="shared" si="0"/>
        <v>4</v>
      </c>
      <c r="B18" s="133" t="s">
        <v>1188</v>
      </c>
      <c r="C18" s="133"/>
      <c r="D18" s="171">
        <f>'SCH B-4'!F47</f>
        <v>310684174.58846152</v>
      </c>
      <c r="E18" s="145">
        <f t="shared" si="1"/>
        <v>1.2243843917377113</v>
      </c>
      <c r="F18" s="171">
        <f>'SCH B-4'!F22</f>
        <v>139671981.03999999</v>
      </c>
      <c r="G18" s="145">
        <f t="shared" si="1"/>
        <v>-0.47693679660333621</v>
      </c>
      <c r="H18" s="171">
        <v>267026967.55000001</v>
      </c>
      <c r="I18" s="145">
        <f t="shared" si="1"/>
        <v>-0.69658398885936623</v>
      </c>
      <c r="J18" s="171">
        <v>880068808.98000002</v>
      </c>
      <c r="K18" s="145">
        <f t="shared" si="1"/>
        <v>-0.22706933119661907</v>
      </c>
      <c r="L18" s="171">
        <v>1138612872.4100001</v>
      </c>
      <c r="M18" s="145">
        <f t="shared" si="1"/>
        <v>1.3228385860310619</v>
      </c>
      <c r="N18" s="171">
        <v>490181659.31</v>
      </c>
      <c r="O18" s="145">
        <f t="shared" si="1"/>
        <v>0.44293542593955676</v>
      </c>
      <c r="P18" s="171">
        <v>339711431.63999999</v>
      </c>
      <c r="Q18" s="147"/>
      <c r="R18" s="133"/>
      <c r="S18" s="133"/>
      <c r="T18" s="133"/>
      <c r="U18" s="133"/>
      <c r="V18" s="133"/>
      <c r="W18" s="133"/>
      <c r="X18" s="133"/>
      <c r="Y18" s="133"/>
      <c r="Z18" s="133"/>
      <c r="AA18" s="133"/>
      <c r="AB18" s="133"/>
      <c r="AC18" s="133"/>
      <c r="AD18" s="133"/>
      <c r="AE18" s="133"/>
      <c r="AF18" s="133"/>
      <c r="AG18" s="133"/>
      <c r="AH18" s="133"/>
      <c r="AI18" s="133"/>
      <c r="AJ18" s="133"/>
      <c r="AK18" s="133"/>
      <c r="AL18" s="133"/>
      <c r="AM18" s="133"/>
      <c r="AN18" s="133"/>
      <c r="AO18" s="133"/>
      <c r="AP18" s="133"/>
      <c r="AQ18" s="133"/>
      <c r="AR18" s="133"/>
      <c r="AS18" s="133"/>
      <c r="AT18" s="133"/>
    </row>
    <row r="19" spans="1:46" s="132" customFormat="1" ht="15" customHeight="1">
      <c r="A19" s="153">
        <f t="shared" si="0"/>
        <v>5</v>
      </c>
      <c r="B19" s="133" t="s">
        <v>1549</v>
      </c>
      <c r="C19" s="133"/>
      <c r="D19" s="162">
        <f>D17+D18</f>
        <v>9837743295.2192211</v>
      </c>
      <c r="E19" s="145">
        <f t="shared" si="1"/>
        <v>4.4007379624860309E-2</v>
      </c>
      <c r="F19" s="162">
        <f>F17+F18</f>
        <v>9423059153.8099899</v>
      </c>
      <c r="G19" s="145">
        <f t="shared" si="1"/>
        <v>3.7552292261440204E-2</v>
      </c>
      <c r="H19" s="162">
        <f>H17+H18</f>
        <v>9082008901.2299995</v>
      </c>
      <c r="I19" s="145">
        <f t="shared" si="1"/>
        <v>4.7798185336037281E-2</v>
      </c>
      <c r="J19" s="162">
        <f>J17+J18</f>
        <v>8667708179.2399998</v>
      </c>
      <c r="K19" s="145">
        <f t="shared" si="1"/>
        <v>6.8951769332460666E-2</v>
      </c>
      <c r="L19" s="162">
        <f>L17+L18</f>
        <v>8108605484.2799997</v>
      </c>
      <c r="M19" s="145">
        <f t="shared" si="1"/>
        <v>0.12124739132566506</v>
      </c>
      <c r="N19" s="162">
        <f>N17+N18</f>
        <v>7231771995.1999998</v>
      </c>
      <c r="O19" s="145">
        <f t="shared" si="1"/>
        <v>6.6129900990710505E-2</v>
      </c>
      <c r="P19" s="162">
        <f>P17+P18</f>
        <v>6783199672.46</v>
      </c>
      <c r="Q19" s="147"/>
      <c r="R19" s="133"/>
      <c r="S19" s="133"/>
      <c r="T19" s="133"/>
      <c r="U19" s="133"/>
      <c r="V19" s="133"/>
      <c r="W19" s="133"/>
      <c r="X19" s="133"/>
      <c r="Y19" s="133"/>
      <c r="Z19" s="133"/>
      <c r="AA19" s="133"/>
      <c r="AB19" s="133"/>
      <c r="AC19" s="133"/>
      <c r="AD19" s="133"/>
      <c r="AE19" s="133"/>
      <c r="AF19" s="133"/>
      <c r="AG19" s="133"/>
      <c r="AH19" s="133"/>
      <c r="AI19" s="133"/>
      <c r="AJ19" s="133"/>
      <c r="AK19" s="133"/>
      <c r="AL19" s="133"/>
      <c r="AM19" s="133"/>
      <c r="AN19" s="133"/>
      <c r="AO19" s="133"/>
      <c r="AP19" s="133"/>
      <c r="AQ19" s="133"/>
      <c r="AR19" s="133"/>
      <c r="AS19" s="133"/>
      <c r="AT19" s="133"/>
    </row>
    <row r="20" spans="1:46" s="132" customFormat="1" ht="15" customHeight="1">
      <c r="A20" s="153">
        <f t="shared" si="0"/>
        <v>6</v>
      </c>
      <c r="B20" s="133" t="s">
        <v>1550</v>
      </c>
      <c r="C20" s="133"/>
      <c r="D20" s="167">
        <f>-BS!AG26*1000</f>
        <v>3301600480.7689934</v>
      </c>
      <c r="E20" s="145">
        <f t="shared" si="1"/>
        <v>7.0900778724920482E-2</v>
      </c>
      <c r="F20" s="167">
        <f>-BS!O26*1000</f>
        <v>3083012494.1174097</v>
      </c>
      <c r="G20" s="145">
        <f t="shared" si="1"/>
        <v>8.1814952460118773E-2</v>
      </c>
      <c r="H20" s="167">
        <v>2849851989.1100001</v>
      </c>
      <c r="I20" s="145">
        <f t="shared" si="1"/>
        <v>1.8179285510378371E-2</v>
      </c>
      <c r="J20" s="167">
        <v>2798968737.3000002</v>
      </c>
      <c r="K20" s="145">
        <f t="shared" si="1"/>
        <v>5.7247563564010367E-2</v>
      </c>
      <c r="L20" s="167">
        <v>2647410912.79</v>
      </c>
      <c r="M20" s="145">
        <f t="shared" si="1"/>
        <v>5.0726513056833941E-2</v>
      </c>
      <c r="N20" s="167">
        <v>2519600371.6399999</v>
      </c>
      <c r="O20" s="145">
        <f t="shared" si="1"/>
        <v>5.2008615573029382E-2</v>
      </c>
      <c r="P20" s="167">
        <v>2395037772.8299999</v>
      </c>
      <c r="Q20" s="133"/>
      <c r="R20" s="133"/>
      <c r="S20" s="133"/>
      <c r="T20" s="133"/>
      <c r="U20" s="133"/>
      <c r="V20" s="133"/>
      <c r="W20" s="133"/>
      <c r="X20" s="133"/>
      <c r="Y20" s="133"/>
      <c r="Z20" s="133"/>
      <c r="AA20" s="133"/>
      <c r="AB20" s="133"/>
      <c r="AC20" s="133"/>
      <c r="AD20" s="133"/>
      <c r="AE20" s="133"/>
      <c r="AF20" s="133"/>
      <c r="AG20" s="133"/>
      <c r="AH20" s="133"/>
      <c r="AI20" s="133"/>
      <c r="AJ20" s="133"/>
      <c r="AK20" s="133"/>
      <c r="AL20" s="133"/>
      <c r="AM20" s="133"/>
      <c r="AN20" s="133"/>
      <c r="AO20" s="133"/>
      <c r="AP20" s="133"/>
      <c r="AQ20" s="133"/>
      <c r="AR20" s="133"/>
      <c r="AS20" s="133"/>
      <c r="AT20" s="133"/>
    </row>
    <row r="21" spans="1:46" s="132" customFormat="1" ht="15" customHeight="1">
      <c r="A21" s="153">
        <f t="shared" si="0"/>
        <v>7</v>
      </c>
      <c r="B21" s="133" t="s">
        <v>1551</v>
      </c>
      <c r="C21" s="133"/>
      <c r="D21" s="163">
        <f>D19-D20</f>
        <v>6536142814.4502277</v>
      </c>
      <c r="E21" s="145">
        <f t="shared" si="1"/>
        <v>3.0929765234118313E-2</v>
      </c>
      <c r="F21" s="163">
        <f>F19-F20</f>
        <v>6340046659.6925802</v>
      </c>
      <c r="G21" s="145">
        <f t="shared" si="1"/>
        <v>1.7311782917847029E-2</v>
      </c>
      <c r="H21" s="163">
        <f>H19-H20</f>
        <v>6232156912.1199989</v>
      </c>
      <c r="I21" s="145">
        <f t="shared" si="1"/>
        <v>6.1924280976404407E-2</v>
      </c>
      <c r="J21" s="163">
        <f>J19-J20</f>
        <v>5868739441.9399996</v>
      </c>
      <c r="K21" s="145">
        <f t="shared" si="1"/>
        <v>7.4625590631320002E-2</v>
      </c>
      <c r="L21" s="163">
        <f>L19-L20</f>
        <v>5461194571.4899998</v>
      </c>
      <c r="M21" s="145">
        <f t="shared" si="1"/>
        <v>0.15895493792819898</v>
      </c>
      <c r="N21" s="163">
        <f>N19-N20</f>
        <v>4712171623.5599995</v>
      </c>
      <c r="O21" s="145">
        <f t="shared" si="1"/>
        <v>7.3837231018600097E-2</v>
      </c>
      <c r="P21" s="163">
        <f>P19-P20</f>
        <v>4388161899.6300001</v>
      </c>
      <c r="Q21" s="133"/>
      <c r="R21" s="133"/>
      <c r="S21" s="133"/>
      <c r="T21" s="133"/>
      <c r="U21" s="133"/>
      <c r="V21" s="133"/>
      <c r="W21" s="133"/>
      <c r="X21" s="133"/>
      <c r="Y21" s="133"/>
      <c r="Z21" s="133"/>
      <c r="AA21" s="133"/>
      <c r="AB21" s="133"/>
      <c r="AC21" s="133"/>
      <c r="AD21" s="133"/>
      <c r="AE21" s="133"/>
      <c r="AF21" s="133"/>
      <c r="AG21" s="133"/>
      <c r="AH21" s="133"/>
      <c r="AI21" s="133"/>
      <c r="AJ21" s="133"/>
      <c r="AK21" s="133"/>
      <c r="AL21" s="133"/>
      <c r="AM21" s="133"/>
      <c r="AN21" s="133"/>
      <c r="AO21" s="133"/>
      <c r="AP21" s="133"/>
      <c r="AQ21" s="133"/>
      <c r="AR21" s="133"/>
      <c r="AS21" s="133"/>
      <c r="AT21" s="133"/>
    </row>
    <row r="22" spans="1:46" s="132" customFormat="1" ht="15" customHeight="1">
      <c r="A22" s="140"/>
      <c r="B22" s="133"/>
      <c r="C22" s="133"/>
      <c r="D22" s="164"/>
      <c r="E22" s="160"/>
      <c r="F22" s="164"/>
      <c r="G22" s="160"/>
      <c r="H22" s="164"/>
      <c r="I22" s="160"/>
      <c r="J22" s="151"/>
      <c r="K22" s="160"/>
      <c r="L22" s="164"/>
      <c r="M22" s="160"/>
      <c r="N22" s="151"/>
      <c r="O22" s="160"/>
      <c r="P22" s="151"/>
      <c r="Q22" s="133"/>
      <c r="R22" s="133"/>
      <c r="S22" s="133"/>
      <c r="T22" s="133"/>
      <c r="U22" s="133"/>
      <c r="V22" s="133"/>
      <c r="W22" s="133"/>
      <c r="X22" s="133"/>
      <c r="Y22" s="133"/>
      <c r="Z22" s="133"/>
      <c r="AA22" s="133"/>
      <c r="AB22" s="133"/>
      <c r="AC22" s="133"/>
      <c r="AD22" s="133"/>
      <c r="AE22" s="133"/>
      <c r="AF22" s="133"/>
      <c r="AG22" s="133"/>
      <c r="AH22" s="133"/>
      <c r="AI22" s="133"/>
      <c r="AJ22" s="133"/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</row>
    <row r="23" spans="1:46" s="132" customFormat="1" ht="15" customHeight="1">
      <c r="A23" s="140">
        <f>A21+1</f>
        <v>8</v>
      </c>
      <c r="B23" s="144" t="s">
        <v>1552</v>
      </c>
      <c r="C23" s="133"/>
      <c r="D23" s="165"/>
      <c r="E23" s="160"/>
      <c r="F23" s="165"/>
      <c r="G23" s="160"/>
      <c r="H23" s="165"/>
      <c r="I23" s="160"/>
      <c r="J23" s="159"/>
      <c r="K23" s="160"/>
      <c r="L23" s="165"/>
      <c r="M23" s="160"/>
      <c r="N23" s="159"/>
      <c r="O23" s="160"/>
      <c r="P23" s="159"/>
      <c r="Q23" s="133"/>
      <c r="R23" s="133"/>
      <c r="S23" s="133"/>
      <c r="T23" s="133"/>
      <c r="U23" s="133"/>
      <c r="V23" s="133"/>
      <c r="W23" s="133"/>
      <c r="X23" s="133"/>
      <c r="Y23" s="133"/>
      <c r="Z23" s="133"/>
      <c r="AA23" s="133"/>
      <c r="AB23" s="133"/>
      <c r="AC23" s="133"/>
      <c r="AD23" s="133"/>
      <c r="AE23" s="133"/>
      <c r="AF23" s="133"/>
      <c r="AG23" s="133"/>
      <c r="AH23" s="133"/>
      <c r="AI23" s="133"/>
      <c r="AJ23" s="133"/>
      <c r="AK23" s="133"/>
      <c r="AL23" s="133"/>
      <c r="AM23" s="133"/>
      <c r="AN23" s="133"/>
      <c r="AO23" s="133"/>
      <c r="AP23" s="133"/>
      <c r="AQ23" s="133"/>
      <c r="AR23" s="133"/>
      <c r="AS23" s="133"/>
      <c r="AT23" s="133"/>
    </row>
    <row r="24" spans="1:46" s="132" customFormat="1" ht="15" customHeight="1">
      <c r="A24" s="153">
        <f t="shared" ref="A24:A28" si="2">A23+1</f>
        <v>9</v>
      </c>
      <c r="B24" s="133" t="s">
        <v>1553</v>
      </c>
      <c r="C24" s="133"/>
      <c r="D24" s="170">
        <f>BS!AG37*1000</f>
        <v>971313.09999999986</v>
      </c>
      <c r="E24" s="145">
        <f t="shared" ref="E24:O28" si="3">(+D24-F24)/F24</f>
        <v>-1.1985354858998074E-16</v>
      </c>
      <c r="F24" s="170">
        <f>BS!O37*1000</f>
        <v>971313.1</v>
      </c>
      <c r="G24" s="145">
        <f t="shared" si="3"/>
        <v>0</v>
      </c>
      <c r="H24" s="170">
        <v>971313.1</v>
      </c>
      <c r="I24" s="145">
        <f t="shared" si="3"/>
        <v>0</v>
      </c>
      <c r="J24" s="170">
        <v>971313.1</v>
      </c>
      <c r="K24" s="145">
        <f t="shared" si="3"/>
        <v>-4.1889632524348349E-4</v>
      </c>
      <c r="L24" s="170">
        <v>971720.15</v>
      </c>
      <c r="M24" s="145">
        <f t="shared" si="3"/>
        <v>0</v>
      </c>
      <c r="N24" s="170">
        <v>971720.15</v>
      </c>
      <c r="O24" s="145">
        <f t="shared" si="3"/>
        <v>4.4249388709103465</v>
      </c>
      <c r="P24" s="170">
        <v>179120.94</v>
      </c>
      <c r="Q24" s="147"/>
      <c r="R24" s="133"/>
      <c r="S24" s="133"/>
      <c r="T24" s="133"/>
      <c r="U24" s="133"/>
      <c r="V24" s="133"/>
      <c r="W24" s="133"/>
      <c r="X24" s="133"/>
      <c r="Y24" s="133"/>
      <c r="Z24" s="133"/>
      <c r="AA24" s="133"/>
      <c r="AB24" s="133"/>
      <c r="AC24" s="133"/>
      <c r="AD24" s="133"/>
      <c r="AE24" s="133"/>
      <c r="AF24" s="133"/>
      <c r="AG24" s="133"/>
      <c r="AH24" s="133"/>
      <c r="AI24" s="133"/>
      <c r="AJ24" s="133"/>
      <c r="AK24" s="133"/>
      <c r="AL24" s="133"/>
      <c r="AM24" s="133"/>
      <c r="AN24" s="133"/>
      <c r="AO24" s="133"/>
      <c r="AP24" s="133"/>
      <c r="AQ24" s="133"/>
      <c r="AR24" s="133"/>
      <c r="AS24" s="133"/>
      <c r="AT24" s="133"/>
    </row>
    <row r="25" spans="1:46" s="132" customFormat="1" ht="15" customHeight="1">
      <c r="A25" s="153">
        <f t="shared" si="2"/>
        <v>10</v>
      </c>
      <c r="B25" s="133" t="s">
        <v>1554</v>
      </c>
      <c r="C25" s="133"/>
      <c r="D25" s="167">
        <v>0</v>
      </c>
      <c r="E25" s="145">
        <v>0</v>
      </c>
      <c r="F25" s="167">
        <v>0</v>
      </c>
      <c r="G25" s="145">
        <v>0</v>
      </c>
      <c r="H25" s="167">
        <v>0</v>
      </c>
      <c r="I25" s="145">
        <v>0</v>
      </c>
      <c r="J25" s="167">
        <v>0</v>
      </c>
      <c r="K25" s="145">
        <v>0</v>
      </c>
      <c r="L25" s="167">
        <v>0</v>
      </c>
      <c r="M25" s="145">
        <v>0</v>
      </c>
      <c r="N25" s="167">
        <v>0</v>
      </c>
      <c r="O25" s="145">
        <f t="shared" si="3"/>
        <v>-1</v>
      </c>
      <c r="P25" s="167">
        <v>13628644.550000001</v>
      </c>
      <c r="Q25" s="147"/>
      <c r="R25" s="133"/>
      <c r="S25" s="133"/>
      <c r="T25" s="133"/>
      <c r="U25" s="133"/>
      <c r="V25" s="133"/>
      <c r="W25" s="133"/>
      <c r="X25" s="133"/>
      <c r="Y25" s="133"/>
      <c r="Z25" s="133"/>
      <c r="AA25" s="133"/>
      <c r="AB25" s="133"/>
      <c r="AC25" s="133"/>
      <c r="AD25" s="133"/>
      <c r="AE25" s="133"/>
      <c r="AF25" s="133"/>
      <c r="AG25" s="133"/>
      <c r="AH25" s="133"/>
      <c r="AI25" s="133"/>
      <c r="AJ25" s="133"/>
      <c r="AK25" s="133"/>
      <c r="AL25" s="133"/>
      <c r="AM25" s="133"/>
      <c r="AN25" s="133"/>
      <c r="AO25" s="133"/>
      <c r="AP25" s="133"/>
      <c r="AQ25" s="133"/>
      <c r="AR25" s="133"/>
      <c r="AS25" s="133"/>
      <c r="AT25" s="133"/>
    </row>
    <row r="26" spans="1:46" s="132" customFormat="1" ht="15" customHeight="1">
      <c r="A26" s="153">
        <f t="shared" si="2"/>
        <v>11</v>
      </c>
      <c r="B26" s="133" t="s">
        <v>1555</v>
      </c>
      <c r="C26" s="133"/>
      <c r="D26" s="167">
        <f>BS!AG33*1000</f>
        <v>250000</v>
      </c>
      <c r="E26" s="145">
        <f t="shared" si="3"/>
        <v>0</v>
      </c>
      <c r="F26" s="167">
        <f>BS!O33*1000</f>
        <v>250000</v>
      </c>
      <c r="G26" s="145">
        <f t="shared" si="3"/>
        <v>0</v>
      </c>
      <c r="H26" s="167">
        <v>250000</v>
      </c>
      <c r="I26" s="145">
        <f t="shared" si="3"/>
        <v>0</v>
      </c>
      <c r="J26" s="167">
        <v>250000</v>
      </c>
      <c r="K26" s="145">
        <f t="shared" si="3"/>
        <v>0</v>
      </c>
      <c r="L26" s="167">
        <v>250000</v>
      </c>
      <c r="M26" s="145">
        <f t="shared" si="3"/>
        <v>0</v>
      </c>
      <c r="N26" s="167">
        <v>250000</v>
      </c>
      <c r="O26" s="145">
        <f t="shared" si="3"/>
        <v>0</v>
      </c>
      <c r="P26" s="167">
        <v>250000</v>
      </c>
      <c r="Q26" s="147"/>
      <c r="R26" s="133"/>
      <c r="S26" s="133"/>
      <c r="T26" s="133"/>
      <c r="U26" s="133"/>
      <c r="V26" s="133"/>
      <c r="W26" s="133"/>
      <c r="X26" s="133"/>
      <c r="Y26" s="133"/>
      <c r="Z26" s="133"/>
      <c r="AA26" s="133"/>
      <c r="AB26" s="133"/>
      <c r="AC26" s="133"/>
      <c r="AD26" s="133"/>
      <c r="AE26" s="133"/>
      <c r="AF26" s="133"/>
      <c r="AG26" s="133"/>
      <c r="AH26" s="133"/>
      <c r="AI26" s="133"/>
      <c r="AJ26" s="133"/>
      <c r="AK26" s="133"/>
      <c r="AL26" s="133"/>
      <c r="AM26" s="133"/>
      <c r="AN26" s="133"/>
      <c r="AO26" s="133"/>
      <c r="AP26" s="133"/>
      <c r="AQ26" s="133"/>
      <c r="AR26" s="133"/>
      <c r="AS26" s="133"/>
      <c r="AT26" s="133"/>
    </row>
    <row r="27" spans="1:46" s="132" customFormat="1" ht="15" customHeight="1">
      <c r="A27" s="153">
        <f t="shared" si="2"/>
        <v>12</v>
      </c>
      <c r="B27" s="133" t="s">
        <v>1556</v>
      </c>
      <c r="C27" s="133"/>
      <c r="D27" s="171">
        <v>0</v>
      </c>
      <c r="E27" s="145">
        <v>0</v>
      </c>
      <c r="F27" s="171">
        <v>0</v>
      </c>
      <c r="G27" s="145">
        <v>0</v>
      </c>
      <c r="H27" s="171">
        <v>0</v>
      </c>
      <c r="I27" s="145">
        <v>0</v>
      </c>
      <c r="J27" s="171">
        <v>0</v>
      </c>
      <c r="K27" s="145">
        <v>0</v>
      </c>
      <c r="L27" s="171">
        <v>0</v>
      </c>
      <c r="M27" s="145">
        <v>0</v>
      </c>
      <c r="N27" s="171">
        <v>0</v>
      </c>
      <c r="O27" s="145">
        <v>0</v>
      </c>
      <c r="P27" s="171">
        <v>0</v>
      </c>
      <c r="Q27" s="147"/>
      <c r="R27" s="133"/>
      <c r="S27" s="133"/>
      <c r="T27" s="133"/>
      <c r="U27" s="133"/>
      <c r="V27" s="133"/>
      <c r="W27" s="133"/>
      <c r="X27" s="133"/>
      <c r="Y27" s="133"/>
      <c r="Z27" s="133"/>
      <c r="AA27" s="133"/>
      <c r="AB27" s="133"/>
      <c r="AC27" s="133"/>
      <c r="AD27" s="133"/>
      <c r="AE27" s="133"/>
      <c r="AF27" s="133"/>
      <c r="AG27" s="133"/>
      <c r="AH27" s="133"/>
      <c r="AI27" s="133"/>
      <c r="AJ27" s="133"/>
      <c r="AK27" s="133"/>
      <c r="AL27" s="133"/>
      <c r="AM27" s="133"/>
      <c r="AN27" s="133"/>
      <c r="AO27" s="133"/>
      <c r="AP27" s="133"/>
      <c r="AQ27" s="133"/>
      <c r="AR27" s="133"/>
      <c r="AS27" s="133"/>
      <c r="AT27" s="133"/>
    </row>
    <row r="28" spans="1:46" s="132" customFormat="1" ht="15" customHeight="1">
      <c r="A28" s="153">
        <f t="shared" si="2"/>
        <v>13</v>
      </c>
      <c r="B28" s="133" t="s">
        <v>1557</v>
      </c>
      <c r="C28" s="133"/>
      <c r="D28" s="166">
        <f>SUM(D24:D27)</f>
        <v>1221313.0999999999</v>
      </c>
      <c r="E28" s="145">
        <f t="shared" si="3"/>
        <v>-1.906396022886102E-16</v>
      </c>
      <c r="F28" s="166">
        <f>SUM(F24:F27)</f>
        <v>1221313.1000000001</v>
      </c>
      <c r="G28" s="145">
        <f t="shared" si="3"/>
        <v>0</v>
      </c>
      <c r="H28" s="166">
        <f>SUM(H24:H27)</f>
        <v>1221313.1000000001</v>
      </c>
      <c r="I28" s="145">
        <f t="shared" si="3"/>
        <v>0</v>
      </c>
      <c r="J28" s="166">
        <f>SUM(J24:J27)</f>
        <v>1221313.1000000001</v>
      </c>
      <c r="K28" s="145">
        <f t="shared" si="3"/>
        <v>-3.3317777397697315E-4</v>
      </c>
      <c r="L28" s="166">
        <f>SUM(L24:L27)</f>
        <v>1221720.1499999999</v>
      </c>
      <c r="M28" s="145">
        <f t="shared" si="3"/>
        <v>0</v>
      </c>
      <c r="N28" s="166">
        <f>SUM(N24:N27)</f>
        <v>1221720.1499999999</v>
      </c>
      <c r="O28" s="145">
        <f t="shared" si="3"/>
        <v>-0.91309286309626725</v>
      </c>
      <c r="P28" s="166">
        <f>SUM(P24:P27)</f>
        <v>14057765.49</v>
      </c>
      <c r="Q28" s="133"/>
      <c r="R28" s="133"/>
      <c r="S28" s="133"/>
      <c r="T28" s="133"/>
      <c r="U28" s="133"/>
      <c r="V28" s="133"/>
      <c r="W28" s="133"/>
      <c r="X28" s="133"/>
      <c r="Y28" s="133"/>
      <c r="Z28" s="133"/>
      <c r="AA28" s="133"/>
      <c r="AB28" s="133"/>
      <c r="AC28" s="133"/>
      <c r="AD28" s="133"/>
      <c r="AE28" s="133"/>
      <c r="AF28" s="133"/>
      <c r="AG28" s="133"/>
      <c r="AH28" s="133"/>
      <c r="AI28" s="133"/>
      <c r="AJ28" s="133"/>
      <c r="AK28" s="133"/>
      <c r="AL28" s="133"/>
      <c r="AM28" s="133"/>
      <c r="AN28" s="133"/>
      <c r="AO28" s="133"/>
      <c r="AP28" s="133"/>
      <c r="AQ28" s="133"/>
      <c r="AR28" s="133"/>
      <c r="AS28" s="133"/>
      <c r="AT28" s="133"/>
    </row>
    <row r="29" spans="1:46" s="132" customFormat="1" ht="15" customHeight="1">
      <c r="A29" s="140"/>
      <c r="B29" s="133"/>
      <c r="C29" s="133"/>
      <c r="D29" s="165"/>
      <c r="E29" s="160"/>
      <c r="F29" s="165"/>
      <c r="G29" s="160"/>
      <c r="H29" s="165"/>
      <c r="I29" s="160"/>
      <c r="J29" s="159"/>
      <c r="K29" s="160"/>
      <c r="L29" s="165"/>
      <c r="M29" s="160"/>
      <c r="N29" s="159"/>
      <c r="O29" s="160"/>
      <c r="P29" s="159"/>
      <c r="Q29" s="133"/>
      <c r="R29" s="133"/>
      <c r="S29" s="133"/>
      <c r="T29" s="133"/>
      <c r="U29" s="133"/>
      <c r="V29" s="133"/>
      <c r="W29" s="133"/>
      <c r="X29" s="133"/>
      <c r="Y29" s="133"/>
      <c r="Z29" s="133"/>
      <c r="AA29" s="133"/>
      <c r="AB29" s="133"/>
      <c r="AC29" s="133"/>
      <c r="AD29" s="133"/>
      <c r="AE29" s="133"/>
      <c r="AF29" s="133"/>
      <c r="AG29" s="133"/>
      <c r="AH29" s="133"/>
      <c r="AI29" s="133"/>
      <c r="AJ29" s="133"/>
      <c r="AK29" s="133"/>
      <c r="AL29" s="133"/>
      <c r="AM29" s="133"/>
      <c r="AN29" s="133"/>
      <c r="AO29" s="133"/>
      <c r="AP29" s="133"/>
      <c r="AQ29" s="133"/>
      <c r="AR29" s="133"/>
      <c r="AS29" s="133"/>
      <c r="AT29" s="133"/>
    </row>
    <row r="30" spans="1:46" s="132" customFormat="1" ht="15" customHeight="1">
      <c r="A30" s="153">
        <f>A28+1</f>
        <v>14</v>
      </c>
      <c r="B30" s="144" t="s">
        <v>1490</v>
      </c>
      <c r="C30" s="133"/>
      <c r="D30" s="164"/>
      <c r="E30" s="158"/>
      <c r="F30" s="164"/>
      <c r="G30" s="158"/>
      <c r="H30" s="164"/>
      <c r="I30" s="158"/>
      <c r="J30" s="159"/>
      <c r="K30" s="158"/>
      <c r="L30" s="164"/>
      <c r="M30" s="158"/>
      <c r="N30" s="159"/>
      <c r="O30" s="158"/>
      <c r="P30" s="159"/>
      <c r="Q30" s="133"/>
      <c r="R30" s="133"/>
      <c r="S30" s="133"/>
      <c r="T30" s="133"/>
      <c r="U30" s="133"/>
      <c r="V30" s="133"/>
      <c r="W30" s="133"/>
      <c r="X30" s="133"/>
      <c r="Y30" s="133"/>
      <c r="Z30" s="133"/>
      <c r="AA30" s="133"/>
      <c r="AB30" s="133"/>
      <c r="AC30" s="133"/>
      <c r="AD30" s="133"/>
      <c r="AE30" s="133"/>
      <c r="AF30" s="133"/>
      <c r="AG30" s="133"/>
      <c r="AH30" s="133"/>
      <c r="AI30" s="133"/>
      <c r="AJ30" s="133"/>
      <c r="AK30" s="133"/>
      <c r="AL30" s="133"/>
      <c r="AM30" s="133"/>
      <c r="AN30" s="133"/>
      <c r="AO30" s="133"/>
      <c r="AP30" s="133"/>
      <c r="AQ30" s="133"/>
      <c r="AR30" s="133"/>
      <c r="AS30" s="133"/>
      <c r="AT30" s="133"/>
    </row>
    <row r="31" spans="1:46" s="132" customFormat="1" ht="15" customHeight="1">
      <c r="A31" s="153">
        <f t="shared" ref="A31:A47" si="4">A30+1</f>
        <v>15</v>
      </c>
      <c r="B31" s="133" t="s">
        <v>1558</v>
      </c>
      <c r="C31" s="133"/>
      <c r="D31" s="170">
        <f>BS!AG45*1000</f>
        <v>5000000</v>
      </c>
      <c r="E31" s="145">
        <f t="shared" ref="E31:O47" si="5">(+D31-F31)/F31</f>
        <v>0</v>
      </c>
      <c r="F31" s="170">
        <f>BS!N45*1000</f>
        <v>5000000</v>
      </c>
      <c r="G31" s="145">
        <f t="shared" si="5"/>
        <v>-0.29981673193086578</v>
      </c>
      <c r="H31" s="170">
        <v>7140987.5499999998</v>
      </c>
      <c r="I31" s="145">
        <f t="shared" si="5"/>
        <v>1.8850603852090291E-2</v>
      </c>
      <c r="J31" s="170">
        <v>7008866.1900000004</v>
      </c>
      <c r="K31" s="145">
        <f t="shared" si="5"/>
        <v>0.4029194035117975</v>
      </c>
      <c r="L31" s="170">
        <v>4995915.07</v>
      </c>
      <c r="M31" s="145">
        <f t="shared" si="5"/>
        <v>-0.30249342762002868</v>
      </c>
      <c r="N31" s="170">
        <v>7162534.7599999998</v>
      </c>
      <c r="O31" s="145">
        <f t="shared" si="5"/>
        <v>-0.76966483096425387</v>
      </c>
      <c r="P31" s="170">
        <v>31096140.420000002</v>
      </c>
      <c r="Q31" s="133"/>
      <c r="R31" s="133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  <c r="AF31" s="133"/>
      <c r="AG31" s="133"/>
      <c r="AH31" s="133"/>
      <c r="AI31" s="133"/>
      <c r="AJ31" s="133"/>
      <c r="AK31" s="133"/>
      <c r="AL31" s="133"/>
      <c r="AM31" s="133"/>
      <c r="AN31" s="133"/>
      <c r="AO31" s="133"/>
      <c r="AP31" s="133"/>
      <c r="AQ31" s="133"/>
      <c r="AR31" s="133"/>
      <c r="AS31" s="133"/>
      <c r="AT31" s="133"/>
    </row>
    <row r="32" spans="1:46" s="132" customFormat="1" ht="15" customHeight="1">
      <c r="A32" s="153">
        <f t="shared" si="4"/>
        <v>16</v>
      </c>
      <c r="B32" s="133" t="s">
        <v>1559</v>
      </c>
      <c r="C32" s="133"/>
      <c r="D32" s="167">
        <v>0</v>
      </c>
      <c r="E32" s="145">
        <v>0</v>
      </c>
      <c r="F32" s="167">
        <v>0</v>
      </c>
      <c r="G32" s="145">
        <v>0</v>
      </c>
      <c r="H32" s="167">
        <v>0</v>
      </c>
      <c r="I32" s="145">
        <v>0</v>
      </c>
      <c r="J32" s="167">
        <v>0</v>
      </c>
      <c r="K32" s="145">
        <v>0</v>
      </c>
      <c r="L32" s="167">
        <v>0</v>
      </c>
      <c r="M32" s="145">
        <v>0</v>
      </c>
      <c r="N32" s="167">
        <v>0</v>
      </c>
      <c r="O32" s="145">
        <v>1</v>
      </c>
      <c r="P32" s="167">
        <v>45500</v>
      </c>
      <c r="Q32" s="133"/>
      <c r="R32" s="133"/>
      <c r="S32" s="133"/>
      <c r="T32" s="133"/>
      <c r="U32" s="133"/>
      <c r="V32" s="133"/>
      <c r="W32" s="133"/>
      <c r="X32" s="133"/>
      <c r="Y32" s="133"/>
      <c r="Z32" s="133"/>
      <c r="AA32" s="133"/>
      <c r="AB32" s="133"/>
      <c r="AC32" s="133"/>
      <c r="AD32" s="133"/>
      <c r="AE32" s="133"/>
      <c r="AF32" s="133"/>
      <c r="AG32" s="133"/>
      <c r="AH32" s="133"/>
      <c r="AI32" s="133"/>
      <c r="AJ32" s="133"/>
      <c r="AK32" s="133"/>
      <c r="AL32" s="133"/>
      <c r="AM32" s="133"/>
      <c r="AN32" s="133"/>
      <c r="AO32" s="133"/>
      <c r="AP32" s="133"/>
      <c r="AQ32" s="133"/>
      <c r="AR32" s="133"/>
      <c r="AS32" s="133"/>
      <c r="AT32" s="133"/>
    </row>
    <row r="33" spans="1:46" s="132" customFormat="1" ht="15" customHeight="1">
      <c r="A33" s="153">
        <f t="shared" si="4"/>
        <v>17</v>
      </c>
      <c r="B33" s="133" t="s">
        <v>1560</v>
      </c>
      <c r="C33" s="133"/>
      <c r="D33" s="167">
        <f>BS!AG46*1000</f>
        <v>61029.999999999978</v>
      </c>
      <c r="E33" s="145">
        <f t="shared" si="5"/>
        <v>-3.5765808360724687E-16</v>
      </c>
      <c r="F33" s="167">
        <f>BS!N46*1000</f>
        <v>61030</v>
      </c>
      <c r="G33" s="145">
        <f t="shared" si="5"/>
        <v>0</v>
      </c>
      <c r="H33" s="167">
        <v>61030</v>
      </c>
      <c r="I33" s="145">
        <f t="shared" si="5"/>
        <v>0</v>
      </c>
      <c r="J33" s="167">
        <v>61030</v>
      </c>
      <c r="K33" s="145">
        <f t="shared" si="5"/>
        <v>0.58396055022060733</v>
      </c>
      <c r="L33" s="167">
        <v>38530</v>
      </c>
      <c r="M33" s="145">
        <f t="shared" si="5"/>
        <v>0</v>
      </c>
      <c r="N33" s="167">
        <v>38530</v>
      </c>
      <c r="O33" s="145">
        <f t="shared" si="5"/>
        <v>-1.2810658467845248E-2</v>
      </c>
      <c r="P33" s="167">
        <v>39030</v>
      </c>
      <c r="Q33" s="147"/>
      <c r="R33" s="133"/>
      <c r="S33" s="133"/>
      <c r="T33" s="133"/>
      <c r="U33" s="133"/>
      <c r="V33" s="133"/>
      <c r="W33" s="133"/>
      <c r="X33" s="133"/>
      <c r="Y33" s="133"/>
      <c r="Z33" s="133"/>
      <c r="AA33" s="133"/>
      <c r="AB33" s="133"/>
      <c r="AC33" s="133"/>
      <c r="AD33" s="133"/>
      <c r="AE33" s="133"/>
      <c r="AF33" s="133"/>
      <c r="AG33" s="133"/>
      <c r="AH33" s="133"/>
      <c r="AI33" s="133"/>
      <c r="AJ33" s="133"/>
      <c r="AK33" s="133"/>
      <c r="AL33" s="133"/>
      <c r="AM33" s="133"/>
      <c r="AN33" s="133"/>
      <c r="AO33" s="133"/>
      <c r="AP33" s="133"/>
      <c r="AQ33" s="133"/>
      <c r="AR33" s="133"/>
      <c r="AS33" s="133"/>
      <c r="AT33" s="133"/>
    </row>
    <row r="34" spans="1:46" s="132" customFormat="1" ht="15" customHeight="1">
      <c r="A34" s="153">
        <f t="shared" si="4"/>
        <v>18</v>
      </c>
      <c r="B34" s="133" t="s">
        <v>1561</v>
      </c>
      <c r="C34" s="133"/>
      <c r="D34" s="167">
        <f>BS!AG50*1000</f>
        <v>-1.9435842747183249E-5</v>
      </c>
      <c r="E34" s="145">
        <v>1</v>
      </c>
      <c r="F34" s="167">
        <f>BS!O50*1000</f>
        <v>9033498.7040461283</v>
      </c>
      <c r="G34" s="145">
        <f t="shared" si="5"/>
        <v>1.1240268051647855</v>
      </c>
      <c r="H34" s="167">
        <v>4253005.9800000004</v>
      </c>
      <c r="I34" s="145">
        <f t="shared" si="5"/>
        <v>4.5795500060173251E-2</v>
      </c>
      <c r="J34" s="167">
        <v>4066766.38</v>
      </c>
      <c r="K34" s="145">
        <f t="shared" si="5"/>
        <v>-0.74020110453364574</v>
      </c>
      <c r="L34" s="167">
        <v>15653516.82</v>
      </c>
      <c r="M34" s="145">
        <f t="shared" si="5"/>
        <v>0.14494303917974935</v>
      </c>
      <c r="N34" s="167">
        <v>13671873.869999999</v>
      </c>
      <c r="O34" s="145">
        <f t="shared" si="5"/>
        <v>312.04026377869553</v>
      </c>
      <c r="P34" s="167">
        <v>43674.49</v>
      </c>
      <c r="Q34" s="147"/>
      <c r="R34" s="133"/>
      <c r="S34" s="133"/>
      <c r="T34" s="133"/>
      <c r="U34" s="133"/>
      <c r="V34" s="133"/>
      <c r="W34" s="133"/>
      <c r="X34" s="133"/>
      <c r="Y34" s="133"/>
      <c r="Z34" s="133"/>
      <c r="AA34" s="133"/>
      <c r="AB34" s="133"/>
      <c r="AC34" s="133"/>
      <c r="AD34" s="133"/>
      <c r="AE34" s="133"/>
      <c r="AF34" s="133"/>
      <c r="AG34" s="133"/>
      <c r="AH34" s="133"/>
      <c r="AI34" s="133"/>
      <c r="AJ34" s="133"/>
      <c r="AK34" s="133"/>
      <c r="AL34" s="133"/>
      <c r="AM34" s="133"/>
      <c r="AN34" s="133"/>
      <c r="AO34" s="133"/>
      <c r="AP34" s="133"/>
      <c r="AQ34" s="133"/>
      <c r="AR34" s="133"/>
      <c r="AS34" s="133"/>
      <c r="AT34" s="133"/>
    </row>
    <row r="35" spans="1:46" s="132" customFormat="1" ht="15" customHeight="1">
      <c r="A35" s="153">
        <f t="shared" si="4"/>
        <v>19</v>
      </c>
      <c r="B35" s="133" t="s">
        <v>1562</v>
      </c>
      <c r="C35" s="133"/>
      <c r="D35" s="167">
        <f>BS!AG54*1000</f>
        <v>127149952.50701813</v>
      </c>
      <c r="E35" s="145">
        <f t="shared" si="5"/>
        <v>-5.4029525628520682E-2</v>
      </c>
      <c r="F35" s="167">
        <f>BS!O54*1000</f>
        <v>134412178.76435199</v>
      </c>
      <c r="G35" s="145">
        <f t="shared" si="5"/>
        <v>0.13190250668304604</v>
      </c>
      <c r="H35" s="167">
        <v>118748901.05</v>
      </c>
      <c r="I35" s="145">
        <f t="shared" si="5"/>
        <v>-6.2803479028231649E-2</v>
      </c>
      <c r="J35" s="167">
        <v>126706510.73999999</v>
      </c>
      <c r="K35" s="145">
        <f t="shared" si="5"/>
        <v>2.9193640704457704E-2</v>
      </c>
      <c r="L35" s="167">
        <v>123112411.23999999</v>
      </c>
      <c r="M35" s="145">
        <f t="shared" si="5"/>
        <v>0.61964450235404056</v>
      </c>
      <c r="N35" s="167">
        <v>76011995.88000001</v>
      </c>
      <c r="O35" s="145">
        <f t="shared" si="5"/>
        <v>6.4983012329121306E-2</v>
      </c>
      <c r="P35" s="167">
        <v>71373904.560000002</v>
      </c>
      <c r="Q35" s="133"/>
      <c r="R35" s="133"/>
      <c r="S35" s="133"/>
      <c r="T35" s="133"/>
      <c r="U35" s="133"/>
      <c r="V35" s="133"/>
      <c r="W35" s="133"/>
      <c r="X35" s="133"/>
      <c r="Y35" s="133"/>
      <c r="Z35" s="133"/>
      <c r="AA35" s="133"/>
      <c r="AB35" s="133"/>
      <c r="AC35" s="133"/>
      <c r="AD35" s="133"/>
      <c r="AE35" s="133"/>
      <c r="AF35" s="133"/>
      <c r="AG35" s="133"/>
      <c r="AH35" s="133"/>
      <c r="AI35" s="133"/>
      <c r="AJ35" s="133"/>
      <c r="AK35" s="133"/>
      <c r="AL35" s="133"/>
      <c r="AM35" s="133"/>
      <c r="AN35" s="133"/>
      <c r="AO35" s="133"/>
      <c r="AP35" s="133"/>
      <c r="AQ35" s="133"/>
      <c r="AR35" s="133"/>
      <c r="AS35" s="133"/>
      <c r="AT35" s="133"/>
    </row>
    <row r="36" spans="1:46" s="132" customFormat="1" ht="15" customHeight="1">
      <c r="A36" s="153">
        <f t="shared" si="4"/>
        <v>20</v>
      </c>
      <c r="B36" s="133" t="s">
        <v>1563</v>
      </c>
      <c r="C36" s="133"/>
      <c r="D36" s="167">
        <f>SUM(BS!AG55:AG57)*1000</f>
        <v>3766533.0900000003</v>
      </c>
      <c r="E36" s="145">
        <f t="shared" si="5"/>
        <v>1.2363127475079193E-16</v>
      </c>
      <c r="F36" s="167">
        <f>SUM(BS!O55:O57)*1000</f>
        <v>3766533.09</v>
      </c>
      <c r="G36" s="145">
        <f t="shared" si="5"/>
        <v>-0.52265043819994306</v>
      </c>
      <c r="H36" s="167">
        <v>7890513.3500000006</v>
      </c>
      <c r="I36" s="145">
        <f t="shared" si="5"/>
        <v>0.40691647635198858</v>
      </c>
      <c r="J36" s="167">
        <v>5608373.6900000004</v>
      </c>
      <c r="K36" s="145">
        <f t="shared" si="5"/>
        <v>-0.49861301130818281</v>
      </c>
      <c r="L36" s="167">
        <v>11185718.449999999</v>
      </c>
      <c r="M36" s="145">
        <f t="shared" si="5"/>
        <v>-9.2982520143679984E-2</v>
      </c>
      <c r="N36" s="167">
        <v>12332417.73</v>
      </c>
      <c r="O36" s="145">
        <f t="shared" si="5"/>
        <v>-9.9861660970721911E-2</v>
      </c>
      <c r="P36" s="167">
        <v>13700580.450000001</v>
      </c>
      <c r="Q36" s="147"/>
      <c r="R36" s="133"/>
      <c r="S36" s="133"/>
      <c r="T36" s="133"/>
      <c r="U36" s="133"/>
      <c r="V36" s="133"/>
      <c r="W36" s="133"/>
      <c r="X36" s="133"/>
      <c r="Y36" s="133"/>
      <c r="Z36" s="133"/>
      <c r="AA36" s="133"/>
      <c r="AB36" s="133"/>
      <c r="AC36" s="133"/>
      <c r="AD36" s="133"/>
      <c r="AE36" s="133"/>
      <c r="AF36" s="133"/>
      <c r="AG36" s="133"/>
      <c r="AH36" s="133"/>
      <c r="AI36" s="133"/>
      <c r="AJ36" s="133"/>
      <c r="AK36" s="133"/>
      <c r="AL36" s="133"/>
      <c r="AM36" s="133"/>
      <c r="AN36" s="133"/>
      <c r="AO36" s="133"/>
      <c r="AP36" s="133"/>
      <c r="AQ36" s="133"/>
      <c r="AR36" s="133"/>
      <c r="AS36" s="133"/>
      <c r="AT36" s="133"/>
    </row>
    <row r="37" spans="1:46" s="132" customFormat="1" ht="15" customHeight="1">
      <c r="A37" s="153">
        <f t="shared" si="4"/>
        <v>21</v>
      </c>
      <c r="B37" s="133" t="s">
        <v>1564</v>
      </c>
      <c r="C37" s="149"/>
      <c r="D37" s="167">
        <f>-(BS!AG59+BS!AG60)*1000</f>
        <v>1796899.1199999903</v>
      </c>
      <c r="E37" s="145">
        <f t="shared" si="5"/>
        <v>1.2957357542357243E-16</v>
      </c>
      <c r="F37" s="167">
        <f>-(BS!O59+BS!O60)*1000</f>
        <v>1796899.1199999901</v>
      </c>
      <c r="G37" s="145">
        <f t="shared" si="5"/>
        <v>-1.9165051573313649E-2</v>
      </c>
      <c r="H37" s="167">
        <v>1832009.68</v>
      </c>
      <c r="I37" s="145">
        <f t="shared" si="5"/>
        <v>-0.24222989452127502</v>
      </c>
      <c r="J37" s="167">
        <v>2417632.56</v>
      </c>
      <c r="K37" s="145">
        <f t="shared" si="5"/>
        <v>-0.44852872634620761</v>
      </c>
      <c r="L37" s="167">
        <v>4383968.26</v>
      </c>
      <c r="M37" s="145">
        <f t="shared" si="5"/>
        <v>0.91527059402298527</v>
      </c>
      <c r="N37" s="167">
        <v>2288955.0299999998</v>
      </c>
      <c r="O37" s="145">
        <f t="shared" si="5"/>
        <v>0.14201546669566018</v>
      </c>
      <c r="P37" s="167">
        <v>2004311.7599999998</v>
      </c>
      <c r="Q37" s="147"/>
      <c r="R37" s="133"/>
      <c r="S37" s="133"/>
      <c r="T37" s="133"/>
      <c r="U37" s="133"/>
      <c r="V37" s="133"/>
      <c r="W37" s="133"/>
      <c r="X37" s="133"/>
      <c r="Y37" s="133"/>
      <c r="Z37" s="133"/>
      <c r="AA37" s="133"/>
      <c r="AB37" s="133"/>
      <c r="AC37" s="133"/>
      <c r="AD37" s="133"/>
      <c r="AE37" s="133"/>
      <c r="AF37" s="133"/>
      <c r="AG37" s="133"/>
      <c r="AH37" s="133"/>
      <c r="AI37" s="133"/>
      <c r="AJ37" s="133"/>
      <c r="AK37" s="133"/>
      <c r="AL37" s="133"/>
      <c r="AM37" s="133"/>
      <c r="AN37" s="133"/>
      <c r="AO37" s="133"/>
      <c r="AP37" s="133"/>
      <c r="AQ37" s="133"/>
      <c r="AR37" s="133"/>
      <c r="AS37" s="133"/>
      <c r="AT37" s="133"/>
    </row>
    <row r="38" spans="1:46" s="132" customFormat="1" ht="15" customHeight="1">
      <c r="A38" s="153">
        <f t="shared" si="4"/>
        <v>22</v>
      </c>
      <c r="B38" s="133" t="s">
        <v>1565</v>
      </c>
      <c r="C38" s="133"/>
      <c r="D38" s="167">
        <f>BS!AG71*1000</f>
        <v>4333388.4792307597</v>
      </c>
      <c r="E38" s="145">
        <f t="shared" si="5"/>
        <v>4.6310175672787599</v>
      </c>
      <c r="F38" s="167">
        <f>BS!O71*1000</f>
        <v>769556.91</v>
      </c>
      <c r="G38" s="145">
        <f t="shared" si="5"/>
        <v>-9.2488811196843365E-2</v>
      </c>
      <c r="H38" s="167">
        <v>847986.14</v>
      </c>
      <c r="I38" s="145">
        <f t="shared" si="5"/>
        <v>-0.98581147079927456</v>
      </c>
      <c r="J38" s="167">
        <v>59765612.630000003</v>
      </c>
      <c r="K38" s="145">
        <f t="shared" si="5"/>
        <v>914.1563533157904</v>
      </c>
      <c r="L38" s="167">
        <v>65306.45</v>
      </c>
      <c r="M38" s="145">
        <f t="shared" si="5"/>
        <v>-0.99129572442668279</v>
      </c>
      <c r="N38" s="167">
        <v>7502801.29</v>
      </c>
      <c r="O38" s="145">
        <f t="shared" si="5"/>
        <v>188.39011863763739</v>
      </c>
      <c r="P38" s="167">
        <v>39615.589999999997</v>
      </c>
      <c r="Q38" s="147"/>
      <c r="R38" s="133"/>
      <c r="S38" s="133"/>
      <c r="T38" s="133"/>
      <c r="U38" s="133"/>
      <c r="V38" s="133"/>
      <c r="W38" s="133"/>
      <c r="X38" s="133"/>
      <c r="Y38" s="133"/>
      <c r="Z38" s="133"/>
      <c r="AA38" s="133"/>
      <c r="AB38" s="133"/>
      <c r="AC38" s="133"/>
      <c r="AD38" s="133"/>
      <c r="AE38" s="133"/>
      <c r="AF38" s="133"/>
      <c r="AG38" s="133"/>
      <c r="AH38" s="133"/>
      <c r="AI38" s="133"/>
      <c r="AJ38" s="133"/>
      <c r="AK38" s="133"/>
      <c r="AL38" s="133"/>
      <c r="AM38" s="133"/>
      <c r="AN38" s="133"/>
      <c r="AO38" s="133"/>
      <c r="AP38" s="133"/>
      <c r="AQ38" s="133"/>
      <c r="AR38" s="133"/>
      <c r="AS38" s="133"/>
      <c r="AT38" s="133"/>
    </row>
    <row r="39" spans="1:46" s="132" customFormat="1" ht="15" customHeight="1">
      <c r="A39" s="153">
        <f t="shared" si="4"/>
        <v>23</v>
      </c>
      <c r="B39" s="133" t="s">
        <v>1566</v>
      </c>
      <c r="C39" s="133"/>
      <c r="D39" s="167">
        <f>BS!AG74*1000</f>
        <v>81295505.227082819</v>
      </c>
      <c r="E39" s="145">
        <f t="shared" si="5"/>
        <v>-0.12978051139820748</v>
      </c>
      <c r="F39" s="167">
        <f>BS!O74*1000</f>
        <v>93419541.037517697</v>
      </c>
      <c r="G39" s="145">
        <f t="shared" si="5"/>
        <v>-3.7418550515813026E-2</v>
      </c>
      <c r="H39" s="167">
        <v>97051050.680000007</v>
      </c>
      <c r="I39" s="145">
        <f t="shared" si="5"/>
        <v>-2.2471382010771836E-2</v>
      </c>
      <c r="J39" s="167">
        <v>99282055.680000007</v>
      </c>
      <c r="K39" s="145">
        <f t="shared" si="5"/>
        <v>0.27598264542840378</v>
      </c>
      <c r="L39" s="167">
        <v>77808311.920000002</v>
      </c>
      <c r="M39" s="145">
        <f t="shared" si="5"/>
        <v>-0.11592763186811415</v>
      </c>
      <c r="N39" s="167">
        <v>88011247.409999996</v>
      </c>
      <c r="O39" s="145">
        <f t="shared" si="5"/>
        <v>-9.0280041775071554E-2</v>
      </c>
      <c r="P39" s="167">
        <v>96745428.760000005</v>
      </c>
      <c r="Q39" s="133"/>
      <c r="R39" s="133"/>
      <c r="S39" s="133"/>
      <c r="T39" s="133"/>
      <c r="U39" s="133"/>
      <c r="V39" s="133"/>
      <c r="W39" s="133"/>
      <c r="X39" s="133"/>
      <c r="Y39" s="133"/>
      <c r="Z39" s="133"/>
      <c r="AA39" s="133"/>
      <c r="AB39" s="133"/>
      <c r="AC39" s="133"/>
      <c r="AD39" s="133"/>
      <c r="AE39" s="133"/>
      <c r="AF39" s="133"/>
      <c r="AG39" s="133"/>
      <c r="AH39" s="133"/>
      <c r="AI39" s="133"/>
      <c r="AJ39" s="133"/>
      <c r="AK39" s="133"/>
      <c r="AL39" s="133"/>
      <c r="AM39" s="133"/>
      <c r="AN39" s="133"/>
      <c r="AO39" s="133"/>
      <c r="AP39" s="133"/>
      <c r="AQ39" s="133"/>
      <c r="AR39" s="133"/>
      <c r="AS39" s="133"/>
      <c r="AT39" s="133"/>
    </row>
    <row r="40" spans="1:46" s="132" customFormat="1" ht="15" customHeight="1">
      <c r="A40" s="153">
        <f t="shared" si="4"/>
        <v>24</v>
      </c>
      <c r="B40" s="133" t="s">
        <v>1567</v>
      </c>
      <c r="C40" s="133"/>
      <c r="D40" s="167">
        <f>BS!AG75*1000</f>
        <v>44048859.343846165</v>
      </c>
      <c r="E40" s="145">
        <f t="shared" si="5"/>
        <v>-6.2141886727921569E-3</v>
      </c>
      <c r="F40" s="167">
        <f>BS!O75*1000</f>
        <v>44324298.899999999</v>
      </c>
      <c r="G40" s="145">
        <f t="shared" si="5"/>
        <v>7.6270789259433425E-2</v>
      </c>
      <c r="H40" s="167">
        <v>41183222.049999997</v>
      </c>
      <c r="I40" s="145">
        <f t="shared" si="5"/>
        <v>6.5390564097772538E-2</v>
      </c>
      <c r="J40" s="167">
        <v>38655516.049999997</v>
      </c>
      <c r="K40" s="145">
        <f t="shared" si="5"/>
        <v>6.1811791620693363E-2</v>
      </c>
      <c r="L40" s="167">
        <v>36405242.770000003</v>
      </c>
      <c r="M40" s="145">
        <f t="shared" si="5"/>
        <v>2.2501411758046132E-2</v>
      </c>
      <c r="N40" s="167">
        <v>35604100.25</v>
      </c>
      <c r="O40" s="145">
        <f t="shared" si="5"/>
        <v>4.6043164267913494E-2</v>
      </c>
      <c r="P40" s="167">
        <v>34036932.189999998</v>
      </c>
      <c r="Q40" s="147"/>
      <c r="R40" s="133"/>
      <c r="S40" s="133"/>
      <c r="T40" s="133"/>
      <c r="U40" s="133"/>
      <c r="V40" s="133"/>
      <c r="W40" s="133"/>
      <c r="X40" s="133"/>
      <c r="Y40" s="133"/>
      <c r="Z40" s="133"/>
      <c r="AA40" s="133"/>
      <c r="AB40" s="133"/>
      <c r="AC40" s="133"/>
      <c r="AD40" s="133"/>
      <c r="AE40" s="133"/>
      <c r="AF40" s="133"/>
      <c r="AG40" s="133"/>
      <c r="AH40" s="133"/>
      <c r="AI40" s="133"/>
      <c r="AJ40" s="133"/>
      <c r="AK40" s="133"/>
      <c r="AL40" s="133"/>
      <c r="AM40" s="133"/>
      <c r="AN40" s="133"/>
      <c r="AO40" s="133"/>
      <c r="AP40" s="133"/>
      <c r="AQ40" s="133"/>
      <c r="AR40" s="133"/>
      <c r="AS40" s="133"/>
      <c r="AT40" s="133"/>
    </row>
    <row r="41" spans="1:46" s="132" customFormat="1" ht="15" customHeight="1">
      <c r="A41" s="153">
        <f t="shared" si="4"/>
        <v>25</v>
      </c>
      <c r="B41" s="133" t="s">
        <v>1568</v>
      </c>
      <c r="C41" s="133"/>
      <c r="D41" s="167">
        <f>BS!AG76*1000</f>
        <v>136559.78000000003</v>
      </c>
      <c r="E41" s="145">
        <f t="shared" si="5"/>
        <v>2.1312153883620568E-16</v>
      </c>
      <c r="F41" s="167">
        <f>BS!O76*1000</f>
        <v>136559.78</v>
      </c>
      <c r="G41" s="145">
        <f t="shared" si="5"/>
        <v>-2.7044307459054052E-2</v>
      </c>
      <c r="H41" s="167">
        <v>140355.6</v>
      </c>
      <c r="I41" s="145">
        <f t="shared" si="5"/>
        <v>-0.11654967212932109</v>
      </c>
      <c r="J41" s="167">
        <v>158872.09</v>
      </c>
      <c r="K41" s="145">
        <f t="shared" si="5"/>
        <v>-0.45871560664518279</v>
      </c>
      <c r="L41" s="167">
        <v>293509.46000000002</v>
      </c>
      <c r="M41" s="145">
        <f t="shared" si="5"/>
        <v>-9.5215635994817929E-2</v>
      </c>
      <c r="N41" s="167">
        <v>324397.14</v>
      </c>
      <c r="O41" s="145">
        <f t="shared" si="5"/>
        <v>-0.27985732524753676</v>
      </c>
      <c r="P41" s="167">
        <v>450462.32</v>
      </c>
      <c r="Q41" s="147"/>
      <c r="R41" s="133"/>
      <c r="S41" s="133"/>
      <c r="T41" s="133"/>
      <c r="U41" s="133"/>
      <c r="V41" s="133"/>
      <c r="W41" s="133"/>
      <c r="X41" s="133"/>
      <c r="Y41" s="133"/>
      <c r="Z41" s="133"/>
      <c r="AA41" s="133"/>
      <c r="AB41" s="133"/>
      <c r="AC41" s="133"/>
      <c r="AD41" s="133"/>
      <c r="AE41" s="133"/>
      <c r="AF41" s="133"/>
      <c r="AG41" s="133"/>
      <c r="AH41" s="133"/>
      <c r="AI41" s="133"/>
      <c r="AJ41" s="133"/>
      <c r="AK41" s="133"/>
      <c r="AL41" s="133"/>
      <c r="AM41" s="133"/>
      <c r="AN41" s="133"/>
      <c r="AO41" s="133"/>
      <c r="AP41" s="133"/>
      <c r="AQ41" s="133"/>
      <c r="AR41" s="133"/>
      <c r="AS41" s="133"/>
      <c r="AT41" s="133"/>
    </row>
    <row r="42" spans="1:46" s="132" customFormat="1" ht="15" customHeight="1">
      <c r="A42" s="153">
        <f t="shared" si="4"/>
        <v>26</v>
      </c>
      <c r="B42" s="133" t="s">
        <v>1569</v>
      </c>
      <c r="C42" s="133"/>
      <c r="D42" s="167">
        <f>BS!AG77*1000</f>
        <v>10515070.839999901</v>
      </c>
      <c r="E42" s="145">
        <f t="shared" si="5"/>
        <v>0</v>
      </c>
      <c r="F42" s="167">
        <f>BS!O77*1000</f>
        <v>10515070.839999901</v>
      </c>
      <c r="G42" s="145">
        <f t="shared" si="5"/>
        <v>0.12201091889279524</v>
      </c>
      <c r="H42" s="167">
        <v>9371629.6899999995</v>
      </c>
      <c r="I42" s="145">
        <f t="shared" si="5"/>
        <v>-0.11371137450939604</v>
      </c>
      <c r="J42" s="167">
        <v>10574015.529999999</v>
      </c>
      <c r="K42" s="145">
        <f t="shared" si="5"/>
        <v>3.5277330661142886E-2</v>
      </c>
      <c r="L42" s="167">
        <v>10213703.34</v>
      </c>
      <c r="M42" s="145">
        <f t="shared" si="5"/>
        <v>-1.7924755312990062E-2</v>
      </c>
      <c r="N42" s="167">
        <v>10400123</v>
      </c>
      <c r="O42" s="145">
        <f t="shared" si="5"/>
        <v>4.9032905631638049E-2</v>
      </c>
      <c r="P42" s="167">
        <v>9914010.2699999996</v>
      </c>
      <c r="Q42" s="147"/>
      <c r="R42" s="133"/>
      <c r="S42" s="133"/>
      <c r="T42" s="133"/>
      <c r="U42" s="133"/>
      <c r="V42" s="133"/>
      <c r="W42" s="133"/>
      <c r="X42" s="133"/>
      <c r="Y42" s="133"/>
      <c r="Z42" s="133"/>
      <c r="AA42" s="133"/>
      <c r="AB42" s="133"/>
      <c r="AC42" s="133"/>
      <c r="AD42" s="133"/>
      <c r="AE42" s="133"/>
      <c r="AF42" s="133"/>
      <c r="AG42" s="133"/>
      <c r="AH42" s="133"/>
      <c r="AI42" s="133"/>
      <c r="AJ42" s="133"/>
      <c r="AK42" s="133"/>
      <c r="AL42" s="133"/>
      <c r="AM42" s="133"/>
      <c r="AN42" s="133"/>
      <c r="AO42" s="133"/>
      <c r="AP42" s="133"/>
      <c r="AQ42" s="133"/>
      <c r="AR42" s="133"/>
      <c r="AS42" s="133"/>
      <c r="AT42" s="133"/>
    </row>
    <row r="43" spans="1:46" s="132" customFormat="1" ht="15" customHeight="1">
      <c r="A43" s="153">
        <f t="shared" si="4"/>
        <v>27</v>
      </c>
      <c r="B43" s="133" t="s">
        <v>1570</v>
      </c>
      <c r="C43" s="133"/>
      <c r="D43" s="167">
        <f>BS!AG84*1000</f>
        <v>19426925.634182781</v>
      </c>
      <c r="E43" s="145">
        <f t="shared" si="5"/>
        <v>7.1588243017611464E-2</v>
      </c>
      <c r="F43" s="167">
        <f>BS!O84*1000</f>
        <v>18129095.537177801</v>
      </c>
      <c r="G43" s="145">
        <f t="shared" si="5"/>
        <v>1.4129299613399522</v>
      </c>
      <c r="H43" s="167">
        <v>7513311.96</v>
      </c>
      <c r="I43" s="145">
        <f t="shared" si="5"/>
        <v>-1.521250399233286E-2</v>
      </c>
      <c r="J43" s="167">
        <v>7629373.8399999999</v>
      </c>
      <c r="K43" s="145">
        <f t="shared" si="5"/>
        <v>0.2901349430921274</v>
      </c>
      <c r="L43" s="167">
        <v>5913624.6799999997</v>
      </c>
      <c r="M43" s="145">
        <f t="shared" si="5"/>
        <v>-0.2292445200776384</v>
      </c>
      <c r="N43" s="167">
        <v>7672504.2300000004</v>
      </c>
      <c r="O43" s="145">
        <f t="shared" si="5"/>
        <v>5.3145764842836521E-2</v>
      </c>
      <c r="P43" s="167">
        <v>7285320.3099999996</v>
      </c>
      <c r="Q43" s="147"/>
      <c r="R43" s="133"/>
      <c r="S43" s="133"/>
      <c r="T43" s="133"/>
      <c r="U43" s="133"/>
      <c r="V43" s="133"/>
      <c r="W43" s="133"/>
      <c r="X43" s="133"/>
      <c r="Y43" s="133"/>
      <c r="Z43" s="133"/>
      <c r="AA43" s="133"/>
      <c r="AB43" s="133"/>
      <c r="AC43" s="133"/>
      <c r="AD43" s="133"/>
      <c r="AE43" s="133"/>
      <c r="AF43" s="133"/>
      <c r="AG43" s="133"/>
      <c r="AH43" s="133"/>
      <c r="AI43" s="133"/>
      <c r="AJ43" s="133"/>
      <c r="AK43" s="133"/>
      <c r="AL43" s="133"/>
      <c r="AM43" s="133"/>
      <c r="AN43" s="133"/>
      <c r="AO43" s="133"/>
      <c r="AP43" s="133"/>
      <c r="AQ43" s="133"/>
      <c r="AR43" s="133"/>
      <c r="AS43" s="133"/>
      <c r="AT43" s="133"/>
    </row>
    <row r="44" spans="1:46" s="132" customFormat="1" ht="15" customHeight="1">
      <c r="A44" s="153">
        <f t="shared" si="4"/>
        <v>28</v>
      </c>
      <c r="B44" s="133" t="s">
        <v>1769</v>
      </c>
      <c r="C44" s="133"/>
      <c r="D44" s="167">
        <f>SUM(BS!AG61:AG62)*1000</f>
        <v>345836.78999999905</v>
      </c>
      <c r="E44" s="145">
        <f t="shared" si="5"/>
        <v>1.6830962638031535E-16</v>
      </c>
      <c r="F44" s="167">
        <f>SUM(BS!O61:O62)*1000</f>
        <v>345836.78999999899</v>
      </c>
      <c r="G44" s="145">
        <f t="shared" si="5"/>
        <v>-0.57060276054677461</v>
      </c>
      <c r="H44" s="167">
        <v>805400.59</v>
      </c>
      <c r="I44" s="145">
        <f t="shared" si="5"/>
        <v>-0.38268341009328133</v>
      </c>
      <c r="J44" s="167">
        <v>1304679.97</v>
      </c>
      <c r="K44" s="145">
        <f t="shared" si="5"/>
        <v>0.38624694837970402</v>
      </c>
      <c r="L44" s="167">
        <v>941159.85</v>
      </c>
      <c r="M44" s="145">
        <f t="shared" si="5"/>
        <v>0.86550171699088074</v>
      </c>
      <c r="N44" s="167">
        <v>504507.63</v>
      </c>
      <c r="O44" s="145">
        <f t="shared" si="5"/>
        <v>22.776444945048731</v>
      </c>
      <c r="P44" s="167">
        <v>21218.799999999999</v>
      </c>
      <c r="Q44" s="133"/>
      <c r="R44" s="133"/>
      <c r="S44" s="133"/>
      <c r="T44" s="133"/>
      <c r="U44" s="133"/>
      <c r="V44" s="133"/>
      <c r="W44" s="133"/>
      <c r="X44" s="133"/>
      <c r="Y44" s="133"/>
      <c r="Z44" s="133"/>
      <c r="AA44" s="133"/>
      <c r="AB44" s="133"/>
      <c r="AC44" s="133"/>
      <c r="AD44" s="133"/>
      <c r="AE44" s="133"/>
      <c r="AF44" s="133"/>
      <c r="AG44" s="133"/>
      <c r="AH44" s="133"/>
      <c r="AI44" s="133"/>
      <c r="AJ44" s="133"/>
      <c r="AK44" s="133"/>
      <c r="AL44" s="133"/>
      <c r="AM44" s="133"/>
      <c r="AN44" s="133"/>
      <c r="AO44" s="133"/>
      <c r="AP44" s="133"/>
      <c r="AQ44" s="133"/>
      <c r="AR44" s="133"/>
      <c r="AS44" s="133"/>
      <c r="AT44" s="133"/>
    </row>
    <row r="45" spans="1:46" s="132" customFormat="1" ht="15" customHeight="1">
      <c r="A45" s="153">
        <f t="shared" si="4"/>
        <v>29</v>
      </c>
      <c r="B45" s="133" t="s">
        <v>1571</v>
      </c>
      <c r="C45" s="133"/>
      <c r="D45" s="172">
        <f>BS!AG63*1000</f>
        <v>105830480.04999997</v>
      </c>
      <c r="E45" s="145">
        <f t="shared" si="5"/>
        <v>-2.8160433906767782E-16</v>
      </c>
      <c r="F45" s="172">
        <f>BS!O63*1000</f>
        <v>105830480.05</v>
      </c>
      <c r="G45" s="145">
        <f t="shared" si="5"/>
        <v>0.3214980395464469</v>
      </c>
      <c r="H45" s="172">
        <v>80083720.810000002</v>
      </c>
      <c r="I45" s="145">
        <f t="shared" si="5"/>
        <v>-0.12061726685082533</v>
      </c>
      <c r="J45" s="172">
        <v>91068106.969999999</v>
      </c>
      <c r="K45" s="145">
        <f t="shared" si="5"/>
        <v>-3.5718183430606766E-2</v>
      </c>
      <c r="L45" s="172">
        <v>94441381.560000002</v>
      </c>
      <c r="M45" s="145">
        <f t="shared" si="5"/>
        <v>0.1250210104785319</v>
      </c>
      <c r="N45" s="172">
        <v>83946326.939999998</v>
      </c>
      <c r="O45" s="145">
        <f t="shared" si="5"/>
        <v>3.4064355663100843E-2</v>
      </c>
      <c r="P45" s="172">
        <v>81180950.180000007</v>
      </c>
      <c r="Q45" s="133"/>
      <c r="R45" s="133"/>
      <c r="S45" s="133"/>
      <c r="T45" s="133"/>
      <c r="U45" s="133"/>
      <c r="V45" s="133"/>
      <c r="W45" s="133"/>
      <c r="X45" s="133"/>
      <c r="Y45" s="133"/>
      <c r="Z45" s="133"/>
      <c r="AA45" s="133"/>
      <c r="AB45" s="133"/>
      <c r="AC45" s="133"/>
      <c r="AD45" s="133"/>
      <c r="AE45" s="133"/>
      <c r="AF45" s="133"/>
      <c r="AG45" s="133"/>
      <c r="AH45" s="133"/>
      <c r="AI45" s="133"/>
      <c r="AJ45" s="133"/>
      <c r="AK45" s="133"/>
      <c r="AL45" s="133"/>
      <c r="AM45" s="133"/>
      <c r="AN45" s="133"/>
      <c r="AO45" s="133"/>
      <c r="AP45" s="133"/>
      <c r="AQ45" s="133"/>
      <c r="AR45" s="133"/>
      <c r="AS45" s="133"/>
      <c r="AT45" s="133"/>
    </row>
    <row r="46" spans="1:46" s="132" customFormat="1" ht="15" customHeight="1">
      <c r="A46" s="153">
        <f t="shared" si="4"/>
        <v>30</v>
      </c>
      <c r="B46" s="133" t="s">
        <v>1572</v>
      </c>
      <c r="C46" s="133"/>
      <c r="D46" s="172">
        <f>BS!AG89*1000</f>
        <v>0</v>
      </c>
      <c r="E46" s="145">
        <v>0</v>
      </c>
      <c r="F46" s="172">
        <f>BS!O89*1000</f>
        <v>0</v>
      </c>
      <c r="G46" s="145">
        <v>0</v>
      </c>
      <c r="H46" s="172">
        <v>0</v>
      </c>
      <c r="I46" s="145">
        <v>0</v>
      </c>
      <c r="J46" s="172">
        <v>0</v>
      </c>
      <c r="K46" s="145">
        <v>0</v>
      </c>
      <c r="L46" s="172">
        <v>0</v>
      </c>
      <c r="M46" s="145">
        <f t="shared" si="5"/>
        <v>-1</v>
      </c>
      <c r="N46" s="172">
        <v>7142276.04</v>
      </c>
      <c r="O46" s="145">
        <v>1</v>
      </c>
      <c r="P46" s="172">
        <v>0</v>
      </c>
      <c r="Q46" s="133"/>
      <c r="R46" s="133"/>
      <c r="S46" s="133"/>
      <c r="T46" s="133"/>
      <c r="U46" s="133"/>
      <c r="V46" s="133"/>
      <c r="W46" s="133"/>
      <c r="X46" s="133"/>
      <c r="Y46" s="133"/>
      <c r="Z46" s="133"/>
      <c r="AA46" s="133"/>
      <c r="AB46" s="133"/>
      <c r="AC46" s="133"/>
      <c r="AD46" s="133"/>
      <c r="AE46" s="133"/>
      <c r="AF46" s="133"/>
      <c r="AG46" s="133"/>
      <c r="AH46" s="133"/>
      <c r="AI46" s="133"/>
      <c r="AJ46" s="133"/>
      <c r="AK46" s="133"/>
      <c r="AL46" s="133"/>
      <c r="AM46" s="133"/>
      <c r="AN46" s="133"/>
      <c r="AO46" s="133"/>
      <c r="AP46" s="133"/>
      <c r="AQ46" s="133"/>
      <c r="AR46" s="133"/>
      <c r="AS46" s="133"/>
      <c r="AT46" s="133"/>
    </row>
    <row r="47" spans="1:46" s="132" customFormat="1" ht="15" customHeight="1">
      <c r="A47" s="153">
        <f t="shared" si="4"/>
        <v>31</v>
      </c>
      <c r="B47" s="133" t="s">
        <v>1491</v>
      </c>
      <c r="C47" s="133"/>
      <c r="D47" s="166">
        <f>SUM(D31:D36)-D37+SUM(D38:D41)+SUM(D42:D46)</f>
        <v>400113242.62134111</v>
      </c>
      <c r="E47" s="145">
        <f t="shared" si="5"/>
        <v>-5.6218232367796619E-2</v>
      </c>
      <c r="F47" s="166">
        <f>SUM(F31:F36)-F37+SUM(F38:F41)+SUM(F42:F46)</f>
        <v>423946781.28309351</v>
      </c>
      <c r="G47" s="145">
        <f t="shared" si="5"/>
        <v>0.13579755920094527</v>
      </c>
      <c r="H47" s="166">
        <f>SUM(H31:H36)-H37+SUM(H38:H41)+SUM(H42:H46)</f>
        <v>373259105.77000004</v>
      </c>
      <c r="I47" s="145">
        <f t="shared" si="5"/>
        <v>-0.16956121064402174</v>
      </c>
      <c r="J47" s="166">
        <f>SUM(J31:J36)-J37+SUM(J38:J41)+SUM(J42:J46)</f>
        <v>449472147.19999999</v>
      </c>
      <c r="K47" s="145">
        <f t="shared" si="5"/>
        <v>0.19323282549525017</v>
      </c>
      <c r="L47" s="166">
        <f>SUM(L31:L36)-L37+SUM(L38:L41)+SUM(L42:L46)</f>
        <v>376684363.35000002</v>
      </c>
      <c r="M47" s="145">
        <f t="shared" si="5"/>
        <v>8.2312249720816993E-2</v>
      </c>
      <c r="N47" s="166">
        <f>SUM(N31:N36)-N37+SUM(N38:N41)+SUM(N42:N46)</f>
        <v>348036681.13999999</v>
      </c>
      <c r="O47" s="145">
        <f t="shared" si="5"/>
        <v>1.1827318703724849E-2</v>
      </c>
      <c r="P47" s="166">
        <f>SUM(P31:P36)-P37+SUM(P38:P41)+SUM(P42:P46)</f>
        <v>343968456.57999998</v>
      </c>
      <c r="Q47" s="133"/>
      <c r="R47" s="133"/>
      <c r="S47" s="133"/>
      <c r="T47" s="133"/>
      <c r="U47" s="133"/>
      <c r="V47" s="133"/>
      <c r="W47" s="133"/>
      <c r="X47" s="133"/>
      <c r="Y47" s="133"/>
      <c r="Z47" s="133"/>
      <c r="AA47" s="133"/>
      <c r="AB47" s="133"/>
      <c r="AC47" s="133"/>
      <c r="AD47" s="133"/>
      <c r="AE47" s="133"/>
      <c r="AF47" s="133"/>
      <c r="AG47" s="133"/>
      <c r="AH47" s="133"/>
      <c r="AI47" s="133"/>
      <c r="AJ47" s="133"/>
      <c r="AK47" s="133"/>
      <c r="AL47" s="133"/>
      <c r="AM47" s="133"/>
      <c r="AN47" s="133"/>
      <c r="AO47" s="133"/>
      <c r="AP47" s="133"/>
      <c r="AQ47" s="133"/>
      <c r="AR47" s="133"/>
      <c r="AS47" s="133"/>
      <c r="AT47" s="133"/>
    </row>
    <row r="48" spans="1:46" s="132" customFormat="1" ht="15" customHeight="1">
      <c r="A48" s="140"/>
      <c r="B48" s="144"/>
      <c r="C48" s="133"/>
      <c r="D48" s="168"/>
      <c r="E48" s="160"/>
      <c r="F48" s="168"/>
      <c r="G48" s="160"/>
      <c r="H48" s="168"/>
      <c r="I48" s="160"/>
      <c r="J48" s="168"/>
      <c r="K48" s="160"/>
      <c r="L48" s="168"/>
      <c r="M48" s="160"/>
      <c r="N48" s="168"/>
      <c r="O48" s="160"/>
      <c r="P48" s="168"/>
      <c r="Q48" s="133"/>
      <c r="R48" s="133"/>
      <c r="S48" s="133"/>
      <c r="T48" s="133"/>
      <c r="U48" s="133"/>
      <c r="V48" s="133"/>
      <c r="W48" s="133"/>
      <c r="X48" s="133"/>
      <c r="Y48" s="133"/>
      <c r="Z48" s="133"/>
      <c r="AA48" s="133"/>
      <c r="AB48" s="133"/>
      <c r="AC48" s="133"/>
      <c r="AD48" s="133"/>
      <c r="AE48" s="133"/>
      <c r="AF48" s="133"/>
      <c r="AG48" s="133"/>
      <c r="AH48" s="133"/>
      <c r="AI48" s="133"/>
      <c r="AJ48" s="133"/>
      <c r="AK48" s="133"/>
      <c r="AL48" s="133"/>
      <c r="AM48" s="133"/>
      <c r="AN48" s="133"/>
      <c r="AO48" s="133"/>
      <c r="AP48" s="133"/>
      <c r="AQ48" s="133"/>
      <c r="AR48" s="133"/>
      <c r="AS48" s="133"/>
      <c r="AT48" s="133"/>
    </row>
    <row r="49" spans="1:46" s="132" customFormat="1" ht="15" customHeight="1">
      <c r="A49" s="153">
        <f>A47+1</f>
        <v>32</v>
      </c>
      <c r="B49" s="144" t="s">
        <v>1573</v>
      </c>
      <c r="C49" s="133"/>
      <c r="D49" s="168"/>
      <c r="E49" s="160"/>
      <c r="F49" s="168"/>
      <c r="G49" s="160"/>
      <c r="H49" s="168"/>
      <c r="I49" s="160"/>
      <c r="J49" s="168"/>
      <c r="K49" s="160"/>
      <c r="L49" s="168"/>
      <c r="M49" s="160"/>
      <c r="N49" s="168"/>
      <c r="O49" s="160"/>
      <c r="P49" s="168"/>
      <c r="Q49" s="133"/>
      <c r="R49" s="133"/>
      <c r="S49" s="133"/>
      <c r="T49" s="133"/>
      <c r="U49" s="133"/>
      <c r="V49" s="133"/>
      <c r="W49" s="133"/>
      <c r="X49" s="133"/>
      <c r="Y49" s="133"/>
      <c r="Z49" s="133"/>
      <c r="AA49" s="133"/>
      <c r="AB49" s="133"/>
      <c r="AC49" s="133"/>
      <c r="AD49" s="133"/>
      <c r="AE49" s="133"/>
      <c r="AF49" s="133"/>
      <c r="AG49" s="133"/>
      <c r="AH49" s="133"/>
      <c r="AI49" s="133"/>
      <c r="AJ49" s="133"/>
      <c r="AK49" s="133"/>
      <c r="AL49" s="133"/>
      <c r="AM49" s="133"/>
      <c r="AN49" s="133"/>
      <c r="AO49" s="133"/>
      <c r="AP49" s="133"/>
      <c r="AQ49" s="133"/>
      <c r="AR49" s="133"/>
      <c r="AS49" s="133"/>
      <c r="AT49" s="133"/>
    </row>
    <row r="50" spans="1:46" s="132" customFormat="1" ht="15" customHeight="1">
      <c r="A50" s="153">
        <f t="shared" ref="A50:A57" si="6">A49+1</f>
        <v>33</v>
      </c>
      <c r="B50" s="133" t="s">
        <v>1574</v>
      </c>
      <c r="C50" s="133"/>
      <c r="D50" s="170">
        <f>BS!AG98*1000-D55</f>
        <v>17630903.93835412</v>
      </c>
      <c r="E50" s="145">
        <f t="shared" ref="E50:O57" si="7">(+D50-F50)/F50</f>
        <v>-5.9223079503548479E-2</v>
      </c>
      <c r="F50" s="170">
        <f>BS!O98*1000-F55</f>
        <v>18740791.312195696</v>
      </c>
      <c r="G50" s="145">
        <f t="shared" si="7"/>
        <v>-0.10436857366653093</v>
      </c>
      <c r="H50" s="170">
        <v>20924669.190000001</v>
      </c>
      <c r="I50" s="145">
        <f t="shared" si="7"/>
        <v>0.12408616554664349</v>
      </c>
      <c r="J50" s="170">
        <v>18614826.719999999</v>
      </c>
      <c r="K50" s="145">
        <f t="shared" si="7"/>
        <v>-6.3511006348200325E-2</v>
      </c>
      <c r="L50" s="170">
        <v>19877250.93</v>
      </c>
      <c r="M50" s="145">
        <f t="shared" si="7"/>
        <v>2.1280615436964481E-2</v>
      </c>
      <c r="N50" s="170">
        <v>19463064.93</v>
      </c>
      <c r="O50" s="145">
        <f t="shared" si="7"/>
        <v>-9.897026310735603E-2</v>
      </c>
      <c r="P50" s="170">
        <v>21600912.969999999</v>
      </c>
      <c r="Q50" s="147"/>
      <c r="R50" s="133"/>
      <c r="S50" s="133"/>
      <c r="T50" s="133"/>
      <c r="U50" s="133"/>
      <c r="V50" s="133"/>
      <c r="W50" s="133"/>
      <c r="X50" s="133"/>
      <c r="Y50" s="133"/>
      <c r="Z50" s="133"/>
      <c r="AA50" s="133"/>
      <c r="AB50" s="133"/>
      <c r="AC50" s="133"/>
      <c r="AD50" s="133"/>
      <c r="AE50" s="133"/>
      <c r="AF50" s="133"/>
      <c r="AG50" s="133"/>
      <c r="AH50" s="133"/>
      <c r="AI50" s="133"/>
      <c r="AJ50" s="133"/>
      <c r="AK50" s="133"/>
      <c r="AL50" s="133"/>
      <c r="AM50" s="133"/>
      <c r="AN50" s="133"/>
      <c r="AO50" s="133"/>
      <c r="AP50" s="133"/>
      <c r="AQ50" s="133"/>
      <c r="AR50" s="133"/>
      <c r="AS50" s="133"/>
      <c r="AT50" s="133"/>
    </row>
    <row r="51" spans="1:46" s="132" customFormat="1" ht="15" customHeight="1">
      <c r="A51" s="153">
        <f t="shared" si="6"/>
        <v>34</v>
      </c>
      <c r="B51" s="133" t="s">
        <v>1575</v>
      </c>
      <c r="C51" s="133"/>
      <c r="D51" s="167">
        <f>BS!AG115*1000</f>
        <v>519033462.64125276</v>
      </c>
      <c r="E51" s="145">
        <f t="shared" si="7"/>
        <v>7.1216635234369857E-2</v>
      </c>
      <c r="F51" s="167">
        <f>BS!O115*1000</f>
        <v>484527074.70108902</v>
      </c>
      <c r="G51" s="145">
        <f t="shared" si="7"/>
        <v>0.27792591658036758</v>
      </c>
      <c r="H51" s="167">
        <v>379151145.16000003</v>
      </c>
      <c r="I51" s="145">
        <f t="shared" si="7"/>
        <v>0.15079563739056759</v>
      </c>
      <c r="J51" s="167">
        <v>329468702.20999998</v>
      </c>
      <c r="K51" s="145">
        <f t="shared" si="7"/>
        <v>0.38677822700636583</v>
      </c>
      <c r="L51" s="167">
        <v>237578508.08000001</v>
      </c>
      <c r="M51" s="145">
        <f t="shared" si="7"/>
        <v>-0.16907431435737094</v>
      </c>
      <c r="N51" s="167">
        <v>285920284.06999999</v>
      </c>
      <c r="O51" s="145">
        <f t="shared" si="7"/>
        <v>6.3579573166000783E-2</v>
      </c>
      <c r="P51" s="167">
        <v>268828295.76999998</v>
      </c>
      <c r="Q51" s="133"/>
      <c r="R51" s="133"/>
      <c r="S51" s="133"/>
      <c r="T51" s="133"/>
      <c r="U51" s="133"/>
      <c r="V51" s="133"/>
      <c r="W51" s="133"/>
      <c r="X51" s="133"/>
      <c r="Y51" s="133"/>
      <c r="Z51" s="133"/>
      <c r="AA51" s="133"/>
      <c r="AB51" s="133"/>
      <c r="AC51" s="133"/>
      <c r="AD51" s="133"/>
      <c r="AE51" s="133"/>
      <c r="AF51" s="133"/>
      <c r="AG51" s="133"/>
      <c r="AH51" s="133"/>
      <c r="AI51" s="133"/>
      <c r="AJ51" s="133"/>
      <c r="AK51" s="133"/>
      <c r="AL51" s="133"/>
      <c r="AM51" s="133"/>
      <c r="AN51" s="133"/>
      <c r="AO51" s="133"/>
      <c r="AP51" s="133"/>
      <c r="AQ51" s="133"/>
      <c r="AR51" s="133"/>
      <c r="AS51" s="133"/>
      <c r="AT51" s="133"/>
    </row>
    <row r="52" spans="1:46" s="132" customFormat="1" ht="15" customHeight="1">
      <c r="A52" s="153">
        <f t="shared" si="6"/>
        <v>35</v>
      </c>
      <c r="B52" s="133" t="s">
        <v>1576</v>
      </c>
      <c r="C52" s="133"/>
      <c r="D52" s="167">
        <f>(BS!AG118+BS!AG119)*1000</f>
        <v>5699778.2000000011</v>
      </c>
      <c r="E52" s="145">
        <f t="shared" si="7"/>
        <v>0</v>
      </c>
      <c r="F52" s="167">
        <f>(BS!O118+BS!O119)*1000</f>
        <v>5699778.2000000011</v>
      </c>
      <c r="G52" s="145">
        <f t="shared" si="7"/>
        <v>-0.15704986930118994</v>
      </c>
      <c r="H52" s="167">
        <v>6761702.7300000004</v>
      </c>
      <c r="I52" s="145">
        <f t="shared" si="7"/>
        <v>0.1814078226998258</v>
      </c>
      <c r="J52" s="167">
        <v>5723428.0999999996</v>
      </c>
      <c r="K52" s="145">
        <f t="shared" si="7"/>
        <v>1.414006776816042</v>
      </c>
      <c r="L52" s="167">
        <v>2370924.62</v>
      </c>
      <c r="M52" s="145">
        <f t="shared" si="7"/>
        <v>-0.54833560646555712</v>
      </c>
      <c r="N52" s="167">
        <v>5249306.0199999996</v>
      </c>
      <c r="O52" s="145">
        <f t="shared" si="7"/>
        <v>0.29565894107656038</v>
      </c>
      <c r="P52" s="167">
        <v>4051456.64</v>
      </c>
      <c r="Q52" s="147"/>
      <c r="R52" s="133"/>
      <c r="S52" s="133"/>
      <c r="T52" s="133"/>
      <c r="U52" s="133"/>
      <c r="V52" s="133"/>
      <c r="W52" s="133"/>
      <c r="X52" s="133"/>
      <c r="Y52" s="133"/>
      <c r="Z52" s="133"/>
      <c r="AA52" s="133"/>
      <c r="AB52" s="133"/>
      <c r="AC52" s="133"/>
      <c r="AD52" s="133"/>
      <c r="AE52" s="133"/>
      <c r="AF52" s="133"/>
      <c r="AG52" s="133"/>
      <c r="AH52" s="133"/>
      <c r="AI52" s="133"/>
      <c r="AJ52" s="133"/>
      <c r="AK52" s="133"/>
      <c r="AL52" s="133"/>
      <c r="AM52" s="133"/>
      <c r="AN52" s="133"/>
      <c r="AO52" s="133"/>
      <c r="AP52" s="133"/>
      <c r="AQ52" s="133"/>
      <c r="AR52" s="133"/>
      <c r="AS52" s="133"/>
      <c r="AT52" s="133"/>
    </row>
    <row r="53" spans="1:46" s="132" customFormat="1" ht="15" customHeight="1">
      <c r="A53" s="153">
        <f t="shared" si="6"/>
        <v>36</v>
      </c>
      <c r="B53" s="133" t="s">
        <v>1577</v>
      </c>
      <c r="C53" s="133"/>
      <c r="D53" s="167">
        <f>SUM(BS!AG120:AG125)*1000</f>
        <v>85112.309999996563</v>
      </c>
      <c r="E53" s="145">
        <v>0</v>
      </c>
      <c r="F53" s="167">
        <f>SUM(BS!O120:O125)*1000</f>
        <v>85112.309999997247</v>
      </c>
      <c r="G53" s="145">
        <v>1</v>
      </c>
      <c r="H53" s="167">
        <v>0</v>
      </c>
      <c r="I53" s="145">
        <v>0</v>
      </c>
      <c r="J53" s="167">
        <v>0</v>
      </c>
      <c r="K53" s="145">
        <v>0</v>
      </c>
      <c r="L53" s="167">
        <v>0</v>
      </c>
      <c r="M53" s="145">
        <v>0</v>
      </c>
      <c r="N53" s="167">
        <v>0</v>
      </c>
      <c r="O53" s="145">
        <v>0</v>
      </c>
      <c r="P53" s="167">
        <v>0</v>
      </c>
      <c r="Q53" s="133"/>
      <c r="R53" s="133"/>
      <c r="S53" s="133"/>
      <c r="T53" s="133"/>
      <c r="U53" s="133"/>
      <c r="V53" s="133"/>
      <c r="W53" s="133"/>
      <c r="X53" s="133"/>
      <c r="Y53" s="133"/>
      <c r="Z53" s="133"/>
      <c r="AA53" s="133"/>
      <c r="AB53" s="133"/>
      <c r="AC53" s="133"/>
      <c r="AD53" s="133"/>
      <c r="AE53" s="133"/>
      <c r="AF53" s="133"/>
      <c r="AG53" s="133"/>
      <c r="AH53" s="133"/>
      <c r="AI53" s="133"/>
      <c r="AJ53" s="133"/>
      <c r="AK53" s="133"/>
      <c r="AL53" s="133"/>
      <c r="AM53" s="133"/>
      <c r="AN53" s="133"/>
      <c r="AO53" s="133"/>
      <c r="AP53" s="133"/>
      <c r="AQ53" s="133"/>
      <c r="AR53" s="133"/>
      <c r="AS53" s="133"/>
      <c r="AT53" s="133"/>
    </row>
    <row r="54" spans="1:46" s="132" customFormat="1" ht="15" customHeight="1">
      <c r="A54" s="153">
        <f t="shared" si="6"/>
        <v>37</v>
      </c>
      <c r="B54" s="133" t="s">
        <v>1578</v>
      </c>
      <c r="C54" s="133"/>
      <c r="D54" s="167">
        <f>SUM(BS!AG126:AG128)*1000</f>
        <v>48140485.963613212</v>
      </c>
      <c r="E54" s="145">
        <f t="shared" si="7"/>
        <v>1.8066484734292274E-3</v>
      </c>
      <c r="F54" s="167">
        <f>SUM(BS!O126:O128)*1000</f>
        <v>48053669.87429215</v>
      </c>
      <c r="G54" s="145">
        <f t="shared" si="7"/>
        <v>0.17174611480087723</v>
      </c>
      <c r="H54" s="167">
        <v>41010308.689999998</v>
      </c>
      <c r="I54" s="145">
        <f t="shared" si="7"/>
        <v>5.2572889200582909E-2</v>
      </c>
      <c r="J54" s="167">
        <v>38961965.590000004</v>
      </c>
      <c r="K54" s="145">
        <f t="shared" si="7"/>
        <v>-9.6424747834439662E-5</v>
      </c>
      <c r="L54" s="167">
        <v>38965722.850000001</v>
      </c>
      <c r="M54" s="145">
        <f t="shared" si="7"/>
        <v>-1.431815399029164E-3</v>
      </c>
      <c r="N54" s="167">
        <v>39021594.57</v>
      </c>
      <c r="O54" s="145">
        <f t="shared" si="7"/>
        <v>-5.1505577559909269E-2</v>
      </c>
      <c r="P54" s="167">
        <v>41140563.030000001</v>
      </c>
      <c r="Q54" s="147"/>
      <c r="R54" s="133"/>
      <c r="S54" s="133"/>
      <c r="T54" s="133"/>
      <c r="U54" s="133"/>
      <c r="V54" s="133"/>
      <c r="W54" s="133"/>
      <c r="X54" s="133"/>
      <c r="Y54" s="133"/>
      <c r="Z54" s="133"/>
      <c r="AA54" s="133"/>
      <c r="AB54" s="133"/>
      <c r="AC54" s="133"/>
      <c r="AD54" s="133"/>
      <c r="AE54" s="133"/>
      <c r="AF54" s="133"/>
      <c r="AG54" s="133"/>
      <c r="AH54" s="133"/>
      <c r="AI54" s="133"/>
      <c r="AJ54" s="133"/>
      <c r="AK54" s="133"/>
      <c r="AL54" s="133"/>
      <c r="AM54" s="133"/>
      <c r="AN54" s="133"/>
      <c r="AO54" s="133"/>
      <c r="AP54" s="133"/>
      <c r="AQ54" s="133"/>
      <c r="AR54" s="133"/>
      <c r="AS54" s="133"/>
      <c r="AT54" s="133"/>
    </row>
    <row r="55" spans="1:46" s="132" customFormat="1" ht="15" customHeight="1">
      <c r="A55" s="153">
        <f t="shared" si="6"/>
        <v>38</v>
      </c>
      <c r="B55" s="133" t="s">
        <v>1579</v>
      </c>
      <c r="C55" s="133"/>
      <c r="D55" s="167">
        <f>BS!AG97*1000</f>
        <v>8686993.443287475</v>
      </c>
      <c r="E55" s="145">
        <f t="shared" si="7"/>
        <v>-6.3829050700846074E-2</v>
      </c>
      <c r="F55" s="167">
        <f>BS!O97*1000</f>
        <v>9279281.1502972003</v>
      </c>
      <c r="G55" s="145">
        <f t="shared" si="7"/>
        <v>4.1769830111226494E-2</v>
      </c>
      <c r="H55" s="167">
        <v>8907227.7599999998</v>
      </c>
      <c r="I55" s="145">
        <f t="shared" si="7"/>
        <v>-7.1267480398505098E-2</v>
      </c>
      <c r="J55" s="167">
        <v>9590735.3000000007</v>
      </c>
      <c r="K55" s="145">
        <f t="shared" si="7"/>
        <v>-4.9365834994208376E-3</v>
      </c>
      <c r="L55" s="167">
        <v>9638315.6500000004</v>
      </c>
      <c r="M55" s="145">
        <f t="shared" si="7"/>
        <v>-0.1374377345951239</v>
      </c>
      <c r="N55" s="167">
        <v>11174052.050000001</v>
      </c>
      <c r="O55" s="145">
        <f t="shared" si="7"/>
        <v>-5.1045378242374026E-2</v>
      </c>
      <c r="P55" s="167">
        <v>11775117.369999999</v>
      </c>
      <c r="Q55" s="147"/>
      <c r="R55" s="133"/>
      <c r="S55" s="133"/>
      <c r="T55" s="133"/>
      <c r="U55" s="133"/>
      <c r="V55" s="133"/>
      <c r="W55" s="133"/>
      <c r="X55" s="133"/>
      <c r="Y55" s="133"/>
      <c r="Z55" s="133"/>
      <c r="AA55" s="133"/>
      <c r="AB55" s="133"/>
      <c r="AC55" s="133"/>
      <c r="AD55" s="133"/>
      <c r="AE55" s="133"/>
      <c r="AF55" s="133"/>
      <c r="AG55" s="133"/>
      <c r="AH55" s="133"/>
      <c r="AI55" s="133"/>
      <c r="AJ55" s="133"/>
      <c r="AK55" s="133"/>
      <c r="AL55" s="133"/>
      <c r="AM55" s="133"/>
      <c r="AN55" s="133"/>
      <c r="AO55" s="133"/>
      <c r="AP55" s="133"/>
      <c r="AQ55" s="133"/>
      <c r="AR55" s="133"/>
      <c r="AS55" s="133"/>
      <c r="AT55" s="133"/>
    </row>
    <row r="56" spans="1:46" s="132" customFormat="1" ht="15" customHeight="1">
      <c r="A56" s="153">
        <f t="shared" si="6"/>
        <v>39</v>
      </c>
      <c r="B56" s="133" t="s">
        <v>1580</v>
      </c>
      <c r="C56" s="133"/>
      <c r="D56" s="167">
        <f>BS!AG105*1000</f>
        <v>351912940.77999991</v>
      </c>
      <c r="E56" s="145">
        <f t="shared" si="7"/>
        <v>-3.3874653568169145E-16</v>
      </c>
      <c r="F56" s="167">
        <f>BS!O105*1000</f>
        <v>351912940.78000003</v>
      </c>
      <c r="G56" s="145">
        <f t="shared" si="7"/>
        <v>-1.710908784389658E-2</v>
      </c>
      <c r="H56" s="167">
        <v>358038655.58999997</v>
      </c>
      <c r="I56" s="145">
        <f t="shared" si="7"/>
        <v>0.61503532074173162</v>
      </c>
      <c r="J56" s="167">
        <v>221690913.5</v>
      </c>
      <c r="K56" s="145">
        <f t="shared" si="7"/>
        <v>6.4254584490070876E-2</v>
      </c>
      <c r="L56" s="167">
        <v>208306280.03</v>
      </c>
      <c r="M56" s="145">
        <f t="shared" si="7"/>
        <v>0.28325390021713098</v>
      </c>
      <c r="N56" s="167">
        <v>162326629.19999999</v>
      </c>
      <c r="O56" s="145">
        <f t="shared" si="7"/>
        <v>0.87127167033833108</v>
      </c>
      <c r="P56" s="167">
        <v>86746693.049999997</v>
      </c>
      <c r="Q56" s="133"/>
      <c r="R56" s="133"/>
      <c r="S56" s="133"/>
      <c r="T56" s="133"/>
      <c r="U56" s="133"/>
      <c r="V56" s="133"/>
      <c r="W56" s="133"/>
      <c r="X56" s="133"/>
      <c r="Y56" s="133"/>
      <c r="Z56" s="133"/>
      <c r="AA56" s="133"/>
      <c r="AB56" s="133"/>
      <c r="AC56" s="133"/>
      <c r="AD56" s="133"/>
      <c r="AE56" s="133"/>
      <c r="AF56" s="133"/>
      <c r="AG56" s="133"/>
      <c r="AH56" s="133"/>
      <c r="AI56" s="133"/>
      <c r="AJ56" s="133"/>
      <c r="AK56" s="133"/>
      <c r="AL56" s="133"/>
      <c r="AM56" s="133"/>
      <c r="AN56" s="133"/>
      <c r="AO56" s="133"/>
      <c r="AP56" s="133"/>
      <c r="AQ56" s="133"/>
      <c r="AR56" s="133"/>
      <c r="AS56" s="133"/>
      <c r="AT56" s="133"/>
    </row>
    <row r="57" spans="1:46" s="132" customFormat="1" ht="15" customHeight="1">
      <c r="A57" s="153">
        <f t="shared" si="6"/>
        <v>40</v>
      </c>
      <c r="B57" s="133" t="s">
        <v>1506</v>
      </c>
      <c r="C57" s="133"/>
      <c r="D57" s="166">
        <f>SUM(D50:D56)</f>
        <v>951189677.27650738</v>
      </c>
      <c r="E57" s="145">
        <f t="shared" si="7"/>
        <v>3.5817355289071068E-2</v>
      </c>
      <c r="F57" s="166">
        <f>SUM(F50:F56)</f>
        <v>918298648.32787418</v>
      </c>
      <c r="G57" s="145">
        <f t="shared" si="7"/>
        <v>0.12703207946912404</v>
      </c>
      <c r="H57" s="166">
        <f>SUM(H50:H56)</f>
        <v>814793709.12</v>
      </c>
      <c r="I57" s="145">
        <f t="shared" si="7"/>
        <v>0.3056533339372996</v>
      </c>
      <c r="J57" s="166">
        <f>SUM(J50:J56)</f>
        <v>624050571.42000008</v>
      </c>
      <c r="K57" s="145">
        <f t="shared" si="7"/>
        <v>0.20767541091778066</v>
      </c>
      <c r="L57" s="166">
        <f>SUM(L50:L56)</f>
        <v>516737002.15999997</v>
      </c>
      <c r="M57" s="145">
        <f t="shared" si="7"/>
        <v>-1.2267740016700418E-2</v>
      </c>
      <c r="N57" s="166">
        <f>SUM(N50:N56)</f>
        <v>523154930.83999997</v>
      </c>
      <c r="O57" s="145">
        <f t="shared" si="7"/>
        <v>0.20502895140247754</v>
      </c>
      <c r="P57" s="166">
        <f>SUM(P50:P56)</f>
        <v>434143038.82999998</v>
      </c>
      <c r="Q57" s="133"/>
      <c r="R57" s="133"/>
      <c r="S57" s="133"/>
      <c r="T57" s="133"/>
      <c r="U57" s="133"/>
      <c r="V57" s="133"/>
      <c r="W57" s="133"/>
      <c r="X57" s="133"/>
      <c r="Y57" s="133"/>
      <c r="Z57" s="133"/>
      <c r="AA57" s="133"/>
      <c r="AB57" s="133"/>
      <c r="AC57" s="133"/>
      <c r="AD57" s="133"/>
      <c r="AE57" s="133"/>
      <c r="AF57" s="133"/>
      <c r="AG57" s="133"/>
      <c r="AH57" s="133"/>
      <c r="AI57" s="133"/>
      <c r="AJ57" s="133"/>
      <c r="AK57" s="133"/>
      <c r="AL57" s="133"/>
      <c r="AM57" s="133"/>
      <c r="AN57" s="133"/>
      <c r="AO57" s="133"/>
      <c r="AP57" s="133"/>
      <c r="AQ57" s="133"/>
      <c r="AR57" s="133"/>
      <c r="AS57" s="133"/>
      <c r="AT57" s="133"/>
    </row>
    <row r="58" spans="1:46" s="132" customFormat="1" ht="15" customHeight="1">
      <c r="A58" s="140"/>
      <c r="B58" s="133"/>
      <c r="C58" s="133"/>
      <c r="D58" s="168"/>
      <c r="E58" s="148"/>
      <c r="F58" s="168"/>
      <c r="G58" s="148"/>
      <c r="H58" s="168"/>
      <c r="I58" s="148"/>
      <c r="J58" s="168"/>
      <c r="K58" s="148"/>
      <c r="L58" s="168"/>
      <c r="M58" s="148"/>
      <c r="N58" s="168"/>
      <c r="O58" s="148"/>
      <c r="P58" s="168"/>
      <c r="Q58" s="133"/>
      <c r="R58" s="133"/>
      <c r="S58" s="133"/>
      <c r="T58" s="133"/>
      <c r="U58" s="133"/>
      <c r="V58" s="133"/>
      <c r="W58" s="133"/>
      <c r="X58" s="133"/>
      <c r="Y58" s="133"/>
      <c r="Z58" s="133"/>
      <c r="AA58" s="133"/>
      <c r="AB58" s="133"/>
      <c r="AC58" s="133"/>
      <c r="AD58" s="133"/>
      <c r="AE58" s="133"/>
      <c r="AF58" s="133"/>
      <c r="AG58" s="133"/>
      <c r="AH58" s="133"/>
      <c r="AI58" s="133"/>
      <c r="AJ58" s="133"/>
      <c r="AK58" s="133"/>
      <c r="AL58" s="133"/>
      <c r="AM58" s="133"/>
      <c r="AN58" s="133"/>
      <c r="AO58" s="133"/>
      <c r="AP58" s="133"/>
      <c r="AQ58" s="133"/>
      <c r="AR58" s="133"/>
      <c r="AS58" s="133"/>
      <c r="AT58" s="133"/>
    </row>
    <row r="59" spans="1:46" s="132" customFormat="1" ht="15" customHeight="1" thickBot="1">
      <c r="A59" s="140">
        <f>A57+1</f>
        <v>41</v>
      </c>
      <c r="B59" s="133" t="s">
        <v>1507</v>
      </c>
      <c r="D59" s="169">
        <f>D21+D28+D47+D57</f>
        <v>7888667047.4480762</v>
      </c>
      <c r="E59" s="145">
        <f t="shared" ref="E59:O59" si="8">(+D59-F59)/F59</f>
        <v>2.6700499406996814E-2</v>
      </c>
      <c r="F59" s="169">
        <f>F21+F28+F47+F57</f>
        <v>7683513402.4035482</v>
      </c>
      <c r="G59" s="145">
        <f t="shared" si="8"/>
        <v>3.5314262286760267E-2</v>
      </c>
      <c r="H59" s="169">
        <f>H21+H28+H47+H57</f>
        <v>7421431040.1099997</v>
      </c>
      <c r="I59" s="145">
        <f t="shared" si="8"/>
        <v>6.8833974799981407E-2</v>
      </c>
      <c r="J59" s="169">
        <f>J21+J28+J47+J57</f>
        <v>6943483473.6599998</v>
      </c>
      <c r="K59" s="145">
        <f t="shared" si="8"/>
        <v>9.2457650463889374E-2</v>
      </c>
      <c r="L59" s="169">
        <f>L21+L28+L47+L57</f>
        <v>6355837657.1499996</v>
      </c>
      <c r="M59" s="145">
        <f t="shared" si="8"/>
        <v>0.13810385329964212</v>
      </c>
      <c r="N59" s="169">
        <f>N21+N28+N47+N57</f>
        <v>5584584955.6899996</v>
      </c>
      <c r="O59" s="145">
        <f t="shared" si="8"/>
        <v>7.80362842901033E-2</v>
      </c>
      <c r="P59" s="169">
        <f>P21+P28+P47+P57</f>
        <v>5180331160.5299997</v>
      </c>
      <c r="Q59" s="133"/>
      <c r="R59" s="133"/>
      <c r="S59" s="133"/>
      <c r="T59" s="133"/>
      <c r="U59" s="133"/>
      <c r="V59" s="133"/>
      <c r="W59" s="133"/>
      <c r="X59" s="133"/>
      <c r="Y59" s="133"/>
      <c r="Z59" s="133"/>
      <c r="AA59" s="133"/>
      <c r="AB59" s="133"/>
      <c r="AC59" s="133"/>
      <c r="AD59" s="133"/>
      <c r="AE59" s="133"/>
      <c r="AF59" s="133"/>
      <c r="AG59" s="133"/>
      <c r="AH59" s="133"/>
      <c r="AI59" s="133"/>
      <c r="AJ59" s="133"/>
      <c r="AK59" s="133"/>
      <c r="AL59" s="133"/>
      <c r="AM59" s="133"/>
      <c r="AN59" s="133"/>
      <c r="AO59" s="133"/>
      <c r="AP59" s="133"/>
      <c r="AQ59" s="133"/>
      <c r="AR59" s="133"/>
      <c r="AS59" s="133"/>
      <c r="AT59" s="133"/>
    </row>
    <row r="60" spans="1:46" s="132" customFormat="1" ht="15" customHeight="1" thickTop="1">
      <c r="A60" s="140"/>
      <c r="B60" s="133"/>
      <c r="C60" s="133"/>
      <c r="D60" s="133"/>
      <c r="E60" s="133"/>
      <c r="F60" s="133"/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  <c r="AA60" s="133"/>
      <c r="AB60" s="133"/>
      <c r="AC60" s="133"/>
      <c r="AD60" s="133"/>
      <c r="AE60" s="133"/>
      <c r="AF60" s="133"/>
      <c r="AG60" s="133"/>
      <c r="AH60" s="133"/>
      <c r="AI60" s="133"/>
      <c r="AJ60" s="133"/>
      <c r="AK60" s="133"/>
      <c r="AL60" s="133"/>
      <c r="AM60" s="133"/>
      <c r="AN60" s="133"/>
      <c r="AO60" s="133"/>
      <c r="AP60" s="133"/>
      <c r="AQ60" s="133"/>
      <c r="AR60" s="133"/>
      <c r="AS60" s="133"/>
      <c r="AT60" s="133"/>
    </row>
    <row r="61" spans="1:46" s="132" customFormat="1" ht="15" customHeight="1">
      <c r="A61" s="140"/>
      <c r="B61" s="133"/>
      <c r="C61" s="133"/>
      <c r="D61" s="133"/>
      <c r="E61" s="133"/>
      <c r="F61" s="133"/>
      <c r="G61" s="133"/>
      <c r="H61" s="133"/>
      <c r="I61" s="133"/>
      <c r="J61" s="133"/>
      <c r="K61" s="133"/>
      <c r="L61" s="133"/>
      <c r="M61" s="133"/>
      <c r="N61" s="133"/>
      <c r="O61" s="133"/>
      <c r="P61" s="133"/>
      <c r="Q61" s="133"/>
      <c r="R61" s="133"/>
      <c r="S61" s="133"/>
      <c r="T61" s="133"/>
      <c r="U61" s="133"/>
      <c r="V61" s="133"/>
      <c r="W61" s="133"/>
      <c r="X61" s="133"/>
      <c r="Y61" s="133"/>
      <c r="Z61" s="133"/>
      <c r="AA61" s="133"/>
      <c r="AB61" s="133"/>
      <c r="AC61" s="133"/>
      <c r="AD61" s="133"/>
      <c r="AE61" s="133"/>
      <c r="AF61" s="133"/>
      <c r="AG61" s="133"/>
      <c r="AH61" s="133"/>
      <c r="AI61" s="133"/>
      <c r="AJ61" s="133"/>
      <c r="AK61" s="133"/>
      <c r="AL61" s="133"/>
      <c r="AM61" s="133"/>
      <c r="AN61" s="133"/>
      <c r="AO61" s="133"/>
      <c r="AP61" s="133"/>
      <c r="AQ61" s="133"/>
      <c r="AR61" s="133"/>
      <c r="AS61" s="133"/>
      <c r="AT61" s="133"/>
    </row>
    <row r="62" spans="1:46" s="132" customFormat="1" ht="15" customHeight="1">
      <c r="A62" s="131" t="str">
        <f>+A1</f>
        <v>KENTUCKY UTILITIES COMPANY</v>
      </c>
      <c r="B62" s="131"/>
      <c r="C62" s="131"/>
      <c r="D62" s="131"/>
      <c r="E62" s="131"/>
      <c r="F62" s="131"/>
      <c r="G62" s="131"/>
      <c r="H62" s="131"/>
      <c r="I62" s="131"/>
      <c r="J62" s="131"/>
      <c r="K62" s="131"/>
      <c r="L62" s="131"/>
      <c r="M62" s="131"/>
      <c r="N62" s="131"/>
      <c r="O62" s="131"/>
      <c r="P62" s="131"/>
    </row>
    <row r="63" spans="1:46" s="132" customFormat="1" ht="15" customHeight="1">
      <c r="A63" s="131" t="str">
        <f>+A2</f>
        <v>CASE NO. 2016-00370</v>
      </c>
      <c r="B63" s="131"/>
      <c r="C63" s="131"/>
      <c r="D63" s="131"/>
      <c r="E63" s="131"/>
      <c r="F63" s="131"/>
      <c r="G63" s="131"/>
      <c r="H63" s="131"/>
      <c r="I63" s="131"/>
      <c r="J63" s="131"/>
      <c r="K63" s="131"/>
      <c r="L63" s="131"/>
      <c r="M63" s="131"/>
      <c r="N63" s="131"/>
      <c r="O63" s="131"/>
      <c r="P63" s="131"/>
      <c r="Q63" s="133"/>
      <c r="R63" s="133"/>
      <c r="S63" s="133"/>
      <c r="T63" s="133"/>
      <c r="U63" s="133"/>
      <c r="V63" s="133"/>
      <c r="W63" s="133"/>
      <c r="X63" s="133"/>
      <c r="Y63" s="133"/>
      <c r="Z63" s="133"/>
      <c r="AA63" s="133"/>
      <c r="AB63" s="133"/>
      <c r="AC63" s="133"/>
      <c r="AD63" s="133"/>
      <c r="AE63" s="133"/>
      <c r="AF63" s="133"/>
      <c r="AG63" s="133"/>
      <c r="AH63" s="133"/>
      <c r="AI63" s="133"/>
      <c r="AJ63" s="133"/>
      <c r="AK63" s="133"/>
      <c r="AL63" s="133"/>
      <c r="AM63" s="133"/>
      <c r="AN63" s="133"/>
      <c r="AO63" s="133"/>
      <c r="AP63" s="133"/>
      <c r="AQ63" s="133"/>
      <c r="AR63" s="133"/>
      <c r="AS63" s="133"/>
      <c r="AT63" s="133"/>
    </row>
    <row r="64" spans="1:46" s="132" customFormat="1" ht="15" customHeight="1">
      <c r="A64" s="131" t="str">
        <f>+A3</f>
        <v>COMPARATIVE BALANCE SHEETS - TOTAL COMPANY</v>
      </c>
      <c r="B64" s="131"/>
      <c r="C64" s="131"/>
      <c r="D64" s="131"/>
      <c r="E64" s="131"/>
      <c r="F64" s="131"/>
      <c r="G64" s="131"/>
      <c r="H64" s="131"/>
      <c r="I64" s="131"/>
      <c r="J64" s="131"/>
      <c r="K64" s="131"/>
      <c r="L64" s="131"/>
      <c r="M64" s="131"/>
      <c r="N64" s="131"/>
      <c r="O64" s="131"/>
      <c r="P64" s="131"/>
      <c r="Q64" s="133"/>
      <c r="R64" s="133"/>
      <c r="S64" s="133"/>
      <c r="T64" s="133"/>
      <c r="U64" s="133"/>
      <c r="V64" s="133"/>
      <c r="W64" s="133"/>
      <c r="X64" s="133"/>
      <c r="Y64" s="133"/>
      <c r="Z64" s="133"/>
      <c r="AA64" s="133"/>
      <c r="AB64" s="133"/>
      <c r="AC64" s="133"/>
      <c r="AD64" s="133"/>
      <c r="AE64" s="133"/>
      <c r="AF64" s="133"/>
      <c r="AG64" s="133"/>
      <c r="AH64" s="133"/>
      <c r="AI64" s="133"/>
      <c r="AJ64" s="133"/>
      <c r="AK64" s="133"/>
      <c r="AL64" s="133"/>
      <c r="AM64" s="133"/>
      <c r="AN64" s="133"/>
      <c r="AO64" s="133"/>
      <c r="AP64" s="133"/>
      <c r="AQ64" s="133"/>
      <c r="AR64" s="133"/>
      <c r="AS64" s="133"/>
      <c r="AT64" s="133"/>
    </row>
    <row r="65" spans="1:46" s="132" customFormat="1" ht="15" customHeight="1">
      <c r="A65" s="131" t="str">
        <f>+A4</f>
        <v>AS OF  DECEMBER 31, 2011 - 2015 AND BASE AND FORECASTED PERIODS</v>
      </c>
      <c r="B65" s="131"/>
      <c r="C65" s="131"/>
      <c r="D65" s="131"/>
      <c r="E65" s="131"/>
      <c r="F65" s="131"/>
      <c r="G65" s="131"/>
      <c r="H65" s="131"/>
      <c r="I65" s="131"/>
      <c r="J65" s="131"/>
      <c r="K65" s="131"/>
      <c r="L65" s="131"/>
      <c r="M65" s="131"/>
      <c r="N65" s="131"/>
      <c r="O65" s="131"/>
      <c r="P65" s="131"/>
      <c r="Q65" s="133"/>
      <c r="R65" s="133"/>
      <c r="S65" s="133"/>
      <c r="T65" s="133"/>
      <c r="U65" s="133"/>
      <c r="V65" s="133"/>
      <c r="W65" s="133"/>
      <c r="X65" s="133"/>
      <c r="Y65" s="133"/>
      <c r="Z65" s="133"/>
      <c r="AA65" s="133"/>
      <c r="AB65" s="133"/>
      <c r="AC65" s="133"/>
      <c r="AD65" s="133"/>
      <c r="AE65" s="133"/>
      <c r="AF65" s="133"/>
      <c r="AG65" s="133"/>
      <c r="AH65" s="133"/>
      <c r="AI65" s="133"/>
      <c r="AJ65" s="133"/>
      <c r="AK65" s="133"/>
      <c r="AL65" s="133"/>
      <c r="AM65" s="133"/>
      <c r="AN65" s="133"/>
      <c r="AO65" s="133"/>
      <c r="AP65" s="133"/>
      <c r="AQ65" s="133"/>
      <c r="AR65" s="133"/>
      <c r="AS65" s="133"/>
      <c r="AT65" s="133"/>
    </row>
    <row r="66" spans="1:46" s="132" customFormat="1" ht="15" customHeight="1">
      <c r="A66" s="134"/>
      <c r="B66" s="131"/>
      <c r="C66" s="131"/>
      <c r="D66" s="131"/>
      <c r="E66" s="131"/>
      <c r="F66" s="131"/>
      <c r="G66" s="131"/>
      <c r="H66" s="131"/>
      <c r="I66" s="131"/>
      <c r="J66" s="131"/>
      <c r="K66" s="131"/>
      <c r="L66" s="131"/>
      <c r="M66" s="131"/>
      <c r="N66" s="131"/>
      <c r="O66" s="131"/>
      <c r="Q66" s="133"/>
      <c r="R66" s="133"/>
      <c r="S66" s="133"/>
      <c r="T66" s="133"/>
      <c r="U66" s="133"/>
      <c r="V66" s="133"/>
      <c r="W66" s="133"/>
      <c r="X66" s="133"/>
      <c r="Y66" s="133"/>
      <c r="Z66" s="133"/>
      <c r="AA66" s="133"/>
      <c r="AB66" s="133"/>
      <c r="AC66" s="133"/>
      <c r="AD66" s="133"/>
      <c r="AE66" s="133"/>
      <c r="AF66" s="133"/>
      <c r="AG66" s="133"/>
      <c r="AH66" s="133"/>
      <c r="AI66" s="133"/>
      <c r="AJ66" s="133"/>
      <c r="AK66" s="133"/>
      <c r="AL66" s="133"/>
      <c r="AM66" s="133"/>
      <c r="AN66" s="133"/>
      <c r="AO66" s="133"/>
      <c r="AP66" s="133"/>
      <c r="AQ66" s="133"/>
      <c r="AR66" s="133"/>
      <c r="AS66" s="133"/>
      <c r="AT66" s="133"/>
    </row>
    <row r="67" spans="1:46" s="132" customFormat="1" ht="15" customHeight="1">
      <c r="A67" s="150" t="str">
        <f>+A6</f>
        <v>DATA:__X__BASE  PERIOD__X__FORECASTED  PERIOD</v>
      </c>
      <c r="B67" s="133"/>
      <c r="C67" s="133"/>
      <c r="D67" s="133"/>
      <c r="E67" s="133"/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5" t="s">
        <v>1508</v>
      </c>
      <c r="Q67" s="133"/>
      <c r="R67" s="133"/>
      <c r="S67" s="133"/>
      <c r="T67" s="133"/>
      <c r="U67" s="133"/>
      <c r="V67" s="133"/>
      <c r="W67" s="133"/>
      <c r="X67" s="133"/>
      <c r="Y67" s="133"/>
      <c r="Z67" s="133"/>
      <c r="AA67" s="133"/>
      <c r="AB67" s="133"/>
      <c r="AC67" s="133"/>
      <c r="AD67" s="133"/>
      <c r="AE67" s="133"/>
      <c r="AF67" s="133"/>
      <c r="AG67" s="133"/>
      <c r="AH67" s="133"/>
      <c r="AI67" s="133"/>
      <c r="AJ67" s="133"/>
      <c r="AK67" s="133"/>
      <c r="AL67" s="133"/>
      <c r="AM67" s="133"/>
      <c r="AN67" s="133"/>
      <c r="AO67" s="133"/>
      <c r="AP67" s="133"/>
      <c r="AQ67" s="133"/>
      <c r="AR67" s="133"/>
      <c r="AS67" s="133"/>
      <c r="AT67" s="133"/>
    </row>
    <row r="68" spans="1:46" s="132" customFormat="1" ht="15" customHeight="1">
      <c r="A68" s="150" t="str">
        <f>+A7</f>
        <v>TYPE OF FILING: __X__ ORIGINAL  _____ UPDATED  _____ REVISED</v>
      </c>
      <c r="B68" s="133"/>
      <c r="C68" s="133"/>
      <c r="D68" s="133"/>
      <c r="E68" s="133"/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5" t="s">
        <v>2157</v>
      </c>
      <c r="Q68" s="133"/>
      <c r="R68" s="133"/>
      <c r="S68" s="133"/>
      <c r="T68" s="133"/>
      <c r="U68" s="133"/>
      <c r="V68" s="133"/>
      <c r="W68" s="133"/>
      <c r="X68" s="133"/>
      <c r="Y68" s="133"/>
      <c r="Z68" s="133"/>
      <c r="AA68" s="133"/>
      <c r="AB68" s="133"/>
      <c r="AC68" s="133"/>
      <c r="AD68" s="133"/>
      <c r="AE68" s="133"/>
      <c r="AF68" s="133"/>
      <c r="AG68" s="133"/>
      <c r="AH68" s="133"/>
      <c r="AI68" s="133"/>
      <c r="AJ68" s="133"/>
      <c r="AK68" s="133"/>
      <c r="AL68" s="133"/>
      <c r="AM68" s="133"/>
      <c r="AN68" s="133"/>
      <c r="AO68" s="133"/>
      <c r="AP68" s="133"/>
      <c r="AQ68" s="133"/>
      <c r="AR68" s="133"/>
      <c r="AS68" s="133"/>
      <c r="AT68" s="133"/>
    </row>
    <row r="69" spans="1:46" s="132" customFormat="1" ht="15" customHeight="1">
      <c r="A69" s="150" t="str">
        <f>+A8</f>
        <v xml:space="preserve">WORKPAPER REFERENCE NO(S).:  </v>
      </c>
      <c r="B69" s="133"/>
      <c r="C69" s="133"/>
      <c r="D69" s="133"/>
      <c r="E69" s="133"/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5" t="str">
        <f>P8</f>
        <v>WITNESS:   C. M. GARRETT</v>
      </c>
      <c r="Q69" s="133"/>
      <c r="R69" s="133"/>
      <c r="S69" s="133"/>
      <c r="T69" s="133"/>
      <c r="U69" s="133"/>
      <c r="V69" s="133"/>
      <c r="W69" s="133"/>
      <c r="X69" s="133"/>
      <c r="Y69" s="133"/>
      <c r="Z69" s="133"/>
      <c r="AA69" s="133"/>
      <c r="AB69" s="133"/>
      <c r="AC69" s="133"/>
      <c r="AD69" s="133"/>
      <c r="AE69" s="133"/>
      <c r="AF69" s="133"/>
      <c r="AG69" s="133"/>
      <c r="AH69" s="133"/>
      <c r="AI69" s="133"/>
      <c r="AJ69" s="133"/>
      <c r="AK69" s="133"/>
      <c r="AL69" s="133"/>
      <c r="AM69" s="133"/>
      <c r="AN69" s="133"/>
      <c r="AO69" s="133"/>
      <c r="AP69" s="133"/>
      <c r="AQ69" s="133"/>
      <c r="AR69" s="133"/>
      <c r="AS69" s="133"/>
      <c r="AT69" s="133"/>
    </row>
    <row r="70" spans="1:46" ht="15" customHeight="1" thickBot="1"/>
    <row r="71" spans="1:46" s="132" customFormat="1" ht="15" customHeight="1">
      <c r="A71" s="139"/>
      <c r="B71" s="139"/>
      <c r="C71" s="139"/>
      <c r="D71" s="142" t="s">
        <v>1527</v>
      </c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3"/>
      <c r="R71" s="133"/>
      <c r="S71" s="133"/>
      <c r="T71" s="133"/>
      <c r="U71" s="133"/>
      <c r="V71" s="133"/>
      <c r="W71" s="133"/>
      <c r="X71" s="133"/>
      <c r="Y71" s="133"/>
      <c r="Z71" s="133"/>
      <c r="AA71" s="133"/>
      <c r="AB71" s="133"/>
      <c r="AC71" s="133"/>
      <c r="AD71" s="133"/>
      <c r="AE71" s="133"/>
      <c r="AF71" s="133"/>
      <c r="AG71" s="133"/>
      <c r="AH71" s="133"/>
      <c r="AI71" s="133"/>
      <c r="AJ71" s="133"/>
      <c r="AK71" s="133"/>
      <c r="AL71" s="133"/>
      <c r="AM71" s="133"/>
      <c r="AN71" s="133"/>
      <c r="AO71" s="133"/>
      <c r="AP71" s="133"/>
      <c r="AQ71" s="133"/>
      <c r="AR71" s="133"/>
      <c r="AS71" s="133"/>
      <c r="AT71" s="133"/>
    </row>
    <row r="72" spans="1:46" s="132" customFormat="1" ht="15" customHeight="1">
      <c r="A72" s="140" t="s">
        <v>1513</v>
      </c>
      <c r="B72" s="133"/>
      <c r="C72" s="133"/>
      <c r="D72" s="140" t="s">
        <v>1509</v>
      </c>
      <c r="E72" s="133"/>
      <c r="F72" s="140" t="s">
        <v>1512</v>
      </c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  <c r="AA72" s="133"/>
      <c r="AB72" s="133"/>
      <c r="AC72" s="133"/>
      <c r="AD72" s="133"/>
      <c r="AE72" s="133"/>
      <c r="AF72" s="133"/>
      <c r="AG72" s="133"/>
      <c r="AH72" s="133"/>
      <c r="AI72" s="133"/>
      <c r="AJ72" s="133"/>
      <c r="AK72" s="133"/>
      <c r="AL72" s="133"/>
      <c r="AM72" s="133"/>
      <c r="AN72" s="133"/>
      <c r="AO72" s="133"/>
      <c r="AP72" s="133"/>
      <c r="AQ72" s="133"/>
      <c r="AR72" s="133"/>
      <c r="AS72" s="133"/>
      <c r="AT72" s="133"/>
    </row>
    <row r="73" spans="1:46" s="132" customFormat="1" ht="15" customHeight="1" thickBot="1">
      <c r="A73" s="140" t="s">
        <v>1514</v>
      </c>
      <c r="B73" s="140" t="s">
        <v>208</v>
      </c>
      <c r="C73" s="133"/>
      <c r="D73" s="140" t="s">
        <v>1510</v>
      </c>
      <c r="E73" s="140" t="s">
        <v>1511</v>
      </c>
      <c r="F73" s="140" t="s">
        <v>1510</v>
      </c>
      <c r="G73" s="140" t="s">
        <v>1511</v>
      </c>
      <c r="H73" s="141">
        <f>+H12</f>
        <v>2015</v>
      </c>
      <c r="I73" s="140" t="s">
        <v>1511</v>
      </c>
      <c r="J73" s="141">
        <f>+J12</f>
        <v>2014</v>
      </c>
      <c r="K73" s="140" t="s">
        <v>1511</v>
      </c>
      <c r="L73" s="141">
        <f>+L12</f>
        <v>2013</v>
      </c>
      <c r="M73" s="140" t="s">
        <v>1511</v>
      </c>
      <c r="N73" s="141">
        <f>+N12</f>
        <v>2012</v>
      </c>
      <c r="O73" s="140" t="s">
        <v>1511</v>
      </c>
      <c r="P73" s="141">
        <f>+P12</f>
        <v>2011</v>
      </c>
      <c r="Q73" s="133"/>
      <c r="R73" s="133"/>
      <c r="S73" s="133"/>
      <c r="T73" s="133"/>
      <c r="U73" s="133"/>
      <c r="V73" s="133"/>
      <c r="W73" s="133"/>
      <c r="X73" s="133"/>
      <c r="Y73" s="133"/>
      <c r="Z73" s="133"/>
      <c r="AA73" s="133"/>
      <c r="AB73" s="133"/>
      <c r="AC73" s="133"/>
      <c r="AD73" s="133"/>
      <c r="AE73" s="133"/>
      <c r="AF73" s="133"/>
      <c r="AG73" s="133"/>
      <c r="AH73" s="133"/>
      <c r="AI73" s="133"/>
      <c r="AJ73" s="133"/>
      <c r="AK73" s="133"/>
      <c r="AL73" s="133"/>
      <c r="AM73" s="133"/>
      <c r="AN73" s="133"/>
      <c r="AO73" s="133"/>
      <c r="AP73" s="133"/>
      <c r="AQ73" s="133"/>
      <c r="AR73" s="133"/>
      <c r="AS73" s="133"/>
      <c r="AT73" s="133"/>
    </row>
    <row r="74" spans="1:46" s="132" customFormat="1" ht="15" customHeight="1">
      <c r="A74" s="142"/>
      <c r="B74" s="143"/>
      <c r="C74" s="143"/>
      <c r="D74" s="143"/>
      <c r="E74" s="143"/>
      <c r="F74" s="143"/>
      <c r="G74" s="143"/>
      <c r="H74" s="143"/>
      <c r="I74" s="143"/>
      <c r="J74" s="143"/>
      <c r="K74" s="143"/>
      <c r="L74" s="143"/>
      <c r="M74" s="143"/>
      <c r="N74" s="143"/>
      <c r="O74" s="143"/>
      <c r="P74" s="143"/>
      <c r="Q74" s="133"/>
      <c r="R74" s="133"/>
      <c r="S74" s="133"/>
      <c r="T74" s="133"/>
      <c r="U74" s="133"/>
      <c r="V74" s="133"/>
      <c r="W74" s="133"/>
      <c r="X74" s="133"/>
      <c r="Y74" s="133"/>
      <c r="Z74" s="133"/>
      <c r="AA74" s="133"/>
      <c r="AB74" s="133"/>
      <c r="AC74" s="133"/>
      <c r="AD74" s="133"/>
      <c r="AE74" s="133"/>
      <c r="AF74" s="133"/>
      <c r="AG74" s="133"/>
      <c r="AH74" s="133"/>
      <c r="AI74" s="133"/>
      <c r="AJ74" s="133"/>
      <c r="AK74" s="133"/>
      <c r="AL74" s="133"/>
      <c r="AM74" s="133"/>
      <c r="AN74" s="133"/>
      <c r="AO74" s="133"/>
      <c r="AP74" s="133"/>
      <c r="AQ74" s="133"/>
      <c r="AR74" s="133"/>
      <c r="AS74" s="133"/>
      <c r="AT74" s="133"/>
    </row>
    <row r="75" spans="1:46" s="132" customFormat="1" ht="15" customHeight="1">
      <c r="A75" s="140">
        <v>1</v>
      </c>
      <c r="B75" s="711" t="s">
        <v>1581</v>
      </c>
      <c r="C75" s="711"/>
      <c r="D75" s="133"/>
      <c r="E75" s="133"/>
      <c r="F75" s="133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46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  <c r="AC75" s="133"/>
      <c r="AD75" s="133"/>
      <c r="AE75" s="133"/>
      <c r="AF75" s="133"/>
      <c r="AG75" s="133"/>
      <c r="AH75" s="133"/>
      <c r="AI75" s="133"/>
      <c r="AJ75" s="133"/>
      <c r="AK75" s="133"/>
      <c r="AL75" s="133"/>
      <c r="AM75" s="133"/>
      <c r="AN75" s="133"/>
      <c r="AO75" s="133"/>
      <c r="AP75" s="133"/>
      <c r="AQ75" s="133"/>
      <c r="AR75" s="133"/>
      <c r="AS75" s="133"/>
      <c r="AT75" s="133"/>
    </row>
    <row r="76" spans="1:46" s="132" customFormat="1" ht="15" customHeight="1">
      <c r="A76" s="155"/>
      <c r="B76" s="156"/>
      <c r="C76" s="156"/>
      <c r="D76" s="133"/>
      <c r="E76" s="133"/>
      <c r="F76" s="133"/>
      <c r="G76" s="133"/>
      <c r="H76" s="133"/>
      <c r="I76" s="133"/>
      <c r="J76" s="133"/>
      <c r="K76" s="133"/>
      <c r="L76" s="133"/>
      <c r="M76" s="133"/>
      <c r="N76" s="133"/>
      <c r="O76" s="133"/>
      <c r="P76" s="133"/>
      <c r="Q76" s="146"/>
      <c r="R76" s="133"/>
      <c r="S76" s="133"/>
      <c r="T76" s="133"/>
      <c r="U76" s="133"/>
      <c r="V76" s="133"/>
      <c r="W76" s="133"/>
      <c r="X76" s="133"/>
      <c r="Y76" s="133"/>
      <c r="Z76" s="133"/>
      <c r="AA76" s="133"/>
      <c r="AB76" s="133"/>
      <c r="AC76" s="133"/>
      <c r="AD76" s="133"/>
      <c r="AE76" s="133"/>
      <c r="AF76" s="133"/>
      <c r="AG76" s="133"/>
      <c r="AH76" s="133"/>
      <c r="AI76" s="133"/>
      <c r="AJ76" s="133"/>
      <c r="AK76" s="133"/>
      <c r="AL76" s="133"/>
      <c r="AM76" s="133"/>
      <c r="AN76" s="133"/>
      <c r="AO76" s="133"/>
      <c r="AP76" s="133"/>
      <c r="AQ76" s="133"/>
      <c r="AR76" s="133"/>
      <c r="AS76" s="133"/>
      <c r="AT76" s="133"/>
    </row>
    <row r="77" spans="1:46" s="132" customFormat="1" ht="15" customHeight="1">
      <c r="A77" s="140">
        <f>A75+1</f>
        <v>2</v>
      </c>
      <c r="B77" s="144" t="s">
        <v>1492</v>
      </c>
      <c r="C77" s="133"/>
      <c r="D77" s="173"/>
      <c r="E77" s="158"/>
      <c r="F77" s="173"/>
      <c r="G77" s="158"/>
      <c r="H77" s="173"/>
      <c r="I77" s="158"/>
      <c r="J77" s="173"/>
      <c r="K77" s="158"/>
      <c r="L77" s="173"/>
      <c r="M77" s="158"/>
      <c r="N77" s="173"/>
      <c r="O77" s="158"/>
      <c r="P77" s="173"/>
      <c r="Q77" s="147"/>
      <c r="R77" s="133"/>
      <c r="S77" s="133"/>
      <c r="T77" s="133"/>
      <c r="U77" s="133"/>
      <c r="V77" s="133"/>
      <c r="W77" s="133"/>
      <c r="X77" s="133"/>
      <c r="Y77" s="133"/>
      <c r="Z77" s="133"/>
      <c r="AA77" s="133"/>
      <c r="AB77" s="133"/>
      <c r="AC77" s="133"/>
      <c r="AD77" s="133"/>
      <c r="AE77" s="133"/>
      <c r="AF77" s="133"/>
      <c r="AG77" s="133"/>
      <c r="AH77" s="133"/>
      <c r="AI77" s="133"/>
      <c r="AJ77" s="133"/>
      <c r="AK77" s="133"/>
      <c r="AL77" s="133"/>
      <c r="AM77" s="133"/>
      <c r="AN77" s="133"/>
      <c r="AO77" s="133"/>
      <c r="AP77" s="133"/>
      <c r="AQ77" s="133"/>
      <c r="AR77" s="133"/>
      <c r="AS77" s="133"/>
      <c r="AT77" s="133"/>
    </row>
    <row r="78" spans="1:46" s="132" customFormat="1" ht="15" customHeight="1">
      <c r="A78" s="140">
        <f>A77+1</f>
        <v>3</v>
      </c>
      <c r="B78" s="133" t="s">
        <v>1582</v>
      </c>
      <c r="C78" s="133"/>
      <c r="D78" s="170">
        <f>BS!AG141*1000</f>
        <v>308139977.56</v>
      </c>
      <c r="E78" s="145">
        <f t="shared" ref="E78:O84" si="9">(+D78-F78)/F78</f>
        <v>0</v>
      </c>
      <c r="F78" s="170">
        <f>BS!O141*1000</f>
        <v>308139977.56</v>
      </c>
      <c r="G78" s="145">
        <f t="shared" si="9"/>
        <v>0</v>
      </c>
      <c r="H78" s="170">
        <v>308139977.56</v>
      </c>
      <c r="I78" s="145">
        <f t="shared" si="9"/>
        <v>0</v>
      </c>
      <c r="J78" s="170">
        <v>308139977.56</v>
      </c>
      <c r="K78" s="145">
        <f t="shared" si="9"/>
        <v>0</v>
      </c>
      <c r="L78" s="170">
        <v>308139977.56</v>
      </c>
      <c r="M78" s="145">
        <f t="shared" si="9"/>
        <v>0</v>
      </c>
      <c r="N78" s="170">
        <v>308139977.56</v>
      </c>
      <c r="O78" s="145">
        <f t="shared" si="9"/>
        <v>0</v>
      </c>
      <c r="P78" s="170">
        <v>308139977.56</v>
      </c>
      <c r="Q78" s="147"/>
      <c r="R78" s="133"/>
      <c r="S78" s="133"/>
      <c r="T78" s="133"/>
      <c r="U78" s="133"/>
      <c r="V78" s="133"/>
      <c r="W78" s="133"/>
      <c r="X78" s="133"/>
      <c r="Y78" s="133"/>
      <c r="Z78" s="133"/>
      <c r="AA78" s="133"/>
      <c r="AB78" s="133"/>
      <c r="AC78" s="133"/>
      <c r="AD78" s="133"/>
      <c r="AE78" s="133"/>
      <c r="AF78" s="133"/>
      <c r="AG78" s="133"/>
      <c r="AH78" s="133"/>
      <c r="AI78" s="133"/>
      <c r="AJ78" s="133"/>
      <c r="AK78" s="133"/>
      <c r="AL78" s="133"/>
      <c r="AM78" s="133"/>
      <c r="AN78" s="133"/>
      <c r="AO78" s="133"/>
      <c r="AP78" s="133"/>
      <c r="AQ78" s="133"/>
      <c r="AR78" s="133"/>
      <c r="AS78" s="133"/>
      <c r="AT78" s="133"/>
    </row>
    <row r="79" spans="1:46" s="132" customFormat="1" ht="15" customHeight="1">
      <c r="A79" s="155">
        <f t="shared" ref="A79:A84" si="10">A78+1</f>
        <v>4</v>
      </c>
      <c r="B79" s="133" t="s">
        <v>1583</v>
      </c>
      <c r="C79" s="133"/>
      <c r="D79" s="161">
        <f>BS!AG149*1000</f>
        <v>574787292.55630243</v>
      </c>
      <c r="E79" s="145">
        <f t="shared" si="9"/>
        <v>-5.0494938359623487E-2</v>
      </c>
      <c r="F79" s="161">
        <f>BS!O149*1000</f>
        <v>605354637.67122304</v>
      </c>
      <c r="G79" s="145">
        <f t="shared" si="9"/>
        <v>7.3593969692588482E-2</v>
      </c>
      <c r="H79" s="161">
        <v>563858083</v>
      </c>
      <c r="I79" s="145">
        <f t="shared" si="9"/>
        <v>0</v>
      </c>
      <c r="J79" s="161">
        <v>563858083</v>
      </c>
      <c r="K79" s="145">
        <f t="shared" si="9"/>
        <v>0.19244674728337044</v>
      </c>
      <c r="L79" s="161">
        <v>472858083</v>
      </c>
      <c r="M79" s="145">
        <f t="shared" si="9"/>
        <v>0.49705867429075734</v>
      </c>
      <c r="N79" s="161">
        <v>315858083</v>
      </c>
      <c r="O79" s="145">
        <f t="shared" si="9"/>
        <v>0</v>
      </c>
      <c r="P79" s="161">
        <v>315858083</v>
      </c>
      <c r="Q79" s="133"/>
      <c r="R79" s="133"/>
      <c r="S79" s="133"/>
      <c r="T79" s="133"/>
      <c r="U79" s="133"/>
      <c r="V79" s="133"/>
      <c r="W79" s="133"/>
      <c r="X79" s="133"/>
      <c r="Y79" s="133"/>
      <c r="Z79" s="133"/>
      <c r="AA79" s="133"/>
      <c r="AB79" s="133"/>
      <c r="AC79" s="133"/>
      <c r="AD79" s="133"/>
      <c r="AE79" s="133"/>
      <c r="AF79" s="133"/>
      <c r="AG79" s="133"/>
      <c r="AH79" s="133"/>
      <c r="AI79" s="133"/>
      <c r="AJ79" s="133"/>
      <c r="AK79" s="133"/>
      <c r="AL79" s="133"/>
      <c r="AM79" s="133"/>
      <c r="AN79" s="133"/>
      <c r="AO79" s="133"/>
      <c r="AP79" s="133"/>
      <c r="AQ79" s="133"/>
      <c r="AR79" s="133"/>
      <c r="AS79" s="133"/>
      <c r="AT79" s="133"/>
    </row>
    <row r="80" spans="1:46" s="132" customFormat="1" ht="15" customHeight="1">
      <c r="A80" s="155">
        <f t="shared" si="10"/>
        <v>5</v>
      </c>
      <c r="B80" s="133" t="s">
        <v>1584</v>
      </c>
      <c r="C80" s="133"/>
      <c r="D80" s="161">
        <f>-BS!AG145*1000</f>
        <v>321288.86999999994</v>
      </c>
      <c r="E80" s="145">
        <f t="shared" si="9"/>
        <v>-1.8116924160325692E-16</v>
      </c>
      <c r="F80" s="161">
        <f>-BS!O145*1000</f>
        <v>321288.87</v>
      </c>
      <c r="G80" s="145">
        <f t="shared" si="9"/>
        <v>0</v>
      </c>
      <c r="H80" s="161">
        <v>321288.87</v>
      </c>
      <c r="I80" s="145">
        <f t="shared" si="9"/>
        <v>0</v>
      </c>
      <c r="J80" s="161">
        <v>321288.87</v>
      </c>
      <c r="K80" s="145">
        <f t="shared" si="9"/>
        <v>0</v>
      </c>
      <c r="L80" s="161">
        <v>321288.87</v>
      </c>
      <c r="M80" s="145">
        <f t="shared" si="9"/>
        <v>0</v>
      </c>
      <c r="N80" s="161">
        <v>321288.87</v>
      </c>
      <c r="O80" s="145">
        <f t="shared" si="9"/>
        <v>0</v>
      </c>
      <c r="P80" s="161">
        <v>321288.87</v>
      </c>
      <c r="Q80" s="147"/>
      <c r="R80" s="133"/>
      <c r="S80" s="133"/>
      <c r="T80" s="133"/>
      <c r="U80" s="133"/>
      <c r="V80" s="133"/>
      <c r="W80" s="133"/>
      <c r="X80" s="133"/>
      <c r="Y80" s="133"/>
      <c r="Z80" s="133"/>
      <c r="AA80" s="133"/>
      <c r="AB80" s="133"/>
      <c r="AC80" s="133"/>
      <c r="AD80" s="133"/>
      <c r="AE80" s="133"/>
      <c r="AF80" s="133"/>
      <c r="AG80" s="133"/>
      <c r="AH80" s="133"/>
      <c r="AI80" s="133"/>
      <c r="AJ80" s="133"/>
      <c r="AK80" s="133"/>
      <c r="AL80" s="133"/>
      <c r="AM80" s="133"/>
      <c r="AN80" s="133"/>
      <c r="AO80" s="133"/>
      <c r="AP80" s="133"/>
      <c r="AQ80" s="133"/>
      <c r="AR80" s="133"/>
      <c r="AS80" s="133"/>
      <c r="AT80" s="133"/>
    </row>
    <row r="81" spans="1:46" s="132" customFormat="1" ht="15" customHeight="1">
      <c r="A81" s="155">
        <f t="shared" si="10"/>
        <v>6</v>
      </c>
      <c r="B81" s="133" t="s">
        <v>1585</v>
      </c>
      <c r="C81" s="133"/>
      <c r="D81" s="167">
        <f>BS!AG158*1000</f>
        <v>-1795297.7199999997</v>
      </c>
      <c r="E81" s="145">
        <f t="shared" si="9"/>
        <v>-1.2968915465111248E-16</v>
      </c>
      <c r="F81" s="167">
        <f>BS!O158*1000</f>
        <v>-1795297.72</v>
      </c>
      <c r="G81" s="145">
        <f t="shared" si="9"/>
        <v>0.10329450438064945</v>
      </c>
      <c r="H81" s="167">
        <v>-1627215.32</v>
      </c>
      <c r="I81" s="145">
        <f t="shared" si="9"/>
        <v>0.3202458542057921</v>
      </c>
      <c r="J81" s="167">
        <v>-1232509.32</v>
      </c>
      <c r="K81" s="145">
        <f t="shared" si="9"/>
        <v>0.34403743918017599</v>
      </c>
      <c r="L81" s="167">
        <v>-917020.08</v>
      </c>
      <c r="M81" s="145">
        <f t="shared" si="9"/>
        <v>1.2150097416024286</v>
      </c>
      <c r="N81" s="167">
        <v>-414002.73</v>
      </c>
      <c r="O81" s="145">
        <f t="shared" si="9"/>
        <v>-0.83156244449403782</v>
      </c>
      <c r="P81" s="167">
        <v>-2457900.37</v>
      </c>
      <c r="Q81" s="147"/>
      <c r="R81" s="133"/>
      <c r="S81" s="133"/>
      <c r="T81" s="133"/>
      <c r="U81" s="133"/>
      <c r="V81" s="133"/>
      <c r="W81" s="133"/>
      <c r="X81" s="133"/>
      <c r="Y81" s="133"/>
      <c r="Z81" s="133"/>
      <c r="AA81" s="133"/>
      <c r="AB81" s="133"/>
      <c r="AC81" s="133"/>
      <c r="AD81" s="133"/>
      <c r="AE81" s="133"/>
      <c r="AF81" s="133"/>
      <c r="AG81" s="133"/>
      <c r="AH81" s="133"/>
      <c r="AI81" s="133"/>
      <c r="AJ81" s="133"/>
      <c r="AK81" s="133"/>
      <c r="AL81" s="133"/>
      <c r="AM81" s="133"/>
      <c r="AN81" s="133"/>
      <c r="AO81" s="133"/>
      <c r="AP81" s="133"/>
      <c r="AQ81" s="133"/>
      <c r="AR81" s="133"/>
      <c r="AS81" s="133"/>
      <c r="AT81" s="133"/>
    </row>
    <row r="82" spans="1:46" s="132" customFormat="1" ht="15" customHeight="1">
      <c r="A82" s="155">
        <f t="shared" si="10"/>
        <v>7</v>
      </c>
      <c r="B82" s="133" t="s">
        <v>1586</v>
      </c>
      <c r="C82" s="133"/>
      <c r="D82" s="161">
        <f>BS!AG153*1000</f>
        <v>1907762050.0564847</v>
      </c>
      <c r="E82" s="145">
        <f t="shared" si="9"/>
        <v>3.2575054444220812E-2</v>
      </c>
      <c r="F82" s="161">
        <f>BS!O153*1000</f>
        <v>1847577124.6317098</v>
      </c>
      <c r="G82" s="145">
        <f t="shared" si="9"/>
        <v>2.1153965633118901E-2</v>
      </c>
      <c r="H82" s="161">
        <v>1809303187.1900001</v>
      </c>
      <c r="I82" s="145">
        <f t="shared" si="9"/>
        <v>4.645323908454918E-2</v>
      </c>
      <c r="J82" s="161">
        <v>1728986178.8499999</v>
      </c>
      <c r="K82" s="145">
        <f t="shared" si="9"/>
        <v>4.3106317689122077E-2</v>
      </c>
      <c r="L82" s="161">
        <v>1657535909.3599999</v>
      </c>
      <c r="M82" s="145">
        <f t="shared" si="9"/>
        <v>7.3102632176901522E-2</v>
      </c>
      <c r="N82" s="161">
        <v>1544620113.3599999</v>
      </c>
      <c r="O82" s="145">
        <f t="shared" si="9"/>
        <v>3.6196171519121828E-2</v>
      </c>
      <c r="P82" s="161">
        <v>1490663791.0999999</v>
      </c>
      <c r="Q82" s="147"/>
      <c r="R82" s="133"/>
      <c r="S82" s="133"/>
      <c r="T82" s="133"/>
      <c r="U82" s="133"/>
      <c r="V82" s="133"/>
      <c r="W82" s="133"/>
      <c r="X82" s="133"/>
      <c r="Y82" s="133"/>
      <c r="Z82" s="133"/>
      <c r="AA82" s="133"/>
      <c r="AB82" s="133"/>
      <c r="AC82" s="133"/>
      <c r="AD82" s="133"/>
      <c r="AE82" s="133"/>
      <c r="AF82" s="133"/>
      <c r="AG82" s="133"/>
      <c r="AH82" s="133"/>
      <c r="AI82" s="133"/>
      <c r="AJ82" s="133"/>
      <c r="AK82" s="133"/>
      <c r="AL82" s="133"/>
      <c r="AM82" s="133"/>
      <c r="AN82" s="133"/>
      <c r="AO82" s="133"/>
      <c r="AP82" s="133"/>
      <c r="AQ82" s="133"/>
      <c r="AR82" s="133"/>
      <c r="AS82" s="133"/>
      <c r="AT82" s="133"/>
    </row>
    <row r="83" spans="1:46" s="132" customFormat="1" ht="15" customHeight="1">
      <c r="A83" s="155">
        <f t="shared" si="10"/>
        <v>8</v>
      </c>
      <c r="B83" s="133" t="s">
        <v>1587</v>
      </c>
      <c r="C83" s="133"/>
      <c r="D83" s="172">
        <v>0</v>
      </c>
      <c r="E83" s="145">
        <v>0</v>
      </c>
      <c r="F83" s="172">
        <v>0</v>
      </c>
      <c r="G83" s="145">
        <v>0</v>
      </c>
      <c r="H83" s="172">
        <v>0</v>
      </c>
      <c r="I83" s="145">
        <v>0</v>
      </c>
      <c r="J83" s="172">
        <v>0</v>
      </c>
      <c r="K83" s="145">
        <v>0</v>
      </c>
      <c r="L83" s="172">
        <v>0</v>
      </c>
      <c r="M83" s="145">
        <f t="shared" si="9"/>
        <v>-1</v>
      </c>
      <c r="N83" s="172">
        <v>8900201.75</v>
      </c>
      <c r="O83" s="145">
        <f t="shared" si="9"/>
        <v>-0.45583136009162861</v>
      </c>
      <c r="P83" s="172">
        <v>16355594.75</v>
      </c>
      <c r="Q83" s="147"/>
      <c r="R83" s="133"/>
      <c r="S83" s="133"/>
      <c r="T83" s="133"/>
      <c r="U83" s="133"/>
      <c r="V83" s="133"/>
      <c r="W83" s="133"/>
      <c r="X83" s="133"/>
      <c r="Y83" s="133"/>
      <c r="Z83" s="133"/>
      <c r="AA83" s="133"/>
      <c r="AB83" s="133"/>
      <c r="AC83" s="133"/>
      <c r="AD83" s="133"/>
      <c r="AE83" s="133"/>
      <c r="AF83" s="133"/>
      <c r="AG83" s="133"/>
      <c r="AH83" s="133"/>
      <c r="AI83" s="133"/>
      <c r="AJ83" s="133"/>
      <c r="AK83" s="133"/>
      <c r="AL83" s="133"/>
      <c r="AM83" s="133"/>
      <c r="AN83" s="133"/>
      <c r="AO83" s="133"/>
      <c r="AP83" s="133"/>
      <c r="AQ83" s="133"/>
      <c r="AR83" s="133"/>
      <c r="AS83" s="133"/>
      <c r="AT83" s="133"/>
    </row>
    <row r="84" spans="1:46" s="132" customFormat="1" ht="15" customHeight="1">
      <c r="A84" s="155">
        <f t="shared" si="10"/>
        <v>9</v>
      </c>
      <c r="B84" s="133" t="s">
        <v>1588</v>
      </c>
      <c r="C84" s="133"/>
      <c r="D84" s="166">
        <f>SUM(D78,D79,-D80,D81,D82,D83)</f>
        <v>2788572733.582787</v>
      </c>
      <c r="E84" s="145">
        <f t="shared" si="9"/>
        <v>1.0735071309411776E-2</v>
      </c>
      <c r="F84" s="166">
        <f>SUM(F78,F79,-F80,F81,F82,F83)</f>
        <v>2758955153.272933</v>
      </c>
      <c r="G84" s="145">
        <f t="shared" si="9"/>
        <v>2.9709566948309691E-2</v>
      </c>
      <c r="H84" s="166">
        <f>SUM(H78,H79,-H80,H81,H82,H83)</f>
        <v>2679352743.5599999</v>
      </c>
      <c r="I84" s="145">
        <f t="shared" si="9"/>
        <v>3.074608232351466E-2</v>
      </c>
      <c r="J84" s="166">
        <f>SUM(J78,J79,-J80,J81,J82,J83)</f>
        <v>2599430441.2199998</v>
      </c>
      <c r="K84" s="145">
        <f t="shared" si="9"/>
        <v>6.6522409589599513E-2</v>
      </c>
      <c r="L84" s="166">
        <f>SUM(L78,L79,-L80,L81,L82,L83)</f>
        <v>2437295660.9699998</v>
      </c>
      <c r="M84" s="145">
        <f t="shared" si="9"/>
        <v>0.11967778452821838</v>
      </c>
      <c r="N84" s="166">
        <f>SUM(N78,N79,-N80,N81,N82,N83)</f>
        <v>2176783084.0699997</v>
      </c>
      <c r="O84" s="145">
        <f t="shared" si="9"/>
        <v>2.2809864796130383E-2</v>
      </c>
      <c r="P84" s="166">
        <f>SUM(P78,P79,-P80,P81,P82,P83)</f>
        <v>2128238257.1699998</v>
      </c>
      <c r="Q84" s="133"/>
      <c r="R84" s="133"/>
      <c r="S84" s="133"/>
      <c r="T84" s="133"/>
      <c r="U84" s="133"/>
      <c r="V84" s="133"/>
      <c r="W84" s="133"/>
      <c r="X84" s="133"/>
      <c r="Y84" s="133"/>
      <c r="Z84" s="133"/>
      <c r="AA84" s="133"/>
      <c r="AB84" s="133"/>
      <c r="AC84" s="133"/>
      <c r="AD84" s="133"/>
      <c r="AE84" s="133"/>
      <c r="AF84" s="133"/>
      <c r="AG84" s="133"/>
      <c r="AH84" s="133"/>
      <c r="AI84" s="133"/>
      <c r="AJ84" s="133"/>
      <c r="AK84" s="133"/>
      <c r="AL84" s="133"/>
      <c r="AM84" s="133"/>
      <c r="AN84" s="133"/>
      <c r="AO84" s="133"/>
      <c r="AP84" s="133"/>
      <c r="AQ84" s="133"/>
      <c r="AR84" s="133"/>
      <c r="AS84" s="133"/>
      <c r="AT84" s="133"/>
    </row>
    <row r="85" spans="1:46" s="132" customFormat="1" ht="15" customHeight="1">
      <c r="A85" s="140"/>
      <c r="B85" s="133"/>
      <c r="C85" s="133"/>
      <c r="D85" s="151"/>
      <c r="E85" s="160"/>
      <c r="F85" s="151"/>
      <c r="G85" s="160"/>
      <c r="H85" s="151"/>
      <c r="I85" s="160"/>
      <c r="J85" s="151"/>
      <c r="K85" s="160"/>
      <c r="L85" s="151"/>
      <c r="M85" s="160"/>
      <c r="N85" s="151"/>
      <c r="O85" s="160"/>
      <c r="P85" s="151"/>
      <c r="Q85" s="133"/>
      <c r="R85" s="133"/>
      <c r="S85" s="133"/>
      <c r="T85" s="133"/>
      <c r="U85" s="133"/>
      <c r="V85" s="133"/>
      <c r="W85" s="133"/>
      <c r="X85" s="133"/>
      <c r="Y85" s="133"/>
      <c r="Z85" s="133"/>
      <c r="AA85" s="133"/>
      <c r="AB85" s="133"/>
      <c r="AC85" s="133"/>
      <c r="AD85" s="133"/>
      <c r="AE85" s="133"/>
      <c r="AF85" s="133"/>
      <c r="AG85" s="133"/>
      <c r="AH85" s="133"/>
      <c r="AI85" s="133"/>
      <c r="AJ85" s="133"/>
      <c r="AK85" s="133"/>
      <c r="AL85" s="133"/>
      <c r="AM85" s="133"/>
      <c r="AN85" s="133"/>
      <c r="AO85" s="133"/>
      <c r="AP85" s="133"/>
      <c r="AQ85" s="133"/>
      <c r="AR85" s="133"/>
      <c r="AS85" s="133"/>
      <c r="AT85" s="133"/>
    </row>
    <row r="86" spans="1:46" s="132" customFormat="1" ht="15" customHeight="1">
      <c r="A86" s="155">
        <f>A84+1</f>
        <v>10</v>
      </c>
      <c r="B86" s="144" t="s">
        <v>1493</v>
      </c>
      <c r="C86" s="133"/>
      <c r="D86" s="159"/>
      <c r="E86" s="158"/>
      <c r="F86" s="159"/>
      <c r="G86" s="158"/>
      <c r="H86" s="159"/>
      <c r="I86" s="158"/>
      <c r="J86" s="159"/>
      <c r="K86" s="158"/>
      <c r="L86" s="159"/>
      <c r="M86" s="158"/>
      <c r="N86" s="159"/>
      <c r="O86" s="158"/>
      <c r="P86" s="159"/>
      <c r="Q86" s="133"/>
      <c r="R86" s="133"/>
      <c r="S86" s="133"/>
      <c r="T86" s="133"/>
      <c r="U86" s="133"/>
      <c r="V86" s="133"/>
      <c r="W86" s="133"/>
      <c r="X86" s="133"/>
      <c r="Y86" s="133"/>
      <c r="Z86" s="133"/>
      <c r="AA86" s="133"/>
      <c r="AB86" s="133"/>
      <c r="AC86" s="133"/>
      <c r="AD86" s="133"/>
      <c r="AE86" s="133"/>
      <c r="AF86" s="133"/>
      <c r="AG86" s="133"/>
      <c r="AH86" s="133"/>
      <c r="AI86" s="133"/>
      <c r="AJ86" s="133"/>
      <c r="AK86" s="133"/>
      <c r="AL86" s="133"/>
      <c r="AM86" s="133"/>
      <c r="AN86" s="133"/>
      <c r="AO86" s="133"/>
      <c r="AP86" s="133"/>
      <c r="AQ86" s="133"/>
      <c r="AR86" s="133"/>
      <c r="AS86" s="133"/>
      <c r="AT86" s="133"/>
    </row>
    <row r="87" spans="1:46" s="132" customFormat="1" ht="15" customHeight="1">
      <c r="A87" s="155">
        <f t="shared" ref="A87:A89" si="11">A86+1</f>
        <v>11</v>
      </c>
      <c r="B87" s="133" t="s">
        <v>1589</v>
      </c>
      <c r="C87" s="133"/>
      <c r="D87" s="170">
        <f>(BS!AG165+BS!AG166)*1000</f>
        <v>2350779405.0000005</v>
      </c>
      <c r="E87" s="145">
        <f t="shared" ref="E87:O90" si="12">(+D87-F87)/F87</f>
        <v>2.0284215404853141E-16</v>
      </c>
      <c r="F87" s="170">
        <f>(BS!O165+BS!O166)*1000</f>
        <v>2350779405</v>
      </c>
      <c r="G87" s="145">
        <f t="shared" si="12"/>
        <v>0</v>
      </c>
      <c r="H87" s="170">
        <v>2350779405</v>
      </c>
      <c r="I87" s="145">
        <f t="shared" si="12"/>
        <v>0.11900345148328413</v>
      </c>
      <c r="J87" s="170">
        <v>2100779405</v>
      </c>
      <c r="K87" s="145">
        <f t="shared" si="12"/>
        <v>0</v>
      </c>
      <c r="L87" s="170">
        <v>2100779405</v>
      </c>
      <c r="M87" s="145">
        <f t="shared" si="12"/>
        <v>0.1350782266782356</v>
      </c>
      <c r="N87" s="170">
        <v>1850779405</v>
      </c>
      <c r="O87" s="145">
        <f t="shared" si="12"/>
        <v>0</v>
      </c>
      <c r="P87" s="170">
        <v>1850779405</v>
      </c>
      <c r="Q87" s="133"/>
      <c r="R87" s="133"/>
      <c r="S87" s="133"/>
      <c r="T87" s="133"/>
      <c r="U87" s="133"/>
      <c r="V87" s="133"/>
      <c r="W87" s="133"/>
      <c r="X87" s="133"/>
      <c r="Y87" s="133"/>
      <c r="Z87" s="133"/>
      <c r="AA87" s="133"/>
      <c r="AB87" s="133"/>
      <c r="AC87" s="133"/>
      <c r="AD87" s="133"/>
      <c r="AE87" s="133"/>
      <c r="AF87" s="133"/>
      <c r="AG87" s="133"/>
      <c r="AH87" s="133"/>
      <c r="AI87" s="133"/>
      <c r="AJ87" s="133"/>
      <c r="AK87" s="133"/>
      <c r="AL87" s="133"/>
      <c r="AM87" s="133"/>
      <c r="AN87" s="133"/>
      <c r="AO87" s="133"/>
      <c r="AP87" s="133"/>
      <c r="AQ87" s="133"/>
      <c r="AR87" s="133"/>
      <c r="AS87" s="133"/>
      <c r="AT87" s="133"/>
    </row>
    <row r="88" spans="1:46" s="132" customFormat="1" ht="15" customHeight="1">
      <c r="A88" s="155">
        <f t="shared" si="11"/>
        <v>12</v>
      </c>
      <c r="B88" s="133" t="s">
        <v>1611</v>
      </c>
      <c r="C88" s="133"/>
      <c r="D88" s="167">
        <v>0</v>
      </c>
      <c r="E88" s="145">
        <v>0</v>
      </c>
      <c r="F88" s="167">
        <v>0</v>
      </c>
      <c r="G88" s="145">
        <v>0</v>
      </c>
      <c r="H88" s="167">
        <v>0</v>
      </c>
      <c r="I88" s="145">
        <v>0</v>
      </c>
      <c r="J88" s="167">
        <v>0</v>
      </c>
      <c r="K88" s="145">
        <v>0</v>
      </c>
      <c r="L88" s="167">
        <v>0</v>
      </c>
      <c r="M88" s="145">
        <v>0</v>
      </c>
      <c r="N88" s="167">
        <v>0</v>
      </c>
      <c r="O88" s="145">
        <v>0</v>
      </c>
      <c r="P88" s="167">
        <v>0</v>
      </c>
      <c r="Q88" s="147"/>
      <c r="R88" s="133"/>
      <c r="S88" s="133"/>
      <c r="T88" s="133"/>
      <c r="U88" s="133"/>
      <c r="V88" s="133"/>
      <c r="W88" s="133"/>
      <c r="X88" s="133"/>
      <c r="Y88" s="133"/>
      <c r="Z88" s="133"/>
      <c r="AA88" s="133"/>
      <c r="AB88" s="133"/>
      <c r="AC88" s="133"/>
      <c r="AD88" s="133"/>
      <c r="AE88" s="133"/>
      <c r="AF88" s="133"/>
      <c r="AG88" s="133"/>
      <c r="AH88" s="133"/>
      <c r="AI88" s="133"/>
      <c r="AJ88" s="133"/>
      <c r="AK88" s="133"/>
      <c r="AL88" s="133"/>
      <c r="AM88" s="133"/>
      <c r="AN88" s="133"/>
      <c r="AO88" s="133"/>
      <c r="AP88" s="133"/>
      <c r="AQ88" s="133"/>
      <c r="AR88" s="133"/>
      <c r="AS88" s="133"/>
      <c r="AT88" s="133"/>
    </row>
    <row r="89" spans="1:46" s="132" customFormat="1" ht="15" customHeight="1">
      <c r="A89" s="155">
        <f t="shared" si="11"/>
        <v>13</v>
      </c>
      <c r="B89" s="133" t="s">
        <v>1590</v>
      </c>
      <c r="C89" s="133"/>
      <c r="D89" s="161">
        <f>BS!AG167*1000</f>
        <v>-8570756.4106279537</v>
      </c>
      <c r="E89" s="145">
        <f t="shared" si="12"/>
        <v>-4.9954456991106636E-2</v>
      </c>
      <c r="F89" s="161">
        <f>BS!O167*1000</f>
        <v>-9021416.366507519</v>
      </c>
      <c r="G89" s="145">
        <f t="shared" si="12"/>
        <v>-6.5022225331189634E-2</v>
      </c>
      <c r="H89" s="161">
        <v>-9648803.0099999998</v>
      </c>
      <c r="I89" s="145">
        <f t="shared" si="12"/>
        <v>-3.6204327663368903E-2</v>
      </c>
      <c r="J89" s="161">
        <v>-10011253.720000001</v>
      </c>
      <c r="K89" s="145">
        <f t="shared" si="12"/>
        <v>-6.5228171418287184E-2</v>
      </c>
      <c r="L89" s="161">
        <v>-10709836.789999999</v>
      </c>
      <c r="M89" s="145">
        <f t="shared" si="12"/>
        <v>0.12114437924254856</v>
      </c>
      <c r="N89" s="161">
        <v>-9552593.75</v>
      </c>
      <c r="O89" s="145">
        <f t="shared" si="12"/>
        <v>-6.2353724260837823E-2</v>
      </c>
      <c r="P89" s="161">
        <v>-10187843.75</v>
      </c>
      <c r="Q89" s="147"/>
      <c r="R89" s="133"/>
      <c r="S89" s="133"/>
      <c r="T89" s="133"/>
      <c r="U89" s="133"/>
      <c r="V89" s="133"/>
      <c r="W89" s="133"/>
      <c r="X89" s="133"/>
      <c r="Y89" s="133"/>
      <c r="Z89" s="133"/>
      <c r="AA89" s="133"/>
      <c r="AB89" s="133"/>
      <c r="AC89" s="133"/>
      <c r="AD89" s="133"/>
      <c r="AE89" s="133"/>
      <c r="AF89" s="133"/>
      <c r="AG89" s="133"/>
      <c r="AH89" s="133"/>
      <c r="AI89" s="133"/>
      <c r="AJ89" s="133"/>
      <c r="AK89" s="133"/>
      <c r="AL89" s="133"/>
      <c r="AM89" s="133"/>
      <c r="AN89" s="133"/>
      <c r="AO89" s="133"/>
      <c r="AP89" s="133"/>
      <c r="AQ89" s="133"/>
      <c r="AR89" s="133"/>
      <c r="AS89" s="133"/>
      <c r="AT89" s="133"/>
    </row>
    <row r="90" spans="1:46" s="132" customFormat="1" ht="15" customHeight="1">
      <c r="A90" s="155">
        <f t="shared" ref="A90" si="13">A89+1</f>
        <v>14</v>
      </c>
      <c r="B90" s="133" t="s">
        <v>1591</v>
      </c>
      <c r="C90" s="133"/>
      <c r="D90" s="166">
        <f>SUM(D87:D89)</f>
        <v>2342208648.5893726</v>
      </c>
      <c r="E90" s="145">
        <f t="shared" si="12"/>
        <v>1.9244514508655219E-4</v>
      </c>
      <c r="F90" s="166">
        <f>SUM(F87:F89)</f>
        <v>2341757988.6334925</v>
      </c>
      <c r="G90" s="145">
        <f t="shared" si="12"/>
        <v>2.6798446996481514E-4</v>
      </c>
      <c r="H90" s="166">
        <f>SUM(H87:H89)</f>
        <v>2341130601.9899998</v>
      </c>
      <c r="I90" s="145">
        <f t="shared" si="12"/>
        <v>0.11974663501389388</v>
      </c>
      <c r="J90" s="166">
        <f>SUM(J87:J89)</f>
        <v>2090768151.28</v>
      </c>
      <c r="K90" s="145">
        <f t="shared" si="12"/>
        <v>3.3423914716782432E-4</v>
      </c>
      <c r="L90" s="166">
        <f>SUM(L87:L89)</f>
        <v>2090069568.21</v>
      </c>
      <c r="M90" s="145">
        <f t="shared" si="12"/>
        <v>0.13515051781755333</v>
      </c>
      <c r="N90" s="166">
        <f>SUM(N87:N89)</f>
        <v>1841226811.25</v>
      </c>
      <c r="O90" s="145">
        <f t="shared" si="12"/>
        <v>3.4513360452906945E-4</v>
      </c>
      <c r="P90" s="166">
        <f>SUM(P87:P89)</f>
        <v>1840591561.25</v>
      </c>
      <c r="Q90" s="147"/>
      <c r="R90" s="133"/>
      <c r="S90" s="133"/>
      <c r="T90" s="133"/>
      <c r="U90" s="133"/>
      <c r="V90" s="133"/>
      <c r="W90" s="133"/>
      <c r="X90" s="133"/>
      <c r="Y90" s="133"/>
      <c r="Z90" s="133"/>
      <c r="AA90" s="133"/>
      <c r="AB90" s="133"/>
      <c r="AC90" s="133"/>
      <c r="AD90" s="133"/>
      <c r="AE90" s="133"/>
      <c r="AF90" s="133"/>
      <c r="AG90" s="133"/>
      <c r="AH90" s="133"/>
      <c r="AI90" s="133"/>
      <c r="AJ90" s="133"/>
      <c r="AK90" s="133"/>
      <c r="AL90" s="133"/>
      <c r="AM90" s="133"/>
      <c r="AN90" s="133"/>
      <c r="AO90" s="133"/>
      <c r="AP90" s="133"/>
      <c r="AQ90" s="133"/>
      <c r="AR90" s="133"/>
      <c r="AS90" s="133"/>
      <c r="AT90" s="133"/>
    </row>
    <row r="91" spans="1:46" s="132" customFormat="1" ht="15" customHeight="1">
      <c r="A91" s="140"/>
      <c r="B91" s="133"/>
      <c r="C91" s="133"/>
      <c r="D91" s="161"/>
      <c r="E91" s="158"/>
      <c r="F91" s="161"/>
      <c r="G91" s="158"/>
      <c r="H91" s="161"/>
      <c r="I91" s="158"/>
      <c r="J91" s="161"/>
      <c r="K91" s="158"/>
      <c r="L91" s="161"/>
      <c r="M91" s="158"/>
      <c r="N91" s="161"/>
      <c r="O91" s="158"/>
      <c r="P91" s="161"/>
      <c r="Q91" s="147"/>
      <c r="R91" s="133"/>
      <c r="S91" s="133"/>
      <c r="T91" s="133"/>
      <c r="U91" s="133"/>
      <c r="V91" s="133"/>
      <c r="W91" s="133"/>
      <c r="X91" s="133"/>
      <c r="Y91" s="133"/>
      <c r="Z91" s="133"/>
      <c r="AA91" s="133"/>
      <c r="AB91" s="133"/>
      <c r="AC91" s="133"/>
      <c r="AD91" s="133"/>
      <c r="AE91" s="133"/>
      <c r="AF91" s="133"/>
      <c r="AG91" s="133"/>
      <c r="AH91" s="133"/>
      <c r="AI91" s="133"/>
      <c r="AJ91" s="133"/>
      <c r="AK91" s="133"/>
      <c r="AL91" s="133"/>
      <c r="AM91" s="133"/>
      <c r="AN91" s="133"/>
      <c r="AO91" s="133"/>
      <c r="AP91" s="133"/>
      <c r="AQ91" s="133"/>
      <c r="AR91" s="133"/>
      <c r="AS91" s="133"/>
      <c r="AT91" s="133"/>
    </row>
    <row r="92" spans="1:46" s="132" customFormat="1" ht="15" customHeight="1">
      <c r="A92" s="155">
        <f>A90+1</f>
        <v>15</v>
      </c>
      <c r="B92" s="144" t="s">
        <v>1592</v>
      </c>
      <c r="C92" s="133"/>
      <c r="D92" s="161"/>
      <c r="E92" s="158"/>
      <c r="F92" s="161"/>
      <c r="G92" s="158"/>
      <c r="H92" s="161"/>
      <c r="I92" s="158"/>
      <c r="J92" s="161"/>
      <c r="K92" s="158"/>
      <c r="L92" s="161"/>
      <c r="M92" s="158"/>
      <c r="N92" s="161"/>
      <c r="O92" s="158"/>
      <c r="P92" s="161"/>
      <c r="Q92" s="147"/>
      <c r="R92" s="133"/>
      <c r="S92" s="133"/>
      <c r="T92" s="133"/>
      <c r="U92" s="133"/>
      <c r="V92" s="133"/>
      <c r="W92" s="133"/>
      <c r="X92" s="133"/>
      <c r="Y92" s="133"/>
      <c r="Z92" s="133"/>
      <c r="AA92" s="133"/>
      <c r="AB92" s="133"/>
      <c r="AC92" s="133"/>
      <c r="AD92" s="133"/>
      <c r="AE92" s="133"/>
      <c r="AF92" s="133"/>
      <c r="AG92" s="133"/>
      <c r="AH92" s="133"/>
      <c r="AI92" s="133"/>
      <c r="AJ92" s="133"/>
      <c r="AK92" s="133"/>
      <c r="AL92" s="133"/>
      <c r="AM92" s="133"/>
      <c r="AN92" s="133"/>
      <c r="AO92" s="133"/>
      <c r="AP92" s="133"/>
      <c r="AQ92" s="133"/>
      <c r="AR92" s="133"/>
      <c r="AS92" s="133"/>
      <c r="AT92" s="133"/>
    </row>
    <row r="93" spans="1:46" s="132" customFormat="1" ht="15" customHeight="1">
      <c r="A93" s="155">
        <f>A92+1</f>
        <v>16</v>
      </c>
      <c r="B93" s="133" t="s">
        <v>1593</v>
      </c>
      <c r="C93" s="133"/>
      <c r="D93" s="170">
        <f>BS!AG261*1000</f>
        <v>2343039.61</v>
      </c>
      <c r="E93" s="145">
        <f t="shared" ref="E93:O95" si="14">(+D93-F93)/F93</f>
        <v>0</v>
      </c>
      <c r="F93" s="170">
        <f>BS!O261*1000</f>
        <v>2343039.61</v>
      </c>
      <c r="G93" s="145">
        <f t="shared" si="14"/>
        <v>-1.9874238801611177E-16</v>
      </c>
      <c r="H93" s="170">
        <v>2343039.6100000003</v>
      </c>
      <c r="I93" s="145">
        <f t="shared" si="14"/>
        <v>0.14295078992710858</v>
      </c>
      <c r="J93" s="170">
        <v>2049991.6799999999</v>
      </c>
      <c r="K93" s="145">
        <f t="shared" si="14"/>
        <v>-6.1491539094426756E-2</v>
      </c>
      <c r="L93" s="170">
        <v>2184308.15</v>
      </c>
      <c r="M93" s="145">
        <f t="shared" si="14"/>
        <v>-6.2560600136825448E-2</v>
      </c>
      <c r="N93" s="170">
        <v>2330079.31</v>
      </c>
      <c r="O93" s="145">
        <f t="shared" si="14"/>
        <v>-0.13551809981503274</v>
      </c>
      <c r="P93" s="170">
        <v>2695347.71</v>
      </c>
      <c r="Q93" s="147"/>
      <c r="R93" s="133"/>
      <c r="S93" s="133"/>
      <c r="T93" s="133"/>
      <c r="U93" s="133"/>
      <c r="V93" s="133"/>
      <c r="W93" s="133"/>
      <c r="X93" s="133"/>
      <c r="Y93" s="133"/>
      <c r="Z93" s="133"/>
      <c r="AA93" s="133"/>
      <c r="AB93" s="133"/>
      <c r="AC93" s="133"/>
      <c r="AD93" s="133"/>
      <c r="AE93" s="133"/>
      <c r="AF93" s="133"/>
      <c r="AG93" s="133"/>
      <c r="AH93" s="133"/>
      <c r="AI93" s="133"/>
      <c r="AJ93" s="133"/>
      <c r="AK93" s="133"/>
      <c r="AL93" s="133"/>
      <c r="AM93" s="133"/>
      <c r="AN93" s="133"/>
      <c r="AO93" s="133"/>
      <c r="AP93" s="133"/>
      <c r="AQ93" s="133"/>
      <c r="AR93" s="133"/>
      <c r="AS93" s="133"/>
      <c r="AT93" s="133"/>
    </row>
    <row r="94" spans="1:46" s="132" customFormat="1" ht="15" customHeight="1">
      <c r="A94" s="155">
        <f t="shared" ref="A94:A95" si="15">A93+1</f>
        <v>17</v>
      </c>
      <c r="B94" s="133" t="s">
        <v>1594</v>
      </c>
      <c r="C94" s="133"/>
      <c r="D94" s="161">
        <f>BS!AG269*1000</f>
        <v>100363017.81237164</v>
      </c>
      <c r="E94" s="145">
        <f t="shared" si="14"/>
        <v>-0.10798793540991088</v>
      </c>
      <c r="F94" s="161">
        <f>BS!O269*1000</f>
        <v>112513072.184166</v>
      </c>
      <c r="G94" s="145">
        <f t="shared" si="14"/>
        <v>0.2007505205367347</v>
      </c>
      <c r="H94" s="161">
        <v>93702288.909999996</v>
      </c>
      <c r="I94" s="145">
        <f t="shared" si="14"/>
        <v>-0.2032624376175117</v>
      </c>
      <c r="J94" s="161">
        <v>117607469.93000001</v>
      </c>
      <c r="K94" s="145">
        <f t="shared" si="14"/>
        <v>0.95470795097563455</v>
      </c>
      <c r="L94" s="161">
        <v>60166261.600000001</v>
      </c>
      <c r="M94" s="145">
        <f t="shared" si="14"/>
        <v>-0.63526802537274307</v>
      </c>
      <c r="N94" s="161">
        <v>164960205.81</v>
      </c>
      <c r="O94" s="145">
        <f t="shared" si="14"/>
        <v>8.8817988395040404E-2</v>
      </c>
      <c r="P94" s="161">
        <v>151503931.38999999</v>
      </c>
      <c r="Q94" s="147"/>
      <c r="R94" s="133"/>
      <c r="S94" s="133"/>
      <c r="T94" s="133"/>
      <c r="U94" s="133"/>
      <c r="V94" s="133"/>
      <c r="W94" s="133"/>
      <c r="X94" s="133"/>
      <c r="Y94" s="133"/>
      <c r="Z94" s="133"/>
      <c r="AA94" s="133"/>
      <c r="AB94" s="133"/>
      <c r="AC94" s="133"/>
      <c r="AD94" s="133"/>
      <c r="AE94" s="133"/>
      <c r="AF94" s="133"/>
      <c r="AG94" s="133"/>
      <c r="AH94" s="133"/>
      <c r="AI94" s="133"/>
      <c r="AJ94" s="133"/>
      <c r="AK94" s="133"/>
      <c r="AL94" s="133"/>
      <c r="AM94" s="133"/>
      <c r="AN94" s="133"/>
      <c r="AO94" s="133"/>
      <c r="AP94" s="133"/>
      <c r="AQ94" s="133"/>
      <c r="AR94" s="133"/>
      <c r="AS94" s="133"/>
      <c r="AT94" s="133"/>
    </row>
    <row r="95" spans="1:46" s="132" customFormat="1" ht="15" customHeight="1">
      <c r="A95" s="155">
        <f t="shared" si="15"/>
        <v>18</v>
      </c>
      <c r="B95" s="133" t="s">
        <v>1595</v>
      </c>
      <c r="C95" s="133"/>
      <c r="D95" s="166">
        <f>SUM(D93:D94)</f>
        <v>102706057.42237164</v>
      </c>
      <c r="E95" s="145">
        <f t="shared" si="14"/>
        <v>-0.10578500509897557</v>
      </c>
      <c r="F95" s="166">
        <f>SUM(F93:F94)</f>
        <v>114856111.794166</v>
      </c>
      <c r="G95" s="145">
        <f t="shared" si="14"/>
        <v>0.19585318270059268</v>
      </c>
      <c r="H95" s="166">
        <f>SUM(H93:H94)</f>
        <v>96045328.519999996</v>
      </c>
      <c r="I95" s="145">
        <f t="shared" si="14"/>
        <v>-0.19733105459782463</v>
      </c>
      <c r="J95" s="166">
        <f>SUM(J93:J94)</f>
        <v>119657461.61000001</v>
      </c>
      <c r="K95" s="145">
        <f t="shared" si="14"/>
        <v>0.91910774977320897</v>
      </c>
      <c r="L95" s="166">
        <f>SUM(L93:L94)</f>
        <v>62350569.75</v>
      </c>
      <c r="M95" s="145">
        <f t="shared" si="14"/>
        <v>-0.62729115019874027</v>
      </c>
      <c r="N95" s="166">
        <f>SUM(N93:N94)</f>
        <v>167290285.12</v>
      </c>
      <c r="O95" s="145">
        <f t="shared" si="14"/>
        <v>8.4896674591522212E-2</v>
      </c>
      <c r="P95" s="166">
        <f>SUM(P93:P94)</f>
        <v>154199279.09999999</v>
      </c>
      <c r="Q95" s="147"/>
      <c r="R95" s="133"/>
      <c r="S95" s="133"/>
      <c r="T95" s="133"/>
      <c r="U95" s="133"/>
      <c r="V95" s="133"/>
      <c r="W95" s="133"/>
      <c r="X95" s="133"/>
      <c r="Y95" s="133"/>
      <c r="Z95" s="133"/>
      <c r="AA95" s="133"/>
      <c r="AB95" s="133"/>
      <c r="AC95" s="133"/>
      <c r="AD95" s="133"/>
      <c r="AE95" s="133"/>
      <c r="AF95" s="133"/>
      <c r="AG95" s="133"/>
      <c r="AH95" s="133"/>
      <c r="AI95" s="133"/>
      <c r="AJ95" s="133"/>
      <c r="AK95" s="133"/>
      <c r="AL95" s="133"/>
      <c r="AM95" s="133"/>
      <c r="AN95" s="133"/>
      <c r="AO95" s="133"/>
      <c r="AP95" s="133"/>
      <c r="AQ95" s="133"/>
      <c r="AR95" s="133"/>
      <c r="AS95" s="133"/>
      <c r="AT95" s="133"/>
    </row>
    <row r="96" spans="1:46" s="132" customFormat="1" ht="15" customHeight="1">
      <c r="A96" s="140"/>
      <c r="B96" s="133"/>
      <c r="C96" s="133"/>
      <c r="D96" s="161"/>
      <c r="E96" s="158"/>
      <c r="F96" s="161"/>
      <c r="G96" s="158"/>
      <c r="H96" s="161"/>
      <c r="I96" s="158"/>
      <c r="J96" s="161"/>
      <c r="K96" s="158"/>
      <c r="L96" s="161"/>
      <c r="M96" s="158"/>
      <c r="N96" s="161"/>
      <c r="O96" s="158"/>
      <c r="P96" s="161"/>
      <c r="Q96" s="133"/>
      <c r="R96" s="133"/>
      <c r="S96" s="133"/>
      <c r="T96" s="133"/>
      <c r="U96" s="133"/>
      <c r="V96" s="133"/>
      <c r="W96" s="133"/>
      <c r="X96" s="133"/>
      <c r="Y96" s="133"/>
      <c r="Z96" s="133"/>
      <c r="AA96" s="133"/>
      <c r="AB96" s="133"/>
      <c r="AC96" s="133"/>
      <c r="AD96" s="133"/>
      <c r="AE96" s="133"/>
      <c r="AF96" s="133"/>
      <c r="AG96" s="133"/>
      <c r="AH96" s="133"/>
      <c r="AI96" s="133"/>
      <c r="AJ96" s="133"/>
      <c r="AK96" s="133"/>
      <c r="AL96" s="133"/>
      <c r="AM96" s="133"/>
      <c r="AN96" s="133"/>
      <c r="AO96" s="133"/>
      <c r="AP96" s="133"/>
      <c r="AQ96" s="133"/>
      <c r="AR96" s="133"/>
      <c r="AS96" s="133"/>
      <c r="AT96" s="133"/>
    </row>
    <row r="97" spans="1:46" s="132" customFormat="1" ht="15" customHeight="1">
      <c r="A97" s="155">
        <f>A95+1</f>
        <v>19</v>
      </c>
      <c r="B97" s="144" t="s">
        <v>1494</v>
      </c>
      <c r="C97" s="133"/>
      <c r="D97" s="159"/>
      <c r="E97" s="160"/>
      <c r="F97" s="159"/>
      <c r="G97" s="160"/>
      <c r="H97" s="159"/>
      <c r="I97" s="160"/>
      <c r="J97" s="159"/>
      <c r="K97" s="160"/>
      <c r="L97" s="159"/>
      <c r="M97" s="160"/>
      <c r="N97" s="159"/>
      <c r="O97" s="160"/>
      <c r="P97" s="159"/>
      <c r="Q97" s="133"/>
      <c r="R97" s="133"/>
      <c r="S97" s="133"/>
      <c r="T97" s="133"/>
      <c r="U97" s="133"/>
      <c r="V97" s="133"/>
      <c r="W97" s="133"/>
      <c r="X97" s="133"/>
      <c r="Y97" s="133"/>
      <c r="Z97" s="133"/>
      <c r="AA97" s="133"/>
      <c r="AB97" s="133"/>
      <c r="AC97" s="133"/>
      <c r="AD97" s="133"/>
      <c r="AE97" s="133"/>
      <c r="AF97" s="133"/>
      <c r="AG97" s="133"/>
      <c r="AH97" s="133"/>
      <c r="AI97" s="133"/>
      <c r="AJ97" s="133"/>
      <c r="AK97" s="133"/>
      <c r="AL97" s="133"/>
      <c r="AM97" s="133"/>
      <c r="AN97" s="133"/>
      <c r="AO97" s="133"/>
      <c r="AP97" s="133"/>
      <c r="AQ97" s="133"/>
      <c r="AR97" s="133"/>
      <c r="AS97" s="133"/>
      <c r="AT97" s="133"/>
    </row>
    <row r="98" spans="1:46" s="132" customFormat="1" ht="15" customHeight="1">
      <c r="A98" s="155">
        <f>A97+1</f>
        <v>20</v>
      </c>
      <c r="B98" s="133" t="s">
        <v>1609</v>
      </c>
      <c r="C98" s="133"/>
      <c r="D98" s="170">
        <f>BS!AG181*1000</f>
        <v>129187210.62411569</v>
      </c>
      <c r="E98" s="145">
        <v>1</v>
      </c>
      <c r="F98" s="170">
        <f>BS!O181*1000</f>
        <v>0</v>
      </c>
      <c r="G98" s="145">
        <f t="shared" ref="E98:O107" si="16">(+F98-H98)/H98</f>
        <v>-1</v>
      </c>
      <c r="H98" s="170">
        <v>47997120</v>
      </c>
      <c r="I98" s="145">
        <f t="shared" si="16"/>
        <v>-0.79627044045226514</v>
      </c>
      <c r="J98" s="170">
        <v>235592322.03</v>
      </c>
      <c r="K98" s="145">
        <f t="shared" si="16"/>
        <v>0.57095726247962741</v>
      </c>
      <c r="L98" s="170">
        <v>149967365.53999999</v>
      </c>
      <c r="M98" s="145">
        <f t="shared" si="16"/>
        <v>1.1426507326870525</v>
      </c>
      <c r="N98" s="170">
        <v>69991512.5</v>
      </c>
      <c r="O98" s="145">
        <v>1</v>
      </c>
      <c r="P98" s="170">
        <v>0</v>
      </c>
      <c r="Q98" s="133"/>
      <c r="R98" s="133"/>
      <c r="S98" s="133"/>
      <c r="T98" s="133"/>
      <c r="U98" s="133"/>
      <c r="V98" s="133"/>
      <c r="W98" s="133"/>
      <c r="X98" s="133"/>
      <c r="Y98" s="133"/>
      <c r="Z98" s="133"/>
      <c r="AA98" s="133"/>
      <c r="AB98" s="133"/>
      <c r="AC98" s="133"/>
      <c r="AD98" s="133"/>
      <c r="AE98" s="133"/>
      <c r="AF98" s="133"/>
      <c r="AG98" s="133"/>
      <c r="AH98" s="133"/>
      <c r="AI98" s="133"/>
      <c r="AJ98" s="133"/>
      <c r="AK98" s="133"/>
      <c r="AL98" s="133"/>
      <c r="AM98" s="133"/>
      <c r="AN98" s="133"/>
      <c r="AO98" s="133"/>
      <c r="AP98" s="133"/>
      <c r="AQ98" s="133"/>
      <c r="AR98" s="133"/>
      <c r="AS98" s="133"/>
      <c r="AT98" s="133"/>
    </row>
    <row r="99" spans="1:46" s="132" customFormat="1" ht="15" customHeight="1">
      <c r="A99" s="155">
        <f>A98+1</f>
        <v>21</v>
      </c>
      <c r="B99" s="133" t="s">
        <v>1596</v>
      </c>
      <c r="C99" s="133"/>
      <c r="D99" s="161">
        <f>BS!AG189*1000</f>
        <v>77531048.308744743</v>
      </c>
      <c r="E99" s="145">
        <f t="shared" si="16"/>
        <v>-6.6158041864516418E-2</v>
      </c>
      <c r="F99" s="161">
        <f>BS!O189*1000</f>
        <v>83023736.118629605</v>
      </c>
      <c r="G99" s="145">
        <f t="shared" si="16"/>
        <v>-0.23383299942486188</v>
      </c>
      <c r="H99" s="161">
        <v>108362453.69</v>
      </c>
      <c r="I99" s="145">
        <f t="shared" si="16"/>
        <v>-0.29194376821920826</v>
      </c>
      <c r="J99" s="161">
        <v>153042157.99000001</v>
      </c>
      <c r="K99" s="145">
        <f t="shared" si="16"/>
        <v>-0.11358173959083834</v>
      </c>
      <c r="L99" s="161">
        <v>172652307.41</v>
      </c>
      <c r="M99" s="145">
        <f t="shared" si="16"/>
        <v>0.10998888879647488</v>
      </c>
      <c r="N99" s="161">
        <v>155544176.30000001</v>
      </c>
      <c r="O99" s="145">
        <f t="shared" si="16"/>
        <v>0.29989643931091831</v>
      </c>
      <c r="P99" s="161">
        <v>119658898.66</v>
      </c>
      <c r="Q99" s="133"/>
      <c r="R99" s="133"/>
      <c r="S99" s="133"/>
      <c r="T99" s="133"/>
      <c r="U99" s="133"/>
      <c r="V99" s="133"/>
      <c r="W99" s="133"/>
      <c r="X99" s="133"/>
      <c r="Y99" s="133"/>
      <c r="Z99" s="133"/>
      <c r="AA99" s="133"/>
      <c r="AB99" s="133"/>
      <c r="AC99" s="133"/>
      <c r="AD99" s="133"/>
      <c r="AE99" s="133"/>
      <c r="AF99" s="133"/>
      <c r="AG99" s="133"/>
      <c r="AH99" s="133"/>
      <c r="AI99" s="133"/>
      <c r="AJ99" s="133"/>
      <c r="AK99" s="133"/>
      <c r="AL99" s="133"/>
      <c r="AM99" s="133"/>
      <c r="AN99" s="133"/>
      <c r="AO99" s="133"/>
      <c r="AP99" s="133"/>
      <c r="AQ99" s="133"/>
      <c r="AR99" s="133"/>
      <c r="AS99" s="133"/>
      <c r="AT99" s="133"/>
    </row>
    <row r="100" spans="1:46" s="132" customFormat="1" ht="15" customHeight="1">
      <c r="A100" s="155">
        <f>A99+1</f>
        <v>22</v>
      </c>
      <c r="B100" s="133" t="s">
        <v>1610</v>
      </c>
      <c r="C100" s="133"/>
      <c r="D100" s="167">
        <f>BS!AG177*1000</f>
        <v>0</v>
      </c>
      <c r="E100" s="145">
        <v>0</v>
      </c>
      <c r="F100" s="167">
        <f>BS!O177*1000</f>
        <v>0</v>
      </c>
      <c r="G100" s="145">
        <v>0</v>
      </c>
      <c r="H100" s="167">
        <v>0</v>
      </c>
      <c r="I100" s="145">
        <v>0</v>
      </c>
      <c r="J100" s="167">
        <v>0</v>
      </c>
      <c r="K100" s="145">
        <v>0</v>
      </c>
      <c r="L100" s="167">
        <v>0</v>
      </c>
      <c r="M100" s="145">
        <v>0</v>
      </c>
      <c r="N100" s="167">
        <v>0</v>
      </c>
      <c r="O100" s="145">
        <v>0</v>
      </c>
      <c r="P100" s="167">
        <v>0</v>
      </c>
      <c r="Q100" s="133"/>
      <c r="R100" s="133"/>
      <c r="S100" s="133"/>
      <c r="T100" s="133"/>
      <c r="U100" s="133"/>
      <c r="V100" s="133"/>
      <c r="W100" s="133"/>
      <c r="X100" s="133"/>
      <c r="Y100" s="133"/>
      <c r="Z100" s="133"/>
      <c r="AA100" s="133"/>
      <c r="AB100" s="133"/>
      <c r="AC100" s="133"/>
      <c r="AD100" s="133"/>
      <c r="AE100" s="133"/>
      <c r="AF100" s="133"/>
      <c r="AG100" s="133"/>
      <c r="AH100" s="133"/>
      <c r="AI100" s="133"/>
      <c r="AJ100" s="133"/>
      <c r="AK100" s="133"/>
      <c r="AL100" s="133"/>
      <c r="AM100" s="133"/>
      <c r="AN100" s="133"/>
      <c r="AO100" s="133"/>
      <c r="AP100" s="133"/>
      <c r="AQ100" s="133"/>
      <c r="AR100" s="133"/>
      <c r="AS100" s="133"/>
      <c r="AT100" s="133"/>
    </row>
    <row r="101" spans="1:46" s="132" customFormat="1" ht="15" customHeight="1">
      <c r="A101" s="155">
        <f>A100+1</f>
        <v>23</v>
      </c>
      <c r="B101" s="133" t="s">
        <v>1597</v>
      </c>
      <c r="C101" s="133"/>
      <c r="D101" s="167">
        <f>BS!AG194*1000</f>
        <v>48268450.296229102</v>
      </c>
      <c r="E101" s="145">
        <f t="shared" si="16"/>
        <v>-1.1223259091444655E-2</v>
      </c>
      <c r="F101" s="167">
        <f>BS!O194*1000</f>
        <v>48816328.600000001</v>
      </c>
      <c r="G101" s="145">
        <f t="shared" si="16"/>
        <v>0.24596089594743023</v>
      </c>
      <c r="H101" s="167">
        <v>39179663.469999999</v>
      </c>
      <c r="I101" s="145">
        <f t="shared" si="16"/>
        <v>-0.15905558799538055</v>
      </c>
      <c r="J101" s="167">
        <v>46590075.289999999</v>
      </c>
      <c r="K101" s="145">
        <f t="shared" si="16"/>
        <v>0.8380856384713673</v>
      </c>
      <c r="L101" s="167">
        <v>25347064.530000001</v>
      </c>
      <c r="M101" s="145">
        <f t="shared" si="16"/>
        <v>-0.23802058909121301</v>
      </c>
      <c r="N101" s="167">
        <v>33264763.02</v>
      </c>
      <c r="O101" s="145">
        <f t="shared" si="16"/>
        <v>2.5916511220125493E-3</v>
      </c>
      <c r="P101" s="167">
        <v>33178775.210000001</v>
      </c>
      <c r="Q101" s="133"/>
      <c r="R101" s="133"/>
      <c r="S101" s="133"/>
      <c r="T101" s="133"/>
      <c r="U101" s="133"/>
      <c r="V101" s="133"/>
      <c r="W101" s="133"/>
      <c r="X101" s="133"/>
      <c r="Y101" s="133"/>
      <c r="Z101" s="133"/>
      <c r="AA101" s="133"/>
      <c r="AB101" s="133"/>
      <c r="AC101" s="133"/>
      <c r="AD101" s="133"/>
      <c r="AE101" s="133"/>
      <c r="AF101" s="133"/>
      <c r="AG101" s="133"/>
      <c r="AH101" s="133"/>
      <c r="AI101" s="133"/>
      <c r="AJ101" s="133"/>
      <c r="AK101" s="133"/>
      <c r="AL101" s="133"/>
      <c r="AM101" s="133"/>
      <c r="AN101" s="133"/>
      <c r="AO101" s="133"/>
      <c r="AP101" s="133"/>
      <c r="AQ101" s="133"/>
      <c r="AR101" s="133"/>
      <c r="AS101" s="133"/>
      <c r="AT101" s="133"/>
    </row>
    <row r="102" spans="1:46" s="132" customFormat="1" ht="15" customHeight="1">
      <c r="A102" s="155">
        <f t="shared" ref="A102:A107" si="17">A101+1</f>
        <v>24</v>
      </c>
      <c r="B102" s="133" t="s">
        <v>1598</v>
      </c>
      <c r="C102" s="133"/>
      <c r="D102" s="161">
        <f>BS!AG196*1000</f>
        <v>28000984.019999992</v>
      </c>
      <c r="E102" s="145">
        <f t="shared" si="16"/>
        <v>-2.6608281307550377E-16</v>
      </c>
      <c r="F102" s="161">
        <f>BS!O196*1000</f>
        <v>28000984.02</v>
      </c>
      <c r="G102" s="145">
        <f t="shared" si="16"/>
        <v>6.6724340037453644E-2</v>
      </c>
      <c r="H102" s="161">
        <v>26249503.239999998</v>
      </c>
      <c r="I102" s="145">
        <f t="shared" si="16"/>
        <v>-3.6923760250806487E-2</v>
      </c>
      <c r="J102" s="161">
        <v>27255893.309999999</v>
      </c>
      <c r="K102" s="145">
        <f t="shared" si="16"/>
        <v>6.2401885378133619E-2</v>
      </c>
      <c r="L102" s="161">
        <v>25654974.530000001</v>
      </c>
      <c r="M102" s="145">
        <f t="shared" si="16"/>
        <v>3.4048597140082765E-2</v>
      </c>
      <c r="N102" s="161">
        <v>24810221.300000001</v>
      </c>
      <c r="O102" s="145">
        <f t="shared" si="16"/>
        <v>8.5197020630008793E-2</v>
      </c>
      <c r="P102" s="161">
        <v>22862411.920000002</v>
      </c>
      <c r="Q102" s="133"/>
      <c r="R102" s="133"/>
      <c r="S102" s="133"/>
      <c r="T102" s="133"/>
      <c r="U102" s="133"/>
      <c r="V102" s="133"/>
      <c r="W102" s="133"/>
      <c r="X102" s="133"/>
      <c r="Y102" s="133"/>
      <c r="Z102" s="133"/>
      <c r="AA102" s="133"/>
      <c r="AB102" s="133"/>
      <c r="AC102" s="133"/>
      <c r="AD102" s="133"/>
      <c r="AE102" s="133"/>
      <c r="AF102" s="133"/>
      <c r="AG102" s="133"/>
      <c r="AH102" s="133"/>
      <c r="AI102" s="133"/>
      <c r="AJ102" s="133"/>
      <c r="AK102" s="133"/>
      <c r="AL102" s="133"/>
      <c r="AM102" s="133"/>
      <c r="AN102" s="133"/>
      <c r="AO102" s="133"/>
      <c r="AP102" s="133"/>
      <c r="AQ102" s="133"/>
      <c r="AR102" s="133"/>
      <c r="AS102" s="133"/>
      <c r="AT102" s="133"/>
    </row>
    <row r="103" spans="1:46" s="132" customFormat="1" ht="15" customHeight="1">
      <c r="A103" s="155">
        <f t="shared" si="17"/>
        <v>25</v>
      </c>
      <c r="B103" s="133" t="s">
        <v>1599</v>
      </c>
      <c r="C103" s="133"/>
      <c r="D103" s="161">
        <f>BS!AG198*1000</f>
        <v>25935889.312647011</v>
      </c>
      <c r="E103" s="145">
        <f t="shared" si="16"/>
        <v>-0.45816583092762725</v>
      </c>
      <c r="F103" s="161">
        <f>BS!O198*1000</f>
        <v>47866839.695712797</v>
      </c>
      <c r="G103" s="145">
        <f t="shared" si="16"/>
        <v>1.3432483163562401</v>
      </c>
      <c r="H103" s="161">
        <v>20427557.489999998</v>
      </c>
      <c r="I103" s="145">
        <f t="shared" si="16"/>
        <v>0.4618219778261376</v>
      </c>
      <c r="J103" s="161">
        <v>13974039.109999999</v>
      </c>
      <c r="K103" s="145">
        <f t="shared" si="16"/>
        <v>-0.57021536042342857</v>
      </c>
      <c r="L103" s="161">
        <v>32514049.649999999</v>
      </c>
      <c r="M103" s="145">
        <f t="shared" si="16"/>
        <v>0.24085218340177442</v>
      </c>
      <c r="N103" s="161">
        <v>26202999.91</v>
      </c>
      <c r="O103" s="145">
        <f t="shared" si="16"/>
        <v>1.4420457913568985</v>
      </c>
      <c r="P103" s="161">
        <v>10729937.99</v>
      </c>
      <c r="Q103" s="147"/>
      <c r="R103" s="133"/>
      <c r="S103" s="133"/>
      <c r="T103" s="133"/>
      <c r="U103" s="133"/>
      <c r="V103" s="133"/>
      <c r="W103" s="133"/>
      <c r="X103" s="133"/>
      <c r="Y103" s="133"/>
      <c r="Z103" s="133"/>
      <c r="AA103" s="133"/>
      <c r="AB103" s="133"/>
      <c r="AC103" s="133"/>
      <c r="AD103" s="133"/>
      <c r="AE103" s="133"/>
      <c r="AF103" s="133"/>
      <c r="AG103" s="133"/>
      <c r="AH103" s="133"/>
      <c r="AI103" s="133"/>
      <c r="AJ103" s="133"/>
      <c r="AK103" s="133"/>
      <c r="AL103" s="133"/>
      <c r="AM103" s="133"/>
      <c r="AN103" s="133"/>
      <c r="AO103" s="133"/>
      <c r="AP103" s="133"/>
      <c r="AQ103" s="133"/>
      <c r="AR103" s="133"/>
      <c r="AS103" s="133"/>
      <c r="AT103" s="133"/>
    </row>
    <row r="104" spans="1:46" s="132" customFormat="1" ht="15" customHeight="1">
      <c r="A104" s="155">
        <f t="shared" si="17"/>
        <v>26</v>
      </c>
      <c r="B104" s="133" t="s">
        <v>1600</v>
      </c>
      <c r="C104" s="133"/>
      <c r="D104" s="161">
        <f>BS!AG203*1000</f>
        <v>23187439.818274427</v>
      </c>
      <c r="E104" s="145">
        <f t="shared" si="16"/>
        <v>-0.2433056426424054</v>
      </c>
      <c r="F104" s="161">
        <f>BS!O203*1000</f>
        <v>30643072.189999998</v>
      </c>
      <c r="G104" s="145">
        <f t="shared" si="16"/>
        <v>0.94425360656132284</v>
      </c>
      <c r="H104" s="161">
        <v>15760841.119999999</v>
      </c>
      <c r="I104" s="145">
        <f t="shared" si="16"/>
        <v>0.35585115014418323</v>
      </c>
      <c r="J104" s="161">
        <v>11624315.189999999</v>
      </c>
      <c r="K104" s="145">
        <f t="shared" si="16"/>
        <v>8.6758968976810048E-3</v>
      </c>
      <c r="L104" s="161">
        <v>11524331.279999999</v>
      </c>
      <c r="M104" s="145">
        <f t="shared" si="16"/>
        <v>0.13855718433457317</v>
      </c>
      <c r="N104" s="161">
        <v>10121873.050000001</v>
      </c>
      <c r="O104" s="145">
        <f t="shared" si="16"/>
        <v>-4.689017437058806E-2</v>
      </c>
      <c r="P104" s="161">
        <v>10619839.16</v>
      </c>
      <c r="Q104" s="147"/>
      <c r="R104" s="133"/>
      <c r="S104" s="133"/>
      <c r="T104" s="133"/>
      <c r="U104" s="133"/>
      <c r="V104" s="133"/>
      <c r="W104" s="133"/>
      <c r="X104" s="133"/>
      <c r="Y104" s="133"/>
      <c r="Z104" s="133"/>
      <c r="AA104" s="133"/>
      <c r="AB104" s="133"/>
      <c r="AC104" s="133"/>
      <c r="AD104" s="133"/>
      <c r="AE104" s="133"/>
      <c r="AF104" s="133"/>
      <c r="AG104" s="133"/>
      <c r="AH104" s="133"/>
      <c r="AI104" s="133"/>
      <c r="AJ104" s="133"/>
      <c r="AK104" s="133"/>
      <c r="AL104" s="133"/>
      <c r="AM104" s="133"/>
      <c r="AN104" s="133"/>
      <c r="AO104" s="133"/>
      <c r="AP104" s="133"/>
      <c r="AQ104" s="133"/>
      <c r="AR104" s="133"/>
      <c r="AS104" s="133"/>
      <c r="AT104" s="133"/>
    </row>
    <row r="105" spans="1:46" s="132" customFormat="1" ht="15" customHeight="1">
      <c r="A105" s="155">
        <f t="shared" si="17"/>
        <v>27</v>
      </c>
      <c r="B105" s="133" t="s">
        <v>1601</v>
      </c>
      <c r="C105" s="133"/>
      <c r="D105" s="161">
        <f>(BS!AG208+BS!AG209)*1000</f>
        <v>5209779.45</v>
      </c>
      <c r="E105" s="145">
        <f t="shared" si="16"/>
        <v>0</v>
      </c>
      <c r="F105" s="161">
        <f>(BS!O208+BS!O209)*1000</f>
        <v>5209779.45</v>
      </c>
      <c r="G105" s="145">
        <f t="shared" si="16"/>
        <v>0.30593416841557697</v>
      </c>
      <c r="H105" s="161">
        <v>3989312.4600000004</v>
      </c>
      <c r="I105" s="145">
        <f t="shared" si="16"/>
        <v>-0.23627862720017798</v>
      </c>
      <c r="J105" s="161">
        <v>5223518.16</v>
      </c>
      <c r="K105" s="145">
        <f t="shared" si="16"/>
        <v>0.1369851611251473</v>
      </c>
      <c r="L105" s="161">
        <v>4594183.2300000004</v>
      </c>
      <c r="M105" s="145">
        <f t="shared" si="16"/>
        <v>0.20852063505221236</v>
      </c>
      <c r="N105" s="161">
        <v>3801493.41</v>
      </c>
      <c r="O105" s="145">
        <f t="shared" si="16"/>
        <v>-9.9452921160786672E-4</v>
      </c>
      <c r="P105" s="161">
        <v>3805277.87</v>
      </c>
      <c r="Q105" s="147"/>
      <c r="R105" s="133"/>
      <c r="S105" s="133"/>
      <c r="T105" s="133"/>
      <c r="U105" s="133"/>
      <c r="V105" s="133"/>
      <c r="W105" s="133"/>
      <c r="X105" s="133"/>
      <c r="Y105" s="133"/>
      <c r="Z105" s="133"/>
      <c r="AA105" s="133"/>
      <c r="AB105" s="133"/>
      <c r="AC105" s="133"/>
      <c r="AD105" s="133"/>
      <c r="AE105" s="133"/>
      <c r="AF105" s="133"/>
      <c r="AG105" s="133"/>
      <c r="AH105" s="133"/>
      <c r="AI105" s="133"/>
      <c r="AJ105" s="133"/>
      <c r="AK105" s="133"/>
      <c r="AL105" s="133"/>
      <c r="AM105" s="133"/>
      <c r="AN105" s="133"/>
      <c r="AO105" s="133"/>
      <c r="AP105" s="133"/>
      <c r="AQ105" s="133"/>
      <c r="AR105" s="133"/>
      <c r="AS105" s="133"/>
      <c r="AT105" s="133"/>
    </row>
    <row r="106" spans="1:46" s="132" customFormat="1" ht="15" customHeight="1">
      <c r="A106" s="155">
        <f t="shared" si="17"/>
        <v>28</v>
      </c>
      <c r="B106" s="133" t="s">
        <v>1602</v>
      </c>
      <c r="C106" s="133"/>
      <c r="D106" s="161">
        <f>(BS!AG205+BS!AG210+BS!AG211+BS!AG212+BS!AG213+BS!AG214+BS!AG215)*1000</f>
        <v>28422230.103713799</v>
      </c>
      <c r="E106" s="145">
        <f t="shared" si="16"/>
        <v>-0.47551747905140701</v>
      </c>
      <c r="F106" s="161">
        <f>(BS!O205+BS!O210+BS!O211+BS!O212+BS!O213+BS!O214+BS!O215)*1000</f>
        <v>54190995.826340601</v>
      </c>
      <c r="G106" s="145">
        <f t="shared" si="16"/>
        <v>1.8360642983476927</v>
      </c>
      <c r="H106" s="161">
        <v>19107816.369999997</v>
      </c>
      <c r="I106" s="145">
        <f t="shared" si="16"/>
        <v>-0.6421325271958791</v>
      </c>
      <c r="J106" s="161">
        <v>53393554.379999995</v>
      </c>
      <c r="K106" s="145">
        <f t="shared" si="16"/>
        <v>2.1722481716382309</v>
      </c>
      <c r="L106" s="161">
        <v>16831455.640000001</v>
      </c>
      <c r="M106" s="145">
        <f t="shared" si="16"/>
        <v>-4.7872635260879898E-2</v>
      </c>
      <c r="N106" s="161">
        <v>17677735.419999998</v>
      </c>
      <c r="O106" s="145">
        <f t="shared" si="16"/>
        <v>0.14999858632236054</v>
      </c>
      <c r="P106" s="161">
        <v>15371962.739999998</v>
      </c>
      <c r="Q106" s="147"/>
      <c r="R106" s="133"/>
      <c r="S106" s="133"/>
      <c r="T106" s="133"/>
      <c r="U106" s="133"/>
      <c r="V106" s="133"/>
      <c r="W106" s="133"/>
      <c r="X106" s="133"/>
      <c r="Y106" s="133"/>
      <c r="Z106" s="133"/>
      <c r="AA106" s="133"/>
      <c r="AB106" s="133"/>
      <c r="AC106" s="133"/>
      <c r="AD106" s="133"/>
      <c r="AE106" s="133"/>
      <c r="AF106" s="133"/>
      <c r="AG106" s="133"/>
      <c r="AH106" s="133"/>
      <c r="AI106" s="133"/>
      <c r="AJ106" s="133"/>
      <c r="AK106" s="133"/>
      <c r="AL106" s="133"/>
      <c r="AM106" s="133"/>
      <c r="AN106" s="133"/>
      <c r="AO106" s="133"/>
      <c r="AP106" s="133"/>
      <c r="AQ106" s="133"/>
      <c r="AR106" s="133"/>
      <c r="AS106" s="133"/>
      <c r="AT106" s="133"/>
    </row>
    <row r="107" spans="1:46" s="132" customFormat="1" ht="15" customHeight="1">
      <c r="A107" s="155">
        <f t="shared" si="17"/>
        <v>29</v>
      </c>
      <c r="B107" s="133" t="s">
        <v>1495</v>
      </c>
      <c r="C107" s="133"/>
      <c r="D107" s="166">
        <f>SUM(D98:D106)</f>
        <v>365743031.93372476</v>
      </c>
      <c r="E107" s="145">
        <f t="shared" si="16"/>
        <v>0.22834894925926044</v>
      </c>
      <c r="F107" s="166">
        <f>SUM(F98:F106)</f>
        <v>297751735.90068299</v>
      </c>
      <c r="G107" s="145">
        <f t="shared" si="16"/>
        <v>5.9334738070638715E-2</v>
      </c>
      <c r="H107" s="166">
        <f>SUM(H98:H106)</f>
        <v>281074267.84000003</v>
      </c>
      <c r="I107" s="145">
        <f t="shared" si="16"/>
        <v>-0.48586722443534269</v>
      </c>
      <c r="J107" s="166">
        <f>SUM(J98:J106)</f>
        <v>546695875.46000004</v>
      </c>
      <c r="K107" s="145">
        <f t="shared" si="16"/>
        <v>0.2450777510041362</v>
      </c>
      <c r="L107" s="166">
        <f>SUM(L98:L106)</f>
        <v>439085731.80999994</v>
      </c>
      <c r="M107" s="145">
        <f t="shared" si="16"/>
        <v>0.28607712400773155</v>
      </c>
      <c r="N107" s="166">
        <f>SUM(N98:N106)</f>
        <v>341414774.91000009</v>
      </c>
      <c r="O107" s="145">
        <f t="shared" si="16"/>
        <v>0.57896382694249904</v>
      </c>
      <c r="P107" s="166">
        <f>SUM(P98:P106)</f>
        <v>216227103.55000004</v>
      </c>
      <c r="Q107" s="133"/>
      <c r="R107" s="133"/>
      <c r="S107" s="133"/>
      <c r="T107" s="133"/>
      <c r="U107" s="133"/>
      <c r="V107" s="133"/>
      <c r="W107" s="133"/>
      <c r="X107" s="133"/>
      <c r="Y107" s="133"/>
      <c r="Z107" s="133"/>
      <c r="AA107" s="133"/>
      <c r="AB107" s="133"/>
      <c r="AC107" s="133"/>
      <c r="AD107" s="133"/>
      <c r="AE107" s="133"/>
      <c r="AF107" s="133"/>
      <c r="AG107" s="133"/>
      <c r="AH107" s="133"/>
      <c r="AI107" s="133"/>
      <c r="AJ107" s="133"/>
      <c r="AK107" s="133"/>
      <c r="AL107" s="133"/>
      <c r="AM107" s="133"/>
      <c r="AN107" s="133"/>
      <c r="AO107" s="133"/>
      <c r="AP107" s="133"/>
      <c r="AQ107" s="133"/>
      <c r="AR107" s="133"/>
      <c r="AS107" s="133"/>
      <c r="AT107" s="133"/>
    </row>
    <row r="108" spans="1:46" s="132" customFormat="1" ht="15" customHeight="1">
      <c r="A108" s="140"/>
      <c r="B108" s="133"/>
      <c r="C108" s="133"/>
      <c r="D108" s="151"/>
      <c r="E108" s="160"/>
      <c r="F108" s="151"/>
      <c r="G108" s="160"/>
      <c r="H108" s="151"/>
      <c r="I108" s="160"/>
      <c r="J108" s="151"/>
      <c r="K108" s="160"/>
      <c r="L108" s="151"/>
      <c r="M108" s="160"/>
      <c r="N108" s="151"/>
      <c r="O108" s="160"/>
      <c r="P108" s="151"/>
      <c r="Q108" s="133"/>
      <c r="R108" s="133"/>
      <c r="S108" s="133"/>
      <c r="T108" s="133"/>
      <c r="U108" s="133"/>
      <c r="V108" s="133"/>
      <c r="W108" s="133"/>
      <c r="X108" s="133"/>
      <c r="Y108" s="133"/>
      <c r="Z108" s="133"/>
      <c r="AA108" s="133"/>
      <c r="AB108" s="133"/>
      <c r="AC108" s="133"/>
      <c r="AD108" s="133"/>
      <c r="AE108" s="133"/>
      <c r="AF108" s="133"/>
      <c r="AG108" s="133"/>
      <c r="AH108" s="133"/>
      <c r="AI108" s="133"/>
      <c r="AJ108" s="133"/>
      <c r="AK108" s="133"/>
      <c r="AL108" s="133"/>
      <c r="AM108" s="133"/>
      <c r="AN108" s="133"/>
      <c r="AO108" s="133"/>
      <c r="AP108" s="133"/>
      <c r="AQ108" s="133"/>
      <c r="AR108" s="133"/>
      <c r="AS108" s="133"/>
      <c r="AT108" s="133"/>
    </row>
    <row r="109" spans="1:46" s="132" customFormat="1" ht="15" customHeight="1">
      <c r="A109" s="155">
        <f>A107+1</f>
        <v>30</v>
      </c>
      <c r="B109" s="144" t="s">
        <v>1496</v>
      </c>
      <c r="C109" s="133"/>
      <c r="D109" s="159"/>
      <c r="E109" s="158"/>
      <c r="F109" s="159"/>
      <c r="G109" s="158"/>
      <c r="H109" s="159"/>
      <c r="I109" s="158"/>
      <c r="J109" s="159"/>
      <c r="K109" s="158"/>
      <c r="L109" s="159"/>
      <c r="M109" s="158"/>
      <c r="N109" s="159"/>
      <c r="O109" s="158"/>
      <c r="P109" s="159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3"/>
      <c r="AB109" s="133"/>
      <c r="AC109" s="133"/>
      <c r="AD109" s="133"/>
      <c r="AE109" s="133"/>
      <c r="AF109" s="133"/>
      <c r="AG109" s="133"/>
      <c r="AH109" s="133"/>
      <c r="AI109" s="133"/>
      <c r="AJ109" s="133"/>
      <c r="AK109" s="133"/>
      <c r="AL109" s="133"/>
      <c r="AM109" s="133"/>
      <c r="AN109" s="133"/>
      <c r="AO109" s="133"/>
      <c r="AP109" s="133"/>
      <c r="AQ109" s="133"/>
      <c r="AR109" s="133"/>
      <c r="AS109" s="133"/>
      <c r="AT109" s="133"/>
    </row>
    <row r="110" spans="1:46" s="132" customFormat="1" ht="15" customHeight="1">
      <c r="A110" s="155">
        <f>A109+1</f>
        <v>31</v>
      </c>
      <c r="B110" s="133" t="s">
        <v>1197</v>
      </c>
      <c r="C110" s="133"/>
      <c r="D110" s="170">
        <f>BS!AG245*1000</f>
        <v>1576406.0400000003</v>
      </c>
      <c r="E110" s="145">
        <f t="shared" ref="E110:O117" si="18">(+D110-F110)/F110</f>
        <v>1.4769712735550646E-16</v>
      </c>
      <c r="F110" s="170">
        <f>BS!O245*1000</f>
        <v>1576406.04</v>
      </c>
      <c r="G110" s="145">
        <f t="shared" si="18"/>
        <v>-0.19925948548657027</v>
      </c>
      <c r="H110" s="170">
        <v>1968685.25</v>
      </c>
      <c r="I110" s="145">
        <f t="shared" si="18"/>
        <v>-0.11258336288556092</v>
      </c>
      <c r="J110" s="170">
        <v>2218445.2799999998</v>
      </c>
      <c r="K110" s="145">
        <f t="shared" si="18"/>
        <v>-0.23033642687551509</v>
      </c>
      <c r="L110" s="170">
        <v>2882357.12</v>
      </c>
      <c r="M110" s="145">
        <f t="shared" si="18"/>
        <v>-3.447175376176554E-2</v>
      </c>
      <c r="N110" s="170">
        <v>2985264.42</v>
      </c>
      <c r="O110" s="145">
        <f t="shared" si="18"/>
        <v>-5.4080533171217804E-2</v>
      </c>
      <c r="P110" s="170">
        <v>3155939.3</v>
      </c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  <c r="AC110" s="133"/>
      <c r="AD110" s="133"/>
      <c r="AE110" s="133"/>
      <c r="AF110" s="133"/>
      <c r="AG110" s="133"/>
      <c r="AH110" s="133"/>
      <c r="AI110" s="133"/>
      <c r="AJ110" s="133"/>
      <c r="AK110" s="133"/>
      <c r="AL110" s="133"/>
      <c r="AM110" s="133"/>
      <c r="AN110" s="133"/>
      <c r="AO110" s="133"/>
      <c r="AP110" s="133"/>
      <c r="AQ110" s="133"/>
      <c r="AR110" s="133"/>
      <c r="AS110" s="133"/>
      <c r="AT110" s="133"/>
    </row>
    <row r="111" spans="1:46" s="132" customFormat="1" ht="15" customHeight="1">
      <c r="A111" s="155">
        <f t="shared" ref="A111:A117" si="19">A110+1</f>
        <v>32</v>
      </c>
      <c r="B111" s="133" t="s">
        <v>1603</v>
      </c>
      <c r="C111" s="133"/>
      <c r="D111" s="161">
        <f>BS!AG232*1000</f>
        <v>93303579.627692208</v>
      </c>
      <c r="E111" s="145">
        <f t="shared" si="18"/>
        <v>-1.6459767549716776E-2</v>
      </c>
      <c r="F111" s="161">
        <f>BS!O232*1000</f>
        <v>94865036.069999903</v>
      </c>
      <c r="G111" s="145">
        <f t="shared" si="18"/>
        <v>1.9846480170886246E-2</v>
      </c>
      <c r="H111" s="161">
        <v>93018937.569999993</v>
      </c>
      <c r="I111" s="145">
        <f t="shared" si="18"/>
        <v>-1.9461332248794164E-2</v>
      </c>
      <c r="J111" s="161">
        <v>94865139.569999993</v>
      </c>
      <c r="K111" s="145">
        <f t="shared" si="18"/>
        <v>-1.9343907860101064E-2</v>
      </c>
      <c r="L111" s="161">
        <v>96736399.569999993</v>
      </c>
      <c r="M111" s="145">
        <f t="shared" si="18"/>
        <v>-1.8976802067036468E-2</v>
      </c>
      <c r="N111" s="161">
        <v>98607657.569999993</v>
      </c>
      <c r="O111" s="145">
        <f t="shared" si="18"/>
        <v>-2.761238903477331E-2</v>
      </c>
      <c r="P111" s="161">
        <v>101407768.31999999</v>
      </c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  <c r="AA111" s="133"/>
      <c r="AB111" s="133"/>
      <c r="AC111" s="133"/>
      <c r="AD111" s="133"/>
      <c r="AE111" s="133"/>
      <c r="AF111" s="133"/>
      <c r="AG111" s="133"/>
      <c r="AH111" s="133"/>
      <c r="AI111" s="133"/>
      <c r="AJ111" s="133"/>
      <c r="AK111" s="133"/>
      <c r="AL111" s="133"/>
      <c r="AM111" s="133"/>
      <c r="AN111" s="133"/>
      <c r="AO111" s="133"/>
      <c r="AP111" s="133"/>
      <c r="AQ111" s="133"/>
      <c r="AR111" s="133"/>
      <c r="AS111" s="133"/>
      <c r="AT111" s="133"/>
    </row>
    <row r="112" spans="1:46" s="132" customFormat="1" ht="15" customHeight="1">
      <c r="A112" s="155">
        <f t="shared" si="19"/>
        <v>33</v>
      </c>
      <c r="B112" s="133" t="s">
        <v>1604</v>
      </c>
      <c r="C112" s="133"/>
      <c r="D112" s="161">
        <f>BS!AG256*1000</f>
        <v>6310541.5599999987</v>
      </c>
      <c r="E112" s="145">
        <f t="shared" si="18"/>
        <v>-1.4758203646399543E-16</v>
      </c>
      <c r="F112" s="161">
        <f>BS!O256*1000</f>
        <v>6310541.5599999996</v>
      </c>
      <c r="G112" s="145">
        <f t="shared" si="18"/>
        <v>-0.27297316454882575</v>
      </c>
      <c r="H112" s="161">
        <v>8679929.3399999999</v>
      </c>
      <c r="I112" s="145">
        <f t="shared" si="18"/>
        <v>-0.77451802752254273</v>
      </c>
      <c r="J112" s="161">
        <v>38495003.590000004</v>
      </c>
      <c r="K112" s="145">
        <f t="shared" si="18"/>
        <v>0.11375633934418464</v>
      </c>
      <c r="L112" s="161">
        <v>34563218.390000001</v>
      </c>
      <c r="M112" s="145">
        <f t="shared" si="18"/>
        <v>0.41060961653854267</v>
      </c>
      <c r="N112" s="161">
        <v>24502327.210000001</v>
      </c>
      <c r="O112" s="145">
        <f t="shared" si="18"/>
        <v>2.5277475168582062</v>
      </c>
      <c r="P112" s="161">
        <v>6945601.1500000004</v>
      </c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  <c r="AA112" s="133"/>
      <c r="AB112" s="133"/>
      <c r="AC112" s="133"/>
      <c r="AD112" s="133"/>
      <c r="AE112" s="133"/>
      <c r="AF112" s="133"/>
      <c r="AG112" s="133"/>
      <c r="AH112" s="133"/>
      <c r="AI112" s="133"/>
      <c r="AJ112" s="133"/>
      <c r="AK112" s="133"/>
      <c r="AL112" s="133"/>
      <c r="AM112" s="133"/>
      <c r="AN112" s="133"/>
      <c r="AO112" s="133"/>
      <c r="AP112" s="133"/>
      <c r="AQ112" s="133"/>
      <c r="AR112" s="133"/>
      <c r="AS112" s="133"/>
      <c r="AT112" s="133"/>
    </row>
    <row r="113" spans="1:46" s="132" customFormat="1" ht="15" customHeight="1">
      <c r="A113" s="155">
        <f t="shared" si="19"/>
        <v>34</v>
      </c>
      <c r="B113" s="133" t="s">
        <v>1605</v>
      </c>
      <c r="C113" s="133"/>
      <c r="D113" s="161">
        <f>BS!AG240*1000</f>
        <v>142182266.49864766</v>
      </c>
      <c r="E113" s="145">
        <f t="shared" si="18"/>
        <v>-3.2277587612760721E-2</v>
      </c>
      <c r="F113" s="161">
        <f>BS!O240*1000</f>
        <v>146924639.41999999</v>
      </c>
      <c r="G113" s="145">
        <f t="shared" si="18"/>
        <v>-4.2155414805038351E-2</v>
      </c>
      <c r="H113" s="161">
        <v>153390896.28</v>
      </c>
      <c r="I113" s="145">
        <f t="shared" si="18"/>
        <v>0.12705487359787984</v>
      </c>
      <c r="J113" s="161">
        <v>136098871.38</v>
      </c>
      <c r="K113" s="145">
        <f t="shared" si="18"/>
        <v>-9.5347009410507222E-2</v>
      </c>
      <c r="L113" s="161">
        <v>150443178.53999999</v>
      </c>
      <c r="M113" s="145">
        <f t="shared" si="18"/>
        <v>0.29143367460435099</v>
      </c>
      <c r="N113" s="161">
        <v>116493151.37</v>
      </c>
      <c r="O113" s="145">
        <f t="shared" si="18"/>
        <v>7.551674872964767E-2</v>
      </c>
      <c r="P113" s="161">
        <v>108313656.20999999</v>
      </c>
      <c r="Q113" s="133"/>
      <c r="R113" s="133"/>
      <c r="S113" s="133"/>
      <c r="T113" s="133"/>
      <c r="U113" s="133"/>
      <c r="V113" s="133"/>
      <c r="W113" s="133"/>
      <c r="X113" s="133"/>
      <c r="Y113" s="133"/>
      <c r="Z113" s="133"/>
      <c r="AA113" s="133"/>
      <c r="AB113" s="133"/>
      <c r="AC113" s="133"/>
      <c r="AD113" s="133"/>
      <c r="AE113" s="133"/>
      <c r="AF113" s="133"/>
      <c r="AG113" s="133"/>
      <c r="AH113" s="133"/>
      <c r="AI113" s="133"/>
      <c r="AJ113" s="133"/>
      <c r="AK113" s="133"/>
      <c r="AL113" s="133"/>
      <c r="AM113" s="133"/>
      <c r="AN113" s="133"/>
      <c r="AO113" s="133"/>
      <c r="AP113" s="133"/>
      <c r="AQ113" s="133"/>
      <c r="AR113" s="133"/>
      <c r="AS113" s="133"/>
      <c r="AT113" s="133"/>
    </row>
    <row r="114" spans="1:46" s="132" customFormat="1" ht="15" customHeight="1">
      <c r="A114" s="155">
        <f t="shared" si="19"/>
        <v>35</v>
      </c>
      <c r="B114" s="133" t="s">
        <v>1606</v>
      </c>
      <c r="C114" s="133"/>
      <c r="D114" s="161">
        <f>BS!AG250*1000</f>
        <v>367386594.91692293</v>
      </c>
      <c r="E114" s="145">
        <f t="shared" si="18"/>
        <v>-8.1736199631848895E-3</v>
      </c>
      <c r="F114" s="161">
        <f>BS!O250*1000</f>
        <v>370414219.97999901</v>
      </c>
      <c r="G114" s="145">
        <f t="shared" si="18"/>
        <v>2.2838452781173597E-2</v>
      </c>
      <c r="H114" s="161">
        <v>362143424.48000002</v>
      </c>
      <c r="I114" s="145">
        <f t="shared" si="18"/>
        <v>0.71658912883492887</v>
      </c>
      <c r="J114" s="161">
        <v>210966863.53</v>
      </c>
      <c r="K114" s="145">
        <f t="shared" si="18"/>
        <v>0.17950253961158044</v>
      </c>
      <c r="L114" s="161">
        <v>178860881.13</v>
      </c>
      <c r="M114" s="145">
        <f t="shared" si="18"/>
        <v>1.5709459420028087</v>
      </c>
      <c r="N114" s="161">
        <v>69570066.879999995</v>
      </c>
      <c r="O114" s="145">
        <f t="shared" si="18"/>
        <v>0.12591903724700013</v>
      </c>
      <c r="P114" s="161">
        <v>61789582.18</v>
      </c>
      <c r="Q114" s="133"/>
      <c r="R114" s="133"/>
      <c r="S114" s="133"/>
      <c r="T114" s="133"/>
      <c r="U114" s="133"/>
      <c r="V114" s="133"/>
      <c r="W114" s="133"/>
      <c r="X114" s="133"/>
      <c r="Y114" s="133"/>
      <c r="Z114" s="133"/>
      <c r="AA114" s="133"/>
      <c r="AB114" s="133"/>
      <c r="AC114" s="133"/>
      <c r="AD114" s="133"/>
      <c r="AE114" s="133"/>
      <c r="AF114" s="133"/>
      <c r="AG114" s="133"/>
      <c r="AH114" s="133"/>
      <c r="AI114" s="133"/>
      <c r="AJ114" s="133"/>
      <c r="AK114" s="133"/>
      <c r="AL114" s="133"/>
      <c r="AM114" s="133"/>
      <c r="AN114" s="133"/>
      <c r="AO114" s="133"/>
      <c r="AP114" s="133"/>
      <c r="AQ114" s="133"/>
      <c r="AR114" s="133"/>
      <c r="AS114" s="133"/>
      <c r="AT114" s="133"/>
    </row>
    <row r="115" spans="1:46" s="132" customFormat="1" ht="15" customHeight="1">
      <c r="A115" s="155">
        <f t="shared" si="19"/>
        <v>36</v>
      </c>
      <c r="B115" s="133" t="s">
        <v>1607</v>
      </c>
      <c r="C115" s="133"/>
      <c r="D115" s="167">
        <v>0</v>
      </c>
      <c r="E115" s="145">
        <v>0</v>
      </c>
      <c r="F115" s="167">
        <v>0</v>
      </c>
      <c r="G115" s="145">
        <v>0</v>
      </c>
      <c r="H115" s="167">
        <v>0</v>
      </c>
      <c r="I115" s="145">
        <v>0</v>
      </c>
      <c r="J115" s="167">
        <v>0</v>
      </c>
      <c r="K115" s="145">
        <v>0</v>
      </c>
      <c r="L115" s="167">
        <v>0</v>
      </c>
      <c r="M115" s="145">
        <v>0</v>
      </c>
      <c r="N115" s="167">
        <v>0</v>
      </c>
      <c r="O115" s="145">
        <v>0</v>
      </c>
      <c r="P115" s="167">
        <v>0</v>
      </c>
      <c r="Q115" s="133"/>
      <c r="R115" s="133"/>
      <c r="S115" s="133"/>
      <c r="T115" s="133"/>
      <c r="U115" s="133"/>
      <c r="V115" s="133"/>
      <c r="W115" s="133"/>
      <c r="X115" s="133"/>
      <c r="Y115" s="133"/>
      <c r="Z115" s="133"/>
      <c r="AA115" s="133"/>
      <c r="AB115" s="133"/>
      <c r="AC115" s="133"/>
      <c r="AD115" s="133"/>
      <c r="AE115" s="133"/>
      <c r="AF115" s="133"/>
      <c r="AG115" s="133"/>
      <c r="AH115" s="133"/>
      <c r="AI115" s="133"/>
      <c r="AJ115" s="133"/>
      <c r="AK115" s="133"/>
      <c r="AL115" s="133"/>
      <c r="AM115" s="133"/>
      <c r="AN115" s="133"/>
      <c r="AO115" s="133"/>
      <c r="AP115" s="133"/>
      <c r="AQ115" s="133"/>
      <c r="AR115" s="133"/>
      <c r="AS115" s="133"/>
      <c r="AT115" s="133"/>
    </row>
    <row r="116" spans="1:46" s="132" customFormat="1" ht="15" customHeight="1">
      <c r="A116" s="155">
        <f t="shared" si="19"/>
        <v>37</v>
      </c>
      <c r="B116" s="133" t="s">
        <v>1580</v>
      </c>
      <c r="C116" s="133"/>
      <c r="D116" s="161">
        <f>BS!AG227*1000</f>
        <v>1678677187.2756867</v>
      </c>
      <c r="E116" s="145">
        <f t="shared" si="18"/>
        <v>8.2946575923971991E-2</v>
      </c>
      <c r="F116" s="161">
        <f>BS!O227*1000</f>
        <v>1550101569.7320399</v>
      </c>
      <c r="G116" s="145">
        <f t="shared" si="18"/>
        <v>0.1035687230053253</v>
      </c>
      <c r="H116" s="161">
        <v>1404626225.28</v>
      </c>
      <c r="I116" s="145">
        <f t="shared" si="18"/>
        <v>0.2719754416235462</v>
      </c>
      <c r="J116" s="161">
        <v>1104287220.74</v>
      </c>
      <c r="K116" s="145">
        <f t="shared" si="18"/>
        <v>0.2787761027472439</v>
      </c>
      <c r="L116" s="161">
        <v>863550091.65999997</v>
      </c>
      <c r="M116" s="145">
        <f t="shared" si="18"/>
        <v>0.15802163916295817</v>
      </c>
      <c r="N116" s="161">
        <v>745711532.88999999</v>
      </c>
      <c r="O116" s="145">
        <f t="shared" si="18"/>
        <v>0.33290729903428767</v>
      </c>
      <c r="P116" s="161">
        <v>559462412.29999995</v>
      </c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</row>
    <row r="117" spans="1:46" s="132" customFormat="1" ht="15" customHeight="1">
      <c r="A117" s="155">
        <f t="shared" si="19"/>
        <v>38</v>
      </c>
      <c r="B117" s="133" t="s">
        <v>1497</v>
      </c>
      <c r="C117" s="133"/>
      <c r="D117" s="166">
        <f>SUM(D110:D116)</f>
        <v>2289436575.9189496</v>
      </c>
      <c r="E117" s="145">
        <f t="shared" si="18"/>
        <v>5.4946355177303667E-2</v>
      </c>
      <c r="F117" s="166">
        <f>SUM(F110:F116)</f>
        <v>2170192412.8020391</v>
      </c>
      <c r="G117" s="145">
        <f t="shared" si="18"/>
        <v>7.2320526991504888E-2</v>
      </c>
      <c r="H117" s="166">
        <f>SUM(H110:H116)</f>
        <v>2023828098.2</v>
      </c>
      <c r="I117" s="145">
        <f t="shared" si="18"/>
        <v>0.27530901111461054</v>
      </c>
      <c r="J117" s="166">
        <f>SUM(J110:J116)</f>
        <v>1586931544.0900002</v>
      </c>
      <c r="K117" s="145">
        <f t="shared" si="18"/>
        <v>0.19584652784328441</v>
      </c>
      <c r="L117" s="166">
        <f>SUM(L110:L116)</f>
        <v>1327036126.4099998</v>
      </c>
      <c r="M117" s="145">
        <f t="shared" si="18"/>
        <v>0.25444159110617542</v>
      </c>
      <c r="N117" s="166">
        <f>SUM(N110:N116)</f>
        <v>1057870000.3399999</v>
      </c>
      <c r="O117" s="145">
        <f t="shared" si="18"/>
        <v>0.25775947606285904</v>
      </c>
      <c r="P117" s="166">
        <f>SUM(P110:P116)</f>
        <v>841074959.45999992</v>
      </c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</row>
    <row r="118" spans="1:46" s="132" customFormat="1" ht="15" customHeight="1">
      <c r="A118" s="155"/>
      <c r="B118" s="133"/>
      <c r="C118" s="133"/>
      <c r="D118" s="133"/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</row>
    <row r="119" spans="1:46" s="132" customFormat="1" ht="15" customHeight="1" thickBot="1">
      <c r="A119" s="155">
        <f>A117+1</f>
        <v>39</v>
      </c>
      <c r="B119" s="133" t="s">
        <v>1608</v>
      </c>
      <c r="C119" s="133"/>
      <c r="D119" s="169">
        <f>D84+D90+D95+D107+D117</f>
        <v>7888667047.4472046</v>
      </c>
      <c r="E119" s="145">
        <f t="shared" ref="E119:O119" si="20">(+D119-F119)/F119</f>
        <v>2.6700499406914716E-2</v>
      </c>
      <c r="F119" s="169">
        <f>F84+F90+F95+F107+F117</f>
        <v>7683513402.4033136</v>
      </c>
      <c r="G119" s="145">
        <f t="shared" si="20"/>
        <v>3.5314262286728654E-2</v>
      </c>
      <c r="H119" s="169">
        <f>H84+H90+H95+H107+H117</f>
        <v>7421431040.1099997</v>
      </c>
      <c r="I119" s="145">
        <f t="shared" si="20"/>
        <v>6.8833974799981407E-2</v>
      </c>
      <c r="J119" s="169">
        <f>J84+J90+J95+J107+J117</f>
        <v>6943483473.6599998</v>
      </c>
      <c r="K119" s="145">
        <f t="shared" si="20"/>
        <v>9.2457650463889374E-2</v>
      </c>
      <c r="L119" s="169">
        <f>L84+L90+L95+L107+L117</f>
        <v>6355837657.1499996</v>
      </c>
      <c r="M119" s="145">
        <f t="shared" si="20"/>
        <v>0.13810385329964212</v>
      </c>
      <c r="N119" s="169">
        <f>N84+N90+N95+N107+N117</f>
        <v>5584584955.6899996</v>
      </c>
      <c r="O119" s="145">
        <f t="shared" si="20"/>
        <v>7.80362842901033E-2</v>
      </c>
      <c r="P119" s="169">
        <f>P84+P90+P95+P107+P117</f>
        <v>5180331160.5299997</v>
      </c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</row>
    <row r="120" spans="1:46" s="132" customFormat="1" ht="15" customHeight="1" thickTop="1">
      <c r="A120" s="140"/>
      <c r="B120" s="133"/>
      <c r="C120" s="133"/>
      <c r="D120" s="133"/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  <c r="Y120" s="133"/>
      <c r="Z120" s="133"/>
      <c r="AA120" s="133"/>
      <c r="AB120" s="133"/>
      <c r="AC120" s="133"/>
      <c r="AD120" s="133"/>
      <c r="AE120" s="133"/>
      <c r="AF120" s="133"/>
      <c r="AG120" s="133"/>
      <c r="AH120" s="133"/>
      <c r="AI120" s="133"/>
      <c r="AJ120" s="133"/>
      <c r="AK120" s="133"/>
      <c r="AL120" s="133"/>
      <c r="AM120" s="133"/>
      <c r="AN120" s="133"/>
      <c r="AO120" s="133"/>
      <c r="AP120" s="133"/>
      <c r="AQ120" s="133"/>
      <c r="AR120" s="133"/>
      <c r="AS120" s="133"/>
      <c r="AT120" s="133"/>
    </row>
    <row r="121" spans="1:46" s="132" customFormat="1" ht="15" customHeight="1">
      <c r="A121" s="140"/>
      <c r="B121" s="133"/>
      <c r="C121" s="133"/>
      <c r="D121" s="133">
        <f>D59-D119</f>
        <v>8.716583251953125E-4</v>
      </c>
      <c r="E121" s="133"/>
      <c r="F121" s="133">
        <f>F59-F119</f>
        <v>2.346038818359375E-4</v>
      </c>
      <c r="G121" s="133"/>
      <c r="H121" s="133">
        <f>H59-H119</f>
        <v>0</v>
      </c>
      <c r="I121" s="133"/>
      <c r="J121" s="133">
        <f>J59-J119</f>
        <v>0</v>
      </c>
      <c r="K121" s="133"/>
      <c r="L121" s="133">
        <f>L59-L119</f>
        <v>0</v>
      </c>
      <c r="M121" s="133"/>
      <c r="N121" s="133">
        <f>N59-N119</f>
        <v>0</v>
      </c>
      <c r="O121" s="133"/>
      <c r="P121" s="133">
        <f>P59-P119</f>
        <v>0</v>
      </c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  <c r="AA121" s="133"/>
      <c r="AB121" s="133"/>
      <c r="AC121" s="133"/>
      <c r="AD121" s="133"/>
      <c r="AE121" s="133"/>
      <c r="AF121" s="133"/>
      <c r="AG121" s="133"/>
      <c r="AH121" s="133"/>
      <c r="AI121" s="133"/>
      <c r="AJ121" s="133"/>
      <c r="AK121" s="133"/>
      <c r="AL121" s="133"/>
      <c r="AM121" s="133"/>
      <c r="AN121" s="133"/>
      <c r="AO121" s="133"/>
      <c r="AP121" s="133"/>
      <c r="AQ121" s="133"/>
      <c r="AR121" s="133"/>
      <c r="AS121" s="133"/>
      <c r="AT121" s="133"/>
    </row>
    <row r="122" spans="1:46" s="132" customFormat="1" ht="15" customHeight="1">
      <c r="A122" s="140"/>
      <c r="B122" s="133"/>
      <c r="C122" s="133"/>
      <c r="D122" s="133"/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  <c r="AA122" s="133"/>
      <c r="AB122" s="133"/>
      <c r="AC122" s="133"/>
      <c r="AD122" s="133"/>
      <c r="AE122" s="133"/>
      <c r="AF122" s="133"/>
      <c r="AG122" s="133"/>
      <c r="AH122" s="133"/>
      <c r="AI122" s="133"/>
      <c r="AJ122" s="133"/>
      <c r="AK122" s="133"/>
      <c r="AL122" s="133"/>
      <c r="AM122" s="133"/>
      <c r="AN122" s="133"/>
      <c r="AO122" s="133"/>
      <c r="AP122" s="133"/>
      <c r="AQ122" s="133"/>
      <c r="AR122" s="133"/>
      <c r="AS122" s="133"/>
      <c r="AT122" s="133"/>
    </row>
    <row r="123" spans="1:46" s="132" customFormat="1" ht="15" customHeight="1">
      <c r="A123" s="140"/>
      <c r="B123" s="133"/>
      <c r="C123" s="133"/>
      <c r="D123" s="133"/>
      <c r="E123" s="133"/>
      <c r="F123" s="133"/>
      <c r="G123" s="133"/>
      <c r="H123" s="133"/>
      <c r="I123" s="133"/>
      <c r="J123" s="133"/>
      <c r="K123" s="133"/>
      <c r="L123" s="133"/>
      <c r="M123" s="133"/>
      <c r="N123" s="133"/>
      <c r="O123" s="133"/>
      <c r="P123" s="133"/>
      <c r="Q123" s="133"/>
      <c r="R123" s="133"/>
      <c r="S123" s="133"/>
      <c r="T123" s="133"/>
      <c r="U123" s="133"/>
      <c r="V123" s="133"/>
      <c r="W123" s="133"/>
      <c r="X123" s="133"/>
      <c r="Y123" s="133"/>
      <c r="Z123" s="133"/>
      <c r="AA123" s="133"/>
      <c r="AB123" s="133"/>
      <c r="AC123" s="133"/>
      <c r="AD123" s="133"/>
      <c r="AE123" s="133"/>
      <c r="AF123" s="133"/>
      <c r="AG123" s="133"/>
      <c r="AH123" s="133"/>
      <c r="AI123" s="133"/>
      <c r="AJ123" s="133"/>
      <c r="AK123" s="133"/>
      <c r="AL123" s="133"/>
      <c r="AM123" s="133"/>
      <c r="AN123" s="133"/>
      <c r="AO123" s="133"/>
      <c r="AP123" s="133"/>
      <c r="AQ123" s="133"/>
      <c r="AR123" s="133"/>
      <c r="AS123" s="133"/>
      <c r="AT123" s="133"/>
    </row>
    <row r="124" spans="1:46" s="132" customFormat="1" ht="15" customHeight="1">
      <c r="A124" s="140"/>
      <c r="B124" s="133"/>
      <c r="C124" s="133"/>
      <c r="D124" s="133"/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3"/>
      <c r="Q124" s="133"/>
      <c r="R124" s="133"/>
      <c r="S124" s="133"/>
      <c r="T124" s="133"/>
      <c r="U124" s="133"/>
      <c r="V124" s="133"/>
      <c r="W124" s="133"/>
      <c r="X124" s="133"/>
      <c r="Y124" s="133"/>
      <c r="Z124" s="133"/>
      <c r="AA124" s="133"/>
      <c r="AB124" s="133"/>
      <c r="AC124" s="133"/>
      <c r="AD124" s="133"/>
      <c r="AE124" s="133"/>
      <c r="AF124" s="133"/>
      <c r="AG124" s="133"/>
      <c r="AH124" s="133"/>
      <c r="AI124" s="133"/>
      <c r="AJ124" s="133"/>
      <c r="AK124" s="133"/>
      <c r="AL124" s="133"/>
      <c r="AM124" s="133"/>
      <c r="AN124" s="133"/>
      <c r="AO124" s="133"/>
      <c r="AP124" s="133"/>
      <c r="AQ124" s="133"/>
      <c r="AR124" s="133"/>
      <c r="AS124" s="133"/>
      <c r="AT124" s="133"/>
    </row>
    <row r="125" spans="1:46" s="132" customFormat="1" ht="15" customHeight="1">
      <c r="A125" s="140"/>
      <c r="B125" s="133"/>
      <c r="C125" s="133"/>
      <c r="D125" s="133"/>
      <c r="E125" s="133"/>
      <c r="F125" s="133"/>
      <c r="G125" s="133"/>
      <c r="H125" s="133"/>
      <c r="I125" s="133"/>
      <c r="J125" s="133"/>
      <c r="K125" s="133"/>
      <c r="L125" s="133"/>
      <c r="M125" s="133"/>
      <c r="N125" s="133"/>
      <c r="O125" s="133"/>
      <c r="P125" s="133"/>
      <c r="Q125" s="133"/>
      <c r="R125" s="133"/>
      <c r="S125" s="133"/>
      <c r="T125" s="133"/>
      <c r="U125" s="133"/>
      <c r="V125" s="133"/>
      <c r="W125" s="133"/>
      <c r="X125" s="133"/>
      <c r="Y125" s="133"/>
      <c r="Z125" s="133"/>
      <c r="AA125" s="133"/>
      <c r="AB125" s="133"/>
      <c r="AC125" s="133"/>
      <c r="AD125" s="133"/>
      <c r="AE125" s="133"/>
      <c r="AF125" s="133"/>
      <c r="AG125" s="133"/>
      <c r="AH125" s="133"/>
      <c r="AI125" s="133"/>
      <c r="AJ125" s="133"/>
      <c r="AK125" s="133"/>
      <c r="AL125" s="133"/>
      <c r="AM125" s="133"/>
      <c r="AN125" s="133"/>
      <c r="AO125" s="133"/>
      <c r="AP125" s="133"/>
      <c r="AQ125" s="133"/>
      <c r="AR125" s="133"/>
      <c r="AS125" s="133"/>
      <c r="AT125" s="133"/>
    </row>
    <row r="126" spans="1:46" s="132" customFormat="1" ht="15" customHeight="1">
      <c r="A126" s="140"/>
      <c r="B126" s="133"/>
      <c r="C126" s="133"/>
      <c r="D126" s="133"/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3"/>
      <c r="Q126" s="133"/>
      <c r="R126" s="133"/>
      <c r="S126" s="133"/>
      <c r="T126" s="133"/>
      <c r="U126" s="133"/>
      <c r="V126" s="133"/>
      <c r="W126" s="133"/>
      <c r="X126" s="133"/>
      <c r="Y126" s="133"/>
      <c r="Z126" s="133"/>
      <c r="AA126" s="133"/>
      <c r="AB126" s="133"/>
      <c r="AC126" s="133"/>
      <c r="AD126" s="133"/>
      <c r="AE126" s="133"/>
      <c r="AF126" s="133"/>
      <c r="AG126" s="133"/>
      <c r="AH126" s="133"/>
      <c r="AI126" s="133"/>
      <c r="AJ126" s="133"/>
      <c r="AK126" s="133"/>
      <c r="AL126" s="133"/>
      <c r="AM126" s="133"/>
      <c r="AN126" s="133"/>
      <c r="AO126" s="133"/>
      <c r="AP126" s="133"/>
      <c r="AQ126" s="133"/>
      <c r="AR126" s="133"/>
      <c r="AS126" s="133"/>
      <c r="AT126" s="133"/>
    </row>
    <row r="127" spans="1:46" s="132" customFormat="1" ht="15" customHeight="1">
      <c r="A127" s="140"/>
      <c r="B127" s="133"/>
      <c r="C127" s="133"/>
      <c r="D127" s="188"/>
      <c r="E127" s="133"/>
      <c r="F127" s="133"/>
      <c r="G127" s="133"/>
      <c r="H127" s="133"/>
      <c r="I127" s="133"/>
      <c r="J127" s="133"/>
      <c r="K127" s="133"/>
      <c r="L127" s="133"/>
      <c r="M127" s="133"/>
      <c r="N127" s="133"/>
      <c r="O127" s="133"/>
      <c r="P127" s="133"/>
      <c r="Q127" s="133"/>
      <c r="R127" s="133"/>
      <c r="S127" s="133"/>
      <c r="T127" s="133"/>
      <c r="U127" s="133"/>
      <c r="V127" s="133"/>
      <c r="W127" s="133"/>
      <c r="X127" s="133"/>
      <c r="Y127" s="133"/>
      <c r="Z127" s="133"/>
      <c r="AA127" s="133"/>
      <c r="AB127" s="133"/>
      <c r="AC127" s="133"/>
      <c r="AD127" s="133"/>
      <c r="AE127" s="133"/>
      <c r="AF127" s="133"/>
      <c r="AG127" s="133"/>
      <c r="AH127" s="133"/>
      <c r="AI127" s="133"/>
      <c r="AJ127" s="133"/>
      <c r="AK127" s="133"/>
      <c r="AL127" s="133"/>
      <c r="AM127" s="133"/>
      <c r="AN127" s="133"/>
      <c r="AO127" s="133"/>
      <c r="AP127" s="133"/>
      <c r="AQ127" s="133"/>
      <c r="AR127" s="133"/>
      <c r="AS127" s="133"/>
      <c r="AT127" s="133"/>
    </row>
    <row r="128" spans="1:46" s="132" customFormat="1" ht="15" customHeight="1">
      <c r="A128" s="133"/>
      <c r="B128" s="133"/>
      <c r="C128" s="133"/>
      <c r="D128" s="133"/>
      <c r="E128" s="133"/>
      <c r="F128" s="133"/>
      <c r="G128" s="133"/>
      <c r="H128" s="133"/>
      <c r="I128" s="133"/>
      <c r="J128" s="133"/>
      <c r="K128" s="133"/>
      <c r="L128" s="133"/>
      <c r="M128" s="133"/>
      <c r="N128" s="133"/>
      <c r="O128" s="133"/>
      <c r="P128" s="133"/>
      <c r="Q128" s="133"/>
      <c r="R128" s="133"/>
      <c r="S128" s="133"/>
      <c r="T128" s="133"/>
      <c r="U128" s="133"/>
      <c r="V128" s="133"/>
      <c r="W128" s="133"/>
      <c r="X128" s="133"/>
      <c r="Y128" s="133"/>
      <c r="Z128" s="133"/>
      <c r="AA128" s="133"/>
      <c r="AB128" s="133"/>
      <c r="AC128" s="133"/>
      <c r="AD128" s="133"/>
      <c r="AE128" s="133"/>
      <c r="AF128" s="133"/>
      <c r="AG128" s="133"/>
      <c r="AH128" s="133"/>
      <c r="AI128" s="133"/>
      <c r="AJ128" s="133"/>
      <c r="AK128" s="133"/>
      <c r="AL128" s="133"/>
      <c r="AM128" s="133"/>
      <c r="AN128" s="133"/>
      <c r="AO128" s="133"/>
      <c r="AP128" s="133"/>
      <c r="AQ128" s="133"/>
      <c r="AR128" s="133"/>
      <c r="AS128" s="133"/>
      <c r="AT128" s="133"/>
    </row>
    <row r="129" spans="1:46" ht="15" customHeight="1"/>
    <row r="130" spans="1:46" ht="15" customHeight="1"/>
    <row r="131" spans="1:46" ht="15" customHeight="1"/>
    <row r="132" spans="1:46" ht="15" customHeight="1"/>
    <row r="133" spans="1:46" ht="15" customHeight="1"/>
    <row r="134" spans="1:46" ht="15" customHeight="1"/>
    <row r="135" spans="1:46" ht="15" customHeight="1"/>
    <row r="136" spans="1:46" ht="15" customHeight="1"/>
    <row r="137" spans="1:46" ht="15" customHeight="1"/>
    <row r="138" spans="1:46" ht="15" customHeight="1"/>
    <row r="139" spans="1:46" ht="15" customHeight="1"/>
    <row r="140" spans="1:46" s="132" customFormat="1" ht="15" customHeight="1">
      <c r="A140" s="133"/>
      <c r="B140" s="133"/>
      <c r="C140" s="152"/>
      <c r="D140" s="133"/>
      <c r="E140" s="133"/>
      <c r="F140" s="133"/>
      <c r="G140" s="133"/>
      <c r="H140" s="133"/>
      <c r="I140" s="133"/>
      <c r="J140" s="133"/>
      <c r="K140" s="133"/>
      <c r="L140" s="133"/>
      <c r="M140" s="133"/>
      <c r="N140" s="133"/>
      <c r="O140" s="133"/>
      <c r="P140" s="133"/>
      <c r="Q140" s="133"/>
      <c r="R140" s="133"/>
      <c r="S140" s="133"/>
      <c r="T140" s="133"/>
      <c r="U140" s="133"/>
      <c r="V140" s="133"/>
      <c r="W140" s="133"/>
      <c r="X140" s="133"/>
      <c r="Y140" s="133"/>
      <c r="Z140" s="133"/>
      <c r="AA140" s="133"/>
      <c r="AB140" s="133"/>
      <c r="AC140" s="133"/>
      <c r="AD140" s="133"/>
      <c r="AE140" s="133"/>
      <c r="AF140" s="133"/>
      <c r="AG140" s="133"/>
      <c r="AH140" s="133"/>
      <c r="AI140" s="133"/>
      <c r="AJ140" s="133"/>
      <c r="AK140" s="133"/>
      <c r="AL140" s="133"/>
      <c r="AM140" s="133"/>
      <c r="AN140" s="133"/>
      <c r="AO140" s="133"/>
      <c r="AP140" s="133"/>
      <c r="AQ140" s="133"/>
      <c r="AR140" s="133"/>
      <c r="AS140" s="133"/>
      <c r="AT140" s="133"/>
    </row>
    <row r="141" spans="1:46" ht="15" customHeight="1"/>
    <row r="142" spans="1:46" ht="15" customHeight="1"/>
    <row r="143" spans="1:46" ht="15" customHeight="1"/>
    <row r="144" spans="1:46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spans="1:13" ht="15" customHeight="1"/>
    <row r="178" spans="1:13" ht="15" customHeight="1"/>
    <row r="179" spans="1:13" ht="15" customHeight="1"/>
    <row r="180" spans="1:13" ht="15" customHeight="1"/>
    <row r="181" spans="1:13" ht="15" customHeight="1"/>
    <row r="182" spans="1:13" ht="15" customHeight="1"/>
    <row r="183" spans="1:13" ht="15" customHeight="1"/>
    <row r="184" spans="1:13" ht="15" customHeight="1"/>
    <row r="185" spans="1:13" ht="15" customHeight="1"/>
    <row r="186" spans="1:13" ht="15" customHeight="1"/>
    <row r="187" spans="1:13" ht="15" customHeight="1"/>
    <row r="188" spans="1:13" ht="15" customHeight="1"/>
    <row r="189" spans="1:13" ht="15" customHeight="1">
      <c r="A189" s="710"/>
      <c r="B189" s="710"/>
      <c r="C189" s="710"/>
      <c r="D189" s="710"/>
      <c r="E189" s="710"/>
      <c r="F189" s="710"/>
      <c r="G189" s="710"/>
      <c r="H189" s="710"/>
      <c r="I189" s="710"/>
      <c r="J189" s="710"/>
      <c r="K189" s="710"/>
      <c r="L189" s="710"/>
      <c r="M189" s="710"/>
    </row>
    <row r="190" spans="1:13" ht="15" customHeight="1"/>
    <row r="191" spans="1:13" ht="15" customHeight="1"/>
    <row r="192" spans="1:13" ht="15" customHeight="1">
      <c r="A192" s="131"/>
      <c r="B192" s="131"/>
      <c r="C192" s="131"/>
      <c r="D192" s="131"/>
      <c r="E192" s="131"/>
      <c r="F192" s="131"/>
      <c r="G192" s="131"/>
      <c r="H192" s="131"/>
      <c r="I192" s="131"/>
      <c r="J192" s="131"/>
      <c r="K192" s="131"/>
      <c r="L192" s="131"/>
      <c r="M192" s="131"/>
    </row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</sheetData>
  <mergeCells count="3">
    <mergeCell ref="A189:M189"/>
    <mergeCell ref="B14:C14"/>
    <mergeCell ref="B75:C75"/>
  </mergeCells>
  <printOptions horizontalCentered="1"/>
  <pageMargins left="0.5" right="0.5" top="1" bottom="0.75" header="0.5" footer="0.5"/>
  <pageSetup scale="48" orientation="landscape" r:id="rId1"/>
  <headerFooter alignWithMargins="0"/>
  <rowBreaks count="1" manualBreakCount="1">
    <brk id="61" max="15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AT2192"/>
  <sheetViews>
    <sheetView showRuler="0" zoomScale="70" zoomScaleNormal="70" workbookViewId="0">
      <selection activeCell="A27" sqref="A27"/>
    </sheetView>
  </sheetViews>
  <sheetFormatPr defaultColWidth="9" defaultRowHeight="12.75"/>
  <cols>
    <col min="1" max="1" width="5.33203125" style="133" customWidth="1"/>
    <col min="2" max="2" width="17.44140625" style="133" customWidth="1"/>
    <col min="3" max="3" width="22.21875" style="133" customWidth="1"/>
    <col min="4" max="4" width="16.21875" style="133" customWidth="1"/>
    <col min="5" max="5" width="11.6640625" style="133" customWidth="1"/>
    <col min="6" max="6" width="13.6640625" style="133" customWidth="1"/>
    <col min="7" max="7" width="11.6640625" style="133" customWidth="1"/>
    <col min="8" max="8" width="15.6640625" style="133" customWidth="1"/>
    <col min="9" max="9" width="11.6640625" style="133" customWidth="1"/>
    <col min="10" max="10" width="15.6640625" style="133" customWidth="1"/>
    <col min="11" max="11" width="11.6640625" style="133" customWidth="1"/>
    <col min="12" max="12" width="15.6640625" style="133" customWidth="1"/>
    <col min="13" max="13" width="11.6640625" style="133" customWidth="1"/>
    <col min="14" max="14" width="13.6640625" style="133" customWidth="1"/>
    <col min="15" max="15" width="11.6640625" style="133" customWidth="1"/>
    <col min="16" max="16" width="15.6640625" style="133" customWidth="1"/>
    <col min="17" max="17" width="13.21875" style="133" customWidth="1"/>
    <col min="18" max="18" width="13.33203125" style="133" customWidth="1"/>
    <col min="19" max="19" width="13.44140625" style="133" customWidth="1"/>
    <col min="20" max="20" width="13" style="133" customWidth="1"/>
    <col min="21" max="21" width="12.33203125" style="133" customWidth="1"/>
    <col min="22" max="22" width="11.88671875" style="133" customWidth="1"/>
    <col min="23" max="23" width="12.44140625" style="133" customWidth="1"/>
    <col min="24" max="24" width="11.88671875" style="133" customWidth="1"/>
    <col min="25" max="25" width="9" style="133"/>
    <col min="26" max="26" width="16.77734375" style="133" bestFit="1" customWidth="1"/>
    <col min="27" max="27" width="17.109375" style="133" bestFit="1" customWidth="1"/>
    <col min="28" max="16384" width="9" style="133"/>
  </cols>
  <sheetData>
    <row r="1" spans="1:46" s="132" customFormat="1" ht="15" customHeight="1">
      <c r="A1" s="131" t="str">
        <f>'Rate Case Constants'!C9</f>
        <v>KENTUCKY UTILITIES COMPANY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</row>
    <row r="2" spans="1:46" s="132" customFormat="1" ht="15" customHeight="1">
      <c r="A2" s="131" t="str">
        <f>'Rate Case Constants'!C10</f>
        <v>CASE NO. 2016-00370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  <c r="AB2" s="133"/>
      <c r="AC2" s="133"/>
      <c r="AD2" s="133"/>
      <c r="AE2" s="133"/>
      <c r="AF2" s="133"/>
      <c r="AG2" s="133"/>
      <c r="AH2" s="133"/>
      <c r="AI2" s="133"/>
      <c r="AJ2" s="133"/>
      <c r="AK2" s="133"/>
      <c r="AL2" s="133"/>
      <c r="AM2" s="133"/>
      <c r="AN2" s="133"/>
      <c r="AO2" s="133"/>
      <c r="AP2" s="133"/>
      <c r="AQ2" s="133"/>
      <c r="AR2" s="133"/>
      <c r="AS2" s="133"/>
      <c r="AT2" s="133"/>
    </row>
    <row r="3" spans="1:46" s="132" customFormat="1" ht="15" customHeight="1">
      <c r="A3" s="131" t="s">
        <v>2221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/>
      <c r="AI3" s="133"/>
      <c r="AJ3" s="133"/>
      <c r="AK3" s="133"/>
      <c r="AL3" s="133"/>
      <c r="AM3" s="133"/>
      <c r="AN3" s="133"/>
      <c r="AO3" s="133"/>
      <c r="AP3" s="133"/>
      <c r="AQ3" s="133"/>
      <c r="AR3" s="133"/>
      <c r="AS3" s="133"/>
      <c r="AT3" s="133"/>
    </row>
    <row r="4" spans="1:46" s="132" customFormat="1" ht="15" customHeight="1">
      <c r="A4" s="134" t="s">
        <v>2458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3"/>
      <c r="R4" s="133"/>
      <c r="S4" s="133"/>
      <c r="T4" s="133"/>
      <c r="U4" s="133"/>
      <c r="V4" s="133"/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33"/>
      <c r="AI4" s="133"/>
      <c r="AJ4" s="133"/>
      <c r="AK4" s="133"/>
      <c r="AL4" s="133"/>
      <c r="AM4" s="133"/>
      <c r="AN4" s="133"/>
      <c r="AO4" s="133"/>
      <c r="AP4" s="133"/>
      <c r="AQ4" s="133"/>
      <c r="AR4" s="133"/>
      <c r="AS4" s="133"/>
      <c r="AT4" s="133"/>
    </row>
    <row r="5" spans="1:46" s="136" customFormat="1">
      <c r="B5" s="137"/>
      <c r="D5" s="138"/>
      <c r="E5" s="138"/>
      <c r="F5" s="138"/>
      <c r="G5" s="138"/>
      <c r="H5" s="138"/>
      <c r="I5" s="138"/>
      <c r="J5" s="138"/>
      <c r="K5" s="138"/>
      <c r="L5" s="138"/>
    </row>
    <row r="6" spans="1:46" s="132" customFormat="1" ht="15" customHeight="1">
      <c r="A6" s="27" t="s">
        <v>177</v>
      </c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5" t="s">
        <v>1508</v>
      </c>
      <c r="Q6" s="133"/>
      <c r="R6" s="133"/>
      <c r="S6" s="133"/>
      <c r="T6" s="133"/>
      <c r="U6" s="133"/>
      <c r="V6" s="133"/>
      <c r="W6" s="133"/>
      <c r="X6" s="133"/>
      <c r="Y6" s="133"/>
      <c r="Z6" s="133"/>
      <c r="AA6" s="133"/>
      <c r="AB6" s="133"/>
      <c r="AC6" s="133"/>
      <c r="AD6" s="133"/>
      <c r="AE6" s="133"/>
      <c r="AF6" s="133"/>
      <c r="AG6" s="133"/>
      <c r="AH6" s="133"/>
      <c r="AI6" s="133"/>
      <c r="AJ6" s="133"/>
      <c r="AK6" s="133"/>
      <c r="AL6" s="133"/>
      <c r="AM6" s="133"/>
      <c r="AN6" s="133"/>
      <c r="AO6" s="133"/>
      <c r="AP6" s="133"/>
      <c r="AQ6" s="133"/>
      <c r="AR6" s="133"/>
      <c r="AS6" s="133"/>
      <c r="AT6" s="133"/>
    </row>
    <row r="7" spans="1:46" s="132" customFormat="1" ht="15" customHeight="1">
      <c r="A7" s="133" t="str">
        <f>'Rate Case Constants'!C29</f>
        <v>TYPE OF FILING: __X__ ORIGINAL  _____ UPDATED  _____ REVISED</v>
      </c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5" t="s">
        <v>2158</v>
      </c>
      <c r="Q7" s="133"/>
      <c r="R7" s="133"/>
      <c r="S7" s="133"/>
      <c r="T7" s="133"/>
      <c r="U7" s="133"/>
      <c r="V7" s="133"/>
      <c r="W7" s="133"/>
      <c r="X7" s="133"/>
      <c r="Y7" s="133"/>
      <c r="Z7" s="133"/>
      <c r="AA7" s="133"/>
      <c r="AB7" s="133"/>
      <c r="AC7" s="133"/>
      <c r="AD7" s="133"/>
      <c r="AE7" s="133"/>
      <c r="AF7" s="133"/>
      <c r="AG7" s="133"/>
      <c r="AH7" s="133"/>
      <c r="AI7" s="133"/>
      <c r="AJ7" s="133"/>
      <c r="AK7" s="133"/>
      <c r="AL7" s="133"/>
      <c r="AM7" s="133"/>
      <c r="AN7" s="133"/>
      <c r="AO7" s="133"/>
      <c r="AP7" s="133"/>
      <c r="AQ7" s="133"/>
      <c r="AR7" s="133"/>
      <c r="AS7" s="133"/>
      <c r="AT7" s="133"/>
    </row>
    <row r="8" spans="1:46" s="132" customFormat="1" ht="15" customHeight="1">
      <c r="A8" s="133" t="s">
        <v>1504</v>
      </c>
      <c r="B8" s="133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  <c r="P8" s="135" t="str">
        <f>'Rate Case Constants'!C36</f>
        <v>WITNESS:   C. M. GARRETT</v>
      </c>
      <c r="Q8" s="133"/>
      <c r="R8" s="133"/>
      <c r="S8" s="133"/>
      <c r="T8" s="133"/>
      <c r="U8" s="133"/>
      <c r="V8" s="133"/>
      <c r="W8" s="133"/>
      <c r="X8" s="133"/>
      <c r="Y8" s="133"/>
      <c r="Z8" s="133"/>
      <c r="AA8" s="133"/>
      <c r="AB8" s="133"/>
      <c r="AC8" s="133"/>
      <c r="AD8" s="133"/>
      <c r="AE8" s="133"/>
      <c r="AF8" s="133"/>
      <c r="AG8" s="133"/>
      <c r="AH8" s="133"/>
      <c r="AI8" s="133"/>
      <c r="AJ8" s="133"/>
      <c r="AK8" s="133"/>
      <c r="AL8" s="133"/>
      <c r="AM8" s="133"/>
      <c r="AN8" s="133"/>
      <c r="AO8" s="133"/>
      <c r="AP8" s="133"/>
      <c r="AQ8" s="133"/>
      <c r="AR8" s="133"/>
      <c r="AS8" s="133"/>
      <c r="AT8" s="133"/>
    </row>
    <row r="9" spans="1:46" ht="15" customHeight="1" thickBot="1"/>
    <row r="10" spans="1:46" s="132" customFormat="1" ht="15" customHeight="1">
      <c r="A10" s="139"/>
      <c r="B10" s="139"/>
      <c r="C10" s="139"/>
      <c r="D10" s="142" t="s">
        <v>1527</v>
      </c>
      <c r="E10" s="139"/>
      <c r="F10" s="139"/>
      <c r="G10" s="139"/>
      <c r="H10" s="139"/>
      <c r="I10" s="139"/>
      <c r="J10" s="139"/>
      <c r="K10" s="139"/>
      <c r="L10" s="139"/>
      <c r="M10" s="139"/>
      <c r="N10" s="139"/>
      <c r="O10" s="139"/>
      <c r="P10" s="139"/>
      <c r="Q10" s="133"/>
      <c r="R10" s="133"/>
      <c r="S10" s="133"/>
      <c r="T10" s="133"/>
      <c r="U10" s="133"/>
      <c r="V10" s="133"/>
      <c r="W10" s="133"/>
      <c r="X10" s="133"/>
      <c r="Y10" s="133"/>
      <c r="Z10" s="133"/>
      <c r="AA10" s="133"/>
      <c r="AB10" s="133"/>
      <c r="AC10" s="133"/>
      <c r="AD10" s="133"/>
      <c r="AE10" s="133"/>
      <c r="AF10" s="133"/>
      <c r="AG10" s="133"/>
      <c r="AH10" s="133"/>
      <c r="AI10" s="133"/>
      <c r="AJ10" s="133"/>
      <c r="AK10" s="133"/>
      <c r="AL10" s="133"/>
      <c r="AM10" s="133"/>
      <c r="AN10" s="133"/>
      <c r="AO10" s="133"/>
      <c r="AP10" s="133"/>
      <c r="AQ10" s="133"/>
      <c r="AR10" s="133"/>
      <c r="AS10" s="133"/>
      <c r="AT10" s="133"/>
    </row>
    <row r="11" spans="1:46" s="132" customFormat="1" ht="15" customHeight="1">
      <c r="A11" s="390" t="s">
        <v>1513</v>
      </c>
      <c r="B11" s="133"/>
      <c r="C11" s="133"/>
      <c r="D11" s="390" t="s">
        <v>1509</v>
      </c>
      <c r="E11" s="133"/>
      <c r="F11" s="390" t="s">
        <v>1512</v>
      </c>
      <c r="G11" s="133"/>
      <c r="H11" s="133"/>
      <c r="I11" s="133"/>
      <c r="J11" s="133"/>
      <c r="K11" s="133"/>
      <c r="L11" s="133"/>
      <c r="M11" s="133"/>
      <c r="N11" s="133"/>
      <c r="O11" s="133"/>
      <c r="P11" s="141"/>
      <c r="Q11" s="133"/>
      <c r="R11" s="133"/>
      <c r="S11" s="133"/>
      <c r="T11" s="133"/>
      <c r="U11" s="133"/>
      <c r="V11" s="133"/>
      <c r="W11" s="133"/>
      <c r="X11" s="133"/>
      <c r="Y11" s="133"/>
      <c r="Z11" s="133"/>
      <c r="AA11" s="133"/>
      <c r="AB11" s="133"/>
      <c r="AC11" s="133"/>
      <c r="AD11" s="133"/>
      <c r="AE11" s="133"/>
      <c r="AF11" s="133"/>
      <c r="AG11" s="133"/>
      <c r="AH11" s="133"/>
      <c r="AI11" s="133"/>
      <c r="AJ11" s="133"/>
      <c r="AK11" s="133"/>
      <c r="AL11" s="133"/>
      <c r="AM11" s="133"/>
      <c r="AN11" s="133"/>
      <c r="AO11" s="133"/>
      <c r="AP11" s="133"/>
      <c r="AQ11" s="133"/>
      <c r="AR11" s="133"/>
      <c r="AS11" s="133"/>
      <c r="AT11" s="133"/>
    </row>
    <row r="12" spans="1:46" s="132" customFormat="1" ht="15" customHeight="1" thickBot="1">
      <c r="A12" s="390" t="s">
        <v>1514</v>
      </c>
      <c r="B12" s="390" t="s">
        <v>208</v>
      </c>
      <c r="C12" s="133"/>
      <c r="D12" s="390" t="s">
        <v>1510</v>
      </c>
      <c r="E12" s="390" t="s">
        <v>1511</v>
      </c>
      <c r="F12" s="390" t="s">
        <v>1510</v>
      </c>
      <c r="G12" s="390" t="s">
        <v>1511</v>
      </c>
      <c r="H12" s="141">
        <v>2015</v>
      </c>
      <c r="I12" s="390" t="s">
        <v>1511</v>
      </c>
      <c r="J12" s="141">
        <v>2014</v>
      </c>
      <c r="K12" s="390" t="s">
        <v>1511</v>
      </c>
      <c r="L12" s="141">
        <v>2013</v>
      </c>
      <c r="M12" s="390" t="s">
        <v>1511</v>
      </c>
      <c r="N12" s="141">
        <v>2012</v>
      </c>
      <c r="O12" s="390" t="s">
        <v>1511</v>
      </c>
      <c r="P12" s="141">
        <v>2011</v>
      </c>
      <c r="Q12" s="133"/>
      <c r="R12" s="133"/>
      <c r="S12" s="133"/>
      <c r="T12" s="133"/>
      <c r="U12" s="133"/>
      <c r="V12" s="133"/>
      <c r="W12" s="133"/>
      <c r="X12" s="133"/>
      <c r="Y12" s="133"/>
      <c r="Z12" s="133"/>
      <c r="AA12" s="133"/>
      <c r="AB12" s="133"/>
      <c r="AC12" s="133"/>
      <c r="AD12" s="133"/>
      <c r="AE12" s="133"/>
      <c r="AF12" s="133"/>
      <c r="AG12" s="133"/>
      <c r="AH12" s="133"/>
      <c r="AI12" s="133"/>
      <c r="AJ12" s="133"/>
      <c r="AK12" s="133"/>
      <c r="AL12" s="133"/>
      <c r="AM12" s="133"/>
      <c r="AN12" s="133"/>
      <c r="AO12" s="133"/>
      <c r="AP12" s="133"/>
      <c r="AQ12" s="133"/>
      <c r="AR12" s="133"/>
      <c r="AS12" s="133"/>
      <c r="AT12" s="133"/>
    </row>
    <row r="13" spans="1:46" s="132" customFormat="1" ht="15" customHeight="1">
      <c r="A13" s="142"/>
      <c r="B13" s="143"/>
      <c r="C13" s="143"/>
      <c r="D13" s="143"/>
      <c r="E13" s="143"/>
      <c r="F13" s="143"/>
      <c r="G13" s="143"/>
      <c r="H13" s="143"/>
      <c r="I13" s="143"/>
      <c r="J13" s="143"/>
      <c r="K13" s="143"/>
      <c r="L13" s="143"/>
      <c r="M13" s="143"/>
      <c r="N13" s="143"/>
      <c r="O13" s="143"/>
      <c r="P13" s="143"/>
      <c r="Q13" s="133"/>
      <c r="R13" s="133"/>
      <c r="S13" s="133"/>
      <c r="T13" s="133"/>
      <c r="U13" s="133"/>
      <c r="V13" s="133"/>
      <c r="W13" s="133"/>
      <c r="X13" s="133"/>
      <c r="Y13" s="133"/>
      <c r="Z13" s="133"/>
      <c r="AA13" s="133"/>
      <c r="AB13" s="133"/>
      <c r="AC13" s="133"/>
      <c r="AD13" s="133"/>
      <c r="AE13" s="133"/>
      <c r="AF13" s="133"/>
      <c r="AG13" s="133"/>
      <c r="AH13" s="133"/>
      <c r="AI13" s="133"/>
      <c r="AJ13" s="133"/>
      <c r="AK13" s="133"/>
      <c r="AL13" s="133"/>
      <c r="AM13" s="133"/>
      <c r="AN13" s="133"/>
      <c r="AO13" s="133"/>
      <c r="AP13" s="133"/>
      <c r="AQ13" s="133"/>
      <c r="AR13" s="133"/>
      <c r="AS13" s="133"/>
      <c r="AT13" s="133"/>
    </row>
    <row r="14" spans="1:46" s="132" customFormat="1" ht="15" customHeight="1">
      <c r="A14" s="390">
        <v>1</v>
      </c>
      <c r="B14" s="711" t="s">
        <v>1548</v>
      </c>
      <c r="C14" s="711"/>
      <c r="D14" s="133"/>
      <c r="E14" s="133"/>
      <c r="F14" s="133"/>
      <c r="G14" s="133"/>
      <c r="H14" s="133"/>
      <c r="I14" s="133"/>
      <c r="J14" s="133"/>
      <c r="K14" s="133"/>
      <c r="L14" s="133"/>
      <c r="M14" s="133"/>
      <c r="N14" s="133"/>
      <c r="O14" s="133"/>
      <c r="P14" s="133"/>
      <c r="Q14" s="133"/>
      <c r="R14" s="133"/>
      <c r="S14" s="133"/>
      <c r="T14" s="133"/>
      <c r="U14" s="133"/>
      <c r="V14" s="133"/>
      <c r="W14" s="133"/>
      <c r="X14" s="133"/>
      <c r="Y14" s="133"/>
      <c r="Z14" s="133"/>
      <c r="AA14" s="133"/>
      <c r="AB14" s="133"/>
      <c r="AC14" s="133"/>
      <c r="AD14" s="133"/>
      <c r="AE14" s="133"/>
      <c r="AF14" s="133"/>
      <c r="AG14" s="133"/>
      <c r="AH14" s="133"/>
      <c r="AI14" s="133"/>
      <c r="AJ14" s="133"/>
      <c r="AK14" s="133"/>
      <c r="AL14" s="133"/>
      <c r="AM14" s="133"/>
      <c r="AN14" s="133"/>
      <c r="AO14" s="133"/>
      <c r="AP14" s="133"/>
      <c r="AQ14" s="133"/>
      <c r="AR14" s="133"/>
      <c r="AS14" s="133"/>
      <c r="AT14" s="133"/>
    </row>
    <row r="15" spans="1:46" s="132" customFormat="1" ht="15" customHeight="1">
      <c r="A15" s="390"/>
      <c r="B15" s="391"/>
      <c r="C15" s="391"/>
      <c r="D15" s="133"/>
      <c r="E15" s="133"/>
      <c r="F15" s="133"/>
      <c r="G15" s="133"/>
      <c r="H15" s="133"/>
      <c r="I15" s="133"/>
      <c r="J15" s="133"/>
      <c r="K15" s="133"/>
      <c r="L15" s="133"/>
      <c r="M15" s="133"/>
      <c r="N15" s="133"/>
      <c r="O15" s="133"/>
      <c r="P15" s="133"/>
      <c r="Q15" s="133"/>
      <c r="R15" s="133"/>
      <c r="S15" s="133"/>
      <c r="T15" s="133"/>
      <c r="U15" s="133"/>
      <c r="V15" s="133"/>
      <c r="W15" s="133"/>
      <c r="X15" s="133"/>
      <c r="Y15" s="133"/>
      <c r="Z15" s="133"/>
      <c r="AA15" s="133"/>
      <c r="AB15" s="133"/>
      <c r="AC15" s="133"/>
      <c r="AD15" s="133"/>
      <c r="AE15" s="133"/>
      <c r="AF15" s="133"/>
      <c r="AG15" s="133"/>
      <c r="AH15" s="133"/>
      <c r="AI15" s="133"/>
      <c r="AJ15" s="133"/>
      <c r="AK15" s="133"/>
      <c r="AL15" s="133"/>
      <c r="AM15" s="133"/>
      <c r="AN15" s="133"/>
      <c r="AO15" s="133"/>
      <c r="AP15" s="133"/>
      <c r="AQ15" s="133"/>
      <c r="AR15" s="133"/>
      <c r="AS15" s="133"/>
      <c r="AT15" s="133"/>
    </row>
    <row r="16" spans="1:46" s="132" customFormat="1" ht="15" customHeight="1">
      <c r="A16" s="390">
        <f>A14+1</f>
        <v>2</v>
      </c>
      <c r="B16" s="144" t="s">
        <v>1489</v>
      </c>
      <c r="C16" s="133"/>
      <c r="D16" s="157"/>
      <c r="E16" s="158"/>
      <c r="F16" s="157"/>
      <c r="G16" s="158"/>
      <c r="H16" s="157"/>
      <c r="I16" s="158"/>
      <c r="J16" s="157"/>
      <c r="K16" s="158"/>
      <c r="L16" s="157"/>
      <c r="M16" s="158"/>
      <c r="N16" s="157"/>
      <c r="O16" s="158"/>
      <c r="P16" s="157"/>
      <c r="Q16" s="146"/>
      <c r="R16" s="133" t="s">
        <v>1509</v>
      </c>
      <c r="S16" s="133" t="s">
        <v>1512</v>
      </c>
      <c r="T16" s="513" t="s">
        <v>2459</v>
      </c>
      <c r="U16" s="513" t="s">
        <v>2460</v>
      </c>
      <c r="V16" s="133" t="s">
        <v>2223</v>
      </c>
      <c r="W16" s="133" t="s">
        <v>2224</v>
      </c>
      <c r="X16" s="133" t="s">
        <v>2225</v>
      </c>
      <c r="Y16" s="133"/>
      <c r="Z16" s="133"/>
      <c r="AA16" s="133"/>
      <c r="AB16" s="133"/>
      <c r="AC16" s="133"/>
      <c r="AD16" s="133"/>
      <c r="AE16" s="133"/>
      <c r="AF16" s="133"/>
      <c r="AG16" s="133"/>
      <c r="AH16" s="133"/>
      <c r="AI16" s="133"/>
      <c r="AJ16" s="133"/>
      <c r="AK16" s="133"/>
      <c r="AL16" s="133"/>
      <c r="AM16" s="133"/>
      <c r="AN16" s="133"/>
      <c r="AO16" s="133"/>
      <c r="AP16" s="133"/>
      <c r="AQ16" s="133"/>
      <c r="AR16" s="133"/>
      <c r="AS16" s="133"/>
      <c r="AT16" s="133"/>
    </row>
    <row r="17" spans="1:46" s="132" customFormat="1" ht="15" customHeight="1">
      <c r="A17" s="390">
        <f t="shared" ref="A17:A21" si="0">A16+1</f>
        <v>3</v>
      </c>
      <c r="B17" s="133" t="s">
        <v>1505</v>
      </c>
      <c r="C17" s="133"/>
      <c r="D17" s="170">
        <f>R17</f>
        <v>8463527047</v>
      </c>
      <c r="E17" s="145">
        <f t="shared" ref="E17:O21" si="1">(+D17-F17)/F17</f>
        <v>2.7506659947637534E-2</v>
      </c>
      <c r="F17" s="170">
        <f>S17</f>
        <v>8236955902</v>
      </c>
      <c r="G17" s="145">
        <f t="shared" si="1"/>
        <v>5.4707259162012738E-2</v>
      </c>
      <c r="H17" s="170">
        <f>T17</f>
        <v>7809708173</v>
      </c>
      <c r="I17" s="145">
        <f t="shared" si="1"/>
        <v>0.13065338915573552</v>
      </c>
      <c r="J17" s="170">
        <f>U17</f>
        <v>6907252256</v>
      </c>
      <c r="K17" s="145">
        <f t="shared" si="1"/>
        <v>0.13059533342384314</v>
      </c>
      <c r="L17" s="170">
        <f>V17</f>
        <v>6109393920</v>
      </c>
      <c r="M17" s="145">
        <f t="shared" si="1"/>
        <v>3.7566143170928989E-2</v>
      </c>
      <c r="N17" s="170">
        <f>W17</f>
        <v>5888197066</v>
      </c>
      <c r="O17" s="145">
        <f t="shared" si="1"/>
        <v>4.8752434290362738E-2</v>
      </c>
      <c r="P17" s="170">
        <f>X17</f>
        <v>5614477615</v>
      </c>
      <c r="Q17" s="147"/>
      <c r="R17" s="133">
        <v>8463527047</v>
      </c>
      <c r="S17" s="133">
        <v>8236955902</v>
      </c>
      <c r="T17" s="133">
        <v>7809708173</v>
      </c>
      <c r="U17" s="133">
        <v>6907252256</v>
      </c>
      <c r="V17" s="133">
        <v>6109393920</v>
      </c>
      <c r="W17" s="133">
        <v>5888197066</v>
      </c>
      <c r="X17" s="133">
        <v>5614477615</v>
      </c>
      <c r="Y17" s="133"/>
      <c r="Z17" s="133"/>
      <c r="AA17" s="133"/>
      <c r="AB17" s="133"/>
      <c r="AC17" s="133"/>
      <c r="AD17" s="133"/>
      <c r="AE17" s="133"/>
      <c r="AF17" s="133"/>
      <c r="AG17" s="133"/>
      <c r="AH17" s="133"/>
      <c r="AI17" s="133"/>
      <c r="AJ17" s="133"/>
      <c r="AK17" s="133"/>
      <c r="AL17" s="133"/>
      <c r="AM17" s="133"/>
      <c r="AN17" s="133"/>
      <c r="AO17" s="133"/>
      <c r="AP17" s="133"/>
      <c r="AQ17" s="133"/>
      <c r="AR17" s="133"/>
      <c r="AS17" s="133"/>
      <c r="AT17" s="133"/>
    </row>
    <row r="18" spans="1:46" s="132" customFormat="1" ht="15" customHeight="1">
      <c r="A18" s="390">
        <f t="shared" si="0"/>
        <v>4</v>
      </c>
      <c r="B18" s="133" t="s">
        <v>1188</v>
      </c>
      <c r="C18" s="133"/>
      <c r="D18" s="171">
        <f>R18</f>
        <v>279608229</v>
      </c>
      <c r="E18" s="145">
        <f t="shared" si="1"/>
        <v>1.2194274179136462</v>
      </c>
      <c r="F18" s="171">
        <f>S18</f>
        <v>125982146</v>
      </c>
      <c r="G18" s="145">
        <f t="shared" si="1"/>
        <v>-0.47393354641988439</v>
      </c>
      <c r="H18" s="171">
        <f>T18</f>
        <v>239479528</v>
      </c>
      <c r="I18" s="145">
        <f t="shared" si="1"/>
        <v>-0.69052900334414513</v>
      </c>
      <c r="J18" s="171">
        <f>U18</f>
        <v>773835127</v>
      </c>
      <c r="K18" s="145">
        <f t="shared" si="1"/>
        <v>-0.22110358148449008</v>
      </c>
      <c r="L18" s="171">
        <f>V18</f>
        <v>993501971</v>
      </c>
      <c r="M18" s="145">
        <f t="shared" si="1"/>
        <v>1.3339251758040627</v>
      </c>
      <c r="N18" s="171">
        <f>W18</f>
        <v>425678587</v>
      </c>
      <c r="O18" s="145">
        <f t="shared" si="1"/>
        <v>0.43480538097082777</v>
      </c>
      <c r="P18" s="171">
        <f>X18</f>
        <v>296680367</v>
      </c>
      <c r="Q18" s="147"/>
      <c r="R18" s="133">
        <v>279608229</v>
      </c>
      <c r="S18" s="133">
        <v>125982146</v>
      </c>
      <c r="T18" s="133">
        <v>239479528</v>
      </c>
      <c r="U18" s="133">
        <v>773835127</v>
      </c>
      <c r="V18" s="133">
        <v>993501971</v>
      </c>
      <c r="W18" s="133">
        <v>425678587</v>
      </c>
      <c r="X18" s="133">
        <v>296680367</v>
      </c>
      <c r="Y18" s="133"/>
      <c r="Z18" s="133"/>
      <c r="AA18" s="133"/>
      <c r="AB18" s="133"/>
      <c r="AC18" s="133"/>
      <c r="AD18" s="133"/>
      <c r="AE18" s="133"/>
      <c r="AF18" s="133"/>
      <c r="AG18" s="133"/>
      <c r="AH18" s="133"/>
      <c r="AI18" s="133"/>
      <c r="AJ18" s="133"/>
      <c r="AK18" s="133"/>
      <c r="AL18" s="133"/>
      <c r="AM18" s="133"/>
      <c r="AN18" s="133"/>
      <c r="AO18" s="133"/>
      <c r="AP18" s="133"/>
      <c r="AQ18" s="133"/>
      <c r="AR18" s="133"/>
      <c r="AS18" s="133"/>
      <c r="AT18" s="133"/>
    </row>
    <row r="19" spans="1:46" s="132" customFormat="1" ht="15" customHeight="1">
      <c r="A19" s="390">
        <f t="shared" si="0"/>
        <v>5</v>
      </c>
      <c r="B19" s="133" t="s">
        <v>1549</v>
      </c>
      <c r="C19" s="133"/>
      <c r="D19" s="162">
        <f>D17+D18</f>
        <v>8743135276</v>
      </c>
      <c r="E19" s="145">
        <f t="shared" si="1"/>
        <v>4.5462160046841948E-2</v>
      </c>
      <c r="F19" s="162">
        <f>F17+F18</f>
        <v>8362938048</v>
      </c>
      <c r="G19" s="145">
        <f t="shared" si="1"/>
        <v>3.8979131640950661E-2</v>
      </c>
      <c r="H19" s="162">
        <f>H17+H18</f>
        <v>8049187701</v>
      </c>
      <c r="I19" s="145">
        <f t="shared" si="1"/>
        <v>4.7922943672622453E-2</v>
      </c>
      <c r="J19" s="162">
        <f>J17+J18</f>
        <v>7681087383</v>
      </c>
      <c r="K19" s="145">
        <f t="shared" si="1"/>
        <v>8.1402219724580227E-2</v>
      </c>
      <c r="L19" s="162">
        <f>L17+L18</f>
        <v>7102895891</v>
      </c>
      <c r="M19" s="145">
        <f t="shared" si="1"/>
        <v>0.12496607177005487</v>
      </c>
      <c r="N19" s="162">
        <f>N17+N18</f>
        <v>6313875653</v>
      </c>
      <c r="O19" s="145">
        <f t="shared" si="1"/>
        <v>6.8128389095048883E-2</v>
      </c>
      <c r="P19" s="162">
        <f>P17+P18</f>
        <v>5911157982</v>
      </c>
      <c r="Q19" s="147"/>
      <c r="R19" s="133">
        <v>8743135276</v>
      </c>
      <c r="S19" s="133">
        <v>8362938048</v>
      </c>
      <c r="T19" s="133">
        <v>8049187701</v>
      </c>
      <c r="U19" s="133">
        <v>7681087383</v>
      </c>
      <c r="V19" s="133">
        <v>7102895891</v>
      </c>
      <c r="W19" s="133">
        <v>6313875653</v>
      </c>
      <c r="X19" s="133">
        <v>5911157982</v>
      </c>
      <c r="Y19" s="133"/>
      <c r="Z19" s="133"/>
      <c r="AA19" s="133"/>
      <c r="AB19" s="133"/>
      <c r="AC19" s="133"/>
      <c r="AD19" s="133"/>
      <c r="AE19" s="133"/>
      <c r="AF19" s="133"/>
      <c r="AG19" s="133"/>
      <c r="AH19" s="133"/>
      <c r="AI19" s="133"/>
      <c r="AJ19" s="133"/>
      <c r="AK19" s="133"/>
      <c r="AL19" s="133"/>
      <c r="AM19" s="133"/>
      <c r="AN19" s="133"/>
      <c r="AO19" s="133"/>
      <c r="AP19" s="133"/>
      <c r="AQ19" s="133"/>
      <c r="AR19" s="133"/>
      <c r="AS19" s="133"/>
      <c r="AT19" s="133"/>
    </row>
    <row r="20" spans="1:46" s="132" customFormat="1" ht="15" customHeight="1">
      <c r="A20" s="390">
        <f t="shared" si="0"/>
        <v>6</v>
      </c>
      <c r="B20" s="133" t="s">
        <v>1550</v>
      </c>
      <c r="C20" s="133"/>
      <c r="D20" s="167">
        <f>R20</f>
        <v>2912060195</v>
      </c>
      <c r="E20" s="145">
        <f t="shared" si="1"/>
        <v>7.0544426175908739E-2</v>
      </c>
      <c r="F20" s="167">
        <f>S20</f>
        <v>2720167537</v>
      </c>
      <c r="G20" s="145">
        <f t="shared" si="1"/>
        <v>8.1410057359422153E-2</v>
      </c>
      <c r="H20" s="167">
        <f>T20</f>
        <v>2515389531</v>
      </c>
      <c r="I20" s="145">
        <f t="shared" si="1"/>
        <v>1.7997400857353095E-2</v>
      </c>
      <c r="J20" s="167">
        <f>U20</f>
        <v>2470919404</v>
      </c>
      <c r="K20" s="145">
        <f t="shared" si="1"/>
        <v>7.2344495094606456E-2</v>
      </c>
      <c r="L20" s="167">
        <f>V20</f>
        <v>2304221652</v>
      </c>
      <c r="M20" s="145">
        <f t="shared" si="1"/>
        <v>5.499540952652434E-2</v>
      </c>
      <c r="N20" s="167">
        <f>W20</f>
        <v>2184105856</v>
      </c>
      <c r="O20" s="145">
        <f t="shared" si="1"/>
        <v>4.963855845292351E-2</v>
      </c>
      <c r="P20" s="167">
        <f>X20</f>
        <v>2080817095</v>
      </c>
      <c r="Q20" s="133"/>
      <c r="R20" s="133">
        <v>2912060195</v>
      </c>
      <c r="S20" s="133">
        <v>2720167537</v>
      </c>
      <c r="T20" s="133">
        <v>2515389531</v>
      </c>
      <c r="U20" s="133">
        <v>2470919404</v>
      </c>
      <c r="V20" s="133">
        <v>2304221652</v>
      </c>
      <c r="W20" s="133">
        <v>2184105856</v>
      </c>
      <c r="X20" s="133">
        <v>2080817095</v>
      </c>
      <c r="Y20" s="133"/>
      <c r="Z20" s="133"/>
      <c r="AA20" s="133"/>
      <c r="AB20" s="133"/>
      <c r="AC20" s="133"/>
      <c r="AD20" s="133"/>
      <c r="AE20" s="133"/>
      <c r="AF20" s="133"/>
      <c r="AG20" s="133"/>
      <c r="AH20" s="133"/>
      <c r="AI20" s="133"/>
      <c r="AJ20" s="133"/>
      <c r="AK20" s="133"/>
      <c r="AL20" s="133"/>
      <c r="AM20" s="133"/>
      <c r="AN20" s="133"/>
      <c r="AO20" s="133"/>
      <c r="AP20" s="133"/>
      <c r="AQ20" s="133"/>
      <c r="AR20" s="133"/>
      <c r="AS20" s="133"/>
      <c r="AT20" s="133"/>
    </row>
    <row r="21" spans="1:46" s="132" customFormat="1" ht="15" customHeight="1">
      <c r="A21" s="390">
        <f t="shared" si="0"/>
        <v>7</v>
      </c>
      <c r="B21" s="133" t="s">
        <v>1551</v>
      </c>
      <c r="C21" s="133"/>
      <c r="D21" s="163">
        <f>D19-D20</f>
        <v>5831075081</v>
      </c>
      <c r="E21" s="145">
        <f t="shared" si="1"/>
        <v>3.337094245334267E-2</v>
      </c>
      <c r="F21" s="163">
        <f>F19-F20</f>
        <v>5642770511</v>
      </c>
      <c r="G21" s="145">
        <f t="shared" si="1"/>
        <v>1.9692142295822113E-2</v>
      </c>
      <c r="H21" s="163">
        <f>H19-H20</f>
        <v>5533798170</v>
      </c>
      <c r="I21" s="145">
        <f t="shared" si="1"/>
        <v>6.2115116499970334E-2</v>
      </c>
      <c r="J21" s="163">
        <f>J19-J20</f>
        <v>5210167979</v>
      </c>
      <c r="K21" s="145">
        <f t="shared" si="1"/>
        <v>8.5751547095172589E-2</v>
      </c>
      <c r="L21" s="163">
        <f>L19-L20</f>
        <v>4798674239</v>
      </c>
      <c r="M21" s="145">
        <f t="shared" si="1"/>
        <v>0.16197136278296045</v>
      </c>
      <c r="N21" s="163">
        <f>N19-N20</f>
        <v>4129769797</v>
      </c>
      <c r="O21" s="145">
        <f t="shared" si="1"/>
        <v>7.8172914326306533E-2</v>
      </c>
      <c r="P21" s="163">
        <f>P19-P20</f>
        <v>3830340887</v>
      </c>
      <c r="Q21" s="133"/>
      <c r="R21" s="133">
        <v>5831075081</v>
      </c>
      <c r="S21" s="133">
        <v>5642770511</v>
      </c>
      <c r="T21" s="133">
        <v>5533798170</v>
      </c>
      <c r="U21" s="133">
        <v>5210167979</v>
      </c>
      <c r="V21" s="133">
        <v>4798674239</v>
      </c>
      <c r="W21" s="133">
        <v>4129769797</v>
      </c>
      <c r="X21" s="133">
        <v>3830340887</v>
      </c>
      <c r="Y21" s="133"/>
      <c r="Z21" s="133"/>
      <c r="AA21" s="133"/>
      <c r="AB21" s="133"/>
      <c r="AC21" s="133"/>
      <c r="AD21" s="133"/>
      <c r="AE21" s="133"/>
      <c r="AF21" s="133"/>
      <c r="AG21" s="133"/>
      <c r="AH21" s="133"/>
      <c r="AI21" s="133"/>
      <c r="AJ21" s="133"/>
      <c r="AK21" s="133"/>
      <c r="AL21" s="133"/>
      <c r="AM21" s="133"/>
      <c r="AN21" s="133"/>
      <c r="AO21" s="133"/>
      <c r="AP21" s="133"/>
      <c r="AQ21" s="133"/>
      <c r="AR21" s="133"/>
      <c r="AS21" s="133"/>
      <c r="AT21" s="133"/>
    </row>
    <row r="22" spans="1:46" s="132" customFormat="1" ht="15" customHeight="1">
      <c r="A22" s="390"/>
      <c r="B22" s="133"/>
      <c r="C22" s="133"/>
      <c r="D22" s="164"/>
      <c r="E22" s="160"/>
      <c r="F22" s="164"/>
      <c r="G22" s="160"/>
      <c r="H22" s="164"/>
      <c r="I22" s="160"/>
      <c r="J22" s="151"/>
      <c r="K22" s="160"/>
      <c r="L22" s="151"/>
      <c r="M22" s="160"/>
      <c r="N22" s="151"/>
      <c r="O22" s="160"/>
      <c r="P22" s="151"/>
      <c r="Q22" s="133"/>
      <c r="R22" s="133"/>
      <c r="S22" s="133"/>
      <c r="T22" s="133"/>
      <c r="U22" s="133"/>
      <c r="V22" s="133"/>
      <c r="W22" s="133"/>
      <c r="X22" s="133"/>
      <c r="Y22" s="133"/>
      <c r="Z22" s="133"/>
      <c r="AA22" s="133"/>
      <c r="AB22" s="133"/>
      <c r="AC22" s="133"/>
      <c r="AD22" s="133"/>
      <c r="AE22" s="133"/>
      <c r="AF22" s="133"/>
      <c r="AG22" s="133"/>
      <c r="AH22" s="133"/>
      <c r="AI22" s="133"/>
      <c r="AJ22" s="133"/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</row>
    <row r="23" spans="1:46" s="132" customFormat="1" ht="15" customHeight="1">
      <c r="A23" s="390">
        <f>A21+1</f>
        <v>8</v>
      </c>
      <c r="B23" s="144" t="s">
        <v>1552</v>
      </c>
      <c r="C23" s="133"/>
      <c r="D23" s="165"/>
      <c r="E23" s="160"/>
      <c r="F23" s="165"/>
      <c r="G23" s="160"/>
      <c r="H23" s="165"/>
      <c r="I23" s="160"/>
      <c r="J23" s="159"/>
      <c r="K23" s="160"/>
      <c r="L23" s="159"/>
      <c r="M23" s="160"/>
      <c r="N23" s="159"/>
      <c r="O23" s="160"/>
      <c r="P23" s="159"/>
      <c r="Q23" s="133"/>
      <c r="R23" s="133"/>
      <c r="S23" s="133"/>
      <c r="T23" s="133"/>
      <c r="U23" s="133"/>
      <c r="V23" s="133"/>
      <c r="W23" s="133"/>
      <c r="X23" s="133"/>
      <c r="Y23" s="133"/>
      <c r="Z23" s="133"/>
      <c r="AA23" s="133"/>
      <c r="AB23" s="133"/>
      <c r="AC23" s="133"/>
      <c r="AD23" s="133"/>
      <c r="AE23" s="133"/>
      <c r="AF23" s="133"/>
      <c r="AG23" s="133"/>
      <c r="AH23" s="133"/>
      <c r="AI23" s="133"/>
      <c r="AJ23" s="133"/>
      <c r="AK23" s="133"/>
      <c r="AL23" s="133"/>
      <c r="AM23" s="133"/>
      <c r="AN23" s="133"/>
      <c r="AO23" s="133"/>
      <c r="AP23" s="133"/>
      <c r="AQ23" s="133"/>
      <c r="AR23" s="133"/>
      <c r="AS23" s="133"/>
      <c r="AT23" s="133"/>
    </row>
    <row r="24" spans="1:46" s="132" customFormat="1" ht="15" customHeight="1">
      <c r="A24" s="390">
        <f t="shared" ref="A24:A28" si="2">A23+1</f>
        <v>9</v>
      </c>
      <c r="B24" s="133" t="s">
        <v>1553</v>
      </c>
      <c r="C24" s="133"/>
      <c r="D24" s="170">
        <f>R24</f>
        <v>0</v>
      </c>
      <c r="E24" s="145">
        <v>0</v>
      </c>
      <c r="F24" s="170">
        <f>S24</f>
        <v>0</v>
      </c>
      <c r="G24" s="145">
        <v>0</v>
      </c>
      <c r="H24" s="170">
        <f t="shared" ref="H24:H27" si="3">T24</f>
        <v>0</v>
      </c>
      <c r="I24" s="145">
        <v>0</v>
      </c>
      <c r="J24" s="170">
        <f t="shared" ref="J24:J27" si="4">U24</f>
        <v>0</v>
      </c>
      <c r="K24" s="145">
        <v>0</v>
      </c>
      <c r="L24" s="170">
        <f t="shared" ref="L24:L27" si="5">V24</f>
        <v>0</v>
      </c>
      <c r="M24" s="145">
        <v>0</v>
      </c>
      <c r="N24" s="170">
        <f t="shared" ref="N24:N27" si="6">W24</f>
        <v>0</v>
      </c>
      <c r="O24" s="145">
        <v>0</v>
      </c>
      <c r="P24" s="170">
        <f t="shared" ref="P24:P27" si="7">X24</f>
        <v>0</v>
      </c>
      <c r="Q24" s="147"/>
      <c r="R24" s="133">
        <v>0</v>
      </c>
      <c r="S24" s="133">
        <v>0</v>
      </c>
      <c r="T24" s="133">
        <v>0</v>
      </c>
      <c r="U24" s="133">
        <v>0</v>
      </c>
      <c r="V24" s="133">
        <v>0</v>
      </c>
      <c r="W24" s="133">
        <v>0</v>
      </c>
      <c r="X24" s="133">
        <v>0</v>
      </c>
      <c r="Y24" s="133"/>
      <c r="Z24" s="133"/>
      <c r="AA24" s="133"/>
      <c r="AB24" s="133"/>
      <c r="AC24" s="133"/>
      <c r="AD24" s="133"/>
      <c r="AE24" s="133"/>
      <c r="AF24" s="133"/>
      <c r="AG24" s="133"/>
      <c r="AH24" s="133"/>
      <c r="AI24" s="133"/>
      <c r="AJ24" s="133"/>
      <c r="AK24" s="133"/>
      <c r="AL24" s="133"/>
      <c r="AM24" s="133"/>
      <c r="AN24" s="133"/>
      <c r="AO24" s="133"/>
      <c r="AP24" s="133"/>
      <c r="AQ24" s="133"/>
      <c r="AR24" s="133"/>
      <c r="AS24" s="133"/>
      <c r="AT24" s="133"/>
    </row>
    <row r="25" spans="1:46" s="132" customFormat="1" ht="15" customHeight="1">
      <c r="A25" s="390">
        <f t="shared" si="2"/>
        <v>10</v>
      </c>
      <c r="B25" s="133" t="s">
        <v>1554</v>
      </c>
      <c r="C25" s="133"/>
      <c r="D25" s="167">
        <f>R25</f>
        <v>0</v>
      </c>
      <c r="E25" s="145">
        <v>0</v>
      </c>
      <c r="F25" s="167">
        <f>S25</f>
        <v>0</v>
      </c>
      <c r="G25" s="145">
        <v>0</v>
      </c>
      <c r="H25" s="167">
        <f t="shared" si="3"/>
        <v>0</v>
      </c>
      <c r="I25" s="145">
        <v>0</v>
      </c>
      <c r="J25" s="167">
        <f t="shared" si="4"/>
        <v>0</v>
      </c>
      <c r="K25" s="145">
        <v>0</v>
      </c>
      <c r="L25" s="167">
        <f t="shared" si="5"/>
        <v>0</v>
      </c>
      <c r="M25" s="145">
        <v>0</v>
      </c>
      <c r="N25" s="167">
        <f t="shared" si="6"/>
        <v>0</v>
      </c>
      <c r="O25" s="145">
        <v>0</v>
      </c>
      <c r="P25" s="167">
        <f t="shared" si="7"/>
        <v>0</v>
      </c>
      <c r="Q25" s="147"/>
      <c r="R25" s="133">
        <v>0</v>
      </c>
      <c r="S25" s="133">
        <v>0</v>
      </c>
      <c r="T25" s="133">
        <v>0</v>
      </c>
      <c r="U25" s="133">
        <v>0</v>
      </c>
      <c r="V25" s="133">
        <v>0</v>
      </c>
      <c r="W25" s="133">
        <v>0</v>
      </c>
      <c r="X25" s="133">
        <v>0</v>
      </c>
      <c r="Y25" s="133"/>
      <c r="Z25" s="133"/>
      <c r="AA25" s="133"/>
      <c r="AB25" s="133"/>
      <c r="AC25" s="133"/>
      <c r="AD25" s="133"/>
      <c r="AE25" s="133"/>
      <c r="AF25" s="133"/>
      <c r="AG25" s="133"/>
      <c r="AH25" s="133"/>
      <c r="AI25" s="133"/>
      <c r="AJ25" s="133"/>
      <c r="AK25" s="133"/>
      <c r="AL25" s="133"/>
      <c r="AM25" s="133"/>
      <c r="AN25" s="133"/>
      <c r="AO25" s="133"/>
      <c r="AP25" s="133"/>
      <c r="AQ25" s="133"/>
      <c r="AR25" s="133"/>
      <c r="AS25" s="133"/>
      <c r="AT25" s="133"/>
    </row>
    <row r="26" spans="1:46" s="132" customFormat="1" ht="15" customHeight="1">
      <c r="A26" s="390">
        <f t="shared" si="2"/>
        <v>11</v>
      </c>
      <c r="B26" s="133" t="s">
        <v>1555</v>
      </c>
      <c r="C26" s="133"/>
      <c r="D26" s="167">
        <f>R26</f>
        <v>0</v>
      </c>
      <c r="E26" s="145">
        <v>0</v>
      </c>
      <c r="F26" s="167">
        <f>S26</f>
        <v>0</v>
      </c>
      <c r="G26" s="145">
        <v>0</v>
      </c>
      <c r="H26" s="167">
        <f t="shared" si="3"/>
        <v>0</v>
      </c>
      <c r="I26" s="145">
        <v>0</v>
      </c>
      <c r="J26" s="167">
        <f t="shared" si="4"/>
        <v>0</v>
      </c>
      <c r="K26" s="145">
        <v>0</v>
      </c>
      <c r="L26" s="167">
        <f t="shared" si="5"/>
        <v>0</v>
      </c>
      <c r="M26" s="145">
        <v>0</v>
      </c>
      <c r="N26" s="167">
        <f t="shared" si="6"/>
        <v>0</v>
      </c>
      <c r="O26" s="145">
        <v>0</v>
      </c>
      <c r="P26" s="167">
        <f t="shared" si="7"/>
        <v>0</v>
      </c>
      <c r="Q26" s="147"/>
      <c r="R26" s="133">
        <v>0</v>
      </c>
      <c r="S26" s="133">
        <v>0</v>
      </c>
      <c r="T26" s="133">
        <v>0</v>
      </c>
      <c r="U26" s="133">
        <v>0</v>
      </c>
      <c r="V26" s="133">
        <v>0</v>
      </c>
      <c r="W26" s="133">
        <v>0</v>
      </c>
      <c r="X26" s="133">
        <v>0</v>
      </c>
      <c r="Y26" s="133"/>
      <c r="Z26" s="133"/>
      <c r="AA26" s="133"/>
      <c r="AB26" s="133"/>
      <c r="AC26" s="133"/>
      <c r="AD26" s="133"/>
      <c r="AE26" s="133"/>
      <c r="AF26" s="133"/>
      <c r="AG26" s="133"/>
      <c r="AH26" s="133"/>
      <c r="AI26" s="133"/>
      <c r="AJ26" s="133"/>
      <c r="AK26" s="133"/>
      <c r="AL26" s="133"/>
      <c r="AM26" s="133"/>
      <c r="AN26" s="133"/>
      <c r="AO26" s="133"/>
      <c r="AP26" s="133"/>
      <c r="AQ26" s="133"/>
      <c r="AR26" s="133"/>
      <c r="AS26" s="133"/>
      <c r="AT26" s="133"/>
    </row>
    <row r="27" spans="1:46" s="132" customFormat="1" ht="15" customHeight="1">
      <c r="A27" s="390">
        <f t="shared" si="2"/>
        <v>12</v>
      </c>
      <c r="B27" s="133" t="s">
        <v>1556</v>
      </c>
      <c r="C27" s="133"/>
      <c r="D27" s="171">
        <f>R27</f>
        <v>0</v>
      </c>
      <c r="E27" s="145">
        <v>0</v>
      </c>
      <c r="F27" s="171">
        <f>S27</f>
        <v>0</v>
      </c>
      <c r="G27" s="145">
        <v>0</v>
      </c>
      <c r="H27" s="171">
        <f t="shared" si="3"/>
        <v>0</v>
      </c>
      <c r="I27" s="145">
        <v>0</v>
      </c>
      <c r="J27" s="171">
        <f t="shared" si="4"/>
        <v>0</v>
      </c>
      <c r="K27" s="145">
        <v>0</v>
      </c>
      <c r="L27" s="171">
        <f t="shared" si="5"/>
        <v>0</v>
      </c>
      <c r="M27" s="145">
        <v>0</v>
      </c>
      <c r="N27" s="171">
        <f t="shared" si="6"/>
        <v>0</v>
      </c>
      <c r="O27" s="145">
        <v>0</v>
      </c>
      <c r="P27" s="171">
        <f t="shared" si="7"/>
        <v>0</v>
      </c>
      <c r="Q27" s="147"/>
      <c r="R27" s="133">
        <v>0</v>
      </c>
      <c r="S27" s="133">
        <v>0</v>
      </c>
      <c r="T27" s="133">
        <v>0</v>
      </c>
      <c r="U27" s="133">
        <v>0</v>
      </c>
      <c r="V27" s="133">
        <v>0</v>
      </c>
      <c r="W27" s="133">
        <v>0</v>
      </c>
      <c r="X27" s="133">
        <v>0</v>
      </c>
      <c r="Y27" s="133"/>
      <c r="Z27" s="133"/>
      <c r="AA27" s="133"/>
      <c r="AB27" s="133"/>
      <c r="AC27" s="133"/>
      <c r="AD27" s="133"/>
      <c r="AE27" s="133"/>
      <c r="AF27" s="133"/>
      <c r="AG27" s="133"/>
      <c r="AH27" s="133"/>
      <c r="AI27" s="133"/>
      <c r="AJ27" s="133"/>
      <c r="AK27" s="133"/>
      <c r="AL27" s="133"/>
      <c r="AM27" s="133"/>
      <c r="AN27" s="133"/>
      <c r="AO27" s="133"/>
      <c r="AP27" s="133"/>
      <c r="AQ27" s="133"/>
      <c r="AR27" s="133"/>
      <c r="AS27" s="133"/>
      <c r="AT27" s="133"/>
    </row>
    <row r="28" spans="1:46" s="132" customFormat="1" ht="15" customHeight="1">
      <c r="A28" s="390">
        <f t="shared" si="2"/>
        <v>13</v>
      </c>
      <c r="B28" s="133" t="s">
        <v>1557</v>
      </c>
      <c r="C28" s="133"/>
      <c r="D28" s="166">
        <f>SUM(D24:D27)</f>
        <v>0</v>
      </c>
      <c r="E28" s="145">
        <v>0</v>
      </c>
      <c r="F28" s="166">
        <f>SUM(F24:F27)</f>
        <v>0</v>
      </c>
      <c r="G28" s="145">
        <v>0</v>
      </c>
      <c r="H28" s="166">
        <f>SUM(H24:H27)</f>
        <v>0</v>
      </c>
      <c r="I28" s="145">
        <v>0</v>
      </c>
      <c r="J28" s="166">
        <f>SUM(J24:J27)</f>
        <v>0</v>
      </c>
      <c r="K28" s="145">
        <v>0</v>
      </c>
      <c r="L28" s="166">
        <f>SUM(L24:L27)</f>
        <v>0</v>
      </c>
      <c r="M28" s="145">
        <v>0</v>
      </c>
      <c r="N28" s="166">
        <f>SUM(N24:N27)</f>
        <v>0</v>
      </c>
      <c r="O28" s="145">
        <v>0</v>
      </c>
      <c r="P28" s="166">
        <f>SUM(P24:P27)</f>
        <v>0</v>
      </c>
      <c r="Q28" s="133"/>
      <c r="R28" s="133"/>
      <c r="S28" s="133"/>
      <c r="T28" s="133"/>
      <c r="U28" s="133"/>
      <c r="V28" s="133"/>
      <c r="W28" s="133"/>
      <c r="X28" s="133"/>
      <c r="Y28" s="133"/>
      <c r="Z28" s="133"/>
      <c r="AA28" s="133"/>
      <c r="AB28" s="133"/>
      <c r="AC28" s="133"/>
      <c r="AD28" s="133"/>
      <c r="AE28" s="133"/>
      <c r="AF28" s="133"/>
      <c r="AG28" s="133"/>
      <c r="AH28" s="133"/>
      <c r="AI28" s="133"/>
      <c r="AJ28" s="133"/>
      <c r="AK28" s="133"/>
      <c r="AL28" s="133"/>
      <c r="AM28" s="133"/>
      <c r="AN28" s="133"/>
      <c r="AO28" s="133"/>
      <c r="AP28" s="133"/>
      <c r="AQ28" s="133"/>
      <c r="AR28" s="133"/>
      <c r="AS28" s="133"/>
      <c r="AT28" s="133"/>
    </row>
    <row r="29" spans="1:46" s="132" customFormat="1" ht="15" customHeight="1">
      <c r="A29" s="390"/>
      <c r="B29" s="133"/>
      <c r="C29" s="133"/>
      <c r="D29" s="165"/>
      <c r="E29" s="160"/>
      <c r="F29" s="165"/>
      <c r="G29" s="160"/>
      <c r="H29" s="165"/>
      <c r="I29" s="160"/>
      <c r="J29" s="159"/>
      <c r="K29" s="160"/>
      <c r="L29" s="159"/>
      <c r="M29" s="160"/>
      <c r="N29" s="159"/>
      <c r="O29" s="160"/>
      <c r="P29" s="159"/>
      <c r="Q29" s="133"/>
      <c r="R29" s="133"/>
      <c r="S29" s="133"/>
      <c r="T29" s="133"/>
      <c r="U29" s="133"/>
      <c r="V29" s="133"/>
      <c r="W29" s="133"/>
      <c r="X29" s="133"/>
      <c r="Y29" s="133"/>
      <c r="Z29" s="133"/>
      <c r="AA29" s="133"/>
      <c r="AB29" s="133"/>
      <c r="AC29" s="133"/>
      <c r="AD29" s="133"/>
      <c r="AE29" s="133"/>
      <c r="AF29" s="133"/>
      <c r="AG29" s="133"/>
      <c r="AH29" s="133"/>
      <c r="AI29" s="133"/>
      <c r="AJ29" s="133"/>
      <c r="AK29" s="133"/>
      <c r="AL29" s="133"/>
      <c r="AM29" s="133"/>
      <c r="AN29" s="133"/>
      <c r="AO29" s="133"/>
      <c r="AP29" s="133"/>
      <c r="AQ29" s="133"/>
      <c r="AR29" s="133"/>
      <c r="AS29" s="133"/>
      <c r="AT29" s="133"/>
    </row>
    <row r="30" spans="1:46" s="132" customFormat="1" ht="15" customHeight="1">
      <c r="A30" s="390">
        <f>A28+1</f>
        <v>14</v>
      </c>
      <c r="B30" s="144" t="s">
        <v>1490</v>
      </c>
      <c r="C30" s="133"/>
      <c r="D30" s="164"/>
      <c r="E30" s="158"/>
      <c r="F30" s="164"/>
      <c r="G30" s="158"/>
      <c r="H30" s="164"/>
      <c r="I30" s="158"/>
      <c r="J30" s="159"/>
      <c r="K30" s="158"/>
      <c r="L30" s="159"/>
      <c r="M30" s="158"/>
      <c r="N30" s="159"/>
      <c r="O30" s="158"/>
      <c r="P30" s="159"/>
      <c r="Q30" s="133"/>
      <c r="R30" s="133"/>
      <c r="S30" s="133"/>
      <c r="T30" s="133"/>
      <c r="U30" s="133"/>
      <c r="V30" s="133"/>
      <c r="W30" s="133"/>
      <c r="X30" s="133"/>
      <c r="Y30" s="133"/>
      <c r="Z30" s="133"/>
      <c r="AA30" s="133"/>
      <c r="AB30" s="133"/>
      <c r="AC30" s="133"/>
      <c r="AD30" s="133"/>
      <c r="AE30" s="133"/>
      <c r="AF30" s="133"/>
      <c r="AG30" s="133"/>
      <c r="AH30" s="133"/>
      <c r="AI30" s="133"/>
      <c r="AJ30" s="133"/>
      <c r="AK30" s="133"/>
      <c r="AL30" s="133"/>
      <c r="AM30" s="133"/>
      <c r="AN30" s="133"/>
      <c r="AO30" s="133"/>
      <c r="AP30" s="133"/>
      <c r="AQ30" s="133"/>
      <c r="AR30" s="133"/>
      <c r="AS30" s="133"/>
      <c r="AT30" s="133"/>
    </row>
    <row r="31" spans="1:46" s="132" customFormat="1" ht="15" customHeight="1">
      <c r="A31" s="390">
        <f t="shared" ref="A31:A47" si="8">A30+1</f>
        <v>15</v>
      </c>
      <c r="B31" s="133" t="s">
        <v>1558</v>
      </c>
      <c r="C31" s="133"/>
      <c r="D31" s="170">
        <f t="shared" ref="D31:D46" si="9">R31</f>
        <v>4464000</v>
      </c>
      <c r="E31" s="145">
        <f t="shared" ref="E31:O47" si="10">(+D31-F31)/F31</f>
        <v>2.0202020202020202E-3</v>
      </c>
      <c r="F31" s="170">
        <f t="shared" ref="F31:F46" si="11">S31</f>
        <v>4455000</v>
      </c>
      <c r="G31" s="145">
        <f t="shared" si="10"/>
        <v>-0.29871476691041904</v>
      </c>
      <c r="H31" s="170">
        <f t="shared" ref="H31:H46" si="12">T31</f>
        <v>6352622</v>
      </c>
      <c r="I31" s="145">
        <f t="shared" si="10"/>
        <v>1.9548800743144919E-2</v>
      </c>
      <c r="J31" s="170">
        <f t="shared" ref="J31:J46" si="13">U31</f>
        <v>6230817</v>
      </c>
      <c r="K31" s="145">
        <f t="shared" si="10"/>
        <v>0.4176006512372461</v>
      </c>
      <c r="L31" s="170">
        <f t="shared" ref="L31:L46" si="14">V31</f>
        <v>4395326</v>
      </c>
      <c r="M31" s="145">
        <f t="shared" si="10"/>
        <v>-0.30079328225923579</v>
      </c>
      <c r="N31" s="170">
        <f t="shared" ref="N31:N46" si="15">W31</f>
        <v>6286161</v>
      </c>
      <c r="O31" s="145">
        <f t="shared" si="10"/>
        <v>-0.76881548627365148</v>
      </c>
      <c r="P31" s="170">
        <f t="shared" ref="P31:P46" si="16">X31</f>
        <v>27191099</v>
      </c>
      <c r="Q31" s="133"/>
      <c r="R31" s="133">
        <v>4464000</v>
      </c>
      <c r="S31" s="133">
        <v>4455000</v>
      </c>
      <c r="T31" s="133">
        <v>6352622</v>
      </c>
      <c r="U31" s="133">
        <v>6230817</v>
      </c>
      <c r="V31" s="133">
        <v>4395326</v>
      </c>
      <c r="W31" s="133">
        <v>6286161</v>
      </c>
      <c r="X31" s="133">
        <v>27191099</v>
      </c>
      <c r="Y31" s="133"/>
      <c r="Z31" s="133"/>
      <c r="AA31" s="133"/>
      <c r="AB31" s="133"/>
      <c r="AC31" s="133"/>
      <c r="AD31" s="133"/>
      <c r="AE31" s="133"/>
      <c r="AF31" s="133"/>
      <c r="AG31" s="133"/>
      <c r="AH31" s="133"/>
      <c r="AI31" s="133"/>
      <c r="AJ31" s="133"/>
      <c r="AK31" s="133"/>
      <c r="AL31" s="133"/>
      <c r="AM31" s="133"/>
      <c r="AN31" s="133"/>
      <c r="AO31" s="133"/>
      <c r="AP31" s="133"/>
      <c r="AQ31" s="133"/>
      <c r="AR31" s="133"/>
      <c r="AS31" s="133"/>
      <c r="AT31" s="133"/>
    </row>
    <row r="32" spans="1:46" s="132" customFormat="1" ht="15" customHeight="1">
      <c r="A32" s="390">
        <f t="shared" si="8"/>
        <v>16</v>
      </c>
      <c r="B32" s="133" t="s">
        <v>1559</v>
      </c>
      <c r="C32" s="133"/>
      <c r="D32" s="167">
        <f t="shared" si="9"/>
        <v>0</v>
      </c>
      <c r="E32" s="145">
        <v>0</v>
      </c>
      <c r="F32" s="167">
        <f t="shared" si="11"/>
        <v>0</v>
      </c>
      <c r="G32" s="145">
        <v>0</v>
      </c>
      <c r="H32" s="167">
        <f t="shared" si="12"/>
        <v>0</v>
      </c>
      <c r="I32" s="145">
        <v>0</v>
      </c>
      <c r="J32" s="167">
        <f t="shared" si="13"/>
        <v>0</v>
      </c>
      <c r="K32" s="145">
        <v>0</v>
      </c>
      <c r="L32" s="167">
        <f t="shared" si="14"/>
        <v>0</v>
      </c>
      <c r="M32" s="145">
        <v>0</v>
      </c>
      <c r="N32" s="167">
        <f t="shared" si="15"/>
        <v>0</v>
      </c>
      <c r="O32" s="145">
        <v>-1</v>
      </c>
      <c r="P32" s="167">
        <f t="shared" si="16"/>
        <v>39786</v>
      </c>
      <c r="Q32" s="133"/>
      <c r="R32" s="133">
        <v>0</v>
      </c>
      <c r="S32" s="133">
        <v>0</v>
      </c>
      <c r="T32" s="133">
        <v>0</v>
      </c>
      <c r="U32" s="133">
        <v>0</v>
      </c>
      <c r="V32" s="133">
        <v>0</v>
      </c>
      <c r="W32" s="133">
        <v>0</v>
      </c>
      <c r="X32" s="133">
        <v>39786</v>
      </c>
      <c r="Y32" s="133"/>
      <c r="Z32" s="133"/>
      <c r="AA32" s="133"/>
      <c r="AB32" s="133"/>
      <c r="AC32" s="133"/>
      <c r="AD32" s="133"/>
      <c r="AE32" s="133"/>
      <c r="AF32" s="133"/>
      <c r="AG32" s="133"/>
      <c r="AH32" s="133"/>
      <c r="AI32" s="133"/>
      <c r="AJ32" s="133"/>
      <c r="AK32" s="133"/>
      <c r="AL32" s="133"/>
      <c r="AM32" s="133"/>
      <c r="AN32" s="133"/>
      <c r="AO32" s="133"/>
      <c r="AP32" s="133"/>
      <c r="AQ32" s="133"/>
      <c r="AR32" s="133"/>
      <c r="AS32" s="133"/>
      <c r="AT32" s="133"/>
    </row>
    <row r="33" spans="1:46" s="132" customFormat="1" ht="15" customHeight="1">
      <c r="A33" s="390">
        <f t="shared" si="8"/>
        <v>17</v>
      </c>
      <c r="B33" s="133" t="s">
        <v>1560</v>
      </c>
      <c r="C33" s="133"/>
      <c r="D33" s="167">
        <f t="shared" si="9"/>
        <v>54488</v>
      </c>
      <c r="E33" s="145">
        <f t="shared" si="10"/>
        <v>2.0228768987458163E-3</v>
      </c>
      <c r="F33" s="167">
        <f t="shared" si="11"/>
        <v>54378</v>
      </c>
      <c r="G33" s="145">
        <f t="shared" si="10"/>
        <v>1.5840271126501143E-3</v>
      </c>
      <c r="H33" s="167">
        <f t="shared" si="12"/>
        <v>54292</v>
      </c>
      <c r="I33" s="145">
        <f t="shared" si="10"/>
        <v>6.8196479587134828E-4</v>
      </c>
      <c r="J33" s="167">
        <f t="shared" si="13"/>
        <v>54255</v>
      </c>
      <c r="K33" s="145">
        <f t="shared" si="10"/>
        <v>0.6005369048321435</v>
      </c>
      <c r="L33" s="167">
        <f t="shared" si="14"/>
        <v>33898</v>
      </c>
      <c r="M33" s="145">
        <f t="shared" si="10"/>
        <v>2.4248876271587413E-3</v>
      </c>
      <c r="N33" s="167">
        <f t="shared" si="15"/>
        <v>33816</v>
      </c>
      <c r="O33" s="145">
        <f t="shared" si="10"/>
        <v>-9.1710861730493129E-3</v>
      </c>
      <c r="P33" s="167">
        <f t="shared" si="16"/>
        <v>34129</v>
      </c>
      <c r="Q33" s="147"/>
      <c r="R33" s="133">
        <v>54488</v>
      </c>
      <c r="S33" s="133">
        <v>54378</v>
      </c>
      <c r="T33" s="133">
        <v>54292</v>
      </c>
      <c r="U33" s="133">
        <v>54255</v>
      </c>
      <c r="V33" s="133">
        <v>33898</v>
      </c>
      <c r="W33" s="133">
        <v>33816</v>
      </c>
      <c r="X33" s="133">
        <v>34129</v>
      </c>
      <c r="Y33" s="133"/>
      <c r="Z33" s="133"/>
      <c r="AA33" s="133"/>
      <c r="AB33" s="133"/>
      <c r="AC33" s="133"/>
      <c r="AD33" s="133"/>
      <c r="AE33" s="133"/>
      <c r="AF33" s="133"/>
      <c r="AG33" s="133"/>
      <c r="AH33" s="133"/>
      <c r="AI33" s="133"/>
      <c r="AJ33" s="133"/>
      <c r="AK33" s="133"/>
      <c r="AL33" s="133"/>
      <c r="AM33" s="133"/>
      <c r="AN33" s="133"/>
      <c r="AO33" s="133"/>
      <c r="AP33" s="133"/>
      <c r="AQ33" s="133"/>
      <c r="AR33" s="133"/>
      <c r="AS33" s="133"/>
      <c r="AT33" s="133"/>
    </row>
    <row r="34" spans="1:46" s="132" customFormat="1" ht="15" customHeight="1">
      <c r="A34" s="390">
        <f t="shared" si="8"/>
        <v>18</v>
      </c>
      <c r="B34" s="133" t="s">
        <v>1561</v>
      </c>
      <c r="C34" s="133"/>
      <c r="D34" s="167">
        <f t="shared" si="9"/>
        <v>0</v>
      </c>
      <c r="E34" s="145">
        <f t="shared" si="10"/>
        <v>-1</v>
      </c>
      <c r="F34" s="167">
        <f t="shared" si="11"/>
        <v>8048847</v>
      </c>
      <c r="G34" s="145">
        <f t="shared" si="10"/>
        <v>1.1273694493473458</v>
      </c>
      <c r="H34" s="167">
        <f t="shared" si="12"/>
        <v>3783474</v>
      </c>
      <c r="I34" s="145">
        <f t="shared" si="10"/>
        <v>4.6512380518776084E-2</v>
      </c>
      <c r="J34" s="167">
        <f t="shared" si="13"/>
        <v>3615317</v>
      </c>
      <c r="K34" s="145">
        <f t="shared" si="10"/>
        <v>-0.73748240324206582</v>
      </c>
      <c r="L34" s="167">
        <f t="shared" si="14"/>
        <v>13771713</v>
      </c>
      <c r="M34" s="145">
        <f t="shared" si="10"/>
        <v>0.14773370789635079</v>
      </c>
      <c r="N34" s="167">
        <f t="shared" si="15"/>
        <v>11999049</v>
      </c>
      <c r="O34" s="145">
        <f t="shared" si="10"/>
        <v>313.19347996857817</v>
      </c>
      <c r="P34" s="167">
        <f t="shared" si="16"/>
        <v>38190</v>
      </c>
      <c r="Q34" s="147"/>
      <c r="R34" s="133">
        <v>0</v>
      </c>
      <c r="S34" s="133">
        <v>8048847</v>
      </c>
      <c r="T34" s="133">
        <v>3783474</v>
      </c>
      <c r="U34" s="133">
        <v>3615317</v>
      </c>
      <c r="V34" s="133">
        <v>13771713</v>
      </c>
      <c r="W34" s="133">
        <v>11999049</v>
      </c>
      <c r="X34" s="133">
        <v>38190</v>
      </c>
      <c r="Y34" s="133"/>
      <c r="Z34" s="133"/>
      <c r="AA34" s="133"/>
      <c r="AB34" s="133"/>
      <c r="AC34" s="133"/>
      <c r="AD34" s="133"/>
      <c r="AE34" s="133"/>
      <c r="AF34" s="133"/>
      <c r="AG34" s="133"/>
      <c r="AH34" s="133"/>
      <c r="AI34" s="133"/>
      <c r="AJ34" s="133"/>
      <c r="AK34" s="133"/>
      <c r="AL34" s="133"/>
      <c r="AM34" s="133"/>
      <c r="AN34" s="133"/>
      <c r="AO34" s="133"/>
      <c r="AP34" s="133"/>
      <c r="AQ34" s="133"/>
      <c r="AR34" s="133"/>
      <c r="AS34" s="133"/>
      <c r="AT34" s="133"/>
    </row>
    <row r="35" spans="1:46" s="132" customFormat="1" ht="15" customHeight="1">
      <c r="A35" s="390">
        <f t="shared" si="8"/>
        <v>19</v>
      </c>
      <c r="B35" s="133" t="s">
        <v>1562</v>
      </c>
      <c r="C35" s="133"/>
      <c r="D35" s="167">
        <f t="shared" si="9"/>
        <v>109866139</v>
      </c>
      <c r="E35" s="145">
        <f t="shared" si="10"/>
        <v>-5.4029529384978854E-2</v>
      </c>
      <c r="F35" s="167">
        <f t="shared" si="11"/>
        <v>116141193</v>
      </c>
      <c r="G35" s="145">
        <f t="shared" si="10"/>
        <v>0.12115131562342979</v>
      </c>
      <c r="H35" s="167">
        <f t="shared" si="12"/>
        <v>103591006.3</v>
      </c>
      <c r="I35" s="145">
        <f t="shared" si="10"/>
        <v>-0.14755848374727956</v>
      </c>
      <c r="J35" s="167">
        <f t="shared" si="13"/>
        <v>121522713.67</v>
      </c>
      <c r="K35" s="145">
        <f t="shared" si="10"/>
        <v>0.14422278450481338</v>
      </c>
      <c r="L35" s="167">
        <f t="shared" si="14"/>
        <v>106205465.68000001</v>
      </c>
      <c r="M35" s="145">
        <f t="shared" si="10"/>
        <v>0.77759019695090659</v>
      </c>
      <c r="N35" s="167">
        <f t="shared" si="15"/>
        <v>59746878.590000004</v>
      </c>
      <c r="O35" s="145">
        <f t="shared" si="10"/>
        <v>2.9063188463523404E-2</v>
      </c>
      <c r="P35" s="167">
        <f t="shared" si="16"/>
        <v>58059484.840000004</v>
      </c>
      <c r="Q35" s="133"/>
      <c r="R35" s="133">
        <v>109866139</v>
      </c>
      <c r="S35" s="133">
        <v>116141193</v>
      </c>
      <c r="T35" s="133">
        <v>103591006.3</v>
      </c>
      <c r="U35" s="133">
        <v>121522713.67</v>
      </c>
      <c r="V35" s="133">
        <v>106205465.68000001</v>
      </c>
      <c r="W35" s="133">
        <v>59746878.590000004</v>
      </c>
      <c r="X35" s="133">
        <v>58059484.840000004</v>
      </c>
      <c r="Y35" s="133"/>
      <c r="Z35" s="133"/>
      <c r="AA35" s="133"/>
      <c r="AB35" s="133"/>
      <c r="AC35" s="133"/>
      <c r="AD35" s="133"/>
      <c r="AE35" s="133"/>
      <c r="AF35" s="133"/>
      <c r="AG35" s="133"/>
      <c r="AH35" s="133"/>
      <c r="AI35" s="133"/>
      <c r="AJ35" s="133"/>
      <c r="AK35" s="133"/>
      <c r="AL35" s="133"/>
      <c r="AM35" s="133"/>
      <c r="AN35" s="133"/>
      <c r="AO35" s="133"/>
      <c r="AP35" s="133"/>
      <c r="AQ35" s="133"/>
      <c r="AR35" s="133"/>
      <c r="AS35" s="133"/>
      <c r="AT35" s="133"/>
    </row>
    <row r="36" spans="1:46" s="132" customFormat="1" ht="15" customHeight="1">
      <c r="A36" s="390">
        <f t="shared" si="8"/>
        <v>20</v>
      </c>
      <c r="B36" s="133" t="s">
        <v>1563</v>
      </c>
      <c r="C36" s="133"/>
      <c r="D36" s="167">
        <f t="shared" si="9"/>
        <v>3362761</v>
      </c>
      <c r="E36" s="145">
        <f t="shared" si="10"/>
        <v>2.0202736547078187E-3</v>
      </c>
      <c r="F36" s="167">
        <f t="shared" si="11"/>
        <v>3355981</v>
      </c>
      <c r="G36" s="145">
        <f t="shared" si="10"/>
        <v>-0.52189916517081236</v>
      </c>
      <c r="H36" s="167">
        <f t="shared" si="12"/>
        <v>7019400</v>
      </c>
      <c r="I36" s="145">
        <f t="shared" si="10"/>
        <v>0.40788063360846183</v>
      </c>
      <c r="J36" s="167">
        <f t="shared" si="13"/>
        <v>4985792</v>
      </c>
      <c r="K36" s="145">
        <f t="shared" si="10"/>
        <v>-0.49336608063294285</v>
      </c>
      <c r="L36" s="167">
        <f t="shared" si="14"/>
        <v>9841015</v>
      </c>
      <c r="M36" s="145">
        <f t="shared" si="10"/>
        <v>-9.0771805228668553E-2</v>
      </c>
      <c r="N36" s="167">
        <f t="shared" si="15"/>
        <v>10823482</v>
      </c>
      <c r="O36" s="145">
        <f t="shared" si="10"/>
        <v>-9.654244838530536E-2</v>
      </c>
      <c r="P36" s="167">
        <f t="shared" si="16"/>
        <v>11980067</v>
      </c>
      <c r="Q36" s="147"/>
      <c r="R36" s="133">
        <v>3362761</v>
      </c>
      <c r="S36" s="133">
        <v>3355981</v>
      </c>
      <c r="T36" s="133">
        <v>7019400</v>
      </c>
      <c r="U36" s="133">
        <v>4985792</v>
      </c>
      <c r="V36" s="133">
        <v>9841015</v>
      </c>
      <c r="W36" s="133">
        <v>10823482</v>
      </c>
      <c r="X36" s="133">
        <v>11980067</v>
      </c>
      <c r="Y36" s="133"/>
      <c r="Z36" s="133"/>
      <c r="AA36" s="133"/>
      <c r="AB36" s="133"/>
      <c r="AC36" s="133"/>
      <c r="AD36" s="133"/>
      <c r="AE36" s="133"/>
      <c r="AF36" s="133"/>
      <c r="AG36" s="133"/>
      <c r="AH36" s="133"/>
      <c r="AI36" s="133"/>
      <c r="AJ36" s="133"/>
      <c r="AK36" s="133"/>
      <c r="AL36" s="133"/>
      <c r="AM36" s="133"/>
      <c r="AN36" s="133"/>
      <c r="AO36" s="133"/>
      <c r="AP36" s="133"/>
      <c r="AQ36" s="133"/>
      <c r="AR36" s="133"/>
      <c r="AS36" s="133"/>
      <c r="AT36" s="133"/>
    </row>
    <row r="37" spans="1:46" s="132" customFormat="1" ht="15" customHeight="1">
      <c r="A37" s="390">
        <f t="shared" si="8"/>
        <v>21</v>
      </c>
      <c r="B37" s="133" t="s">
        <v>1564</v>
      </c>
      <c r="C37" s="149"/>
      <c r="D37" s="167">
        <f t="shared" si="9"/>
        <v>1604271</v>
      </c>
      <c r="E37" s="145">
        <f t="shared" si="10"/>
        <v>2.0199408258522447E-3</v>
      </c>
      <c r="F37" s="167">
        <f t="shared" si="11"/>
        <v>1601037</v>
      </c>
      <c r="G37" s="145">
        <f t="shared" si="10"/>
        <v>-1.7621656247929138E-2</v>
      </c>
      <c r="H37" s="167">
        <f t="shared" si="12"/>
        <v>1629756</v>
      </c>
      <c r="I37" s="145">
        <f t="shared" si="10"/>
        <v>-0.24171049197093131</v>
      </c>
      <c r="J37" s="167">
        <f t="shared" si="13"/>
        <v>2149253</v>
      </c>
      <c r="K37" s="145">
        <f t="shared" si="10"/>
        <v>-0.44275767479183653</v>
      </c>
      <c r="L37" s="167">
        <f t="shared" si="14"/>
        <v>3856945</v>
      </c>
      <c r="M37" s="145">
        <f t="shared" si="10"/>
        <v>0.91993932964937331</v>
      </c>
      <c r="N37" s="167">
        <f t="shared" si="15"/>
        <v>2008889</v>
      </c>
      <c r="O37" s="145">
        <f t="shared" si="10"/>
        <v>0.14622640163732853</v>
      </c>
      <c r="P37" s="167">
        <f t="shared" si="16"/>
        <v>1752611</v>
      </c>
      <c r="Q37" s="147"/>
      <c r="R37" s="133">
        <v>1604271</v>
      </c>
      <c r="S37" s="133">
        <v>1601037</v>
      </c>
      <c r="T37" s="133">
        <v>1629756</v>
      </c>
      <c r="U37" s="133">
        <v>2149253</v>
      </c>
      <c r="V37" s="133">
        <v>3856945</v>
      </c>
      <c r="W37" s="133">
        <v>2008889</v>
      </c>
      <c r="X37" s="133">
        <v>1752611</v>
      </c>
      <c r="Y37" s="133"/>
      <c r="Z37" s="133"/>
      <c r="AA37" s="133"/>
      <c r="AB37" s="133"/>
      <c r="AC37" s="133"/>
      <c r="AD37" s="133"/>
      <c r="AE37" s="133"/>
      <c r="AF37" s="133"/>
      <c r="AG37" s="133"/>
      <c r="AH37" s="133"/>
      <c r="AI37" s="133"/>
      <c r="AJ37" s="133"/>
      <c r="AK37" s="133"/>
      <c r="AL37" s="133"/>
      <c r="AM37" s="133"/>
      <c r="AN37" s="133"/>
      <c r="AO37" s="133"/>
      <c r="AP37" s="133"/>
      <c r="AQ37" s="133"/>
      <c r="AR37" s="133"/>
      <c r="AS37" s="133"/>
      <c r="AT37" s="133"/>
    </row>
    <row r="38" spans="1:46" s="132" customFormat="1" ht="15" customHeight="1">
      <c r="A38" s="390">
        <f t="shared" si="8"/>
        <v>22</v>
      </c>
      <c r="B38" s="133" t="s">
        <v>1565</v>
      </c>
      <c r="C38" s="133"/>
      <c r="D38" s="167">
        <f t="shared" si="9"/>
        <v>3916129</v>
      </c>
      <c r="E38" s="145">
        <f t="shared" si="10"/>
        <v>4.6391156844618395</v>
      </c>
      <c r="F38" s="167">
        <f t="shared" si="11"/>
        <v>694458</v>
      </c>
      <c r="G38" s="145">
        <f t="shared" si="10"/>
        <v>-9.1633497402921857E-2</v>
      </c>
      <c r="H38" s="167">
        <f t="shared" si="12"/>
        <v>764513</v>
      </c>
      <c r="I38" s="145">
        <f t="shared" si="10"/>
        <v>-0.98581959676886688</v>
      </c>
      <c r="J38" s="167">
        <f t="shared" si="13"/>
        <v>53913347</v>
      </c>
      <c r="K38" s="145">
        <f t="shared" si="10"/>
        <v>922.31604185576543</v>
      </c>
      <c r="L38" s="167">
        <f t="shared" si="14"/>
        <v>58391</v>
      </c>
      <c r="M38" s="145">
        <f t="shared" si="10"/>
        <v>-0.99127577405075051</v>
      </c>
      <c r="N38" s="167">
        <f t="shared" si="15"/>
        <v>6692972</v>
      </c>
      <c r="O38" s="145">
        <f t="shared" si="10"/>
        <v>188.97394340211744</v>
      </c>
      <c r="P38" s="167">
        <f t="shared" si="16"/>
        <v>35231</v>
      </c>
      <c r="Q38" s="147"/>
      <c r="R38" s="133">
        <v>3916129</v>
      </c>
      <c r="S38" s="133">
        <v>694458</v>
      </c>
      <c r="T38" s="133">
        <v>764513</v>
      </c>
      <c r="U38" s="133">
        <v>53913347</v>
      </c>
      <c r="V38" s="133">
        <v>58391</v>
      </c>
      <c r="W38" s="133">
        <v>6692972</v>
      </c>
      <c r="X38" s="133">
        <v>35231</v>
      </c>
      <c r="Y38" s="133"/>
      <c r="Z38" s="133"/>
      <c r="AA38" s="133"/>
      <c r="AB38" s="133"/>
      <c r="AC38" s="133"/>
      <c r="AD38" s="133"/>
      <c r="AE38" s="133"/>
      <c r="AF38" s="133"/>
      <c r="AG38" s="133"/>
      <c r="AH38" s="133"/>
      <c r="AI38" s="133"/>
      <c r="AJ38" s="133"/>
      <c r="AK38" s="133"/>
      <c r="AL38" s="133"/>
      <c r="AM38" s="133"/>
      <c r="AN38" s="133"/>
      <c r="AO38" s="133"/>
      <c r="AP38" s="133"/>
      <c r="AQ38" s="133"/>
      <c r="AR38" s="133"/>
      <c r="AS38" s="133"/>
      <c r="AT38" s="133"/>
    </row>
    <row r="39" spans="1:46" s="132" customFormat="1" ht="15" customHeight="1">
      <c r="A39" s="390">
        <f t="shared" si="8"/>
        <v>23</v>
      </c>
      <c r="B39" s="133" t="s">
        <v>1566</v>
      </c>
      <c r="C39" s="133"/>
      <c r="D39" s="167">
        <f t="shared" si="9"/>
        <v>71489839</v>
      </c>
      <c r="E39" s="145">
        <f t="shared" si="10"/>
        <v>-0.12978051052821274</v>
      </c>
      <c r="F39" s="167">
        <f t="shared" si="11"/>
        <v>82151503</v>
      </c>
      <c r="G39" s="145">
        <f t="shared" si="10"/>
        <v>-3.7828044125487834E-2</v>
      </c>
      <c r="H39" s="167">
        <f t="shared" si="12"/>
        <v>85381311</v>
      </c>
      <c r="I39" s="145">
        <f t="shared" si="10"/>
        <v>-2.1909318708096995E-2</v>
      </c>
      <c r="J39" s="167">
        <f t="shared" si="13"/>
        <v>87293860</v>
      </c>
      <c r="K39" s="145">
        <f t="shared" si="10"/>
        <v>0.28057467901634325</v>
      </c>
      <c r="L39" s="167">
        <f t="shared" si="14"/>
        <v>68167723</v>
      </c>
      <c r="M39" s="145">
        <f t="shared" si="10"/>
        <v>-0.11276256051039112</v>
      </c>
      <c r="N39" s="167">
        <f t="shared" si="15"/>
        <v>76831432</v>
      </c>
      <c r="O39" s="145">
        <f t="shared" si="10"/>
        <v>-8.4788713123869763E-2</v>
      </c>
      <c r="P39" s="167">
        <f t="shared" si="16"/>
        <v>83949393</v>
      </c>
      <c r="Q39" s="133"/>
      <c r="R39" s="133">
        <v>71489839</v>
      </c>
      <c r="S39" s="133">
        <v>82151503</v>
      </c>
      <c r="T39" s="133">
        <v>85381311</v>
      </c>
      <c r="U39" s="133">
        <v>87293860</v>
      </c>
      <c r="V39" s="133">
        <v>68167723</v>
      </c>
      <c r="W39" s="133">
        <v>76831432</v>
      </c>
      <c r="X39" s="133">
        <v>83949393</v>
      </c>
      <c r="Y39" s="133"/>
      <c r="Z39" s="133"/>
      <c r="AA39" s="133"/>
      <c r="AB39" s="133"/>
      <c r="AC39" s="133"/>
      <c r="AD39" s="133"/>
      <c r="AE39" s="133"/>
      <c r="AF39" s="133"/>
      <c r="AG39" s="133"/>
      <c r="AH39" s="133"/>
      <c r="AI39" s="133"/>
      <c r="AJ39" s="133"/>
      <c r="AK39" s="133"/>
      <c r="AL39" s="133"/>
      <c r="AM39" s="133"/>
      <c r="AN39" s="133"/>
      <c r="AO39" s="133"/>
      <c r="AP39" s="133"/>
      <c r="AQ39" s="133"/>
      <c r="AR39" s="133"/>
      <c r="AS39" s="133"/>
      <c r="AT39" s="133"/>
    </row>
    <row r="40" spans="1:46" s="132" customFormat="1" ht="15" customHeight="1">
      <c r="A40" s="390">
        <f t="shared" si="8"/>
        <v>24</v>
      </c>
      <c r="B40" s="133" t="s">
        <v>1567</v>
      </c>
      <c r="C40" s="133"/>
      <c r="D40" s="167">
        <f t="shared" si="9"/>
        <v>39006996</v>
      </c>
      <c r="E40" s="145">
        <f t="shared" si="10"/>
        <v>-5.2128463970387796E-3</v>
      </c>
      <c r="F40" s="167">
        <f t="shared" si="11"/>
        <v>39211399</v>
      </c>
      <c r="G40" s="145">
        <f t="shared" si="10"/>
        <v>7.8785211788299878E-2</v>
      </c>
      <c r="H40" s="167">
        <f t="shared" si="12"/>
        <v>36347735</v>
      </c>
      <c r="I40" s="145">
        <f t="shared" si="10"/>
        <v>6.5332611265391236E-2</v>
      </c>
      <c r="J40" s="167">
        <f t="shared" si="13"/>
        <v>34118673</v>
      </c>
      <c r="K40" s="145">
        <f t="shared" si="10"/>
        <v>7.7095101694265145E-2</v>
      </c>
      <c r="L40" s="167">
        <f t="shared" si="14"/>
        <v>31676565</v>
      </c>
      <c r="M40" s="145">
        <f t="shared" si="10"/>
        <v>2.4536062534526858E-2</v>
      </c>
      <c r="N40" s="167">
        <f t="shared" si="15"/>
        <v>30917960</v>
      </c>
      <c r="O40" s="145">
        <f t="shared" si="10"/>
        <v>4.6527654794766851E-2</v>
      </c>
      <c r="P40" s="167">
        <f t="shared" si="16"/>
        <v>29543376</v>
      </c>
      <c r="Q40" s="147"/>
      <c r="R40" s="133">
        <v>39006996</v>
      </c>
      <c r="S40" s="133">
        <v>39211399</v>
      </c>
      <c r="T40" s="133">
        <v>36347735</v>
      </c>
      <c r="U40" s="133">
        <v>34118673</v>
      </c>
      <c r="V40" s="133">
        <v>31676565</v>
      </c>
      <c r="W40" s="133">
        <v>30917960</v>
      </c>
      <c r="X40" s="133">
        <v>29543376</v>
      </c>
      <c r="Y40" s="133"/>
      <c r="Z40" s="133"/>
      <c r="AA40" s="133"/>
      <c r="AB40" s="133"/>
      <c r="AC40" s="133"/>
      <c r="AD40" s="133"/>
      <c r="AE40" s="133"/>
      <c r="AF40" s="133"/>
      <c r="AG40" s="133"/>
      <c r="AH40" s="133"/>
      <c r="AI40" s="133"/>
      <c r="AJ40" s="133"/>
      <c r="AK40" s="133"/>
      <c r="AL40" s="133"/>
      <c r="AM40" s="133"/>
      <c r="AN40" s="133"/>
      <c r="AO40" s="133"/>
      <c r="AP40" s="133"/>
      <c r="AQ40" s="133"/>
      <c r="AR40" s="133"/>
      <c r="AS40" s="133"/>
      <c r="AT40" s="133"/>
    </row>
    <row r="41" spans="1:46" s="132" customFormat="1" ht="15" customHeight="1">
      <c r="A41" s="390">
        <f t="shared" si="8"/>
        <v>25</v>
      </c>
      <c r="B41" s="133" t="s">
        <v>1568</v>
      </c>
      <c r="C41" s="133"/>
      <c r="D41" s="167">
        <f t="shared" si="9"/>
        <v>119596</v>
      </c>
      <c r="E41" s="145">
        <f t="shared" si="10"/>
        <v>0</v>
      </c>
      <c r="F41" s="167">
        <f t="shared" si="11"/>
        <v>119596</v>
      </c>
      <c r="G41" s="145">
        <f t="shared" si="10"/>
        <v>-2.7564112988470231E-2</v>
      </c>
      <c r="H41" s="167">
        <f t="shared" si="12"/>
        <v>122986</v>
      </c>
      <c r="I41" s="145">
        <f t="shared" si="10"/>
        <v>-0.11653065915751969</v>
      </c>
      <c r="J41" s="167">
        <f t="shared" si="13"/>
        <v>139208</v>
      </c>
      <c r="K41" s="145">
        <f t="shared" si="10"/>
        <v>-0.45639075136382629</v>
      </c>
      <c r="L41" s="167">
        <f t="shared" si="14"/>
        <v>256081</v>
      </c>
      <c r="M41" s="145">
        <f t="shared" si="10"/>
        <v>-9.1276530058232164E-2</v>
      </c>
      <c r="N41" s="167">
        <f t="shared" si="15"/>
        <v>281803</v>
      </c>
      <c r="O41" s="145">
        <f t="shared" si="10"/>
        <v>-0.27819073184225895</v>
      </c>
      <c r="P41" s="167">
        <f t="shared" si="16"/>
        <v>390412</v>
      </c>
      <c r="Q41" s="147"/>
      <c r="R41" s="133">
        <v>119596</v>
      </c>
      <c r="S41" s="133">
        <v>119596</v>
      </c>
      <c r="T41" s="133">
        <v>122986</v>
      </c>
      <c r="U41" s="133">
        <v>139208</v>
      </c>
      <c r="V41" s="133">
        <v>256081</v>
      </c>
      <c r="W41" s="133">
        <v>281803</v>
      </c>
      <c r="X41" s="133">
        <v>390412</v>
      </c>
      <c r="Y41" s="133"/>
      <c r="Z41" s="133"/>
      <c r="AA41" s="133"/>
      <c r="AB41" s="133"/>
      <c r="AC41" s="133"/>
      <c r="AD41" s="133"/>
      <c r="AE41" s="133"/>
      <c r="AF41" s="133"/>
      <c r="AG41" s="133"/>
      <c r="AH41" s="133"/>
      <c r="AI41" s="133"/>
      <c r="AJ41" s="133"/>
      <c r="AK41" s="133"/>
      <c r="AL41" s="133"/>
      <c r="AM41" s="133"/>
      <c r="AN41" s="133"/>
      <c r="AO41" s="133"/>
      <c r="AP41" s="133"/>
      <c r="AQ41" s="133"/>
      <c r="AR41" s="133"/>
      <c r="AS41" s="133"/>
      <c r="AT41" s="133"/>
    </row>
    <row r="42" spans="1:46" s="132" customFormat="1" ht="15" customHeight="1">
      <c r="A42" s="390">
        <f t="shared" si="8"/>
        <v>26</v>
      </c>
      <c r="B42" s="133" t="s">
        <v>1569</v>
      </c>
      <c r="C42" s="133"/>
      <c r="D42" s="167">
        <f t="shared" si="9"/>
        <v>9311509</v>
      </c>
      <c r="E42" s="145">
        <f t="shared" si="10"/>
        <v>1.0077256457791679E-3</v>
      </c>
      <c r="F42" s="167">
        <f t="shared" si="11"/>
        <v>9302135</v>
      </c>
      <c r="G42" s="145">
        <f t="shared" si="10"/>
        <v>0.12386186775834251</v>
      </c>
      <c r="H42" s="167">
        <f t="shared" si="12"/>
        <v>8276938</v>
      </c>
      <c r="I42" s="145">
        <f t="shared" si="10"/>
        <v>-0.11367785112867444</v>
      </c>
      <c r="J42" s="167">
        <f t="shared" si="13"/>
        <v>9338521</v>
      </c>
      <c r="K42" s="145">
        <f t="shared" si="10"/>
        <v>5.0801588154442787E-2</v>
      </c>
      <c r="L42" s="167">
        <f t="shared" si="14"/>
        <v>8887045</v>
      </c>
      <c r="M42" s="145">
        <f t="shared" si="10"/>
        <v>-1.5970604388303763E-2</v>
      </c>
      <c r="N42" s="167">
        <f t="shared" si="15"/>
        <v>9031280</v>
      </c>
      <c r="O42" s="145">
        <f t="shared" si="10"/>
        <v>4.9518759842201714E-2</v>
      </c>
      <c r="P42" s="167">
        <f t="shared" si="16"/>
        <v>8605163</v>
      </c>
      <c r="Q42" s="147"/>
      <c r="R42" s="133">
        <v>9311509</v>
      </c>
      <c r="S42" s="133">
        <v>9302135</v>
      </c>
      <c r="T42" s="133">
        <v>8276938</v>
      </c>
      <c r="U42" s="133">
        <v>9338521</v>
      </c>
      <c r="V42" s="133">
        <v>8887045</v>
      </c>
      <c r="W42" s="133">
        <v>9031280</v>
      </c>
      <c r="X42" s="133">
        <v>8605163</v>
      </c>
      <c r="Y42" s="133"/>
      <c r="Z42" s="133"/>
      <c r="AA42" s="133"/>
      <c r="AB42" s="133"/>
      <c r="AC42" s="133"/>
      <c r="AD42" s="133"/>
      <c r="AE42" s="133"/>
      <c r="AF42" s="133"/>
      <c r="AG42" s="133"/>
      <c r="AH42" s="133"/>
      <c r="AI42" s="133"/>
      <c r="AJ42" s="133"/>
      <c r="AK42" s="133"/>
      <c r="AL42" s="133"/>
      <c r="AM42" s="133"/>
      <c r="AN42" s="133"/>
      <c r="AO42" s="133"/>
      <c r="AP42" s="133"/>
      <c r="AQ42" s="133"/>
      <c r="AR42" s="133"/>
      <c r="AS42" s="133"/>
      <c r="AT42" s="133"/>
    </row>
    <row r="43" spans="1:46" s="132" customFormat="1" ht="15" customHeight="1">
      <c r="A43" s="390">
        <f t="shared" si="8"/>
        <v>27</v>
      </c>
      <c r="B43" s="133" t="s">
        <v>1570</v>
      </c>
      <c r="C43" s="133"/>
      <c r="D43" s="167">
        <f t="shared" si="9"/>
        <v>16171254</v>
      </c>
      <c r="E43" s="145">
        <f t="shared" si="10"/>
        <v>5.9289821230373546E-2</v>
      </c>
      <c r="F43" s="167">
        <f t="shared" si="11"/>
        <v>15266128</v>
      </c>
      <c r="G43" s="145">
        <f t="shared" si="10"/>
        <v>1.275366185414706</v>
      </c>
      <c r="H43" s="167">
        <f t="shared" si="12"/>
        <v>6709306</v>
      </c>
      <c r="I43" s="145">
        <f t="shared" si="10"/>
        <v>-3.4716675145541227E-2</v>
      </c>
      <c r="J43" s="167">
        <f t="shared" si="13"/>
        <v>6950608</v>
      </c>
      <c r="K43" s="145">
        <f t="shared" si="10"/>
        <v>0.33264003767110945</v>
      </c>
      <c r="L43" s="167">
        <f t="shared" si="14"/>
        <v>5215668</v>
      </c>
      <c r="M43" s="145">
        <f t="shared" si="10"/>
        <v>-0.22772947489368758</v>
      </c>
      <c r="N43" s="167">
        <f t="shared" si="15"/>
        <v>6753680</v>
      </c>
      <c r="O43" s="145">
        <f t="shared" si="10"/>
        <v>5.4712566275990158E-2</v>
      </c>
      <c r="P43" s="167">
        <f t="shared" si="16"/>
        <v>6403337</v>
      </c>
      <c r="Q43" s="147"/>
      <c r="R43" s="133">
        <v>16171254</v>
      </c>
      <c r="S43" s="133">
        <v>15266128</v>
      </c>
      <c r="T43" s="133">
        <v>6709306</v>
      </c>
      <c r="U43" s="133">
        <v>6950608</v>
      </c>
      <c r="V43" s="133">
        <v>5215668</v>
      </c>
      <c r="W43" s="133">
        <v>6753680</v>
      </c>
      <c r="X43" s="133">
        <v>6403337</v>
      </c>
      <c r="Y43" s="133"/>
      <c r="Z43" s="133"/>
      <c r="AA43" s="133"/>
      <c r="AB43" s="133"/>
      <c r="AC43" s="133"/>
      <c r="AD43" s="133"/>
      <c r="AE43" s="133"/>
      <c r="AF43" s="133"/>
      <c r="AG43" s="133"/>
      <c r="AH43" s="133"/>
      <c r="AI43" s="133"/>
      <c r="AJ43" s="133"/>
      <c r="AK43" s="133"/>
      <c r="AL43" s="133"/>
      <c r="AM43" s="133"/>
      <c r="AN43" s="133"/>
      <c r="AO43" s="133"/>
      <c r="AP43" s="133"/>
      <c r="AQ43" s="133"/>
      <c r="AR43" s="133"/>
      <c r="AS43" s="133"/>
      <c r="AT43" s="133"/>
    </row>
    <row r="44" spans="1:46" s="132" customFormat="1" ht="15" customHeight="1">
      <c r="A44" s="390">
        <f t="shared" si="8"/>
        <v>28</v>
      </c>
      <c r="B44" s="133" t="s">
        <v>1769</v>
      </c>
      <c r="C44" s="133"/>
      <c r="D44" s="167">
        <f t="shared" si="9"/>
        <v>308763</v>
      </c>
      <c r="E44" s="145">
        <f t="shared" si="10"/>
        <v>2.0185564400712662E-3</v>
      </c>
      <c r="F44" s="167">
        <f t="shared" si="11"/>
        <v>308141</v>
      </c>
      <c r="G44" s="145">
        <f t="shared" si="10"/>
        <v>-0.56992619514183152</v>
      </c>
      <c r="H44" s="167">
        <f t="shared" si="12"/>
        <v>716484</v>
      </c>
      <c r="I44" s="145">
        <f t="shared" si="10"/>
        <v>-0.38226043412585098</v>
      </c>
      <c r="J44" s="167">
        <f t="shared" si="13"/>
        <v>1159848</v>
      </c>
      <c r="K44" s="145">
        <f t="shared" si="10"/>
        <v>0.40075384925671814</v>
      </c>
      <c r="L44" s="167">
        <f t="shared" si="14"/>
        <v>828017</v>
      </c>
      <c r="M44" s="145">
        <f t="shared" si="10"/>
        <v>0.87005000248431497</v>
      </c>
      <c r="N44" s="167">
        <f t="shared" si="15"/>
        <v>442778</v>
      </c>
      <c r="O44" s="145">
        <f t="shared" si="10"/>
        <v>22.864288024145736</v>
      </c>
      <c r="P44" s="167">
        <f t="shared" si="16"/>
        <v>18554</v>
      </c>
      <c r="Q44" s="133"/>
      <c r="R44" s="133">
        <v>308763</v>
      </c>
      <c r="S44" s="133">
        <v>308141</v>
      </c>
      <c r="T44" s="133">
        <v>716484</v>
      </c>
      <c r="U44" s="133">
        <v>1159848</v>
      </c>
      <c r="V44" s="133">
        <v>828017</v>
      </c>
      <c r="W44" s="133">
        <v>442778</v>
      </c>
      <c r="X44" s="133">
        <v>18554</v>
      </c>
      <c r="Y44" s="133"/>
      <c r="Z44" s="133"/>
      <c r="AA44" s="133"/>
      <c r="AB44" s="133"/>
      <c r="AC44" s="133"/>
      <c r="AD44" s="133"/>
      <c r="AE44" s="133"/>
      <c r="AF44" s="133"/>
      <c r="AG44" s="133"/>
      <c r="AH44" s="133"/>
      <c r="AI44" s="133"/>
      <c r="AJ44" s="133"/>
      <c r="AK44" s="133"/>
      <c r="AL44" s="133"/>
      <c r="AM44" s="133"/>
      <c r="AN44" s="133"/>
      <c r="AO44" s="133"/>
      <c r="AP44" s="133"/>
      <c r="AQ44" s="133"/>
      <c r="AR44" s="133"/>
      <c r="AS44" s="133"/>
      <c r="AT44" s="133"/>
    </row>
    <row r="45" spans="1:46" s="132" customFormat="1" ht="15" customHeight="1">
      <c r="A45" s="390">
        <f t="shared" si="8"/>
        <v>29</v>
      </c>
      <c r="B45" s="133" t="s">
        <v>1571</v>
      </c>
      <c r="C45" s="133"/>
      <c r="D45" s="172">
        <f t="shared" si="9"/>
        <v>91060697</v>
      </c>
      <c r="E45" s="145">
        <f t="shared" si="10"/>
        <v>0</v>
      </c>
      <c r="F45" s="172">
        <f t="shared" si="11"/>
        <v>91060697</v>
      </c>
      <c r="G45" s="145">
        <f t="shared" si="10"/>
        <v>0.33162769986692597</v>
      </c>
      <c r="H45" s="172">
        <f t="shared" si="12"/>
        <v>68383000</v>
      </c>
      <c r="I45" s="145">
        <f t="shared" si="10"/>
        <v>-0.1128308251167618</v>
      </c>
      <c r="J45" s="172">
        <f t="shared" si="13"/>
        <v>77080000</v>
      </c>
      <c r="K45" s="145">
        <f t="shared" si="10"/>
        <v>-2.5435809289015343E-2</v>
      </c>
      <c r="L45" s="172">
        <f t="shared" si="14"/>
        <v>79091763</v>
      </c>
      <c r="M45" s="145">
        <f t="shared" si="10"/>
        <v>0.12279275845619139</v>
      </c>
      <c r="N45" s="172">
        <f t="shared" si="15"/>
        <v>70441996</v>
      </c>
      <c r="O45" s="145">
        <f t="shared" si="10"/>
        <v>3.5828793880513361E-2</v>
      </c>
      <c r="P45" s="172">
        <f t="shared" si="16"/>
        <v>68005443</v>
      </c>
      <c r="Q45" s="133"/>
      <c r="R45" s="133">
        <v>91060697</v>
      </c>
      <c r="S45" s="133">
        <v>91060697</v>
      </c>
      <c r="T45" s="133">
        <v>68383000</v>
      </c>
      <c r="U45" s="133">
        <v>77080000</v>
      </c>
      <c r="V45" s="133">
        <v>79091763</v>
      </c>
      <c r="W45" s="133">
        <v>70441996</v>
      </c>
      <c r="X45" s="133">
        <v>68005443</v>
      </c>
      <c r="Y45" s="133"/>
      <c r="Z45" s="133"/>
      <c r="AA45" s="133"/>
      <c r="AB45" s="133"/>
      <c r="AC45" s="133"/>
      <c r="AD45" s="133"/>
      <c r="AE45" s="133"/>
      <c r="AF45" s="133"/>
      <c r="AG45" s="133"/>
      <c r="AH45" s="133"/>
      <c r="AI45" s="133"/>
      <c r="AJ45" s="133"/>
      <c r="AK45" s="133"/>
      <c r="AL45" s="133"/>
      <c r="AM45" s="133"/>
      <c r="AN45" s="133"/>
      <c r="AO45" s="133"/>
      <c r="AP45" s="133"/>
      <c r="AQ45" s="133"/>
      <c r="AR45" s="133"/>
      <c r="AS45" s="133"/>
      <c r="AT45" s="133"/>
    </row>
    <row r="46" spans="1:46" s="132" customFormat="1" ht="15" customHeight="1">
      <c r="A46" s="390">
        <f t="shared" si="8"/>
        <v>30</v>
      </c>
      <c r="B46" s="133" t="s">
        <v>1572</v>
      </c>
      <c r="C46" s="133"/>
      <c r="D46" s="172">
        <f t="shared" si="9"/>
        <v>0</v>
      </c>
      <c r="E46" s="145">
        <v>0</v>
      </c>
      <c r="F46" s="172">
        <f t="shared" si="11"/>
        <v>0</v>
      </c>
      <c r="G46" s="145">
        <v>0</v>
      </c>
      <c r="H46" s="172">
        <f t="shared" si="12"/>
        <v>0</v>
      </c>
      <c r="I46" s="145">
        <v>0</v>
      </c>
      <c r="J46" s="172">
        <f t="shared" si="13"/>
        <v>0</v>
      </c>
      <c r="K46" s="145">
        <v>0</v>
      </c>
      <c r="L46" s="172">
        <f t="shared" si="14"/>
        <v>0</v>
      </c>
      <c r="M46" s="145">
        <f t="shared" si="10"/>
        <v>-1</v>
      </c>
      <c r="N46" s="172">
        <f t="shared" si="15"/>
        <v>6268381</v>
      </c>
      <c r="O46" s="145">
        <v>1</v>
      </c>
      <c r="P46" s="172">
        <f t="shared" si="16"/>
        <v>0</v>
      </c>
      <c r="Q46" s="133"/>
      <c r="R46" s="133">
        <v>0</v>
      </c>
      <c r="S46" s="133">
        <v>0</v>
      </c>
      <c r="T46" s="133">
        <v>0</v>
      </c>
      <c r="U46" s="133">
        <v>0</v>
      </c>
      <c r="V46" s="133">
        <v>0</v>
      </c>
      <c r="W46" s="133">
        <v>6268381</v>
      </c>
      <c r="X46" s="133">
        <v>0</v>
      </c>
      <c r="Y46" s="133"/>
      <c r="Z46" s="133"/>
      <c r="AA46" s="133"/>
      <c r="AB46" s="133"/>
      <c r="AC46" s="133"/>
      <c r="AD46" s="133"/>
      <c r="AE46" s="133"/>
      <c r="AF46" s="133"/>
      <c r="AG46" s="133"/>
      <c r="AH46" s="133"/>
      <c r="AI46" s="133"/>
      <c r="AJ46" s="133"/>
      <c r="AK46" s="133"/>
      <c r="AL46" s="133"/>
      <c r="AM46" s="133"/>
      <c r="AN46" s="133"/>
      <c r="AO46" s="133"/>
      <c r="AP46" s="133"/>
      <c r="AQ46" s="133"/>
      <c r="AR46" s="133"/>
      <c r="AS46" s="133"/>
      <c r="AT46" s="133"/>
    </row>
    <row r="47" spans="1:46" s="132" customFormat="1" ht="15" customHeight="1">
      <c r="A47" s="390">
        <f t="shared" si="8"/>
        <v>31</v>
      </c>
      <c r="B47" s="133" t="s">
        <v>1491</v>
      </c>
      <c r="C47" s="133"/>
      <c r="D47" s="166">
        <f>SUM(D31:D36)-D37+SUM(D38:D41)+SUM(D42:D46)</f>
        <v>347527900</v>
      </c>
      <c r="E47" s="145">
        <f t="shared" si="10"/>
        <v>-5.7087145602673028E-2</v>
      </c>
      <c r="F47" s="166">
        <f>SUM(F31:F36)-F37+SUM(F38:F41)+SUM(F42:F46)</f>
        <v>368568419</v>
      </c>
      <c r="G47" s="145">
        <f t="shared" si="10"/>
        <v>0.13101750348832567</v>
      </c>
      <c r="H47" s="166">
        <f>SUM(H31:H36)-H37+SUM(H38:H41)+SUM(H42:H46)</f>
        <v>325873311.30000001</v>
      </c>
      <c r="I47" s="145">
        <f t="shared" si="10"/>
        <v>-0.19388911981945886</v>
      </c>
      <c r="J47" s="166">
        <f>SUM(J31:J36)-J37+SUM(J38:J41)+SUM(J42:J46)</f>
        <v>404253706.67000002</v>
      </c>
      <c r="K47" s="145">
        <f t="shared" si="10"/>
        <v>0.24549883642224474</v>
      </c>
      <c r="L47" s="166">
        <f>SUM(L31:L36)-L37+SUM(L38:L41)+SUM(L42:L46)</f>
        <v>324571725.68000001</v>
      </c>
      <c r="M47" s="145">
        <f t="shared" si="10"/>
        <v>0.10195105149683147</v>
      </c>
      <c r="N47" s="166">
        <f>SUM(N31:N36)-N37+SUM(N38:N41)+SUM(N42:N46)</f>
        <v>294542779.59000003</v>
      </c>
      <c r="O47" s="145">
        <f t="shared" si="10"/>
        <v>6.842546451941091E-3</v>
      </c>
      <c r="P47" s="166">
        <f>SUM(P31:P36)-P37+SUM(P38:P41)+SUM(P42:P46)</f>
        <v>292541053.84000003</v>
      </c>
      <c r="Q47" s="133"/>
      <c r="R47" s="133">
        <v>347527900</v>
      </c>
      <c r="S47" s="133">
        <v>368568419</v>
      </c>
      <c r="T47" s="133">
        <v>325873311.30000001</v>
      </c>
      <c r="U47" s="133">
        <v>404253706.67000002</v>
      </c>
      <c r="V47" s="133">
        <v>324571725.68000001</v>
      </c>
      <c r="W47" s="133">
        <v>294542779.59000003</v>
      </c>
      <c r="X47" s="133">
        <v>292541053.84000003</v>
      </c>
      <c r="Y47" s="133"/>
      <c r="Z47" s="133"/>
      <c r="AA47" s="133"/>
      <c r="AB47" s="133"/>
      <c r="AC47" s="133"/>
      <c r="AD47" s="133"/>
      <c r="AE47" s="133"/>
      <c r="AF47" s="133"/>
      <c r="AG47" s="133"/>
      <c r="AH47" s="133"/>
      <c r="AI47" s="133"/>
      <c r="AJ47" s="133"/>
      <c r="AK47" s="133"/>
      <c r="AL47" s="133"/>
      <c r="AM47" s="133"/>
      <c r="AN47" s="133"/>
      <c r="AO47" s="133"/>
      <c r="AP47" s="133"/>
      <c r="AQ47" s="133"/>
      <c r="AR47" s="133"/>
      <c r="AS47" s="133"/>
      <c r="AT47" s="133"/>
    </row>
    <row r="48" spans="1:46" s="132" customFormat="1" ht="15" customHeight="1">
      <c r="A48" s="390"/>
      <c r="B48" s="144"/>
      <c r="C48" s="133"/>
      <c r="D48" s="168"/>
      <c r="E48" s="160"/>
      <c r="F48" s="168"/>
      <c r="G48" s="160"/>
      <c r="H48" s="168"/>
      <c r="I48" s="160"/>
      <c r="J48" s="168"/>
      <c r="K48" s="160"/>
      <c r="L48" s="168"/>
      <c r="M48" s="160"/>
      <c r="N48" s="168"/>
      <c r="O48" s="160"/>
      <c r="P48" s="168"/>
      <c r="Q48" s="133"/>
      <c r="R48" s="133"/>
      <c r="S48" s="133"/>
      <c r="T48" s="133"/>
      <c r="U48" s="133"/>
      <c r="V48" s="133"/>
      <c r="W48" s="133"/>
      <c r="X48" s="133"/>
      <c r="Y48" s="133"/>
      <c r="Z48" s="133"/>
      <c r="AA48" s="133"/>
      <c r="AB48" s="133"/>
      <c r="AC48" s="133"/>
      <c r="AD48" s="133"/>
      <c r="AE48" s="133"/>
      <c r="AF48" s="133"/>
      <c r="AG48" s="133"/>
      <c r="AH48" s="133"/>
      <c r="AI48" s="133"/>
      <c r="AJ48" s="133"/>
      <c r="AK48" s="133"/>
      <c r="AL48" s="133"/>
      <c r="AM48" s="133"/>
      <c r="AN48" s="133"/>
      <c r="AO48" s="133"/>
      <c r="AP48" s="133"/>
      <c r="AQ48" s="133"/>
      <c r="AR48" s="133"/>
      <c r="AS48" s="133"/>
      <c r="AT48" s="133"/>
    </row>
    <row r="49" spans="1:46" s="132" customFormat="1" ht="15" customHeight="1">
      <c r="A49" s="390">
        <f>A47+1</f>
        <v>32</v>
      </c>
      <c r="B49" s="144" t="s">
        <v>1573</v>
      </c>
      <c r="C49" s="133"/>
      <c r="D49" s="168"/>
      <c r="E49" s="160"/>
      <c r="F49" s="168"/>
      <c r="G49" s="160"/>
      <c r="H49" s="168"/>
      <c r="I49" s="160"/>
      <c r="J49" s="168"/>
      <c r="K49" s="160"/>
      <c r="L49" s="168"/>
      <c r="M49" s="160"/>
      <c r="N49" s="168"/>
      <c r="O49" s="160"/>
      <c r="P49" s="168"/>
      <c r="Q49" s="133"/>
      <c r="R49" s="133"/>
      <c r="S49" s="133"/>
      <c r="T49" s="133"/>
      <c r="U49" s="133"/>
      <c r="V49" s="133"/>
      <c r="W49" s="133"/>
      <c r="X49" s="133"/>
      <c r="Y49" s="133"/>
      <c r="Z49" s="133"/>
      <c r="AA49" s="133"/>
      <c r="AB49" s="133"/>
      <c r="AC49" s="133"/>
      <c r="AD49" s="133"/>
      <c r="AE49" s="133"/>
      <c r="AF49" s="133"/>
      <c r="AG49" s="133"/>
      <c r="AH49" s="133"/>
      <c r="AI49" s="133"/>
      <c r="AJ49" s="133"/>
      <c r="AK49" s="133"/>
      <c r="AL49" s="133"/>
      <c r="AM49" s="133"/>
      <c r="AN49" s="133"/>
      <c r="AO49" s="133"/>
      <c r="AP49" s="133"/>
      <c r="AQ49" s="133"/>
      <c r="AR49" s="133"/>
      <c r="AS49" s="133"/>
      <c r="AT49" s="133"/>
    </row>
    <row r="50" spans="1:46" s="132" customFormat="1" ht="15" customHeight="1">
      <c r="A50" s="390">
        <f t="shared" ref="A50:A57" si="17">A49+1</f>
        <v>33</v>
      </c>
      <c r="B50" s="133" t="s">
        <v>1574</v>
      </c>
      <c r="C50" s="133"/>
      <c r="D50" s="170">
        <f t="shared" ref="D50:D56" si="18">R50</f>
        <v>15740871</v>
      </c>
      <c r="E50" s="145">
        <f t="shared" ref="E50:O57" si="19">(+D50-F50)/F50</f>
        <v>-5.732251889367887E-2</v>
      </c>
      <c r="F50" s="170">
        <f t="shared" ref="F50:F56" si="20">S50</f>
        <v>16698045</v>
      </c>
      <c r="G50" s="145">
        <f t="shared" si="19"/>
        <v>-0.10295895427794434</v>
      </c>
      <c r="H50" s="170">
        <f t="shared" ref="H50:H56" si="21">T50</f>
        <v>18614583</v>
      </c>
      <c r="I50" s="145">
        <f t="shared" si="19"/>
        <v>0.12485648920769232</v>
      </c>
      <c r="J50" s="170">
        <f t="shared" ref="J50:J56" si="22">U50</f>
        <v>16548407</v>
      </c>
      <c r="K50" s="145">
        <f t="shared" si="19"/>
        <v>-5.3710879758476909E-2</v>
      </c>
      <c r="L50" s="170">
        <f t="shared" ref="L50:L56" si="23">V50</f>
        <v>17487686</v>
      </c>
      <c r="M50" s="145">
        <f t="shared" si="19"/>
        <v>2.3769883682830069E-2</v>
      </c>
      <c r="N50" s="170">
        <f t="shared" ref="N50:N56" si="24">W50</f>
        <v>17081657</v>
      </c>
      <c r="O50" s="145">
        <f t="shared" si="19"/>
        <v>-9.5647734536732254E-2</v>
      </c>
      <c r="P50" s="170">
        <f t="shared" ref="P50:P56" si="25">X50</f>
        <v>18888278</v>
      </c>
      <c r="Q50" s="147"/>
      <c r="R50" s="133">
        <v>15740871</v>
      </c>
      <c r="S50" s="133">
        <v>16698045</v>
      </c>
      <c r="T50" s="133">
        <v>18614583</v>
      </c>
      <c r="U50" s="133">
        <v>16548407</v>
      </c>
      <c r="V50" s="133">
        <v>17487686</v>
      </c>
      <c r="W50" s="133">
        <v>17081657</v>
      </c>
      <c r="X50" s="133">
        <v>18888278</v>
      </c>
      <c r="Y50" s="133"/>
      <c r="Z50" s="133"/>
      <c r="AA50" s="133"/>
      <c r="AB50" s="133"/>
      <c r="AC50" s="133"/>
      <c r="AD50" s="133"/>
      <c r="AE50" s="133"/>
      <c r="AF50" s="133"/>
      <c r="AG50" s="133"/>
      <c r="AH50" s="133"/>
      <c r="AI50" s="133"/>
      <c r="AJ50" s="133"/>
      <c r="AK50" s="133"/>
      <c r="AL50" s="133"/>
      <c r="AM50" s="133"/>
      <c r="AN50" s="133"/>
      <c r="AO50" s="133"/>
      <c r="AP50" s="133"/>
      <c r="AQ50" s="133"/>
      <c r="AR50" s="133"/>
      <c r="AS50" s="133"/>
      <c r="AT50" s="133"/>
    </row>
    <row r="51" spans="1:46" s="132" customFormat="1" ht="15" customHeight="1">
      <c r="A51" s="390">
        <f t="shared" si="17"/>
        <v>34</v>
      </c>
      <c r="B51" s="133" t="s">
        <v>1575</v>
      </c>
      <c r="C51" s="133"/>
      <c r="D51" s="167">
        <f t="shared" si="18"/>
        <v>450489434</v>
      </c>
      <c r="E51" s="145">
        <f t="shared" si="19"/>
        <v>7.1216634900246628E-2</v>
      </c>
      <c r="F51" s="167">
        <f t="shared" si="20"/>
        <v>420539991</v>
      </c>
      <c r="G51" s="145">
        <f t="shared" si="19"/>
        <v>0.25371021837537661</v>
      </c>
      <c r="H51" s="167">
        <f t="shared" si="21"/>
        <v>335436359.08540154</v>
      </c>
      <c r="I51" s="145">
        <f t="shared" si="19"/>
        <v>0.13542822402606219</v>
      </c>
      <c r="J51" s="167">
        <f t="shared" si="22"/>
        <v>295427180.67725438</v>
      </c>
      <c r="K51" s="145">
        <f t="shared" si="19"/>
        <v>0.39634192871206247</v>
      </c>
      <c r="L51" s="167">
        <f t="shared" si="23"/>
        <v>211572233.56441513</v>
      </c>
      <c r="M51" s="145">
        <f t="shared" si="19"/>
        <v>-0.13326332459254189</v>
      </c>
      <c r="N51" s="167">
        <f t="shared" si="24"/>
        <v>244102089.55903909</v>
      </c>
      <c r="O51" s="145">
        <f t="shared" si="19"/>
        <v>6.2718812012551597E-2</v>
      </c>
      <c r="P51" s="167">
        <f t="shared" si="25"/>
        <v>229695839.38837439</v>
      </c>
      <c r="Q51" s="133"/>
      <c r="R51" s="133">
        <v>450489434</v>
      </c>
      <c r="S51" s="133">
        <v>420539991</v>
      </c>
      <c r="T51" s="133">
        <v>335436359.08540154</v>
      </c>
      <c r="U51" s="133">
        <v>295427180.67725438</v>
      </c>
      <c r="V51" s="133">
        <v>211572233.56441513</v>
      </c>
      <c r="W51" s="133">
        <v>244102089.55903909</v>
      </c>
      <c r="X51" s="133">
        <v>229695839.38837439</v>
      </c>
      <c r="Y51" s="133"/>
      <c r="Z51" s="133"/>
      <c r="AA51" s="133"/>
      <c r="AB51" s="133"/>
      <c r="AC51" s="133"/>
      <c r="AD51" s="133"/>
      <c r="AE51" s="133"/>
      <c r="AF51" s="133"/>
      <c r="AG51" s="133"/>
      <c r="AH51" s="133"/>
      <c r="AI51" s="133"/>
      <c r="AJ51" s="133"/>
      <c r="AK51" s="133"/>
      <c r="AL51" s="133"/>
      <c r="AM51" s="133"/>
      <c r="AN51" s="133"/>
      <c r="AO51" s="133"/>
      <c r="AP51" s="133"/>
      <c r="AQ51" s="133"/>
      <c r="AR51" s="133"/>
      <c r="AS51" s="133"/>
      <c r="AT51" s="133"/>
    </row>
    <row r="52" spans="1:46" s="132" customFormat="1" ht="15" customHeight="1">
      <c r="A52" s="390">
        <f t="shared" si="17"/>
        <v>35</v>
      </c>
      <c r="B52" s="133" t="s">
        <v>1576</v>
      </c>
      <c r="C52" s="133"/>
      <c r="D52" s="167">
        <f t="shared" si="18"/>
        <v>5088762</v>
      </c>
      <c r="E52" s="145">
        <f t="shared" si="19"/>
        <v>2.020280783585396E-3</v>
      </c>
      <c r="F52" s="167">
        <f t="shared" si="20"/>
        <v>5078502</v>
      </c>
      <c r="G52" s="145">
        <f t="shared" si="19"/>
        <v>-0.15572322673224481</v>
      </c>
      <c r="H52" s="167">
        <f t="shared" si="21"/>
        <v>6015209.8941959124</v>
      </c>
      <c r="I52" s="145">
        <f t="shared" si="19"/>
        <v>0.18221740346223808</v>
      </c>
      <c r="J52" s="167">
        <f t="shared" si="22"/>
        <v>5088074.2210187297</v>
      </c>
      <c r="K52" s="145">
        <f t="shared" si="19"/>
        <v>1.4392688312156399</v>
      </c>
      <c r="L52" s="167">
        <f t="shared" si="23"/>
        <v>2085901.3799159746</v>
      </c>
      <c r="M52" s="145">
        <f t="shared" si="19"/>
        <v>-0.54723472771305404</v>
      </c>
      <c r="N52" s="167">
        <f t="shared" si="24"/>
        <v>4607025.9968922865</v>
      </c>
      <c r="O52" s="145">
        <f t="shared" si="19"/>
        <v>0.30043665386516677</v>
      </c>
      <c r="P52" s="167">
        <f t="shared" si="25"/>
        <v>3542676.2104861103</v>
      </c>
      <c r="Q52" s="147"/>
      <c r="R52" s="133">
        <v>5088762</v>
      </c>
      <c r="S52" s="133">
        <v>5078502</v>
      </c>
      <c r="T52" s="133">
        <v>6015209.8941959124</v>
      </c>
      <c r="U52" s="133">
        <v>5088074.2210187297</v>
      </c>
      <c r="V52" s="133">
        <v>2085901.3799159746</v>
      </c>
      <c r="W52" s="133">
        <v>4607025.9968922865</v>
      </c>
      <c r="X52" s="133">
        <v>3542676.2104861103</v>
      </c>
      <c r="Y52" s="133"/>
      <c r="Z52" s="133"/>
      <c r="AA52" s="133"/>
      <c r="AB52" s="133"/>
      <c r="AC52" s="133"/>
      <c r="AD52" s="133"/>
      <c r="AE52" s="133"/>
      <c r="AF52" s="133"/>
      <c r="AG52" s="133"/>
      <c r="AH52" s="133"/>
      <c r="AI52" s="133"/>
      <c r="AJ52" s="133"/>
      <c r="AK52" s="133"/>
      <c r="AL52" s="133"/>
      <c r="AM52" s="133"/>
      <c r="AN52" s="133"/>
      <c r="AO52" s="133"/>
      <c r="AP52" s="133"/>
      <c r="AQ52" s="133"/>
      <c r="AR52" s="133"/>
      <c r="AS52" s="133"/>
      <c r="AT52" s="133"/>
    </row>
    <row r="53" spans="1:46" s="132" customFormat="1" ht="15" customHeight="1">
      <c r="A53" s="390">
        <f t="shared" si="17"/>
        <v>36</v>
      </c>
      <c r="B53" s="133" t="s">
        <v>1577</v>
      </c>
      <c r="C53" s="133"/>
      <c r="D53" s="167">
        <f t="shared" si="18"/>
        <v>76917</v>
      </c>
      <c r="E53" s="145">
        <f t="shared" si="19"/>
        <v>1.4451995937817359E-3</v>
      </c>
      <c r="F53" s="167">
        <f t="shared" si="20"/>
        <v>76806</v>
      </c>
      <c r="G53" s="145">
        <v>1</v>
      </c>
      <c r="H53" s="167">
        <f t="shared" si="21"/>
        <v>0</v>
      </c>
      <c r="I53" s="145">
        <v>0</v>
      </c>
      <c r="J53" s="167">
        <f t="shared" si="22"/>
        <v>0</v>
      </c>
      <c r="K53" s="145">
        <v>0</v>
      </c>
      <c r="L53" s="167">
        <f t="shared" si="23"/>
        <v>0</v>
      </c>
      <c r="M53" s="145">
        <v>0</v>
      </c>
      <c r="N53" s="167">
        <f t="shared" si="24"/>
        <v>0</v>
      </c>
      <c r="O53" s="145">
        <v>0</v>
      </c>
      <c r="P53" s="167">
        <f t="shared" si="25"/>
        <v>0</v>
      </c>
      <c r="Q53" s="133"/>
      <c r="R53" s="133">
        <v>76917</v>
      </c>
      <c r="S53" s="133">
        <v>76806</v>
      </c>
      <c r="T53" s="133">
        <v>0</v>
      </c>
      <c r="U53" s="133">
        <v>0</v>
      </c>
      <c r="V53" s="133">
        <v>0</v>
      </c>
      <c r="W53" s="133">
        <v>0</v>
      </c>
      <c r="X53" s="133">
        <v>0</v>
      </c>
      <c r="Y53" s="133"/>
      <c r="Z53" s="133"/>
      <c r="AA53" s="133"/>
      <c r="AB53" s="133"/>
      <c r="AC53" s="133"/>
      <c r="AD53" s="133"/>
      <c r="AE53" s="133"/>
      <c r="AF53" s="133"/>
      <c r="AG53" s="133"/>
      <c r="AH53" s="133"/>
      <c r="AI53" s="133"/>
      <c r="AJ53" s="133"/>
      <c r="AK53" s="133"/>
      <c r="AL53" s="133"/>
      <c r="AM53" s="133"/>
      <c r="AN53" s="133"/>
      <c r="AO53" s="133"/>
      <c r="AP53" s="133"/>
      <c r="AQ53" s="133"/>
      <c r="AR53" s="133"/>
      <c r="AS53" s="133"/>
      <c r="AT53" s="133"/>
    </row>
    <row r="54" spans="1:46" s="132" customFormat="1" ht="15" customHeight="1">
      <c r="A54" s="390">
        <f t="shared" si="17"/>
        <v>37</v>
      </c>
      <c r="B54" s="133" t="s">
        <v>1578</v>
      </c>
      <c r="C54" s="133"/>
      <c r="D54" s="167">
        <f t="shared" si="18"/>
        <v>42169534</v>
      </c>
      <c r="E54" s="145">
        <f t="shared" si="19"/>
        <v>1.8066453322492701E-3</v>
      </c>
      <c r="F54" s="167">
        <f t="shared" si="20"/>
        <v>42093486</v>
      </c>
      <c r="G54" s="145">
        <f t="shared" si="19"/>
        <v>0.17118982921236611</v>
      </c>
      <c r="H54" s="167">
        <f t="shared" si="21"/>
        <v>35940788.546898656</v>
      </c>
      <c r="I54" s="145">
        <f t="shared" si="19"/>
        <v>5.2641385573758824E-2</v>
      </c>
      <c r="J54" s="167">
        <f t="shared" si="22"/>
        <v>34143431.029275522</v>
      </c>
      <c r="K54" s="145">
        <f t="shared" si="19"/>
        <v>4.1834771017947902E-3</v>
      </c>
      <c r="L54" s="167">
        <f t="shared" si="23"/>
        <v>34001187.838519253</v>
      </c>
      <c r="M54" s="145">
        <f t="shared" si="19"/>
        <v>2.9245946723176581E-3</v>
      </c>
      <c r="N54" s="167">
        <f t="shared" si="24"/>
        <v>33902038.118457302</v>
      </c>
      <c r="O54" s="145">
        <f t="shared" si="19"/>
        <v>-4.935495146402398E-2</v>
      </c>
      <c r="P54" s="167">
        <f t="shared" si="25"/>
        <v>35662141.375130005</v>
      </c>
      <c r="Q54" s="147"/>
      <c r="R54" s="133">
        <v>42169534</v>
      </c>
      <c r="S54" s="133">
        <v>42093486</v>
      </c>
      <c r="T54" s="133">
        <v>35940788.546898656</v>
      </c>
      <c r="U54" s="133">
        <v>34143431.029275522</v>
      </c>
      <c r="V54" s="133">
        <v>34001187.838519253</v>
      </c>
      <c r="W54" s="133">
        <v>33902038.118457302</v>
      </c>
      <c r="X54" s="133">
        <v>35662141.375130005</v>
      </c>
      <c r="Y54" s="133"/>
      <c r="Z54" s="133"/>
      <c r="AA54" s="133"/>
      <c r="AB54" s="133"/>
      <c r="AC54" s="133"/>
      <c r="AD54" s="133"/>
      <c r="AE54" s="133"/>
      <c r="AF54" s="133"/>
      <c r="AG54" s="133"/>
      <c r="AH54" s="133"/>
      <c r="AI54" s="133"/>
      <c r="AJ54" s="133"/>
      <c r="AK54" s="133"/>
      <c r="AL54" s="133"/>
      <c r="AM54" s="133"/>
      <c r="AN54" s="133"/>
      <c r="AO54" s="133"/>
      <c r="AP54" s="133"/>
      <c r="AQ54" s="133"/>
      <c r="AR54" s="133"/>
      <c r="AS54" s="133"/>
      <c r="AT54" s="133"/>
    </row>
    <row r="55" spans="1:46" s="132" customFormat="1" ht="15" customHeight="1">
      <c r="A55" s="390">
        <f t="shared" si="17"/>
        <v>38</v>
      </c>
      <c r="B55" s="133" t="s">
        <v>1579</v>
      </c>
      <c r="C55" s="133"/>
      <c r="D55" s="167">
        <f t="shared" si="18"/>
        <v>7755748</v>
      </c>
      <c r="E55" s="145">
        <f t="shared" si="19"/>
        <v>-6.1937821728528852E-2</v>
      </c>
      <c r="F55" s="167">
        <f t="shared" si="20"/>
        <v>8267840</v>
      </c>
      <c r="G55" s="145">
        <f t="shared" si="19"/>
        <v>4.3409475850749175E-2</v>
      </c>
      <c r="H55" s="167">
        <f t="shared" si="21"/>
        <v>7923869</v>
      </c>
      <c r="I55" s="145">
        <f t="shared" si="19"/>
        <v>-7.0630984436682115E-2</v>
      </c>
      <c r="J55" s="167">
        <f t="shared" si="22"/>
        <v>8526074</v>
      </c>
      <c r="K55" s="145">
        <f t="shared" si="19"/>
        <v>5.4765328932200501E-3</v>
      </c>
      <c r="L55" s="167">
        <f t="shared" si="23"/>
        <v>8479635</v>
      </c>
      <c r="M55" s="145">
        <f t="shared" si="19"/>
        <v>-0.13533532894565103</v>
      </c>
      <c r="N55" s="167">
        <f t="shared" si="24"/>
        <v>9806848</v>
      </c>
      <c r="O55" s="145">
        <f t="shared" si="19"/>
        <v>-4.754612339339509E-2</v>
      </c>
      <c r="P55" s="167">
        <f t="shared" si="25"/>
        <v>10296402</v>
      </c>
      <c r="Q55" s="147"/>
      <c r="R55" s="133">
        <v>7755748</v>
      </c>
      <c r="S55" s="133">
        <v>8267840</v>
      </c>
      <c r="T55" s="133">
        <v>7923869</v>
      </c>
      <c r="U55" s="133">
        <v>8526074</v>
      </c>
      <c r="V55" s="133">
        <v>8479635</v>
      </c>
      <c r="W55" s="133">
        <v>9806848</v>
      </c>
      <c r="X55" s="133">
        <v>10296402</v>
      </c>
      <c r="Y55" s="133"/>
      <c r="Z55" s="133"/>
      <c r="AA55" s="133"/>
      <c r="AB55" s="133"/>
      <c r="AC55" s="133"/>
      <c r="AD55" s="133"/>
      <c r="AE55" s="133"/>
      <c r="AF55" s="133"/>
      <c r="AG55" s="133"/>
      <c r="AH55" s="133"/>
      <c r="AI55" s="133"/>
      <c r="AJ55" s="133"/>
      <c r="AK55" s="133"/>
      <c r="AL55" s="133"/>
      <c r="AM55" s="133"/>
      <c r="AN55" s="133"/>
      <c r="AO55" s="133"/>
      <c r="AP55" s="133"/>
      <c r="AQ55" s="133"/>
      <c r="AR55" s="133"/>
      <c r="AS55" s="133"/>
      <c r="AT55" s="133"/>
    </row>
    <row r="56" spans="1:46" s="132" customFormat="1" ht="15" customHeight="1">
      <c r="A56" s="390">
        <f t="shared" si="17"/>
        <v>39</v>
      </c>
      <c r="B56" s="133" t="s">
        <v>1580</v>
      </c>
      <c r="C56" s="133"/>
      <c r="D56" s="167">
        <f t="shared" si="18"/>
        <v>314409731</v>
      </c>
      <c r="E56" s="145">
        <f t="shared" si="19"/>
        <v>3.8294236770924236E-3</v>
      </c>
      <c r="F56" s="167">
        <f t="shared" si="20"/>
        <v>313210316</v>
      </c>
      <c r="G56" s="145">
        <f t="shared" si="19"/>
        <v>-1.5388777911755662E-2</v>
      </c>
      <c r="H56" s="167">
        <f t="shared" si="21"/>
        <v>318105572</v>
      </c>
      <c r="I56" s="145">
        <f t="shared" si="19"/>
        <v>0.60890572237076646</v>
      </c>
      <c r="J56" s="167">
        <f t="shared" si="22"/>
        <v>197715483</v>
      </c>
      <c r="K56" s="145">
        <f t="shared" si="19"/>
        <v>7.9639494829223931E-2</v>
      </c>
      <c r="L56" s="167">
        <f t="shared" si="23"/>
        <v>183131021</v>
      </c>
      <c r="M56" s="145">
        <f t="shared" si="19"/>
        <v>0.28325389975483561</v>
      </c>
      <c r="N56" s="167">
        <f t="shared" si="24"/>
        <v>142708330</v>
      </c>
      <c r="O56" s="145">
        <f t="shared" si="19"/>
        <v>0.88197989819913869</v>
      </c>
      <c r="P56" s="167">
        <f t="shared" si="25"/>
        <v>75828828</v>
      </c>
      <c r="Q56" s="133"/>
      <c r="R56" s="133">
        <v>314409731</v>
      </c>
      <c r="S56" s="133">
        <v>313210316</v>
      </c>
      <c r="T56" s="133">
        <v>318105572</v>
      </c>
      <c r="U56" s="133">
        <v>197715483</v>
      </c>
      <c r="V56" s="133">
        <v>183131021</v>
      </c>
      <c r="W56" s="133">
        <v>142708330</v>
      </c>
      <c r="X56" s="133">
        <v>75828828</v>
      </c>
      <c r="Y56" s="133"/>
      <c r="Z56" s="133"/>
      <c r="AA56" s="133"/>
      <c r="AB56" s="133"/>
      <c r="AC56" s="133"/>
      <c r="AD56" s="133"/>
      <c r="AE56" s="133"/>
      <c r="AF56" s="133"/>
      <c r="AG56" s="133"/>
      <c r="AH56" s="133"/>
      <c r="AI56" s="133"/>
      <c r="AJ56" s="133"/>
      <c r="AK56" s="133"/>
      <c r="AL56" s="133"/>
      <c r="AM56" s="133"/>
      <c r="AN56" s="133"/>
      <c r="AO56" s="133"/>
      <c r="AP56" s="133"/>
      <c r="AQ56" s="133"/>
      <c r="AR56" s="133"/>
      <c r="AS56" s="133"/>
      <c r="AT56" s="133"/>
    </row>
    <row r="57" spans="1:46" s="132" customFormat="1" ht="15" customHeight="1">
      <c r="A57" s="390">
        <f t="shared" si="17"/>
        <v>40</v>
      </c>
      <c r="B57" s="133" t="s">
        <v>1506</v>
      </c>
      <c r="C57" s="133"/>
      <c r="D57" s="166">
        <f>SUM(D50:D56)</f>
        <v>835730997</v>
      </c>
      <c r="E57" s="145">
        <f t="shared" si="19"/>
        <v>3.6932139133895328E-2</v>
      </c>
      <c r="F57" s="166">
        <f>SUM(F50:F56)</f>
        <v>805964986</v>
      </c>
      <c r="G57" s="145">
        <f t="shared" si="19"/>
        <v>0.11623874727207766</v>
      </c>
      <c r="H57" s="166">
        <f>SUM(H50:H56)</f>
        <v>722036381.52649617</v>
      </c>
      <c r="I57" s="145">
        <f t="shared" si="19"/>
        <v>0.2952518256530694</v>
      </c>
      <c r="J57" s="166">
        <f>SUM(J50:J56)</f>
        <v>557448649.92754865</v>
      </c>
      <c r="K57" s="145">
        <f t="shared" si="19"/>
        <v>0.22044728070971356</v>
      </c>
      <c r="L57" s="166">
        <f>SUM(L50:L56)</f>
        <v>456757664.78285038</v>
      </c>
      <c r="M57" s="145">
        <f t="shared" si="19"/>
        <v>1.0061025506866314E-2</v>
      </c>
      <c r="N57" s="166">
        <f>SUM(N50:N56)</f>
        <v>452207988.67438865</v>
      </c>
      <c r="O57" s="145">
        <f t="shared" si="19"/>
        <v>0.20938983070043435</v>
      </c>
      <c r="P57" s="166">
        <f>SUM(P50:P56)</f>
        <v>373914164.9739905</v>
      </c>
      <c r="Q57" s="133"/>
      <c r="R57" s="133">
        <v>835730997</v>
      </c>
      <c r="S57" s="133">
        <v>805964986</v>
      </c>
      <c r="T57" s="133">
        <v>722036381.52649617</v>
      </c>
      <c r="U57" s="133">
        <v>557448649.92754865</v>
      </c>
      <c r="V57" s="133">
        <v>456757664.78285038</v>
      </c>
      <c r="W57" s="133">
        <v>452207988.67438865</v>
      </c>
      <c r="X57" s="133">
        <v>373914164.9739905</v>
      </c>
      <c r="Y57" s="133"/>
      <c r="Z57" s="133"/>
      <c r="AA57" s="133"/>
      <c r="AB57" s="133"/>
      <c r="AC57" s="133"/>
      <c r="AD57" s="133"/>
      <c r="AE57" s="133"/>
      <c r="AF57" s="133"/>
      <c r="AG57" s="133"/>
      <c r="AH57" s="133"/>
      <c r="AI57" s="133"/>
      <c r="AJ57" s="133"/>
      <c r="AK57" s="133"/>
      <c r="AL57" s="133"/>
      <c r="AM57" s="133"/>
      <c r="AN57" s="133"/>
      <c r="AO57" s="133"/>
      <c r="AP57" s="133"/>
      <c r="AQ57" s="133"/>
      <c r="AR57" s="133"/>
      <c r="AS57" s="133"/>
      <c r="AT57" s="133"/>
    </row>
    <row r="58" spans="1:46" s="132" customFormat="1" ht="15" customHeight="1">
      <c r="A58" s="390"/>
      <c r="B58" s="133"/>
      <c r="C58" s="133"/>
      <c r="D58" s="168"/>
      <c r="E58" s="148"/>
      <c r="F58" s="168"/>
      <c r="G58" s="148"/>
      <c r="H58" s="168"/>
      <c r="I58" s="148"/>
      <c r="J58" s="168"/>
      <c r="K58" s="148"/>
      <c r="L58" s="168"/>
      <c r="M58" s="148"/>
      <c r="N58" s="168"/>
      <c r="O58" s="148"/>
      <c r="P58" s="168"/>
      <c r="Q58" s="133"/>
      <c r="R58" s="133"/>
      <c r="S58" s="133"/>
      <c r="T58" s="133"/>
      <c r="U58" s="133"/>
      <c r="V58" s="133"/>
      <c r="W58" s="133"/>
      <c r="X58" s="133"/>
      <c r="Y58" s="133"/>
      <c r="Z58" s="133"/>
      <c r="AA58" s="133"/>
      <c r="AB58" s="133"/>
      <c r="AC58" s="133"/>
      <c r="AD58" s="133"/>
      <c r="AE58" s="133"/>
      <c r="AF58" s="133"/>
      <c r="AG58" s="133"/>
      <c r="AH58" s="133"/>
      <c r="AI58" s="133"/>
      <c r="AJ58" s="133"/>
      <c r="AK58" s="133"/>
      <c r="AL58" s="133"/>
      <c r="AM58" s="133"/>
      <c r="AN58" s="133"/>
      <c r="AO58" s="133"/>
      <c r="AP58" s="133"/>
      <c r="AQ58" s="133"/>
      <c r="AR58" s="133"/>
      <c r="AS58" s="133"/>
      <c r="AT58" s="133"/>
    </row>
    <row r="59" spans="1:46" s="132" customFormat="1" ht="15" customHeight="1" thickBot="1">
      <c r="A59" s="390">
        <f>A57+1</f>
        <v>41</v>
      </c>
      <c r="B59" s="133" t="s">
        <v>1507</v>
      </c>
      <c r="D59" s="169">
        <f>D21+D28+D47+D57</f>
        <v>7014333978</v>
      </c>
      <c r="E59" s="145">
        <f t="shared" ref="E59:O59" si="26">(+D59-F59)/F59</f>
        <v>2.890146374985228E-2</v>
      </c>
      <c r="F59" s="169">
        <f>F21+F28+F47+F57</f>
        <v>6817303916</v>
      </c>
      <c r="G59" s="145">
        <f t="shared" si="26"/>
        <v>3.5795580430445874E-2</v>
      </c>
      <c r="H59" s="169">
        <f>H21+H28+H47+H57</f>
        <v>6581707862.8264961</v>
      </c>
      <c r="I59" s="145">
        <f t="shared" si="26"/>
        <v>6.640410522967799E-2</v>
      </c>
      <c r="J59" s="169">
        <f>J21+J28+J47+J57</f>
        <v>6171870335.5975485</v>
      </c>
      <c r="K59" s="145">
        <f t="shared" si="26"/>
        <v>0.10606923318285959</v>
      </c>
      <c r="L59" s="169">
        <f>L21+L28+L47+L57</f>
        <v>5580003629.4628506</v>
      </c>
      <c r="M59" s="145">
        <f t="shared" si="26"/>
        <v>0.14425922228430529</v>
      </c>
      <c r="N59" s="169">
        <f>N21+N28+N47+N57</f>
        <v>4876520565.264389</v>
      </c>
      <c r="O59" s="145">
        <f t="shared" si="26"/>
        <v>8.4443334880015056E-2</v>
      </c>
      <c r="P59" s="169">
        <f>P21+P28+P47+P57</f>
        <v>4496796105.8139906</v>
      </c>
      <c r="Q59" s="133"/>
      <c r="R59" s="132">
        <v>7014333978</v>
      </c>
      <c r="S59" s="132">
        <v>6817303916</v>
      </c>
      <c r="T59" s="132">
        <v>6581707862.8264961</v>
      </c>
      <c r="U59" s="132">
        <v>6171870335.5975485</v>
      </c>
      <c r="V59" s="132">
        <v>5580003629.4628506</v>
      </c>
      <c r="W59" s="132">
        <v>4876520565.264389</v>
      </c>
      <c r="X59" s="132">
        <v>4496796105.8139906</v>
      </c>
      <c r="Y59" s="133"/>
      <c r="Z59" s="133"/>
      <c r="AA59" s="133"/>
      <c r="AB59" s="133"/>
      <c r="AC59" s="133"/>
      <c r="AD59" s="133"/>
      <c r="AE59" s="133"/>
      <c r="AF59" s="133"/>
      <c r="AG59" s="133"/>
      <c r="AH59" s="133"/>
      <c r="AI59" s="133"/>
      <c r="AJ59" s="133"/>
      <c r="AK59" s="133"/>
      <c r="AL59" s="133"/>
      <c r="AM59" s="133"/>
      <c r="AN59" s="133"/>
      <c r="AO59" s="133"/>
      <c r="AP59" s="133"/>
      <c r="AQ59" s="133"/>
      <c r="AR59" s="133"/>
      <c r="AS59" s="133"/>
      <c r="AT59" s="133"/>
    </row>
    <row r="60" spans="1:46" s="132" customFormat="1" ht="15" customHeight="1" thickTop="1">
      <c r="A60" s="390"/>
      <c r="B60" s="133"/>
      <c r="C60" s="133"/>
      <c r="D60" s="133"/>
      <c r="E60" s="133"/>
      <c r="F60" s="133"/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Y60" s="133"/>
      <c r="Z60" s="133"/>
      <c r="AA60" s="133"/>
      <c r="AB60" s="133"/>
      <c r="AC60" s="133"/>
      <c r="AD60" s="133"/>
      <c r="AE60" s="133"/>
      <c r="AF60" s="133"/>
      <c r="AG60" s="133"/>
      <c r="AH60" s="133"/>
      <c r="AI60" s="133"/>
      <c r="AJ60" s="133"/>
      <c r="AK60" s="133"/>
      <c r="AL60" s="133"/>
      <c r="AM60" s="133"/>
      <c r="AN60" s="133"/>
      <c r="AO60" s="133"/>
      <c r="AP60" s="133"/>
      <c r="AQ60" s="133"/>
      <c r="AR60" s="133"/>
      <c r="AS60" s="133"/>
      <c r="AT60" s="133"/>
    </row>
    <row r="61" spans="1:46" s="132" customFormat="1" ht="15" customHeight="1">
      <c r="A61" s="390"/>
      <c r="B61" s="133"/>
      <c r="C61" s="133"/>
      <c r="D61" s="133"/>
      <c r="E61" s="133"/>
      <c r="F61" s="133"/>
      <c r="G61" s="133"/>
      <c r="H61" s="133"/>
      <c r="I61" s="133"/>
      <c r="J61" s="133"/>
      <c r="K61" s="133"/>
      <c r="L61" s="133"/>
      <c r="M61" s="133"/>
      <c r="N61" s="133"/>
      <c r="O61" s="133"/>
      <c r="P61" s="133"/>
      <c r="Q61" s="133"/>
      <c r="Y61" s="133"/>
      <c r="Z61" s="133"/>
      <c r="AA61" s="133"/>
      <c r="AB61" s="133"/>
      <c r="AC61" s="133"/>
      <c r="AD61" s="133"/>
      <c r="AE61" s="133"/>
      <c r="AF61" s="133"/>
      <c r="AG61" s="133"/>
      <c r="AH61" s="133"/>
      <c r="AI61" s="133"/>
      <c r="AJ61" s="133"/>
      <c r="AK61" s="133"/>
      <c r="AL61" s="133"/>
      <c r="AM61" s="133"/>
      <c r="AN61" s="133"/>
      <c r="AO61" s="133"/>
      <c r="AP61" s="133"/>
      <c r="AQ61" s="133"/>
      <c r="AR61" s="133"/>
      <c r="AS61" s="133"/>
      <c r="AT61" s="133"/>
    </row>
    <row r="62" spans="1:46" s="132" customFormat="1" ht="15" customHeight="1">
      <c r="A62" s="131" t="str">
        <f>+A1</f>
        <v>KENTUCKY UTILITIES COMPANY</v>
      </c>
      <c r="B62" s="131"/>
      <c r="C62" s="131"/>
      <c r="D62" s="131"/>
      <c r="E62" s="131"/>
      <c r="F62" s="131"/>
      <c r="G62" s="131"/>
      <c r="H62" s="131"/>
      <c r="I62" s="131"/>
      <c r="J62" s="131"/>
      <c r="K62" s="131"/>
      <c r="L62" s="131"/>
      <c r="M62" s="131"/>
      <c r="N62" s="131"/>
      <c r="O62" s="131"/>
      <c r="P62" s="131"/>
    </row>
    <row r="63" spans="1:46" s="132" customFormat="1" ht="15" customHeight="1">
      <c r="A63" s="131" t="str">
        <f>+A2</f>
        <v>CASE NO. 2016-00370</v>
      </c>
      <c r="B63" s="131"/>
      <c r="C63" s="131"/>
      <c r="D63" s="131"/>
      <c r="E63" s="131"/>
      <c r="F63" s="131"/>
      <c r="G63" s="131"/>
      <c r="H63" s="131"/>
      <c r="I63" s="131"/>
      <c r="J63" s="131"/>
      <c r="K63" s="131"/>
      <c r="L63" s="131"/>
      <c r="M63" s="131"/>
      <c r="N63" s="131"/>
      <c r="O63" s="131"/>
      <c r="P63" s="131"/>
      <c r="Q63" s="133"/>
      <c r="R63" s="133"/>
      <c r="S63" s="133"/>
      <c r="T63" s="133"/>
      <c r="U63" s="133"/>
      <c r="V63" s="133"/>
      <c r="W63" s="133"/>
      <c r="X63" s="133"/>
      <c r="Y63" s="133"/>
      <c r="Z63" s="133"/>
      <c r="AA63" s="133"/>
      <c r="AB63" s="133"/>
      <c r="AC63" s="133"/>
      <c r="AD63" s="133"/>
      <c r="AE63" s="133"/>
      <c r="AF63" s="133"/>
      <c r="AG63" s="133"/>
      <c r="AH63" s="133"/>
      <c r="AI63" s="133"/>
      <c r="AJ63" s="133"/>
      <c r="AK63" s="133"/>
      <c r="AL63" s="133"/>
      <c r="AM63" s="133"/>
      <c r="AN63" s="133"/>
      <c r="AO63" s="133"/>
      <c r="AP63" s="133"/>
      <c r="AQ63" s="133"/>
      <c r="AR63" s="133"/>
      <c r="AS63" s="133"/>
      <c r="AT63" s="133"/>
    </row>
    <row r="64" spans="1:46" s="132" customFormat="1" ht="15" customHeight="1">
      <c r="A64" s="131" t="str">
        <f>+A3</f>
        <v>COMPARATIVE BALANCE SHEETS - JURISDICTIONAL</v>
      </c>
      <c r="B64" s="131"/>
      <c r="C64" s="131"/>
      <c r="D64" s="131"/>
      <c r="E64" s="131"/>
      <c r="F64" s="131"/>
      <c r="G64" s="131"/>
      <c r="H64" s="131"/>
      <c r="I64" s="131"/>
      <c r="J64" s="131"/>
      <c r="K64" s="131"/>
      <c r="L64" s="131"/>
      <c r="M64" s="131"/>
      <c r="N64" s="131"/>
      <c r="O64" s="131"/>
      <c r="P64" s="131"/>
      <c r="Q64" s="133"/>
      <c r="R64" s="133"/>
      <c r="S64" s="133"/>
      <c r="T64" s="133"/>
      <c r="U64" s="133"/>
      <c r="V64" s="133"/>
      <c r="W64" s="133"/>
      <c r="X64" s="133"/>
      <c r="Y64" s="133"/>
      <c r="Z64" s="133"/>
      <c r="AA64" s="133"/>
      <c r="AB64" s="133"/>
      <c r="AC64" s="133"/>
      <c r="AD64" s="133"/>
      <c r="AE64" s="133"/>
      <c r="AF64" s="133"/>
      <c r="AG64" s="133"/>
      <c r="AH64" s="133"/>
      <c r="AI64" s="133"/>
      <c r="AJ64" s="133"/>
      <c r="AK64" s="133"/>
      <c r="AL64" s="133"/>
      <c r="AM64" s="133"/>
      <c r="AN64" s="133"/>
      <c r="AO64" s="133"/>
      <c r="AP64" s="133"/>
      <c r="AQ64" s="133"/>
      <c r="AR64" s="133"/>
      <c r="AS64" s="133"/>
      <c r="AT64" s="133"/>
    </row>
    <row r="65" spans="1:46" s="132" customFormat="1" ht="15" customHeight="1">
      <c r="A65" s="131" t="str">
        <f>+A4</f>
        <v>AS OF  DECEMBER 31, 2011 - 2015 AND BASE AND FORECASTED PERIODS</v>
      </c>
      <c r="B65" s="131"/>
      <c r="C65" s="131"/>
      <c r="D65" s="131"/>
      <c r="E65" s="131"/>
      <c r="F65" s="131"/>
      <c r="G65" s="131"/>
      <c r="H65" s="131"/>
      <c r="I65" s="131"/>
      <c r="J65" s="131"/>
      <c r="K65" s="131"/>
      <c r="L65" s="131"/>
      <c r="M65" s="131"/>
      <c r="N65" s="131"/>
      <c r="O65" s="131"/>
      <c r="P65" s="131"/>
      <c r="Q65" s="133"/>
      <c r="R65" s="133"/>
      <c r="S65" s="133"/>
      <c r="T65" s="133"/>
      <c r="U65" s="133"/>
      <c r="V65" s="133"/>
      <c r="W65" s="133"/>
      <c r="X65" s="133"/>
      <c r="Y65" s="133"/>
      <c r="Z65" s="133"/>
      <c r="AA65" s="133"/>
      <c r="AB65" s="133"/>
      <c r="AC65" s="133"/>
      <c r="AD65" s="133"/>
      <c r="AE65" s="133"/>
      <c r="AF65" s="133"/>
      <c r="AG65" s="133"/>
      <c r="AH65" s="133"/>
      <c r="AI65" s="133"/>
      <c r="AJ65" s="133"/>
      <c r="AK65" s="133"/>
      <c r="AL65" s="133"/>
      <c r="AM65" s="133"/>
      <c r="AN65" s="133"/>
      <c r="AO65" s="133"/>
      <c r="AP65" s="133"/>
      <c r="AQ65" s="133"/>
      <c r="AR65" s="133"/>
      <c r="AS65" s="133"/>
      <c r="AT65" s="133"/>
    </row>
    <row r="66" spans="1:46" s="132" customFormat="1" ht="15" customHeight="1">
      <c r="A66" s="134"/>
      <c r="B66" s="131"/>
      <c r="C66" s="131"/>
      <c r="D66" s="131"/>
      <c r="E66" s="131"/>
      <c r="F66" s="131"/>
      <c r="G66" s="131"/>
      <c r="H66" s="131"/>
      <c r="I66" s="131"/>
      <c r="J66" s="131"/>
      <c r="K66" s="131"/>
      <c r="L66" s="131"/>
      <c r="M66" s="131"/>
      <c r="N66" s="131"/>
      <c r="O66" s="131"/>
      <c r="Q66" s="133"/>
      <c r="R66" s="133"/>
      <c r="S66" s="133"/>
      <c r="T66" s="133"/>
      <c r="U66" s="133"/>
      <c r="V66" s="133"/>
      <c r="W66" s="133"/>
      <c r="X66" s="133"/>
      <c r="Y66" s="133"/>
      <c r="Z66" s="133"/>
      <c r="AA66" s="133"/>
      <c r="AB66" s="133"/>
      <c r="AC66" s="133"/>
      <c r="AD66" s="133"/>
      <c r="AE66" s="133"/>
      <c r="AF66" s="133"/>
      <c r="AG66" s="133"/>
      <c r="AH66" s="133"/>
      <c r="AI66" s="133"/>
      <c r="AJ66" s="133"/>
      <c r="AK66" s="133"/>
      <c r="AL66" s="133"/>
      <c r="AM66" s="133"/>
      <c r="AN66" s="133"/>
      <c r="AO66" s="133"/>
      <c r="AP66" s="133"/>
      <c r="AQ66" s="133"/>
      <c r="AR66" s="133"/>
      <c r="AS66" s="133"/>
      <c r="AT66" s="133"/>
    </row>
    <row r="67" spans="1:46" s="132" customFormat="1" ht="15" customHeight="1">
      <c r="A67" s="150" t="str">
        <f>+A6</f>
        <v>DATA:__X__BASE  PERIOD__X__FORECASTED  PERIOD</v>
      </c>
      <c r="B67" s="133"/>
      <c r="C67" s="133"/>
      <c r="D67" s="133"/>
      <c r="E67" s="133"/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5" t="s">
        <v>1508</v>
      </c>
      <c r="Q67" s="133"/>
      <c r="R67" s="133"/>
      <c r="S67" s="133"/>
      <c r="T67" s="133"/>
      <c r="U67" s="133"/>
      <c r="V67" s="133"/>
      <c r="W67" s="133"/>
      <c r="X67" s="133"/>
      <c r="Y67" s="133"/>
      <c r="Z67" s="133"/>
      <c r="AA67" s="133"/>
      <c r="AB67" s="133"/>
      <c r="AC67" s="133"/>
      <c r="AD67" s="133"/>
      <c r="AE67" s="133"/>
      <c r="AF67" s="133"/>
      <c r="AG67" s="133"/>
      <c r="AH67" s="133"/>
      <c r="AI67" s="133"/>
      <c r="AJ67" s="133"/>
      <c r="AK67" s="133"/>
      <c r="AL67" s="133"/>
      <c r="AM67" s="133"/>
      <c r="AN67" s="133"/>
      <c r="AO67" s="133"/>
      <c r="AP67" s="133"/>
      <c r="AQ67" s="133"/>
      <c r="AR67" s="133"/>
      <c r="AS67" s="133"/>
      <c r="AT67" s="133"/>
    </row>
    <row r="68" spans="1:46" s="132" customFormat="1" ht="15" customHeight="1">
      <c r="A68" s="150" t="str">
        <f>+A7</f>
        <v>TYPE OF FILING: __X__ ORIGINAL  _____ UPDATED  _____ REVISED</v>
      </c>
      <c r="B68" s="133"/>
      <c r="C68" s="133"/>
      <c r="D68" s="133"/>
      <c r="E68" s="133"/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5" t="s">
        <v>2159</v>
      </c>
      <c r="Q68" s="133"/>
      <c r="R68" s="133"/>
      <c r="S68" s="133"/>
      <c r="T68" s="133"/>
      <c r="U68" s="133"/>
      <c r="V68" s="133"/>
      <c r="W68" s="133"/>
      <c r="X68" s="133"/>
      <c r="Y68" s="133"/>
      <c r="Z68" s="133"/>
      <c r="AA68" s="133"/>
      <c r="AB68" s="133"/>
      <c r="AC68" s="133"/>
      <c r="AD68" s="133"/>
      <c r="AE68" s="133"/>
      <c r="AF68" s="133"/>
      <c r="AG68" s="133"/>
      <c r="AH68" s="133"/>
      <c r="AI68" s="133"/>
      <c r="AJ68" s="133"/>
      <c r="AK68" s="133"/>
      <c r="AL68" s="133"/>
      <c r="AM68" s="133"/>
      <c r="AN68" s="133"/>
      <c r="AO68" s="133"/>
      <c r="AP68" s="133"/>
      <c r="AQ68" s="133"/>
      <c r="AR68" s="133"/>
      <c r="AS68" s="133"/>
      <c r="AT68" s="133"/>
    </row>
    <row r="69" spans="1:46" s="132" customFormat="1" ht="15" customHeight="1">
      <c r="A69" s="150" t="str">
        <f>+A8</f>
        <v xml:space="preserve">WORKPAPER REFERENCE NO(S).:  </v>
      </c>
      <c r="B69" s="133"/>
      <c r="C69" s="133"/>
      <c r="D69" s="133"/>
      <c r="E69" s="133"/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5" t="str">
        <f>P8</f>
        <v>WITNESS:   C. M. GARRETT</v>
      </c>
      <c r="Q69" s="133"/>
      <c r="R69" s="133"/>
      <c r="S69" s="133"/>
      <c r="T69" s="133"/>
      <c r="U69" s="133"/>
      <c r="V69" s="133"/>
      <c r="W69" s="133"/>
      <c r="X69" s="133"/>
      <c r="Y69" s="133"/>
      <c r="Z69" s="133"/>
      <c r="AA69" s="133"/>
      <c r="AB69" s="133"/>
      <c r="AC69" s="133"/>
      <c r="AD69" s="133"/>
      <c r="AE69" s="133"/>
      <c r="AF69" s="133"/>
      <c r="AG69" s="133"/>
      <c r="AH69" s="133"/>
      <c r="AI69" s="133"/>
      <c r="AJ69" s="133"/>
      <c r="AK69" s="133"/>
      <c r="AL69" s="133"/>
      <c r="AM69" s="133"/>
      <c r="AN69" s="133"/>
      <c r="AO69" s="133"/>
      <c r="AP69" s="133"/>
      <c r="AQ69" s="133"/>
      <c r="AR69" s="133"/>
      <c r="AS69" s="133"/>
      <c r="AT69" s="133"/>
    </row>
    <row r="70" spans="1:46" ht="15" customHeight="1" thickBot="1"/>
    <row r="71" spans="1:46" s="132" customFormat="1" ht="15" customHeight="1">
      <c r="A71" s="139"/>
      <c r="B71" s="139"/>
      <c r="C71" s="139"/>
      <c r="D71" s="142" t="s">
        <v>1527</v>
      </c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3"/>
      <c r="R71" s="133"/>
      <c r="S71" s="133"/>
      <c r="T71" s="133"/>
      <c r="U71" s="133"/>
      <c r="V71" s="133"/>
      <c r="W71" s="133"/>
      <c r="X71" s="133"/>
      <c r="Y71" s="133"/>
      <c r="Z71" s="133"/>
      <c r="AA71" s="133"/>
      <c r="AB71" s="133"/>
      <c r="AC71" s="133"/>
      <c r="AD71" s="133"/>
      <c r="AE71" s="133"/>
      <c r="AF71" s="133"/>
      <c r="AG71" s="133"/>
      <c r="AH71" s="133"/>
      <c r="AI71" s="133"/>
      <c r="AJ71" s="133"/>
      <c r="AK71" s="133"/>
      <c r="AL71" s="133"/>
      <c r="AM71" s="133"/>
      <c r="AN71" s="133"/>
      <c r="AO71" s="133"/>
      <c r="AP71" s="133"/>
      <c r="AQ71" s="133"/>
      <c r="AR71" s="133"/>
      <c r="AS71" s="133"/>
      <c r="AT71" s="133"/>
    </row>
    <row r="72" spans="1:46" s="132" customFormat="1" ht="15" customHeight="1">
      <c r="A72" s="390" t="s">
        <v>1513</v>
      </c>
      <c r="B72" s="133"/>
      <c r="C72" s="133"/>
      <c r="D72" s="390" t="s">
        <v>1509</v>
      </c>
      <c r="E72" s="133"/>
      <c r="F72" s="390" t="s">
        <v>1512</v>
      </c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  <c r="AA72" s="133"/>
      <c r="AB72" s="133"/>
      <c r="AC72" s="133"/>
      <c r="AD72" s="133"/>
      <c r="AE72" s="133"/>
      <c r="AF72" s="133"/>
      <c r="AG72" s="133"/>
      <c r="AH72" s="133"/>
      <c r="AI72" s="133"/>
      <c r="AJ72" s="133"/>
      <c r="AK72" s="133"/>
      <c r="AL72" s="133"/>
      <c r="AM72" s="133"/>
      <c r="AN72" s="133"/>
      <c r="AO72" s="133"/>
      <c r="AP72" s="133"/>
      <c r="AQ72" s="133"/>
      <c r="AR72" s="133"/>
      <c r="AS72" s="133"/>
      <c r="AT72" s="133"/>
    </row>
    <row r="73" spans="1:46" s="132" customFormat="1" ht="15" customHeight="1" thickBot="1">
      <c r="A73" s="390" t="s">
        <v>1514</v>
      </c>
      <c r="B73" s="390" t="s">
        <v>208</v>
      </c>
      <c r="C73" s="133"/>
      <c r="D73" s="390" t="s">
        <v>1510</v>
      </c>
      <c r="E73" s="390" t="s">
        <v>1511</v>
      </c>
      <c r="F73" s="390" t="s">
        <v>1510</v>
      </c>
      <c r="G73" s="390" t="s">
        <v>1511</v>
      </c>
      <c r="H73" s="141">
        <f>+H12</f>
        <v>2015</v>
      </c>
      <c r="I73" s="390" t="s">
        <v>1511</v>
      </c>
      <c r="J73" s="141">
        <f>+J12</f>
        <v>2014</v>
      </c>
      <c r="K73" s="390" t="s">
        <v>1511</v>
      </c>
      <c r="L73" s="141">
        <f>+L12</f>
        <v>2013</v>
      </c>
      <c r="M73" s="390" t="s">
        <v>1511</v>
      </c>
      <c r="N73" s="141">
        <f>+N12</f>
        <v>2012</v>
      </c>
      <c r="O73" s="390" t="s">
        <v>1511</v>
      </c>
      <c r="P73" s="141">
        <f>+P12</f>
        <v>2011</v>
      </c>
      <c r="Q73" s="133"/>
      <c r="R73" s="133"/>
      <c r="S73" s="133"/>
      <c r="T73" s="133"/>
      <c r="U73" s="133"/>
      <c r="V73" s="133"/>
      <c r="W73" s="133"/>
      <c r="X73" s="133"/>
      <c r="Y73" s="133"/>
      <c r="Z73" s="133"/>
      <c r="AA73" s="133"/>
      <c r="AB73" s="133"/>
      <c r="AC73" s="133"/>
      <c r="AD73" s="133"/>
      <c r="AE73" s="133"/>
      <c r="AF73" s="133"/>
      <c r="AG73" s="133"/>
      <c r="AH73" s="133"/>
      <c r="AI73" s="133"/>
      <c r="AJ73" s="133"/>
      <c r="AK73" s="133"/>
      <c r="AL73" s="133"/>
      <c r="AM73" s="133"/>
      <c r="AN73" s="133"/>
      <c r="AO73" s="133"/>
      <c r="AP73" s="133"/>
      <c r="AQ73" s="133"/>
      <c r="AR73" s="133"/>
      <c r="AS73" s="133"/>
      <c r="AT73" s="133"/>
    </row>
    <row r="74" spans="1:46" s="132" customFormat="1" ht="15" customHeight="1">
      <c r="A74" s="142"/>
      <c r="B74" s="143"/>
      <c r="C74" s="143"/>
      <c r="D74" s="143"/>
      <c r="E74" s="143"/>
      <c r="F74" s="143"/>
      <c r="G74" s="143"/>
      <c r="H74" s="143"/>
      <c r="I74" s="143"/>
      <c r="J74" s="143"/>
      <c r="K74" s="143"/>
      <c r="L74" s="143"/>
      <c r="M74" s="143"/>
      <c r="N74" s="143"/>
      <c r="O74" s="143"/>
      <c r="P74" s="143"/>
      <c r="Q74" s="133"/>
      <c r="R74" s="133"/>
      <c r="S74" s="133"/>
      <c r="T74" s="133"/>
      <c r="U74" s="133"/>
      <c r="V74" s="133"/>
      <c r="W74" s="133"/>
      <c r="X74" s="133"/>
      <c r="Y74" s="133"/>
      <c r="Z74" s="133"/>
      <c r="AA74" s="133"/>
      <c r="AB74" s="133"/>
      <c r="AC74" s="133"/>
      <c r="AD74" s="133"/>
      <c r="AE74" s="133"/>
      <c r="AF74" s="133"/>
      <c r="AG74" s="133"/>
      <c r="AH74" s="133"/>
      <c r="AI74" s="133"/>
      <c r="AJ74" s="133"/>
      <c r="AK74" s="133"/>
      <c r="AL74" s="133"/>
      <c r="AM74" s="133"/>
      <c r="AN74" s="133"/>
      <c r="AO74" s="133"/>
      <c r="AP74" s="133"/>
      <c r="AQ74" s="133"/>
      <c r="AR74" s="133"/>
      <c r="AS74" s="133"/>
      <c r="AT74" s="133"/>
    </row>
    <row r="75" spans="1:46" s="132" customFormat="1" ht="15" customHeight="1">
      <c r="A75" s="390">
        <v>1</v>
      </c>
      <c r="B75" s="711" t="s">
        <v>1581</v>
      </c>
      <c r="C75" s="711"/>
      <c r="D75" s="133"/>
      <c r="E75" s="133"/>
      <c r="F75" s="133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46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  <c r="AC75" s="133"/>
      <c r="AD75" s="133"/>
      <c r="AE75" s="133"/>
      <c r="AF75" s="133"/>
      <c r="AG75" s="133"/>
      <c r="AH75" s="133"/>
      <c r="AI75" s="133"/>
      <c r="AJ75" s="133"/>
      <c r="AK75" s="133"/>
      <c r="AL75" s="133"/>
      <c r="AM75" s="133"/>
      <c r="AN75" s="133"/>
      <c r="AO75" s="133"/>
      <c r="AP75" s="133"/>
      <c r="AQ75" s="133"/>
      <c r="AR75" s="133"/>
      <c r="AS75" s="133"/>
      <c r="AT75" s="133"/>
    </row>
    <row r="76" spans="1:46" s="132" customFormat="1" ht="15" customHeight="1">
      <c r="A76" s="390"/>
      <c r="B76" s="391"/>
      <c r="C76" s="391"/>
      <c r="D76" s="133"/>
      <c r="E76" s="133"/>
      <c r="F76" s="133"/>
      <c r="G76" s="133"/>
      <c r="H76" s="133"/>
      <c r="I76" s="133"/>
      <c r="J76" s="133"/>
      <c r="K76" s="133"/>
      <c r="L76" s="133"/>
      <c r="M76" s="133"/>
      <c r="N76" s="133"/>
      <c r="O76" s="133"/>
      <c r="P76" s="133"/>
      <c r="Q76" s="146"/>
      <c r="R76" s="133"/>
      <c r="S76" s="133"/>
      <c r="T76" s="133"/>
      <c r="U76" s="133"/>
      <c r="V76" s="133"/>
      <c r="W76" s="133"/>
      <c r="X76" s="133"/>
      <c r="Y76" s="133"/>
      <c r="Z76" s="133"/>
      <c r="AA76" s="133"/>
      <c r="AB76" s="133"/>
      <c r="AC76" s="133"/>
      <c r="AD76" s="133"/>
      <c r="AE76" s="133"/>
      <c r="AF76" s="133"/>
      <c r="AG76" s="133"/>
      <c r="AH76" s="133"/>
      <c r="AI76" s="133"/>
      <c r="AJ76" s="133"/>
      <c r="AK76" s="133"/>
      <c r="AL76" s="133"/>
      <c r="AM76" s="133"/>
      <c r="AN76" s="133"/>
      <c r="AO76" s="133"/>
      <c r="AP76" s="133"/>
      <c r="AQ76" s="133"/>
      <c r="AR76" s="133"/>
      <c r="AS76" s="133"/>
      <c r="AT76" s="133"/>
    </row>
    <row r="77" spans="1:46" s="132" customFormat="1" ht="15" customHeight="1">
      <c r="A77" s="390">
        <f>A75+1</f>
        <v>2</v>
      </c>
      <c r="B77" s="144" t="s">
        <v>1492</v>
      </c>
      <c r="C77" s="133"/>
      <c r="D77" s="173"/>
      <c r="E77" s="158"/>
      <c r="F77" s="173"/>
      <c r="G77" s="158"/>
      <c r="H77" s="173"/>
      <c r="I77" s="158"/>
      <c r="J77" s="173"/>
      <c r="K77" s="158"/>
      <c r="L77" s="173"/>
      <c r="M77" s="158"/>
      <c r="N77" s="173"/>
      <c r="O77" s="158"/>
      <c r="P77" s="173"/>
      <c r="Q77" s="147"/>
      <c r="R77" s="133" t="s">
        <v>1509</v>
      </c>
      <c r="S77" s="133" t="s">
        <v>1512</v>
      </c>
      <c r="T77" s="513" t="s">
        <v>2459</v>
      </c>
      <c r="U77" s="513" t="s">
        <v>2460</v>
      </c>
      <c r="V77" s="133" t="s">
        <v>2223</v>
      </c>
      <c r="W77" s="133" t="s">
        <v>2224</v>
      </c>
      <c r="X77" s="133" t="s">
        <v>2225</v>
      </c>
      <c r="Y77" s="133"/>
      <c r="Z77" s="133"/>
      <c r="AA77" s="133"/>
      <c r="AB77" s="133"/>
      <c r="AC77" s="133"/>
      <c r="AD77" s="133"/>
      <c r="AE77" s="133"/>
      <c r="AF77" s="133"/>
      <c r="AG77" s="133"/>
      <c r="AH77" s="133"/>
      <c r="AI77" s="133"/>
      <c r="AJ77" s="133"/>
      <c r="AK77" s="133"/>
      <c r="AL77" s="133"/>
      <c r="AM77" s="133"/>
      <c r="AN77" s="133"/>
      <c r="AO77" s="133"/>
      <c r="AP77" s="133"/>
      <c r="AQ77" s="133"/>
      <c r="AR77" s="133"/>
      <c r="AS77" s="133"/>
      <c r="AT77" s="133"/>
    </row>
    <row r="78" spans="1:46" s="132" customFormat="1" ht="15" customHeight="1">
      <c r="A78" s="390">
        <f>A77+1</f>
        <v>3</v>
      </c>
      <c r="B78" s="133" t="s">
        <v>1582</v>
      </c>
      <c r="C78" s="133"/>
      <c r="D78" s="170">
        <f t="shared" ref="D78:D83" si="27">R78</f>
        <v>275107372</v>
      </c>
      <c r="E78" s="145">
        <f t="shared" ref="E78:O84" si="28">(+D78-F78)/F78</f>
        <v>2.0202021673651604E-3</v>
      </c>
      <c r="F78" s="170">
        <f t="shared" ref="F78:F83" si="29">S78</f>
        <v>274552720</v>
      </c>
      <c r="G78" s="145">
        <f t="shared" si="28"/>
        <v>1.5738836187054938E-3</v>
      </c>
      <c r="H78" s="170">
        <f t="shared" ref="H78:H83" si="30">T78</f>
        <v>274121285</v>
      </c>
      <c r="I78" s="145">
        <f t="shared" si="28"/>
        <v>6.8526833734107516E-4</v>
      </c>
      <c r="J78" s="170">
        <f t="shared" ref="J78:J83" si="31">U78</f>
        <v>273933567</v>
      </c>
      <c r="K78" s="145">
        <f t="shared" si="28"/>
        <v>1.0464782664186862E-2</v>
      </c>
      <c r="L78" s="170">
        <f t="shared" ref="L78:L83" si="32">V78</f>
        <v>271096600</v>
      </c>
      <c r="M78" s="145">
        <f t="shared" si="28"/>
        <v>2.4373807027703682E-3</v>
      </c>
      <c r="N78" s="170">
        <f t="shared" ref="N78:N83" si="33">W78</f>
        <v>270437441</v>
      </c>
      <c r="O78" s="145">
        <f t="shared" si="28"/>
        <v>3.6874766864711745E-3</v>
      </c>
      <c r="P78" s="170">
        <f t="shared" ref="P78:P83" si="34">X78</f>
        <v>269443873</v>
      </c>
      <c r="Q78" s="147"/>
      <c r="R78" s="133">
        <v>275107372</v>
      </c>
      <c r="S78" s="133">
        <v>274552720</v>
      </c>
      <c r="T78" s="133">
        <v>274121285</v>
      </c>
      <c r="U78" s="133">
        <v>273933567</v>
      </c>
      <c r="V78" s="133">
        <v>271096600</v>
      </c>
      <c r="W78" s="133">
        <v>270437441</v>
      </c>
      <c r="X78" s="133">
        <v>269443873</v>
      </c>
      <c r="Y78" s="133"/>
      <c r="Z78" s="133"/>
      <c r="AA78" s="133"/>
      <c r="AB78" s="133"/>
      <c r="AC78" s="133"/>
      <c r="AD78" s="133"/>
      <c r="AE78" s="133"/>
      <c r="AF78" s="133"/>
      <c r="AG78" s="133"/>
      <c r="AH78" s="133"/>
      <c r="AI78" s="133"/>
      <c r="AJ78" s="133"/>
      <c r="AK78" s="133"/>
      <c r="AL78" s="133"/>
      <c r="AM78" s="133"/>
      <c r="AN78" s="133"/>
      <c r="AO78" s="133"/>
      <c r="AP78" s="133"/>
      <c r="AQ78" s="133"/>
      <c r="AR78" s="133"/>
      <c r="AS78" s="133"/>
      <c r="AT78" s="133"/>
    </row>
    <row r="79" spans="1:46" s="132" customFormat="1" ht="15" customHeight="1">
      <c r="A79" s="390">
        <f t="shared" ref="A79:A84" si="35">A78+1</f>
        <v>4</v>
      </c>
      <c r="B79" s="133" t="s">
        <v>1583</v>
      </c>
      <c r="C79" s="133"/>
      <c r="D79" s="161">
        <f t="shared" si="27"/>
        <v>513170095</v>
      </c>
      <c r="E79" s="145">
        <f t="shared" si="28"/>
        <v>-4.8576745643316793E-2</v>
      </c>
      <c r="F79" s="161">
        <f t="shared" si="29"/>
        <v>539370982</v>
      </c>
      <c r="G79" s="145">
        <f t="shared" si="28"/>
        <v>7.5283681784559131E-2</v>
      </c>
      <c r="H79" s="161">
        <f t="shared" si="30"/>
        <v>501608079</v>
      </c>
      <c r="I79" s="145">
        <f t="shared" si="28"/>
        <v>6.8526685185948477E-4</v>
      </c>
      <c r="J79" s="161">
        <f t="shared" si="31"/>
        <v>501264579</v>
      </c>
      <c r="K79" s="145">
        <f t="shared" si="28"/>
        <v>0.20492544146637284</v>
      </c>
      <c r="L79" s="161">
        <f t="shared" si="32"/>
        <v>416012943</v>
      </c>
      <c r="M79" s="145">
        <f t="shared" si="28"/>
        <v>0.50070757964624202</v>
      </c>
      <c r="N79" s="161">
        <f t="shared" si="33"/>
        <v>277211196</v>
      </c>
      <c r="O79" s="145">
        <f t="shared" si="28"/>
        <v>3.6874756107819805E-3</v>
      </c>
      <c r="P79" s="161">
        <f t="shared" si="34"/>
        <v>276192742</v>
      </c>
      <c r="Q79" s="133"/>
      <c r="R79" s="133">
        <v>513170095</v>
      </c>
      <c r="S79" s="133">
        <v>539370982</v>
      </c>
      <c r="T79" s="133">
        <v>501608079</v>
      </c>
      <c r="U79" s="133">
        <v>501264579</v>
      </c>
      <c r="V79" s="133">
        <v>416012943</v>
      </c>
      <c r="W79" s="133">
        <v>277211196</v>
      </c>
      <c r="X79" s="133">
        <v>276192742</v>
      </c>
      <c r="Y79" s="133"/>
      <c r="Z79" s="133"/>
      <c r="AA79" s="133"/>
      <c r="AB79" s="133"/>
      <c r="AC79" s="133"/>
      <c r="AD79" s="133"/>
      <c r="AE79" s="133"/>
      <c r="AF79" s="133"/>
      <c r="AG79" s="133"/>
      <c r="AH79" s="133"/>
      <c r="AI79" s="133"/>
      <c r="AJ79" s="133"/>
      <c r="AK79" s="133"/>
      <c r="AL79" s="133"/>
      <c r="AM79" s="133"/>
      <c r="AN79" s="133"/>
      <c r="AO79" s="133"/>
      <c r="AP79" s="133"/>
      <c r="AQ79" s="133"/>
      <c r="AR79" s="133"/>
      <c r="AS79" s="133"/>
      <c r="AT79" s="133"/>
    </row>
    <row r="80" spans="1:46" s="132" customFormat="1" ht="15" customHeight="1">
      <c r="A80" s="390">
        <f t="shared" si="35"/>
        <v>5</v>
      </c>
      <c r="B80" s="133" t="s">
        <v>1584</v>
      </c>
      <c r="C80" s="133"/>
      <c r="D80" s="161">
        <f t="shared" si="27"/>
        <v>286847</v>
      </c>
      <c r="E80" s="145">
        <f t="shared" si="28"/>
        <v>2.0225802394958571E-3</v>
      </c>
      <c r="F80" s="161">
        <f t="shared" si="29"/>
        <v>286268</v>
      </c>
      <c r="G80" s="145">
        <f t="shared" si="28"/>
        <v>1.5709242562600807E-3</v>
      </c>
      <c r="H80" s="161">
        <f t="shared" si="30"/>
        <v>285819</v>
      </c>
      <c r="I80" s="145">
        <f t="shared" si="28"/>
        <v>6.862192470494323E-4</v>
      </c>
      <c r="J80" s="161">
        <f t="shared" si="31"/>
        <v>285623</v>
      </c>
      <c r="K80" s="145">
        <f t="shared" si="28"/>
        <v>1.0464684343657688E-2</v>
      </c>
      <c r="L80" s="161">
        <f t="shared" si="32"/>
        <v>282665</v>
      </c>
      <c r="M80" s="145">
        <f t="shared" si="28"/>
        <v>2.4399153122417784E-3</v>
      </c>
      <c r="N80" s="161">
        <f t="shared" si="33"/>
        <v>281977</v>
      </c>
      <c r="O80" s="145">
        <f t="shared" si="28"/>
        <v>3.6840344270347618E-3</v>
      </c>
      <c r="P80" s="161">
        <f t="shared" si="34"/>
        <v>280942</v>
      </c>
      <c r="Q80" s="147"/>
      <c r="R80" s="133">
        <v>286847</v>
      </c>
      <c r="S80" s="133">
        <v>286268</v>
      </c>
      <c r="T80" s="133">
        <v>285819</v>
      </c>
      <c r="U80" s="133">
        <v>285623</v>
      </c>
      <c r="V80" s="133">
        <v>282665</v>
      </c>
      <c r="W80" s="133">
        <v>281977</v>
      </c>
      <c r="X80" s="133">
        <v>280942</v>
      </c>
      <c r="Y80" s="133"/>
      <c r="Z80" s="133"/>
      <c r="AA80" s="133"/>
      <c r="AB80" s="133"/>
      <c r="AC80" s="133"/>
      <c r="AD80" s="133"/>
      <c r="AE80" s="133"/>
      <c r="AF80" s="133"/>
      <c r="AG80" s="133"/>
      <c r="AH80" s="133"/>
      <c r="AI80" s="133"/>
      <c r="AJ80" s="133"/>
      <c r="AK80" s="133"/>
      <c r="AL80" s="133"/>
      <c r="AM80" s="133"/>
      <c r="AN80" s="133"/>
      <c r="AO80" s="133"/>
      <c r="AP80" s="133"/>
      <c r="AQ80" s="133"/>
      <c r="AR80" s="133"/>
      <c r="AS80" s="133"/>
      <c r="AT80" s="133"/>
    </row>
    <row r="81" spans="1:46" s="132" customFormat="1" ht="15" customHeight="1">
      <c r="A81" s="390">
        <f t="shared" si="35"/>
        <v>6</v>
      </c>
      <c r="B81" s="133" t="s">
        <v>1585</v>
      </c>
      <c r="C81" s="133"/>
      <c r="D81" s="161">
        <f t="shared" si="27"/>
        <v>-1602842</v>
      </c>
      <c r="E81" s="145">
        <f t="shared" si="28"/>
        <v>2.0198660799406855E-3</v>
      </c>
      <c r="F81" s="161">
        <f t="shared" si="29"/>
        <v>-1599611</v>
      </c>
      <c r="G81" s="145">
        <f t="shared" si="28"/>
        <v>0.1050311176446613</v>
      </c>
      <c r="H81" s="161">
        <v>-1447571</v>
      </c>
      <c r="I81" s="145">
        <f t="shared" si="28"/>
        <v>0.32115134860348143</v>
      </c>
      <c r="J81" s="161">
        <v>-1095689</v>
      </c>
      <c r="K81" s="145">
        <f t="shared" si="28"/>
        <v>0.35810134113389031</v>
      </c>
      <c r="L81" s="161">
        <v>-806780</v>
      </c>
      <c r="M81" s="145">
        <v>1</v>
      </c>
      <c r="N81" s="167">
        <f t="shared" si="33"/>
        <v>0</v>
      </c>
      <c r="O81" s="145">
        <v>0</v>
      </c>
      <c r="P81" s="167">
        <f t="shared" si="34"/>
        <v>0</v>
      </c>
      <c r="Q81" s="147"/>
      <c r="R81" s="133">
        <v>-1602842</v>
      </c>
      <c r="S81" s="133">
        <v>-1599611</v>
      </c>
      <c r="T81" s="161">
        <v>-1447571</v>
      </c>
      <c r="U81" s="161">
        <v>-1095689</v>
      </c>
      <c r="V81" s="161">
        <v>-806780</v>
      </c>
      <c r="W81" s="133">
        <v>0</v>
      </c>
      <c r="X81" s="133">
        <v>0</v>
      </c>
      <c r="Y81" s="133"/>
      <c r="Z81" s="133"/>
      <c r="AA81" s="133"/>
      <c r="AB81" s="133"/>
      <c r="AC81" s="133"/>
      <c r="AD81" s="133"/>
      <c r="AE81" s="133"/>
      <c r="AF81" s="133"/>
      <c r="AG81" s="133"/>
      <c r="AH81" s="133"/>
      <c r="AI81" s="133"/>
      <c r="AJ81" s="133"/>
      <c r="AK81" s="133"/>
      <c r="AL81" s="133"/>
      <c r="AM81" s="133"/>
      <c r="AN81" s="133"/>
      <c r="AO81" s="133"/>
      <c r="AP81" s="133"/>
      <c r="AQ81" s="133"/>
      <c r="AR81" s="133"/>
      <c r="AS81" s="133"/>
      <c r="AT81" s="133"/>
    </row>
    <row r="82" spans="1:46" s="132" customFormat="1" ht="15" customHeight="1">
      <c r="A82" s="390">
        <f t="shared" si="35"/>
        <v>7</v>
      </c>
      <c r="B82" s="133" t="s">
        <v>1586</v>
      </c>
      <c r="C82" s="133"/>
      <c r="D82" s="161">
        <f t="shared" si="27"/>
        <v>1703249958</v>
      </c>
      <c r="E82" s="145">
        <f t="shared" si="28"/>
        <v>3.4661064508242322E-2</v>
      </c>
      <c r="F82" s="161">
        <f t="shared" si="29"/>
        <v>1646191218</v>
      </c>
      <c r="G82" s="145">
        <f t="shared" si="28"/>
        <v>2.2761142558574605E-2</v>
      </c>
      <c r="H82" s="161">
        <f t="shared" si="30"/>
        <v>1609555887</v>
      </c>
      <c r="I82" s="145">
        <f t="shared" si="28"/>
        <v>4.7170339702767516E-2</v>
      </c>
      <c r="J82" s="161">
        <f t="shared" si="31"/>
        <v>1537052594</v>
      </c>
      <c r="K82" s="145">
        <f t="shared" si="28"/>
        <v>5.4022198426410907E-2</v>
      </c>
      <c r="L82" s="161">
        <f t="shared" si="32"/>
        <v>1458273456</v>
      </c>
      <c r="M82" s="145">
        <f t="shared" si="28"/>
        <v>7.5718192851922619E-2</v>
      </c>
      <c r="N82" s="161">
        <f t="shared" si="33"/>
        <v>1355627771</v>
      </c>
      <c r="O82" s="145">
        <f t="shared" si="28"/>
        <v>4.0017121817224797E-2</v>
      </c>
      <c r="P82" s="161">
        <f t="shared" si="34"/>
        <v>1303466782</v>
      </c>
      <c r="Q82" s="147"/>
      <c r="R82" s="133">
        <v>1703249958</v>
      </c>
      <c r="S82" s="133">
        <v>1646191218</v>
      </c>
      <c r="T82" s="133">
        <v>1609555887</v>
      </c>
      <c r="U82" s="133">
        <v>1537052594</v>
      </c>
      <c r="V82" s="133">
        <v>1458273456</v>
      </c>
      <c r="W82" s="133">
        <v>1355627771</v>
      </c>
      <c r="X82" s="133">
        <v>1303466782</v>
      </c>
      <c r="Y82" s="133"/>
      <c r="Z82" s="133"/>
      <c r="AA82" s="133"/>
      <c r="AB82" s="133"/>
      <c r="AC82" s="133"/>
      <c r="AD82" s="133"/>
      <c r="AE82" s="133"/>
      <c r="AF82" s="133"/>
      <c r="AG82" s="133"/>
      <c r="AH82" s="133"/>
      <c r="AI82" s="133"/>
      <c r="AJ82" s="133"/>
      <c r="AK82" s="133"/>
      <c r="AL82" s="133"/>
      <c r="AM82" s="133"/>
      <c r="AN82" s="133"/>
      <c r="AO82" s="133"/>
      <c r="AP82" s="133"/>
      <c r="AQ82" s="133"/>
      <c r="AR82" s="133"/>
      <c r="AS82" s="133"/>
      <c r="AT82" s="133"/>
    </row>
    <row r="83" spans="1:46" s="132" customFormat="1" ht="15" customHeight="1">
      <c r="A83" s="390">
        <f t="shared" si="35"/>
        <v>8</v>
      </c>
      <c r="B83" s="133" t="s">
        <v>1587</v>
      </c>
      <c r="C83" s="133"/>
      <c r="D83" s="172">
        <f t="shared" si="27"/>
        <v>0</v>
      </c>
      <c r="E83" s="145">
        <v>0</v>
      </c>
      <c r="F83" s="172">
        <f t="shared" si="29"/>
        <v>0</v>
      </c>
      <c r="G83" s="145">
        <v>0</v>
      </c>
      <c r="H83" s="172">
        <f t="shared" si="30"/>
        <v>0</v>
      </c>
      <c r="I83" s="145">
        <v>0</v>
      </c>
      <c r="J83" s="172">
        <f t="shared" si="31"/>
        <v>0</v>
      </c>
      <c r="K83" s="145">
        <v>0</v>
      </c>
      <c r="L83" s="172">
        <f t="shared" si="32"/>
        <v>0</v>
      </c>
      <c r="M83" s="145">
        <v>0</v>
      </c>
      <c r="N83" s="172">
        <f t="shared" si="33"/>
        <v>0</v>
      </c>
      <c r="O83" s="145">
        <v>0</v>
      </c>
      <c r="P83" s="172">
        <f t="shared" si="34"/>
        <v>0</v>
      </c>
      <c r="Q83" s="147"/>
      <c r="R83" s="133">
        <v>0</v>
      </c>
      <c r="S83" s="133">
        <v>0</v>
      </c>
      <c r="T83" s="133">
        <v>0</v>
      </c>
      <c r="U83" s="133">
        <v>0</v>
      </c>
      <c r="V83" s="133"/>
      <c r="W83" s="133"/>
      <c r="X83" s="133"/>
      <c r="Y83" s="133"/>
      <c r="Z83" s="133"/>
      <c r="AA83" s="133"/>
      <c r="AB83" s="133"/>
      <c r="AC83" s="133"/>
      <c r="AD83" s="133"/>
      <c r="AE83" s="133"/>
      <c r="AF83" s="133"/>
      <c r="AG83" s="133"/>
      <c r="AH83" s="133"/>
      <c r="AI83" s="133"/>
      <c r="AJ83" s="133"/>
      <c r="AK83" s="133"/>
      <c r="AL83" s="133"/>
      <c r="AM83" s="133"/>
      <c r="AN83" s="133"/>
      <c r="AO83" s="133"/>
      <c r="AP83" s="133"/>
      <c r="AQ83" s="133"/>
      <c r="AR83" s="133"/>
      <c r="AS83" s="133"/>
      <c r="AT83" s="133"/>
    </row>
    <row r="84" spans="1:46" s="132" customFormat="1" ht="15" customHeight="1">
      <c r="A84" s="390">
        <f t="shared" si="35"/>
        <v>9</v>
      </c>
      <c r="B84" s="133" t="s">
        <v>1588</v>
      </c>
      <c r="C84" s="133"/>
      <c r="D84" s="166">
        <f>SUM(D78,D79,-D80,D81,D82,D83)</f>
        <v>2489637736</v>
      </c>
      <c r="E84" s="145">
        <f t="shared" si="28"/>
        <v>1.277696035485084E-2</v>
      </c>
      <c r="F84" s="166">
        <f>SUM(F78,F79,-F80,F81,F82,F83)</f>
        <v>2458229041</v>
      </c>
      <c r="G84" s="145">
        <f t="shared" si="28"/>
        <v>3.1330209852732042E-2</v>
      </c>
      <c r="H84" s="166">
        <f>SUM(H78,H79,-H80,H81,H82,H83)</f>
        <v>2383551861</v>
      </c>
      <c r="I84" s="145">
        <f t="shared" si="28"/>
        <v>3.1452418782010043E-2</v>
      </c>
      <c r="J84" s="166">
        <f>SUM(J78,J79,-J80,J81,J82,J83)</f>
        <v>2310869428</v>
      </c>
      <c r="K84" s="145">
        <f t="shared" si="28"/>
        <v>7.7683334769750464E-2</v>
      </c>
      <c r="L84" s="166">
        <f>SUM(L78,L79,-L80,L81,L82,L83)</f>
        <v>2144293554</v>
      </c>
      <c r="M84" s="145">
        <f t="shared" si="28"/>
        <v>0.12679970002497606</v>
      </c>
      <c r="N84" s="166">
        <f>SUM(N78,N79,-N80,N81,N82,N83)</f>
        <v>1902994431</v>
      </c>
      <c r="O84" s="145">
        <f t="shared" si="28"/>
        <v>2.9300799464813943E-2</v>
      </c>
      <c r="P84" s="166">
        <f>SUM(P78,P79,-P80,P81,P82,P83)</f>
        <v>1848822455</v>
      </c>
      <c r="Q84" s="133"/>
      <c r="R84" s="133"/>
      <c r="S84" s="133"/>
      <c r="T84" s="133"/>
      <c r="U84" s="133"/>
      <c r="V84" s="133"/>
      <c r="W84" s="133"/>
      <c r="X84" s="133"/>
      <c r="Y84" s="133"/>
      <c r="Z84" s="133"/>
      <c r="AA84" s="133"/>
      <c r="AB84" s="133"/>
      <c r="AC84" s="133"/>
      <c r="AD84" s="133"/>
      <c r="AE84" s="133"/>
      <c r="AF84" s="133"/>
      <c r="AG84" s="133"/>
      <c r="AH84" s="133"/>
      <c r="AI84" s="133"/>
      <c r="AJ84" s="133"/>
      <c r="AK84" s="133"/>
      <c r="AL84" s="133"/>
      <c r="AM84" s="133"/>
      <c r="AN84" s="133"/>
      <c r="AO84" s="133"/>
      <c r="AP84" s="133"/>
      <c r="AQ84" s="133"/>
      <c r="AR84" s="133"/>
      <c r="AS84" s="133"/>
      <c r="AT84" s="133"/>
    </row>
    <row r="85" spans="1:46" s="132" customFormat="1" ht="15" customHeight="1">
      <c r="A85" s="390"/>
      <c r="B85" s="133"/>
      <c r="C85" s="133"/>
      <c r="D85" s="151"/>
      <c r="E85" s="160"/>
      <c r="F85" s="151"/>
      <c r="G85" s="160"/>
      <c r="H85" s="151"/>
      <c r="I85" s="160"/>
      <c r="J85" s="151"/>
      <c r="K85" s="160"/>
      <c r="L85" s="151"/>
      <c r="M85" s="160"/>
      <c r="N85" s="151"/>
      <c r="O85" s="160"/>
      <c r="P85" s="151"/>
      <c r="Q85" s="133"/>
      <c r="R85" s="133"/>
      <c r="S85" s="133"/>
      <c r="T85" s="133"/>
      <c r="U85" s="133"/>
      <c r="V85" s="133"/>
      <c r="W85" s="133"/>
      <c r="X85" s="133"/>
      <c r="Y85" s="133"/>
      <c r="Z85" s="133"/>
      <c r="AA85" s="133"/>
      <c r="AB85" s="133"/>
      <c r="AC85" s="133"/>
      <c r="AD85" s="133"/>
      <c r="AE85" s="133"/>
      <c r="AF85" s="133"/>
      <c r="AG85" s="133"/>
      <c r="AH85" s="133"/>
      <c r="AI85" s="133"/>
      <c r="AJ85" s="133"/>
      <c r="AK85" s="133"/>
      <c r="AL85" s="133"/>
      <c r="AM85" s="133"/>
      <c r="AN85" s="133"/>
      <c r="AO85" s="133"/>
      <c r="AP85" s="133"/>
      <c r="AQ85" s="133"/>
      <c r="AR85" s="133"/>
      <c r="AS85" s="133"/>
      <c r="AT85" s="133"/>
    </row>
    <row r="86" spans="1:46" s="132" customFormat="1" ht="15" customHeight="1">
      <c r="A86" s="390">
        <f>A84+1</f>
        <v>10</v>
      </c>
      <c r="B86" s="144" t="s">
        <v>1493</v>
      </c>
      <c r="C86" s="133"/>
      <c r="D86" s="159"/>
      <c r="E86" s="158"/>
      <c r="F86" s="159"/>
      <c r="G86" s="158"/>
      <c r="H86" s="159"/>
      <c r="I86" s="158"/>
      <c r="J86" s="159"/>
      <c r="K86" s="158"/>
      <c r="L86" s="159"/>
      <c r="M86" s="158"/>
      <c r="N86" s="159"/>
      <c r="O86" s="158"/>
      <c r="P86" s="159"/>
      <c r="Q86" s="133"/>
      <c r="R86" s="133"/>
      <c r="S86" s="133"/>
      <c r="T86" s="133"/>
      <c r="U86" s="133"/>
      <c r="V86" s="133"/>
      <c r="W86" s="133"/>
      <c r="X86" s="133"/>
      <c r="Y86" s="133"/>
      <c r="Z86" s="133"/>
      <c r="AA86" s="133"/>
      <c r="AB86" s="133"/>
      <c r="AC86" s="133"/>
      <c r="AD86" s="133"/>
      <c r="AE86" s="133"/>
      <c r="AF86" s="133"/>
      <c r="AG86" s="133"/>
      <c r="AH86" s="133"/>
      <c r="AI86" s="133"/>
      <c r="AJ86" s="133"/>
      <c r="AK86" s="133"/>
      <c r="AL86" s="133"/>
      <c r="AM86" s="133"/>
      <c r="AN86" s="133"/>
      <c r="AO86" s="133"/>
      <c r="AP86" s="133"/>
      <c r="AQ86" s="133"/>
      <c r="AR86" s="133"/>
      <c r="AS86" s="133"/>
      <c r="AT86" s="133"/>
    </row>
    <row r="87" spans="1:46" s="132" customFormat="1" ht="15" customHeight="1">
      <c r="A87" s="390">
        <f t="shared" ref="A87:A90" si="36">A86+1</f>
        <v>11</v>
      </c>
      <c r="B87" s="133" t="s">
        <v>1589</v>
      </c>
      <c r="C87" s="133"/>
      <c r="D87" s="170">
        <f>R87</f>
        <v>2098775853</v>
      </c>
      <c r="E87" s="145">
        <f t="shared" ref="E87:O90" si="37">(+D87-F87)/F87</f>
        <v>2.0202020539597525E-3</v>
      </c>
      <c r="F87" s="170">
        <f>S87</f>
        <v>2094544450</v>
      </c>
      <c r="G87" s="145">
        <f t="shared" si="37"/>
        <v>1.5738831707207321E-3</v>
      </c>
      <c r="H87" s="170">
        <f t="shared" ref="H87:H89" si="38">T87</f>
        <v>2091253062</v>
      </c>
      <c r="I87" s="145">
        <f t="shared" si="37"/>
        <v>0.11977026893731489</v>
      </c>
      <c r="J87" s="170">
        <f t="shared" ref="J87:J89" si="39">U87</f>
        <v>1867573305</v>
      </c>
      <c r="K87" s="145">
        <f t="shared" si="37"/>
        <v>1.0464781698469936E-2</v>
      </c>
      <c r="L87" s="170">
        <f t="shared" ref="L87:L89" si="40">V87</f>
        <v>1848231961</v>
      </c>
      <c r="M87" s="145">
        <f t="shared" si="37"/>
        <v>0.13784484620787285</v>
      </c>
      <c r="N87" s="170">
        <f t="shared" ref="N87:N89" si="41">W87</f>
        <v>1624326873</v>
      </c>
      <c r="O87" s="145">
        <f t="shared" si="37"/>
        <v>3.6874773926117428E-3</v>
      </c>
      <c r="P87" s="170">
        <f t="shared" ref="P87:P89" si="42">X87</f>
        <v>1618359210</v>
      </c>
      <c r="Q87" s="133"/>
      <c r="R87" s="133">
        <v>2098775853</v>
      </c>
      <c r="S87" s="133">
        <v>2094544450</v>
      </c>
      <c r="T87" s="133">
        <v>2091253062</v>
      </c>
      <c r="U87" s="133">
        <v>1867573305</v>
      </c>
      <c r="V87" s="133">
        <v>1848231961</v>
      </c>
      <c r="W87" s="133">
        <v>1624326873</v>
      </c>
      <c r="X87" s="133">
        <v>1618359210</v>
      </c>
      <c r="Y87" s="133"/>
      <c r="Z87" s="133"/>
      <c r="AA87" s="133"/>
      <c r="AB87" s="133"/>
      <c r="AC87" s="133"/>
      <c r="AD87" s="133"/>
      <c r="AE87" s="133"/>
      <c r="AF87" s="133"/>
      <c r="AG87" s="133"/>
      <c r="AH87" s="133"/>
      <c r="AI87" s="133"/>
      <c r="AJ87" s="133"/>
      <c r="AK87" s="133"/>
      <c r="AL87" s="133"/>
      <c r="AM87" s="133"/>
      <c r="AN87" s="133"/>
      <c r="AO87" s="133"/>
      <c r="AP87" s="133"/>
      <c r="AQ87" s="133"/>
      <c r="AR87" s="133"/>
      <c r="AS87" s="133"/>
      <c r="AT87" s="133"/>
    </row>
    <row r="88" spans="1:46" s="132" customFormat="1" ht="15" customHeight="1">
      <c r="A88" s="390">
        <f t="shared" si="36"/>
        <v>12</v>
      </c>
      <c r="B88" s="133" t="s">
        <v>1611</v>
      </c>
      <c r="C88" s="133"/>
      <c r="D88" s="167">
        <f>R88</f>
        <v>0</v>
      </c>
      <c r="E88" s="145">
        <v>0</v>
      </c>
      <c r="F88" s="167">
        <f>S88</f>
        <v>0</v>
      </c>
      <c r="G88" s="145">
        <v>0</v>
      </c>
      <c r="H88" s="167">
        <f t="shared" si="38"/>
        <v>0</v>
      </c>
      <c r="I88" s="145">
        <v>0</v>
      </c>
      <c r="J88" s="167">
        <f t="shared" si="39"/>
        <v>0</v>
      </c>
      <c r="K88" s="145">
        <v>0</v>
      </c>
      <c r="L88" s="167">
        <f t="shared" si="40"/>
        <v>0</v>
      </c>
      <c r="M88" s="145">
        <v>0</v>
      </c>
      <c r="N88" s="167">
        <f t="shared" si="41"/>
        <v>0</v>
      </c>
      <c r="O88" s="145">
        <v>0</v>
      </c>
      <c r="P88" s="167">
        <f t="shared" si="42"/>
        <v>0</v>
      </c>
      <c r="Q88" s="147"/>
      <c r="R88" s="133">
        <v>0</v>
      </c>
      <c r="S88" s="133">
        <v>0</v>
      </c>
      <c r="T88" s="133">
        <v>0</v>
      </c>
      <c r="U88" s="133">
        <v>0</v>
      </c>
      <c r="V88" s="133">
        <v>0</v>
      </c>
      <c r="W88" s="133">
        <v>0</v>
      </c>
      <c r="X88" s="133">
        <v>0</v>
      </c>
      <c r="Y88" s="133"/>
      <c r="Z88" s="133"/>
      <c r="AA88" s="133"/>
      <c r="AB88" s="133"/>
      <c r="AC88" s="133"/>
      <c r="AD88" s="133"/>
      <c r="AE88" s="133"/>
      <c r="AF88" s="133"/>
      <c r="AG88" s="133"/>
      <c r="AH88" s="133"/>
      <c r="AI88" s="133"/>
      <c r="AJ88" s="133"/>
      <c r="AK88" s="133"/>
      <c r="AL88" s="133"/>
      <c r="AM88" s="133"/>
      <c r="AN88" s="133"/>
      <c r="AO88" s="133"/>
      <c r="AP88" s="133"/>
      <c r="AQ88" s="133"/>
      <c r="AR88" s="133"/>
      <c r="AS88" s="133"/>
      <c r="AT88" s="133"/>
    </row>
    <row r="89" spans="1:46" s="132" customFormat="1" ht="15" customHeight="1">
      <c r="A89" s="390">
        <f t="shared" si="36"/>
        <v>13</v>
      </c>
      <c r="B89" s="133" t="s">
        <v>1590</v>
      </c>
      <c r="C89" s="133"/>
      <c r="D89" s="161">
        <f>R89</f>
        <v>-7651971</v>
      </c>
      <c r="E89" s="145">
        <f t="shared" si="37"/>
        <v>-4.8035215366053742E-2</v>
      </c>
      <c r="F89" s="161">
        <f>S89</f>
        <v>-8038082</v>
      </c>
      <c r="G89" s="145">
        <f t="shared" si="37"/>
        <v>-6.3550684132274035E-2</v>
      </c>
      <c r="H89" s="161">
        <f t="shared" si="38"/>
        <v>-8583574</v>
      </c>
      <c r="I89" s="145">
        <f t="shared" si="37"/>
        <v>-3.5543838584453258E-2</v>
      </c>
      <c r="J89" s="161">
        <f t="shared" si="39"/>
        <v>-8899911</v>
      </c>
      <c r="K89" s="145">
        <f t="shared" si="37"/>
        <v>-5.5445981476792076E-2</v>
      </c>
      <c r="L89" s="161">
        <f t="shared" si="40"/>
        <v>-9422342</v>
      </c>
      <c r="M89" s="145">
        <f t="shared" si="37"/>
        <v>0.12387699873947135</v>
      </c>
      <c r="N89" s="161">
        <f t="shared" si="41"/>
        <v>-8383784</v>
      </c>
      <c r="O89" s="145">
        <f t="shared" si="37"/>
        <v>-5.8896163623379037E-2</v>
      </c>
      <c r="P89" s="161">
        <f t="shared" si="42"/>
        <v>-8908458</v>
      </c>
      <c r="Q89" s="147"/>
      <c r="R89" s="133">
        <v>-7651971</v>
      </c>
      <c r="S89" s="133">
        <v>-8038082</v>
      </c>
      <c r="T89" s="133">
        <v>-8583574</v>
      </c>
      <c r="U89" s="133">
        <v>-8899911</v>
      </c>
      <c r="V89" s="133">
        <v>-9422342</v>
      </c>
      <c r="W89" s="133">
        <v>-8383784</v>
      </c>
      <c r="X89" s="133">
        <v>-8908458</v>
      </c>
      <c r="Y89" s="133"/>
      <c r="Z89" s="133"/>
      <c r="AA89" s="133"/>
      <c r="AB89" s="133"/>
      <c r="AC89" s="133"/>
      <c r="AD89" s="133"/>
      <c r="AE89" s="133"/>
      <c r="AF89" s="133"/>
      <c r="AG89" s="133"/>
      <c r="AH89" s="133"/>
      <c r="AI89" s="133"/>
      <c r="AJ89" s="133"/>
      <c r="AK89" s="133"/>
      <c r="AL89" s="133"/>
      <c r="AM89" s="133"/>
      <c r="AN89" s="133"/>
      <c r="AO89" s="133"/>
      <c r="AP89" s="133"/>
      <c r="AQ89" s="133"/>
      <c r="AR89" s="133"/>
      <c r="AS89" s="133"/>
      <c r="AT89" s="133"/>
    </row>
    <row r="90" spans="1:46" s="132" customFormat="1" ht="15" customHeight="1">
      <c r="A90" s="390">
        <f t="shared" si="36"/>
        <v>14</v>
      </c>
      <c r="B90" s="133" t="s">
        <v>1591</v>
      </c>
      <c r="C90" s="133"/>
      <c r="D90" s="166">
        <f>SUM(D87:D89)</f>
        <v>2091123882</v>
      </c>
      <c r="E90" s="145">
        <f t="shared" si="37"/>
        <v>2.2130361406114819E-3</v>
      </c>
      <c r="F90" s="166">
        <f>SUM(F87:F89)</f>
        <v>2086506368</v>
      </c>
      <c r="G90" s="145">
        <f t="shared" si="37"/>
        <v>1.8422894377180215E-3</v>
      </c>
      <c r="H90" s="166">
        <f>SUM(H87:H89)</f>
        <v>2082669488</v>
      </c>
      <c r="I90" s="145">
        <f t="shared" si="37"/>
        <v>0.1205139615830752</v>
      </c>
      <c r="J90" s="166">
        <f>SUM(J87:J89)</f>
        <v>1858673394</v>
      </c>
      <c r="K90" s="145">
        <f t="shared" si="37"/>
        <v>1.080251853957699E-2</v>
      </c>
      <c r="L90" s="166">
        <f>SUM(L87:L89)</f>
        <v>1838809619</v>
      </c>
      <c r="M90" s="145">
        <f t="shared" si="37"/>
        <v>0.13791731374519961</v>
      </c>
      <c r="N90" s="166">
        <f>SUM(N87:N89)</f>
        <v>1615943089</v>
      </c>
      <c r="O90" s="145">
        <f t="shared" si="37"/>
        <v>4.0338836040383543E-3</v>
      </c>
      <c r="P90" s="166">
        <f>SUM(P87:P89)</f>
        <v>1609450752</v>
      </c>
      <c r="Q90" s="147"/>
      <c r="R90" s="133"/>
      <c r="S90" s="133"/>
      <c r="T90" s="133"/>
      <c r="U90" s="133"/>
      <c r="V90" s="133"/>
      <c r="W90" s="133"/>
      <c r="X90" s="133"/>
      <c r="Y90" s="133"/>
      <c r="Z90" s="133"/>
      <c r="AA90" s="133"/>
      <c r="AB90" s="133"/>
      <c r="AC90" s="133"/>
      <c r="AD90" s="133"/>
      <c r="AE90" s="133"/>
      <c r="AF90" s="133"/>
      <c r="AG90" s="133"/>
      <c r="AH90" s="133"/>
      <c r="AI90" s="133"/>
      <c r="AJ90" s="133"/>
      <c r="AK90" s="133"/>
      <c r="AL90" s="133"/>
      <c r="AM90" s="133"/>
      <c r="AN90" s="133"/>
      <c r="AO90" s="133"/>
      <c r="AP90" s="133"/>
      <c r="AQ90" s="133"/>
      <c r="AR90" s="133"/>
      <c r="AS90" s="133"/>
      <c r="AT90" s="133"/>
    </row>
    <row r="91" spans="1:46" s="132" customFormat="1" ht="15" customHeight="1">
      <c r="A91" s="390"/>
      <c r="B91" s="133"/>
      <c r="C91" s="133"/>
      <c r="D91" s="161"/>
      <c r="E91" s="158"/>
      <c r="F91" s="161"/>
      <c r="G91" s="158"/>
      <c r="H91" s="161"/>
      <c r="I91" s="158"/>
      <c r="J91" s="161"/>
      <c r="K91" s="158"/>
      <c r="L91" s="161"/>
      <c r="M91" s="158"/>
      <c r="N91" s="161"/>
      <c r="O91" s="158"/>
      <c r="P91" s="161"/>
      <c r="Q91" s="147"/>
      <c r="R91" s="133"/>
      <c r="S91" s="133"/>
      <c r="T91" s="133"/>
      <c r="U91" s="133"/>
      <c r="V91" s="133"/>
      <c r="W91" s="133"/>
      <c r="X91" s="133"/>
      <c r="Y91" s="133"/>
      <c r="Z91" s="133"/>
      <c r="AA91" s="133"/>
      <c r="AB91" s="133"/>
      <c r="AC91" s="133"/>
      <c r="AD91" s="133"/>
      <c r="AE91" s="133"/>
      <c r="AF91" s="133"/>
      <c r="AG91" s="133"/>
      <c r="AH91" s="133"/>
      <c r="AI91" s="133"/>
      <c r="AJ91" s="133"/>
      <c r="AK91" s="133"/>
      <c r="AL91" s="133"/>
      <c r="AM91" s="133"/>
      <c r="AN91" s="133"/>
      <c r="AO91" s="133"/>
      <c r="AP91" s="133"/>
      <c r="AQ91" s="133"/>
      <c r="AR91" s="133"/>
      <c r="AS91" s="133"/>
      <c r="AT91" s="133"/>
    </row>
    <row r="92" spans="1:46" s="132" customFormat="1" ht="15" customHeight="1">
      <c r="A92" s="390">
        <f>A90+1</f>
        <v>15</v>
      </c>
      <c r="B92" s="144" t="s">
        <v>1592</v>
      </c>
      <c r="C92" s="133"/>
      <c r="D92" s="161"/>
      <c r="E92" s="158"/>
      <c r="F92" s="161"/>
      <c r="G92" s="158"/>
      <c r="H92" s="161"/>
      <c r="I92" s="158"/>
      <c r="J92" s="161"/>
      <c r="K92" s="158"/>
      <c r="L92" s="161"/>
      <c r="M92" s="158"/>
      <c r="N92" s="161"/>
      <c r="O92" s="158"/>
      <c r="P92" s="161"/>
      <c r="Q92" s="147"/>
      <c r="R92" s="133"/>
      <c r="S92" s="133"/>
      <c r="T92" s="133"/>
      <c r="U92" s="133"/>
      <c r="V92" s="133"/>
      <c r="W92" s="133"/>
      <c r="X92" s="133"/>
      <c r="Y92" s="133"/>
      <c r="Z92" s="133"/>
      <c r="AA92" s="133"/>
      <c r="AB92" s="133"/>
      <c r="AC92" s="133"/>
      <c r="AD92" s="133"/>
      <c r="AE92" s="133"/>
      <c r="AF92" s="133"/>
      <c r="AG92" s="133"/>
      <c r="AH92" s="133"/>
      <c r="AI92" s="133"/>
      <c r="AJ92" s="133"/>
      <c r="AK92" s="133"/>
      <c r="AL92" s="133"/>
      <c r="AM92" s="133"/>
      <c r="AN92" s="133"/>
      <c r="AO92" s="133"/>
      <c r="AP92" s="133"/>
      <c r="AQ92" s="133"/>
      <c r="AR92" s="133"/>
      <c r="AS92" s="133"/>
      <c r="AT92" s="133"/>
    </row>
    <row r="93" spans="1:46" s="132" customFormat="1" ht="15" customHeight="1">
      <c r="A93" s="390">
        <f>A92+1</f>
        <v>16</v>
      </c>
      <c r="B93" s="133" t="s">
        <v>1593</v>
      </c>
      <c r="C93" s="133"/>
      <c r="D93" s="170">
        <f>R93</f>
        <v>2117430</v>
      </c>
      <c r="E93" s="145">
        <f t="shared" ref="E93:O95" si="43">(+D93-F93)/F93</f>
        <v>1.4377669209559259E-3</v>
      </c>
      <c r="F93" s="170">
        <f>S93</f>
        <v>2114390</v>
      </c>
      <c r="G93" s="145">
        <f t="shared" si="43"/>
        <v>9.4347795419137594E-4</v>
      </c>
      <c r="H93" s="170">
        <f t="shared" ref="H93:H94" si="44">T93</f>
        <v>2112397</v>
      </c>
      <c r="I93" s="145">
        <f t="shared" si="43"/>
        <v>0.14229560428626431</v>
      </c>
      <c r="J93" s="170">
        <f t="shared" ref="J93:J94" si="45">U93</f>
        <v>1849256</v>
      </c>
      <c r="K93" s="145">
        <f t="shared" si="43"/>
        <v>-5.3125176010363491E-2</v>
      </c>
      <c r="L93" s="170">
        <f t="shared" ref="L93:L94" si="46">V93</f>
        <v>1953010</v>
      </c>
      <c r="M93" s="145">
        <f t="shared" si="43"/>
        <v>-6.0410530660865262E-2</v>
      </c>
      <c r="N93" s="170">
        <f t="shared" ref="N93:N94" si="47">W93</f>
        <v>2078578</v>
      </c>
      <c r="O93" s="145">
        <f t="shared" si="43"/>
        <v>-0.1328578031942676</v>
      </c>
      <c r="P93" s="170">
        <f t="shared" ref="P93:P94" si="48">X93</f>
        <v>2397044</v>
      </c>
      <c r="Q93" s="147"/>
      <c r="R93" s="133">
        <v>2117430</v>
      </c>
      <c r="S93" s="133">
        <v>2114390</v>
      </c>
      <c r="T93" s="133">
        <v>2112397</v>
      </c>
      <c r="U93" s="133">
        <v>1849256</v>
      </c>
      <c r="V93" s="133">
        <v>1953010</v>
      </c>
      <c r="W93" s="133">
        <v>2078578</v>
      </c>
      <c r="X93" s="133">
        <v>2397044</v>
      </c>
      <c r="Y93" s="133"/>
      <c r="Z93" s="133"/>
      <c r="AA93" s="133"/>
      <c r="AB93" s="133"/>
      <c r="AC93" s="133"/>
      <c r="AD93" s="133"/>
      <c r="AE93" s="133"/>
      <c r="AF93" s="133"/>
      <c r="AG93" s="133"/>
      <c r="AH93" s="133"/>
      <c r="AI93" s="133"/>
      <c r="AJ93" s="133"/>
      <c r="AK93" s="133"/>
      <c r="AL93" s="133"/>
      <c r="AM93" s="133"/>
      <c r="AN93" s="133"/>
      <c r="AO93" s="133"/>
      <c r="AP93" s="133"/>
      <c r="AQ93" s="133"/>
      <c r="AR93" s="133"/>
      <c r="AS93" s="133"/>
      <c r="AT93" s="133"/>
    </row>
    <row r="94" spans="1:46" s="132" customFormat="1" ht="15" customHeight="1">
      <c r="A94" s="390">
        <f t="shared" ref="A94:A95" si="49">A93+1</f>
        <v>17</v>
      </c>
      <c r="B94" s="133" t="s">
        <v>1594</v>
      </c>
      <c r="C94" s="133"/>
      <c r="D94" s="161">
        <f>R94</f>
        <v>90699123</v>
      </c>
      <c r="E94" s="145">
        <f t="shared" si="43"/>
        <v>-0.10670529151437953</v>
      </c>
      <c r="F94" s="161">
        <f>S94</f>
        <v>101533259</v>
      </c>
      <c r="G94" s="145">
        <f t="shared" si="43"/>
        <v>0.2018832609065955</v>
      </c>
      <c r="H94" s="161">
        <f t="shared" si="44"/>
        <v>84478470</v>
      </c>
      <c r="I94" s="145">
        <f t="shared" si="43"/>
        <v>-0.20371925267811514</v>
      </c>
      <c r="J94" s="161">
        <f t="shared" si="45"/>
        <v>106091313</v>
      </c>
      <c r="K94" s="145">
        <f t="shared" si="43"/>
        <v>0.9721329665522469</v>
      </c>
      <c r="L94" s="161">
        <f t="shared" si="46"/>
        <v>53795213</v>
      </c>
      <c r="M94" s="145">
        <f t="shared" si="43"/>
        <v>-0.63443142463551816</v>
      </c>
      <c r="N94" s="161">
        <f t="shared" si="47"/>
        <v>147154916</v>
      </c>
      <c r="O94" s="145">
        <f t="shared" si="43"/>
        <v>9.2168659734283162E-2</v>
      </c>
      <c r="P94" s="161">
        <f t="shared" si="48"/>
        <v>134736439</v>
      </c>
      <c r="Q94" s="147"/>
      <c r="R94" s="133">
        <v>90699123</v>
      </c>
      <c r="S94" s="133">
        <v>101533259</v>
      </c>
      <c r="T94" s="133">
        <v>84478470</v>
      </c>
      <c r="U94" s="133">
        <v>106091313</v>
      </c>
      <c r="V94" s="133">
        <v>53795213</v>
      </c>
      <c r="W94" s="133">
        <v>147154916</v>
      </c>
      <c r="X94" s="133">
        <v>134736439</v>
      </c>
      <c r="Y94" s="133"/>
      <c r="Z94" s="133"/>
      <c r="AA94" s="133"/>
      <c r="AB94" s="133"/>
      <c r="AC94" s="133"/>
      <c r="AD94" s="133"/>
      <c r="AE94" s="133"/>
      <c r="AF94" s="133"/>
      <c r="AG94" s="133"/>
      <c r="AH94" s="133"/>
      <c r="AI94" s="133"/>
      <c r="AJ94" s="133"/>
      <c r="AK94" s="133"/>
      <c r="AL94" s="133"/>
      <c r="AM94" s="133"/>
      <c r="AN94" s="133"/>
      <c r="AO94" s="133"/>
      <c r="AP94" s="133"/>
      <c r="AQ94" s="133"/>
      <c r="AR94" s="133"/>
      <c r="AS94" s="133"/>
      <c r="AT94" s="133"/>
    </row>
    <row r="95" spans="1:46" s="132" customFormat="1" ht="15" customHeight="1">
      <c r="A95" s="390">
        <f t="shared" si="49"/>
        <v>18</v>
      </c>
      <c r="B95" s="133" t="s">
        <v>1595</v>
      </c>
      <c r="C95" s="133"/>
      <c r="D95" s="166">
        <f>SUM(D93:D94)</f>
        <v>92816553</v>
      </c>
      <c r="E95" s="145">
        <f t="shared" si="43"/>
        <v>-0.10449919611780099</v>
      </c>
      <c r="F95" s="166">
        <f>SUM(F93:F94)</f>
        <v>103647649</v>
      </c>
      <c r="G95" s="145">
        <f t="shared" si="43"/>
        <v>0.19698130519931162</v>
      </c>
      <c r="H95" s="166">
        <f>SUM(H93:H94)</f>
        <v>86590867</v>
      </c>
      <c r="I95" s="145">
        <f t="shared" si="43"/>
        <v>-0.19779126789668861</v>
      </c>
      <c r="J95" s="166">
        <f>SUM(J93:J94)</f>
        <v>107940569</v>
      </c>
      <c r="K95" s="145">
        <f t="shared" si="43"/>
        <v>0.93621541981705858</v>
      </c>
      <c r="L95" s="166">
        <f>SUM(L93:L94)</f>
        <v>55748223</v>
      </c>
      <c r="M95" s="145">
        <f t="shared" si="43"/>
        <v>-0.62643625431701011</v>
      </c>
      <c r="N95" s="166">
        <f>SUM(N93:N94)</f>
        <v>149233494</v>
      </c>
      <c r="O95" s="145">
        <f t="shared" si="43"/>
        <v>8.8235278031988731E-2</v>
      </c>
      <c r="P95" s="166">
        <f>SUM(P93:P94)</f>
        <v>137133483</v>
      </c>
      <c r="Q95" s="147"/>
      <c r="R95" s="133"/>
      <c r="S95" s="133"/>
      <c r="T95" s="133"/>
      <c r="U95" s="133"/>
      <c r="V95" s="133"/>
      <c r="W95" s="133"/>
      <c r="X95" s="133"/>
      <c r="Y95" s="133"/>
      <c r="Z95" s="133"/>
      <c r="AA95" s="133"/>
      <c r="AB95" s="133"/>
      <c r="AC95" s="133"/>
      <c r="AD95" s="133"/>
      <c r="AE95" s="133"/>
      <c r="AF95" s="133"/>
      <c r="AG95" s="133"/>
      <c r="AH95" s="133"/>
      <c r="AI95" s="133"/>
      <c r="AJ95" s="133"/>
      <c r="AK95" s="133"/>
      <c r="AL95" s="133"/>
      <c r="AM95" s="133"/>
      <c r="AN95" s="133"/>
      <c r="AO95" s="133"/>
      <c r="AP95" s="133"/>
      <c r="AQ95" s="133"/>
      <c r="AR95" s="133"/>
      <c r="AS95" s="133"/>
      <c r="AT95" s="133"/>
    </row>
    <row r="96" spans="1:46" s="132" customFormat="1" ht="15" customHeight="1">
      <c r="A96" s="390"/>
      <c r="B96" s="133"/>
      <c r="C96" s="133"/>
      <c r="D96" s="161"/>
      <c r="E96" s="158"/>
      <c r="F96" s="161"/>
      <c r="G96" s="158"/>
      <c r="H96" s="161"/>
      <c r="I96" s="158"/>
      <c r="J96" s="161"/>
      <c r="K96" s="158"/>
      <c r="L96" s="161"/>
      <c r="M96" s="158"/>
      <c r="N96" s="161"/>
      <c r="O96" s="158"/>
      <c r="P96" s="161"/>
      <c r="Q96" s="133"/>
      <c r="R96" s="133"/>
      <c r="S96" s="133"/>
      <c r="T96" s="133"/>
      <c r="U96" s="133"/>
      <c r="V96" s="133"/>
      <c r="W96" s="133"/>
      <c r="X96" s="133"/>
      <c r="Y96" s="133"/>
      <c r="Z96" s="133"/>
      <c r="AA96" s="133"/>
      <c r="AB96" s="133"/>
      <c r="AC96" s="133"/>
      <c r="AD96" s="133"/>
      <c r="AE96" s="133"/>
      <c r="AF96" s="133"/>
      <c r="AG96" s="133"/>
      <c r="AH96" s="133"/>
      <c r="AI96" s="133"/>
      <c r="AJ96" s="133"/>
      <c r="AK96" s="133"/>
      <c r="AL96" s="133"/>
      <c r="AM96" s="133"/>
      <c r="AN96" s="133"/>
      <c r="AO96" s="133"/>
      <c r="AP96" s="133"/>
      <c r="AQ96" s="133"/>
      <c r="AR96" s="133"/>
      <c r="AS96" s="133"/>
      <c r="AT96" s="133"/>
    </row>
    <row r="97" spans="1:46" s="132" customFormat="1" ht="15" customHeight="1">
      <c r="A97" s="390">
        <f>A95+1</f>
        <v>19</v>
      </c>
      <c r="B97" s="144" t="s">
        <v>1494</v>
      </c>
      <c r="C97" s="133"/>
      <c r="D97" s="159"/>
      <c r="E97" s="160"/>
      <c r="F97" s="159"/>
      <c r="G97" s="160"/>
      <c r="H97" s="159"/>
      <c r="I97" s="160"/>
      <c r="J97" s="159"/>
      <c r="K97" s="160"/>
      <c r="L97" s="159"/>
      <c r="M97" s="160"/>
      <c r="N97" s="159"/>
      <c r="O97" s="160"/>
      <c r="P97" s="159"/>
      <c r="Q97" s="133"/>
      <c r="R97" s="133"/>
      <c r="S97" s="133"/>
      <c r="T97" s="133"/>
      <c r="U97" s="133"/>
      <c r="V97" s="133"/>
      <c r="W97" s="133"/>
      <c r="X97" s="133"/>
      <c r="Y97" s="133"/>
      <c r="Z97" s="133"/>
      <c r="AA97" s="133"/>
      <c r="AB97" s="133"/>
      <c r="AC97" s="133"/>
      <c r="AD97" s="133"/>
      <c r="AE97" s="133"/>
      <c r="AF97" s="133"/>
      <c r="AG97" s="133"/>
      <c r="AH97" s="133"/>
      <c r="AI97" s="133"/>
      <c r="AJ97" s="133"/>
      <c r="AK97" s="133"/>
      <c r="AL97" s="133"/>
      <c r="AM97" s="133"/>
      <c r="AN97" s="133"/>
      <c r="AO97" s="133"/>
      <c r="AP97" s="133"/>
      <c r="AQ97" s="133"/>
      <c r="AR97" s="133"/>
      <c r="AS97" s="133"/>
      <c r="AT97" s="133"/>
    </row>
    <row r="98" spans="1:46" s="132" customFormat="1" ht="15" customHeight="1">
      <c r="A98" s="390">
        <f>A97+1</f>
        <v>20</v>
      </c>
      <c r="B98" s="133" t="s">
        <v>1609</v>
      </c>
      <c r="C98" s="133"/>
      <c r="D98" s="170">
        <f t="shared" ref="D98:D106" si="50">R98</f>
        <v>115338342</v>
      </c>
      <c r="E98" s="145">
        <v>1</v>
      </c>
      <c r="F98" s="170">
        <f t="shared" ref="F98:F106" si="51">S98</f>
        <v>0</v>
      </c>
      <c r="G98" s="145">
        <f t="shared" ref="E98:O107" si="52">(+F98-H98)/H98</f>
        <v>-1</v>
      </c>
      <c r="H98" s="170">
        <f t="shared" ref="H98:H106" si="53">T98</f>
        <v>42698232</v>
      </c>
      <c r="I98" s="145">
        <f t="shared" si="52"/>
        <v>-0.7961308307552365</v>
      </c>
      <c r="J98" s="170">
        <f t="shared" ref="J98:J106" si="54">U98</f>
        <v>209439378</v>
      </c>
      <c r="K98" s="145">
        <f t="shared" si="52"/>
        <v>0.58739699150693092</v>
      </c>
      <c r="L98" s="170">
        <f t="shared" ref="L98:L106" si="55">V98</f>
        <v>131938878</v>
      </c>
      <c r="M98" s="145">
        <f t="shared" si="52"/>
        <v>1.1478731943096994</v>
      </c>
      <c r="N98" s="170">
        <f t="shared" ref="N98:N106" si="56">W98</f>
        <v>61427685</v>
      </c>
      <c r="O98" s="145">
        <v>1</v>
      </c>
      <c r="P98" s="170">
        <f t="shared" ref="P98:P106" si="57">X98</f>
        <v>0</v>
      </c>
      <c r="Q98" s="133"/>
      <c r="R98" s="133">
        <v>115338342</v>
      </c>
      <c r="S98" s="133">
        <v>0</v>
      </c>
      <c r="T98" s="133">
        <v>42698232</v>
      </c>
      <c r="U98" s="133">
        <v>209439378</v>
      </c>
      <c r="V98" s="133">
        <v>131938878</v>
      </c>
      <c r="W98" s="133">
        <v>61427685</v>
      </c>
      <c r="X98" s="133">
        <v>0</v>
      </c>
      <c r="Y98" s="133"/>
      <c r="Z98" s="133"/>
      <c r="AA98" s="133"/>
      <c r="AB98" s="133"/>
      <c r="AC98" s="133"/>
      <c r="AD98" s="133"/>
      <c r="AE98" s="133"/>
      <c r="AF98" s="133"/>
      <c r="AG98" s="133"/>
      <c r="AH98" s="133"/>
      <c r="AI98" s="133"/>
      <c r="AJ98" s="133"/>
      <c r="AK98" s="133"/>
      <c r="AL98" s="133"/>
      <c r="AM98" s="133"/>
      <c r="AN98" s="133"/>
      <c r="AO98" s="133"/>
      <c r="AP98" s="133"/>
      <c r="AQ98" s="133"/>
      <c r="AR98" s="133"/>
      <c r="AS98" s="133"/>
      <c r="AT98" s="133"/>
    </row>
    <row r="99" spans="1:46" s="132" customFormat="1" ht="15" customHeight="1">
      <c r="A99" s="390">
        <f>A98+1</f>
        <v>21</v>
      </c>
      <c r="B99" s="133" t="s">
        <v>1596</v>
      </c>
      <c r="C99" s="133"/>
      <c r="D99" s="161">
        <f t="shared" si="50"/>
        <v>70065631</v>
      </c>
      <c r="E99" s="145">
        <f t="shared" si="52"/>
        <v>-6.4815241309463631E-2</v>
      </c>
      <c r="F99" s="161">
        <f t="shared" si="51"/>
        <v>74921699</v>
      </c>
      <c r="G99" s="145">
        <f t="shared" si="52"/>
        <v>-0.23311022690138572</v>
      </c>
      <c r="H99" s="161">
        <f t="shared" si="53"/>
        <v>97695525</v>
      </c>
      <c r="I99" s="145">
        <f t="shared" si="52"/>
        <v>-0.2923497395014279</v>
      </c>
      <c r="J99" s="161">
        <f t="shared" si="54"/>
        <v>138056227</v>
      </c>
      <c r="K99" s="145">
        <f t="shared" si="52"/>
        <v>-0.10567986476597908</v>
      </c>
      <c r="L99" s="161">
        <f t="shared" si="55"/>
        <v>154370031</v>
      </c>
      <c r="M99" s="145">
        <f t="shared" si="52"/>
        <v>0.11253492057736811</v>
      </c>
      <c r="N99" s="161">
        <f t="shared" si="56"/>
        <v>138755223</v>
      </c>
      <c r="O99" s="145">
        <f t="shared" si="52"/>
        <v>0.30389667091954342</v>
      </c>
      <c r="P99" s="161">
        <f t="shared" si="57"/>
        <v>106415812</v>
      </c>
      <c r="Q99" s="133"/>
      <c r="R99" s="133">
        <v>70065631</v>
      </c>
      <c r="S99" s="133">
        <v>74921699</v>
      </c>
      <c r="T99" s="133">
        <v>97695525</v>
      </c>
      <c r="U99" s="133">
        <v>138056227</v>
      </c>
      <c r="V99" s="133">
        <v>154370031</v>
      </c>
      <c r="W99" s="133">
        <v>138755223</v>
      </c>
      <c r="X99" s="133">
        <v>106415812</v>
      </c>
      <c r="Y99" s="133"/>
      <c r="Z99" s="133"/>
      <c r="AA99" s="133"/>
      <c r="AB99" s="133"/>
      <c r="AC99" s="133"/>
      <c r="AD99" s="133"/>
      <c r="AE99" s="133"/>
      <c r="AF99" s="133"/>
      <c r="AG99" s="133"/>
      <c r="AH99" s="133"/>
      <c r="AI99" s="133"/>
      <c r="AJ99" s="133"/>
      <c r="AK99" s="133"/>
      <c r="AL99" s="133"/>
      <c r="AM99" s="133"/>
      <c r="AN99" s="133"/>
      <c r="AO99" s="133"/>
      <c r="AP99" s="133"/>
      <c r="AQ99" s="133"/>
      <c r="AR99" s="133"/>
      <c r="AS99" s="133"/>
      <c r="AT99" s="133"/>
    </row>
    <row r="100" spans="1:46" s="132" customFormat="1" ht="15" customHeight="1">
      <c r="A100" s="390">
        <f>A99+1</f>
        <v>22</v>
      </c>
      <c r="B100" s="133" t="s">
        <v>1610</v>
      </c>
      <c r="C100" s="133"/>
      <c r="D100" s="167">
        <f t="shared" si="50"/>
        <v>0</v>
      </c>
      <c r="E100" s="145">
        <v>0</v>
      </c>
      <c r="F100" s="167">
        <f t="shared" si="51"/>
        <v>0</v>
      </c>
      <c r="G100" s="145">
        <v>0</v>
      </c>
      <c r="H100" s="167">
        <f t="shared" si="53"/>
        <v>0</v>
      </c>
      <c r="I100" s="145">
        <v>0</v>
      </c>
      <c r="J100" s="167">
        <f t="shared" si="54"/>
        <v>0</v>
      </c>
      <c r="K100" s="145">
        <v>0</v>
      </c>
      <c r="L100" s="167">
        <f t="shared" si="55"/>
        <v>0</v>
      </c>
      <c r="M100" s="145">
        <v>0</v>
      </c>
      <c r="N100" s="167">
        <f t="shared" si="56"/>
        <v>0</v>
      </c>
      <c r="O100" s="145">
        <v>0</v>
      </c>
      <c r="P100" s="167">
        <f t="shared" si="57"/>
        <v>0</v>
      </c>
      <c r="Q100" s="133"/>
      <c r="R100" s="133">
        <v>0</v>
      </c>
      <c r="S100" s="133">
        <v>0</v>
      </c>
      <c r="T100" s="133">
        <v>0</v>
      </c>
      <c r="U100" s="133">
        <v>0</v>
      </c>
      <c r="V100" s="133">
        <v>0</v>
      </c>
      <c r="W100" s="133">
        <v>0</v>
      </c>
      <c r="X100" s="133">
        <v>0</v>
      </c>
      <c r="Y100" s="133"/>
      <c r="Z100" s="133"/>
      <c r="AA100" s="133"/>
      <c r="AB100" s="133"/>
      <c r="AC100" s="133"/>
      <c r="AD100" s="133"/>
      <c r="AE100" s="133"/>
      <c r="AF100" s="133"/>
      <c r="AG100" s="133"/>
      <c r="AH100" s="133"/>
      <c r="AI100" s="133"/>
      <c r="AJ100" s="133"/>
      <c r="AK100" s="133"/>
      <c r="AL100" s="133"/>
      <c r="AM100" s="133"/>
      <c r="AN100" s="133"/>
      <c r="AO100" s="133"/>
      <c r="AP100" s="133"/>
      <c r="AQ100" s="133"/>
      <c r="AR100" s="133"/>
      <c r="AS100" s="133"/>
      <c r="AT100" s="133"/>
    </row>
    <row r="101" spans="1:46" s="132" customFormat="1" ht="15" customHeight="1">
      <c r="A101" s="390">
        <f>A100+1</f>
        <v>23</v>
      </c>
      <c r="B101" s="133" t="s">
        <v>1597</v>
      </c>
      <c r="C101" s="133"/>
      <c r="D101" s="167">
        <f t="shared" si="50"/>
        <v>0</v>
      </c>
      <c r="E101" s="145">
        <v>0</v>
      </c>
      <c r="F101" s="167">
        <f t="shared" si="51"/>
        <v>0</v>
      </c>
      <c r="G101" s="145">
        <v>0</v>
      </c>
      <c r="H101" s="167">
        <f t="shared" si="53"/>
        <v>0</v>
      </c>
      <c r="I101" s="145">
        <v>0</v>
      </c>
      <c r="J101" s="167">
        <f t="shared" si="54"/>
        <v>0</v>
      </c>
      <c r="K101" s="145">
        <v>0</v>
      </c>
      <c r="L101" s="167">
        <f t="shared" si="55"/>
        <v>0</v>
      </c>
      <c r="M101" s="145">
        <v>0</v>
      </c>
      <c r="N101" s="167">
        <f t="shared" si="56"/>
        <v>0</v>
      </c>
      <c r="O101" s="145">
        <v>0</v>
      </c>
      <c r="P101" s="167">
        <f t="shared" si="57"/>
        <v>0</v>
      </c>
      <c r="Q101" s="133"/>
      <c r="R101" s="133">
        <v>0</v>
      </c>
      <c r="S101" s="133">
        <v>0</v>
      </c>
      <c r="T101" s="133">
        <v>0</v>
      </c>
      <c r="U101" s="133">
        <v>0</v>
      </c>
      <c r="V101" s="133">
        <v>0</v>
      </c>
      <c r="W101" s="133">
        <v>0</v>
      </c>
      <c r="X101" s="133">
        <v>0</v>
      </c>
      <c r="Y101" s="133"/>
      <c r="Z101" s="133"/>
      <c r="AA101" s="133"/>
      <c r="AB101" s="133"/>
      <c r="AC101" s="133"/>
      <c r="AD101" s="133"/>
      <c r="AE101" s="133"/>
      <c r="AF101" s="133"/>
      <c r="AG101" s="133"/>
      <c r="AH101" s="133"/>
      <c r="AI101" s="133"/>
      <c r="AJ101" s="133"/>
      <c r="AK101" s="133"/>
      <c r="AL101" s="133"/>
      <c r="AM101" s="133"/>
      <c r="AN101" s="133"/>
      <c r="AO101" s="133"/>
      <c r="AP101" s="133"/>
      <c r="AQ101" s="133"/>
      <c r="AR101" s="133"/>
      <c r="AS101" s="133"/>
      <c r="AT101" s="133"/>
    </row>
    <row r="102" spans="1:46" s="132" customFormat="1" ht="15" customHeight="1">
      <c r="A102" s="390">
        <f t="shared" ref="A102:A107" si="58">A101+1</f>
        <v>24</v>
      </c>
      <c r="B102" s="133" t="s">
        <v>1598</v>
      </c>
      <c r="C102" s="133"/>
      <c r="D102" s="161">
        <f t="shared" si="50"/>
        <v>26622984</v>
      </c>
      <c r="E102" s="145">
        <f t="shared" si="52"/>
        <v>0</v>
      </c>
      <c r="F102" s="161">
        <f t="shared" si="51"/>
        <v>26622984</v>
      </c>
      <c r="G102" s="145">
        <f t="shared" si="52"/>
        <v>6.8850459452408919E-2</v>
      </c>
      <c r="H102" s="161">
        <f t="shared" si="53"/>
        <v>24908053.100000001</v>
      </c>
      <c r="I102" s="145">
        <f t="shared" si="52"/>
        <v>-3.9080143767254008E-2</v>
      </c>
      <c r="J102" s="161">
        <f t="shared" si="54"/>
        <v>25921051.52</v>
      </c>
      <c r="K102" s="145">
        <f t="shared" si="52"/>
        <v>4.7313067011746562E-2</v>
      </c>
      <c r="L102" s="161">
        <f t="shared" si="55"/>
        <v>24750050.712113641</v>
      </c>
      <c r="M102" s="145">
        <f t="shared" si="52"/>
        <v>3.349850301024207E-2</v>
      </c>
      <c r="N102" s="161">
        <f t="shared" si="56"/>
        <v>23947834.118796363</v>
      </c>
      <c r="O102" s="145">
        <f t="shared" si="52"/>
        <v>7.1959223664276026E-2</v>
      </c>
      <c r="P102" s="161">
        <f t="shared" si="57"/>
        <v>22340247.268861152</v>
      </c>
      <c r="Q102" s="133"/>
      <c r="R102" s="133">
        <v>26622984</v>
      </c>
      <c r="S102" s="133">
        <v>26622984</v>
      </c>
      <c r="T102" s="133">
        <v>24908053.100000001</v>
      </c>
      <c r="U102" s="133">
        <v>25921051.52</v>
      </c>
      <c r="V102" s="133">
        <v>24750050.712113641</v>
      </c>
      <c r="W102" s="133">
        <v>23947834.118796363</v>
      </c>
      <c r="X102" s="133">
        <v>22340247.268861152</v>
      </c>
      <c r="Y102" s="133"/>
      <c r="Z102" s="133"/>
      <c r="AA102" s="133"/>
      <c r="AB102" s="133"/>
      <c r="AC102" s="133"/>
      <c r="AD102" s="133"/>
      <c r="AE102" s="133"/>
      <c r="AF102" s="133"/>
      <c r="AG102" s="133"/>
      <c r="AH102" s="133"/>
      <c r="AI102" s="133"/>
      <c r="AJ102" s="133"/>
      <c r="AK102" s="133"/>
      <c r="AL102" s="133"/>
      <c r="AM102" s="133"/>
      <c r="AN102" s="133"/>
      <c r="AO102" s="133"/>
      <c r="AP102" s="133"/>
      <c r="AQ102" s="133"/>
      <c r="AR102" s="133"/>
      <c r="AS102" s="133"/>
      <c r="AT102" s="133"/>
    </row>
    <row r="103" spans="1:46" s="132" customFormat="1" ht="15" customHeight="1">
      <c r="A103" s="390">
        <f t="shared" si="58"/>
        <v>25</v>
      </c>
      <c r="B103" s="133" t="s">
        <v>1599</v>
      </c>
      <c r="C103" s="133"/>
      <c r="D103" s="161">
        <f t="shared" si="50"/>
        <v>23155562</v>
      </c>
      <c r="E103" s="145">
        <f t="shared" si="52"/>
        <v>-0.45707121378673166</v>
      </c>
      <c r="F103" s="161">
        <f t="shared" si="51"/>
        <v>42649354</v>
      </c>
      <c r="G103" s="145">
        <f t="shared" si="52"/>
        <v>1.3469362498076061</v>
      </c>
      <c r="H103" s="161">
        <f t="shared" si="53"/>
        <v>18172353</v>
      </c>
      <c r="I103" s="145">
        <f t="shared" si="52"/>
        <v>0.46282381011028922</v>
      </c>
      <c r="J103" s="161">
        <f t="shared" si="54"/>
        <v>12422790</v>
      </c>
      <c r="K103" s="145">
        <f t="shared" si="52"/>
        <v>-0.56571776918000405</v>
      </c>
      <c r="L103" s="161">
        <f t="shared" si="55"/>
        <v>28605338</v>
      </c>
      <c r="M103" s="145">
        <f t="shared" si="52"/>
        <v>0.24387659463703976</v>
      </c>
      <c r="N103" s="161">
        <f t="shared" si="56"/>
        <v>22996926</v>
      </c>
      <c r="O103" s="145">
        <f t="shared" si="52"/>
        <v>1.4510508739910446</v>
      </c>
      <c r="P103" s="161">
        <f t="shared" si="57"/>
        <v>9382476</v>
      </c>
      <c r="Q103" s="147"/>
      <c r="R103" s="133">
        <v>23155562</v>
      </c>
      <c r="S103" s="133">
        <v>42649354</v>
      </c>
      <c r="T103" s="133">
        <v>18172353</v>
      </c>
      <c r="U103" s="133">
        <v>12422790</v>
      </c>
      <c r="V103" s="133">
        <v>28605338</v>
      </c>
      <c r="W103" s="133">
        <v>22996926</v>
      </c>
      <c r="X103" s="133">
        <v>9382476</v>
      </c>
      <c r="Y103" s="133"/>
      <c r="Z103" s="133"/>
      <c r="AA103" s="133"/>
      <c r="AB103" s="133"/>
      <c r="AC103" s="133"/>
      <c r="AD103" s="133"/>
      <c r="AE103" s="133"/>
      <c r="AF103" s="133"/>
      <c r="AG103" s="133"/>
      <c r="AH103" s="133"/>
      <c r="AI103" s="133"/>
      <c r="AJ103" s="133"/>
      <c r="AK103" s="133"/>
      <c r="AL103" s="133"/>
      <c r="AM103" s="133"/>
      <c r="AN103" s="133"/>
      <c r="AO103" s="133"/>
      <c r="AP103" s="133"/>
      <c r="AQ103" s="133"/>
      <c r="AR103" s="133"/>
      <c r="AS103" s="133"/>
      <c r="AT103" s="133"/>
    </row>
    <row r="104" spans="1:46" s="132" customFormat="1" ht="15" customHeight="1">
      <c r="A104" s="390">
        <f t="shared" si="58"/>
        <v>26</v>
      </c>
      <c r="B104" s="133" t="s">
        <v>1600</v>
      </c>
      <c r="C104" s="133"/>
      <c r="D104" s="161">
        <f t="shared" si="50"/>
        <v>20701746</v>
      </c>
      <c r="E104" s="145">
        <f t="shared" si="52"/>
        <v>-0.24177696813061814</v>
      </c>
      <c r="F104" s="161">
        <f t="shared" si="51"/>
        <v>27302977</v>
      </c>
      <c r="G104" s="145">
        <f t="shared" si="52"/>
        <v>0.94731364920879935</v>
      </c>
      <c r="H104" s="161">
        <f t="shared" si="53"/>
        <v>14020842</v>
      </c>
      <c r="I104" s="145">
        <f t="shared" si="52"/>
        <v>0.35678022293211825</v>
      </c>
      <c r="J104" s="161">
        <f t="shared" si="54"/>
        <v>10333908</v>
      </c>
      <c r="K104" s="145">
        <f t="shared" si="52"/>
        <v>1.9231533611909987E-2</v>
      </c>
      <c r="L104" s="161">
        <f t="shared" si="55"/>
        <v>10138921</v>
      </c>
      <c r="M104" s="145">
        <f t="shared" si="52"/>
        <v>0.14133222955286648</v>
      </c>
      <c r="N104" s="161">
        <f t="shared" si="56"/>
        <v>8883409</v>
      </c>
      <c r="O104" s="145">
        <f t="shared" si="52"/>
        <v>-4.3375635512637886E-2</v>
      </c>
      <c r="P104" s="161">
        <f t="shared" si="57"/>
        <v>9286204</v>
      </c>
      <c r="Q104" s="147"/>
      <c r="R104" s="133">
        <v>20701746</v>
      </c>
      <c r="S104" s="133">
        <v>27302977</v>
      </c>
      <c r="T104" s="133">
        <v>14020842</v>
      </c>
      <c r="U104" s="133">
        <v>10333908</v>
      </c>
      <c r="V104" s="133">
        <v>10138921</v>
      </c>
      <c r="W104" s="133">
        <v>8883409</v>
      </c>
      <c r="X104" s="133">
        <v>9286204</v>
      </c>
      <c r="Y104" s="133"/>
      <c r="Z104" s="133"/>
      <c r="AA104" s="133"/>
      <c r="AB104" s="133"/>
      <c r="AC104" s="133"/>
      <c r="AD104" s="133"/>
      <c r="AE104" s="133"/>
      <c r="AF104" s="133"/>
      <c r="AG104" s="133"/>
      <c r="AH104" s="133"/>
      <c r="AI104" s="133"/>
      <c r="AJ104" s="133"/>
      <c r="AK104" s="133"/>
      <c r="AL104" s="133"/>
      <c r="AM104" s="133"/>
      <c r="AN104" s="133"/>
      <c r="AO104" s="133"/>
      <c r="AP104" s="133"/>
      <c r="AQ104" s="133"/>
      <c r="AR104" s="133"/>
      <c r="AS104" s="133"/>
      <c r="AT104" s="133"/>
    </row>
    <row r="105" spans="1:46" s="132" customFormat="1" ht="15" customHeight="1">
      <c r="A105" s="390">
        <f t="shared" si="58"/>
        <v>27</v>
      </c>
      <c r="B105" s="133" t="s">
        <v>1601</v>
      </c>
      <c r="C105" s="133"/>
      <c r="D105" s="161">
        <f t="shared" si="50"/>
        <v>4544678</v>
      </c>
      <c r="E105" s="145">
        <f t="shared" si="52"/>
        <v>2.2003763963863657E-7</v>
      </c>
      <c r="F105" s="161">
        <f t="shared" si="51"/>
        <v>4544677</v>
      </c>
      <c r="G105" s="145">
        <f t="shared" si="52"/>
        <v>0.31994752363730783</v>
      </c>
      <c r="H105" s="161">
        <f t="shared" si="53"/>
        <v>3443074</v>
      </c>
      <c r="I105" s="145">
        <f t="shared" si="52"/>
        <v>-0.24027510143973932</v>
      </c>
      <c r="J105" s="161">
        <f t="shared" si="54"/>
        <v>4532001</v>
      </c>
      <c r="K105" s="145">
        <f t="shared" si="52"/>
        <v>0.11627482522494829</v>
      </c>
      <c r="L105" s="161">
        <f t="shared" si="55"/>
        <v>4059933</v>
      </c>
      <c r="M105" s="145">
        <f t="shared" si="52"/>
        <v>0.26186138192885222</v>
      </c>
      <c r="N105" s="161">
        <f t="shared" si="56"/>
        <v>3217416</v>
      </c>
      <c r="O105" s="145">
        <f t="shared" si="52"/>
        <v>2.3034110046597812E-3</v>
      </c>
      <c r="P105" s="161">
        <f t="shared" si="57"/>
        <v>3210022</v>
      </c>
      <c r="Q105" s="147"/>
      <c r="R105" s="133">
        <v>4544678</v>
      </c>
      <c r="S105" s="133">
        <v>4544677</v>
      </c>
      <c r="T105" s="133">
        <v>3443074</v>
      </c>
      <c r="U105" s="133">
        <v>4532001</v>
      </c>
      <c r="V105" s="133">
        <v>4059933</v>
      </c>
      <c r="W105" s="133">
        <v>3217416</v>
      </c>
      <c r="X105" s="133">
        <v>3210022</v>
      </c>
      <c r="Y105" s="133"/>
      <c r="Z105" s="133"/>
      <c r="AA105" s="133"/>
      <c r="AB105" s="133"/>
      <c r="AC105" s="133"/>
      <c r="AD105" s="133"/>
      <c r="AE105" s="133"/>
      <c r="AF105" s="133"/>
      <c r="AG105" s="133"/>
      <c r="AH105" s="133"/>
      <c r="AI105" s="133"/>
      <c r="AJ105" s="133"/>
      <c r="AK105" s="133"/>
      <c r="AL105" s="133"/>
      <c r="AM105" s="133"/>
      <c r="AN105" s="133"/>
      <c r="AO105" s="133"/>
      <c r="AP105" s="133"/>
      <c r="AQ105" s="133"/>
      <c r="AR105" s="133"/>
      <c r="AS105" s="133"/>
      <c r="AT105" s="133"/>
    </row>
    <row r="106" spans="1:46" s="132" customFormat="1" ht="15" customHeight="1">
      <c r="A106" s="390">
        <f t="shared" si="58"/>
        <v>28</v>
      </c>
      <c r="B106" s="133" t="s">
        <v>1602</v>
      </c>
      <c r="C106" s="133"/>
      <c r="D106" s="161">
        <f t="shared" si="50"/>
        <v>26456974</v>
      </c>
      <c r="E106" s="145">
        <f t="shared" si="52"/>
        <v>-0.47551748417521084</v>
      </c>
      <c r="F106" s="161">
        <f t="shared" si="51"/>
        <v>50443958</v>
      </c>
      <c r="G106" s="145">
        <f t="shared" si="52"/>
        <v>1.8444049797114586</v>
      </c>
      <c r="H106" s="161">
        <f t="shared" si="53"/>
        <v>17734450.037813224</v>
      </c>
      <c r="I106" s="145">
        <f t="shared" si="52"/>
        <v>-0.63179519023516184</v>
      </c>
      <c r="J106" s="161">
        <f t="shared" si="54"/>
        <v>48164634.376014009</v>
      </c>
      <c r="K106" s="145">
        <f t="shared" si="52"/>
        <v>2.091609297442302</v>
      </c>
      <c r="L106" s="161">
        <f t="shared" si="55"/>
        <v>15579146.568054626</v>
      </c>
      <c r="M106" s="145">
        <f t="shared" si="52"/>
        <v>-4.6794269610095578E-2</v>
      </c>
      <c r="N106" s="161">
        <f t="shared" si="56"/>
        <v>16343949.759599166</v>
      </c>
      <c r="O106" s="145">
        <f t="shared" si="52"/>
        <v>0.14714771350410247</v>
      </c>
      <c r="P106" s="161">
        <f t="shared" si="57"/>
        <v>14247467.494551839</v>
      </c>
      <c r="Q106" s="147"/>
      <c r="R106" s="133">
        <v>26456974</v>
      </c>
      <c r="S106" s="133">
        <v>50443958</v>
      </c>
      <c r="T106" s="133">
        <v>17734450.037813224</v>
      </c>
      <c r="U106" s="133">
        <v>48164634.376014009</v>
      </c>
      <c r="V106" s="133">
        <v>15579146.568054626</v>
      </c>
      <c r="W106" s="133">
        <v>16343949.759599166</v>
      </c>
      <c r="X106" s="133">
        <v>14247467.494551839</v>
      </c>
      <c r="Y106" s="133"/>
      <c r="Z106" s="133"/>
      <c r="AA106" s="133"/>
      <c r="AB106" s="133"/>
      <c r="AC106" s="133"/>
      <c r="AD106" s="133"/>
      <c r="AE106" s="133"/>
      <c r="AF106" s="133"/>
      <c r="AG106" s="133"/>
      <c r="AH106" s="133"/>
      <c r="AI106" s="133"/>
      <c r="AJ106" s="133"/>
      <c r="AK106" s="133"/>
      <c r="AL106" s="133"/>
      <c r="AM106" s="133"/>
      <c r="AN106" s="133"/>
      <c r="AO106" s="133"/>
      <c r="AP106" s="133"/>
      <c r="AQ106" s="133"/>
      <c r="AR106" s="133"/>
      <c r="AS106" s="133"/>
      <c r="AT106" s="133"/>
    </row>
    <row r="107" spans="1:46" s="132" customFormat="1" ht="15" customHeight="1">
      <c r="A107" s="390">
        <f t="shared" si="58"/>
        <v>29</v>
      </c>
      <c r="B107" s="133" t="s">
        <v>1495</v>
      </c>
      <c r="C107" s="133"/>
      <c r="D107" s="166">
        <f>SUM(D98:D106)</f>
        <v>286885917</v>
      </c>
      <c r="E107" s="145">
        <f t="shared" si="52"/>
        <v>0.26668474698809724</v>
      </c>
      <c r="F107" s="166">
        <f>SUM(F98:F106)</f>
        <v>226485649</v>
      </c>
      <c r="G107" s="145">
        <f t="shared" si="52"/>
        <v>3.572977315894469E-2</v>
      </c>
      <c r="H107" s="166">
        <f>SUM(H98:H106)</f>
        <v>218672529.13781321</v>
      </c>
      <c r="I107" s="145">
        <f t="shared" si="52"/>
        <v>-0.51283771679975465</v>
      </c>
      <c r="J107" s="166">
        <f>SUM(J98:J106)</f>
        <v>448869989.89601398</v>
      </c>
      <c r="K107" s="145">
        <f t="shared" si="52"/>
        <v>0.21499349691575217</v>
      </c>
      <c r="L107" s="166">
        <f>SUM(L98:L106)</f>
        <v>369442298.28016824</v>
      </c>
      <c r="M107" s="145">
        <f t="shared" si="52"/>
        <v>0.34063585756720816</v>
      </c>
      <c r="N107" s="166">
        <f>SUM(N98:N106)</f>
        <v>275572442.8783955</v>
      </c>
      <c r="O107" s="145">
        <f t="shared" si="52"/>
        <v>0.67132895367280743</v>
      </c>
      <c r="P107" s="166">
        <f>SUM(P98:P106)</f>
        <v>164882228.76341298</v>
      </c>
      <c r="Q107" s="133"/>
      <c r="R107" s="133">
        <v>286885917</v>
      </c>
      <c r="S107" s="133">
        <v>226485649</v>
      </c>
      <c r="T107" s="133">
        <v>218672529.13781321</v>
      </c>
      <c r="U107" s="133">
        <v>448869989.89601398</v>
      </c>
      <c r="V107" s="133">
        <v>369442298.28016824</v>
      </c>
      <c r="W107" s="133">
        <v>275572442.8783955</v>
      </c>
      <c r="X107" s="133">
        <v>164882228.76341298</v>
      </c>
      <c r="Y107" s="133"/>
      <c r="Z107" s="133"/>
      <c r="AA107" s="133"/>
      <c r="AB107" s="133"/>
      <c r="AC107" s="133"/>
      <c r="AD107" s="133"/>
      <c r="AE107" s="133"/>
      <c r="AF107" s="133"/>
      <c r="AG107" s="133"/>
      <c r="AH107" s="133"/>
      <c r="AI107" s="133"/>
      <c r="AJ107" s="133"/>
      <c r="AK107" s="133"/>
      <c r="AL107" s="133"/>
      <c r="AM107" s="133"/>
      <c r="AN107" s="133"/>
      <c r="AO107" s="133"/>
      <c r="AP107" s="133"/>
      <c r="AQ107" s="133"/>
      <c r="AR107" s="133"/>
      <c r="AS107" s="133"/>
      <c r="AT107" s="133"/>
    </row>
    <row r="108" spans="1:46" s="132" customFormat="1" ht="15" customHeight="1">
      <c r="A108" s="390"/>
      <c r="B108" s="133"/>
      <c r="C108" s="133"/>
      <c r="D108" s="151"/>
      <c r="E108" s="160"/>
      <c r="F108" s="151"/>
      <c r="G108" s="160"/>
      <c r="H108" s="151"/>
      <c r="I108" s="160"/>
      <c r="J108" s="151"/>
      <c r="K108" s="160"/>
      <c r="L108" s="151"/>
      <c r="M108" s="160"/>
      <c r="N108" s="151"/>
      <c r="O108" s="160"/>
      <c r="P108" s="151"/>
      <c r="Q108" s="133"/>
      <c r="R108" s="133"/>
      <c r="S108" s="133"/>
      <c r="T108" s="133"/>
      <c r="U108" s="133"/>
      <c r="V108" s="133"/>
      <c r="W108" s="133"/>
      <c r="X108" s="133"/>
      <c r="Y108" s="133"/>
      <c r="Z108" s="133"/>
      <c r="AA108" s="133"/>
      <c r="AB108" s="133"/>
      <c r="AC108" s="133"/>
      <c r="AD108" s="133"/>
      <c r="AE108" s="133"/>
      <c r="AF108" s="133"/>
      <c r="AG108" s="133"/>
      <c r="AH108" s="133"/>
      <c r="AI108" s="133"/>
      <c r="AJ108" s="133"/>
      <c r="AK108" s="133"/>
      <c r="AL108" s="133"/>
      <c r="AM108" s="133"/>
      <c r="AN108" s="133"/>
      <c r="AO108" s="133"/>
      <c r="AP108" s="133"/>
      <c r="AQ108" s="133"/>
      <c r="AR108" s="133"/>
      <c r="AS108" s="133"/>
      <c r="AT108" s="133"/>
    </row>
    <row r="109" spans="1:46" s="132" customFormat="1" ht="15" customHeight="1">
      <c r="A109" s="390">
        <f>A107+1</f>
        <v>30</v>
      </c>
      <c r="B109" s="144" t="s">
        <v>1496</v>
      </c>
      <c r="C109" s="133"/>
      <c r="D109" s="159"/>
      <c r="E109" s="158"/>
      <c r="F109" s="159"/>
      <c r="G109" s="158"/>
      <c r="H109" s="159"/>
      <c r="I109" s="158"/>
      <c r="J109" s="159"/>
      <c r="K109" s="158"/>
      <c r="L109" s="159"/>
      <c r="M109" s="158"/>
      <c r="N109" s="159"/>
      <c r="O109" s="158"/>
      <c r="P109" s="159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3"/>
      <c r="AB109" s="133"/>
      <c r="AC109" s="133"/>
      <c r="AD109" s="133"/>
      <c r="AE109" s="133"/>
      <c r="AF109" s="133"/>
      <c r="AG109" s="133"/>
      <c r="AH109" s="133"/>
      <c r="AI109" s="133"/>
      <c r="AJ109" s="133"/>
      <c r="AK109" s="133"/>
      <c r="AL109" s="133"/>
      <c r="AM109" s="133"/>
      <c r="AN109" s="133"/>
      <c r="AO109" s="133"/>
      <c r="AP109" s="133"/>
      <c r="AQ109" s="133"/>
      <c r="AR109" s="133"/>
      <c r="AS109" s="133"/>
      <c r="AT109" s="133"/>
    </row>
    <row r="110" spans="1:46" s="132" customFormat="1" ht="15" customHeight="1">
      <c r="A110" s="390">
        <f>A109+1</f>
        <v>31</v>
      </c>
      <c r="B110" s="133" t="s">
        <v>1197</v>
      </c>
      <c r="C110" s="133"/>
      <c r="D110" s="170">
        <f t="shared" ref="D110:D116" si="59">R110</f>
        <v>1549704</v>
      </c>
      <c r="E110" s="145">
        <f t="shared" ref="E110:O117" si="60">(+D110-F110)/F110</f>
        <v>0</v>
      </c>
      <c r="F110" s="170">
        <f t="shared" ref="F110:F116" si="61">S110</f>
        <v>1549704</v>
      </c>
      <c r="G110" s="145">
        <f t="shared" si="60"/>
        <v>-0.22927730483748565</v>
      </c>
      <c r="H110" s="170">
        <f t="shared" ref="H110:H116" si="62">T110</f>
        <v>2010715.41</v>
      </c>
      <c r="I110" s="145">
        <f t="shared" si="60"/>
        <v>-8.1457524190996874E-2</v>
      </c>
      <c r="J110" s="170">
        <f t="shared" ref="J110:J116" si="63">U110</f>
        <v>2189028.23</v>
      </c>
      <c r="K110" s="145">
        <f t="shared" si="60"/>
        <v>-0.24054232738516457</v>
      </c>
      <c r="L110" s="170">
        <f t="shared" ref="L110:L116" si="64">V110</f>
        <v>2882357.12</v>
      </c>
      <c r="M110" s="145">
        <f t="shared" si="60"/>
        <v>-3.447175376176554E-2</v>
      </c>
      <c r="N110" s="170">
        <f t="shared" ref="N110:N116" si="65">W110</f>
        <v>2985264.42</v>
      </c>
      <c r="O110" s="145">
        <f t="shared" si="60"/>
        <v>-4.2975447752082001E-3</v>
      </c>
      <c r="P110" s="170">
        <f t="shared" ref="P110:P116" si="66">X110</f>
        <v>2998149.1</v>
      </c>
      <c r="Q110" s="133"/>
      <c r="R110" s="133">
        <v>1549704</v>
      </c>
      <c r="S110" s="133">
        <v>1549704</v>
      </c>
      <c r="T110" s="133">
        <v>2010715.41</v>
      </c>
      <c r="U110" s="133">
        <v>2189028.23</v>
      </c>
      <c r="V110" s="133">
        <v>2882357.12</v>
      </c>
      <c r="W110" s="133">
        <v>2985264.42</v>
      </c>
      <c r="X110" s="133">
        <v>2998149.1</v>
      </c>
      <c r="Y110" s="133"/>
      <c r="Z110" s="133"/>
      <c r="AA110" s="133"/>
      <c r="AB110" s="133"/>
      <c r="AC110" s="133"/>
      <c r="AD110" s="133"/>
      <c r="AE110" s="133"/>
      <c r="AF110" s="133"/>
      <c r="AG110" s="133"/>
      <c r="AH110" s="133"/>
      <c r="AI110" s="133"/>
      <c r="AJ110" s="133"/>
      <c r="AK110" s="133"/>
      <c r="AL110" s="133"/>
      <c r="AM110" s="133"/>
      <c r="AN110" s="133"/>
      <c r="AO110" s="133"/>
      <c r="AP110" s="133"/>
      <c r="AQ110" s="133"/>
      <c r="AR110" s="133"/>
      <c r="AS110" s="133"/>
      <c r="AT110" s="133"/>
    </row>
    <row r="111" spans="1:46" s="132" customFormat="1" ht="15" customHeight="1">
      <c r="A111" s="390">
        <f t="shared" ref="A111:A117" si="67">A110+1</f>
        <v>32</v>
      </c>
      <c r="B111" s="133" t="s">
        <v>1603</v>
      </c>
      <c r="C111" s="133"/>
      <c r="D111" s="161">
        <f t="shared" si="59"/>
        <v>81185411</v>
      </c>
      <c r="E111" s="145">
        <f t="shared" si="60"/>
        <v>-1.6391486055746435E-2</v>
      </c>
      <c r="F111" s="161">
        <f t="shared" si="61"/>
        <v>82538337</v>
      </c>
      <c r="G111" s="145">
        <f t="shared" si="60"/>
        <v>2.0316424867775563E-2</v>
      </c>
      <c r="H111" s="161">
        <f t="shared" si="62"/>
        <v>80894843</v>
      </c>
      <c r="I111" s="145">
        <f t="shared" si="60"/>
        <v>-1.8971951432595995E-2</v>
      </c>
      <c r="J111" s="161">
        <f t="shared" si="63"/>
        <v>82459256</v>
      </c>
      <c r="K111" s="145">
        <f t="shared" si="60"/>
        <v>-9.3648900035509883E-3</v>
      </c>
      <c r="L111" s="161">
        <f t="shared" si="64"/>
        <v>83238778</v>
      </c>
      <c r="M111" s="145">
        <f t="shared" si="60"/>
        <v>-1.897680748869697E-2</v>
      </c>
      <c r="N111" s="161">
        <f t="shared" si="65"/>
        <v>84848940</v>
      </c>
      <c r="O111" s="145">
        <f t="shared" si="60"/>
        <v>-2.4797922905111906E-2</v>
      </c>
      <c r="P111" s="161">
        <f t="shared" si="66"/>
        <v>87006521</v>
      </c>
      <c r="Q111" s="133"/>
      <c r="R111" s="133">
        <v>81185411</v>
      </c>
      <c r="S111" s="133">
        <v>82538337</v>
      </c>
      <c r="T111" s="133">
        <v>80894843</v>
      </c>
      <c r="U111" s="133">
        <v>82459256</v>
      </c>
      <c r="V111" s="133">
        <v>83238778</v>
      </c>
      <c r="W111" s="133">
        <v>84848940</v>
      </c>
      <c r="X111" s="133">
        <v>87006521</v>
      </c>
      <c r="Y111" s="133"/>
      <c r="Z111" s="133"/>
      <c r="AA111" s="133"/>
      <c r="AB111" s="133"/>
      <c r="AC111" s="133"/>
      <c r="AD111" s="133"/>
      <c r="AE111" s="133"/>
      <c r="AF111" s="133"/>
      <c r="AG111" s="133"/>
      <c r="AH111" s="133"/>
      <c r="AI111" s="133"/>
      <c r="AJ111" s="133"/>
      <c r="AK111" s="133"/>
      <c r="AL111" s="133"/>
      <c r="AM111" s="133"/>
      <c r="AN111" s="133"/>
      <c r="AO111" s="133"/>
      <c r="AP111" s="133"/>
      <c r="AQ111" s="133"/>
      <c r="AR111" s="133"/>
      <c r="AS111" s="133"/>
      <c r="AT111" s="133"/>
    </row>
    <row r="112" spans="1:46" s="132" customFormat="1" ht="15" customHeight="1">
      <c r="A112" s="390">
        <f t="shared" si="67"/>
        <v>33</v>
      </c>
      <c r="B112" s="133" t="s">
        <v>1604</v>
      </c>
      <c r="C112" s="133"/>
      <c r="D112" s="161">
        <f t="shared" si="59"/>
        <v>5632339</v>
      </c>
      <c r="E112" s="145">
        <f t="shared" si="60"/>
        <v>0</v>
      </c>
      <c r="F112" s="161">
        <f t="shared" si="61"/>
        <v>5632339</v>
      </c>
      <c r="G112" s="145">
        <f t="shared" si="60"/>
        <v>-0.26041482558422008</v>
      </c>
      <c r="H112" s="161">
        <f t="shared" si="62"/>
        <v>7615538</v>
      </c>
      <c r="I112" s="145">
        <f t="shared" si="60"/>
        <v>-0.7742800724695027</v>
      </c>
      <c r="J112" s="161">
        <f t="shared" si="63"/>
        <v>33738882</v>
      </c>
      <c r="K112" s="145">
        <f t="shared" si="60"/>
        <v>0.11880820362294305</v>
      </c>
      <c r="L112" s="161">
        <f t="shared" si="64"/>
        <v>30156091</v>
      </c>
      <c r="M112" s="145">
        <f t="shared" si="60"/>
        <v>0.41580490984599766</v>
      </c>
      <c r="N112" s="161">
        <f t="shared" si="65"/>
        <v>21299609</v>
      </c>
      <c r="O112" s="145">
        <f t="shared" si="60"/>
        <v>2.5276868880261816</v>
      </c>
      <c r="P112" s="161">
        <f t="shared" si="66"/>
        <v>6037840</v>
      </c>
      <c r="Q112" s="133"/>
      <c r="R112" s="133">
        <v>5632339</v>
      </c>
      <c r="S112" s="133">
        <v>5632339</v>
      </c>
      <c r="T112" s="133">
        <v>7615538</v>
      </c>
      <c r="U112" s="133">
        <v>33738882</v>
      </c>
      <c r="V112" s="133">
        <v>30156091</v>
      </c>
      <c r="W112" s="133">
        <v>21299609</v>
      </c>
      <c r="X112" s="133">
        <v>6037840</v>
      </c>
      <c r="Y112" s="133"/>
      <c r="Z112" s="133"/>
      <c r="AA112" s="133"/>
      <c r="AB112" s="133"/>
      <c r="AC112" s="133"/>
      <c r="AD112" s="133"/>
      <c r="AE112" s="133"/>
      <c r="AF112" s="133"/>
      <c r="AG112" s="133"/>
      <c r="AH112" s="133"/>
      <c r="AI112" s="133"/>
      <c r="AJ112" s="133"/>
      <c r="AK112" s="133"/>
      <c r="AL112" s="133"/>
      <c r="AM112" s="133"/>
      <c r="AN112" s="133"/>
      <c r="AO112" s="133"/>
      <c r="AP112" s="133"/>
      <c r="AQ112" s="133"/>
      <c r="AR112" s="133"/>
      <c r="AS112" s="133"/>
      <c r="AT112" s="133"/>
    </row>
    <row r="113" spans="1:46" s="132" customFormat="1" ht="15" customHeight="1">
      <c r="A113" s="390">
        <f t="shared" si="67"/>
        <v>34</v>
      </c>
      <c r="B113" s="133" t="s">
        <v>1605</v>
      </c>
      <c r="C113" s="133"/>
      <c r="D113" s="161">
        <f t="shared" si="59"/>
        <v>126261622</v>
      </c>
      <c r="E113" s="145">
        <f t="shared" si="60"/>
        <v>-3.2277588519768176E-2</v>
      </c>
      <c r="F113" s="161">
        <f t="shared" si="61"/>
        <v>130472975</v>
      </c>
      <c r="G113" s="145">
        <f t="shared" si="60"/>
        <v>-4.6661923052633635E-2</v>
      </c>
      <c r="H113" s="161">
        <f t="shared" si="62"/>
        <v>136859083</v>
      </c>
      <c r="I113" s="145">
        <f t="shared" si="60"/>
        <v>0.14931428407023772</v>
      </c>
      <c r="J113" s="161">
        <f t="shared" si="63"/>
        <v>119078902</v>
      </c>
      <c r="K113" s="145">
        <f t="shared" si="60"/>
        <v>-0.10175274036207181</v>
      </c>
      <c r="L113" s="161">
        <f t="shared" si="64"/>
        <v>132568066</v>
      </c>
      <c r="M113" s="145">
        <f t="shared" si="60"/>
        <v>0.3114152683094672</v>
      </c>
      <c r="N113" s="161">
        <f t="shared" si="65"/>
        <v>101087786</v>
      </c>
      <c r="O113" s="145">
        <f t="shared" si="60"/>
        <v>7.2889385918751257E-2</v>
      </c>
      <c r="P113" s="161">
        <f t="shared" si="66"/>
        <v>94220138</v>
      </c>
      <c r="Q113" s="133"/>
      <c r="R113" s="133">
        <v>126261622</v>
      </c>
      <c r="S113" s="133">
        <v>130472975</v>
      </c>
      <c r="T113" s="133">
        <v>136859083</v>
      </c>
      <c r="U113" s="133">
        <v>119078902</v>
      </c>
      <c r="V113" s="133">
        <v>132568066</v>
      </c>
      <c r="W113" s="133">
        <v>101087786</v>
      </c>
      <c r="X113" s="133">
        <v>94220138</v>
      </c>
      <c r="Y113" s="133"/>
      <c r="Z113" s="133"/>
      <c r="AA113" s="133"/>
      <c r="AB113" s="133"/>
      <c r="AC113" s="133"/>
      <c r="AD113" s="133"/>
      <c r="AE113" s="133"/>
      <c r="AF113" s="133"/>
      <c r="AG113" s="133"/>
      <c r="AH113" s="133"/>
      <c r="AI113" s="133"/>
      <c r="AJ113" s="133"/>
      <c r="AK113" s="133"/>
      <c r="AL113" s="133"/>
      <c r="AM113" s="133"/>
      <c r="AN113" s="133"/>
      <c r="AO113" s="133"/>
      <c r="AP113" s="133"/>
      <c r="AQ113" s="133"/>
      <c r="AR113" s="133"/>
      <c r="AS113" s="133"/>
      <c r="AT113" s="133"/>
    </row>
    <row r="114" spans="1:46" s="132" customFormat="1" ht="15" customHeight="1">
      <c r="A114" s="390">
        <f t="shared" si="67"/>
        <v>35</v>
      </c>
      <c r="B114" s="133" t="s">
        <v>1606</v>
      </c>
      <c r="C114" s="133"/>
      <c r="D114" s="161">
        <f t="shared" si="59"/>
        <v>321748825</v>
      </c>
      <c r="E114" s="145">
        <f t="shared" si="60"/>
        <v>-8.1736194181048199E-3</v>
      </c>
      <c r="F114" s="161">
        <f t="shared" si="61"/>
        <v>324400350</v>
      </c>
      <c r="G114" s="145">
        <f t="shared" si="60"/>
        <v>2.2293235460185433E-2</v>
      </c>
      <c r="H114" s="161">
        <f t="shared" si="62"/>
        <v>317326124</v>
      </c>
      <c r="I114" s="145">
        <f t="shared" si="60"/>
        <v>0.71661807318998449</v>
      </c>
      <c r="J114" s="161">
        <f t="shared" si="63"/>
        <v>184855402</v>
      </c>
      <c r="K114" s="145">
        <f t="shared" si="60"/>
        <v>0.18457424758808411</v>
      </c>
      <c r="L114" s="161">
        <f t="shared" si="64"/>
        <v>156052187</v>
      </c>
      <c r="M114" s="145">
        <f t="shared" si="60"/>
        <v>1.5821339485096448</v>
      </c>
      <c r="N114" s="161">
        <f t="shared" si="65"/>
        <v>60435357</v>
      </c>
      <c r="O114" s="145">
        <f t="shared" si="60"/>
        <v>0.12852374486016818</v>
      </c>
      <c r="P114" s="161">
        <f t="shared" si="66"/>
        <v>53552579</v>
      </c>
      <c r="Q114" s="133"/>
      <c r="R114" s="133">
        <v>321748825</v>
      </c>
      <c r="S114" s="133">
        <v>324400350</v>
      </c>
      <c r="T114" s="133">
        <v>317326124</v>
      </c>
      <c r="U114" s="133">
        <v>184855402</v>
      </c>
      <c r="V114" s="133">
        <v>156052187</v>
      </c>
      <c r="W114" s="133">
        <v>60435357</v>
      </c>
      <c r="X114" s="133">
        <v>53552579</v>
      </c>
      <c r="Y114" s="133"/>
      <c r="Z114" s="133"/>
      <c r="AA114" s="133"/>
      <c r="AB114" s="133"/>
      <c r="AC114" s="133"/>
      <c r="AD114" s="133"/>
      <c r="AE114" s="133"/>
      <c r="AF114" s="133"/>
      <c r="AG114" s="133"/>
      <c r="AH114" s="133"/>
      <c r="AI114" s="133"/>
      <c r="AJ114" s="133"/>
      <c r="AK114" s="133"/>
      <c r="AL114" s="133"/>
      <c r="AM114" s="133"/>
      <c r="AN114" s="133"/>
      <c r="AO114" s="133"/>
      <c r="AP114" s="133"/>
      <c r="AQ114" s="133"/>
      <c r="AR114" s="133"/>
      <c r="AS114" s="133"/>
      <c r="AT114" s="133"/>
    </row>
    <row r="115" spans="1:46" s="132" customFormat="1" ht="15" customHeight="1">
      <c r="A115" s="390">
        <f t="shared" si="67"/>
        <v>36</v>
      </c>
      <c r="B115" s="133" t="s">
        <v>1607</v>
      </c>
      <c r="C115" s="133"/>
      <c r="D115" s="167">
        <f t="shared" si="59"/>
        <v>0</v>
      </c>
      <c r="E115" s="145">
        <v>0</v>
      </c>
      <c r="F115" s="167">
        <f t="shared" si="61"/>
        <v>0</v>
      </c>
      <c r="G115" s="145">
        <v>0</v>
      </c>
      <c r="H115" s="167">
        <f t="shared" si="62"/>
        <v>0</v>
      </c>
      <c r="I115" s="145">
        <v>0</v>
      </c>
      <c r="J115" s="167">
        <f t="shared" si="63"/>
        <v>0</v>
      </c>
      <c r="K115" s="145">
        <v>0</v>
      </c>
      <c r="L115" s="167">
        <f t="shared" si="64"/>
        <v>0</v>
      </c>
      <c r="M115" s="145">
        <v>0</v>
      </c>
      <c r="N115" s="167">
        <f t="shared" si="65"/>
        <v>0</v>
      </c>
      <c r="O115" s="145">
        <v>0</v>
      </c>
      <c r="P115" s="167">
        <f t="shared" si="66"/>
        <v>0</v>
      </c>
      <c r="Q115" s="133"/>
      <c r="R115" s="133">
        <v>0</v>
      </c>
      <c r="S115" s="133">
        <v>0</v>
      </c>
      <c r="T115" s="133">
        <v>0</v>
      </c>
      <c r="U115" s="133">
        <v>0</v>
      </c>
      <c r="V115" s="133">
        <v>0</v>
      </c>
      <c r="W115" s="133">
        <v>0</v>
      </c>
      <c r="X115" s="133">
        <v>0</v>
      </c>
      <c r="Y115" s="133"/>
      <c r="Z115" s="133"/>
      <c r="AA115" s="133"/>
      <c r="AB115" s="133"/>
      <c r="AC115" s="133"/>
      <c r="AD115" s="133"/>
      <c r="AE115" s="133"/>
      <c r="AF115" s="133"/>
      <c r="AG115" s="133"/>
      <c r="AH115" s="133"/>
      <c r="AI115" s="133"/>
      <c r="AJ115" s="133"/>
      <c r="AK115" s="133"/>
      <c r="AL115" s="133"/>
      <c r="AM115" s="133"/>
      <c r="AN115" s="133"/>
      <c r="AO115" s="133"/>
      <c r="AP115" s="133"/>
      <c r="AQ115" s="133"/>
      <c r="AR115" s="133"/>
      <c r="AS115" s="133"/>
      <c r="AT115" s="133"/>
    </row>
    <row r="116" spans="1:46" s="132" customFormat="1" ht="15" customHeight="1">
      <c r="A116" s="390">
        <f t="shared" si="67"/>
        <v>37</v>
      </c>
      <c r="B116" s="133" t="s">
        <v>1580</v>
      </c>
      <c r="C116" s="133"/>
      <c r="D116" s="161">
        <f t="shared" si="59"/>
        <v>1499781286</v>
      </c>
      <c r="E116" s="145">
        <f t="shared" si="60"/>
        <v>8.7093638513864674E-2</v>
      </c>
      <c r="F116" s="161">
        <f t="shared" si="61"/>
        <v>1379624747</v>
      </c>
      <c r="G116" s="145">
        <f t="shared" si="60"/>
        <v>0.10550024979842952</v>
      </c>
      <c r="H116" s="161">
        <f t="shared" si="62"/>
        <v>1247964211</v>
      </c>
      <c r="I116" s="145">
        <f t="shared" si="60"/>
        <v>0.26714787181549549</v>
      </c>
      <c r="J116" s="161">
        <f t="shared" si="63"/>
        <v>984860756</v>
      </c>
      <c r="K116" s="145">
        <f t="shared" si="60"/>
        <v>0.29726214277056118</v>
      </c>
      <c r="L116" s="161">
        <f t="shared" si="64"/>
        <v>759184072</v>
      </c>
      <c r="M116" s="145">
        <f t="shared" si="60"/>
        <v>0.15802164020550008</v>
      </c>
      <c r="N116" s="161">
        <f t="shared" si="65"/>
        <v>655587120</v>
      </c>
      <c r="O116" s="145">
        <f t="shared" si="60"/>
        <v>0.34053477199178028</v>
      </c>
      <c r="P116" s="161">
        <f t="shared" si="66"/>
        <v>489048948</v>
      </c>
      <c r="Q116" s="133"/>
      <c r="R116" s="133">
        <v>1499781286</v>
      </c>
      <c r="S116" s="133">
        <v>1379624747</v>
      </c>
      <c r="T116" s="133">
        <v>1247964211</v>
      </c>
      <c r="U116" s="133">
        <v>984860756</v>
      </c>
      <c r="V116" s="133">
        <v>759184072</v>
      </c>
      <c r="W116" s="133">
        <v>655587120</v>
      </c>
      <c r="X116" s="133">
        <v>489048948</v>
      </c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</row>
    <row r="117" spans="1:46" s="132" customFormat="1" ht="15" customHeight="1">
      <c r="A117" s="390">
        <f t="shared" si="67"/>
        <v>38</v>
      </c>
      <c r="B117" s="133" t="s">
        <v>1497</v>
      </c>
      <c r="C117" s="133"/>
      <c r="D117" s="166">
        <f>SUM(D110:D116)</f>
        <v>2036159187</v>
      </c>
      <c r="E117" s="145">
        <f t="shared" si="60"/>
        <v>5.817465001629659E-2</v>
      </c>
      <c r="F117" s="166">
        <f>SUM(F110:F116)</f>
        <v>1924218452</v>
      </c>
      <c r="G117" s="145">
        <f t="shared" si="60"/>
        <v>7.3380990278235789E-2</v>
      </c>
      <c r="H117" s="166">
        <f>SUM(H110:H116)</f>
        <v>1792670514.4099998</v>
      </c>
      <c r="I117" s="145">
        <f t="shared" si="60"/>
        <v>0.27394340334497153</v>
      </c>
      <c r="J117" s="166">
        <f>SUM(J110:J116)</f>
        <v>1407182226.23</v>
      </c>
      <c r="K117" s="145">
        <f t="shared" si="60"/>
        <v>0.20883474605031344</v>
      </c>
      <c r="L117" s="166">
        <f>SUM(L110:L116)</f>
        <v>1164081551.1199999</v>
      </c>
      <c r="M117" s="145">
        <f t="shared" si="60"/>
        <v>0.25677624370809338</v>
      </c>
      <c r="N117" s="166">
        <f>SUM(N110:N116)</f>
        <v>926244076.42000008</v>
      </c>
      <c r="O117" s="145">
        <f t="shared" si="60"/>
        <v>0.26386867838588668</v>
      </c>
      <c r="P117" s="166">
        <f>SUM(P110:P116)</f>
        <v>732864175.10000002</v>
      </c>
      <c r="Q117" s="133"/>
      <c r="R117" s="133">
        <v>2036159187</v>
      </c>
      <c r="S117" s="133">
        <v>1924218452</v>
      </c>
      <c r="T117" s="133">
        <v>1792670514.4099998</v>
      </c>
      <c r="U117" s="133">
        <v>1407182226.23</v>
      </c>
      <c r="V117" s="133">
        <v>1164081551.1199999</v>
      </c>
      <c r="W117" s="133">
        <v>926244076.42000008</v>
      </c>
      <c r="X117" s="133">
        <v>732864175.10000002</v>
      </c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</row>
    <row r="118" spans="1:46" s="132" customFormat="1" ht="15" customHeight="1">
      <c r="A118" s="390"/>
      <c r="B118" s="133"/>
      <c r="C118" s="133"/>
      <c r="D118" s="133"/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</row>
    <row r="119" spans="1:46" s="132" customFormat="1" ht="15" customHeight="1" thickBot="1">
      <c r="A119" s="390">
        <f>A117+1</f>
        <v>39</v>
      </c>
      <c r="B119" s="133" t="s">
        <v>1608</v>
      </c>
      <c r="C119" s="133"/>
      <c r="D119" s="169">
        <f>D84+D90+D95+D107+D117</f>
        <v>6996623275</v>
      </c>
      <c r="E119" s="145">
        <f t="shared" ref="E119:O119" si="68">(+D119-F119)/F119</f>
        <v>2.905332898086474E-2</v>
      </c>
      <c r="F119" s="169">
        <f>F84+F90+F95+F107+F117</f>
        <v>6799087159</v>
      </c>
      <c r="G119" s="145">
        <f t="shared" si="68"/>
        <v>3.5790119240471832E-2</v>
      </c>
      <c r="H119" s="169">
        <f>H84+H90+H95+H107+H117</f>
        <v>6564155259.5478134</v>
      </c>
      <c r="I119" s="145">
        <f t="shared" si="68"/>
        <v>7.0207410538466533E-2</v>
      </c>
      <c r="J119" s="169">
        <f>J84+J90+J95+J107+J117</f>
        <v>6133535607.1260147</v>
      </c>
      <c r="K119" s="145">
        <f t="shared" si="68"/>
        <v>0.10070397936482609</v>
      </c>
      <c r="L119" s="169">
        <f>L84+L90+L95+L107+L117</f>
        <v>5572375245.4001684</v>
      </c>
      <c r="M119" s="145">
        <f t="shared" si="68"/>
        <v>0.14422782549220467</v>
      </c>
      <c r="N119" s="169">
        <f>N84+N90+N95+N107+N117</f>
        <v>4869987533.2983952</v>
      </c>
      <c r="O119" s="145">
        <f t="shared" si="68"/>
        <v>8.3868595519179898E-2</v>
      </c>
      <c r="P119" s="169">
        <f>P84+P90+P95+P107+P117</f>
        <v>4493153093.8634129</v>
      </c>
      <c r="Q119" s="133"/>
      <c r="R119" s="133">
        <v>6996623275</v>
      </c>
      <c r="S119" s="133">
        <v>6799087159</v>
      </c>
      <c r="T119" s="133">
        <v>6564155259.5478134</v>
      </c>
      <c r="U119" s="133">
        <v>6133535607.1260147</v>
      </c>
      <c r="V119" s="133">
        <v>5572375245.4001684</v>
      </c>
      <c r="W119" s="133">
        <v>4869987533.2983952</v>
      </c>
      <c r="X119" s="133">
        <v>4493153093.8634129</v>
      </c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</row>
    <row r="120" spans="1:46" s="132" customFormat="1" ht="15" customHeight="1" thickTop="1">
      <c r="A120" s="390"/>
      <c r="B120" s="133"/>
      <c r="C120" s="133"/>
      <c r="D120" s="133"/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  <c r="Y120" s="133"/>
      <c r="Z120" s="133"/>
      <c r="AA120" s="133"/>
      <c r="AB120" s="133"/>
      <c r="AC120" s="133"/>
      <c r="AD120" s="133"/>
      <c r="AE120" s="133"/>
      <c r="AF120" s="133"/>
      <c r="AG120" s="133"/>
      <c r="AH120" s="133"/>
      <c r="AI120" s="133"/>
      <c r="AJ120" s="133"/>
      <c r="AK120" s="133"/>
      <c r="AL120" s="133"/>
      <c r="AM120" s="133"/>
      <c r="AN120" s="133"/>
      <c r="AO120" s="133"/>
      <c r="AP120" s="133"/>
      <c r="AQ120" s="133"/>
      <c r="AR120" s="133"/>
      <c r="AS120" s="133"/>
      <c r="AT120" s="133"/>
    </row>
    <row r="121" spans="1:46" s="132" customFormat="1" ht="15" customHeight="1" thickBot="1">
      <c r="A121" s="390">
        <f>A119+1</f>
        <v>40</v>
      </c>
      <c r="B121" s="133" t="s">
        <v>2222</v>
      </c>
      <c r="C121" s="133"/>
      <c r="D121" s="169">
        <f>D59-D119</f>
        <v>17710703</v>
      </c>
      <c r="E121" s="133"/>
      <c r="F121" s="169">
        <f>F59-F119</f>
        <v>18216757</v>
      </c>
      <c r="G121" s="133"/>
      <c r="H121" s="169">
        <f>H59-H119</f>
        <v>17552603.278682709</v>
      </c>
      <c r="I121" s="133"/>
      <c r="J121" s="169">
        <f>J59-J119</f>
        <v>38334728.471533775</v>
      </c>
      <c r="K121" s="133"/>
      <c r="L121" s="169">
        <f>L59-L119</f>
        <v>7628384.0626821518</v>
      </c>
      <c r="M121" s="133"/>
      <c r="N121" s="169">
        <f>N59-N119</f>
        <v>6533031.9659938812</v>
      </c>
      <c r="O121" s="133"/>
      <c r="P121" s="169">
        <f>P59-P119</f>
        <v>3643011.9505777359</v>
      </c>
      <c r="Q121" s="133"/>
      <c r="R121" s="133">
        <v>-17710703</v>
      </c>
      <c r="S121" s="133">
        <v>-18216757</v>
      </c>
      <c r="T121" s="133">
        <v>-17552603.278682701</v>
      </c>
      <c r="U121" s="133">
        <v>-38334728.471533775</v>
      </c>
      <c r="V121" s="133">
        <v>-7628384.0626821518</v>
      </c>
      <c r="W121" s="133">
        <v>-6533031.9659938812</v>
      </c>
      <c r="X121" s="133">
        <v>-3643011.9505777359</v>
      </c>
      <c r="Y121" s="133"/>
      <c r="Z121" s="133"/>
      <c r="AA121" s="133"/>
      <c r="AB121" s="133"/>
      <c r="AC121" s="133"/>
      <c r="AD121" s="133"/>
      <c r="AE121" s="133"/>
      <c r="AF121" s="133"/>
      <c r="AG121" s="133"/>
      <c r="AH121" s="133"/>
      <c r="AI121" s="133"/>
      <c r="AJ121" s="133"/>
      <c r="AK121" s="133"/>
      <c r="AL121" s="133"/>
      <c r="AM121" s="133"/>
      <c r="AN121" s="133"/>
      <c r="AO121" s="133"/>
      <c r="AP121" s="133"/>
      <c r="AQ121" s="133"/>
      <c r="AR121" s="133"/>
      <c r="AS121" s="133"/>
      <c r="AT121" s="133"/>
    </row>
    <row r="122" spans="1:46" s="132" customFormat="1" ht="15" customHeight="1" thickTop="1">
      <c r="A122" s="390"/>
      <c r="B122" s="133"/>
      <c r="C122" s="133"/>
      <c r="D122" s="133"/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  <c r="AA122" s="133"/>
      <c r="AB122" s="133"/>
      <c r="AC122" s="133"/>
      <c r="AD122" s="133"/>
      <c r="AE122" s="133"/>
      <c r="AF122" s="133"/>
      <c r="AG122" s="133"/>
      <c r="AH122" s="133"/>
      <c r="AI122" s="133"/>
      <c r="AJ122" s="133"/>
      <c r="AK122" s="133"/>
      <c r="AL122" s="133"/>
      <c r="AM122" s="133"/>
      <c r="AN122" s="133"/>
      <c r="AO122" s="133"/>
      <c r="AP122" s="133"/>
      <c r="AQ122" s="133"/>
      <c r="AR122" s="133"/>
      <c r="AS122" s="133"/>
      <c r="AT122" s="133"/>
    </row>
    <row r="123" spans="1:46" s="132" customFormat="1" ht="15" customHeight="1">
      <c r="A123" s="390"/>
      <c r="B123" s="133"/>
      <c r="C123" s="133"/>
      <c r="D123" s="133"/>
      <c r="E123" s="133"/>
      <c r="F123" s="133"/>
      <c r="G123" s="133"/>
      <c r="H123" s="133"/>
      <c r="I123" s="133"/>
      <c r="J123" s="133"/>
      <c r="K123" s="133"/>
      <c r="L123" s="133"/>
      <c r="M123" s="133"/>
      <c r="N123" s="133"/>
      <c r="O123" s="133"/>
      <c r="P123" s="133"/>
      <c r="Q123" s="133"/>
      <c r="R123" s="133"/>
      <c r="S123" s="133"/>
      <c r="T123" s="133"/>
      <c r="U123" s="133"/>
      <c r="V123" s="133"/>
      <c r="W123" s="133"/>
      <c r="X123" s="133"/>
      <c r="Y123" s="133"/>
      <c r="Z123" s="133"/>
      <c r="AA123" s="133"/>
      <c r="AB123" s="133"/>
      <c r="AC123" s="133"/>
      <c r="AD123" s="133"/>
      <c r="AE123" s="133"/>
      <c r="AF123" s="133"/>
      <c r="AG123" s="133"/>
      <c r="AH123" s="133"/>
      <c r="AI123" s="133"/>
      <c r="AJ123" s="133"/>
      <c r="AK123" s="133"/>
      <c r="AL123" s="133"/>
      <c r="AM123" s="133"/>
      <c r="AN123" s="133"/>
      <c r="AO123" s="133"/>
      <c r="AP123" s="133"/>
      <c r="AQ123" s="133"/>
      <c r="AR123" s="133"/>
      <c r="AS123" s="133"/>
      <c r="AT123" s="133"/>
    </row>
    <row r="124" spans="1:46" s="132" customFormat="1" ht="15" customHeight="1">
      <c r="A124" s="390"/>
      <c r="B124" s="133"/>
      <c r="C124" s="133"/>
      <c r="D124" s="133"/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3"/>
      <c r="Q124" s="133"/>
      <c r="R124" s="133"/>
      <c r="S124" s="133"/>
      <c r="T124" s="133"/>
      <c r="U124" s="133"/>
      <c r="V124" s="133"/>
      <c r="W124" s="133"/>
      <c r="X124" s="133"/>
      <c r="Y124" s="133"/>
      <c r="Z124" s="133"/>
      <c r="AA124" s="133"/>
      <c r="AB124" s="133"/>
      <c r="AC124" s="133"/>
      <c r="AD124" s="133"/>
      <c r="AE124" s="133"/>
      <c r="AF124" s="133"/>
      <c r="AG124" s="133"/>
      <c r="AH124" s="133"/>
      <c r="AI124" s="133"/>
      <c r="AJ124" s="133"/>
      <c r="AK124" s="133"/>
      <c r="AL124" s="133"/>
      <c r="AM124" s="133"/>
      <c r="AN124" s="133"/>
      <c r="AO124" s="133"/>
      <c r="AP124" s="133"/>
      <c r="AQ124" s="133"/>
      <c r="AR124" s="133"/>
      <c r="AS124" s="133"/>
      <c r="AT124" s="133"/>
    </row>
    <row r="125" spans="1:46" s="132" customFormat="1" ht="15" customHeight="1">
      <c r="A125" s="390"/>
      <c r="B125" s="133"/>
      <c r="C125" s="133"/>
      <c r="D125" s="133"/>
      <c r="E125" s="133"/>
      <c r="F125" s="133"/>
      <c r="G125" s="133"/>
      <c r="H125" s="133"/>
      <c r="I125" s="133"/>
      <c r="J125" s="133"/>
      <c r="K125" s="133"/>
      <c r="L125" s="133"/>
      <c r="M125" s="133"/>
      <c r="N125" s="133"/>
      <c r="O125" s="133"/>
      <c r="P125" s="133"/>
      <c r="Q125" s="133"/>
      <c r="R125" s="133"/>
      <c r="S125" s="133"/>
      <c r="T125" s="133"/>
      <c r="U125" s="133"/>
      <c r="V125" s="133"/>
      <c r="W125" s="133"/>
      <c r="X125" s="133"/>
      <c r="Y125" s="133"/>
      <c r="Z125" s="133"/>
      <c r="AA125" s="133"/>
      <c r="AB125" s="133"/>
      <c r="AC125" s="133"/>
      <c r="AD125" s="133"/>
      <c r="AE125" s="133"/>
      <c r="AF125" s="133"/>
      <c r="AG125" s="133"/>
      <c r="AH125" s="133"/>
      <c r="AI125" s="133"/>
      <c r="AJ125" s="133"/>
      <c r="AK125" s="133"/>
      <c r="AL125" s="133"/>
      <c r="AM125" s="133"/>
      <c r="AN125" s="133"/>
      <c r="AO125" s="133"/>
      <c r="AP125" s="133"/>
      <c r="AQ125" s="133"/>
      <c r="AR125" s="133"/>
      <c r="AS125" s="133"/>
      <c r="AT125" s="133"/>
    </row>
    <row r="126" spans="1:46" s="132" customFormat="1" ht="15" customHeight="1">
      <c r="A126" s="390"/>
      <c r="B126" s="133"/>
      <c r="C126" s="133"/>
      <c r="D126" s="133"/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3"/>
      <c r="Q126" s="133"/>
      <c r="R126" s="133"/>
      <c r="S126" s="133"/>
      <c r="T126" s="133"/>
      <c r="U126" s="133"/>
      <c r="V126" s="133"/>
      <c r="W126" s="133"/>
      <c r="X126" s="133"/>
      <c r="Y126" s="133"/>
      <c r="Z126" s="133"/>
      <c r="AA126" s="133"/>
      <c r="AB126" s="133"/>
      <c r="AC126" s="133"/>
      <c r="AD126" s="133"/>
      <c r="AE126" s="133"/>
      <c r="AF126" s="133"/>
      <c r="AG126" s="133"/>
      <c r="AH126" s="133"/>
      <c r="AI126" s="133"/>
      <c r="AJ126" s="133"/>
      <c r="AK126" s="133"/>
      <c r="AL126" s="133"/>
      <c r="AM126" s="133"/>
      <c r="AN126" s="133"/>
      <c r="AO126" s="133"/>
      <c r="AP126" s="133"/>
      <c r="AQ126" s="133"/>
      <c r="AR126" s="133"/>
      <c r="AS126" s="133"/>
      <c r="AT126" s="133"/>
    </row>
    <row r="127" spans="1:46" s="132" customFormat="1" ht="15" customHeight="1">
      <c r="A127" s="390"/>
      <c r="B127" s="133"/>
      <c r="C127" s="133"/>
      <c r="D127" s="188"/>
      <c r="E127" s="133"/>
      <c r="F127" s="133"/>
      <c r="G127" s="133"/>
      <c r="H127" s="133"/>
      <c r="I127" s="133"/>
      <c r="J127" s="133"/>
      <c r="K127" s="133"/>
      <c r="L127" s="133"/>
      <c r="M127" s="133"/>
      <c r="N127" s="133"/>
      <c r="O127" s="133"/>
      <c r="P127" s="133"/>
      <c r="Q127" s="133"/>
      <c r="R127" s="133"/>
      <c r="S127" s="133"/>
      <c r="T127" s="133"/>
      <c r="U127" s="133"/>
      <c r="V127" s="133"/>
      <c r="W127" s="133"/>
      <c r="X127" s="133"/>
      <c r="Y127" s="133"/>
      <c r="Z127" s="133"/>
      <c r="AA127" s="133"/>
      <c r="AB127" s="133"/>
      <c r="AC127" s="133"/>
      <c r="AD127" s="133"/>
      <c r="AE127" s="133"/>
      <c r="AF127" s="133"/>
      <c r="AG127" s="133"/>
      <c r="AH127" s="133"/>
      <c r="AI127" s="133"/>
      <c r="AJ127" s="133"/>
      <c r="AK127" s="133"/>
      <c r="AL127" s="133"/>
      <c r="AM127" s="133"/>
      <c r="AN127" s="133"/>
      <c r="AO127" s="133"/>
      <c r="AP127" s="133"/>
      <c r="AQ127" s="133"/>
      <c r="AR127" s="133"/>
      <c r="AS127" s="133"/>
      <c r="AT127" s="133"/>
    </row>
    <row r="128" spans="1:46" s="132" customFormat="1" ht="15" customHeight="1">
      <c r="A128" s="133"/>
      <c r="B128" s="133"/>
      <c r="C128" s="133"/>
      <c r="D128" s="133"/>
      <c r="E128" s="133"/>
      <c r="F128" s="133"/>
      <c r="G128" s="133"/>
      <c r="H128" s="133"/>
      <c r="I128" s="133"/>
      <c r="J128" s="133"/>
      <c r="K128" s="133"/>
      <c r="L128" s="133"/>
      <c r="M128" s="133"/>
      <c r="N128" s="133"/>
      <c r="O128" s="133"/>
      <c r="P128" s="133"/>
      <c r="Q128" s="133"/>
      <c r="R128" s="133"/>
      <c r="S128" s="133"/>
      <c r="T128" s="133"/>
      <c r="U128" s="133"/>
      <c r="V128" s="133"/>
      <c r="W128" s="133"/>
      <c r="X128" s="133"/>
      <c r="Y128" s="133"/>
      <c r="Z128" s="133"/>
      <c r="AA128" s="133"/>
      <c r="AB128" s="133"/>
      <c r="AC128" s="133"/>
      <c r="AD128" s="133"/>
      <c r="AE128" s="133"/>
      <c r="AF128" s="133"/>
      <c r="AG128" s="133"/>
      <c r="AH128" s="133"/>
      <c r="AI128" s="133"/>
      <c r="AJ128" s="133"/>
      <c r="AK128" s="133"/>
      <c r="AL128" s="133"/>
      <c r="AM128" s="133"/>
      <c r="AN128" s="133"/>
      <c r="AO128" s="133"/>
      <c r="AP128" s="133"/>
      <c r="AQ128" s="133"/>
      <c r="AR128" s="133"/>
      <c r="AS128" s="133"/>
      <c r="AT128" s="133"/>
    </row>
    <row r="129" spans="1:46" ht="15" customHeight="1"/>
    <row r="130" spans="1:46" ht="15" customHeight="1"/>
    <row r="131" spans="1:46" ht="15" customHeight="1"/>
    <row r="132" spans="1:46" ht="15" customHeight="1"/>
    <row r="133" spans="1:46" ht="15" customHeight="1"/>
    <row r="134" spans="1:46" ht="15" customHeight="1"/>
    <row r="135" spans="1:46" ht="15" customHeight="1"/>
    <row r="136" spans="1:46" ht="15" customHeight="1"/>
    <row r="137" spans="1:46" ht="15" customHeight="1"/>
    <row r="138" spans="1:46" ht="15" customHeight="1"/>
    <row r="139" spans="1:46" ht="15" customHeight="1"/>
    <row r="140" spans="1:46" s="132" customFormat="1" ht="15" customHeight="1">
      <c r="A140" s="133"/>
      <c r="B140" s="133"/>
      <c r="C140" s="152"/>
      <c r="D140" s="133"/>
      <c r="E140" s="133"/>
      <c r="F140" s="133"/>
      <c r="G140" s="133"/>
      <c r="H140" s="133"/>
      <c r="I140" s="133"/>
      <c r="J140" s="133"/>
      <c r="K140" s="133"/>
      <c r="L140" s="133"/>
      <c r="M140" s="133"/>
      <c r="N140" s="133"/>
      <c r="O140" s="133"/>
      <c r="P140" s="133"/>
      <c r="Q140" s="133"/>
      <c r="R140" s="133"/>
      <c r="S140" s="133"/>
      <c r="T140" s="133"/>
      <c r="U140" s="133"/>
      <c r="V140" s="133"/>
      <c r="W140" s="133"/>
      <c r="X140" s="133"/>
      <c r="Y140" s="133"/>
      <c r="Z140" s="133"/>
      <c r="AA140" s="133"/>
      <c r="AB140" s="133"/>
      <c r="AC140" s="133"/>
      <c r="AD140" s="133"/>
      <c r="AE140" s="133"/>
      <c r="AF140" s="133"/>
      <c r="AG140" s="133"/>
      <c r="AH140" s="133"/>
      <c r="AI140" s="133"/>
      <c r="AJ140" s="133"/>
      <c r="AK140" s="133"/>
      <c r="AL140" s="133"/>
      <c r="AM140" s="133"/>
      <c r="AN140" s="133"/>
      <c r="AO140" s="133"/>
      <c r="AP140" s="133"/>
      <c r="AQ140" s="133"/>
      <c r="AR140" s="133"/>
      <c r="AS140" s="133"/>
      <c r="AT140" s="133"/>
    </row>
    <row r="141" spans="1:46" ht="15" customHeight="1"/>
    <row r="142" spans="1:46" ht="15" customHeight="1"/>
    <row r="143" spans="1:46" ht="15" customHeight="1"/>
    <row r="144" spans="1:46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spans="1:13" ht="15" customHeight="1"/>
    <row r="178" spans="1:13" ht="15" customHeight="1"/>
    <row r="179" spans="1:13" ht="15" customHeight="1"/>
    <row r="180" spans="1:13" ht="15" customHeight="1"/>
    <row r="181" spans="1:13" ht="15" customHeight="1"/>
    <row r="182" spans="1:13" ht="15" customHeight="1"/>
    <row r="183" spans="1:13" ht="15" customHeight="1"/>
    <row r="184" spans="1:13" ht="15" customHeight="1"/>
    <row r="185" spans="1:13" ht="15" customHeight="1"/>
    <row r="186" spans="1:13" ht="15" customHeight="1"/>
    <row r="187" spans="1:13" ht="15" customHeight="1"/>
    <row r="188" spans="1:13" ht="15" customHeight="1"/>
    <row r="189" spans="1:13" ht="15" customHeight="1">
      <c r="A189" s="710"/>
      <c r="B189" s="710"/>
      <c r="C189" s="710"/>
      <c r="D189" s="710"/>
      <c r="E189" s="710"/>
      <c r="F189" s="710"/>
      <c r="G189" s="710"/>
      <c r="H189" s="710"/>
      <c r="I189" s="710"/>
      <c r="J189" s="710"/>
      <c r="K189" s="710"/>
      <c r="L189" s="710"/>
      <c r="M189" s="710"/>
    </row>
    <row r="190" spans="1:13" ht="15" customHeight="1"/>
    <row r="191" spans="1:13" ht="15" customHeight="1"/>
    <row r="192" spans="1:13" ht="15" customHeight="1">
      <c r="A192" s="131"/>
      <c r="B192" s="131"/>
      <c r="C192" s="131"/>
      <c r="D192" s="131"/>
      <c r="E192" s="131"/>
      <c r="F192" s="131"/>
      <c r="G192" s="131"/>
      <c r="H192" s="131"/>
      <c r="I192" s="131"/>
      <c r="J192" s="131"/>
      <c r="K192" s="131"/>
      <c r="L192" s="131"/>
      <c r="M192" s="131"/>
    </row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</sheetData>
  <mergeCells count="3">
    <mergeCell ref="B14:C14"/>
    <mergeCell ref="B75:C75"/>
    <mergeCell ref="A189:M189"/>
  </mergeCells>
  <printOptions horizontalCentered="1"/>
  <pageMargins left="0.5" right="0.5" top="1" bottom="0.75" header="0.5" footer="0.5"/>
  <pageSetup scale="48" orientation="landscape" r:id="rId1"/>
  <headerFooter alignWithMargins="0"/>
  <rowBreaks count="1" manualBreakCount="1">
    <brk id="61" max="15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rgb="FF00B050"/>
  </sheetPr>
  <dimension ref="A1"/>
  <sheetViews>
    <sheetView workbookViewId="0"/>
  </sheetViews>
  <sheetFormatPr defaultRowHeight="15"/>
  <sheetData/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T1388"/>
  <sheetViews>
    <sheetView view="pageBreakPreview" zoomScale="60" zoomScaleNormal="75" workbookViewId="0">
      <selection activeCell="F39" sqref="F39"/>
    </sheetView>
  </sheetViews>
  <sheetFormatPr defaultColWidth="8" defaultRowHeight="12.75"/>
  <cols>
    <col min="1" max="1" width="5.44140625" style="92" customWidth="1"/>
    <col min="2" max="2" width="7.77734375" style="92" customWidth="1"/>
    <col min="3" max="3" width="51.6640625" style="69" customWidth="1"/>
    <col min="4" max="4" width="17.77734375" style="69" customWidth="1"/>
    <col min="5" max="5" width="20.6640625" style="69" customWidth="1"/>
    <col min="6" max="6" width="17.88671875" style="69" customWidth="1"/>
    <col min="7" max="7" width="20.6640625" style="69" customWidth="1"/>
    <col min="8" max="8" width="17.88671875" style="69" hidden="1" customWidth="1"/>
    <col min="9" max="9" width="17.88671875" style="69" customWidth="1"/>
    <col min="10" max="10" width="19.88671875" style="69" customWidth="1"/>
    <col min="11" max="12" width="6.109375" style="69" hidden="1" customWidth="1"/>
    <col min="13" max="13" width="18.21875" style="69" customWidth="1"/>
    <col min="14" max="14" width="18.109375" style="69" hidden="1" customWidth="1"/>
    <col min="15" max="17" width="18" style="69" customWidth="1"/>
    <col min="18" max="18" width="14" style="69" customWidth="1"/>
    <col min="19" max="16384" width="8" style="69"/>
  </cols>
  <sheetData>
    <row r="1" spans="1:20" ht="15">
      <c r="A1" s="65"/>
      <c r="B1" s="65"/>
      <c r="C1" s="66"/>
      <c r="D1" s="66"/>
      <c r="E1" s="66">
        <v>0</v>
      </c>
      <c r="F1" s="66">
        <v>1</v>
      </c>
      <c r="G1" s="67">
        <v>2</v>
      </c>
      <c r="H1" s="68">
        <v>3</v>
      </c>
      <c r="I1" s="67">
        <v>4</v>
      </c>
      <c r="J1" s="67">
        <v>5</v>
      </c>
      <c r="K1" s="67">
        <v>6</v>
      </c>
      <c r="L1" s="67">
        <v>7</v>
      </c>
      <c r="M1" s="67">
        <v>8</v>
      </c>
      <c r="N1" s="67">
        <v>9</v>
      </c>
      <c r="O1" s="67">
        <v>10</v>
      </c>
      <c r="P1" s="67">
        <v>11</v>
      </c>
      <c r="Q1" s="67">
        <v>12</v>
      </c>
      <c r="R1" s="67">
        <f t="shared" ref="R1:T1" si="0">1+Q1</f>
        <v>13</v>
      </c>
      <c r="S1" s="67">
        <f t="shared" si="0"/>
        <v>14</v>
      </c>
      <c r="T1" s="67">
        <f t="shared" si="0"/>
        <v>15</v>
      </c>
    </row>
    <row r="2" spans="1:20" ht="15">
      <c r="A2" s="70"/>
      <c r="B2" s="70"/>
      <c r="C2" s="71"/>
      <c r="D2" s="72"/>
      <c r="E2" s="72"/>
      <c r="G2" s="73" t="s">
        <v>232</v>
      </c>
      <c r="H2" s="72"/>
      <c r="I2" s="72"/>
      <c r="J2" s="72"/>
      <c r="K2" s="72"/>
      <c r="L2" s="72"/>
      <c r="M2" s="72"/>
      <c r="N2" s="68" t="s">
        <v>232</v>
      </c>
      <c r="O2" s="72"/>
      <c r="P2" s="72"/>
      <c r="Q2" s="72">
        <v>42664.480635185188</v>
      </c>
      <c r="R2" s="72"/>
      <c r="S2" s="72"/>
      <c r="T2" s="72"/>
    </row>
    <row r="3" spans="1:20" ht="15">
      <c r="A3" s="70"/>
      <c r="B3" s="70"/>
      <c r="C3" s="74"/>
      <c r="D3" s="72"/>
      <c r="E3" s="72"/>
      <c r="G3" s="73" t="s">
        <v>233</v>
      </c>
      <c r="H3" s="72"/>
      <c r="I3" s="72"/>
      <c r="J3" s="75"/>
      <c r="K3" s="72"/>
      <c r="L3" s="72"/>
      <c r="M3" s="72"/>
      <c r="N3" s="68" t="s">
        <v>233</v>
      </c>
      <c r="O3" s="72"/>
      <c r="P3" s="72"/>
      <c r="Q3" s="76">
        <v>42664.480635185188</v>
      </c>
      <c r="S3" s="72"/>
      <c r="T3" s="72"/>
    </row>
    <row r="4" spans="1:20" ht="15">
      <c r="A4" s="70"/>
      <c r="B4" s="70"/>
      <c r="C4" s="72"/>
      <c r="D4" s="72"/>
      <c r="E4" s="72"/>
      <c r="G4" s="73" t="s">
        <v>234</v>
      </c>
      <c r="H4" s="72"/>
      <c r="I4" s="72"/>
      <c r="J4" s="72"/>
      <c r="K4" s="72"/>
      <c r="L4" s="72"/>
      <c r="M4" s="72"/>
      <c r="N4" s="68" t="s">
        <v>234</v>
      </c>
      <c r="O4" s="72"/>
      <c r="P4" s="72"/>
      <c r="Q4" s="72"/>
      <c r="R4" s="72"/>
      <c r="S4" s="72"/>
      <c r="T4" s="72"/>
    </row>
    <row r="5" spans="1:20" ht="15">
      <c r="A5" s="70"/>
      <c r="B5" s="70"/>
      <c r="C5" s="75" t="s">
        <v>235</v>
      </c>
      <c r="D5" s="72"/>
      <c r="E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</row>
    <row r="6" spans="1:20" ht="15">
      <c r="A6" s="70"/>
      <c r="B6" s="70"/>
      <c r="C6" s="77" t="s">
        <v>236</v>
      </c>
      <c r="D6" s="72"/>
      <c r="E6" s="78"/>
      <c r="G6" s="79" t="s">
        <v>2424</v>
      </c>
      <c r="H6" s="72"/>
      <c r="I6" s="72"/>
      <c r="J6" s="72"/>
      <c r="K6" s="72"/>
      <c r="L6" s="72"/>
      <c r="M6" s="72"/>
      <c r="N6" s="68" t="s">
        <v>2424</v>
      </c>
      <c r="O6" s="72"/>
      <c r="P6" s="72"/>
      <c r="Q6" s="72"/>
      <c r="R6" s="72"/>
      <c r="S6" s="72"/>
      <c r="T6" s="72"/>
    </row>
    <row r="7" spans="1:20" ht="15">
      <c r="A7" s="70"/>
      <c r="B7" s="70"/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</row>
    <row r="8" spans="1:20" ht="15">
      <c r="A8" s="70"/>
      <c r="B8" s="70"/>
      <c r="C8" s="72"/>
      <c r="D8" s="72"/>
      <c r="E8" s="76" t="s">
        <v>237</v>
      </c>
      <c r="F8" s="72"/>
      <c r="G8" s="76" t="s">
        <v>238</v>
      </c>
      <c r="H8" s="72"/>
      <c r="I8" s="76" t="s">
        <v>239</v>
      </c>
      <c r="J8" s="80" t="s">
        <v>240</v>
      </c>
      <c r="K8" s="72"/>
      <c r="L8" s="72"/>
      <c r="M8" s="76" t="s">
        <v>241</v>
      </c>
      <c r="N8" s="72"/>
      <c r="O8" s="72"/>
      <c r="P8" s="72"/>
      <c r="Q8" s="72"/>
      <c r="R8" s="72"/>
      <c r="S8" s="72"/>
      <c r="T8" s="72"/>
    </row>
    <row r="9" spans="1:20" ht="15">
      <c r="A9" s="70"/>
      <c r="B9" s="70"/>
      <c r="C9" s="72"/>
      <c r="D9" s="72"/>
      <c r="E9" s="76" t="s">
        <v>238</v>
      </c>
      <c r="F9" s="72"/>
      <c r="G9" s="76" t="s">
        <v>242</v>
      </c>
      <c r="H9" s="72"/>
      <c r="I9" s="76" t="s">
        <v>242</v>
      </c>
      <c r="J9" s="76" t="s">
        <v>241</v>
      </c>
      <c r="K9" s="72"/>
      <c r="L9" s="72"/>
      <c r="M9" s="76" t="s">
        <v>242</v>
      </c>
      <c r="N9" s="76"/>
      <c r="O9" s="76" t="s">
        <v>243</v>
      </c>
      <c r="P9" s="72"/>
      <c r="Q9" s="72"/>
      <c r="R9" s="72"/>
      <c r="S9" s="72"/>
      <c r="T9" s="72"/>
    </row>
    <row r="10" spans="1:20" ht="15">
      <c r="A10" s="70"/>
      <c r="B10" s="70"/>
      <c r="C10" s="72"/>
      <c r="D10" s="81" t="s">
        <v>244</v>
      </c>
      <c r="E10" s="76" t="s">
        <v>245</v>
      </c>
      <c r="F10" s="72"/>
      <c r="G10" s="76" t="s">
        <v>246</v>
      </c>
      <c r="H10" s="72"/>
      <c r="I10" s="76" t="s">
        <v>246</v>
      </c>
      <c r="J10" s="76" t="s">
        <v>246</v>
      </c>
      <c r="K10" s="72"/>
      <c r="L10" s="72"/>
      <c r="M10" s="76" t="s">
        <v>246</v>
      </c>
      <c r="N10" s="76"/>
      <c r="O10" s="76" t="s">
        <v>246</v>
      </c>
      <c r="P10" s="76" t="s">
        <v>247</v>
      </c>
      <c r="Q10" s="76" t="s">
        <v>248</v>
      </c>
      <c r="R10" s="76"/>
      <c r="S10" s="72"/>
      <c r="T10" s="72"/>
    </row>
    <row r="11" spans="1:20" ht="15">
      <c r="A11" s="70"/>
      <c r="B11" s="70"/>
      <c r="C11" s="72"/>
      <c r="D11" s="72"/>
      <c r="E11" s="82" t="s">
        <v>249</v>
      </c>
      <c r="F11" s="72"/>
      <c r="G11" s="76" t="s">
        <v>250</v>
      </c>
      <c r="H11" s="72"/>
      <c r="I11" s="83">
        <v>-3</v>
      </c>
      <c r="J11" s="83">
        <v>-4</v>
      </c>
      <c r="K11" s="72"/>
      <c r="L11" s="72"/>
      <c r="M11" s="83">
        <v>-5</v>
      </c>
      <c r="N11" s="76"/>
      <c r="O11" s="76" t="s">
        <v>251</v>
      </c>
      <c r="P11" s="76" t="s">
        <v>252</v>
      </c>
      <c r="Q11" s="76" t="s">
        <v>253</v>
      </c>
      <c r="R11" s="76"/>
      <c r="S11" s="72"/>
      <c r="T11" s="72"/>
    </row>
    <row r="12" spans="1:20" ht="15">
      <c r="A12" s="70"/>
      <c r="B12" s="70"/>
      <c r="C12" s="72"/>
      <c r="D12" s="84"/>
      <c r="E12" s="72"/>
      <c r="F12" s="72"/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2"/>
    </row>
    <row r="13" spans="1:20" ht="15">
      <c r="A13" s="70" t="s">
        <v>254</v>
      </c>
      <c r="B13" s="70"/>
      <c r="C13" s="72" t="s">
        <v>255</v>
      </c>
      <c r="D13" s="72" t="s">
        <v>254</v>
      </c>
      <c r="E13" s="72" t="s">
        <v>254</v>
      </c>
      <c r="F13" s="72" t="s">
        <v>254</v>
      </c>
      <c r="G13" s="72" t="s">
        <v>254</v>
      </c>
      <c r="H13" s="72" t="s">
        <v>254</v>
      </c>
      <c r="I13" s="72" t="s">
        <v>254</v>
      </c>
      <c r="J13" s="72" t="s">
        <v>254</v>
      </c>
      <c r="K13" s="72" t="s">
        <v>254</v>
      </c>
      <c r="L13" s="72" t="s">
        <v>254</v>
      </c>
      <c r="M13" s="72" t="s">
        <v>254</v>
      </c>
      <c r="N13" s="72" t="s">
        <v>254</v>
      </c>
      <c r="O13" s="72" t="s">
        <v>254</v>
      </c>
      <c r="P13" s="72" t="s">
        <v>254</v>
      </c>
      <c r="Q13" s="72" t="s">
        <v>254</v>
      </c>
      <c r="R13" s="72"/>
      <c r="S13" s="72"/>
      <c r="T13" s="72"/>
    </row>
    <row r="14" spans="1:20" ht="15">
      <c r="A14" s="70" t="s">
        <v>254</v>
      </c>
      <c r="B14" s="70"/>
      <c r="C14" s="72" t="s">
        <v>254</v>
      </c>
      <c r="D14" s="72" t="s">
        <v>254</v>
      </c>
      <c r="E14" s="72" t="s">
        <v>254</v>
      </c>
      <c r="F14" s="72" t="s">
        <v>254</v>
      </c>
      <c r="G14" s="72" t="s">
        <v>254</v>
      </c>
      <c r="H14" s="72" t="s">
        <v>254</v>
      </c>
      <c r="I14" s="72" t="s">
        <v>254</v>
      </c>
      <c r="J14" s="72" t="s">
        <v>254</v>
      </c>
      <c r="K14" s="72" t="s">
        <v>254</v>
      </c>
      <c r="L14" s="72" t="s">
        <v>254</v>
      </c>
      <c r="M14" s="72" t="s">
        <v>254</v>
      </c>
      <c r="N14" s="72" t="s">
        <v>254</v>
      </c>
      <c r="O14" s="72" t="s">
        <v>254</v>
      </c>
      <c r="P14" s="72" t="s">
        <v>254</v>
      </c>
      <c r="Q14" s="72" t="s">
        <v>254</v>
      </c>
      <c r="R14" s="72"/>
      <c r="S14" s="72"/>
      <c r="T14" s="72"/>
    </row>
    <row r="15" spans="1:20" ht="15">
      <c r="A15" s="70" t="s">
        <v>254</v>
      </c>
      <c r="B15" s="70"/>
      <c r="C15" s="72" t="s">
        <v>256</v>
      </c>
      <c r="D15" s="72" t="s">
        <v>254</v>
      </c>
      <c r="E15" s="72" t="s">
        <v>254</v>
      </c>
      <c r="F15" s="72" t="s">
        <v>254</v>
      </c>
      <c r="G15" s="72" t="s">
        <v>254</v>
      </c>
      <c r="H15" s="72" t="s">
        <v>254</v>
      </c>
      <c r="I15" s="72" t="s">
        <v>254</v>
      </c>
      <c r="J15" s="72" t="s">
        <v>254</v>
      </c>
      <c r="K15" s="72" t="s">
        <v>254</v>
      </c>
      <c r="L15" s="72" t="s">
        <v>254</v>
      </c>
      <c r="M15" s="72" t="s">
        <v>254</v>
      </c>
      <c r="N15" s="72" t="s">
        <v>254</v>
      </c>
      <c r="O15" s="72" t="s">
        <v>254</v>
      </c>
      <c r="P15" s="72" t="s">
        <v>254</v>
      </c>
      <c r="Q15" s="72" t="s">
        <v>254</v>
      </c>
      <c r="R15" s="72"/>
      <c r="S15" s="72"/>
      <c r="T15" s="72"/>
    </row>
    <row r="16" spans="1:20" ht="15">
      <c r="A16" s="70" t="s">
        <v>254</v>
      </c>
      <c r="B16" s="70"/>
      <c r="C16" s="72" t="s">
        <v>254</v>
      </c>
      <c r="D16" s="72" t="s">
        <v>254</v>
      </c>
      <c r="E16" s="72" t="s">
        <v>254</v>
      </c>
      <c r="F16" s="72" t="s">
        <v>254</v>
      </c>
      <c r="G16" s="72" t="s">
        <v>254</v>
      </c>
      <c r="H16" s="72" t="s">
        <v>254</v>
      </c>
      <c r="I16" s="72" t="s">
        <v>254</v>
      </c>
      <c r="J16" s="72" t="s">
        <v>254</v>
      </c>
      <c r="K16" s="72" t="s">
        <v>254</v>
      </c>
      <c r="L16" s="72" t="s">
        <v>254</v>
      </c>
      <c r="M16" s="72" t="s">
        <v>254</v>
      </c>
      <c r="N16" s="72" t="s">
        <v>254</v>
      </c>
      <c r="O16" s="72" t="s">
        <v>254</v>
      </c>
      <c r="P16" s="72" t="s">
        <v>254</v>
      </c>
      <c r="Q16" s="72" t="s">
        <v>254</v>
      </c>
      <c r="R16" s="72"/>
      <c r="S16" s="72"/>
      <c r="T16" s="72"/>
    </row>
    <row r="17" spans="1:20" ht="15">
      <c r="A17" s="70">
        <v>1</v>
      </c>
      <c r="B17" s="70"/>
      <c r="C17" s="72" t="s">
        <v>257</v>
      </c>
      <c r="D17" s="72" t="s">
        <v>254</v>
      </c>
      <c r="E17" s="85">
        <v>9283387172.6699963</v>
      </c>
      <c r="F17" s="85" t="s">
        <v>254</v>
      </c>
      <c r="G17" s="85">
        <v>8236955902.1613598</v>
      </c>
      <c r="H17" s="85" t="s">
        <v>254</v>
      </c>
      <c r="I17" s="85">
        <v>460936917.02036798</v>
      </c>
      <c r="J17" s="85">
        <v>585494353.48826849</v>
      </c>
      <c r="K17" s="85" t="s">
        <v>254</v>
      </c>
      <c r="L17" s="85" t="s">
        <v>254</v>
      </c>
      <c r="M17" s="85">
        <v>205173.4119882911</v>
      </c>
      <c r="N17" s="85" t="s">
        <v>254</v>
      </c>
      <c r="O17" s="85">
        <v>585289180.07628024</v>
      </c>
      <c r="P17" s="85">
        <v>184499062.45623788</v>
      </c>
      <c r="Q17" s="85">
        <v>400790117.62004232</v>
      </c>
      <c r="R17" s="85"/>
      <c r="S17" s="85"/>
      <c r="T17" s="72"/>
    </row>
    <row r="18" spans="1:20" ht="15">
      <c r="A18" s="70" t="s">
        <v>254</v>
      </c>
      <c r="B18" s="70"/>
      <c r="C18" s="72" t="s">
        <v>254</v>
      </c>
      <c r="D18" s="72" t="s">
        <v>254</v>
      </c>
      <c r="E18" s="85" t="s">
        <v>254</v>
      </c>
      <c r="F18" s="85" t="s">
        <v>254</v>
      </c>
      <c r="G18" s="85" t="s">
        <v>254</v>
      </c>
      <c r="H18" s="85" t="s">
        <v>254</v>
      </c>
      <c r="I18" s="85" t="s">
        <v>254</v>
      </c>
      <c r="J18" s="85" t="s">
        <v>254</v>
      </c>
      <c r="K18" s="85" t="s">
        <v>254</v>
      </c>
      <c r="L18" s="85" t="s">
        <v>254</v>
      </c>
      <c r="M18" s="85" t="s">
        <v>254</v>
      </c>
      <c r="N18" s="85" t="s">
        <v>254</v>
      </c>
      <c r="O18" s="85" t="s">
        <v>254</v>
      </c>
      <c r="P18" s="85" t="s">
        <v>254</v>
      </c>
      <c r="Q18" s="85" t="s">
        <v>254</v>
      </c>
      <c r="R18" s="85"/>
      <c r="S18" s="85"/>
      <c r="T18" s="72"/>
    </row>
    <row r="19" spans="1:20" ht="15">
      <c r="A19" s="70">
        <v>2</v>
      </c>
      <c r="B19" s="70"/>
      <c r="C19" s="72" t="s">
        <v>258</v>
      </c>
      <c r="D19" s="72" t="s">
        <v>254</v>
      </c>
      <c r="E19" s="85">
        <v>3083012494.1474013</v>
      </c>
      <c r="F19" s="85" t="s">
        <v>254</v>
      </c>
      <c r="G19" s="85">
        <v>2720167536.5356674</v>
      </c>
      <c r="H19" s="85" t="s">
        <v>254</v>
      </c>
      <c r="I19" s="85">
        <v>170946412.18799743</v>
      </c>
      <c r="J19" s="85">
        <v>191898545.4237366</v>
      </c>
      <c r="K19" s="85" t="s">
        <v>254</v>
      </c>
      <c r="L19" s="85" t="s">
        <v>254</v>
      </c>
      <c r="M19" s="85">
        <v>152687.69645467066</v>
      </c>
      <c r="N19" s="85" t="s">
        <v>254</v>
      </c>
      <c r="O19" s="85">
        <v>191745857.72728193</v>
      </c>
      <c r="P19" s="85">
        <v>60569135.07532914</v>
      </c>
      <c r="Q19" s="85">
        <v>131176722.65195279</v>
      </c>
      <c r="R19" s="85"/>
      <c r="S19" s="85"/>
      <c r="T19" s="72"/>
    </row>
    <row r="20" spans="1:20" ht="15">
      <c r="A20" s="70">
        <v>3</v>
      </c>
      <c r="B20" s="70"/>
      <c r="C20" s="72" t="s">
        <v>259</v>
      </c>
      <c r="D20" s="72" t="s">
        <v>254</v>
      </c>
      <c r="E20" s="85">
        <v>6200374678.5225954</v>
      </c>
      <c r="F20" s="85" t="s">
        <v>254</v>
      </c>
      <c r="G20" s="85">
        <v>5516788365.6256924</v>
      </c>
      <c r="H20" s="85" t="s">
        <v>254</v>
      </c>
      <c r="I20" s="85">
        <v>289990504.83237052</v>
      </c>
      <c r="J20" s="85">
        <v>393595808.06453186</v>
      </c>
      <c r="K20" s="85" t="s">
        <v>254</v>
      </c>
      <c r="L20" s="85" t="s">
        <v>254</v>
      </c>
      <c r="M20" s="85">
        <v>52485.715533620445</v>
      </c>
      <c r="N20" s="85" t="s">
        <v>254</v>
      </c>
      <c r="O20" s="85">
        <v>393543322.34899825</v>
      </c>
      <c r="P20" s="85">
        <v>123929927.38090874</v>
      </c>
      <c r="Q20" s="85">
        <v>269613394.96808952</v>
      </c>
      <c r="R20" s="85"/>
      <c r="S20" s="85"/>
      <c r="T20" s="72"/>
    </row>
    <row r="21" spans="1:20" ht="15">
      <c r="A21" s="70" t="s">
        <v>254</v>
      </c>
      <c r="B21" s="70"/>
      <c r="C21" s="72" t="s">
        <v>254</v>
      </c>
      <c r="D21" s="72" t="s">
        <v>254</v>
      </c>
      <c r="E21" s="85" t="s">
        <v>254</v>
      </c>
      <c r="F21" s="85" t="s">
        <v>254</v>
      </c>
      <c r="G21" s="85" t="s">
        <v>254</v>
      </c>
      <c r="H21" s="85" t="s">
        <v>254</v>
      </c>
      <c r="I21" s="85" t="s">
        <v>254</v>
      </c>
      <c r="J21" s="85" t="s">
        <v>254</v>
      </c>
      <c r="K21" s="85" t="s">
        <v>254</v>
      </c>
      <c r="L21" s="85" t="s">
        <v>254</v>
      </c>
      <c r="M21" s="85" t="s">
        <v>254</v>
      </c>
      <c r="N21" s="85" t="s">
        <v>254</v>
      </c>
      <c r="O21" s="85" t="s">
        <v>254</v>
      </c>
      <c r="P21" s="85" t="s">
        <v>254</v>
      </c>
      <c r="Q21" s="85" t="s">
        <v>254</v>
      </c>
      <c r="R21" s="85"/>
      <c r="S21" s="85"/>
      <c r="T21" s="72"/>
    </row>
    <row r="22" spans="1:20" ht="15">
      <c r="A22" s="70">
        <v>4</v>
      </c>
      <c r="B22" s="70"/>
      <c r="C22" s="72" t="s">
        <v>260</v>
      </c>
      <c r="D22" s="72" t="s">
        <v>254</v>
      </c>
      <c r="E22" s="85">
        <v>139671981.03999999</v>
      </c>
      <c r="F22" s="85" t="s">
        <v>254</v>
      </c>
      <c r="G22" s="85">
        <v>125982146.41187859</v>
      </c>
      <c r="H22" s="85" t="s">
        <v>254</v>
      </c>
      <c r="I22" s="85">
        <v>5303557.6546931677</v>
      </c>
      <c r="J22" s="85">
        <v>8386276.9734282475</v>
      </c>
      <c r="K22" s="85" t="s">
        <v>254</v>
      </c>
      <c r="L22" s="85" t="s">
        <v>254</v>
      </c>
      <c r="M22" s="85">
        <v>857.90511180617443</v>
      </c>
      <c r="N22" s="85" t="s">
        <v>254</v>
      </c>
      <c r="O22" s="85">
        <v>8385419.068316441</v>
      </c>
      <c r="P22" s="85">
        <v>2613020.8069461794</v>
      </c>
      <c r="Q22" s="85">
        <v>5772398.2613702612</v>
      </c>
      <c r="R22" s="85"/>
      <c r="S22" s="85"/>
      <c r="T22" s="72"/>
    </row>
    <row r="23" spans="1:20" ht="15">
      <c r="A23" s="70">
        <v>5</v>
      </c>
      <c r="B23" s="70"/>
      <c r="C23" s="72" t="s">
        <v>261</v>
      </c>
      <c r="D23" s="72" t="s">
        <v>254</v>
      </c>
      <c r="E23" s="85">
        <v>6340046659.5625944</v>
      </c>
      <c r="F23" s="85" t="s">
        <v>254</v>
      </c>
      <c r="G23" s="85">
        <v>5642770512.037571</v>
      </c>
      <c r="H23" s="85" t="s">
        <v>254</v>
      </c>
      <c r="I23" s="85">
        <v>295294062.48706371</v>
      </c>
      <c r="J23" s="85">
        <v>401982085.03796005</v>
      </c>
      <c r="K23" s="85" t="s">
        <v>254</v>
      </c>
      <c r="L23" s="85" t="s">
        <v>254</v>
      </c>
      <c r="M23" s="85">
        <v>53343.620645426621</v>
      </c>
      <c r="N23" s="85" t="s">
        <v>254</v>
      </c>
      <c r="O23" s="85">
        <v>401928741.41731465</v>
      </c>
      <c r="P23" s="85">
        <v>126542948.18785492</v>
      </c>
      <c r="Q23" s="85">
        <v>275385793.22945976</v>
      </c>
      <c r="R23" s="85"/>
      <c r="S23" s="85"/>
      <c r="T23" s="72"/>
    </row>
    <row r="24" spans="1:20" ht="15">
      <c r="A24" s="70" t="s">
        <v>254</v>
      </c>
      <c r="B24" s="70"/>
      <c r="C24" s="72" t="s">
        <v>254</v>
      </c>
      <c r="D24" s="72" t="s">
        <v>254</v>
      </c>
      <c r="E24" s="85"/>
      <c r="F24" s="85" t="s">
        <v>254</v>
      </c>
      <c r="G24" s="85" t="s">
        <v>254</v>
      </c>
      <c r="H24" s="85" t="s">
        <v>254</v>
      </c>
      <c r="I24" s="85" t="s">
        <v>254</v>
      </c>
      <c r="J24" s="85" t="s">
        <v>254</v>
      </c>
      <c r="K24" s="85" t="s">
        <v>254</v>
      </c>
      <c r="L24" s="85" t="s">
        <v>254</v>
      </c>
      <c r="M24" s="85" t="s">
        <v>254</v>
      </c>
      <c r="N24" s="85" t="s">
        <v>254</v>
      </c>
      <c r="O24" s="85" t="s">
        <v>254</v>
      </c>
      <c r="P24" s="85" t="s">
        <v>254</v>
      </c>
      <c r="Q24" s="85" t="s">
        <v>254</v>
      </c>
      <c r="R24" s="85"/>
      <c r="S24" s="85"/>
      <c r="T24" s="72"/>
    </row>
    <row r="25" spans="1:20" ht="15">
      <c r="A25" s="70" t="s">
        <v>254</v>
      </c>
      <c r="B25" s="70"/>
      <c r="C25" s="72" t="s">
        <v>262</v>
      </c>
      <c r="D25" s="72" t="s">
        <v>254</v>
      </c>
      <c r="E25" s="85"/>
      <c r="F25" s="85" t="s">
        <v>254</v>
      </c>
      <c r="G25" s="85" t="s">
        <v>254</v>
      </c>
      <c r="H25" s="85" t="s">
        <v>254</v>
      </c>
      <c r="I25" s="85" t="s">
        <v>254</v>
      </c>
      <c r="J25" s="85" t="s">
        <v>254</v>
      </c>
      <c r="K25" s="85" t="s">
        <v>254</v>
      </c>
      <c r="L25" s="85" t="s">
        <v>254</v>
      </c>
      <c r="M25" s="85" t="s">
        <v>254</v>
      </c>
      <c r="N25" s="85" t="s">
        <v>254</v>
      </c>
      <c r="O25" s="85" t="s">
        <v>254</v>
      </c>
      <c r="P25" s="85" t="s">
        <v>254</v>
      </c>
      <c r="Q25" s="85" t="s">
        <v>254</v>
      </c>
      <c r="R25" s="85"/>
      <c r="S25" s="86"/>
    </row>
    <row r="26" spans="1:20" ht="15">
      <c r="A26" s="70">
        <v>6</v>
      </c>
      <c r="B26" s="70"/>
      <c r="C26" s="72" t="s">
        <v>263</v>
      </c>
      <c r="D26" s="72" t="s">
        <v>254</v>
      </c>
      <c r="E26" s="85">
        <v>54089819.999999993</v>
      </c>
      <c r="F26" s="85" t="s">
        <v>254</v>
      </c>
      <c r="G26" s="85">
        <v>47850447.381598629</v>
      </c>
      <c r="H26" s="85" t="s">
        <v>254</v>
      </c>
      <c r="I26" s="85">
        <v>2894343.5351672191</v>
      </c>
      <c r="J26" s="85">
        <v>3345029.0832341462</v>
      </c>
      <c r="K26" s="85" t="s">
        <v>254</v>
      </c>
      <c r="L26" s="85" t="s">
        <v>254</v>
      </c>
      <c r="M26" s="85">
        <v>867.6142493218133</v>
      </c>
      <c r="N26" s="85" t="s">
        <v>254</v>
      </c>
      <c r="O26" s="85">
        <v>3344161.4689848246</v>
      </c>
      <c r="P26" s="85">
        <v>1049103.5045159422</v>
      </c>
      <c r="Q26" s="85">
        <v>2295057.9644688824</v>
      </c>
      <c r="R26" s="85"/>
      <c r="S26" s="86"/>
    </row>
    <row r="27" spans="1:20" ht="15">
      <c r="A27" s="70">
        <v>7</v>
      </c>
      <c r="B27" s="70"/>
      <c r="C27" s="72" t="s">
        <v>264</v>
      </c>
      <c r="D27" s="72" t="s">
        <v>254</v>
      </c>
      <c r="E27" s="85">
        <v>100950355.99999999</v>
      </c>
      <c r="F27" s="85" t="s">
        <v>254</v>
      </c>
      <c r="G27" s="85">
        <v>88773969.190853924</v>
      </c>
      <c r="H27" s="85" t="s">
        <v>254</v>
      </c>
      <c r="I27" s="85">
        <v>3680167.1722610025</v>
      </c>
      <c r="J27" s="85">
        <v>8496219.6368850637</v>
      </c>
      <c r="K27" s="85" t="s">
        <v>254</v>
      </c>
      <c r="L27" s="85" t="s">
        <v>254</v>
      </c>
      <c r="M27" s="85">
        <v>428.12050894751218</v>
      </c>
      <c r="N27" s="85" t="s">
        <v>254</v>
      </c>
      <c r="O27" s="85">
        <v>8495791.5163761154</v>
      </c>
      <c r="P27" s="85">
        <v>2684784.0514751286</v>
      </c>
      <c r="Q27" s="85">
        <v>5811007.4649009863</v>
      </c>
      <c r="R27" s="85"/>
      <c r="S27" s="86"/>
    </row>
    <row r="28" spans="1:20" ht="15">
      <c r="A28" s="70">
        <v>8</v>
      </c>
      <c r="B28" s="70"/>
      <c r="C28" s="72" t="s">
        <v>265</v>
      </c>
      <c r="D28" s="72" t="s">
        <v>254</v>
      </c>
      <c r="E28" s="85">
        <v>14433442.042318262</v>
      </c>
      <c r="F28" s="85" t="s">
        <v>254</v>
      </c>
      <c r="G28" s="85">
        <v>13556945.731400739</v>
      </c>
      <c r="H28" s="85" t="s">
        <v>254</v>
      </c>
      <c r="I28" s="85">
        <v>0</v>
      </c>
      <c r="J28" s="85">
        <v>876496.31091752183</v>
      </c>
      <c r="K28" s="85" t="s">
        <v>254</v>
      </c>
      <c r="L28" s="85" t="s">
        <v>254</v>
      </c>
      <c r="M28" s="85">
        <v>340.01602321583022</v>
      </c>
      <c r="N28" s="85" t="s">
        <v>254</v>
      </c>
      <c r="O28" s="85">
        <v>876156.29489430599</v>
      </c>
      <c r="P28" s="85">
        <v>277439.7759265934</v>
      </c>
      <c r="Q28" s="85">
        <v>598716.51896771253</v>
      </c>
      <c r="R28" s="85"/>
      <c r="S28" s="86"/>
    </row>
    <row r="29" spans="1:20" ht="15">
      <c r="A29" s="70">
        <v>9</v>
      </c>
      <c r="B29" s="70"/>
      <c r="C29" s="72" t="s">
        <v>266</v>
      </c>
      <c r="D29" s="72" t="s">
        <v>254</v>
      </c>
      <c r="E29" s="85">
        <v>111647266.31580596</v>
      </c>
      <c r="F29" s="85" t="s">
        <v>254</v>
      </c>
      <c r="G29" s="85">
        <v>103768560.12848042</v>
      </c>
      <c r="H29" s="85" t="s">
        <v>254</v>
      </c>
      <c r="I29" s="85">
        <v>0</v>
      </c>
      <c r="J29" s="85">
        <v>7878706.1873255344</v>
      </c>
      <c r="K29" s="85" t="s">
        <v>254</v>
      </c>
      <c r="L29" s="85" t="s">
        <v>254</v>
      </c>
      <c r="M29" s="85">
        <v>1523.9730284656353</v>
      </c>
      <c r="N29" s="85" t="s">
        <v>254</v>
      </c>
      <c r="O29" s="85">
        <v>7877182.2142970692</v>
      </c>
      <c r="P29" s="85">
        <v>2492244.9562144629</v>
      </c>
      <c r="Q29" s="85">
        <v>5384937.2580826068</v>
      </c>
      <c r="R29" s="85"/>
      <c r="S29" s="86"/>
    </row>
    <row r="30" spans="1:20" ht="15">
      <c r="A30" s="70">
        <v>10</v>
      </c>
      <c r="B30" s="70"/>
      <c r="C30" s="72" t="s">
        <v>267</v>
      </c>
      <c r="D30" s="72" t="s">
        <v>254</v>
      </c>
      <c r="E30" s="85">
        <v>137387</v>
      </c>
      <c r="F30" s="85" t="s">
        <v>254</v>
      </c>
      <c r="G30" s="85">
        <v>120320.41009857248</v>
      </c>
      <c r="H30" s="85" t="s">
        <v>254</v>
      </c>
      <c r="I30" s="85">
        <v>5560.4354738355196</v>
      </c>
      <c r="J30" s="85">
        <v>11506.15442759201</v>
      </c>
      <c r="K30" s="85" t="s">
        <v>254</v>
      </c>
      <c r="L30" s="85" t="s">
        <v>254</v>
      </c>
      <c r="M30" s="85">
        <v>0.42279711483745924</v>
      </c>
      <c r="N30" s="85" t="s">
        <v>254</v>
      </c>
      <c r="O30" s="85">
        <v>11505.731630477172</v>
      </c>
      <c r="P30" s="85">
        <v>3570.9059958158314</v>
      </c>
      <c r="Q30" s="85">
        <v>7934.8256346613407</v>
      </c>
      <c r="R30" s="85"/>
      <c r="S30" s="86"/>
    </row>
    <row r="31" spans="1:20" ht="15">
      <c r="A31" s="70">
        <v>11</v>
      </c>
      <c r="B31" s="70"/>
      <c r="C31" s="72" t="s">
        <v>268</v>
      </c>
      <c r="D31" s="72" t="s">
        <v>254</v>
      </c>
      <c r="E31" s="85">
        <v>281258271.3581242</v>
      </c>
      <c r="F31" s="85" t="s">
        <v>254</v>
      </c>
      <c r="G31" s="85">
        <v>254070242.84243229</v>
      </c>
      <c r="H31" s="85" t="s">
        <v>254</v>
      </c>
      <c r="I31" s="85">
        <v>6580071.1429020567</v>
      </c>
      <c r="J31" s="85">
        <v>20607957.37278986</v>
      </c>
      <c r="K31" s="85" t="s">
        <v>254</v>
      </c>
      <c r="L31" s="85" t="s">
        <v>254</v>
      </c>
      <c r="M31" s="85">
        <v>3160.1466070656288</v>
      </c>
      <c r="N31" s="85" t="s">
        <v>254</v>
      </c>
      <c r="O31" s="85">
        <v>20604797.226182792</v>
      </c>
      <c r="P31" s="85">
        <v>6507143.1941279434</v>
      </c>
      <c r="Q31" s="85">
        <v>14097654.032054849</v>
      </c>
      <c r="R31" s="85"/>
      <c r="S31" s="86"/>
    </row>
    <row r="32" spans="1:20" ht="15">
      <c r="A32" s="70" t="s">
        <v>254</v>
      </c>
      <c r="B32" s="70"/>
      <c r="C32" s="72" t="s">
        <v>254</v>
      </c>
      <c r="D32" s="72" t="s">
        <v>254</v>
      </c>
      <c r="E32" s="85" t="s">
        <v>254</v>
      </c>
      <c r="F32" s="85" t="s">
        <v>254</v>
      </c>
      <c r="G32" s="85" t="s">
        <v>254</v>
      </c>
      <c r="H32" s="85" t="s">
        <v>254</v>
      </c>
      <c r="I32" s="85" t="s">
        <v>254</v>
      </c>
      <c r="J32" s="85" t="s">
        <v>254</v>
      </c>
      <c r="K32" s="85" t="s">
        <v>254</v>
      </c>
      <c r="L32" s="85" t="s">
        <v>254</v>
      </c>
      <c r="M32" s="85" t="s">
        <v>254</v>
      </c>
      <c r="N32" s="85" t="s">
        <v>254</v>
      </c>
      <c r="O32" s="85" t="s">
        <v>254</v>
      </c>
      <c r="P32" s="85" t="s">
        <v>254</v>
      </c>
      <c r="Q32" s="85" t="s">
        <v>254</v>
      </c>
      <c r="R32" s="85"/>
      <c r="S32" s="86"/>
    </row>
    <row r="33" spans="1:19" ht="15">
      <c r="A33" s="70" t="s">
        <v>254</v>
      </c>
      <c r="B33" s="70"/>
      <c r="C33" s="72" t="s">
        <v>269</v>
      </c>
      <c r="D33" s="72" t="s">
        <v>254</v>
      </c>
      <c r="E33" s="85" t="s">
        <v>254</v>
      </c>
      <c r="F33" s="85" t="s">
        <v>254</v>
      </c>
      <c r="G33" s="85" t="s">
        <v>254</v>
      </c>
      <c r="H33" s="85" t="s">
        <v>254</v>
      </c>
      <c r="I33" s="85" t="s">
        <v>254</v>
      </c>
      <c r="J33" s="85" t="s">
        <v>254</v>
      </c>
      <c r="K33" s="85" t="s">
        <v>254</v>
      </c>
      <c r="L33" s="85" t="s">
        <v>254</v>
      </c>
      <c r="M33" s="85" t="s">
        <v>254</v>
      </c>
      <c r="N33" s="85" t="s">
        <v>254</v>
      </c>
      <c r="O33" s="85" t="s">
        <v>254</v>
      </c>
      <c r="P33" s="85" t="s">
        <v>254</v>
      </c>
      <c r="Q33" s="85" t="s">
        <v>254</v>
      </c>
      <c r="R33" s="85"/>
      <c r="S33" s="86"/>
    </row>
    <row r="34" spans="1:19" ht="15">
      <c r="A34" s="70">
        <v>12</v>
      </c>
      <c r="B34" s="70"/>
      <c r="C34" s="72" t="s">
        <v>270</v>
      </c>
      <c r="D34" s="72" t="s">
        <v>254</v>
      </c>
      <c r="E34" s="85">
        <v>1198800295</v>
      </c>
      <c r="F34" s="85" t="s">
        <v>254</v>
      </c>
      <c r="G34" s="85">
        <v>1066958828.2050856</v>
      </c>
      <c r="H34" s="85" t="s">
        <v>254</v>
      </c>
      <c r="I34" s="85">
        <v>57082844.627043605</v>
      </c>
      <c r="J34" s="85">
        <v>74758622.167870671</v>
      </c>
      <c r="K34" s="85" t="s">
        <v>254</v>
      </c>
      <c r="L34" s="85" t="s">
        <v>254</v>
      </c>
      <c r="M34" s="85">
        <v>25141.674843818029</v>
      </c>
      <c r="N34" s="85" t="s">
        <v>254</v>
      </c>
      <c r="O34" s="85">
        <v>74733480.493026853</v>
      </c>
      <c r="P34" s="85">
        <v>23540249.549159747</v>
      </c>
      <c r="Q34" s="85">
        <v>51193230.943867102</v>
      </c>
      <c r="R34" s="85"/>
      <c r="S34" s="86"/>
    </row>
    <row r="35" spans="1:19" ht="15">
      <c r="A35" s="70">
        <v>13</v>
      </c>
      <c r="B35" s="70"/>
      <c r="C35" s="72" t="s">
        <v>271</v>
      </c>
      <c r="D35" s="72" t="s">
        <v>254</v>
      </c>
      <c r="E35" s="85">
        <v>94865036.069999918</v>
      </c>
      <c r="F35" s="85" t="s">
        <v>254</v>
      </c>
      <c r="G35" s="85">
        <v>82538337.052132368</v>
      </c>
      <c r="H35" s="85" t="s">
        <v>254</v>
      </c>
      <c r="I35" s="85">
        <v>3897838.0100656124</v>
      </c>
      <c r="J35" s="85">
        <v>8428861.0078019332</v>
      </c>
      <c r="K35" s="85" t="s">
        <v>254</v>
      </c>
      <c r="L35" s="85" t="s">
        <v>254</v>
      </c>
      <c r="M35" s="85">
        <v>290.03367542160117</v>
      </c>
      <c r="N35" s="85" t="s">
        <v>254</v>
      </c>
      <c r="O35" s="85">
        <v>8428570.9741265122</v>
      </c>
      <c r="P35" s="85">
        <v>2615881.857346904</v>
      </c>
      <c r="Q35" s="85">
        <v>5812689.1167796087</v>
      </c>
      <c r="R35" s="85"/>
      <c r="S35" s="86"/>
    </row>
    <row r="36" spans="1:19" ht="15">
      <c r="A36" s="70">
        <v>14</v>
      </c>
      <c r="B36" s="70"/>
      <c r="C36" s="72" t="s">
        <v>272</v>
      </c>
      <c r="D36" s="72" t="s">
        <v>254</v>
      </c>
      <c r="E36" s="85">
        <v>1576406.04</v>
      </c>
      <c r="F36" s="85" t="s">
        <v>254</v>
      </c>
      <c r="G36" s="85">
        <v>1549703.6162990495</v>
      </c>
      <c r="H36" s="85" t="s">
        <v>254</v>
      </c>
      <c r="I36" s="85">
        <v>26702.423700950654</v>
      </c>
      <c r="J36" s="85">
        <v>0</v>
      </c>
      <c r="K36" s="85" t="s">
        <v>254</v>
      </c>
      <c r="L36" s="85" t="s">
        <v>254</v>
      </c>
      <c r="M36" s="85">
        <v>0</v>
      </c>
      <c r="N36" s="85" t="s">
        <v>254</v>
      </c>
      <c r="O36" s="85">
        <v>0</v>
      </c>
      <c r="P36" s="85">
        <v>0</v>
      </c>
      <c r="Q36" s="85">
        <v>0</v>
      </c>
      <c r="R36" s="85"/>
      <c r="S36" s="86"/>
    </row>
    <row r="37" spans="1:19" ht="15">
      <c r="A37" s="70">
        <v>15</v>
      </c>
      <c r="B37" s="70"/>
      <c r="C37" s="72" t="s">
        <v>273</v>
      </c>
      <c r="D37" s="72" t="s">
        <v>254</v>
      </c>
      <c r="E37" s="85">
        <v>28000984.02</v>
      </c>
      <c r="F37" s="85" t="s">
        <v>254</v>
      </c>
      <c r="G37" s="85">
        <v>0</v>
      </c>
      <c r="H37" s="85" t="s">
        <v>254</v>
      </c>
      <c r="I37" s="85">
        <v>1378728.5512620951</v>
      </c>
      <c r="J37" s="85">
        <v>-729.01445774044214</v>
      </c>
      <c r="K37" s="85" t="s">
        <v>254</v>
      </c>
      <c r="L37" s="85" t="s">
        <v>254</v>
      </c>
      <c r="M37" s="85">
        <v>0</v>
      </c>
      <c r="N37" s="85" t="s">
        <v>254</v>
      </c>
      <c r="O37" s="85">
        <v>-729.01445774044214</v>
      </c>
      <c r="P37" s="85">
        <v>-729.01445774044214</v>
      </c>
      <c r="Q37" s="85">
        <v>0</v>
      </c>
      <c r="R37" s="85"/>
      <c r="S37" s="86"/>
    </row>
    <row r="38" spans="1:19" ht="15">
      <c r="A38" s="70">
        <v>16</v>
      </c>
      <c r="B38" s="70"/>
      <c r="C38" s="72" t="s">
        <v>274</v>
      </c>
      <c r="D38" s="72" t="s">
        <v>254</v>
      </c>
      <c r="E38" s="85">
        <v>1421186</v>
      </c>
      <c r="F38" s="85" t="s">
        <v>254</v>
      </c>
      <c r="G38" s="85">
        <v>0</v>
      </c>
      <c r="H38" s="85" t="s">
        <v>254</v>
      </c>
      <c r="I38" s="85">
        <v>1421186</v>
      </c>
      <c r="J38" s="85">
        <v>0</v>
      </c>
      <c r="K38" s="85" t="s">
        <v>254</v>
      </c>
      <c r="L38" s="85" t="s">
        <v>254</v>
      </c>
      <c r="M38" s="85">
        <v>0</v>
      </c>
      <c r="N38" s="85" t="s">
        <v>254</v>
      </c>
      <c r="O38" s="85">
        <v>0</v>
      </c>
      <c r="P38" s="85">
        <v>0</v>
      </c>
      <c r="Q38" s="85">
        <v>0</v>
      </c>
      <c r="R38" s="85"/>
      <c r="S38" s="86"/>
    </row>
    <row r="39" spans="1:19" ht="15">
      <c r="A39" s="70">
        <v>17</v>
      </c>
      <c r="B39" s="70"/>
      <c r="C39" s="72" t="s">
        <v>275</v>
      </c>
      <c r="D39" s="72" t="s">
        <v>254</v>
      </c>
      <c r="E39" s="85">
        <v>66883905.046666592</v>
      </c>
      <c r="F39" s="85" t="s">
        <v>254</v>
      </c>
      <c r="G39" s="85">
        <v>0</v>
      </c>
      <c r="H39" s="85" t="s">
        <v>254</v>
      </c>
      <c r="I39" s="85">
        <v>3167682.0489242794</v>
      </c>
      <c r="J39" s="85">
        <v>3.6157479055072375E-12</v>
      </c>
      <c r="K39" s="85" t="s">
        <v>254</v>
      </c>
      <c r="L39" s="85" t="s">
        <v>254</v>
      </c>
      <c r="M39" s="85">
        <v>0</v>
      </c>
      <c r="N39" s="85" t="s">
        <v>254</v>
      </c>
      <c r="O39" s="85">
        <v>3.6157479055072375E-12</v>
      </c>
      <c r="P39" s="85">
        <v>0</v>
      </c>
      <c r="Q39" s="85">
        <v>0</v>
      </c>
      <c r="R39" s="85"/>
      <c r="S39" s="86"/>
    </row>
    <row r="40" spans="1:19" ht="15">
      <c r="A40" s="70">
        <v>18</v>
      </c>
      <c r="B40" s="70"/>
      <c r="C40" s="72" t="s">
        <v>276</v>
      </c>
      <c r="D40" s="72" t="s">
        <v>254</v>
      </c>
      <c r="E40" s="85">
        <v>5714130.7692307662</v>
      </c>
      <c r="F40" s="85" t="s">
        <v>254</v>
      </c>
      <c r="G40" s="85">
        <v>0</v>
      </c>
      <c r="H40" s="85" t="s">
        <v>254</v>
      </c>
      <c r="I40" s="85">
        <v>0</v>
      </c>
      <c r="J40" s="85">
        <v>286867.8610621891</v>
      </c>
      <c r="K40" s="85" t="s">
        <v>254</v>
      </c>
      <c r="L40" s="85" t="s">
        <v>254</v>
      </c>
      <c r="M40" s="85">
        <v>0</v>
      </c>
      <c r="N40" s="85" t="s">
        <v>254</v>
      </c>
      <c r="O40" s="85">
        <v>286867.8610621891</v>
      </c>
      <c r="P40" s="85">
        <v>91573.547096089314</v>
      </c>
      <c r="Q40" s="85">
        <v>195294.31396609975</v>
      </c>
      <c r="R40" s="85"/>
      <c r="S40" s="86"/>
    </row>
    <row r="41" spans="1:19" ht="15">
      <c r="A41" s="70">
        <v>19</v>
      </c>
      <c r="B41" s="70"/>
      <c r="C41" s="72" t="s">
        <v>277</v>
      </c>
      <c r="D41" s="72" t="s">
        <v>254</v>
      </c>
      <c r="E41" s="85">
        <v>6337287.3053846145</v>
      </c>
      <c r="F41" s="85" t="s">
        <v>254</v>
      </c>
      <c r="G41" s="85">
        <v>0</v>
      </c>
      <c r="H41" s="85" t="s">
        <v>254</v>
      </c>
      <c r="I41" s="85">
        <v>0</v>
      </c>
      <c r="J41" s="85">
        <v>318152.33631360903</v>
      </c>
      <c r="K41" s="85" t="s">
        <v>254</v>
      </c>
      <c r="L41" s="85" t="s">
        <v>254</v>
      </c>
      <c r="M41" s="85">
        <v>0</v>
      </c>
      <c r="N41" s="85" t="s">
        <v>254</v>
      </c>
      <c r="O41" s="85">
        <v>318152.33631360903</v>
      </c>
      <c r="P41" s="85">
        <v>101560.13240824211</v>
      </c>
      <c r="Q41" s="85">
        <v>216592.20390536691</v>
      </c>
      <c r="R41" s="85"/>
      <c r="S41" s="86"/>
    </row>
    <row r="42" spans="1:19" ht="15">
      <c r="A42" s="70">
        <v>20</v>
      </c>
      <c r="B42" s="70"/>
      <c r="C42" s="72" t="s">
        <v>278</v>
      </c>
      <c r="D42" s="72" t="s">
        <v>254</v>
      </c>
      <c r="E42" s="85">
        <v>1224309.4969230758</v>
      </c>
      <c r="F42" s="85" t="s">
        <v>254</v>
      </c>
      <c r="G42" s="85">
        <v>0</v>
      </c>
      <c r="H42" s="85" t="s">
        <v>254</v>
      </c>
      <c r="I42" s="85">
        <v>0</v>
      </c>
      <c r="J42" s="85">
        <v>61464.299793707367</v>
      </c>
      <c r="K42" s="85" t="s">
        <v>254</v>
      </c>
      <c r="L42" s="85" t="s">
        <v>254</v>
      </c>
      <c r="M42" s="85">
        <v>0</v>
      </c>
      <c r="N42" s="85" t="s">
        <v>254</v>
      </c>
      <c r="O42" s="85">
        <v>61464.299793707367</v>
      </c>
      <c r="P42" s="85">
        <v>19620.545609558649</v>
      </c>
      <c r="Q42" s="85">
        <v>41843.754184148718</v>
      </c>
      <c r="R42" s="85"/>
      <c r="S42" s="86"/>
    </row>
    <row r="43" spans="1:19" ht="15">
      <c r="A43" s="70">
        <v>21</v>
      </c>
      <c r="B43" s="70"/>
      <c r="C43" s="72" t="s">
        <v>279</v>
      </c>
      <c r="D43" s="72" t="s">
        <v>254</v>
      </c>
      <c r="E43" s="85">
        <v>1404823539.7482049</v>
      </c>
      <c r="F43" s="85" t="s">
        <v>254</v>
      </c>
      <c r="G43" s="85">
        <v>1151046868.873517</v>
      </c>
      <c r="H43" s="85" t="s">
        <v>254</v>
      </c>
      <c r="I43" s="85">
        <v>66974981.660996549</v>
      </c>
      <c r="J43" s="85">
        <v>83853238.658384368</v>
      </c>
      <c r="K43" s="85" t="s">
        <v>254</v>
      </c>
      <c r="L43" s="85" t="s">
        <v>254</v>
      </c>
      <c r="M43" s="85">
        <v>25431.70851923963</v>
      </c>
      <c r="N43" s="85" t="s">
        <v>254</v>
      </c>
      <c r="O43" s="85">
        <v>83827806.949865133</v>
      </c>
      <c r="P43" s="85">
        <v>26368156.617162801</v>
      </c>
      <c r="Q43" s="85">
        <v>57459650.332702331</v>
      </c>
      <c r="R43" s="85"/>
      <c r="S43" s="86"/>
    </row>
    <row r="44" spans="1:19" ht="15">
      <c r="A44" s="70" t="s">
        <v>254</v>
      </c>
      <c r="B44" s="70"/>
      <c r="C44" s="72" t="s">
        <v>254</v>
      </c>
      <c r="D44" s="72" t="s">
        <v>254</v>
      </c>
      <c r="E44" s="85" t="s">
        <v>254</v>
      </c>
      <c r="F44" s="85" t="s">
        <v>254</v>
      </c>
      <c r="G44" s="85" t="s">
        <v>254</v>
      </c>
      <c r="H44" s="85" t="s">
        <v>254</v>
      </c>
      <c r="I44" s="85" t="s">
        <v>254</v>
      </c>
      <c r="J44" s="85" t="s">
        <v>254</v>
      </c>
      <c r="K44" s="85" t="s">
        <v>254</v>
      </c>
      <c r="L44" s="85" t="s">
        <v>254</v>
      </c>
      <c r="M44" s="85" t="s">
        <v>254</v>
      </c>
      <c r="N44" s="85" t="s">
        <v>254</v>
      </c>
      <c r="O44" s="85" t="s">
        <v>254</v>
      </c>
      <c r="P44" s="85" t="s">
        <v>254</v>
      </c>
      <c r="Q44" s="85" t="s">
        <v>254</v>
      </c>
      <c r="R44" s="85"/>
      <c r="S44" s="86"/>
    </row>
    <row r="45" spans="1:19" ht="15">
      <c r="A45" s="70">
        <v>22</v>
      </c>
      <c r="B45" s="70"/>
      <c r="C45" s="72" t="s">
        <v>280</v>
      </c>
      <c r="D45" s="72" t="s">
        <v>254</v>
      </c>
      <c r="E45" s="85">
        <v>5216481391.172513</v>
      </c>
      <c r="F45" s="85" t="s">
        <v>254</v>
      </c>
      <c r="G45" s="85">
        <v>4745793886.0064859</v>
      </c>
      <c r="H45" s="85" t="s">
        <v>254</v>
      </c>
      <c r="I45" s="85">
        <v>234899151.96896923</v>
      </c>
      <c r="J45" s="85">
        <v>338736803.75236559</v>
      </c>
      <c r="K45" s="85" t="s">
        <v>254</v>
      </c>
      <c r="L45" s="85" t="s">
        <v>254</v>
      </c>
      <c r="M45" s="85">
        <v>31072.058733252623</v>
      </c>
      <c r="N45" s="85" t="s">
        <v>254</v>
      </c>
      <c r="O45" s="85">
        <v>338705731.69363236</v>
      </c>
      <c r="P45" s="85">
        <v>106681934.76482007</v>
      </c>
      <c r="Q45" s="85">
        <v>232023796.92881227</v>
      </c>
      <c r="R45" s="85"/>
      <c r="S45" s="86"/>
    </row>
    <row r="46" spans="1:19" ht="15">
      <c r="A46" s="70" t="s">
        <v>254</v>
      </c>
      <c r="B46" s="70"/>
      <c r="C46" s="72" t="s">
        <v>254</v>
      </c>
      <c r="D46" s="72" t="s">
        <v>254</v>
      </c>
      <c r="E46" s="85" t="s">
        <v>254</v>
      </c>
      <c r="F46" s="85" t="s">
        <v>254</v>
      </c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6"/>
    </row>
    <row r="47" spans="1:19" ht="15">
      <c r="A47" s="70" t="s">
        <v>254</v>
      </c>
      <c r="B47" s="70"/>
      <c r="C47" s="72" t="s">
        <v>281</v>
      </c>
      <c r="D47" s="72" t="s">
        <v>254</v>
      </c>
      <c r="E47" s="85" t="s">
        <v>254</v>
      </c>
      <c r="F47" s="85" t="s">
        <v>254</v>
      </c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6"/>
    </row>
    <row r="48" spans="1:19" ht="15">
      <c r="A48" s="70">
        <v>23</v>
      </c>
      <c r="B48" s="70"/>
      <c r="C48" s="72" t="s">
        <v>282</v>
      </c>
      <c r="D48" s="72" t="s">
        <v>254</v>
      </c>
      <c r="E48" s="85">
        <v>1776947758.9760532</v>
      </c>
      <c r="F48" s="85" t="s">
        <v>254</v>
      </c>
      <c r="G48" s="85">
        <v>1581061667.8066897</v>
      </c>
      <c r="H48" s="85" t="s">
        <v>254</v>
      </c>
      <c r="I48" s="85">
        <v>75288175.25863108</v>
      </c>
      <c r="J48" s="85">
        <v>120597915.91073252</v>
      </c>
      <c r="K48" s="85" t="s">
        <v>254</v>
      </c>
      <c r="L48" s="85" t="s">
        <v>254</v>
      </c>
      <c r="M48" s="85">
        <v>2610.6298179177229</v>
      </c>
      <c r="N48" s="85" t="s">
        <v>254</v>
      </c>
      <c r="O48" s="85">
        <v>120595305.2809146</v>
      </c>
      <c r="P48" s="85">
        <v>35822564.667732447</v>
      </c>
      <c r="Q48" s="85">
        <v>84772740.613182157</v>
      </c>
      <c r="R48" s="85"/>
      <c r="S48" s="86"/>
    </row>
    <row r="49" spans="1:19" ht="15">
      <c r="A49" s="70" t="s">
        <v>254</v>
      </c>
      <c r="B49" s="70"/>
      <c r="C49" s="72" t="s">
        <v>254</v>
      </c>
      <c r="D49" s="72" t="s">
        <v>254</v>
      </c>
      <c r="E49" s="85" t="s">
        <v>254</v>
      </c>
      <c r="F49" s="85" t="s">
        <v>254</v>
      </c>
      <c r="G49" s="85" t="s">
        <v>254</v>
      </c>
      <c r="H49" s="85" t="s">
        <v>254</v>
      </c>
      <c r="I49" s="85" t="s">
        <v>254</v>
      </c>
      <c r="J49" s="85" t="s">
        <v>254</v>
      </c>
      <c r="K49" s="85" t="s">
        <v>254</v>
      </c>
      <c r="L49" s="85" t="s">
        <v>254</v>
      </c>
      <c r="M49" s="85" t="s">
        <v>254</v>
      </c>
      <c r="N49" s="85" t="s">
        <v>254</v>
      </c>
      <c r="O49" s="85" t="s">
        <v>254</v>
      </c>
      <c r="P49" s="85" t="s">
        <v>254</v>
      </c>
      <c r="Q49" s="85" t="s">
        <v>254</v>
      </c>
      <c r="R49" s="85"/>
      <c r="S49" s="86"/>
    </row>
    <row r="50" spans="1:19" ht="15">
      <c r="A50" s="70" t="s">
        <v>254</v>
      </c>
      <c r="B50" s="70"/>
      <c r="C50" s="72" t="s">
        <v>283</v>
      </c>
      <c r="D50" s="72" t="s">
        <v>254</v>
      </c>
      <c r="E50" s="85" t="s">
        <v>254</v>
      </c>
      <c r="F50" s="85" t="s">
        <v>254</v>
      </c>
      <c r="G50" s="85" t="s">
        <v>254</v>
      </c>
      <c r="H50" s="85" t="s">
        <v>254</v>
      </c>
      <c r="I50" s="85" t="s">
        <v>254</v>
      </c>
      <c r="J50" s="85" t="s">
        <v>254</v>
      </c>
      <c r="K50" s="85" t="s">
        <v>254</v>
      </c>
      <c r="L50" s="85" t="s">
        <v>254</v>
      </c>
      <c r="M50" s="85" t="s">
        <v>254</v>
      </c>
      <c r="N50" s="85" t="s">
        <v>254</v>
      </c>
      <c r="O50" s="85" t="s">
        <v>254</v>
      </c>
      <c r="P50" s="85" t="s">
        <v>254</v>
      </c>
      <c r="Q50" s="85" t="s">
        <v>254</v>
      </c>
      <c r="R50" s="85"/>
      <c r="S50" s="86"/>
    </row>
    <row r="51" spans="1:19" ht="15">
      <c r="A51" s="70">
        <v>24</v>
      </c>
      <c r="B51" s="70"/>
      <c r="C51" s="72" t="s">
        <v>284</v>
      </c>
      <c r="D51" s="72" t="s">
        <v>254</v>
      </c>
      <c r="E51" s="85">
        <v>978217446.08824301</v>
      </c>
      <c r="F51" s="85" t="s">
        <v>254</v>
      </c>
      <c r="G51" s="85">
        <v>870328948.4387362</v>
      </c>
      <c r="H51" s="85" t="s">
        <v>254</v>
      </c>
      <c r="I51" s="85">
        <v>41013857.013454556</v>
      </c>
      <c r="J51" s="85">
        <v>66874640.636052258</v>
      </c>
      <c r="K51" s="85" t="s">
        <v>254</v>
      </c>
      <c r="L51" s="85" t="s">
        <v>254</v>
      </c>
      <c r="M51" s="85">
        <v>12376.560317348612</v>
      </c>
      <c r="N51" s="85" t="s">
        <v>254</v>
      </c>
      <c r="O51" s="85">
        <v>66862264.075734913</v>
      </c>
      <c r="P51" s="85">
        <v>21149252.252477836</v>
      </c>
      <c r="Q51" s="85">
        <v>45713011.823257074</v>
      </c>
      <c r="R51" s="85"/>
      <c r="S51" s="86"/>
    </row>
    <row r="52" spans="1:19" ht="15">
      <c r="A52" s="70">
        <v>25</v>
      </c>
      <c r="B52" s="70"/>
      <c r="C52" s="72" t="s">
        <v>285</v>
      </c>
      <c r="D52" s="72" t="s">
        <v>254</v>
      </c>
      <c r="E52" s="85">
        <v>236720825.04649419</v>
      </c>
      <c r="F52" s="85" t="s">
        <v>254</v>
      </c>
      <c r="G52" s="85">
        <v>210189958.42054573</v>
      </c>
      <c r="H52" s="85" t="s">
        <v>254</v>
      </c>
      <c r="I52" s="85">
        <v>11404798.990755597</v>
      </c>
      <c r="J52" s="85">
        <v>15126067.635192867</v>
      </c>
      <c r="K52" s="85" t="s">
        <v>254</v>
      </c>
      <c r="L52" s="85" t="s">
        <v>254</v>
      </c>
      <c r="M52" s="85">
        <v>5417.4087664455328</v>
      </c>
      <c r="N52" s="85" t="s">
        <v>254</v>
      </c>
      <c r="O52" s="85">
        <v>15120650.226426423</v>
      </c>
      <c r="P52" s="85">
        <v>4770806.1019444009</v>
      </c>
      <c r="Q52" s="85">
        <v>10349844.124482023</v>
      </c>
      <c r="R52" s="85"/>
      <c r="S52" s="86"/>
    </row>
    <row r="53" spans="1:19" ht="15">
      <c r="A53" s="70">
        <v>26</v>
      </c>
      <c r="B53" s="70"/>
      <c r="C53" s="72" t="s">
        <v>2425</v>
      </c>
      <c r="D53" s="72" t="s">
        <v>254</v>
      </c>
      <c r="E53" s="85">
        <v>279365.33524746302</v>
      </c>
      <c r="F53" s="85" t="s">
        <v>254</v>
      </c>
      <c r="G53" s="85">
        <v>279365.33524746302</v>
      </c>
      <c r="H53" s="85" t="s">
        <v>254</v>
      </c>
      <c r="I53" s="85">
        <v>0</v>
      </c>
      <c r="J53" s="85">
        <v>0</v>
      </c>
      <c r="K53" s="85" t="s">
        <v>254</v>
      </c>
      <c r="L53" s="85" t="s">
        <v>254</v>
      </c>
      <c r="M53" s="85">
        <v>0</v>
      </c>
      <c r="N53" s="85" t="s">
        <v>254</v>
      </c>
      <c r="O53" s="85">
        <v>0</v>
      </c>
      <c r="P53" s="85">
        <v>0</v>
      </c>
      <c r="Q53" s="85">
        <v>0</v>
      </c>
      <c r="R53" s="85"/>
      <c r="S53" s="86"/>
    </row>
    <row r="54" spans="1:19" ht="15">
      <c r="A54" s="70">
        <v>27</v>
      </c>
      <c r="B54" s="70"/>
      <c r="C54" s="72" t="s">
        <v>286</v>
      </c>
      <c r="D54" s="72" t="s">
        <v>254</v>
      </c>
      <c r="E54" s="85">
        <v>41428832.513092861</v>
      </c>
      <c r="F54" s="85" t="s">
        <v>254</v>
      </c>
      <c r="G54" s="85">
        <v>37356307.155266374</v>
      </c>
      <c r="H54" s="85" t="s">
        <v>254</v>
      </c>
      <c r="I54" s="85">
        <v>1793429.5052129976</v>
      </c>
      <c r="J54" s="85">
        <v>2279095.8526134896</v>
      </c>
      <c r="K54" s="85" t="s">
        <v>254</v>
      </c>
      <c r="L54" s="85" t="s">
        <v>254</v>
      </c>
      <c r="M54" s="85">
        <v>482.76499312336898</v>
      </c>
      <c r="N54" s="85" t="s">
        <v>254</v>
      </c>
      <c r="O54" s="85">
        <v>2278613.0876203664</v>
      </c>
      <c r="P54" s="85">
        <v>719938.39431114006</v>
      </c>
      <c r="Q54" s="85">
        <v>1558674.6933092263</v>
      </c>
      <c r="R54" s="85"/>
      <c r="S54" s="86"/>
    </row>
    <row r="55" spans="1:19" ht="15">
      <c r="A55" s="70">
        <v>28</v>
      </c>
      <c r="B55" s="70"/>
      <c r="C55" s="72" t="s">
        <v>287</v>
      </c>
      <c r="D55" s="72" t="s">
        <v>254</v>
      </c>
      <c r="E55" s="85">
        <v>163891178.38</v>
      </c>
      <c r="F55" s="85" t="s">
        <v>254</v>
      </c>
      <c r="G55" s="85">
        <v>145339078.25999999</v>
      </c>
      <c r="H55" s="85" t="s">
        <v>254</v>
      </c>
      <c r="I55" s="85">
        <v>6479445.915539844</v>
      </c>
      <c r="J55" s="85">
        <v>11978660.479999999</v>
      </c>
      <c r="K55" s="85" t="s">
        <v>254</v>
      </c>
      <c r="L55" s="85" t="s">
        <v>254</v>
      </c>
      <c r="M55" s="85">
        <v>-6334.46</v>
      </c>
      <c r="N55" s="85" t="s">
        <v>254</v>
      </c>
      <c r="O55" s="85">
        <v>11984994.939999999</v>
      </c>
      <c r="P55" s="85">
        <v>2894025.86</v>
      </c>
      <c r="Q55" s="85">
        <v>9090969.0800000001</v>
      </c>
      <c r="R55" s="85"/>
      <c r="S55" s="86"/>
    </row>
    <row r="56" spans="1:19" ht="15">
      <c r="A56" s="70">
        <v>29</v>
      </c>
      <c r="B56" s="70"/>
      <c r="C56" s="72" t="s">
        <v>288</v>
      </c>
      <c r="D56" s="72" t="s">
        <v>254</v>
      </c>
      <c r="E56" s="85">
        <v>-91.809999999999988</v>
      </c>
      <c r="F56" s="85" t="s">
        <v>254</v>
      </c>
      <c r="G56" s="85">
        <v>-80.405110026057329</v>
      </c>
      <c r="H56" s="85" t="s">
        <v>254</v>
      </c>
      <c r="I56" s="85">
        <v>-3.7158070330732822</v>
      </c>
      <c r="J56" s="85">
        <v>-7.6890829408693868</v>
      </c>
      <c r="K56" s="85"/>
      <c r="L56" s="85"/>
      <c r="M56" s="85">
        <v>-2.8253767178282611E-4</v>
      </c>
      <c r="N56" s="85" t="s">
        <v>254</v>
      </c>
      <c r="O56" s="85">
        <v>-7.6888004031976038</v>
      </c>
      <c r="P56" s="85">
        <v>-2.3862874906348597</v>
      </c>
      <c r="Q56" s="85">
        <v>-5.3025129125627446</v>
      </c>
      <c r="R56" s="85"/>
      <c r="S56" s="86"/>
    </row>
    <row r="57" spans="1:19" ht="15">
      <c r="A57" s="70">
        <v>30</v>
      </c>
      <c r="B57" s="70"/>
      <c r="C57" s="72" t="s">
        <v>289</v>
      </c>
      <c r="D57" s="72" t="s">
        <v>254</v>
      </c>
      <c r="E57" s="85">
        <v>11573.452019999995</v>
      </c>
      <c r="F57" s="85" t="s">
        <v>254</v>
      </c>
      <c r="G57" s="85">
        <v>0</v>
      </c>
      <c r="H57" s="85" t="s">
        <v>254</v>
      </c>
      <c r="I57" s="85">
        <v>574.6427671450499</v>
      </c>
      <c r="J57" s="85">
        <v>0</v>
      </c>
      <c r="K57" s="85"/>
      <c r="L57" s="85"/>
      <c r="M57" s="85">
        <v>0</v>
      </c>
      <c r="N57" s="85" t="s">
        <v>254</v>
      </c>
      <c r="O57" s="85">
        <v>0</v>
      </c>
      <c r="P57" s="85">
        <v>0</v>
      </c>
      <c r="Q57" s="85">
        <v>0</v>
      </c>
      <c r="R57" s="85"/>
      <c r="S57" s="86"/>
    </row>
    <row r="58" spans="1:19" ht="15">
      <c r="A58" s="70">
        <v>31</v>
      </c>
      <c r="B58" s="70"/>
      <c r="C58" s="72" t="s">
        <v>290</v>
      </c>
      <c r="D58" s="72" t="s">
        <v>254</v>
      </c>
      <c r="E58" s="85">
        <v>922076.16318999999</v>
      </c>
      <c r="F58" s="85" t="s">
        <v>254</v>
      </c>
      <c r="G58" s="85">
        <v>0</v>
      </c>
      <c r="H58" s="85" t="s">
        <v>254</v>
      </c>
      <c r="I58" s="85">
        <v>21835.179239609221</v>
      </c>
      <c r="J58" s="85">
        <v>0</v>
      </c>
      <c r="K58" s="85"/>
      <c r="L58" s="85"/>
      <c r="M58" s="85">
        <v>0</v>
      </c>
      <c r="N58" s="85" t="s">
        <v>254</v>
      </c>
      <c r="O58" s="85">
        <v>0</v>
      </c>
      <c r="P58" s="85">
        <v>0</v>
      </c>
      <c r="Q58" s="85">
        <v>0</v>
      </c>
      <c r="R58" s="85"/>
      <c r="S58" s="86"/>
    </row>
    <row r="59" spans="1:19" ht="15">
      <c r="A59" s="70">
        <v>32</v>
      </c>
      <c r="B59" s="70"/>
      <c r="C59" s="72" t="s">
        <v>291</v>
      </c>
      <c r="D59" s="72" t="s">
        <v>254</v>
      </c>
      <c r="E59" s="85">
        <v>104150.960437</v>
      </c>
      <c r="F59" s="85" t="s">
        <v>254</v>
      </c>
      <c r="G59" s="85">
        <v>0</v>
      </c>
      <c r="H59" s="85" t="s">
        <v>254</v>
      </c>
      <c r="I59" s="85">
        <v>5510.4854841414872</v>
      </c>
      <c r="J59" s="85">
        <v>0</v>
      </c>
      <c r="K59" s="85"/>
      <c r="L59" s="85"/>
      <c r="M59" s="85">
        <v>0</v>
      </c>
      <c r="N59" s="85" t="s">
        <v>254</v>
      </c>
      <c r="O59" s="85">
        <v>0</v>
      </c>
      <c r="P59" s="85">
        <v>0</v>
      </c>
      <c r="Q59" s="85">
        <v>0</v>
      </c>
      <c r="R59" s="85"/>
      <c r="S59" s="86"/>
    </row>
    <row r="60" spans="1:19" ht="15">
      <c r="A60" s="70">
        <v>33</v>
      </c>
      <c r="B60" s="70"/>
      <c r="C60" s="72" t="s">
        <v>292</v>
      </c>
      <c r="D60" s="72" t="s">
        <v>254</v>
      </c>
      <c r="E60" s="85">
        <v>0</v>
      </c>
      <c r="F60" s="85" t="s">
        <v>254</v>
      </c>
      <c r="G60" s="85">
        <v>0</v>
      </c>
      <c r="H60" s="85" t="s">
        <v>254</v>
      </c>
      <c r="I60" s="85">
        <v>0</v>
      </c>
      <c r="J60" s="85">
        <v>0</v>
      </c>
      <c r="K60" s="85"/>
      <c r="L60" s="85"/>
      <c r="M60" s="85">
        <v>0</v>
      </c>
      <c r="N60" s="85" t="s">
        <v>254</v>
      </c>
      <c r="O60" s="85">
        <v>0</v>
      </c>
      <c r="P60" s="85">
        <v>0</v>
      </c>
      <c r="Q60" s="85">
        <v>0</v>
      </c>
      <c r="R60" s="85"/>
      <c r="S60" s="86"/>
    </row>
    <row r="61" spans="1:19" ht="15">
      <c r="A61" s="70">
        <v>34</v>
      </c>
      <c r="B61" s="70"/>
      <c r="C61" s="72" t="s">
        <v>293</v>
      </c>
      <c r="D61" s="72" t="s">
        <v>254</v>
      </c>
      <c r="E61" s="85">
        <v>1421575356.1287246</v>
      </c>
      <c r="F61" s="85" t="s">
        <v>254</v>
      </c>
      <c r="G61" s="85">
        <v>1263493577.2046857</v>
      </c>
      <c r="H61" s="85" t="s">
        <v>254</v>
      </c>
      <c r="I61" s="85">
        <v>60719448.016646855</v>
      </c>
      <c r="J61" s="85">
        <v>96258456.91477567</v>
      </c>
      <c r="K61" s="85" t="s">
        <v>254</v>
      </c>
      <c r="L61" s="85" t="s">
        <v>254</v>
      </c>
      <c r="M61" s="85">
        <v>11942.273794379842</v>
      </c>
      <c r="N61" s="85" t="s">
        <v>254</v>
      </c>
      <c r="O61" s="85">
        <v>96246514.640981287</v>
      </c>
      <c r="P61" s="85">
        <v>29534020.222445887</v>
      </c>
      <c r="Q61" s="85">
        <v>66712494.418535404</v>
      </c>
      <c r="R61" s="85"/>
      <c r="S61" s="86"/>
    </row>
    <row r="62" spans="1:19" ht="15">
      <c r="A62" s="70" t="s">
        <v>254</v>
      </c>
      <c r="B62" s="70"/>
      <c r="C62" s="72" t="s">
        <v>254</v>
      </c>
      <c r="D62" s="72" t="s">
        <v>254</v>
      </c>
      <c r="E62" s="85" t="s">
        <v>254</v>
      </c>
      <c r="F62" s="85" t="s">
        <v>254</v>
      </c>
      <c r="G62" s="85" t="s">
        <v>254</v>
      </c>
      <c r="H62" s="85" t="s">
        <v>254</v>
      </c>
      <c r="I62" s="85" t="s">
        <v>254</v>
      </c>
      <c r="J62" s="85" t="s">
        <v>254</v>
      </c>
      <c r="K62" s="85" t="s">
        <v>254</v>
      </c>
      <c r="L62" s="85" t="s">
        <v>254</v>
      </c>
      <c r="M62" s="85" t="s">
        <v>254</v>
      </c>
      <c r="N62" s="85" t="s">
        <v>254</v>
      </c>
      <c r="O62" s="85" t="s">
        <v>254</v>
      </c>
      <c r="P62" s="85" t="s">
        <v>254</v>
      </c>
      <c r="Q62" s="85" t="s">
        <v>254</v>
      </c>
      <c r="R62" s="85"/>
      <c r="S62" s="86"/>
    </row>
    <row r="63" spans="1:19" ht="15">
      <c r="A63" s="70">
        <v>35</v>
      </c>
      <c r="B63" s="70"/>
      <c r="C63" s="72" t="s">
        <v>294</v>
      </c>
      <c r="D63" s="72" t="s">
        <v>254</v>
      </c>
      <c r="E63" s="85">
        <v>355372402.84732866</v>
      </c>
      <c r="F63" s="85" t="s">
        <v>254</v>
      </c>
      <c r="G63" s="85">
        <v>317568090.60200405</v>
      </c>
      <c r="H63" s="85" t="s">
        <v>254</v>
      </c>
      <c r="I63" s="85">
        <v>14568727.241984226</v>
      </c>
      <c r="J63" s="85">
        <v>24339458.995956853</v>
      </c>
      <c r="K63" s="85" t="s">
        <v>254</v>
      </c>
      <c r="L63" s="85" t="s">
        <v>254</v>
      </c>
      <c r="M63" s="85">
        <v>-9331.6439764621191</v>
      </c>
      <c r="N63" s="85" t="s">
        <v>254</v>
      </c>
      <c r="O63" s="85">
        <v>24348790.639933314</v>
      </c>
      <c r="P63" s="85">
        <v>6288544.4452865608</v>
      </c>
      <c r="Q63" s="85">
        <v>18060246.194646753</v>
      </c>
      <c r="R63" s="85"/>
      <c r="S63" s="86"/>
    </row>
    <row r="64" spans="1:19" ht="15">
      <c r="A64" s="70">
        <v>36</v>
      </c>
      <c r="B64" s="70"/>
      <c r="C64" s="72" t="s">
        <v>295</v>
      </c>
      <c r="D64" s="72" t="s">
        <v>254</v>
      </c>
      <c r="E64" s="87">
        <v>6.812492486768966E-2</v>
      </c>
      <c r="F64" s="87" t="s">
        <v>254</v>
      </c>
      <c r="G64" s="87">
        <v>6.6915693818559996E-2</v>
      </c>
      <c r="H64" s="87" t="s">
        <v>254</v>
      </c>
      <c r="I64" s="87">
        <v>6.2021199820716216E-2</v>
      </c>
      <c r="J64" s="87">
        <v>7.1853600572290566E-2</v>
      </c>
      <c r="K64" s="87" t="s">
        <v>254</v>
      </c>
      <c r="L64" s="87" t="s">
        <v>254</v>
      </c>
      <c r="M64" s="87">
        <v>-0.30032268079088054</v>
      </c>
      <c r="N64" s="87" t="s">
        <v>254</v>
      </c>
      <c r="O64" s="87">
        <v>7.1887743139692109E-2</v>
      </c>
      <c r="P64" s="87">
        <v>5.8946666641823041E-2</v>
      </c>
      <c r="Q64" s="87">
        <v>7.7837904705041344E-2</v>
      </c>
      <c r="R64" s="87"/>
      <c r="S64" s="86"/>
    </row>
    <row r="65" spans="1:19" ht="15">
      <c r="A65" s="70" t="s">
        <v>254</v>
      </c>
      <c r="B65" s="70"/>
      <c r="C65" s="72" t="s">
        <v>254</v>
      </c>
      <c r="D65" s="72" t="s">
        <v>254</v>
      </c>
      <c r="E65" s="85" t="s">
        <v>254</v>
      </c>
      <c r="F65" s="85" t="s">
        <v>254</v>
      </c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5"/>
      <c r="S65" s="86"/>
    </row>
    <row r="66" spans="1:19" ht="15">
      <c r="A66" s="70" t="s">
        <v>254</v>
      </c>
      <c r="B66" s="70"/>
      <c r="C66" s="72" t="s">
        <v>254</v>
      </c>
      <c r="D66" s="72" t="s">
        <v>254</v>
      </c>
      <c r="E66" s="85" t="s">
        <v>254</v>
      </c>
      <c r="F66" s="85" t="s">
        <v>254</v>
      </c>
      <c r="G66" s="85" t="s">
        <v>254</v>
      </c>
      <c r="H66" s="85" t="s">
        <v>254</v>
      </c>
      <c r="I66" s="85" t="s">
        <v>254</v>
      </c>
      <c r="J66" s="85" t="s">
        <v>254</v>
      </c>
      <c r="K66" s="85" t="s">
        <v>254</v>
      </c>
      <c r="L66" s="85" t="s">
        <v>254</v>
      </c>
      <c r="M66" s="85" t="s">
        <v>254</v>
      </c>
      <c r="N66" s="85" t="s">
        <v>254</v>
      </c>
      <c r="O66" s="85" t="s">
        <v>254</v>
      </c>
      <c r="P66" s="85" t="s">
        <v>254</v>
      </c>
      <c r="Q66" s="85" t="s">
        <v>254</v>
      </c>
      <c r="R66" s="85"/>
      <c r="S66" s="86"/>
    </row>
    <row r="67" spans="1:19" ht="15">
      <c r="A67" s="70" t="s">
        <v>254</v>
      </c>
      <c r="B67" s="70"/>
      <c r="C67" s="72" t="s">
        <v>254</v>
      </c>
      <c r="D67" s="72" t="s">
        <v>254</v>
      </c>
      <c r="E67" s="85" t="s">
        <v>254</v>
      </c>
      <c r="F67" s="85" t="s">
        <v>254</v>
      </c>
      <c r="G67" s="85" t="s">
        <v>254</v>
      </c>
      <c r="H67" s="85" t="s">
        <v>254</v>
      </c>
      <c r="I67" s="85" t="s">
        <v>254</v>
      </c>
      <c r="J67" s="85" t="s">
        <v>254</v>
      </c>
      <c r="K67" s="85" t="s">
        <v>254</v>
      </c>
      <c r="L67" s="85" t="s">
        <v>254</v>
      </c>
      <c r="M67" s="85" t="s">
        <v>254</v>
      </c>
      <c r="N67" s="85" t="s">
        <v>254</v>
      </c>
      <c r="O67" s="85" t="s">
        <v>254</v>
      </c>
      <c r="P67" s="85" t="s">
        <v>254</v>
      </c>
      <c r="Q67" s="85" t="s">
        <v>254</v>
      </c>
      <c r="R67" s="85"/>
      <c r="S67" s="86"/>
    </row>
    <row r="68" spans="1:19" ht="15">
      <c r="A68" s="70" t="s">
        <v>254</v>
      </c>
      <c r="B68" s="70"/>
      <c r="C68" s="72" t="s">
        <v>296</v>
      </c>
      <c r="D68" s="72" t="s">
        <v>254</v>
      </c>
      <c r="E68" s="85" t="s">
        <v>254</v>
      </c>
      <c r="F68" s="85" t="s">
        <v>254</v>
      </c>
      <c r="G68" s="85" t="s">
        <v>254</v>
      </c>
      <c r="H68" s="85" t="s">
        <v>254</v>
      </c>
      <c r="I68" s="85" t="s">
        <v>254</v>
      </c>
      <c r="J68" s="85" t="s">
        <v>254</v>
      </c>
      <c r="K68" s="85" t="s">
        <v>254</v>
      </c>
      <c r="L68" s="85" t="s">
        <v>254</v>
      </c>
      <c r="M68" s="85" t="s">
        <v>254</v>
      </c>
      <c r="N68" s="85" t="s">
        <v>254</v>
      </c>
      <c r="O68" s="85" t="s">
        <v>254</v>
      </c>
      <c r="P68" s="85" t="s">
        <v>254</v>
      </c>
      <c r="Q68" s="85" t="s">
        <v>254</v>
      </c>
      <c r="R68" s="85"/>
      <c r="S68" s="86"/>
    </row>
    <row r="69" spans="1:19" ht="15">
      <c r="A69" s="70" t="s">
        <v>254</v>
      </c>
      <c r="B69" s="70"/>
      <c r="C69" s="72" t="s">
        <v>254</v>
      </c>
      <c r="D69" s="72" t="s">
        <v>254</v>
      </c>
      <c r="E69" s="85" t="s">
        <v>254</v>
      </c>
      <c r="F69" s="85" t="s">
        <v>254</v>
      </c>
      <c r="G69" s="85" t="s">
        <v>254</v>
      </c>
      <c r="H69" s="85" t="s">
        <v>254</v>
      </c>
      <c r="I69" s="85" t="s">
        <v>254</v>
      </c>
      <c r="J69" s="85" t="s">
        <v>254</v>
      </c>
      <c r="K69" s="85" t="s">
        <v>254</v>
      </c>
      <c r="L69" s="85" t="s">
        <v>254</v>
      </c>
      <c r="M69" s="85" t="s">
        <v>254</v>
      </c>
      <c r="N69" s="85" t="s">
        <v>254</v>
      </c>
      <c r="O69" s="85" t="s">
        <v>254</v>
      </c>
      <c r="P69" s="85" t="s">
        <v>254</v>
      </c>
      <c r="Q69" s="85" t="s">
        <v>254</v>
      </c>
      <c r="R69" s="85"/>
      <c r="S69" s="86"/>
    </row>
    <row r="70" spans="1:19" ht="15">
      <c r="A70" s="70" t="s">
        <v>254</v>
      </c>
      <c r="B70" s="70"/>
      <c r="C70" s="72" t="s">
        <v>297</v>
      </c>
      <c r="D70" s="72" t="s">
        <v>254</v>
      </c>
      <c r="E70" s="85" t="s">
        <v>254</v>
      </c>
      <c r="F70" s="85" t="s">
        <v>254</v>
      </c>
      <c r="G70" s="85" t="s">
        <v>254</v>
      </c>
      <c r="H70" s="85" t="s">
        <v>254</v>
      </c>
      <c r="I70" s="85" t="s">
        <v>254</v>
      </c>
      <c r="J70" s="85" t="s">
        <v>254</v>
      </c>
      <c r="K70" s="85" t="s">
        <v>254</v>
      </c>
      <c r="L70" s="85" t="s">
        <v>254</v>
      </c>
      <c r="M70" s="85" t="s">
        <v>254</v>
      </c>
      <c r="N70" s="85" t="s">
        <v>254</v>
      </c>
      <c r="O70" s="85" t="s">
        <v>254</v>
      </c>
      <c r="P70" s="85" t="s">
        <v>254</v>
      </c>
      <c r="Q70" s="85" t="s">
        <v>254</v>
      </c>
      <c r="R70" s="85"/>
      <c r="S70" s="86"/>
    </row>
    <row r="71" spans="1:19" ht="15">
      <c r="A71" s="70">
        <v>1</v>
      </c>
      <c r="B71" s="94" t="str">
        <f>MID(C71,2,3)</f>
        <v>301</v>
      </c>
      <c r="C71" s="72" t="s">
        <v>298</v>
      </c>
      <c r="D71" s="72" t="s">
        <v>299</v>
      </c>
      <c r="E71" s="85">
        <v>44455.579999999994</v>
      </c>
      <c r="F71" s="85" t="s">
        <v>254</v>
      </c>
      <c r="G71" s="85">
        <v>39444.479158224502</v>
      </c>
      <c r="H71" s="85" t="s">
        <v>254</v>
      </c>
      <c r="I71" s="85">
        <v>2207.3130247373488</v>
      </c>
      <c r="J71" s="85">
        <v>2803.7878170381414</v>
      </c>
      <c r="K71" s="85" t="s">
        <v>254</v>
      </c>
      <c r="L71" s="85" t="s">
        <v>254</v>
      </c>
      <c r="M71" s="85">
        <v>0.98252478351944428</v>
      </c>
      <c r="N71" s="85" t="s">
        <v>254</v>
      </c>
      <c r="O71" s="85">
        <v>2802.8052922546221</v>
      </c>
      <c r="P71" s="85">
        <v>883.5204310473747</v>
      </c>
      <c r="Q71" s="85">
        <v>1919.2848612072473</v>
      </c>
      <c r="R71" s="85"/>
      <c r="S71" s="86"/>
    </row>
    <row r="72" spans="1:19" ht="15">
      <c r="A72" s="70">
        <v>2</v>
      </c>
      <c r="B72" s="94" t="str">
        <f t="shared" ref="B72:B73" si="1">MID(C72,2,3)</f>
        <v>302</v>
      </c>
      <c r="C72" s="72" t="s">
        <v>300</v>
      </c>
      <c r="D72" s="72" t="s">
        <v>301</v>
      </c>
      <c r="E72" s="85">
        <v>55918.83</v>
      </c>
      <c r="F72" s="85" t="s">
        <v>254</v>
      </c>
      <c r="G72" s="85">
        <v>55918.83</v>
      </c>
      <c r="H72" s="85" t="s">
        <v>254</v>
      </c>
      <c r="I72" s="85">
        <v>0</v>
      </c>
      <c r="J72" s="85">
        <v>0</v>
      </c>
      <c r="K72" s="85" t="s">
        <v>254</v>
      </c>
      <c r="L72" s="85" t="s">
        <v>254</v>
      </c>
      <c r="M72" s="85">
        <v>0</v>
      </c>
      <c r="N72" s="85" t="s">
        <v>254</v>
      </c>
      <c r="O72" s="85">
        <v>0</v>
      </c>
      <c r="P72" s="85">
        <v>0</v>
      </c>
      <c r="Q72" s="85">
        <v>0</v>
      </c>
      <c r="R72" s="85"/>
      <c r="S72" s="86"/>
    </row>
    <row r="73" spans="1:19" ht="15">
      <c r="A73" s="70">
        <v>3</v>
      </c>
      <c r="B73" s="94" t="str">
        <f t="shared" si="1"/>
        <v>303</v>
      </c>
      <c r="C73" s="72" t="s">
        <v>302</v>
      </c>
      <c r="D73" s="72" t="s">
        <v>299</v>
      </c>
      <c r="E73" s="85">
        <v>101257411.75999998</v>
      </c>
      <c r="F73" s="85" t="s">
        <v>254</v>
      </c>
      <c r="G73" s="85">
        <v>89843521.730749577</v>
      </c>
      <c r="H73" s="85" t="s">
        <v>254</v>
      </c>
      <c r="I73" s="85">
        <v>5027643.4100970179</v>
      </c>
      <c r="J73" s="85">
        <v>6386246.6191533795</v>
      </c>
      <c r="K73" s="85" t="s">
        <v>254</v>
      </c>
      <c r="L73" s="85" t="s">
        <v>254</v>
      </c>
      <c r="M73" s="85">
        <v>2237.9174126000203</v>
      </c>
      <c r="N73" s="85" t="s">
        <v>254</v>
      </c>
      <c r="O73" s="85">
        <v>6384008.701740779</v>
      </c>
      <c r="P73" s="85">
        <v>2012413.1118059126</v>
      </c>
      <c r="Q73" s="85">
        <v>4371595.5899348669</v>
      </c>
      <c r="R73" s="85"/>
      <c r="S73" s="86"/>
    </row>
    <row r="74" spans="1:19" ht="15">
      <c r="A74" s="70">
        <v>4</v>
      </c>
      <c r="B74" s="70"/>
      <c r="C74" s="72" t="s">
        <v>303</v>
      </c>
      <c r="D74" s="72" t="s">
        <v>254</v>
      </c>
      <c r="E74" s="85">
        <v>101357786.16999996</v>
      </c>
      <c r="F74" s="85" t="s">
        <v>254</v>
      </c>
      <c r="G74" s="85">
        <v>89938885.039907798</v>
      </c>
      <c r="H74" s="85" t="s">
        <v>254</v>
      </c>
      <c r="I74" s="85">
        <v>5029850.7231217548</v>
      </c>
      <c r="J74" s="85">
        <v>6389050.4069704171</v>
      </c>
      <c r="K74" s="85" t="s">
        <v>254</v>
      </c>
      <c r="L74" s="85" t="s">
        <v>254</v>
      </c>
      <c r="M74" s="85">
        <v>2238.8999373835395</v>
      </c>
      <c r="N74" s="85" t="s">
        <v>254</v>
      </c>
      <c r="O74" s="85">
        <v>6386811.5070330333</v>
      </c>
      <c r="P74" s="85">
        <v>2013296.6322369599</v>
      </c>
      <c r="Q74" s="85">
        <v>4373514.8747960739</v>
      </c>
      <c r="R74" s="85"/>
      <c r="S74" s="86"/>
    </row>
    <row r="75" spans="1:19" ht="15">
      <c r="A75" s="70" t="s">
        <v>254</v>
      </c>
      <c r="B75" s="70"/>
      <c r="C75" s="72" t="s">
        <v>254</v>
      </c>
      <c r="D75" s="72" t="s">
        <v>254</v>
      </c>
      <c r="E75" s="85" t="s">
        <v>254</v>
      </c>
      <c r="F75" s="85" t="s">
        <v>254</v>
      </c>
      <c r="G75" s="85" t="s">
        <v>254</v>
      </c>
      <c r="H75" s="85" t="s">
        <v>254</v>
      </c>
      <c r="I75" s="85" t="s">
        <v>254</v>
      </c>
      <c r="J75" s="85" t="s">
        <v>254</v>
      </c>
      <c r="K75" s="85" t="s">
        <v>254</v>
      </c>
      <c r="L75" s="85" t="s">
        <v>254</v>
      </c>
      <c r="M75" s="85" t="s">
        <v>254</v>
      </c>
      <c r="N75" s="85" t="s">
        <v>254</v>
      </c>
      <c r="O75" s="85" t="s">
        <v>254</v>
      </c>
      <c r="P75" s="85" t="s">
        <v>254</v>
      </c>
      <c r="Q75" s="85" t="s">
        <v>254</v>
      </c>
      <c r="R75" s="85"/>
      <c r="S75" s="86"/>
    </row>
    <row r="76" spans="1:19" ht="15">
      <c r="A76" s="70" t="s">
        <v>254</v>
      </c>
      <c r="B76" s="70"/>
      <c r="C76" s="72" t="s">
        <v>304</v>
      </c>
      <c r="D76" s="72" t="s">
        <v>254</v>
      </c>
      <c r="E76" s="85" t="s">
        <v>254</v>
      </c>
      <c r="F76" s="85" t="s">
        <v>254</v>
      </c>
      <c r="G76" s="85" t="s">
        <v>254</v>
      </c>
      <c r="H76" s="85" t="s">
        <v>254</v>
      </c>
      <c r="I76" s="85" t="s">
        <v>254</v>
      </c>
      <c r="J76" s="85" t="s">
        <v>254</v>
      </c>
      <c r="K76" s="85" t="s">
        <v>254</v>
      </c>
      <c r="L76" s="85" t="s">
        <v>254</v>
      </c>
      <c r="M76" s="85" t="s">
        <v>254</v>
      </c>
      <c r="N76" s="85" t="s">
        <v>254</v>
      </c>
      <c r="O76" s="85" t="s">
        <v>254</v>
      </c>
      <c r="P76" s="85" t="s">
        <v>254</v>
      </c>
      <c r="Q76" s="85" t="s">
        <v>254</v>
      </c>
      <c r="R76" s="85"/>
      <c r="S76" s="86"/>
    </row>
    <row r="77" spans="1:19" ht="15">
      <c r="A77" s="70" t="s">
        <v>254</v>
      </c>
      <c r="B77" s="70"/>
      <c r="C77" s="72" t="s">
        <v>305</v>
      </c>
      <c r="D77" s="72" t="s">
        <v>254</v>
      </c>
      <c r="E77" s="85" t="s">
        <v>254</v>
      </c>
      <c r="F77" s="85" t="s">
        <v>254</v>
      </c>
      <c r="G77" s="85" t="s">
        <v>254</v>
      </c>
      <c r="H77" s="85" t="s">
        <v>254</v>
      </c>
      <c r="I77" s="85" t="s">
        <v>254</v>
      </c>
      <c r="J77" s="85" t="s">
        <v>254</v>
      </c>
      <c r="K77" s="85" t="s">
        <v>254</v>
      </c>
      <c r="L77" s="85" t="s">
        <v>254</v>
      </c>
      <c r="M77" s="85" t="s">
        <v>254</v>
      </c>
      <c r="N77" s="85" t="s">
        <v>254</v>
      </c>
      <c r="O77" s="85" t="s">
        <v>254</v>
      </c>
      <c r="P77" s="85" t="s">
        <v>254</v>
      </c>
      <c r="Q77" s="85" t="s">
        <v>254</v>
      </c>
      <c r="R77" s="85"/>
      <c r="S77" s="86"/>
    </row>
    <row r="78" spans="1:19" ht="15">
      <c r="A78" s="70">
        <v>5</v>
      </c>
      <c r="B78" s="94" t="str">
        <f t="shared" ref="B78:B84" si="2">MID(C78,2,3)</f>
        <v>310</v>
      </c>
      <c r="C78" s="72" t="s">
        <v>306</v>
      </c>
      <c r="D78" s="72" t="s">
        <v>307</v>
      </c>
      <c r="E78" s="85">
        <v>23167513.580000006</v>
      </c>
      <c r="F78" s="85" t="s">
        <v>254</v>
      </c>
      <c r="G78" s="85">
        <v>20289581.509967081</v>
      </c>
      <c r="H78" s="85" t="s">
        <v>254</v>
      </c>
      <c r="I78" s="85">
        <v>937653.95816778985</v>
      </c>
      <c r="J78" s="85">
        <v>1940278.111865133</v>
      </c>
      <c r="K78" s="85" t="s">
        <v>254</v>
      </c>
      <c r="L78" s="85" t="s">
        <v>254</v>
      </c>
      <c r="M78" s="85">
        <v>71.296104431872422</v>
      </c>
      <c r="N78" s="85" t="s">
        <v>254</v>
      </c>
      <c r="O78" s="85">
        <v>1940206.8157607012</v>
      </c>
      <c r="P78" s="85">
        <v>602160.41656755516</v>
      </c>
      <c r="Q78" s="85">
        <v>1338046.399193146</v>
      </c>
      <c r="R78" s="85"/>
      <c r="S78" s="86"/>
    </row>
    <row r="79" spans="1:19" ht="15">
      <c r="A79" s="70">
        <v>6</v>
      </c>
      <c r="B79" s="94" t="str">
        <f t="shared" si="2"/>
        <v>311</v>
      </c>
      <c r="C79" s="72" t="s">
        <v>308</v>
      </c>
      <c r="D79" s="72" t="s">
        <v>307</v>
      </c>
      <c r="E79" s="85">
        <v>331834540.55000007</v>
      </c>
      <c r="F79" s="85" t="s">
        <v>254</v>
      </c>
      <c r="G79" s="85">
        <v>290613143.92080319</v>
      </c>
      <c r="H79" s="85" t="s">
        <v>254</v>
      </c>
      <c r="I79" s="85">
        <v>13430270.336481119</v>
      </c>
      <c r="J79" s="85">
        <v>27791126.292715784</v>
      </c>
      <c r="K79" s="85" t="s">
        <v>254</v>
      </c>
      <c r="L79" s="85" t="s">
        <v>254</v>
      </c>
      <c r="M79" s="85">
        <v>1021.1933177662654</v>
      </c>
      <c r="N79" s="85" t="s">
        <v>254</v>
      </c>
      <c r="O79" s="85">
        <v>27790105.099398017</v>
      </c>
      <c r="P79" s="85">
        <v>8624905.9260977153</v>
      </c>
      <c r="Q79" s="85">
        <v>19165199.173300304</v>
      </c>
      <c r="R79" s="85"/>
      <c r="S79" s="86"/>
    </row>
    <row r="80" spans="1:19" ht="15">
      <c r="A80" s="70">
        <v>7</v>
      </c>
      <c r="B80" s="94" t="str">
        <f t="shared" si="2"/>
        <v>312</v>
      </c>
      <c r="C80" s="72" t="s">
        <v>309</v>
      </c>
      <c r="D80" s="72" t="s">
        <v>307</v>
      </c>
      <c r="E80" s="85">
        <v>3956171313.4099998</v>
      </c>
      <c r="F80" s="85" t="s">
        <v>254</v>
      </c>
      <c r="G80" s="85">
        <v>3464724863.7039843</v>
      </c>
      <c r="H80" s="85" t="s">
        <v>254</v>
      </c>
      <c r="I80" s="85">
        <v>160117298.66476029</v>
      </c>
      <c r="J80" s="85">
        <v>331329151.04125553</v>
      </c>
      <c r="K80" s="85" t="s">
        <v>254</v>
      </c>
      <c r="L80" s="85" t="s">
        <v>254</v>
      </c>
      <c r="M80" s="85">
        <v>12174.789587897469</v>
      </c>
      <c r="N80" s="85" t="s">
        <v>254</v>
      </c>
      <c r="O80" s="85">
        <v>331316976.25166762</v>
      </c>
      <c r="P80" s="85">
        <v>102827166.06032857</v>
      </c>
      <c r="Q80" s="85">
        <v>228489810.19133902</v>
      </c>
      <c r="R80" s="85"/>
      <c r="S80" s="86"/>
    </row>
    <row r="81" spans="1:19" ht="15">
      <c r="A81" s="70">
        <v>8</v>
      </c>
      <c r="B81" s="94" t="str">
        <f t="shared" si="2"/>
        <v>314</v>
      </c>
      <c r="C81" s="72" t="s">
        <v>310</v>
      </c>
      <c r="D81" s="72" t="s">
        <v>307</v>
      </c>
      <c r="E81" s="85">
        <v>331336564.08000004</v>
      </c>
      <c r="F81" s="85" t="s">
        <v>254</v>
      </c>
      <c r="G81" s="85">
        <v>290177027.45352578</v>
      </c>
      <c r="H81" s="85" t="s">
        <v>254</v>
      </c>
      <c r="I81" s="85">
        <v>13410115.838392336</v>
      </c>
      <c r="J81" s="85">
        <v>27749420.788081959</v>
      </c>
      <c r="K81" s="85" t="s">
        <v>254</v>
      </c>
      <c r="L81" s="85" t="s">
        <v>254</v>
      </c>
      <c r="M81" s="85">
        <v>1019.66083641961</v>
      </c>
      <c r="N81" s="85" t="s">
        <v>254</v>
      </c>
      <c r="O81" s="85">
        <v>27748401.127245538</v>
      </c>
      <c r="P81" s="85">
        <v>8611962.72796035</v>
      </c>
      <c r="Q81" s="85">
        <v>19136438.39928519</v>
      </c>
      <c r="R81" s="85"/>
      <c r="S81" s="86"/>
    </row>
    <row r="82" spans="1:19" ht="15">
      <c r="A82" s="70">
        <v>9</v>
      </c>
      <c r="B82" s="94" t="str">
        <f t="shared" si="2"/>
        <v>315</v>
      </c>
      <c r="C82" s="72" t="s">
        <v>311</v>
      </c>
      <c r="D82" s="72" t="s">
        <v>307</v>
      </c>
      <c r="E82" s="85">
        <v>223394679.74999896</v>
      </c>
      <c r="F82" s="85" t="s">
        <v>254</v>
      </c>
      <c r="G82" s="85">
        <v>195643980.00800031</v>
      </c>
      <c r="H82" s="85" t="s">
        <v>254</v>
      </c>
      <c r="I82" s="85">
        <v>9041406.4063413534</v>
      </c>
      <c r="J82" s="85">
        <v>18709293.335657302</v>
      </c>
      <c r="K82" s="85" t="s">
        <v>254</v>
      </c>
      <c r="L82" s="85" t="s">
        <v>254</v>
      </c>
      <c r="M82" s="85">
        <v>687.47862656829057</v>
      </c>
      <c r="N82" s="85" t="s">
        <v>254</v>
      </c>
      <c r="O82" s="85">
        <v>18708605.857030734</v>
      </c>
      <c r="P82" s="85">
        <v>5806381.9819388213</v>
      </c>
      <c r="Q82" s="85">
        <v>12902223.875091912</v>
      </c>
      <c r="R82" s="85"/>
      <c r="S82" s="86"/>
    </row>
    <row r="83" spans="1:19" ht="15">
      <c r="A83" s="70">
        <v>10</v>
      </c>
      <c r="B83" s="94" t="str">
        <f t="shared" si="2"/>
        <v>316</v>
      </c>
      <c r="C83" s="72" t="s">
        <v>312</v>
      </c>
      <c r="D83" s="72" t="s">
        <v>307</v>
      </c>
      <c r="E83" s="85">
        <v>37407096.489999995</v>
      </c>
      <c r="F83" s="85" t="s">
        <v>254</v>
      </c>
      <c r="G83" s="85">
        <v>32760284.381154478</v>
      </c>
      <c r="H83" s="85" t="s">
        <v>254</v>
      </c>
      <c r="I83" s="85">
        <v>1513969.6353816891</v>
      </c>
      <c r="J83" s="85">
        <v>3132842.4734638282</v>
      </c>
      <c r="K83" s="85" t="s">
        <v>254</v>
      </c>
      <c r="L83" s="85" t="s">
        <v>254</v>
      </c>
      <c r="M83" s="85">
        <v>115.11724159067776</v>
      </c>
      <c r="N83" s="85" t="s">
        <v>254</v>
      </c>
      <c r="O83" s="85">
        <v>3132727.3562222375</v>
      </c>
      <c r="P83" s="85">
        <v>972269.7572710833</v>
      </c>
      <c r="Q83" s="85">
        <v>2160457.5989511544</v>
      </c>
      <c r="R83" s="85"/>
      <c r="S83" s="86"/>
    </row>
    <row r="84" spans="1:19" ht="15">
      <c r="A84" s="70">
        <v>11</v>
      </c>
      <c r="B84" s="94" t="str">
        <f t="shared" si="2"/>
        <v>317</v>
      </c>
      <c r="C84" s="72" t="s">
        <v>313</v>
      </c>
      <c r="D84" s="72" t="s">
        <v>307</v>
      </c>
      <c r="E84" s="85">
        <v>331002428.38999993</v>
      </c>
      <c r="F84" s="85" t="s">
        <v>254</v>
      </c>
      <c r="G84" s="85">
        <v>289884399.01525009</v>
      </c>
      <c r="H84" s="85" t="s">
        <v>254</v>
      </c>
      <c r="I84" s="85">
        <v>13396592.434112813</v>
      </c>
      <c r="J84" s="85">
        <v>27721436.940637071</v>
      </c>
      <c r="K84" s="85" t="s">
        <v>254</v>
      </c>
      <c r="L84" s="85" t="s">
        <v>254</v>
      </c>
      <c r="M84" s="85">
        <v>1018.6325615049801</v>
      </c>
      <c r="N84" s="85" t="s">
        <v>254</v>
      </c>
      <c r="O84" s="85">
        <v>27720418.308075566</v>
      </c>
      <c r="P84" s="85">
        <v>8603278.0115109235</v>
      </c>
      <c r="Q84" s="85">
        <v>19117140.296564642</v>
      </c>
      <c r="R84" s="85"/>
      <c r="S84" s="86"/>
    </row>
    <row r="85" spans="1:19" ht="15">
      <c r="A85" s="70">
        <v>12</v>
      </c>
      <c r="B85" s="70"/>
      <c r="C85" s="72" t="s">
        <v>314</v>
      </c>
      <c r="D85" s="72" t="s">
        <v>315</v>
      </c>
      <c r="E85" s="85">
        <v>17053962.5</v>
      </c>
      <c r="F85" s="85" t="s">
        <v>254</v>
      </c>
      <c r="G85" s="85">
        <v>0</v>
      </c>
      <c r="H85" s="85" t="s">
        <v>254</v>
      </c>
      <c r="I85" s="85">
        <v>5556459.0147776874</v>
      </c>
      <c r="J85" s="85">
        <v>11497503.485222312</v>
      </c>
      <c r="K85" s="85" t="s">
        <v>254</v>
      </c>
      <c r="L85" s="85" t="s">
        <v>254</v>
      </c>
      <c r="M85" s="85">
        <v>0</v>
      </c>
      <c r="N85" s="85" t="s">
        <v>254</v>
      </c>
      <c r="O85" s="85">
        <v>11497503.485222312</v>
      </c>
      <c r="P85" s="85">
        <v>3568352.3178604725</v>
      </c>
      <c r="Q85" s="85">
        <v>7929151.1673618397</v>
      </c>
      <c r="R85" s="85"/>
      <c r="S85" s="86"/>
    </row>
    <row r="86" spans="1:19" ht="15">
      <c r="A86" s="70">
        <v>13</v>
      </c>
      <c r="B86" s="70"/>
      <c r="C86" s="72" t="s">
        <v>316</v>
      </c>
      <c r="D86" s="72" t="s">
        <v>317</v>
      </c>
      <c r="E86" s="85">
        <v>22028830.599999994</v>
      </c>
      <c r="F86" s="85" t="s">
        <v>254</v>
      </c>
      <c r="G86" s="85">
        <v>0</v>
      </c>
      <c r="H86" s="85" t="s">
        <v>254</v>
      </c>
      <c r="I86" s="85">
        <v>0</v>
      </c>
      <c r="J86" s="85">
        <v>22028830.599999994</v>
      </c>
      <c r="K86" s="85" t="s">
        <v>254</v>
      </c>
      <c r="L86" s="85" t="s">
        <v>254</v>
      </c>
      <c r="M86" s="85">
        <v>0</v>
      </c>
      <c r="N86" s="85" t="s">
        <v>254</v>
      </c>
      <c r="O86" s="85">
        <v>22028830.599999994</v>
      </c>
      <c r="P86" s="85">
        <v>6836843.2183820102</v>
      </c>
      <c r="Q86" s="85">
        <v>15191987.381617986</v>
      </c>
      <c r="R86" s="85"/>
      <c r="S86" s="86"/>
    </row>
    <row r="87" spans="1:19" ht="15">
      <c r="A87" s="70">
        <v>14</v>
      </c>
      <c r="B87" s="70"/>
      <c r="C87" s="72" t="s">
        <v>318</v>
      </c>
      <c r="D87" s="72" t="s">
        <v>254</v>
      </c>
      <c r="E87" s="85">
        <v>5273396929.3499994</v>
      </c>
      <c r="F87" s="85" t="s">
        <v>254</v>
      </c>
      <c r="G87" s="85">
        <v>4584093279.9926853</v>
      </c>
      <c r="H87" s="85" t="s">
        <v>254</v>
      </c>
      <c r="I87" s="85">
        <v>217403766.2884151</v>
      </c>
      <c r="J87" s="85">
        <v>471899883.06889886</v>
      </c>
      <c r="K87" s="85" t="s">
        <v>254</v>
      </c>
      <c r="L87" s="85" t="s">
        <v>254</v>
      </c>
      <c r="M87" s="85">
        <v>16108.168276179165</v>
      </c>
      <c r="N87" s="85" t="s">
        <v>254</v>
      </c>
      <c r="O87" s="85">
        <v>471883774.90062267</v>
      </c>
      <c r="P87" s="85">
        <v>146453320.41791749</v>
      </c>
      <c r="Q87" s="85">
        <v>325430454.48270518</v>
      </c>
      <c r="R87" s="85"/>
      <c r="S87" s="86"/>
    </row>
    <row r="88" spans="1:19" ht="15">
      <c r="A88" s="70" t="s">
        <v>254</v>
      </c>
      <c r="B88" s="70"/>
      <c r="C88" s="72" t="s">
        <v>254</v>
      </c>
      <c r="D88" s="72" t="s">
        <v>254</v>
      </c>
      <c r="E88" s="85" t="s">
        <v>254</v>
      </c>
      <c r="F88" s="85" t="s">
        <v>254</v>
      </c>
      <c r="G88" s="85" t="s">
        <v>254</v>
      </c>
      <c r="H88" s="85" t="s">
        <v>254</v>
      </c>
      <c r="I88" s="85" t="s">
        <v>254</v>
      </c>
      <c r="J88" s="85" t="s">
        <v>254</v>
      </c>
      <c r="K88" s="85" t="s">
        <v>254</v>
      </c>
      <c r="L88" s="85" t="s">
        <v>254</v>
      </c>
      <c r="M88" s="85" t="s">
        <v>254</v>
      </c>
      <c r="N88" s="85" t="s">
        <v>254</v>
      </c>
      <c r="O88" s="85" t="s">
        <v>254</v>
      </c>
      <c r="P88" s="85" t="s">
        <v>254</v>
      </c>
      <c r="Q88" s="85" t="s">
        <v>254</v>
      </c>
      <c r="R88" s="85"/>
      <c r="S88" s="86"/>
    </row>
    <row r="89" spans="1:19" ht="15">
      <c r="A89" s="70" t="s">
        <v>254</v>
      </c>
      <c r="B89" s="70"/>
      <c r="C89" s="72" t="s">
        <v>319</v>
      </c>
      <c r="D89" s="72" t="s">
        <v>254</v>
      </c>
      <c r="E89" s="85" t="s">
        <v>254</v>
      </c>
      <c r="F89" s="85" t="s">
        <v>254</v>
      </c>
      <c r="G89" s="85" t="s">
        <v>254</v>
      </c>
      <c r="H89" s="85" t="s">
        <v>254</v>
      </c>
      <c r="I89" s="85" t="s">
        <v>254</v>
      </c>
      <c r="J89" s="85" t="s">
        <v>254</v>
      </c>
      <c r="K89" s="85" t="s">
        <v>254</v>
      </c>
      <c r="L89" s="85" t="s">
        <v>254</v>
      </c>
      <c r="M89" s="85" t="s">
        <v>254</v>
      </c>
      <c r="N89" s="85" t="s">
        <v>254</v>
      </c>
      <c r="O89" s="85" t="s">
        <v>254</v>
      </c>
      <c r="P89" s="85" t="s">
        <v>254</v>
      </c>
      <c r="Q89" s="85" t="s">
        <v>254</v>
      </c>
      <c r="R89" s="85"/>
      <c r="S89" s="86"/>
    </row>
    <row r="90" spans="1:19" ht="15">
      <c r="A90" s="70">
        <v>15</v>
      </c>
      <c r="B90" s="94" t="str">
        <f t="shared" ref="B90:B97" si="3">MID(C90,2,3)</f>
        <v>330</v>
      </c>
      <c r="C90" s="72" t="s">
        <v>320</v>
      </c>
      <c r="D90" s="72" t="s">
        <v>307</v>
      </c>
      <c r="E90" s="85">
        <v>879311.47</v>
      </c>
      <c r="F90" s="85" t="s">
        <v>254</v>
      </c>
      <c r="G90" s="85">
        <v>770080.98782838695</v>
      </c>
      <c r="H90" s="85" t="s">
        <v>254</v>
      </c>
      <c r="I90" s="85">
        <v>35588.190224245795</v>
      </c>
      <c r="J90" s="85">
        <v>73642.291947367208</v>
      </c>
      <c r="K90" s="85" t="s">
        <v>254</v>
      </c>
      <c r="L90" s="85" t="s">
        <v>254</v>
      </c>
      <c r="M90" s="85">
        <v>2.7060082290135536</v>
      </c>
      <c r="N90" s="85" t="s">
        <v>254</v>
      </c>
      <c r="O90" s="85">
        <v>73639.585939138196</v>
      </c>
      <c r="P90" s="85">
        <v>22854.699501500378</v>
      </c>
      <c r="Q90" s="85">
        <v>50784.886437637811</v>
      </c>
      <c r="R90" s="85"/>
      <c r="S90" s="86"/>
    </row>
    <row r="91" spans="1:19" ht="15">
      <c r="A91" s="70">
        <v>16</v>
      </c>
      <c r="B91" s="94" t="str">
        <f t="shared" si="3"/>
        <v>331</v>
      </c>
      <c r="C91" s="72" t="s">
        <v>321</v>
      </c>
      <c r="D91" s="72" t="s">
        <v>307</v>
      </c>
      <c r="E91" s="85">
        <v>2930163.9299999997</v>
      </c>
      <c r="F91" s="85" t="s">
        <v>254</v>
      </c>
      <c r="G91" s="85">
        <v>2566170.9311189908</v>
      </c>
      <c r="H91" s="85" t="s">
        <v>254</v>
      </c>
      <c r="I91" s="85">
        <v>118591.91525053531</v>
      </c>
      <c r="J91" s="85">
        <v>245401.08363047376</v>
      </c>
      <c r="K91" s="85" t="s">
        <v>254</v>
      </c>
      <c r="L91" s="85" t="s">
        <v>254</v>
      </c>
      <c r="M91" s="85">
        <v>9.017336833942009</v>
      </c>
      <c r="N91" s="85" t="s">
        <v>254</v>
      </c>
      <c r="O91" s="85">
        <v>245392.06629363983</v>
      </c>
      <c r="P91" s="85">
        <v>76159.6071415802</v>
      </c>
      <c r="Q91" s="85">
        <v>169232.45915205963</v>
      </c>
      <c r="R91" s="85"/>
      <c r="S91" s="86"/>
    </row>
    <row r="92" spans="1:19" ht="15">
      <c r="A92" s="70">
        <v>17</v>
      </c>
      <c r="B92" s="94" t="str">
        <f t="shared" si="3"/>
        <v>332</v>
      </c>
      <c r="C92" s="72" t="s">
        <v>322</v>
      </c>
      <c r="D92" s="72" t="s">
        <v>307</v>
      </c>
      <c r="E92" s="85">
        <v>21842694.069999997</v>
      </c>
      <c r="F92" s="85" t="s">
        <v>254</v>
      </c>
      <c r="G92" s="85">
        <v>19129334.712600585</v>
      </c>
      <c r="H92" s="85" t="s">
        <v>254</v>
      </c>
      <c r="I92" s="85">
        <v>884034.8137084638</v>
      </c>
      <c r="J92" s="85">
        <v>1829324.5436909476</v>
      </c>
      <c r="K92" s="85" t="s">
        <v>254</v>
      </c>
      <c r="L92" s="85" t="s">
        <v>254</v>
      </c>
      <c r="M92" s="85">
        <v>67.219082104371438</v>
      </c>
      <c r="N92" s="85" t="s">
        <v>254</v>
      </c>
      <c r="O92" s="85">
        <v>1829257.3246088433</v>
      </c>
      <c r="P92" s="85">
        <v>567726.25662787526</v>
      </c>
      <c r="Q92" s="85">
        <v>1261531.0679809679</v>
      </c>
      <c r="R92" s="85"/>
      <c r="S92" s="86"/>
    </row>
    <row r="93" spans="1:19" ht="15">
      <c r="A93" s="70">
        <v>18</v>
      </c>
      <c r="B93" s="94" t="str">
        <f t="shared" si="3"/>
        <v>333</v>
      </c>
      <c r="C93" s="72" t="s">
        <v>323</v>
      </c>
      <c r="D93" s="72" t="s">
        <v>307</v>
      </c>
      <c r="E93" s="85">
        <v>13988241.580000002</v>
      </c>
      <c r="F93" s="85" t="s">
        <v>254</v>
      </c>
      <c r="G93" s="85">
        <v>12250583.850462588</v>
      </c>
      <c r="H93" s="85" t="s">
        <v>254</v>
      </c>
      <c r="I93" s="85">
        <v>566143.19184502913</v>
      </c>
      <c r="J93" s="85">
        <v>1171514.5376923846</v>
      </c>
      <c r="K93" s="85" t="s">
        <v>254</v>
      </c>
      <c r="L93" s="85" t="s">
        <v>254</v>
      </c>
      <c r="M93" s="85">
        <v>43.047655030486013</v>
      </c>
      <c r="N93" s="85" t="s">
        <v>254</v>
      </c>
      <c r="O93" s="85">
        <v>1171471.4900373542</v>
      </c>
      <c r="P93" s="85">
        <v>363576.58096430026</v>
      </c>
      <c r="Q93" s="85">
        <v>807894.90907305398</v>
      </c>
      <c r="R93" s="85"/>
      <c r="S93" s="86"/>
    </row>
    <row r="94" spans="1:19" ht="15">
      <c r="A94" s="70">
        <v>19</v>
      </c>
      <c r="B94" s="94" t="str">
        <f t="shared" si="3"/>
        <v>334</v>
      </c>
      <c r="C94" s="72" t="s">
        <v>324</v>
      </c>
      <c r="D94" s="72" t="s">
        <v>307</v>
      </c>
      <c r="E94" s="85">
        <v>1358700.3900000001</v>
      </c>
      <c r="F94" s="85" t="s">
        <v>254</v>
      </c>
      <c r="G94" s="85">
        <v>1189918.9015401048</v>
      </c>
      <c r="H94" s="85" t="s">
        <v>254</v>
      </c>
      <c r="I94" s="85">
        <v>54990.398268177887</v>
      </c>
      <c r="J94" s="85">
        <v>113791.09019171751</v>
      </c>
      <c r="K94" s="85" t="s">
        <v>254</v>
      </c>
      <c r="L94" s="85" t="s">
        <v>254</v>
      </c>
      <c r="M94" s="85">
        <v>4.1812879298662224</v>
      </c>
      <c r="N94" s="85" t="s">
        <v>254</v>
      </c>
      <c r="O94" s="85">
        <v>113786.90890378764</v>
      </c>
      <c r="P94" s="85">
        <v>35314.777738565579</v>
      </c>
      <c r="Q94" s="85">
        <v>78472.131165222061</v>
      </c>
      <c r="R94" s="85"/>
      <c r="S94" s="86"/>
    </row>
    <row r="95" spans="1:19" ht="15">
      <c r="A95" s="70">
        <v>20</v>
      </c>
      <c r="B95" s="94" t="str">
        <f t="shared" si="3"/>
        <v>335</v>
      </c>
      <c r="C95" s="72" t="s">
        <v>325</v>
      </c>
      <c r="D95" s="72" t="s">
        <v>307</v>
      </c>
      <c r="E95" s="85">
        <v>316126.74</v>
      </c>
      <c r="F95" s="85" t="s">
        <v>254</v>
      </c>
      <c r="G95" s="85">
        <v>276856.6094312038</v>
      </c>
      <c r="H95" s="85" t="s">
        <v>254</v>
      </c>
      <c r="I95" s="85">
        <v>12794.531792119909</v>
      </c>
      <c r="J95" s="85">
        <v>26475.598776676306</v>
      </c>
      <c r="K95" s="85" t="s">
        <v>254</v>
      </c>
      <c r="L95" s="85" t="s">
        <v>254</v>
      </c>
      <c r="M95" s="85">
        <v>0.97285386241035621</v>
      </c>
      <c r="N95" s="85" t="s">
        <v>254</v>
      </c>
      <c r="O95" s="85">
        <v>26474.625922813895</v>
      </c>
      <c r="P95" s="85">
        <v>8216.6352806576488</v>
      </c>
      <c r="Q95" s="85">
        <v>18257.990642156248</v>
      </c>
      <c r="R95" s="85"/>
      <c r="S95" s="86"/>
    </row>
    <row r="96" spans="1:19" ht="15">
      <c r="A96" s="70">
        <v>21</v>
      </c>
      <c r="B96" s="94" t="str">
        <f t="shared" si="3"/>
        <v>336</v>
      </c>
      <c r="C96" s="72" t="s">
        <v>326</v>
      </c>
      <c r="D96" s="72" t="s">
        <v>307</v>
      </c>
      <c r="E96" s="85">
        <v>234509.13</v>
      </c>
      <c r="F96" s="85" t="s">
        <v>254</v>
      </c>
      <c r="G96" s="85">
        <v>205377.76276838017</v>
      </c>
      <c r="H96" s="85" t="s">
        <v>254</v>
      </c>
      <c r="I96" s="85">
        <v>9491.2392394499147</v>
      </c>
      <c r="J96" s="85">
        <v>19640.127992169932</v>
      </c>
      <c r="K96" s="85" t="s">
        <v>254</v>
      </c>
      <c r="L96" s="85" t="s">
        <v>254</v>
      </c>
      <c r="M96" s="85">
        <v>0.7216824267728581</v>
      </c>
      <c r="N96" s="85" t="s">
        <v>254</v>
      </c>
      <c r="O96" s="85">
        <v>19639.406309743157</v>
      </c>
      <c r="P96" s="85">
        <v>6095.2641690302162</v>
      </c>
      <c r="Q96" s="85">
        <v>13544.142140712942</v>
      </c>
      <c r="R96" s="85"/>
      <c r="S96" s="86"/>
    </row>
    <row r="97" spans="1:19" ht="15">
      <c r="A97" s="70">
        <v>22</v>
      </c>
      <c r="B97" s="94" t="str">
        <f t="shared" si="3"/>
        <v>337</v>
      </c>
      <c r="C97" s="72" t="s">
        <v>327</v>
      </c>
      <c r="D97" s="72" t="s">
        <v>307</v>
      </c>
      <c r="E97" s="85">
        <v>274310.53999999998</v>
      </c>
      <c r="F97" s="85" t="s">
        <v>254</v>
      </c>
      <c r="G97" s="85">
        <v>240234.93246930835</v>
      </c>
      <c r="H97" s="85" t="s">
        <v>254</v>
      </c>
      <c r="I97" s="85">
        <v>11102.113427492972</v>
      </c>
      <c r="J97" s="85">
        <v>22973.494103198664</v>
      </c>
      <c r="K97" s="85" t="s">
        <v>254</v>
      </c>
      <c r="L97" s="85" t="s">
        <v>254</v>
      </c>
      <c r="M97" s="85">
        <v>0.84416796990621701</v>
      </c>
      <c r="N97" s="85" t="s">
        <v>254</v>
      </c>
      <c r="O97" s="85">
        <v>22972.649935228757</v>
      </c>
      <c r="P97" s="85">
        <v>7129.7659312851902</v>
      </c>
      <c r="Q97" s="85">
        <v>15842.884003943567</v>
      </c>
      <c r="R97" s="85"/>
      <c r="S97" s="86"/>
    </row>
    <row r="98" spans="1:19" ht="15">
      <c r="A98" s="70">
        <v>23</v>
      </c>
      <c r="B98" s="70"/>
      <c r="C98" s="72" t="s">
        <v>314</v>
      </c>
      <c r="D98" s="72" t="s">
        <v>315</v>
      </c>
      <c r="E98" s="85">
        <v>820</v>
      </c>
      <c r="F98" s="85" t="s">
        <v>254</v>
      </c>
      <c r="G98" s="85">
        <v>0</v>
      </c>
      <c r="H98" s="85" t="s">
        <v>254</v>
      </c>
      <c r="I98" s="85">
        <v>267.16936853342463</v>
      </c>
      <c r="J98" s="85">
        <v>552.83063146657537</v>
      </c>
      <c r="K98" s="85" t="s">
        <v>254</v>
      </c>
      <c r="L98" s="85" t="s">
        <v>254</v>
      </c>
      <c r="M98" s="85">
        <v>0</v>
      </c>
      <c r="N98" s="85" t="s">
        <v>254</v>
      </c>
      <c r="O98" s="85">
        <v>552.83063146657537</v>
      </c>
      <c r="P98" s="85">
        <v>171.57589625552347</v>
      </c>
      <c r="Q98" s="85">
        <v>381.25473521105192</v>
      </c>
      <c r="R98" s="85"/>
      <c r="S98" s="86"/>
    </row>
    <row r="99" spans="1:19" ht="15">
      <c r="A99" s="70">
        <v>24</v>
      </c>
      <c r="B99" s="70"/>
      <c r="C99" s="72" t="s">
        <v>316</v>
      </c>
      <c r="D99" s="72" t="s">
        <v>317</v>
      </c>
      <c r="E99" s="85">
        <v>105336.7</v>
      </c>
      <c r="F99" s="85" t="s">
        <v>254</v>
      </c>
      <c r="G99" s="85">
        <v>0</v>
      </c>
      <c r="H99" s="85" t="s">
        <v>254</v>
      </c>
      <c r="I99" s="85">
        <v>0</v>
      </c>
      <c r="J99" s="85">
        <v>105336.7</v>
      </c>
      <c r="K99" s="85" t="s">
        <v>254</v>
      </c>
      <c r="L99" s="85" t="s">
        <v>254</v>
      </c>
      <c r="M99" s="85">
        <v>0</v>
      </c>
      <c r="N99" s="85" t="s">
        <v>254</v>
      </c>
      <c r="O99" s="85">
        <v>105336.7</v>
      </c>
      <c r="P99" s="85">
        <v>32692.180357578327</v>
      </c>
      <c r="Q99" s="85">
        <v>72644.51964242167</v>
      </c>
      <c r="R99" s="85"/>
      <c r="S99" s="86"/>
    </row>
    <row r="100" spans="1:19" ht="15">
      <c r="A100" s="70">
        <v>25</v>
      </c>
      <c r="B100" s="70"/>
      <c r="C100" s="72" t="s">
        <v>328</v>
      </c>
      <c r="D100" s="72" t="s">
        <v>254</v>
      </c>
      <c r="E100" s="85">
        <v>41930214.550000004</v>
      </c>
      <c r="F100" s="85" t="s">
        <v>254</v>
      </c>
      <c r="G100" s="85">
        <v>36628558.688219555</v>
      </c>
      <c r="H100" s="85" t="s">
        <v>254</v>
      </c>
      <c r="I100" s="85">
        <v>1693003.5631240481</v>
      </c>
      <c r="J100" s="85">
        <v>3608652.2986564022</v>
      </c>
      <c r="K100" s="85" t="s">
        <v>254</v>
      </c>
      <c r="L100" s="85" t="s">
        <v>254</v>
      </c>
      <c r="M100" s="85">
        <v>128.71007438676867</v>
      </c>
      <c r="N100" s="85" t="s">
        <v>254</v>
      </c>
      <c r="O100" s="85">
        <v>3608523.5885820156</v>
      </c>
      <c r="P100" s="85">
        <v>1119937.3436086285</v>
      </c>
      <c r="Q100" s="85">
        <v>2488586.2449733871</v>
      </c>
      <c r="R100" s="85"/>
      <c r="S100" s="86"/>
    </row>
    <row r="101" spans="1:19" ht="15">
      <c r="A101" s="70" t="s">
        <v>254</v>
      </c>
      <c r="B101" s="70"/>
      <c r="C101" s="72" t="s">
        <v>254</v>
      </c>
      <c r="D101" s="72" t="s">
        <v>254</v>
      </c>
      <c r="E101" s="85" t="s">
        <v>254</v>
      </c>
      <c r="F101" s="85" t="s">
        <v>254</v>
      </c>
      <c r="G101" s="85" t="s">
        <v>254</v>
      </c>
      <c r="H101" s="85" t="s">
        <v>254</v>
      </c>
      <c r="I101" s="85" t="s">
        <v>254</v>
      </c>
      <c r="J101" s="85" t="s">
        <v>254</v>
      </c>
      <c r="K101" s="85" t="s">
        <v>254</v>
      </c>
      <c r="L101" s="85" t="s">
        <v>254</v>
      </c>
      <c r="M101" s="85" t="s">
        <v>254</v>
      </c>
      <c r="N101" s="85" t="s">
        <v>254</v>
      </c>
      <c r="O101" s="85" t="s">
        <v>254</v>
      </c>
      <c r="P101" s="85" t="s">
        <v>254</v>
      </c>
      <c r="Q101" s="85" t="s">
        <v>254</v>
      </c>
      <c r="R101" s="85"/>
      <c r="S101" s="86"/>
    </row>
    <row r="102" spans="1:19" ht="15">
      <c r="A102" s="70" t="s">
        <v>254</v>
      </c>
      <c r="B102" s="70"/>
      <c r="C102" s="72" t="s">
        <v>329</v>
      </c>
      <c r="D102" s="72" t="s">
        <v>254</v>
      </c>
      <c r="E102" s="85" t="s">
        <v>254</v>
      </c>
      <c r="F102" s="85" t="s">
        <v>254</v>
      </c>
      <c r="G102" s="85" t="s">
        <v>254</v>
      </c>
      <c r="H102" s="85" t="s">
        <v>254</v>
      </c>
      <c r="I102" s="85" t="s">
        <v>254</v>
      </c>
      <c r="J102" s="85" t="s">
        <v>254</v>
      </c>
      <c r="K102" s="85" t="s">
        <v>254</v>
      </c>
      <c r="L102" s="85" t="s">
        <v>254</v>
      </c>
      <c r="M102" s="85" t="s">
        <v>254</v>
      </c>
      <c r="N102" s="85" t="s">
        <v>254</v>
      </c>
      <c r="O102" s="85" t="s">
        <v>254</v>
      </c>
      <c r="P102" s="85" t="s">
        <v>254</v>
      </c>
      <c r="Q102" s="85" t="s">
        <v>254</v>
      </c>
      <c r="R102" s="85"/>
      <c r="S102" s="86"/>
    </row>
    <row r="103" spans="1:19" ht="15">
      <c r="A103" s="70">
        <v>26</v>
      </c>
      <c r="B103" s="94" t="str">
        <f t="shared" ref="B103:B110" si="4">MID(C103,2,3)</f>
        <v>340</v>
      </c>
      <c r="C103" s="72" t="s">
        <v>330</v>
      </c>
      <c r="D103" s="72" t="s">
        <v>307</v>
      </c>
      <c r="E103" s="85">
        <v>473578.51999999996</v>
      </c>
      <c r="F103" s="85" t="s">
        <v>254</v>
      </c>
      <c r="G103" s="85">
        <v>414749.2975337914</v>
      </c>
      <c r="H103" s="85" t="s">
        <v>254</v>
      </c>
      <c r="I103" s="85">
        <v>19167.044933323559</v>
      </c>
      <c r="J103" s="85">
        <v>39662.177532884991</v>
      </c>
      <c r="K103" s="85" t="s">
        <v>254</v>
      </c>
      <c r="L103" s="85" t="s">
        <v>254</v>
      </c>
      <c r="M103" s="85">
        <v>1.4573986760391737</v>
      </c>
      <c r="N103" s="85" t="s">
        <v>254</v>
      </c>
      <c r="O103" s="85">
        <v>39660.720134208954</v>
      </c>
      <c r="P103" s="85">
        <v>12309.056727038129</v>
      </c>
      <c r="Q103" s="85">
        <v>27351.663407170825</v>
      </c>
      <c r="R103" s="85"/>
      <c r="S103" s="86"/>
    </row>
    <row r="104" spans="1:19" ht="15">
      <c r="A104" s="70">
        <v>27</v>
      </c>
      <c r="B104" s="94" t="str">
        <f t="shared" si="4"/>
        <v>341</v>
      </c>
      <c r="C104" s="72" t="s">
        <v>331</v>
      </c>
      <c r="D104" s="72" t="s">
        <v>307</v>
      </c>
      <c r="E104" s="85">
        <v>84878391.489999995</v>
      </c>
      <c r="F104" s="85" t="s">
        <v>254</v>
      </c>
      <c r="G104" s="85">
        <v>74334564.933974713</v>
      </c>
      <c r="H104" s="85" t="s">
        <v>254</v>
      </c>
      <c r="I104" s="85">
        <v>3435265.4836563491</v>
      </c>
      <c r="J104" s="85">
        <v>7108561.0723689394</v>
      </c>
      <c r="K104" s="85" t="s">
        <v>254</v>
      </c>
      <c r="L104" s="85" t="s">
        <v>254</v>
      </c>
      <c r="M104" s="85">
        <v>261.20622063234765</v>
      </c>
      <c r="N104" s="85" t="s">
        <v>254</v>
      </c>
      <c r="O104" s="85">
        <v>7108299.866148307</v>
      </c>
      <c r="P104" s="85">
        <v>2206123.993440751</v>
      </c>
      <c r="Q104" s="85">
        <v>4902175.872707556</v>
      </c>
      <c r="R104" s="85"/>
      <c r="S104" s="86"/>
    </row>
    <row r="105" spans="1:19" ht="15">
      <c r="A105" s="70">
        <v>28</v>
      </c>
      <c r="B105" s="94" t="str">
        <f t="shared" si="4"/>
        <v>342</v>
      </c>
      <c r="C105" s="72" t="s">
        <v>332</v>
      </c>
      <c r="D105" s="72" t="s">
        <v>307</v>
      </c>
      <c r="E105" s="85">
        <v>61589624.479998976</v>
      </c>
      <c r="F105" s="85" t="s">
        <v>254</v>
      </c>
      <c r="G105" s="85">
        <v>53938792.427599087</v>
      </c>
      <c r="H105" s="85" t="s">
        <v>254</v>
      </c>
      <c r="I105" s="85">
        <v>2492704.0606374317</v>
      </c>
      <c r="J105" s="85">
        <v>5158127.991762463</v>
      </c>
      <c r="K105" s="85" t="s">
        <v>254</v>
      </c>
      <c r="L105" s="85" t="s">
        <v>254</v>
      </c>
      <c r="M105" s="85">
        <v>189.53696881121297</v>
      </c>
      <c r="N105" s="85" t="s">
        <v>254</v>
      </c>
      <c r="O105" s="85">
        <v>5157938.4547936516</v>
      </c>
      <c r="P105" s="85">
        <v>1600812.0079459765</v>
      </c>
      <c r="Q105" s="85">
        <v>3557126.4468476749</v>
      </c>
      <c r="R105" s="85"/>
      <c r="S105" s="86"/>
    </row>
    <row r="106" spans="1:19" ht="15">
      <c r="A106" s="70">
        <v>29</v>
      </c>
      <c r="B106" s="94" t="str">
        <f t="shared" si="4"/>
        <v>343</v>
      </c>
      <c r="C106" s="72" t="s">
        <v>333</v>
      </c>
      <c r="D106" s="72" t="s">
        <v>307</v>
      </c>
      <c r="E106" s="85">
        <v>646053657.2700001</v>
      </c>
      <c r="F106" s="85" t="s">
        <v>254</v>
      </c>
      <c r="G106" s="85">
        <v>565799100.26719403</v>
      </c>
      <c r="H106" s="85" t="s">
        <v>254</v>
      </c>
      <c r="I106" s="85">
        <v>26147595.288384508</v>
      </c>
      <c r="J106" s="85">
        <v>54106961.714421459</v>
      </c>
      <c r="K106" s="85" t="s">
        <v>254</v>
      </c>
      <c r="L106" s="85" t="s">
        <v>254</v>
      </c>
      <c r="M106" s="85">
        <v>1988.176627511662</v>
      </c>
      <c r="N106" s="85" t="s">
        <v>254</v>
      </c>
      <c r="O106" s="85">
        <v>54104973.537793949</v>
      </c>
      <c r="P106" s="85">
        <v>16791959.052633721</v>
      </c>
      <c r="Q106" s="85">
        <v>37313014.485160224</v>
      </c>
      <c r="R106" s="85"/>
      <c r="S106" s="86"/>
    </row>
    <row r="107" spans="1:19" ht="15">
      <c r="A107" s="70">
        <v>30</v>
      </c>
      <c r="B107" s="94" t="str">
        <f t="shared" si="4"/>
        <v>344</v>
      </c>
      <c r="C107" s="72" t="s">
        <v>334</v>
      </c>
      <c r="D107" s="72" t="s">
        <v>307</v>
      </c>
      <c r="E107" s="85">
        <v>130466789.83999901</v>
      </c>
      <c r="F107" s="85" t="s">
        <v>254</v>
      </c>
      <c r="G107" s="85">
        <v>114259847.42219386</v>
      </c>
      <c r="H107" s="85" t="s">
        <v>254</v>
      </c>
      <c r="I107" s="85">
        <v>5280355.2474671835</v>
      </c>
      <c r="J107" s="85">
        <v>10926587.170337955</v>
      </c>
      <c r="K107" s="85" t="s">
        <v>254</v>
      </c>
      <c r="L107" s="85" t="s">
        <v>254</v>
      </c>
      <c r="M107" s="85">
        <v>401.50074116515179</v>
      </c>
      <c r="N107" s="85" t="s">
        <v>254</v>
      </c>
      <c r="O107" s="85">
        <v>10926185.669596789</v>
      </c>
      <c r="P107" s="85">
        <v>3391038.7598134931</v>
      </c>
      <c r="Q107" s="85">
        <v>7535146.9097832963</v>
      </c>
      <c r="R107" s="85"/>
      <c r="S107" s="86"/>
    </row>
    <row r="108" spans="1:19" ht="15">
      <c r="A108" s="70">
        <v>31</v>
      </c>
      <c r="B108" s="94" t="str">
        <f t="shared" si="4"/>
        <v>345</v>
      </c>
      <c r="C108" s="72" t="s">
        <v>335</v>
      </c>
      <c r="D108" s="72" t="s">
        <v>307</v>
      </c>
      <c r="E108" s="85">
        <v>67141796.530000001</v>
      </c>
      <c r="F108" s="85" t="s">
        <v>254</v>
      </c>
      <c r="G108" s="85">
        <v>58801258.439623185</v>
      </c>
      <c r="H108" s="85" t="s">
        <v>254</v>
      </c>
      <c r="I108" s="85">
        <v>2717415.9651383217</v>
      </c>
      <c r="J108" s="85">
        <v>5623122.1252384968</v>
      </c>
      <c r="K108" s="85" t="s">
        <v>254</v>
      </c>
      <c r="L108" s="85" t="s">
        <v>254</v>
      </c>
      <c r="M108" s="85">
        <v>206.62331849365466</v>
      </c>
      <c r="N108" s="85" t="s">
        <v>254</v>
      </c>
      <c r="O108" s="85">
        <v>5622915.5019200034</v>
      </c>
      <c r="P108" s="85">
        <v>1745121.7640593622</v>
      </c>
      <c r="Q108" s="85">
        <v>3877793.737860641</v>
      </c>
      <c r="R108" s="85"/>
      <c r="S108" s="86"/>
    </row>
    <row r="109" spans="1:19" ht="15">
      <c r="A109" s="70">
        <v>32</v>
      </c>
      <c r="B109" s="94" t="str">
        <f t="shared" si="4"/>
        <v>346</v>
      </c>
      <c r="C109" s="72" t="s">
        <v>336</v>
      </c>
      <c r="D109" s="72" t="s">
        <v>307</v>
      </c>
      <c r="E109" s="85">
        <v>9098259.1999999993</v>
      </c>
      <c r="F109" s="85" t="s">
        <v>254</v>
      </c>
      <c r="G109" s="85">
        <v>7968048.4916848745</v>
      </c>
      <c r="H109" s="85" t="s">
        <v>254</v>
      </c>
      <c r="I109" s="85">
        <v>368231.9521194172</v>
      </c>
      <c r="J109" s="85">
        <v>761978.75619570795</v>
      </c>
      <c r="K109" s="85" t="s">
        <v>254</v>
      </c>
      <c r="L109" s="85" t="s">
        <v>254</v>
      </c>
      <c r="M109" s="85">
        <v>27.999139218436749</v>
      </c>
      <c r="N109" s="85" t="s">
        <v>254</v>
      </c>
      <c r="O109" s="85">
        <v>761950.75705648947</v>
      </c>
      <c r="P109" s="85">
        <v>236478.18446262417</v>
      </c>
      <c r="Q109" s="85">
        <v>525472.57259386533</v>
      </c>
      <c r="R109" s="85"/>
      <c r="S109" s="86"/>
    </row>
    <row r="110" spans="1:19" ht="15">
      <c r="A110" s="70">
        <v>33</v>
      </c>
      <c r="B110" s="94" t="str">
        <f t="shared" si="4"/>
        <v>347</v>
      </c>
      <c r="C110" s="72" t="s">
        <v>337</v>
      </c>
      <c r="D110" s="72" t="s">
        <v>307</v>
      </c>
      <c r="E110" s="85">
        <v>403344.08999999997</v>
      </c>
      <c r="F110" s="85" t="s">
        <v>254</v>
      </c>
      <c r="G110" s="85">
        <v>353239.58103485423</v>
      </c>
      <c r="H110" s="85" t="s">
        <v>254</v>
      </c>
      <c r="I110" s="85">
        <v>16324.461457036738</v>
      </c>
      <c r="J110" s="85">
        <v>33780.04750810899</v>
      </c>
      <c r="K110" s="85" t="s">
        <v>254</v>
      </c>
      <c r="L110" s="85" t="s">
        <v>254</v>
      </c>
      <c r="M110" s="85">
        <v>1.2412580341570925</v>
      </c>
      <c r="N110" s="85" t="s">
        <v>254</v>
      </c>
      <c r="O110" s="85">
        <v>33778.806250074835</v>
      </c>
      <c r="P110" s="85">
        <v>10483.552514851333</v>
      </c>
      <c r="Q110" s="85">
        <v>23295.253735223498</v>
      </c>
      <c r="R110" s="85"/>
      <c r="S110" s="86"/>
    </row>
    <row r="111" spans="1:19" ht="15">
      <c r="A111" s="70">
        <v>34</v>
      </c>
      <c r="B111" s="70"/>
      <c r="C111" s="72" t="s">
        <v>314</v>
      </c>
      <c r="D111" s="72" t="s">
        <v>315</v>
      </c>
      <c r="E111" s="85">
        <v>1987.3000000000002</v>
      </c>
      <c r="F111" s="85" t="s">
        <v>254</v>
      </c>
      <c r="G111" s="85">
        <v>0</v>
      </c>
      <c r="H111" s="85" t="s">
        <v>254</v>
      </c>
      <c r="I111" s="85">
        <v>647.49473912984729</v>
      </c>
      <c r="J111" s="85">
        <v>1339.8052608701528</v>
      </c>
      <c r="K111" s="85" t="s">
        <v>254</v>
      </c>
      <c r="L111" s="85" t="s">
        <v>254</v>
      </c>
      <c r="M111" s="85">
        <v>0</v>
      </c>
      <c r="N111" s="85" t="s">
        <v>254</v>
      </c>
      <c r="O111" s="85">
        <v>1339.8052608701528</v>
      </c>
      <c r="P111" s="85">
        <v>415.82046174219727</v>
      </c>
      <c r="Q111" s="85">
        <v>923.9847991279554</v>
      </c>
      <c r="R111" s="85"/>
      <c r="S111" s="86"/>
    </row>
    <row r="112" spans="1:19" ht="15">
      <c r="A112" s="70">
        <v>35</v>
      </c>
      <c r="B112" s="70"/>
      <c r="C112" s="72" t="s">
        <v>316</v>
      </c>
      <c r="D112" s="72" t="s">
        <v>317</v>
      </c>
      <c r="E112" s="85">
        <v>2048086.5</v>
      </c>
      <c r="F112" s="85" t="s">
        <v>254</v>
      </c>
      <c r="G112" s="85">
        <v>0</v>
      </c>
      <c r="H112" s="85" t="s">
        <v>254</v>
      </c>
      <c r="I112" s="85">
        <v>0</v>
      </c>
      <c r="J112" s="85">
        <v>2048086.5</v>
      </c>
      <c r="K112" s="85" t="s">
        <v>254</v>
      </c>
      <c r="L112" s="85" t="s">
        <v>254</v>
      </c>
      <c r="M112" s="85">
        <v>0</v>
      </c>
      <c r="N112" s="85" t="s">
        <v>254</v>
      </c>
      <c r="O112" s="85">
        <v>2048086.5</v>
      </c>
      <c r="P112" s="85">
        <v>635641.8346684617</v>
      </c>
      <c r="Q112" s="85">
        <v>1412444.6653315383</v>
      </c>
      <c r="R112" s="85"/>
      <c r="S112" s="86"/>
    </row>
    <row r="113" spans="1:19" ht="15">
      <c r="A113" s="70">
        <v>36</v>
      </c>
      <c r="B113" s="70"/>
      <c r="C113" s="72" t="s">
        <v>338</v>
      </c>
      <c r="D113" s="72" t="s">
        <v>254</v>
      </c>
      <c r="E113" s="85">
        <v>1002155515.2199981</v>
      </c>
      <c r="F113" s="85" t="s">
        <v>254</v>
      </c>
      <c r="G113" s="85">
        <v>875869600.86083853</v>
      </c>
      <c r="H113" s="85" t="s">
        <v>254</v>
      </c>
      <c r="I113" s="85">
        <v>40477706.998532705</v>
      </c>
      <c r="J113" s="85">
        <v>85808207.360626876</v>
      </c>
      <c r="K113" s="85" t="s">
        <v>254</v>
      </c>
      <c r="L113" s="85" t="s">
        <v>254</v>
      </c>
      <c r="M113" s="85">
        <v>3077.7416725426615</v>
      </c>
      <c r="N113" s="85" t="s">
        <v>254</v>
      </c>
      <c r="O113" s="85">
        <v>85805129.618954331</v>
      </c>
      <c r="P113" s="85">
        <v>26630384.026728023</v>
      </c>
      <c r="Q113" s="85">
        <v>59174745.592226312</v>
      </c>
      <c r="R113" s="85"/>
      <c r="S113" s="86"/>
    </row>
    <row r="114" spans="1:19" ht="15">
      <c r="A114" s="70" t="s">
        <v>254</v>
      </c>
      <c r="B114" s="70"/>
      <c r="C114" s="72" t="s">
        <v>254</v>
      </c>
      <c r="D114" s="72" t="s">
        <v>254</v>
      </c>
      <c r="E114" s="85" t="s">
        <v>254</v>
      </c>
      <c r="F114" s="85" t="s">
        <v>254</v>
      </c>
      <c r="G114" s="85" t="s">
        <v>254</v>
      </c>
      <c r="H114" s="85" t="s">
        <v>254</v>
      </c>
      <c r="I114" s="85" t="s">
        <v>254</v>
      </c>
      <c r="J114" s="85" t="s">
        <v>254</v>
      </c>
      <c r="K114" s="85" t="s">
        <v>254</v>
      </c>
      <c r="L114" s="85" t="s">
        <v>254</v>
      </c>
      <c r="M114" s="85" t="s">
        <v>254</v>
      </c>
      <c r="N114" s="85" t="s">
        <v>254</v>
      </c>
      <c r="O114" s="85" t="s">
        <v>254</v>
      </c>
      <c r="P114" s="85" t="s">
        <v>254</v>
      </c>
      <c r="Q114" s="85" t="s">
        <v>254</v>
      </c>
      <c r="R114" s="85"/>
      <c r="S114" s="86"/>
    </row>
    <row r="115" spans="1:19" ht="15">
      <c r="A115" s="70">
        <v>37</v>
      </c>
      <c r="B115" s="70"/>
      <c r="C115" s="72" t="s">
        <v>339</v>
      </c>
      <c r="D115" s="72" t="s">
        <v>254</v>
      </c>
      <c r="E115" s="85">
        <v>6317482659.119997</v>
      </c>
      <c r="F115" s="85" t="s">
        <v>254</v>
      </c>
      <c r="G115" s="85">
        <v>5496591439.5417433</v>
      </c>
      <c r="H115" s="85" t="s">
        <v>254</v>
      </c>
      <c r="I115" s="85">
        <v>259574476.85007185</v>
      </c>
      <c r="J115" s="85">
        <v>561316742.7281822</v>
      </c>
      <c r="K115" s="85" t="s">
        <v>254</v>
      </c>
      <c r="L115" s="85" t="s">
        <v>254</v>
      </c>
      <c r="M115" s="85">
        <v>19314.620023108597</v>
      </c>
      <c r="N115" s="85" t="s">
        <v>254</v>
      </c>
      <c r="O115" s="85">
        <v>561297428.10815907</v>
      </c>
      <c r="P115" s="85">
        <v>174203641.78825414</v>
      </c>
      <c r="Q115" s="85">
        <v>387093786.31990486</v>
      </c>
      <c r="R115" s="85"/>
      <c r="S115" s="86"/>
    </row>
    <row r="116" spans="1:19" ht="15">
      <c r="A116" s="70" t="s">
        <v>254</v>
      </c>
      <c r="B116" s="70"/>
      <c r="C116" s="72" t="s">
        <v>254</v>
      </c>
      <c r="D116" s="72" t="s">
        <v>254</v>
      </c>
      <c r="E116" s="85" t="s">
        <v>254</v>
      </c>
      <c r="F116" s="85" t="s">
        <v>254</v>
      </c>
      <c r="G116" s="85" t="s">
        <v>254</v>
      </c>
      <c r="H116" s="85" t="s">
        <v>254</v>
      </c>
      <c r="I116" s="85" t="s">
        <v>254</v>
      </c>
      <c r="J116" s="85" t="s">
        <v>254</v>
      </c>
      <c r="K116" s="85" t="s">
        <v>254</v>
      </c>
      <c r="L116" s="85" t="s">
        <v>254</v>
      </c>
      <c r="M116" s="85" t="s">
        <v>254</v>
      </c>
      <c r="N116" s="85" t="s">
        <v>254</v>
      </c>
      <c r="O116" s="85" t="s">
        <v>254</v>
      </c>
      <c r="P116" s="85" t="s">
        <v>254</v>
      </c>
      <c r="Q116" s="85" t="s">
        <v>254</v>
      </c>
      <c r="R116" s="85"/>
      <c r="S116" s="86"/>
    </row>
    <row r="117" spans="1:19" ht="15">
      <c r="A117" s="70" t="s">
        <v>254</v>
      </c>
      <c r="B117" s="70"/>
      <c r="C117" s="72" t="s">
        <v>340</v>
      </c>
      <c r="D117" s="72" t="s">
        <v>254</v>
      </c>
      <c r="E117" s="85" t="s">
        <v>254</v>
      </c>
      <c r="F117" s="85" t="s">
        <v>254</v>
      </c>
      <c r="G117" s="85" t="s">
        <v>254</v>
      </c>
      <c r="H117" s="85" t="s">
        <v>254</v>
      </c>
      <c r="I117" s="85" t="s">
        <v>254</v>
      </c>
      <c r="J117" s="85" t="s">
        <v>254</v>
      </c>
      <c r="K117" s="85" t="s">
        <v>254</v>
      </c>
      <c r="L117" s="85" t="s">
        <v>254</v>
      </c>
      <c r="M117" s="85" t="s">
        <v>254</v>
      </c>
      <c r="N117" s="85" t="s">
        <v>254</v>
      </c>
      <c r="O117" s="85" t="s">
        <v>254</v>
      </c>
      <c r="P117" s="85" t="s">
        <v>254</v>
      </c>
      <c r="Q117" s="85" t="s">
        <v>254</v>
      </c>
      <c r="R117" s="85"/>
      <c r="S117" s="86"/>
    </row>
    <row r="118" spans="1:19" ht="15">
      <c r="A118" s="70" t="s">
        <v>254</v>
      </c>
      <c r="B118" s="70"/>
      <c r="C118" s="72" t="s">
        <v>254</v>
      </c>
      <c r="D118" s="72" t="s">
        <v>254</v>
      </c>
      <c r="E118" s="85" t="s">
        <v>254</v>
      </c>
      <c r="F118" s="85" t="s">
        <v>254</v>
      </c>
      <c r="G118" s="85" t="s">
        <v>254</v>
      </c>
      <c r="H118" s="85" t="s">
        <v>254</v>
      </c>
      <c r="I118" s="85" t="s">
        <v>254</v>
      </c>
      <c r="J118" s="85" t="s">
        <v>254</v>
      </c>
      <c r="K118" s="85" t="s">
        <v>254</v>
      </c>
      <c r="L118" s="85" t="s">
        <v>254</v>
      </c>
      <c r="M118" s="85" t="s">
        <v>254</v>
      </c>
      <c r="N118" s="85" t="s">
        <v>254</v>
      </c>
      <c r="O118" s="85" t="s">
        <v>254</v>
      </c>
      <c r="P118" s="85" t="s">
        <v>254</v>
      </c>
      <c r="Q118" s="85" t="s">
        <v>254</v>
      </c>
      <c r="R118" s="85"/>
      <c r="S118" s="86"/>
    </row>
    <row r="119" spans="1:19" ht="15">
      <c r="A119" s="70" t="s">
        <v>254</v>
      </c>
      <c r="B119" s="70"/>
      <c r="C119" s="72" t="s">
        <v>341</v>
      </c>
      <c r="D119" s="72" t="s">
        <v>254</v>
      </c>
      <c r="E119" s="85" t="s">
        <v>254</v>
      </c>
      <c r="F119" s="85" t="s">
        <v>254</v>
      </c>
      <c r="G119" s="85" t="s">
        <v>254</v>
      </c>
      <c r="H119" s="85" t="s">
        <v>254</v>
      </c>
      <c r="I119" s="85" t="s">
        <v>254</v>
      </c>
      <c r="J119" s="85" t="s">
        <v>254</v>
      </c>
      <c r="K119" s="85" t="s">
        <v>254</v>
      </c>
      <c r="L119" s="85" t="s">
        <v>254</v>
      </c>
      <c r="M119" s="85" t="s">
        <v>254</v>
      </c>
      <c r="N119" s="85" t="s">
        <v>254</v>
      </c>
      <c r="O119" s="85" t="s">
        <v>254</v>
      </c>
      <c r="P119" s="85" t="s">
        <v>254</v>
      </c>
      <c r="Q119" s="85" t="s">
        <v>254</v>
      </c>
      <c r="R119" s="85"/>
      <c r="S119" s="86"/>
    </row>
    <row r="120" spans="1:19" ht="15">
      <c r="A120" s="70" t="s">
        <v>254</v>
      </c>
      <c r="B120" s="70"/>
      <c r="C120" s="72" t="s">
        <v>342</v>
      </c>
      <c r="D120" s="72" t="s">
        <v>254</v>
      </c>
      <c r="E120" s="85" t="s">
        <v>254</v>
      </c>
      <c r="F120" s="85" t="s">
        <v>254</v>
      </c>
      <c r="G120" s="85" t="s">
        <v>254</v>
      </c>
      <c r="H120" s="85" t="s">
        <v>254</v>
      </c>
      <c r="I120" s="85" t="s">
        <v>254</v>
      </c>
      <c r="J120" s="85" t="s">
        <v>254</v>
      </c>
      <c r="K120" s="85" t="s">
        <v>254</v>
      </c>
      <c r="L120" s="85" t="s">
        <v>254</v>
      </c>
      <c r="M120" s="85" t="s">
        <v>254</v>
      </c>
      <c r="N120" s="85" t="s">
        <v>254</v>
      </c>
      <c r="O120" s="85" t="s">
        <v>254</v>
      </c>
      <c r="P120" s="85" t="s">
        <v>254</v>
      </c>
      <c r="Q120" s="85" t="s">
        <v>254</v>
      </c>
      <c r="R120" s="85"/>
      <c r="S120" s="86"/>
    </row>
    <row r="121" spans="1:19" ht="15">
      <c r="A121" s="70">
        <v>1</v>
      </c>
      <c r="B121" s="94" t="str">
        <f t="shared" ref="B121:B129" si="5">MID(C121,2,3)</f>
        <v>350</v>
      </c>
      <c r="C121" s="72" t="s">
        <v>343</v>
      </c>
      <c r="D121" s="72" t="s">
        <v>344</v>
      </c>
      <c r="E121" s="85">
        <v>29542336.750000007</v>
      </c>
      <c r="F121" s="85" t="s">
        <v>254</v>
      </c>
      <c r="G121" s="85">
        <v>28237291.529314794</v>
      </c>
      <c r="H121" s="85" t="s">
        <v>254</v>
      </c>
      <c r="I121" s="85">
        <v>1304945.996909464</v>
      </c>
      <c r="J121" s="85">
        <v>99.223775747088851</v>
      </c>
      <c r="K121" s="85" t="s">
        <v>254</v>
      </c>
      <c r="L121" s="85" t="s">
        <v>254</v>
      </c>
      <c r="M121" s="85">
        <v>99.223775747088851</v>
      </c>
      <c r="N121" s="85" t="s">
        <v>254</v>
      </c>
      <c r="O121" s="85">
        <v>0</v>
      </c>
      <c r="P121" s="85">
        <v>0</v>
      </c>
      <c r="Q121" s="85">
        <v>0</v>
      </c>
      <c r="R121" s="85"/>
      <c r="S121" s="86"/>
    </row>
    <row r="122" spans="1:19" ht="15">
      <c r="A122" s="70">
        <v>2</v>
      </c>
      <c r="B122" s="94" t="str">
        <f t="shared" si="5"/>
        <v>352</v>
      </c>
      <c r="C122" s="72" t="s">
        <v>345</v>
      </c>
      <c r="D122" s="72" t="s">
        <v>344</v>
      </c>
      <c r="E122" s="85">
        <v>27098118.149999999</v>
      </c>
      <c r="F122" s="85" t="s">
        <v>254</v>
      </c>
      <c r="G122" s="85">
        <v>25901047.319737371</v>
      </c>
      <c r="H122" s="85" t="s">
        <v>254</v>
      </c>
      <c r="I122" s="85">
        <v>1196979.8158780443</v>
      </c>
      <c r="J122" s="85">
        <v>91.014384584310775</v>
      </c>
      <c r="K122" s="85" t="s">
        <v>254</v>
      </c>
      <c r="L122" s="85" t="s">
        <v>254</v>
      </c>
      <c r="M122" s="85">
        <v>91.014384584310775</v>
      </c>
      <c r="N122" s="85" t="s">
        <v>254</v>
      </c>
      <c r="O122" s="85">
        <v>0</v>
      </c>
      <c r="P122" s="85">
        <v>0</v>
      </c>
      <c r="Q122" s="85">
        <v>0</v>
      </c>
      <c r="R122" s="85"/>
      <c r="S122" s="86"/>
    </row>
    <row r="123" spans="1:19" ht="15">
      <c r="A123" s="70">
        <v>3</v>
      </c>
      <c r="B123" s="94" t="str">
        <f t="shared" si="5"/>
        <v>353</v>
      </c>
      <c r="C123" s="72" t="s">
        <v>346</v>
      </c>
      <c r="D123" s="72" t="s">
        <v>344</v>
      </c>
      <c r="E123" s="85">
        <v>275727734.58999991</v>
      </c>
      <c r="F123" s="85" t="s">
        <v>254</v>
      </c>
      <c r="G123" s="85">
        <v>263547345.29709676</v>
      </c>
      <c r="H123" s="85" t="s">
        <v>254</v>
      </c>
      <c r="I123" s="85">
        <v>12179463.206820818</v>
      </c>
      <c r="J123" s="85">
        <v>926.08608234793689</v>
      </c>
      <c r="K123" s="85" t="s">
        <v>254</v>
      </c>
      <c r="L123" s="85" t="s">
        <v>254</v>
      </c>
      <c r="M123" s="85">
        <v>926.08608234793689</v>
      </c>
      <c r="N123" s="85" t="s">
        <v>254</v>
      </c>
      <c r="O123" s="85">
        <v>0</v>
      </c>
      <c r="P123" s="85">
        <v>0</v>
      </c>
      <c r="Q123" s="85">
        <v>0</v>
      </c>
      <c r="R123" s="85"/>
      <c r="S123" s="86"/>
    </row>
    <row r="124" spans="1:19" ht="15">
      <c r="A124" s="70">
        <v>4</v>
      </c>
      <c r="B124" s="94" t="str">
        <f t="shared" si="5"/>
        <v>354</v>
      </c>
      <c r="C124" s="72" t="s">
        <v>347</v>
      </c>
      <c r="D124" s="72" t="s">
        <v>344</v>
      </c>
      <c r="E124" s="85">
        <v>68226965.939999998</v>
      </c>
      <c r="F124" s="85" t="s">
        <v>254</v>
      </c>
      <c r="G124" s="85">
        <v>65213010.863414876</v>
      </c>
      <c r="H124" s="85" t="s">
        <v>254</v>
      </c>
      <c r="I124" s="85">
        <v>3013725.9228378856</v>
      </c>
      <c r="J124" s="85">
        <v>229.15374723479951</v>
      </c>
      <c r="K124" s="85" t="s">
        <v>254</v>
      </c>
      <c r="L124" s="85" t="s">
        <v>254</v>
      </c>
      <c r="M124" s="85">
        <v>229.15374723479951</v>
      </c>
      <c r="N124" s="85" t="s">
        <v>254</v>
      </c>
      <c r="O124" s="85">
        <v>0</v>
      </c>
      <c r="P124" s="85">
        <v>0</v>
      </c>
      <c r="Q124" s="85">
        <v>0</v>
      </c>
      <c r="R124" s="85"/>
      <c r="S124" s="86"/>
    </row>
    <row r="125" spans="1:19" ht="15">
      <c r="A125" s="70">
        <v>5</v>
      </c>
      <c r="B125" s="94" t="str">
        <f t="shared" si="5"/>
        <v>355</v>
      </c>
      <c r="C125" s="72" t="s">
        <v>348</v>
      </c>
      <c r="D125" s="72" t="s">
        <v>344</v>
      </c>
      <c r="E125" s="85">
        <v>272868081.01999998</v>
      </c>
      <c r="F125" s="85" t="s">
        <v>254</v>
      </c>
      <c r="G125" s="85">
        <v>260814018.13302487</v>
      </c>
      <c r="H125" s="85" t="s">
        <v>254</v>
      </c>
      <c r="I125" s="85">
        <v>12053146.405604364</v>
      </c>
      <c r="J125" s="85">
        <v>916.48137074556053</v>
      </c>
      <c r="K125" s="85" t="s">
        <v>254</v>
      </c>
      <c r="L125" s="85" t="s">
        <v>254</v>
      </c>
      <c r="M125" s="85">
        <v>916.48137074556053</v>
      </c>
      <c r="N125" s="85" t="s">
        <v>254</v>
      </c>
      <c r="O125" s="85">
        <v>0</v>
      </c>
      <c r="P125" s="85">
        <v>0</v>
      </c>
      <c r="Q125" s="85">
        <v>0</v>
      </c>
      <c r="R125" s="85"/>
      <c r="S125" s="86"/>
    </row>
    <row r="126" spans="1:19" ht="15">
      <c r="A126" s="70">
        <v>6</v>
      </c>
      <c r="B126" s="94" t="str">
        <f t="shared" si="5"/>
        <v>356</v>
      </c>
      <c r="C126" s="72" t="s">
        <v>349</v>
      </c>
      <c r="D126" s="72" t="s">
        <v>344</v>
      </c>
      <c r="E126" s="85">
        <v>163428068.99999896</v>
      </c>
      <c r="F126" s="85" t="s">
        <v>254</v>
      </c>
      <c r="G126" s="85">
        <v>156208564.93100342</v>
      </c>
      <c r="H126" s="85" t="s">
        <v>254</v>
      </c>
      <c r="I126" s="85">
        <v>7218955.1635312764</v>
      </c>
      <c r="J126" s="85">
        <v>548.90546426513322</v>
      </c>
      <c r="K126" s="85" t="s">
        <v>254</v>
      </c>
      <c r="L126" s="85" t="s">
        <v>254</v>
      </c>
      <c r="M126" s="85">
        <v>548.90546426513322</v>
      </c>
      <c r="N126" s="85" t="s">
        <v>254</v>
      </c>
      <c r="O126" s="85">
        <v>0</v>
      </c>
      <c r="P126" s="85">
        <v>0</v>
      </c>
      <c r="Q126" s="85">
        <v>0</v>
      </c>
      <c r="R126" s="85"/>
      <c r="S126" s="86"/>
    </row>
    <row r="127" spans="1:19" ht="15">
      <c r="A127" s="70">
        <v>7</v>
      </c>
      <c r="B127" s="94" t="str">
        <f t="shared" si="5"/>
        <v>357</v>
      </c>
      <c r="C127" s="72" t="s">
        <v>350</v>
      </c>
      <c r="D127" s="72" t="s">
        <v>344</v>
      </c>
      <c r="E127" s="85">
        <v>447363.26</v>
      </c>
      <c r="F127" s="85" t="s">
        <v>254</v>
      </c>
      <c r="G127" s="85">
        <v>427600.79877989512</v>
      </c>
      <c r="H127" s="85" t="s">
        <v>254</v>
      </c>
      <c r="I127" s="85">
        <v>19760.958662194102</v>
      </c>
      <c r="J127" s="85">
        <v>1.5025579108168077</v>
      </c>
      <c r="K127" s="85" t="s">
        <v>254</v>
      </c>
      <c r="L127" s="85" t="s">
        <v>254</v>
      </c>
      <c r="M127" s="85">
        <v>1.5025579108168077</v>
      </c>
      <c r="N127" s="85" t="s">
        <v>254</v>
      </c>
      <c r="O127" s="85">
        <v>0</v>
      </c>
      <c r="P127" s="85">
        <v>0</v>
      </c>
      <c r="Q127" s="85">
        <v>0</v>
      </c>
      <c r="R127" s="85"/>
      <c r="S127" s="86"/>
    </row>
    <row r="128" spans="1:19" ht="15">
      <c r="A128" s="70">
        <v>8</v>
      </c>
      <c r="B128" s="94" t="str">
        <f t="shared" si="5"/>
        <v>358</v>
      </c>
      <c r="C128" s="72" t="s">
        <v>351</v>
      </c>
      <c r="D128" s="72" t="s">
        <v>344</v>
      </c>
      <c r="E128" s="85">
        <v>1113375.08</v>
      </c>
      <c r="F128" s="85" t="s">
        <v>254</v>
      </c>
      <c r="G128" s="85">
        <v>1064191.2649456945</v>
      </c>
      <c r="H128" s="85" t="s">
        <v>254</v>
      </c>
      <c r="I128" s="85">
        <v>49180.075564088685</v>
      </c>
      <c r="J128" s="85">
        <v>3.7394902168772113</v>
      </c>
      <c r="K128" s="85" t="s">
        <v>254</v>
      </c>
      <c r="L128" s="85" t="s">
        <v>254</v>
      </c>
      <c r="M128" s="85">
        <v>3.7394902168772113</v>
      </c>
      <c r="N128" s="85" t="s">
        <v>254</v>
      </c>
      <c r="O128" s="85">
        <v>0</v>
      </c>
      <c r="P128" s="85">
        <v>0</v>
      </c>
      <c r="Q128" s="85">
        <v>0</v>
      </c>
      <c r="R128" s="85"/>
      <c r="S128" s="86"/>
    </row>
    <row r="129" spans="1:19" ht="15">
      <c r="A129" s="70">
        <v>9</v>
      </c>
      <c r="B129" s="94" t="str">
        <f t="shared" si="5"/>
        <v>359</v>
      </c>
      <c r="C129" s="72" t="s">
        <v>352</v>
      </c>
      <c r="D129" s="72" t="s">
        <v>344</v>
      </c>
      <c r="E129" s="85">
        <v>413450.63</v>
      </c>
      <c r="F129" s="85" t="s">
        <v>254</v>
      </c>
      <c r="G129" s="85">
        <v>395186.27355328837</v>
      </c>
      <c r="H129" s="85" t="s">
        <v>254</v>
      </c>
      <c r="I129" s="85">
        <v>18262.967791070078</v>
      </c>
      <c r="J129" s="85">
        <v>1.3886556415891036</v>
      </c>
      <c r="K129" s="85" t="s">
        <v>254</v>
      </c>
      <c r="L129" s="85" t="s">
        <v>254</v>
      </c>
      <c r="M129" s="85">
        <v>1.3886556415891036</v>
      </c>
      <c r="N129" s="85" t="s">
        <v>254</v>
      </c>
      <c r="O129" s="85">
        <v>0</v>
      </c>
      <c r="P129" s="85">
        <v>0</v>
      </c>
      <c r="Q129" s="85">
        <v>0</v>
      </c>
      <c r="R129" s="85"/>
      <c r="S129" s="86"/>
    </row>
    <row r="130" spans="1:19" ht="15">
      <c r="A130" s="70">
        <v>10</v>
      </c>
      <c r="B130" s="70"/>
      <c r="C130" s="72" t="s">
        <v>314</v>
      </c>
      <c r="D130" s="72" t="s">
        <v>315</v>
      </c>
      <c r="E130" s="85">
        <v>3143920.8999999994</v>
      </c>
      <c r="F130" s="85" t="s">
        <v>254</v>
      </c>
      <c r="G130" s="85">
        <v>0</v>
      </c>
      <c r="H130" s="85" t="s">
        <v>254</v>
      </c>
      <c r="I130" s="85">
        <v>1024340.6848439464</v>
      </c>
      <c r="J130" s="85">
        <v>2119580.2151560532</v>
      </c>
      <c r="K130" s="85" t="s">
        <v>254</v>
      </c>
      <c r="L130" s="85" t="s">
        <v>254</v>
      </c>
      <c r="M130" s="85">
        <v>0</v>
      </c>
      <c r="N130" s="85" t="s">
        <v>254</v>
      </c>
      <c r="O130" s="85">
        <v>2119580.2151560532</v>
      </c>
      <c r="P130" s="85">
        <v>657830.54411459994</v>
      </c>
      <c r="Q130" s="85">
        <v>1461749.6710414535</v>
      </c>
      <c r="R130" s="85"/>
      <c r="S130" s="86"/>
    </row>
    <row r="131" spans="1:19" ht="15">
      <c r="A131" s="70">
        <v>11</v>
      </c>
      <c r="B131" s="70"/>
      <c r="C131" s="72" t="s">
        <v>316</v>
      </c>
      <c r="D131" s="72" t="s">
        <v>317</v>
      </c>
      <c r="E131" s="85">
        <v>1430766.6</v>
      </c>
      <c r="F131" s="85" t="s">
        <v>254</v>
      </c>
      <c r="G131" s="85">
        <v>0</v>
      </c>
      <c r="H131" s="85" t="s">
        <v>254</v>
      </c>
      <c r="I131" s="85">
        <v>0</v>
      </c>
      <c r="J131" s="85">
        <v>1430766.6</v>
      </c>
      <c r="K131" s="85" t="s">
        <v>254</v>
      </c>
      <c r="L131" s="85" t="s">
        <v>254</v>
      </c>
      <c r="M131" s="85">
        <v>0</v>
      </c>
      <c r="N131" s="85" t="s">
        <v>254</v>
      </c>
      <c r="O131" s="85">
        <v>1430766.6</v>
      </c>
      <c r="P131" s="85">
        <v>444051.1211837767</v>
      </c>
      <c r="Q131" s="85">
        <v>986715.47881622333</v>
      </c>
      <c r="R131" s="85"/>
      <c r="S131" s="86"/>
    </row>
    <row r="132" spans="1:19" ht="15">
      <c r="A132" s="70">
        <v>12</v>
      </c>
      <c r="B132" s="70"/>
      <c r="C132" s="72" t="s">
        <v>353</v>
      </c>
      <c r="D132" s="72" t="s">
        <v>254</v>
      </c>
      <c r="E132" s="85">
        <v>843440181.91999888</v>
      </c>
      <c r="F132" s="85" t="s">
        <v>254</v>
      </c>
      <c r="G132" s="85">
        <v>801808256.41087091</v>
      </c>
      <c r="H132" s="85" t="s">
        <v>254</v>
      </c>
      <c r="I132" s="85">
        <v>38078761.198443159</v>
      </c>
      <c r="J132" s="85">
        <v>3553164.3106847475</v>
      </c>
      <c r="K132" s="85" t="s">
        <v>254</v>
      </c>
      <c r="L132" s="85" t="s">
        <v>254</v>
      </c>
      <c r="M132" s="85">
        <v>2817.4955286941126</v>
      </c>
      <c r="N132" s="85" t="s">
        <v>254</v>
      </c>
      <c r="O132" s="85">
        <v>3550346.8151560533</v>
      </c>
      <c r="P132" s="85">
        <v>1101881.6652983767</v>
      </c>
      <c r="Q132" s="85">
        <v>2448465.1498576766</v>
      </c>
      <c r="R132" s="85"/>
      <c r="S132" s="86"/>
    </row>
    <row r="133" spans="1:19" ht="15">
      <c r="A133" s="70" t="s">
        <v>254</v>
      </c>
      <c r="B133" s="70"/>
      <c r="C133" s="72" t="s">
        <v>254</v>
      </c>
      <c r="D133" s="72" t="s">
        <v>254</v>
      </c>
      <c r="E133" s="85" t="s">
        <v>254</v>
      </c>
      <c r="F133" s="85" t="s">
        <v>254</v>
      </c>
      <c r="G133" s="85" t="s">
        <v>254</v>
      </c>
      <c r="H133" s="85" t="s">
        <v>254</v>
      </c>
      <c r="I133" s="85" t="s">
        <v>254</v>
      </c>
      <c r="J133" s="85" t="s">
        <v>254</v>
      </c>
      <c r="K133" s="85" t="s">
        <v>254</v>
      </c>
      <c r="L133" s="85" t="s">
        <v>254</v>
      </c>
      <c r="M133" s="85" t="s">
        <v>254</v>
      </c>
      <c r="N133" s="85" t="s">
        <v>254</v>
      </c>
      <c r="O133" s="85" t="s">
        <v>254</v>
      </c>
      <c r="P133" s="85" t="s">
        <v>254</v>
      </c>
      <c r="Q133" s="85" t="s">
        <v>254</v>
      </c>
      <c r="R133" s="85"/>
      <c r="S133" s="86"/>
    </row>
    <row r="134" spans="1:19" ht="15">
      <c r="A134" s="70" t="s">
        <v>254</v>
      </c>
      <c r="B134" s="70"/>
      <c r="C134" s="72" t="s">
        <v>354</v>
      </c>
      <c r="D134" s="72" t="s">
        <v>254</v>
      </c>
      <c r="E134" s="85" t="s">
        <v>254</v>
      </c>
      <c r="F134" s="85" t="s">
        <v>254</v>
      </c>
      <c r="G134" s="85" t="s">
        <v>254</v>
      </c>
      <c r="H134" s="85" t="s">
        <v>254</v>
      </c>
      <c r="I134" s="85" t="s">
        <v>254</v>
      </c>
      <c r="J134" s="85" t="s">
        <v>254</v>
      </c>
      <c r="K134" s="85" t="s">
        <v>254</v>
      </c>
      <c r="L134" s="85" t="s">
        <v>254</v>
      </c>
      <c r="M134" s="85" t="s">
        <v>254</v>
      </c>
      <c r="N134" s="85" t="s">
        <v>254</v>
      </c>
      <c r="O134" s="85" t="s">
        <v>254</v>
      </c>
      <c r="P134" s="85" t="s">
        <v>254</v>
      </c>
      <c r="Q134" s="85" t="s">
        <v>254</v>
      </c>
      <c r="R134" s="85"/>
      <c r="S134" s="86"/>
    </row>
    <row r="135" spans="1:19" ht="15">
      <c r="A135" s="70">
        <v>13</v>
      </c>
      <c r="B135" s="94" t="str">
        <f t="shared" ref="B135:B140" si="6">MID(C135,2,3)</f>
        <v>350</v>
      </c>
      <c r="C135" s="72" t="s">
        <v>343</v>
      </c>
      <c r="D135" s="72" t="s">
        <v>355</v>
      </c>
      <c r="E135" s="85">
        <v>1883960.9700000002</v>
      </c>
      <c r="F135" s="85" t="s">
        <v>254</v>
      </c>
      <c r="G135" s="85">
        <v>0</v>
      </c>
      <c r="H135" s="85" t="s">
        <v>254</v>
      </c>
      <c r="I135" s="85">
        <v>1883960.9700000002</v>
      </c>
      <c r="J135" s="85">
        <v>0</v>
      </c>
      <c r="K135" s="85" t="s">
        <v>254</v>
      </c>
      <c r="L135" s="85" t="s">
        <v>254</v>
      </c>
      <c r="M135" s="85">
        <v>0</v>
      </c>
      <c r="N135" s="85" t="s">
        <v>254</v>
      </c>
      <c r="O135" s="85">
        <v>0</v>
      </c>
      <c r="P135" s="85">
        <v>0</v>
      </c>
      <c r="Q135" s="85">
        <v>0</v>
      </c>
      <c r="R135" s="85"/>
      <c r="S135" s="86"/>
    </row>
    <row r="136" spans="1:19" ht="15">
      <c r="A136" s="70">
        <v>14</v>
      </c>
      <c r="B136" s="94" t="str">
        <f t="shared" si="6"/>
        <v>352</v>
      </c>
      <c r="C136" s="72" t="s">
        <v>345</v>
      </c>
      <c r="D136" s="72" t="s">
        <v>355</v>
      </c>
      <c r="E136" s="85">
        <v>1617917.16</v>
      </c>
      <c r="F136" s="85" t="s">
        <v>254</v>
      </c>
      <c r="G136" s="85">
        <v>0</v>
      </c>
      <c r="H136" s="85" t="s">
        <v>254</v>
      </c>
      <c r="I136" s="85">
        <v>1617917.16</v>
      </c>
      <c r="J136" s="85">
        <v>0</v>
      </c>
      <c r="K136" s="85" t="s">
        <v>254</v>
      </c>
      <c r="L136" s="85" t="s">
        <v>254</v>
      </c>
      <c r="M136" s="85">
        <v>0</v>
      </c>
      <c r="N136" s="85" t="s">
        <v>254</v>
      </c>
      <c r="O136" s="85">
        <v>0</v>
      </c>
      <c r="P136" s="85">
        <v>0</v>
      </c>
      <c r="Q136" s="85">
        <v>0</v>
      </c>
      <c r="R136" s="85"/>
      <c r="S136" s="86"/>
    </row>
    <row r="137" spans="1:19" ht="15">
      <c r="A137" s="70">
        <v>15</v>
      </c>
      <c r="B137" s="94" t="str">
        <f t="shared" si="6"/>
        <v>353</v>
      </c>
      <c r="C137" s="72" t="s">
        <v>346</v>
      </c>
      <c r="D137" s="72" t="s">
        <v>355</v>
      </c>
      <c r="E137" s="85">
        <v>22163206.120000001</v>
      </c>
      <c r="F137" s="85" t="s">
        <v>254</v>
      </c>
      <c r="G137" s="85">
        <v>0</v>
      </c>
      <c r="H137" s="85" t="s">
        <v>254</v>
      </c>
      <c r="I137" s="85">
        <v>22163206.120000001</v>
      </c>
      <c r="J137" s="85">
        <v>0</v>
      </c>
      <c r="K137" s="85" t="s">
        <v>254</v>
      </c>
      <c r="L137" s="85" t="s">
        <v>254</v>
      </c>
      <c r="M137" s="85">
        <v>0</v>
      </c>
      <c r="N137" s="85" t="s">
        <v>254</v>
      </c>
      <c r="O137" s="85">
        <v>0</v>
      </c>
      <c r="P137" s="85">
        <v>0</v>
      </c>
      <c r="Q137" s="85">
        <v>0</v>
      </c>
      <c r="R137" s="85"/>
      <c r="S137" s="86"/>
    </row>
    <row r="138" spans="1:19" ht="15">
      <c r="A138" s="70">
        <v>16</v>
      </c>
      <c r="B138" s="94" t="str">
        <f t="shared" si="6"/>
        <v>354</v>
      </c>
      <c r="C138" s="72" t="s">
        <v>347</v>
      </c>
      <c r="D138" s="72" t="s">
        <v>355</v>
      </c>
      <c r="E138" s="85">
        <v>2411758.4300000006</v>
      </c>
      <c r="F138" s="85" t="s">
        <v>254</v>
      </c>
      <c r="G138" s="85">
        <v>0</v>
      </c>
      <c r="H138" s="85" t="s">
        <v>254</v>
      </c>
      <c r="I138" s="85">
        <v>2411758.4300000006</v>
      </c>
      <c r="J138" s="85">
        <v>0</v>
      </c>
      <c r="K138" s="85" t="s">
        <v>254</v>
      </c>
      <c r="L138" s="85" t="s">
        <v>254</v>
      </c>
      <c r="M138" s="85">
        <v>0</v>
      </c>
      <c r="N138" s="85" t="s">
        <v>254</v>
      </c>
      <c r="O138" s="85">
        <v>0</v>
      </c>
      <c r="P138" s="85">
        <v>0</v>
      </c>
      <c r="Q138" s="85">
        <v>0</v>
      </c>
      <c r="R138" s="85"/>
      <c r="S138" s="86"/>
    </row>
    <row r="139" spans="1:19" ht="15">
      <c r="A139" s="70">
        <v>17</v>
      </c>
      <c r="B139" s="94" t="str">
        <f t="shared" si="6"/>
        <v>355</v>
      </c>
      <c r="C139" s="72" t="s">
        <v>348</v>
      </c>
      <c r="D139" s="72" t="s">
        <v>355</v>
      </c>
      <c r="E139" s="85">
        <v>12278705.129999997</v>
      </c>
      <c r="F139" s="85" t="s">
        <v>254</v>
      </c>
      <c r="G139" s="85">
        <v>0</v>
      </c>
      <c r="H139" s="85" t="s">
        <v>254</v>
      </c>
      <c r="I139" s="85">
        <v>12278705.129999997</v>
      </c>
      <c r="J139" s="85">
        <v>0</v>
      </c>
      <c r="K139" s="85" t="s">
        <v>254</v>
      </c>
      <c r="L139" s="85" t="s">
        <v>254</v>
      </c>
      <c r="M139" s="85">
        <v>0</v>
      </c>
      <c r="N139" s="85" t="s">
        <v>254</v>
      </c>
      <c r="O139" s="85">
        <v>0</v>
      </c>
      <c r="P139" s="85">
        <v>0</v>
      </c>
      <c r="Q139" s="85">
        <v>0</v>
      </c>
      <c r="R139" s="85"/>
      <c r="S139" s="86"/>
    </row>
    <row r="140" spans="1:19" ht="15">
      <c r="A140" s="70">
        <v>18</v>
      </c>
      <c r="B140" s="94" t="str">
        <f t="shared" si="6"/>
        <v>356</v>
      </c>
      <c r="C140" s="72" t="s">
        <v>349</v>
      </c>
      <c r="D140" s="72" t="s">
        <v>355</v>
      </c>
      <c r="E140" s="85">
        <v>14228936.329999996</v>
      </c>
      <c r="F140" s="85" t="s">
        <v>254</v>
      </c>
      <c r="G140" s="85">
        <v>0</v>
      </c>
      <c r="H140" s="85" t="s">
        <v>254</v>
      </c>
      <c r="I140" s="85">
        <v>14228936.329999996</v>
      </c>
      <c r="J140" s="85">
        <v>0</v>
      </c>
      <c r="K140" s="85" t="s">
        <v>254</v>
      </c>
      <c r="L140" s="85" t="s">
        <v>254</v>
      </c>
      <c r="M140" s="85">
        <v>0</v>
      </c>
      <c r="N140" s="85" t="s">
        <v>254</v>
      </c>
      <c r="O140" s="85">
        <v>0</v>
      </c>
      <c r="P140" s="85">
        <v>0</v>
      </c>
      <c r="Q140" s="85">
        <v>0</v>
      </c>
      <c r="R140" s="85"/>
      <c r="S140" s="86"/>
    </row>
    <row r="141" spans="1:19" ht="15">
      <c r="A141" s="70">
        <v>19</v>
      </c>
      <c r="B141" s="70"/>
      <c r="C141" s="72" t="s">
        <v>314</v>
      </c>
      <c r="D141" s="72" t="s">
        <v>355</v>
      </c>
      <c r="E141" s="85">
        <v>323.90000000000003</v>
      </c>
      <c r="F141" s="85" t="s">
        <v>254</v>
      </c>
      <c r="G141" s="85">
        <v>0</v>
      </c>
      <c r="H141" s="85" t="s">
        <v>254</v>
      </c>
      <c r="I141" s="85">
        <v>323.90000000000003</v>
      </c>
      <c r="J141" s="85">
        <v>0</v>
      </c>
      <c r="K141" s="85" t="s">
        <v>254</v>
      </c>
      <c r="L141" s="85" t="s">
        <v>254</v>
      </c>
      <c r="M141" s="85">
        <v>0</v>
      </c>
      <c r="N141" s="85" t="s">
        <v>254</v>
      </c>
      <c r="O141" s="85">
        <v>0</v>
      </c>
      <c r="P141" s="85">
        <v>0</v>
      </c>
      <c r="Q141" s="85">
        <v>0</v>
      </c>
      <c r="R141" s="85"/>
      <c r="S141" s="86"/>
    </row>
    <row r="142" spans="1:19" ht="15">
      <c r="A142" s="70">
        <v>20</v>
      </c>
      <c r="B142" s="70"/>
      <c r="C142" s="72" t="s">
        <v>316</v>
      </c>
      <c r="D142" s="72" t="s">
        <v>355</v>
      </c>
      <c r="E142" s="85">
        <v>4331.8999999999996</v>
      </c>
      <c r="F142" s="85" t="s">
        <v>254</v>
      </c>
      <c r="G142" s="85">
        <v>0</v>
      </c>
      <c r="H142" s="85" t="s">
        <v>254</v>
      </c>
      <c r="I142" s="85">
        <v>4331.8999999999996</v>
      </c>
      <c r="J142" s="85">
        <v>0</v>
      </c>
      <c r="K142" s="85" t="s">
        <v>254</v>
      </c>
      <c r="L142" s="85" t="s">
        <v>254</v>
      </c>
      <c r="M142" s="85">
        <v>0</v>
      </c>
      <c r="N142" s="85" t="s">
        <v>254</v>
      </c>
      <c r="O142" s="85">
        <v>0</v>
      </c>
      <c r="P142" s="85">
        <v>0</v>
      </c>
      <c r="Q142" s="85">
        <v>0</v>
      </c>
      <c r="R142" s="85"/>
      <c r="S142" s="86"/>
    </row>
    <row r="143" spans="1:19" ht="15">
      <c r="A143" s="70">
        <v>21</v>
      </c>
      <c r="B143" s="70"/>
      <c r="C143" s="72" t="s">
        <v>356</v>
      </c>
      <c r="D143" s="72" t="s">
        <v>254</v>
      </c>
      <c r="E143" s="85">
        <v>54589139.93999999</v>
      </c>
      <c r="F143" s="85" t="s">
        <v>254</v>
      </c>
      <c r="G143" s="85">
        <v>0</v>
      </c>
      <c r="H143" s="85" t="s">
        <v>254</v>
      </c>
      <c r="I143" s="85">
        <v>54589139.93999999</v>
      </c>
      <c r="J143" s="85">
        <v>0</v>
      </c>
      <c r="K143" s="85" t="s">
        <v>254</v>
      </c>
      <c r="L143" s="85" t="s">
        <v>254</v>
      </c>
      <c r="M143" s="85">
        <v>0</v>
      </c>
      <c r="N143" s="85" t="s">
        <v>254</v>
      </c>
      <c r="O143" s="85">
        <v>0</v>
      </c>
      <c r="P143" s="85">
        <v>0</v>
      </c>
      <c r="Q143" s="85">
        <v>0</v>
      </c>
      <c r="R143" s="85"/>
      <c r="S143" s="86"/>
    </row>
    <row r="144" spans="1:19" ht="15">
      <c r="A144" s="70" t="s">
        <v>254</v>
      </c>
      <c r="B144" s="70"/>
      <c r="C144" s="72" t="s">
        <v>254</v>
      </c>
      <c r="D144" s="72" t="s">
        <v>254</v>
      </c>
      <c r="E144" s="85" t="s">
        <v>254</v>
      </c>
      <c r="F144" s="85" t="s">
        <v>254</v>
      </c>
      <c r="G144" s="85" t="s">
        <v>254</v>
      </c>
      <c r="H144" s="85" t="s">
        <v>254</v>
      </c>
      <c r="I144" s="85" t="s">
        <v>254</v>
      </c>
      <c r="J144" s="85" t="s">
        <v>254</v>
      </c>
      <c r="K144" s="85" t="s">
        <v>254</v>
      </c>
      <c r="L144" s="85" t="s">
        <v>254</v>
      </c>
      <c r="M144" s="85" t="s">
        <v>254</v>
      </c>
      <c r="N144" s="85" t="s">
        <v>254</v>
      </c>
      <c r="O144" s="85" t="s">
        <v>254</v>
      </c>
      <c r="P144" s="85" t="s">
        <v>254</v>
      </c>
      <c r="Q144" s="85" t="s">
        <v>254</v>
      </c>
      <c r="R144" s="85"/>
      <c r="S144" s="86"/>
    </row>
    <row r="145" spans="1:19" ht="15">
      <c r="A145" s="70" t="s">
        <v>254</v>
      </c>
      <c r="B145" s="70"/>
      <c r="C145" s="72" t="s">
        <v>357</v>
      </c>
      <c r="D145" s="72" t="s">
        <v>254</v>
      </c>
      <c r="E145" s="85" t="s">
        <v>254</v>
      </c>
      <c r="F145" s="85" t="s">
        <v>254</v>
      </c>
      <c r="G145" s="85" t="s">
        <v>254</v>
      </c>
      <c r="H145" s="85" t="s">
        <v>254</v>
      </c>
      <c r="I145" s="85" t="s">
        <v>254</v>
      </c>
      <c r="J145" s="85" t="s">
        <v>254</v>
      </c>
      <c r="K145" s="85" t="s">
        <v>254</v>
      </c>
      <c r="L145" s="85" t="s">
        <v>254</v>
      </c>
      <c r="M145" s="85" t="s">
        <v>254</v>
      </c>
      <c r="N145" s="85" t="s">
        <v>254</v>
      </c>
      <c r="O145" s="85" t="s">
        <v>254</v>
      </c>
      <c r="P145" s="85" t="s">
        <v>254</v>
      </c>
      <c r="Q145" s="85" t="s">
        <v>254</v>
      </c>
      <c r="R145" s="85"/>
      <c r="S145" s="86"/>
    </row>
    <row r="146" spans="1:19" ht="15">
      <c r="A146" s="70">
        <v>22</v>
      </c>
      <c r="B146" s="94" t="str">
        <f t="shared" ref="B146:B149" si="7">MID(C146,2,3)</f>
        <v>350</v>
      </c>
      <c r="C146" s="72" t="s">
        <v>343</v>
      </c>
      <c r="D146" s="72" t="s">
        <v>358</v>
      </c>
      <c r="E146" s="85">
        <v>280370.75</v>
      </c>
      <c r="F146" s="85" t="s">
        <v>254</v>
      </c>
      <c r="G146" s="85">
        <v>280369.76480116672</v>
      </c>
      <c r="H146" s="85" t="s">
        <v>254</v>
      </c>
      <c r="I146" s="85">
        <v>0</v>
      </c>
      <c r="J146" s="85">
        <v>0.9851988332526197</v>
      </c>
      <c r="K146" s="85" t="s">
        <v>254</v>
      </c>
      <c r="L146" s="85" t="s">
        <v>254</v>
      </c>
      <c r="M146" s="85">
        <v>0.9851988332526197</v>
      </c>
      <c r="N146" s="85" t="s">
        <v>254</v>
      </c>
      <c r="O146" s="85">
        <v>0</v>
      </c>
      <c r="P146" s="85">
        <v>0</v>
      </c>
      <c r="Q146" s="85">
        <v>0</v>
      </c>
      <c r="R146" s="85"/>
      <c r="S146" s="86"/>
    </row>
    <row r="147" spans="1:19" ht="15">
      <c r="A147" s="70">
        <v>23</v>
      </c>
      <c r="B147" s="94" t="str">
        <f t="shared" si="7"/>
        <v>354</v>
      </c>
      <c r="C147" s="72" t="s">
        <v>347</v>
      </c>
      <c r="D147" s="72" t="s">
        <v>358</v>
      </c>
      <c r="E147" s="85">
        <v>4769322.8699999992</v>
      </c>
      <c r="F147" s="85" t="s">
        <v>254</v>
      </c>
      <c r="G147" s="85">
        <v>4769306.1110073905</v>
      </c>
      <c r="H147" s="85" t="s">
        <v>254</v>
      </c>
      <c r="I147" s="85">
        <v>0</v>
      </c>
      <c r="J147" s="85">
        <v>16.75899260864065</v>
      </c>
      <c r="K147" s="85" t="s">
        <v>254</v>
      </c>
      <c r="L147" s="85" t="s">
        <v>254</v>
      </c>
      <c r="M147" s="85">
        <v>16.75899260864065</v>
      </c>
      <c r="N147" s="85" t="s">
        <v>254</v>
      </c>
      <c r="O147" s="85">
        <v>0</v>
      </c>
      <c r="P147" s="85">
        <v>0</v>
      </c>
      <c r="Q147" s="85">
        <v>0</v>
      </c>
      <c r="R147" s="85"/>
      <c r="S147" s="86"/>
    </row>
    <row r="148" spans="1:19" ht="15">
      <c r="A148" s="70">
        <v>24</v>
      </c>
      <c r="B148" s="94" t="str">
        <f t="shared" si="7"/>
        <v>355</v>
      </c>
      <c r="C148" s="72" t="s">
        <v>348</v>
      </c>
      <c r="D148" s="72" t="s">
        <v>358</v>
      </c>
      <c r="E148" s="85">
        <v>51357.979999999996</v>
      </c>
      <c r="F148" s="85" t="s">
        <v>254</v>
      </c>
      <c r="G148" s="85">
        <v>51357.799532451318</v>
      </c>
      <c r="H148" s="85" t="s">
        <v>254</v>
      </c>
      <c r="I148" s="85">
        <v>0</v>
      </c>
      <c r="J148" s="85">
        <v>0.18046754868049317</v>
      </c>
      <c r="K148" s="85" t="s">
        <v>254</v>
      </c>
      <c r="L148" s="85" t="s">
        <v>254</v>
      </c>
      <c r="M148" s="85">
        <v>0.18046754868049317</v>
      </c>
      <c r="N148" s="85" t="s">
        <v>254</v>
      </c>
      <c r="O148" s="85">
        <v>0</v>
      </c>
      <c r="P148" s="85">
        <v>0</v>
      </c>
      <c r="Q148" s="85">
        <v>0</v>
      </c>
      <c r="R148" s="85"/>
      <c r="S148" s="86"/>
    </row>
    <row r="149" spans="1:19" ht="15">
      <c r="A149" s="70">
        <v>25</v>
      </c>
      <c r="B149" s="94" t="str">
        <f t="shared" si="7"/>
        <v>356</v>
      </c>
      <c r="C149" s="72" t="s">
        <v>349</v>
      </c>
      <c r="D149" s="72" t="s">
        <v>358</v>
      </c>
      <c r="E149" s="85">
        <v>3129377.81</v>
      </c>
      <c r="F149" s="85" t="s">
        <v>254</v>
      </c>
      <c r="G149" s="85">
        <v>3129366.8136340552</v>
      </c>
      <c r="H149" s="85" t="s">
        <v>254</v>
      </c>
      <c r="I149" s="85">
        <v>0</v>
      </c>
      <c r="J149" s="85">
        <v>10.996365944802154</v>
      </c>
      <c r="K149" s="85" t="s">
        <v>254</v>
      </c>
      <c r="L149" s="85" t="s">
        <v>254</v>
      </c>
      <c r="M149" s="85">
        <v>10.996365944802154</v>
      </c>
      <c r="N149" s="85" t="s">
        <v>254</v>
      </c>
      <c r="O149" s="85">
        <v>0</v>
      </c>
      <c r="P149" s="85">
        <v>0</v>
      </c>
      <c r="Q149" s="85">
        <v>0</v>
      </c>
      <c r="R149" s="85"/>
      <c r="S149" s="86"/>
    </row>
    <row r="150" spans="1:19" ht="15">
      <c r="A150" s="70">
        <v>26</v>
      </c>
      <c r="B150" s="70"/>
      <c r="C150" s="72" t="s">
        <v>314</v>
      </c>
      <c r="D150" s="72" t="s">
        <v>315</v>
      </c>
      <c r="E150" s="85">
        <v>0</v>
      </c>
      <c r="F150" s="85" t="s">
        <v>254</v>
      </c>
      <c r="G150" s="85">
        <v>0</v>
      </c>
      <c r="H150" s="85" t="s">
        <v>254</v>
      </c>
      <c r="I150" s="85">
        <v>0</v>
      </c>
      <c r="J150" s="85">
        <v>0</v>
      </c>
      <c r="K150" s="85" t="s">
        <v>254</v>
      </c>
      <c r="L150" s="85" t="s">
        <v>254</v>
      </c>
      <c r="M150" s="85">
        <v>0</v>
      </c>
      <c r="N150" s="85" t="s">
        <v>254</v>
      </c>
      <c r="O150" s="85">
        <v>0</v>
      </c>
      <c r="P150" s="85">
        <v>0</v>
      </c>
      <c r="Q150" s="85">
        <v>0</v>
      </c>
      <c r="R150" s="85"/>
      <c r="S150" s="86"/>
    </row>
    <row r="151" spans="1:19" ht="15">
      <c r="A151" s="70">
        <v>27</v>
      </c>
      <c r="B151" s="70"/>
      <c r="C151" s="72" t="s">
        <v>316</v>
      </c>
      <c r="D151" s="72" t="s">
        <v>317</v>
      </c>
      <c r="E151" s="85">
        <v>0</v>
      </c>
      <c r="F151" s="85" t="s">
        <v>254</v>
      </c>
      <c r="G151" s="85">
        <v>0</v>
      </c>
      <c r="H151" s="85" t="s">
        <v>254</v>
      </c>
      <c r="I151" s="85">
        <v>0</v>
      </c>
      <c r="J151" s="85">
        <v>0</v>
      </c>
      <c r="K151" s="85" t="s">
        <v>254</v>
      </c>
      <c r="L151" s="85" t="s">
        <v>254</v>
      </c>
      <c r="M151" s="85">
        <v>0</v>
      </c>
      <c r="N151" s="85" t="s">
        <v>254</v>
      </c>
      <c r="O151" s="85">
        <v>0</v>
      </c>
      <c r="P151" s="85">
        <v>0</v>
      </c>
      <c r="Q151" s="85">
        <v>0</v>
      </c>
      <c r="R151" s="85"/>
      <c r="S151" s="86"/>
    </row>
    <row r="152" spans="1:19" ht="15">
      <c r="A152" s="70">
        <v>28</v>
      </c>
      <c r="B152" s="70"/>
      <c r="C152" s="72" t="s">
        <v>359</v>
      </c>
      <c r="D152" s="72" t="s">
        <v>254</v>
      </c>
      <c r="E152" s="85">
        <v>8230429.4100000001</v>
      </c>
      <c r="F152" s="85" t="s">
        <v>254</v>
      </c>
      <c r="G152" s="85">
        <v>8230400.4889750648</v>
      </c>
      <c r="H152" s="85" t="s">
        <v>254</v>
      </c>
      <c r="I152" s="85">
        <v>0</v>
      </c>
      <c r="J152" s="85">
        <v>28.921024935375918</v>
      </c>
      <c r="K152" s="85" t="s">
        <v>254</v>
      </c>
      <c r="L152" s="85" t="s">
        <v>254</v>
      </c>
      <c r="M152" s="85">
        <v>28.921024935375918</v>
      </c>
      <c r="N152" s="85" t="s">
        <v>254</v>
      </c>
      <c r="O152" s="85">
        <v>0</v>
      </c>
      <c r="P152" s="85">
        <v>0</v>
      </c>
      <c r="Q152" s="85">
        <v>0</v>
      </c>
      <c r="R152" s="85"/>
      <c r="S152" s="86"/>
    </row>
    <row r="153" spans="1:19" ht="15">
      <c r="A153" s="70" t="s">
        <v>254</v>
      </c>
      <c r="B153" s="70"/>
      <c r="C153" s="72" t="s">
        <v>254</v>
      </c>
      <c r="D153" s="72" t="s">
        <v>254</v>
      </c>
      <c r="E153" s="85" t="s">
        <v>254</v>
      </c>
      <c r="F153" s="85" t="s">
        <v>254</v>
      </c>
      <c r="G153" s="85" t="s">
        <v>254</v>
      </c>
      <c r="H153" s="85" t="s">
        <v>254</v>
      </c>
      <c r="I153" s="85" t="s">
        <v>254</v>
      </c>
      <c r="J153" s="85" t="s">
        <v>254</v>
      </c>
      <c r="K153" s="85" t="s">
        <v>254</v>
      </c>
      <c r="L153" s="85" t="s">
        <v>254</v>
      </c>
      <c r="M153" s="85" t="s">
        <v>254</v>
      </c>
      <c r="N153" s="85" t="s">
        <v>254</v>
      </c>
      <c r="O153" s="85" t="s">
        <v>254</v>
      </c>
      <c r="P153" s="85" t="s">
        <v>254</v>
      </c>
      <c r="Q153" s="85" t="s">
        <v>254</v>
      </c>
      <c r="R153" s="85"/>
      <c r="S153" s="86"/>
    </row>
    <row r="154" spans="1:19" ht="15">
      <c r="A154" s="70">
        <v>29</v>
      </c>
      <c r="B154" s="70"/>
      <c r="C154" s="72" t="s">
        <v>360</v>
      </c>
      <c r="D154" s="72" t="s">
        <v>254</v>
      </c>
      <c r="E154" s="85">
        <v>906259751.26999879</v>
      </c>
      <c r="F154" s="85" t="s">
        <v>254</v>
      </c>
      <c r="G154" s="85">
        <v>810038656.89984596</v>
      </c>
      <c r="H154" s="85" t="s">
        <v>254</v>
      </c>
      <c r="I154" s="85">
        <v>92667901.138443142</v>
      </c>
      <c r="J154" s="85">
        <v>3553193.2317096828</v>
      </c>
      <c r="K154" s="85" t="s">
        <v>254</v>
      </c>
      <c r="L154" s="85" t="s">
        <v>254</v>
      </c>
      <c r="M154" s="85">
        <v>2846.4165536294886</v>
      </c>
      <c r="N154" s="85" t="s">
        <v>254</v>
      </c>
      <c r="O154" s="85">
        <v>3550346.8151560533</v>
      </c>
      <c r="P154" s="85">
        <v>1101881.6652983767</v>
      </c>
      <c r="Q154" s="85">
        <v>2448465.1498576766</v>
      </c>
      <c r="R154" s="85"/>
      <c r="S154" s="86"/>
    </row>
    <row r="155" spans="1:19" ht="15">
      <c r="A155" s="70" t="s">
        <v>254</v>
      </c>
      <c r="B155" s="70"/>
      <c r="C155" s="72" t="s">
        <v>254</v>
      </c>
      <c r="D155" s="72" t="s">
        <v>254</v>
      </c>
      <c r="E155" s="85" t="s">
        <v>254</v>
      </c>
      <c r="F155" s="85" t="s">
        <v>254</v>
      </c>
      <c r="G155" s="85" t="s">
        <v>254</v>
      </c>
      <c r="H155" s="85" t="s">
        <v>254</v>
      </c>
      <c r="I155" s="85" t="s">
        <v>254</v>
      </c>
      <c r="J155" s="85" t="s">
        <v>254</v>
      </c>
      <c r="K155" s="85" t="s">
        <v>254</v>
      </c>
      <c r="L155" s="85" t="s">
        <v>254</v>
      </c>
      <c r="M155" s="85" t="s">
        <v>254</v>
      </c>
      <c r="N155" s="85" t="s">
        <v>254</v>
      </c>
      <c r="O155" s="85" t="s">
        <v>254</v>
      </c>
      <c r="P155" s="85" t="s">
        <v>254</v>
      </c>
      <c r="Q155" s="85" t="s">
        <v>254</v>
      </c>
      <c r="R155" s="85"/>
      <c r="S155" s="86"/>
    </row>
    <row r="156" spans="1:19" ht="15">
      <c r="A156" s="70" t="s">
        <v>254</v>
      </c>
      <c r="B156" s="70"/>
      <c r="C156" s="72" t="s">
        <v>340</v>
      </c>
      <c r="D156" s="72" t="s">
        <v>254</v>
      </c>
      <c r="E156" s="85" t="s">
        <v>254</v>
      </c>
      <c r="F156" s="85" t="s">
        <v>254</v>
      </c>
      <c r="G156" s="85" t="s">
        <v>254</v>
      </c>
      <c r="H156" s="85" t="s">
        <v>254</v>
      </c>
      <c r="I156" s="85" t="s">
        <v>254</v>
      </c>
      <c r="J156" s="85" t="s">
        <v>254</v>
      </c>
      <c r="K156" s="85" t="s">
        <v>254</v>
      </c>
      <c r="L156" s="85" t="s">
        <v>254</v>
      </c>
      <c r="M156" s="85" t="s">
        <v>254</v>
      </c>
      <c r="N156" s="85" t="s">
        <v>254</v>
      </c>
      <c r="O156" s="85" t="s">
        <v>254</v>
      </c>
      <c r="P156" s="85" t="s">
        <v>254</v>
      </c>
      <c r="Q156" s="85" t="s">
        <v>254</v>
      </c>
      <c r="R156" s="85"/>
      <c r="S156" s="86"/>
    </row>
    <row r="157" spans="1:19" ht="15">
      <c r="A157" s="70" t="s">
        <v>254</v>
      </c>
      <c r="B157" s="70"/>
      <c r="C157" s="72" t="s">
        <v>254</v>
      </c>
      <c r="D157" s="72" t="s">
        <v>254</v>
      </c>
      <c r="E157" s="85" t="s">
        <v>254</v>
      </c>
      <c r="F157" s="85" t="s">
        <v>254</v>
      </c>
      <c r="G157" s="85" t="s">
        <v>254</v>
      </c>
      <c r="H157" s="85" t="s">
        <v>254</v>
      </c>
      <c r="I157" s="85" t="s">
        <v>254</v>
      </c>
      <c r="J157" s="85" t="s">
        <v>254</v>
      </c>
      <c r="K157" s="85" t="s">
        <v>254</v>
      </c>
      <c r="L157" s="85" t="s">
        <v>254</v>
      </c>
      <c r="M157" s="85" t="s">
        <v>254</v>
      </c>
      <c r="N157" s="85" t="s">
        <v>254</v>
      </c>
      <c r="O157" s="85" t="s">
        <v>254</v>
      </c>
      <c r="P157" s="85" t="s">
        <v>254</v>
      </c>
      <c r="Q157" s="85" t="s">
        <v>254</v>
      </c>
      <c r="R157" s="85"/>
      <c r="S157" s="86"/>
    </row>
    <row r="158" spans="1:19" ht="15">
      <c r="A158" s="70" t="s">
        <v>254</v>
      </c>
      <c r="B158" s="70"/>
      <c r="C158" s="72" t="s">
        <v>361</v>
      </c>
      <c r="D158" s="72" t="s">
        <v>254</v>
      </c>
      <c r="E158" s="85" t="s">
        <v>254</v>
      </c>
      <c r="F158" s="85" t="s">
        <v>254</v>
      </c>
      <c r="G158" s="85" t="s">
        <v>254</v>
      </c>
      <c r="H158" s="85" t="s">
        <v>254</v>
      </c>
      <c r="I158" s="85" t="s">
        <v>254</v>
      </c>
      <c r="J158" s="85" t="s">
        <v>254</v>
      </c>
      <c r="K158" s="85" t="s">
        <v>254</v>
      </c>
      <c r="L158" s="85" t="s">
        <v>254</v>
      </c>
      <c r="M158" s="85" t="s">
        <v>254</v>
      </c>
      <c r="N158" s="85" t="s">
        <v>254</v>
      </c>
      <c r="O158" s="85" t="s">
        <v>254</v>
      </c>
      <c r="P158" s="85" t="s">
        <v>254</v>
      </c>
      <c r="Q158" s="85" t="s">
        <v>254</v>
      </c>
      <c r="R158" s="85"/>
      <c r="S158" s="86"/>
    </row>
    <row r="159" spans="1:19" ht="15">
      <c r="A159" s="70" t="s">
        <v>254</v>
      </c>
      <c r="B159" s="70"/>
      <c r="C159" s="72" t="s">
        <v>362</v>
      </c>
      <c r="D159" s="72" t="s">
        <v>254</v>
      </c>
      <c r="E159" s="85" t="s">
        <v>254</v>
      </c>
      <c r="F159" s="85" t="s">
        <v>254</v>
      </c>
      <c r="G159" s="85" t="s">
        <v>254</v>
      </c>
      <c r="H159" s="85" t="s">
        <v>254</v>
      </c>
      <c r="I159" s="85" t="s">
        <v>254</v>
      </c>
      <c r="J159" s="85" t="s">
        <v>254</v>
      </c>
      <c r="K159" s="85" t="s">
        <v>254</v>
      </c>
      <c r="L159" s="85" t="s">
        <v>254</v>
      </c>
      <c r="M159" s="85" t="s">
        <v>254</v>
      </c>
      <c r="N159" s="85" t="s">
        <v>254</v>
      </c>
      <c r="O159" s="85" t="s">
        <v>254</v>
      </c>
      <c r="P159" s="85" t="s">
        <v>254</v>
      </c>
      <c r="Q159" s="85" t="s">
        <v>254</v>
      </c>
      <c r="R159" s="85"/>
      <c r="S159" s="86"/>
    </row>
    <row r="160" spans="1:19" ht="15">
      <c r="A160" s="70">
        <v>1</v>
      </c>
      <c r="B160" s="94" t="str">
        <f t="shared" ref="B160:B166" si="8">MID(C160,2,3)</f>
        <v>360</v>
      </c>
      <c r="C160" s="72" t="s">
        <v>363</v>
      </c>
      <c r="D160" s="72" t="s">
        <v>364</v>
      </c>
      <c r="E160" s="85">
        <v>8277755.1899999902</v>
      </c>
      <c r="F160" s="85" t="s">
        <v>254</v>
      </c>
      <c r="G160" s="85">
        <v>8268598.1899999902</v>
      </c>
      <c r="H160" s="85" t="s">
        <v>254</v>
      </c>
      <c r="I160" s="85">
        <v>0</v>
      </c>
      <c r="J160" s="85">
        <v>9157</v>
      </c>
      <c r="K160" s="85" t="s">
        <v>254</v>
      </c>
      <c r="L160" s="85" t="s">
        <v>254</v>
      </c>
      <c r="M160" s="85">
        <v>0</v>
      </c>
      <c r="N160" s="85" t="s">
        <v>254</v>
      </c>
      <c r="O160" s="85">
        <v>9157</v>
      </c>
      <c r="P160" s="85">
        <v>9157</v>
      </c>
      <c r="Q160" s="85">
        <v>0</v>
      </c>
      <c r="R160" s="85"/>
      <c r="S160" s="86"/>
    </row>
    <row r="161" spans="1:19" ht="15">
      <c r="A161" s="70">
        <v>2</v>
      </c>
      <c r="B161" s="94" t="str">
        <f t="shared" si="8"/>
        <v>361</v>
      </c>
      <c r="C161" s="72" t="s">
        <v>365</v>
      </c>
      <c r="D161" s="72" t="s">
        <v>366</v>
      </c>
      <c r="E161" s="85">
        <v>12013416.15</v>
      </c>
      <c r="F161" s="85" t="s">
        <v>254</v>
      </c>
      <c r="G161" s="85">
        <v>11661225.15</v>
      </c>
      <c r="H161" s="85" t="s">
        <v>254</v>
      </c>
      <c r="I161" s="85">
        <v>0</v>
      </c>
      <c r="J161" s="85">
        <v>352191</v>
      </c>
      <c r="K161" s="85" t="s">
        <v>254</v>
      </c>
      <c r="L161" s="85" t="s">
        <v>254</v>
      </c>
      <c r="M161" s="85">
        <v>0</v>
      </c>
      <c r="N161" s="85" t="s">
        <v>254</v>
      </c>
      <c r="O161" s="85">
        <v>352191</v>
      </c>
      <c r="P161" s="85">
        <v>352191</v>
      </c>
      <c r="Q161" s="85">
        <v>0</v>
      </c>
      <c r="R161" s="85"/>
      <c r="S161" s="86"/>
    </row>
    <row r="162" spans="1:19" ht="15">
      <c r="A162" s="70">
        <v>3</v>
      </c>
      <c r="B162" s="94" t="str">
        <f t="shared" si="8"/>
        <v>362</v>
      </c>
      <c r="C162" s="72" t="s">
        <v>367</v>
      </c>
      <c r="D162" s="72" t="s">
        <v>368</v>
      </c>
      <c r="E162" s="85">
        <v>182667901.31</v>
      </c>
      <c r="F162" s="85" t="s">
        <v>254</v>
      </c>
      <c r="G162" s="85">
        <v>178988612.31</v>
      </c>
      <c r="H162" s="85" t="s">
        <v>254</v>
      </c>
      <c r="I162" s="85">
        <v>0</v>
      </c>
      <c r="J162" s="85">
        <v>3679289</v>
      </c>
      <c r="K162" s="85" t="s">
        <v>254</v>
      </c>
      <c r="L162" s="85" t="s">
        <v>254</v>
      </c>
      <c r="M162" s="85">
        <v>0</v>
      </c>
      <c r="N162" s="85" t="s">
        <v>254</v>
      </c>
      <c r="O162" s="85">
        <v>3679289</v>
      </c>
      <c r="P162" s="85">
        <v>3679289</v>
      </c>
      <c r="Q162" s="85">
        <v>0</v>
      </c>
      <c r="R162" s="85"/>
      <c r="S162" s="86"/>
    </row>
    <row r="163" spans="1:19" ht="15">
      <c r="A163" s="70">
        <v>4</v>
      </c>
      <c r="B163" s="94" t="str">
        <f t="shared" si="8"/>
        <v>364</v>
      </c>
      <c r="C163" s="72" t="s">
        <v>369</v>
      </c>
      <c r="D163" s="72" t="s">
        <v>370</v>
      </c>
      <c r="E163" s="85">
        <v>348365724.37</v>
      </c>
      <c r="F163" s="85" t="s">
        <v>254</v>
      </c>
      <c r="G163" s="85">
        <v>348365724.37</v>
      </c>
      <c r="H163" s="85" t="s">
        <v>254</v>
      </c>
      <c r="I163" s="85">
        <v>0</v>
      </c>
      <c r="J163" s="85">
        <v>0</v>
      </c>
      <c r="K163" s="85" t="s">
        <v>254</v>
      </c>
      <c r="L163" s="85" t="s">
        <v>254</v>
      </c>
      <c r="M163" s="85">
        <v>0</v>
      </c>
      <c r="N163" s="85" t="s">
        <v>254</v>
      </c>
      <c r="O163" s="85">
        <v>0</v>
      </c>
      <c r="P163" s="85">
        <v>0</v>
      </c>
      <c r="Q163" s="85">
        <v>0</v>
      </c>
      <c r="R163" s="85"/>
      <c r="S163" s="86"/>
    </row>
    <row r="164" spans="1:19" ht="15">
      <c r="A164" s="70">
        <v>5</v>
      </c>
      <c r="B164" s="94" t="str">
        <f t="shared" si="8"/>
        <v>365</v>
      </c>
      <c r="C164" s="72" t="s">
        <v>371</v>
      </c>
      <c r="D164" s="72" t="s">
        <v>372</v>
      </c>
      <c r="E164" s="85">
        <v>343386372.43999994</v>
      </c>
      <c r="F164" s="85" t="s">
        <v>254</v>
      </c>
      <c r="G164" s="85">
        <v>343386372.43999994</v>
      </c>
      <c r="H164" s="85" t="s">
        <v>254</v>
      </c>
      <c r="I164" s="85">
        <v>0</v>
      </c>
      <c r="J164" s="85">
        <v>0</v>
      </c>
      <c r="K164" s="85" t="s">
        <v>254</v>
      </c>
      <c r="L164" s="85" t="s">
        <v>254</v>
      </c>
      <c r="M164" s="85">
        <v>0</v>
      </c>
      <c r="N164" s="85" t="s">
        <v>254</v>
      </c>
      <c r="O164" s="85">
        <v>0</v>
      </c>
      <c r="P164" s="85">
        <v>0</v>
      </c>
      <c r="Q164" s="85">
        <v>0</v>
      </c>
      <c r="R164" s="85"/>
      <c r="S164" s="86"/>
    </row>
    <row r="165" spans="1:19" ht="15">
      <c r="A165" s="70">
        <v>6</v>
      </c>
      <c r="B165" s="94" t="str">
        <f t="shared" si="8"/>
        <v>366</v>
      </c>
      <c r="C165" s="72" t="s">
        <v>373</v>
      </c>
      <c r="D165" s="72" t="s">
        <v>374</v>
      </c>
      <c r="E165" s="85">
        <v>2381227.67</v>
      </c>
      <c r="F165" s="85" t="s">
        <v>254</v>
      </c>
      <c r="G165" s="85">
        <v>2381227.67</v>
      </c>
      <c r="H165" s="85" t="s">
        <v>254</v>
      </c>
      <c r="I165" s="85">
        <v>0</v>
      </c>
      <c r="J165" s="85">
        <v>0</v>
      </c>
      <c r="K165" s="85" t="s">
        <v>254</v>
      </c>
      <c r="L165" s="85" t="s">
        <v>254</v>
      </c>
      <c r="M165" s="85">
        <v>0</v>
      </c>
      <c r="N165" s="85" t="s">
        <v>254</v>
      </c>
      <c r="O165" s="85">
        <v>0</v>
      </c>
      <c r="P165" s="85">
        <v>0</v>
      </c>
      <c r="Q165" s="85">
        <v>0</v>
      </c>
      <c r="R165" s="85"/>
      <c r="S165" s="86"/>
    </row>
    <row r="166" spans="1:19" ht="15">
      <c r="A166" s="70">
        <v>7</v>
      </c>
      <c r="B166" s="94" t="str">
        <f t="shared" si="8"/>
        <v>367</v>
      </c>
      <c r="C166" s="72" t="s">
        <v>375</v>
      </c>
      <c r="D166" s="72" t="s">
        <v>376</v>
      </c>
      <c r="E166" s="85">
        <v>187754075.88</v>
      </c>
      <c r="F166" s="85" t="s">
        <v>254</v>
      </c>
      <c r="G166" s="85">
        <v>187754075.88</v>
      </c>
      <c r="H166" s="85" t="s">
        <v>254</v>
      </c>
      <c r="I166" s="85">
        <v>0</v>
      </c>
      <c r="J166" s="85">
        <v>0</v>
      </c>
      <c r="K166" s="85" t="s">
        <v>254</v>
      </c>
      <c r="L166" s="85" t="s">
        <v>254</v>
      </c>
      <c r="M166" s="85">
        <v>0</v>
      </c>
      <c r="N166" s="85" t="s">
        <v>254</v>
      </c>
      <c r="O166" s="85">
        <v>0</v>
      </c>
      <c r="P166" s="85">
        <v>0</v>
      </c>
      <c r="Q166" s="85">
        <v>0</v>
      </c>
      <c r="R166" s="85"/>
      <c r="S166" s="86"/>
    </row>
    <row r="167" spans="1:19" ht="15">
      <c r="A167" s="70" t="s">
        <v>254</v>
      </c>
      <c r="B167" s="94"/>
      <c r="C167" s="72" t="s">
        <v>377</v>
      </c>
      <c r="D167" s="72" t="s">
        <v>254</v>
      </c>
      <c r="E167" s="85" t="s">
        <v>254</v>
      </c>
      <c r="F167" s="85" t="s">
        <v>254</v>
      </c>
      <c r="G167" s="85" t="s">
        <v>254</v>
      </c>
      <c r="H167" s="85" t="s">
        <v>254</v>
      </c>
      <c r="I167" s="85" t="s">
        <v>254</v>
      </c>
      <c r="J167" s="85" t="s">
        <v>254</v>
      </c>
      <c r="K167" s="85" t="s">
        <v>254</v>
      </c>
      <c r="L167" s="85" t="s">
        <v>254</v>
      </c>
      <c r="M167" s="85" t="s">
        <v>254</v>
      </c>
      <c r="N167" s="85" t="s">
        <v>254</v>
      </c>
      <c r="O167" s="85" t="s">
        <v>254</v>
      </c>
      <c r="P167" s="85" t="s">
        <v>254</v>
      </c>
      <c r="Q167" s="85" t="s">
        <v>254</v>
      </c>
      <c r="R167" s="85"/>
      <c r="S167" s="86"/>
    </row>
    <row r="168" spans="1:19" ht="15">
      <c r="A168" s="70">
        <v>8</v>
      </c>
      <c r="B168" s="70"/>
      <c r="C168" s="72" t="s">
        <v>378</v>
      </c>
      <c r="D168" s="72" t="s">
        <v>379</v>
      </c>
      <c r="E168" s="85">
        <v>5932406.1000000024</v>
      </c>
      <c r="F168" s="85" t="s">
        <v>254</v>
      </c>
      <c r="G168" s="85">
        <v>5414628.1265696799</v>
      </c>
      <c r="H168" s="85" t="s">
        <v>254</v>
      </c>
      <c r="I168" s="85">
        <v>0</v>
      </c>
      <c r="J168" s="85">
        <v>517777.97343032225</v>
      </c>
      <c r="K168" s="85" t="s">
        <v>254</v>
      </c>
      <c r="L168" s="85" t="s">
        <v>254</v>
      </c>
      <c r="M168" s="85">
        <v>0</v>
      </c>
      <c r="N168" s="85" t="s">
        <v>254</v>
      </c>
      <c r="O168" s="85">
        <v>517777.97343032225</v>
      </c>
      <c r="P168" s="85">
        <v>160696.99252554422</v>
      </c>
      <c r="Q168" s="85">
        <v>357080.980904778</v>
      </c>
      <c r="R168" s="85"/>
      <c r="S168" s="86"/>
    </row>
    <row r="169" spans="1:19" ht="15">
      <c r="A169" s="70">
        <v>9</v>
      </c>
      <c r="B169" s="70"/>
      <c r="C169" s="72" t="s">
        <v>380</v>
      </c>
      <c r="D169" s="72" t="s">
        <v>381</v>
      </c>
      <c r="E169" s="85">
        <v>296610929.46999997</v>
      </c>
      <c r="F169" s="85" t="s">
        <v>254</v>
      </c>
      <c r="G169" s="85">
        <v>296610929.46999997</v>
      </c>
      <c r="H169" s="85" t="s">
        <v>254</v>
      </c>
      <c r="I169" s="85">
        <v>0</v>
      </c>
      <c r="J169" s="85">
        <v>0</v>
      </c>
      <c r="K169" s="85" t="s">
        <v>254</v>
      </c>
      <c r="L169" s="85" t="s">
        <v>254</v>
      </c>
      <c r="M169" s="85">
        <v>0</v>
      </c>
      <c r="N169" s="85" t="s">
        <v>254</v>
      </c>
      <c r="O169" s="85">
        <v>0</v>
      </c>
      <c r="P169" s="85">
        <v>0</v>
      </c>
      <c r="Q169" s="85">
        <v>0</v>
      </c>
      <c r="R169" s="85"/>
      <c r="S169" s="86"/>
    </row>
    <row r="170" spans="1:19" ht="15">
      <c r="A170" s="70">
        <v>10</v>
      </c>
      <c r="B170" s="94">
        <v>368</v>
      </c>
      <c r="C170" s="72" t="s">
        <v>382</v>
      </c>
      <c r="D170" s="72" t="s">
        <v>254</v>
      </c>
      <c r="E170" s="85">
        <v>302543335.56999999</v>
      </c>
      <c r="F170" s="85" t="s">
        <v>254</v>
      </c>
      <c r="G170" s="85">
        <v>302025557.59656966</v>
      </c>
      <c r="H170" s="85" t="s">
        <v>254</v>
      </c>
      <c r="I170" s="85">
        <v>0</v>
      </c>
      <c r="J170" s="85">
        <v>517777.97343032225</v>
      </c>
      <c r="K170" s="85" t="s">
        <v>254</v>
      </c>
      <c r="L170" s="85" t="s">
        <v>254</v>
      </c>
      <c r="M170" s="85">
        <v>0</v>
      </c>
      <c r="N170" s="85" t="s">
        <v>254</v>
      </c>
      <c r="O170" s="85">
        <v>517777.97343032225</v>
      </c>
      <c r="P170" s="85">
        <v>160696.99252554422</v>
      </c>
      <c r="Q170" s="85">
        <v>357080.980904778</v>
      </c>
      <c r="R170" s="85"/>
      <c r="S170" s="86"/>
    </row>
    <row r="171" spans="1:19" ht="15">
      <c r="A171" s="70">
        <v>11</v>
      </c>
      <c r="B171" s="94" t="str">
        <f t="shared" ref="B171:B175" si="9">MID(C171,2,3)</f>
        <v>369</v>
      </c>
      <c r="C171" s="72" t="s">
        <v>383</v>
      </c>
      <c r="D171" s="72" t="s">
        <v>384</v>
      </c>
      <c r="E171" s="85">
        <v>97262576.700000003</v>
      </c>
      <c r="F171" s="85" t="s">
        <v>254</v>
      </c>
      <c r="G171" s="85">
        <v>97262576.700000003</v>
      </c>
      <c r="H171" s="85" t="s">
        <v>254</v>
      </c>
      <c r="I171" s="85">
        <v>0</v>
      </c>
      <c r="J171" s="85">
        <v>0</v>
      </c>
      <c r="K171" s="85" t="s">
        <v>254</v>
      </c>
      <c r="L171" s="85" t="s">
        <v>254</v>
      </c>
      <c r="M171" s="85">
        <v>0</v>
      </c>
      <c r="N171" s="85" t="s">
        <v>254</v>
      </c>
      <c r="O171" s="85">
        <v>0</v>
      </c>
      <c r="P171" s="85">
        <v>0</v>
      </c>
      <c r="Q171" s="85">
        <v>0</v>
      </c>
      <c r="R171" s="85"/>
      <c r="S171" s="86"/>
    </row>
    <row r="172" spans="1:19" ht="15">
      <c r="A172" s="70">
        <v>12</v>
      </c>
      <c r="B172" s="94" t="str">
        <f t="shared" si="9"/>
        <v>370</v>
      </c>
      <c r="C172" s="72" t="s">
        <v>385</v>
      </c>
      <c r="D172" s="72" t="s">
        <v>386</v>
      </c>
      <c r="E172" s="85">
        <v>74503497.170000002</v>
      </c>
      <c r="F172" s="85" t="s">
        <v>254</v>
      </c>
      <c r="G172" s="85">
        <v>74142066.170000002</v>
      </c>
      <c r="H172" s="85" t="s">
        <v>254</v>
      </c>
      <c r="I172" s="85">
        <v>0</v>
      </c>
      <c r="J172" s="85">
        <v>361430.99999999994</v>
      </c>
      <c r="K172" s="85" t="s">
        <v>254</v>
      </c>
      <c r="L172" s="85" t="s">
        <v>254</v>
      </c>
      <c r="M172" s="85">
        <v>0</v>
      </c>
      <c r="N172" s="85" t="s">
        <v>254</v>
      </c>
      <c r="O172" s="85">
        <v>361430.99999999994</v>
      </c>
      <c r="P172" s="85">
        <v>63157</v>
      </c>
      <c r="Q172" s="85">
        <v>298273.99999999994</v>
      </c>
      <c r="R172" s="85"/>
      <c r="S172" s="86"/>
    </row>
    <row r="173" spans="1:19" ht="15">
      <c r="A173" s="70">
        <v>13</v>
      </c>
      <c r="B173" s="94" t="str">
        <f t="shared" si="9"/>
        <v>371</v>
      </c>
      <c r="C173" s="72" t="s">
        <v>387</v>
      </c>
      <c r="D173" s="72" t="s">
        <v>388</v>
      </c>
      <c r="E173" s="85">
        <v>205375.54999999888</v>
      </c>
      <c r="F173" s="85" t="s">
        <v>254</v>
      </c>
      <c r="G173" s="85">
        <v>205375.54999999888</v>
      </c>
      <c r="H173" s="85" t="s">
        <v>254</v>
      </c>
      <c r="I173" s="85">
        <v>0</v>
      </c>
      <c r="J173" s="85">
        <v>0</v>
      </c>
      <c r="K173" s="85" t="s">
        <v>254</v>
      </c>
      <c r="L173" s="85" t="s">
        <v>254</v>
      </c>
      <c r="M173" s="85">
        <v>0</v>
      </c>
      <c r="N173" s="85" t="s">
        <v>254</v>
      </c>
      <c r="O173" s="85">
        <v>0</v>
      </c>
      <c r="P173" s="85">
        <v>0</v>
      </c>
      <c r="Q173" s="85">
        <v>0</v>
      </c>
      <c r="R173" s="85"/>
      <c r="S173" s="86"/>
    </row>
    <row r="174" spans="1:19" ht="15">
      <c r="A174" s="70">
        <v>14</v>
      </c>
      <c r="B174" s="94" t="str">
        <f t="shared" si="9"/>
        <v>373</v>
      </c>
      <c r="C174" s="72" t="s">
        <v>389</v>
      </c>
      <c r="D174" s="72" t="s">
        <v>390</v>
      </c>
      <c r="E174" s="85">
        <v>111690733.23999991</v>
      </c>
      <c r="F174" s="85" t="s">
        <v>254</v>
      </c>
      <c r="G174" s="85">
        <v>111690733.23999991</v>
      </c>
      <c r="H174" s="85" t="s">
        <v>254</v>
      </c>
      <c r="I174" s="85">
        <v>0</v>
      </c>
      <c r="J174" s="85">
        <v>0</v>
      </c>
      <c r="K174" s="85" t="s">
        <v>254</v>
      </c>
      <c r="L174" s="85" t="s">
        <v>254</v>
      </c>
      <c r="M174" s="85">
        <v>0</v>
      </c>
      <c r="N174" s="85" t="s">
        <v>254</v>
      </c>
      <c r="O174" s="85">
        <v>0</v>
      </c>
      <c r="P174" s="85">
        <v>0</v>
      </c>
      <c r="Q174" s="85">
        <v>0</v>
      </c>
      <c r="R174" s="85"/>
      <c r="S174" s="86"/>
    </row>
    <row r="175" spans="1:19" ht="15">
      <c r="A175" s="70">
        <v>15</v>
      </c>
      <c r="B175" s="94" t="str">
        <f t="shared" si="9"/>
        <v>374</v>
      </c>
      <c r="C175" s="72" t="s">
        <v>391</v>
      </c>
      <c r="D175" s="72" t="s">
        <v>392</v>
      </c>
      <c r="E175" s="85">
        <v>904896.85999999894</v>
      </c>
      <c r="F175" s="85" t="s">
        <v>254</v>
      </c>
      <c r="G175" s="85">
        <v>904896.85999999894</v>
      </c>
      <c r="H175" s="85" t="s">
        <v>254</v>
      </c>
      <c r="I175" s="85">
        <v>0</v>
      </c>
      <c r="J175" s="85">
        <v>0</v>
      </c>
      <c r="K175" s="85" t="s">
        <v>254</v>
      </c>
      <c r="L175" s="85" t="s">
        <v>254</v>
      </c>
      <c r="M175" s="85">
        <v>0</v>
      </c>
      <c r="N175" s="85" t="s">
        <v>254</v>
      </c>
      <c r="O175" s="85">
        <v>0</v>
      </c>
      <c r="P175" s="85">
        <v>0</v>
      </c>
      <c r="Q175" s="85">
        <v>0</v>
      </c>
      <c r="R175" s="85"/>
      <c r="S175" s="86"/>
    </row>
    <row r="176" spans="1:19" ht="15">
      <c r="A176" s="70">
        <v>16</v>
      </c>
      <c r="B176" s="70"/>
      <c r="C176" s="72" t="s">
        <v>393</v>
      </c>
      <c r="D176" s="72" t="s">
        <v>254</v>
      </c>
      <c r="E176" s="85">
        <v>1671956888.0999999</v>
      </c>
      <c r="F176" s="85" t="s">
        <v>254</v>
      </c>
      <c r="G176" s="85">
        <v>1667037042.1265695</v>
      </c>
      <c r="H176" s="85" t="s">
        <v>254</v>
      </c>
      <c r="I176" s="85">
        <v>0</v>
      </c>
      <c r="J176" s="85">
        <v>4919845.9734303225</v>
      </c>
      <c r="K176" s="85" t="s">
        <v>254</v>
      </c>
      <c r="L176" s="85" t="s">
        <v>254</v>
      </c>
      <c r="M176" s="85">
        <v>0</v>
      </c>
      <c r="N176" s="85" t="s">
        <v>254</v>
      </c>
      <c r="O176" s="85">
        <v>4919845.9734303225</v>
      </c>
      <c r="P176" s="85">
        <v>4264490.992525544</v>
      </c>
      <c r="Q176" s="85">
        <v>655354.980904778</v>
      </c>
      <c r="R176" s="85"/>
      <c r="S176" s="86"/>
    </row>
    <row r="177" spans="1:19" ht="15">
      <c r="A177" s="70" t="s">
        <v>254</v>
      </c>
      <c r="B177" s="70"/>
      <c r="C177" s="72" t="s">
        <v>254</v>
      </c>
      <c r="D177" s="72" t="s">
        <v>254</v>
      </c>
      <c r="E177" s="85"/>
      <c r="F177" s="85" t="s">
        <v>254</v>
      </c>
      <c r="G177" s="85" t="s">
        <v>254</v>
      </c>
      <c r="H177" s="85" t="s">
        <v>254</v>
      </c>
      <c r="I177" s="85" t="s">
        <v>254</v>
      </c>
      <c r="J177" s="85" t="s">
        <v>254</v>
      </c>
      <c r="K177" s="85" t="s">
        <v>254</v>
      </c>
      <c r="L177" s="85" t="s">
        <v>254</v>
      </c>
      <c r="M177" s="85" t="s">
        <v>254</v>
      </c>
      <c r="N177" s="85" t="s">
        <v>254</v>
      </c>
      <c r="O177" s="85" t="s">
        <v>254</v>
      </c>
      <c r="P177" s="85" t="s">
        <v>254</v>
      </c>
      <c r="Q177" s="85" t="s">
        <v>254</v>
      </c>
      <c r="R177" s="85"/>
      <c r="S177" s="86"/>
    </row>
    <row r="178" spans="1:19" ht="15">
      <c r="A178" s="70" t="s">
        <v>254</v>
      </c>
      <c r="B178" s="70"/>
      <c r="C178" s="72" t="s">
        <v>394</v>
      </c>
      <c r="D178" s="72" t="s">
        <v>254</v>
      </c>
      <c r="E178" s="85" t="s">
        <v>254</v>
      </c>
      <c r="F178" s="85" t="s">
        <v>254</v>
      </c>
      <c r="G178" s="85" t="s">
        <v>254</v>
      </c>
      <c r="H178" s="85" t="s">
        <v>254</v>
      </c>
      <c r="I178" s="85" t="s">
        <v>254</v>
      </c>
      <c r="J178" s="85" t="s">
        <v>254</v>
      </c>
      <c r="K178" s="85" t="s">
        <v>254</v>
      </c>
      <c r="L178" s="85" t="s">
        <v>254</v>
      </c>
      <c r="M178" s="85" t="s">
        <v>254</v>
      </c>
      <c r="N178" s="85" t="s">
        <v>254</v>
      </c>
      <c r="O178" s="85" t="s">
        <v>254</v>
      </c>
      <c r="P178" s="85" t="s">
        <v>254</v>
      </c>
      <c r="Q178" s="85" t="s">
        <v>254</v>
      </c>
      <c r="R178" s="85"/>
      <c r="S178" s="86"/>
    </row>
    <row r="179" spans="1:19" ht="15">
      <c r="A179" s="70">
        <v>17</v>
      </c>
      <c r="B179" s="94" t="str">
        <f t="shared" ref="B179:B184" si="10">MID(C179,2,3)</f>
        <v>360</v>
      </c>
      <c r="C179" s="72" t="s">
        <v>363</v>
      </c>
      <c r="D179" s="72" t="s">
        <v>395</v>
      </c>
      <c r="E179" s="85">
        <v>343250.44</v>
      </c>
      <c r="F179" s="85" t="s">
        <v>254</v>
      </c>
      <c r="G179" s="85">
        <v>0</v>
      </c>
      <c r="H179" s="85" t="s">
        <v>254</v>
      </c>
      <c r="I179" s="85">
        <v>343250.44</v>
      </c>
      <c r="J179" s="85">
        <v>0</v>
      </c>
      <c r="K179" s="85" t="s">
        <v>254</v>
      </c>
      <c r="L179" s="85" t="s">
        <v>254</v>
      </c>
      <c r="M179" s="85">
        <v>0</v>
      </c>
      <c r="N179" s="85" t="s">
        <v>254</v>
      </c>
      <c r="O179" s="85">
        <v>0</v>
      </c>
      <c r="P179" s="85">
        <v>0</v>
      </c>
      <c r="Q179" s="85">
        <v>0</v>
      </c>
      <c r="R179" s="85"/>
      <c r="S179" s="86"/>
    </row>
    <row r="180" spans="1:19" ht="15">
      <c r="A180" s="70">
        <v>18</v>
      </c>
      <c r="B180" s="94" t="str">
        <f t="shared" si="10"/>
        <v>361</v>
      </c>
      <c r="C180" s="72" t="s">
        <v>365</v>
      </c>
      <c r="D180" s="72" t="s">
        <v>396</v>
      </c>
      <c r="E180" s="85">
        <v>493671.51999999996</v>
      </c>
      <c r="F180" s="85" t="s">
        <v>254</v>
      </c>
      <c r="G180" s="85">
        <v>0</v>
      </c>
      <c r="H180" s="85" t="s">
        <v>254</v>
      </c>
      <c r="I180" s="85">
        <v>493671.51999999996</v>
      </c>
      <c r="J180" s="85">
        <v>0</v>
      </c>
      <c r="K180" s="85" t="s">
        <v>254</v>
      </c>
      <c r="L180" s="85" t="s">
        <v>254</v>
      </c>
      <c r="M180" s="85">
        <v>0</v>
      </c>
      <c r="N180" s="85" t="s">
        <v>254</v>
      </c>
      <c r="O180" s="85">
        <v>0</v>
      </c>
      <c r="P180" s="85">
        <v>0</v>
      </c>
      <c r="Q180" s="85">
        <v>0</v>
      </c>
      <c r="R180" s="85"/>
      <c r="S180" s="86"/>
    </row>
    <row r="181" spans="1:19" ht="15">
      <c r="A181" s="70">
        <v>19</v>
      </c>
      <c r="B181" s="94" t="str">
        <f t="shared" si="10"/>
        <v>362</v>
      </c>
      <c r="C181" s="72" t="s">
        <v>367</v>
      </c>
      <c r="D181" s="72" t="s">
        <v>397</v>
      </c>
      <c r="E181" s="85">
        <v>8233190.0100000007</v>
      </c>
      <c r="F181" s="85" t="s">
        <v>254</v>
      </c>
      <c r="G181" s="85">
        <v>0</v>
      </c>
      <c r="H181" s="85" t="s">
        <v>254</v>
      </c>
      <c r="I181" s="85">
        <v>8233190.0100000007</v>
      </c>
      <c r="J181" s="85">
        <v>0</v>
      </c>
      <c r="K181" s="85" t="s">
        <v>254</v>
      </c>
      <c r="L181" s="85" t="s">
        <v>254</v>
      </c>
      <c r="M181" s="85">
        <v>0</v>
      </c>
      <c r="N181" s="85" t="s">
        <v>254</v>
      </c>
      <c r="O181" s="85">
        <v>0</v>
      </c>
      <c r="P181" s="85">
        <v>0</v>
      </c>
      <c r="Q181" s="85">
        <v>0</v>
      </c>
      <c r="R181" s="85"/>
      <c r="S181" s="86"/>
    </row>
    <row r="182" spans="1:19" ht="15">
      <c r="A182" s="70">
        <v>20</v>
      </c>
      <c r="B182" s="94" t="str">
        <f t="shared" si="10"/>
        <v>364</v>
      </c>
      <c r="C182" s="72" t="s">
        <v>369</v>
      </c>
      <c r="D182" s="72" t="s">
        <v>398</v>
      </c>
      <c r="E182" s="85">
        <v>28632977.59</v>
      </c>
      <c r="F182" s="85" t="s">
        <v>254</v>
      </c>
      <c r="G182" s="85">
        <v>0</v>
      </c>
      <c r="H182" s="85" t="s">
        <v>254</v>
      </c>
      <c r="I182" s="85">
        <v>28632977.59</v>
      </c>
      <c r="J182" s="85">
        <v>0</v>
      </c>
      <c r="K182" s="85" t="s">
        <v>254</v>
      </c>
      <c r="L182" s="85" t="s">
        <v>254</v>
      </c>
      <c r="M182" s="85">
        <v>0</v>
      </c>
      <c r="N182" s="85" t="s">
        <v>254</v>
      </c>
      <c r="O182" s="85">
        <v>0</v>
      </c>
      <c r="P182" s="85">
        <v>0</v>
      </c>
      <c r="Q182" s="85">
        <v>0</v>
      </c>
      <c r="R182" s="85"/>
      <c r="S182" s="86"/>
    </row>
    <row r="183" spans="1:19" ht="15">
      <c r="A183" s="70">
        <v>21</v>
      </c>
      <c r="B183" s="94" t="str">
        <f t="shared" si="10"/>
        <v>365</v>
      </c>
      <c r="C183" s="72" t="s">
        <v>371</v>
      </c>
      <c r="D183" s="72" t="s">
        <v>399</v>
      </c>
      <c r="E183" s="85">
        <v>25952712.310000002</v>
      </c>
      <c r="F183" s="85" t="s">
        <v>254</v>
      </c>
      <c r="G183" s="85">
        <v>0</v>
      </c>
      <c r="H183" s="85" t="s">
        <v>254</v>
      </c>
      <c r="I183" s="85">
        <v>25952712.310000002</v>
      </c>
      <c r="J183" s="85">
        <v>0</v>
      </c>
      <c r="K183" s="85" t="s">
        <v>254</v>
      </c>
      <c r="L183" s="85" t="s">
        <v>254</v>
      </c>
      <c r="M183" s="85">
        <v>0</v>
      </c>
      <c r="N183" s="85" t="s">
        <v>254</v>
      </c>
      <c r="O183" s="85">
        <v>0</v>
      </c>
      <c r="P183" s="85">
        <v>0</v>
      </c>
      <c r="Q183" s="85">
        <v>0</v>
      </c>
      <c r="R183" s="85"/>
      <c r="S183" s="86"/>
    </row>
    <row r="184" spans="1:19" ht="15">
      <c r="A184" s="70">
        <v>22</v>
      </c>
      <c r="B184" s="94" t="str">
        <f t="shared" si="10"/>
        <v>367</v>
      </c>
      <c r="C184" s="72" t="s">
        <v>375</v>
      </c>
      <c r="D184" s="72" t="s">
        <v>400</v>
      </c>
      <c r="E184" s="85">
        <v>5200688.1099999994</v>
      </c>
      <c r="F184" s="85" t="s">
        <v>254</v>
      </c>
      <c r="G184" s="85">
        <v>0</v>
      </c>
      <c r="H184" s="85" t="s">
        <v>254</v>
      </c>
      <c r="I184" s="85">
        <v>5200688.1099999994</v>
      </c>
      <c r="J184" s="85">
        <v>0</v>
      </c>
      <c r="K184" s="85" t="s">
        <v>254</v>
      </c>
      <c r="L184" s="85" t="s">
        <v>254</v>
      </c>
      <c r="M184" s="85">
        <v>0</v>
      </c>
      <c r="N184" s="85" t="s">
        <v>254</v>
      </c>
      <c r="O184" s="85">
        <v>0</v>
      </c>
      <c r="P184" s="85">
        <v>0</v>
      </c>
      <c r="Q184" s="85">
        <v>0</v>
      </c>
      <c r="R184" s="85"/>
      <c r="S184" s="86"/>
    </row>
    <row r="185" spans="1:19" ht="15">
      <c r="A185" s="70" t="s">
        <v>254</v>
      </c>
      <c r="B185" s="94"/>
      <c r="C185" s="72" t="s">
        <v>377</v>
      </c>
      <c r="D185" s="72" t="s">
        <v>254</v>
      </c>
      <c r="E185" s="85" t="s">
        <v>254</v>
      </c>
      <c r="F185" s="85" t="s">
        <v>254</v>
      </c>
      <c r="G185" s="85" t="s">
        <v>254</v>
      </c>
      <c r="H185" s="85" t="s">
        <v>254</v>
      </c>
      <c r="I185" s="85" t="s">
        <v>254</v>
      </c>
      <c r="J185" s="85" t="s">
        <v>254</v>
      </c>
      <c r="K185" s="85" t="s">
        <v>254</v>
      </c>
      <c r="L185" s="85" t="s">
        <v>254</v>
      </c>
      <c r="M185" s="85" t="s">
        <v>254</v>
      </c>
      <c r="N185" s="85" t="s">
        <v>254</v>
      </c>
      <c r="O185" s="85" t="s">
        <v>254</v>
      </c>
      <c r="P185" s="85" t="s">
        <v>254</v>
      </c>
      <c r="Q185" s="85" t="s">
        <v>254</v>
      </c>
      <c r="R185" s="85"/>
      <c r="S185" s="86"/>
    </row>
    <row r="186" spans="1:19" ht="15">
      <c r="A186" s="70">
        <v>23</v>
      </c>
      <c r="B186" s="70"/>
      <c r="C186" s="72" t="s">
        <v>378</v>
      </c>
      <c r="D186" s="72" t="s">
        <v>401</v>
      </c>
      <c r="E186" s="85">
        <v>128027.56</v>
      </c>
      <c r="F186" s="85" t="s">
        <v>254</v>
      </c>
      <c r="G186" s="85">
        <v>0</v>
      </c>
      <c r="H186" s="85" t="s">
        <v>254</v>
      </c>
      <c r="I186" s="85">
        <v>128027.56</v>
      </c>
      <c r="J186" s="85">
        <v>0</v>
      </c>
      <c r="K186" s="85" t="s">
        <v>254</v>
      </c>
      <c r="L186" s="85" t="s">
        <v>254</v>
      </c>
      <c r="M186" s="85">
        <v>0</v>
      </c>
      <c r="N186" s="85" t="s">
        <v>254</v>
      </c>
      <c r="O186" s="85">
        <v>0</v>
      </c>
      <c r="P186" s="85">
        <v>0</v>
      </c>
      <c r="Q186" s="85">
        <v>0</v>
      </c>
      <c r="R186" s="85"/>
      <c r="S186" s="86"/>
    </row>
    <row r="187" spans="1:19" ht="15">
      <c r="A187" s="70">
        <v>24</v>
      </c>
      <c r="B187" s="70"/>
      <c r="C187" s="72" t="s">
        <v>380</v>
      </c>
      <c r="D187" s="72" t="s">
        <v>402</v>
      </c>
      <c r="E187" s="85">
        <v>12595121.109999999</v>
      </c>
      <c r="F187" s="85" t="s">
        <v>254</v>
      </c>
      <c r="G187" s="85">
        <v>0</v>
      </c>
      <c r="H187" s="85" t="s">
        <v>254</v>
      </c>
      <c r="I187" s="85">
        <v>12595121.109999999</v>
      </c>
      <c r="J187" s="85">
        <v>0</v>
      </c>
      <c r="K187" s="85" t="s">
        <v>254</v>
      </c>
      <c r="L187" s="85" t="s">
        <v>254</v>
      </c>
      <c r="M187" s="85">
        <v>0</v>
      </c>
      <c r="N187" s="85" t="s">
        <v>254</v>
      </c>
      <c r="O187" s="85">
        <v>0</v>
      </c>
      <c r="P187" s="85">
        <v>0</v>
      </c>
      <c r="Q187" s="85">
        <v>0</v>
      </c>
      <c r="R187" s="85"/>
      <c r="S187" s="86"/>
    </row>
    <row r="188" spans="1:19" ht="15">
      <c r="A188" s="70">
        <v>25</v>
      </c>
      <c r="B188" s="94">
        <v>368</v>
      </c>
      <c r="C188" s="72" t="s">
        <v>382</v>
      </c>
      <c r="D188" s="72" t="s">
        <v>254</v>
      </c>
      <c r="E188" s="85">
        <v>12723148.67</v>
      </c>
      <c r="F188" s="85" t="s">
        <v>254</v>
      </c>
      <c r="G188" s="85">
        <v>0</v>
      </c>
      <c r="H188" s="85" t="s">
        <v>254</v>
      </c>
      <c r="I188" s="85">
        <v>12723148.67</v>
      </c>
      <c r="J188" s="85">
        <v>0</v>
      </c>
      <c r="K188" s="85" t="s">
        <v>254</v>
      </c>
      <c r="L188" s="85" t="s">
        <v>254</v>
      </c>
      <c r="M188" s="85">
        <v>0</v>
      </c>
      <c r="N188" s="85" t="s">
        <v>254</v>
      </c>
      <c r="O188" s="85">
        <v>0</v>
      </c>
      <c r="P188" s="85">
        <v>0</v>
      </c>
      <c r="Q188" s="85">
        <v>0</v>
      </c>
      <c r="R188" s="85"/>
      <c r="S188" s="86"/>
    </row>
    <row r="189" spans="1:19" ht="15">
      <c r="A189" s="70">
        <v>26</v>
      </c>
      <c r="B189" s="94" t="str">
        <f t="shared" ref="B189:B192" si="11">MID(C189,2,3)</f>
        <v>369</v>
      </c>
      <c r="C189" s="72" t="s">
        <v>383</v>
      </c>
      <c r="D189" s="72" t="s">
        <v>403</v>
      </c>
      <c r="E189" s="85">
        <v>5498987.4100000011</v>
      </c>
      <c r="F189" s="85" t="s">
        <v>254</v>
      </c>
      <c r="G189" s="85">
        <v>0</v>
      </c>
      <c r="H189" s="85" t="s">
        <v>254</v>
      </c>
      <c r="I189" s="85">
        <v>5498987.4100000011</v>
      </c>
      <c r="J189" s="85">
        <v>0</v>
      </c>
      <c r="K189" s="85" t="s">
        <v>254</v>
      </c>
      <c r="L189" s="85" t="s">
        <v>254</v>
      </c>
      <c r="M189" s="85">
        <v>0</v>
      </c>
      <c r="N189" s="85" t="s">
        <v>254</v>
      </c>
      <c r="O189" s="85">
        <v>0</v>
      </c>
      <c r="P189" s="85">
        <v>0</v>
      </c>
      <c r="Q189" s="85">
        <v>0</v>
      </c>
      <c r="R189" s="85"/>
      <c r="S189" s="86"/>
    </row>
    <row r="190" spans="1:19" ht="15">
      <c r="A190" s="70">
        <v>27</v>
      </c>
      <c r="B190" s="94" t="str">
        <f t="shared" si="11"/>
        <v>370</v>
      </c>
      <c r="C190" s="72" t="s">
        <v>385</v>
      </c>
      <c r="D190" s="72" t="s">
        <v>404</v>
      </c>
      <c r="E190" s="85">
        <v>3938073.8000000007</v>
      </c>
      <c r="F190" s="85" t="s">
        <v>254</v>
      </c>
      <c r="G190" s="85">
        <v>0</v>
      </c>
      <c r="H190" s="85" t="s">
        <v>254</v>
      </c>
      <c r="I190" s="85">
        <v>3938073.8000000007</v>
      </c>
      <c r="J190" s="85">
        <v>0</v>
      </c>
      <c r="K190" s="85" t="s">
        <v>254</v>
      </c>
      <c r="L190" s="85" t="s">
        <v>254</v>
      </c>
      <c r="M190" s="85">
        <v>0</v>
      </c>
      <c r="N190" s="85" t="s">
        <v>254</v>
      </c>
      <c r="O190" s="85">
        <v>0</v>
      </c>
      <c r="P190" s="85">
        <v>0</v>
      </c>
      <c r="Q190" s="85">
        <v>0</v>
      </c>
      <c r="R190" s="85"/>
      <c r="S190" s="86"/>
    </row>
    <row r="191" spans="1:19" ht="15">
      <c r="A191" s="70">
        <v>28</v>
      </c>
      <c r="B191" s="94" t="str">
        <f t="shared" si="11"/>
        <v>371</v>
      </c>
      <c r="C191" s="72" t="s">
        <v>387</v>
      </c>
      <c r="D191" s="72" t="s">
        <v>405</v>
      </c>
      <c r="E191" s="85">
        <v>0</v>
      </c>
      <c r="F191" s="85" t="s">
        <v>254</v>
      </c>
      <c r="G191" s="85">
        <v>0</v>
      </c>
      <c r="H191" s="85" t="s">
        <v>254</v>
      </c>
      <c r="I191" s="85">
        <v>0</v>
      </c>
      <c r="J191" s="85">
        <v>0</v>
      </c>
      <c r="K191" s="85" t="s">
        <v>254</v>
      </c>
      <c r="L191" s="85" t="s">
        <v>254</v>
      </c>
      <c r="M191" s="85">
        <v>0</v>
      </c>
      <c r="N191" s="85" t="s">
        <v>254</v>
      </c>
      <c r="O191" s="85">
        <v>0</v>
      </c>
      <c r="P191" s="85">
        <v>0</v>
      </c>
      <c r="Q191" s="85">
        <v>0</v>
      </c>
      <c r="R191" s="85"/>
      <c r="S191" s="86"/>
    </row>
    <row r="192" spans="1:19" ht="15">
      <c r="A192" s="70">
        <v>29</v>
      </c>
      <c r="B192" s="94" t="str">
        <f t="shared" si="11"/>
        <v>373</v>
      </c>
      <c r="C192" s="72" t="s">
        <v>389</v>
      </c>
      <c r="D192" s="72" t="s">
        <v>406</v>
      </c>
      <c r="E192" s="85">
        <v>3718258.4799999995</v>
      </c>
      <c r="F192" s="85" t="s">
        <v>254</v>
      </c>
      <c r="G192" s="85">
        <v>0</v>
      </c>
      <c r="H192" s="85" t="s">
        <v>254</v>
      </c>
      <c r="I192" s="85">
        <v>3718258.4799999995</v>
      </c>
      <c r="J192" s="85">
        <v>0</v>
      </c>
      <c r="K192" s="85" t="s">
        <v>254</v>
      </c>
      <c r="L192" s="85" t="s">
        <v>254</v>
      </c>
      <c r="M192" s="85">
        <v>0</v>
      </c>
      <c r="N192" s="85" t="s">
        <v>254</v>
      </c>
      <c r="O192" s="85">
        <v>0</v>
      </c>
      <c r="P192" s="85">
        <v>0</v>
      </c>
      <c r="Q192" s="85">
        <v>0</v>
      </c>
      <c r="R192" s="85"/>
      <c r="S192" s="86"/>
    </row>
    <row r="193" spans="1:19" ht="15">
      <c r="A193" s="70">
        <v>30</v>
      </c>
      <c r="B193" s="70"/>
      <c r="C193" s="72" t="s">
        <v>407</v>
      </c>
      <c r="D193" s="72" t="s">
        <v>254</v>
      </c>
      <c r="E193" s="85">
        <v>94734958.340000004</v>
      </c>
      <c r="F193" s="85" t="s">
        <v>254</v>
      </c>
      <c r="G193" s="85">
        <v>0</v>
      </c>
      <c r="H193" s="85" t="s">
        <v>254</v>
      </c>
      <c r="I193" s="85">
        <v>94734958.340000004</v>
      </c>
      <c r="J193" s="85">
        <v>0</v>
      </c>
      <c r="K193" s="85" t="s">
        <v>254</v>
      </c>
      <c r="L193" s="85" t="s">
        <v>254</v>
      </c>
      <c r="M193" s="85">
        <v>0</v>
      </c>
      <c r="N193" s="85" t="s">
        <v>254</v>
      </c>
      <c r="O193" s="85">
        <v>0</v>
      </c>
      <c r="P193" s="85">
        <v>0</v>
      </c>
      <c r="Q193" s="85">
        <v>0</v>
      </c>
      <c r="R193" s="85"/>
      <c r="S193" s="86"/>
    </row>
    <row r="194" spans="1:19" ht="15">
      <c r="A194" s="70" t="s">
        <v>254</v>
      </c>
      <c r="B194" s="70"/>
      <c r="C194" s="72" t="s">
        <v>254</v>
      </c>
      <c r="D194" s="72" t="s">
        <v>254</v>
      </c>
      <c r="E194" s="85" t="s">
        <v>254</v>
      </c>
      <c r="F194" s="85" t="s">
        <v>254</v>
      </c>
      <c r="G194" s="85" t="s">
        <v>254</v>
      </c>
      <c r="H194" s="85" t="s">
        <v>254</v>
      </c>
      <c r="I194" s="85" t="s">
        <v>254</v>
      </c>
      <c r="J194" s="85" t="s">
        <v>254</v>
      </c>
      <c r="K194" s="85" t="s">
        <v>254</v>
      </c>
      <c r="L194" s="85" t="s">
        <v>254</v>
      </c>
      <c r="M194" s="85" t="s">
        <v>254</v>
      </c>
      <c r="N194" s="85" t="s">
        <v>254</v>
      </c>
      <c r="O194" s="85" t="s">
        <v>254</v>
      </c>
      <c r="P194" s="85" t="s">
        <v>254</v>
      </c>
      <c r="Q194" s="85" t="s">
        <v>254</v>
      </c>
      <c r="R194" s="85"/>
      <c r="S194" s="86"/>
    </row>
    <row r="195" spans="1:19" ht="15">
      <c r="A195" s="70" t="s">
        <v>254</v>
      </c>
      <c r="B195" s="70"/>
      <c r="C195" s="72" t="s">
        <v>408</v>
      </c>
      <c r="D195" s="72" t="s">
        <v>254</v>
      </c>
      <c r="E195" s="85" t="s">
        <v>254</v>
      </c>
      <c r="F195" s="85" t="s">
        <v>254</v>
      </c>
      <c r="G195" s="85" t="s">
        <v>254</v>
      </c>
      <c r="H195" s="85" t="s">
        <v>254</v>
      </c>
      <c r="I195" s="85" t="s">
        <v>254</v>
      </c>
      <c r="J195" s="85" t="s">
        <v>254</v>
      </c>
      <c r="K195" s="85" t="s">
        <v>254</v>
      </c>
      <c r="L195" s="85" t="s">
        <v>254</v>
      </c>
      <c r="M195" s="85" t="s">
        <v>254</v>
      </c>
      <c r="N195" s="85" t="s">
        <v>254</v>
      </c>
      <c r="O195" s="85" t="s">
        <v>254</v>
      </c>
      <c r="P195" s="85" t="s">
        <v>254</v>
      </c>
      <c r="Q195" s="85" t="s">
        <v>254</v>
      </c>
      <c r="R195" s="85"/>
      <c r="S195" s="86"/>
    </row>
    <row r="196" spans="1:19" ht="15">
      <c r="A196" s="70">
        <v>31</v>
      </c>
      <c r="B196" s="94" t="str">
        <f t="shared" ref="B196:B204" si="12">MID(C196,2,3)</f>
        <v>360</v>
      </c>
      <c r="C196" s="72" t="s">
        <v>363</v>
      </c>
      <c r="D196" s="72" t="s">
        <v>409</v>
      </c>
      <c r="E196" s="85">
        <v>5040.2300000000005</v>
      </c>
      <c r="F196" s="85" t="s">
        <v>254</v>
      </c>
      <c r="G196" s="85">
        <v>0</v>
      </c>
      <c r="H196" s="85" t="s">
        <v>254</v>
      </c>
      <c r="I196" s="85">
        <v>0</v>
      </c>
      <c r="J196" s="85">
        <v>5040.2300000000005</v>
      </c>
      <c r="K196" s="85" t="s">
        <v>254</v>
      </c>
      <c r="L196" s="85" t="s">
        <v>254</v>
      </c>
      <c r="M196" s="85">
        <v>5040.2300000000005</v>
      </c>
      <c r="N196" s="85" t="s">
        <v>254</v>
      </c>
      <c r="O196" s="85">
        <v>0</v>
      </c>
      <c r="P196" s="85">
        <v>0</v>
      </c>
      <c r="Q196" s="85">
        <v>0</v>
      </c>
      <c r="R196" s="85"/>
      <c r="S196" s="86"/>
    </row>
    <row r="197" spans="1:19" ht="15">
      <c r="A197" s="70">
        <v>32</v>
      </c>
      <c r="B197" s="94" t="str">
        <f t="shared" si="12"/>
        <v>361</v>
      </c>
      <c r="C197" s="72" t="s">
        <v>365</v>
      </c>
      <c r="D197" s="72" t="s">
        <v>410</v>
      </c>
      <c r="E197" s="85">
        <v>2575.89</v>
      </c>
      <c r="F197" s="85" t="s">
        <v>254</v>
      </c>
      <c r="G197" s="85">
        <v>0</v>
      </c>
      <c r="H197" s="85" t="s">
        <v>254</v>
      </c>
      <c r="I197" s="85">
        <v>0</v>
      </c>
      <c r="J197" s="85">
        <v>2575.89</v>
      </c>
      <c r="K197" s="85" t="s">
        <v>254</v>
      </c>
      <c r="L197" s="85" t="s">
        <v>254</v>
      </c>
      <c r="M197" s="85">
        <v>2575.89</v>
      </c>
      <c r="N197" s="85" t="s">
        <v>254</v>
      </c>
      <c r="O197" s="85">
        <v>0</v>
      </c>
      <c r="P197" s="85">
        <v>0</v>
      </c>
      <c r="Q197" s="85">
        <v>0</v>
      </c>
      <c r="R197" s="85"/>
      <c r="S197" s="86"/>
    </row>
    <row r="198" spans="1:19" ht="15">
      <c r="A198" s="70">
        <v>33</v>
      </c>
      <c r="B198" s="94" t="str">
        <f t="shared" si="12"/>
        <v>362</v>
      </c>
      <c r="C198" s="72" t="s">
        <v>367</v>
      </c>
      <c r="D198" s="72" t="s">
        <v>411</v>
      </c>
      <c r="E198" s="85">
        <v>66887.25</v>
      </c>
      <c r="F198" s="85" t="s">
        <v>254</v>
      </c>
      <c r="G198" s="85">
        <v>0</v>
      </c>
      <c r="H198" s="85" t="s">
        <v>254</v>
      </c>
      <c r="I198" s="85">
        <v>0</v>
      </c>
      <c r="J198" s="85">
        <v>66887.25</v>
      </c>
      <c r="K198" s="85" t="s">
        <v>254</v>
      </c>
      <c r="L198" s="85" t="s">
        <v>254</v>
      </c>
      <c r="M198" s="85">
        <v>66887.25</v>
      </c>
      <c r="N198" s="85" t="s">
        <v>254</v>
      </c>
      <c r="O198" s="85">
        <v>0</v>
      </c>
      <c r="P198" s="85">
        <v>0</v>
      </c>
      <c r="Q198" s="85">
        <v>0</v>
      </c>
      <c r="R198" s="85"/>
      <c r="S198" s="86"/>
    </row>
    <row r="199" spans="1:19" ht="15">
      <c r="A199" s="70">
        <v>34</v>
      </c>
      <c r="B199" s="94" t="str">
        <f t="shared" si="12"/>
        <v>364</v>
      </c>
      <c r="C199" s="72" t="s">
        <v>369</v>
      </c>
      <c r="D199" s="72" t="s">
        <v>412</v>
      </c>
      <c r="E199" s="85">
        <v>47785.56</v>
      </c>
      <c r="F199" s="85" t="s">
        <v>254</v>
      </c>
      <c r="G199" s="85">
        <v>0</v>
      </c>
      <c r="H199" s="85" t="s">
        <v>254</v>
      </c>
      <c r="I199" s="85">
        <v>0</v>
      </c>
      <c r="J199" s="85">
        <v>47785.56</v>
      </c>
      <c r="K199" s="85" t="s">
        <v>254</v>
      </c>
      <c r="L199" s="85" t="s">
        <v>254</v>
      </c>
      <c r="M199" s="85">
        <v>47785.56</v>
      </c>
      <c r="N199" s="85" t="s">
        <v>254</v>
      </c>
      <c r="O199" s="85">
        <v>0</v>
      </c>
      <c r="P199" s="85">
        <v>0</v>
      </c>
      <c r="Q199" s="85">
        <v>0</v>
      </c>
      <c r="R199" s="85"/>
      <c r="S199" s="86"/>
    </row>
    <row r="200" spans="1:19" ht="15">
      <c r="A200" s="70">
        <v>35</v>
      </c>
      <c r="B200" s="94" t="str">
        <f t="shared" si="12"/>
        <v>365</v>
      </c>
      <c r="C200" s="72" t="s">
        <v>371</v>
      </c>
      <c r="D200" s="72" t="s">
        <v>413</v>
      </c>
      <c r="E200" s="85">
        <v>46763.219999999994</v>
      </c>
      <c r="F200" s="85" t="s">
        <v>254</v>
      </c>
      <c r="G200" s="85">
        <v>0</v>
      </c>
      <c r="H200" s="85" t="s">
        <v>254</v>
      </c>
      <c r="I200" s="85">
        <v>0</v>
      </c>
      <c r="J200" s="85">
        <v>46763.219999999994</v>
      </c>
      <c r="K200" s="85" t="s">
        <v>254</v>
      </c>
      <c r="L200" s="85" t="s">
        <v>254</v>
      </c>
      <c r="M200" s="85">
        <v>46763.219999999994</v>
      </c>
      <c r="N200" s="85" t="s">
        <v>254</v>
      </c>
      <c r="O200" s="85">
        <v>0</v>
      </c>
      <c r="P200" s="85">
        <v>0</v>
      </c>
      <c r="Q200" s="85">
        <v>0</v>
      </c>
      <c r="R200" s="85"/>
      <c r="S200" s="86"/>
    </row>
    <row r="201" spans="1:19" ht="15">
      <c r="A201" s="70">
        <v>36</v>
      </c>
      <c r="B201" s="94" t="str">
        <f t="shared" si="12"/>
        <v>368</v>
      </c>
      <c r="C201" s="72" t="s">
        <v>377</v>
      </c>
      <c r="D201" s="72" t="s">
        <v>414</v>
      </c>
      <c r="E201" s="85">
        <v>3118.2799999999997</v>
      </c>
      <c r="F201" s="85" t="s">
        <v>254</v>
      </c>
      <c r="G201" s="85">
        <v>0</v>
      </c>
      <c r="H201" s="85" t="s">
        <v>254</v>
      </c>
      <c r="I201" s="85">
        <v>0</v>
      </c>
      <c r="J201" s="85">
        <v>3118.2799999999997</v>
      </c>
      <c r="K201" s="85" t="s">
        <v>254</v>
      </c>
      <c r="L201" s="85" t="s">
        <v>254</v>
      </c>
      <c r="M201" s="85">
        <v>3118.2799999999997</v>
      </c>
      <c r="N201" s="85" t="s">
        <v>254</v>
      </c>
      <c r="O201" s="85">
        <v>0</v>
      </c>
      <c r="P201" s="85">
        <v>0</v>
      </c>
      <c r="Q201" s="85">
        <v>0</v>
      </c>
      <c r="R201" s="85"/>
      <c r="S201" s="86"/>
    </row>
    <row r="202" spans="1:19" ht="15">
      <c r="A202" s="70">
        <v>37</v>
      </c>
      <c r="B202" s="94" t="str">
        <f t="shared" si="12"/>
        <v>369</v>
      </c>
      <c r="C202" s="72" t="s">
        <v>383</v>
      </c>
      <c r="D202" s="72" t="s">
        <v>415</v>
      </c>
      <c r="E202" s="85">
        <v>254.62</v>
      </c>
      <c r="F202" s="85" t="s">
        <v>254</v>
      </c>
      <c r="G202" s="85">
        <v>0</v>
      </c>
      <c r="H202" s="85" t="s">
        <v>254</v>
      </c>
      <c r="I202" s="85">
        <v>0</v>
      </c>
      <c r="J202" s="85">
        <v>254.62</v>
      </c>
      <c r="K202" s="85" t="s">
        <v>254</v>
      </c>
      <c r="L202" s="85" t="s">
        <v>254</v>
      </c>
      <c r="M202" s="85">
        <v>254.62</v>
      </c>
      <c r="N202" s="85" t="s">
        <v>254</v>
      </c>
      <c r="O202" s="85">
        <v>0</v>
      </c>
      <c r="P202" s="85">
        <v>0</v>
      </c>
      <c r="Q202" s="85">
        <v>0</v>
      </c>
      <c r="R202" s="85"/>
      <c r="S202" s="86"/>
    </row>
    <row r="203" spans="1:19" ht="15">
      <c r="A203" s="70">
        <v>38</v>
      </c>
      <c r="B203" s="94" t="str">
        <f t="shared" si="12"/>
        <v>370</v>
      </c>
      <c r="C203" s="72" t="s">
        <v>385</v>
      </c>
      <c r="D203" s="72" t="s">
        <v>416</v>
      </c>
      <c r="E203" s="85">
        <v>4199.21</v>
      </c>
      <c r="F203" s="85" t="s">
        <v>254</v>
      </c>
      <c r="G203" s="85">
        <v>0</v>
      </c>
      <c r="H203" s="85" t="s">
        <v>254</v>
      </c>
      <c r="I203" s="85">
        <v>0</v>
      </c>
      <c r="J203" s="85">
        <v>4199.21</v>
      </c>
      <c r="K203" s="85" t="s">
        <v>254</v>
      </c>
      <c r="L203" s="85" t="s">
        <v>254</v>
      </c>
      <c r="M203" s="85">
        <v>4199.21</v>
      </c>
      <c r="N203" s="85" t="s">
        <v>254</v>
      </c>
      <c r="O203" s="85">
        <v>0</v>
      </c>
      <c r="P203" s="85">
        <v>0</v>
      </c>
      <c r="Q203" s="85">
        <v>0</v>
      </c>
      <c r="R203" s="85"/>
      <c r="S203" s="86"/>
    </row>
    <row r="204" spans="1:19" ht="15">
      <c r="A204" s="70">
        <v>39</v>
      </c>
      <c r="B204" s="94" t="str">
        <f t="shared" si="12"/>
        <v>371</v>
      </c>
      <c r="C204" s="72" t="s">
        <v>387</v>
      </c>
      <c r="D204" s="72" t="s">
        <v>417</v>
      </c>
      <c r="E204" s="85">
        <v>0</v>
      </c>
      <c r="F204" s="85" t="s">
        <v>254</v>
      </c>
      <c r="G204" s="85">
        <v>0</v>
      </c>
      <c r="H204" s="85" t="s">
        <v>254</v>
      </c>
      <c r="I204" s="85">
        <v>0</v>
      </c>
      <c r="J204" s="85">
        <v>0</v>
      </c>
      <c r="K204" s="85" t="s">
        <v>254</v>
      </c>
      <c r="L204" s="85" t="s">
        <v>254</v>
      </c>
      <c r="M204" s="85">
        <v>0</v>
      </c>
      <c r="N204" s="85" t="s">
        <v>254</v>
      </c>
      <c r="O204" s="85">
        <v>0</v>
      </c>
      <c r="P204" s="85">
        <v>0</v>
      </c>
      <c r="Q204" s="85">
        <v>0</v>
      </c>
      <c r="R204" s="85"/>
      <c r="S204" s="86"/>
    </row>
    <row r="205" spans="1:19" ht="15">
      <c r="A205" s="70">
        <v>40</v>
      </c>
      <c r="B205" s="70"/>
      <c r="C205" s="72" t="s">
        <v>418</v>
      </c>
      <c r="D205" s="72" t="s">
        <v>254</v>
      </c>
      <c r="E205" s="85">
        <v>176624.25999999998</v>
      </c>
      <c r="F205" s="85" t="s">
        <v>254</v>
      </c>
      <c r="G205" s="85">
        <v>0</v>
      </c>
      <c r="H205" s="85" t="s">
        <v>254</v>
      </c>
      <c r="I205" s="85">
        <v>0</v>
      </c>
      <c r="J205" s="85">
        <v>176624.25999999998</v>
      </c>
      <c r="K205" s="85" t="s">
        <v>254</v>
      </c>
      <c r="L205" s="85" t="s">
        <v>254</v>
      </c>
      <c r="M205" s="85">
        <v>176624.25999999998</v>
      </c>
      <c r="N205" s="85" t="s">
        <v>254</v>
      </c>
      <c r="O205" s="85">
        <v>0</v>
      </c>
      <c r="P205" s="85">
        <v>0</v>
      </c>
      <c r="Q205" s="85">
        <v>0</v>
      </c>
      <c r="R205" s="85"/>
      <c r="S205" s="86"/>
    </row>
    <row r="206" spans="1:19" ht="15">
      <c r="A206" s="70" t="s">
        <v>254</v>
      </c>
      <c r="B206" s="70"/>
      <c r="C206" s="72" t="s">
        <v>254</v>
      </c>
      <c r="D206" s="72" t="s">
        <v>254</v>
      </c>
      <c r="E206" s="85" t="s">
        <v>254</v>
      </c>
      <c r="F206" s="85" t="s">
        <v>254</v>
      </c>
      <c r="G206" s="85" t="s">
        <v>254</v>
      </c>
      <c r="H206" s="85" t="s">
        <v>254</v>
      </c>
      <c r="I206" s="85" t="s">
        <v>254</v>
      </c>
      <c r="J206" s="85" t="s">
        <v>254</v>
      </c>
      <c r="K206" s="85" t="s">
        <v>254</v>
      </c>
      <c r="L206" s="85" t="s">
        <v>254</v>
      </c>
      <c r="M206" s="85" t="s">
        <v>254</v>
      </c>
      <c r="N206" s="85" t="s">
        <v>254</v>
      </c>
      <c r="O206" s="85" t="s">
        <v>254</v>
      </c>
      <c r="P206" s="85" t="s">
        <v>254</v>
      </c>
      <c r="Q206" s="85" t="s">
        <v>254</v>
      </c>
      <c r="R206" s="85"/>
      <c r="S206" s="86"/>
    </row>
    <row r="207" spans="1:19" ht="15">
      <c r="A207" s="70">
        <v>41</v>
      </c>
      <c r="B207" s="70"/>
      <c r="C207" s="72" t="s">
        <v>419</v>
      </c>
      <c r="D207" s="72" t="s">
        <v>254</v>
      </c>
      <c r="E207" s="85">
        <v>1766868470.6999998</v>
      </c>
      <c r="F207" s="85" t="s">
        <v>254</v>
      </c>
      <c r="G207" s="85">
        <v>1667037042.1265695</v>
      </c>
      <c r="H207" s="85" t="s">
        <v>254</v>
      </c>
      <c r="I207" s="85">
        <v>94734958.340000004</v>
      </c>
      <c r="J207" s="85">
        <v>5096470.2334303223</v>
      </c>
      <c r="K207" s="85" t="s">
        <v>254</v>
      </c>
      <c r="L207" s="85" t="s">
        <v>254</v>
      </c>
      <c r="M207" s="85">
        <v>176624.25999999998</v>
      </c>
      <c r="N207" s="85" t="s">
        <v>254</v>
      </c>
      <c r="O207" s="85">
        <v>4919845.9734303225</v>
      </c>
      <c r="P207" s="85">
        <v>4264490.992525544</v>
      </c>
      <c r="Q207" s="85">
        <v>655354.980904778</v>
      </c>
      <c r="R207" s="85"/>
      <c r="S207" s="86"/>
    </row>
    <row r="208" spans="1:19" ht="15">
      <c r="A208" s="70" t="s">
        <v>254</v>
      </c>
      <c r="B208" s="70"/>
      <c r="C208" s="72" t="s">
        <v>254</v>
      </c>
      <c r="D208" s="72" t="s">
        <v>254</v>
      </c>
      <c r="E208" s="85" t="s">
        <v>254</v>
      </c>
      <c r="F208" s="85" t="s">
        <v>254</v>
      </c>
      <c r="G208" s="85" t="s">
        <v>254</v>
      </c>
      <c r="H208" s="85" t="s">
        <v>254</v>
      </c>
      <c r="I208" s="85" t="s">
        <v>254</v>
      </c>
      <c r="J208" s="85" t="s">
        <v>254</v>
      </c>
      <c r="K208" s="85" t="s">
        <v>254</v>
      </c>
      <c r="L208" s="85" t="s">
        <v>254</v>
      </c>
      <c r="M208" s="85" t="s">
        <v>254</v>
      </c>
      <c r="N208" s="85" t="s">
        <v>254</v>
      </c>
      <c r="O208" s="85" t="s">
        <v>254</v>
      </c>
      <c r="P208" s="85" t="s">
        <v>254</v>
      </c>
      <c r="Q208" s="85" t="s">
        <v>254</v>
      </c>
      <c r="R208" s="85"/>
      <c r="S208" s="86"/>
    </row>
    <row r="209" spans="1:19" ht="15">
      <c r="A209" s="70" t="s">
        <v>254</v>
      </c>
      <c r="B209" s="70"/>
      <c r="C209" s="72" t="s">
        <v>340</v>
      </c>
      <c r="D209" s="72" t="s">
        <v>254</v>
      </c>
      <c r="E209" s="85" t="s">
        <v>254</v>
      </c>
      <c r="F209" s="85" t="s">
        <v>254</v>
      </c>
      <c r="G209" s="85" t="s">
        <v>254</v>
      </c>
      <c r="H209" s="85" t="s">
        <v>254</v>
      </c>
      <c r="I209" s="85" t="s">
        <v>254</v>
      </c>
      <c r="J209" s="85" t="s">
        <v>254</v>
      </c>
      <c r="K209" s="85" t="s">
        <v>254</v>
      </c>
      <c r="L209" s="85" t="s">
        <v>254</v>
      </c>
      <c r="M209" s="85" t="s">
        <v>254</v>
      </c>
      <c r="N209" s="85" t="s">
        <v>254</v>
      </c>
      <c r="O209" s="85" t="s">
        <v>254</v>
      </c>
      <c r="P209" s="85" t="s">
        <v>254</v>
      </c>
      <c r="Q209" s="85" t="s">
        <v>254</v>
      </c>
      <c r="R209" s="85"/>
      <c r="S209" s="86"/>
    </row>
    <row r="210" spans="1:19" ht="15">
      <c r="A210" s="70" t="s">
        <v>254</v>
      </c>
      <c r="B210" s="70"/>
      <c r="C210" s="72" t="s">
        <v>254</v>
      </c>
      <c r="D210" s="72" t="s">
        <v>254</v>
      </c>
      <c r="E210" s="85" t="s">
        <v>254</v>
      </c>
      <c r="F210" s="85" t="s">
        <v>254</v>
      </c>
      <c r="G210" s="85" t="s">
        <v>254</v>
      </c>
      <c r="H210" s="85" t="s">
        <v>254</v>
      </c>
      <c r="I210" s="85" t="s">
        <v>254</v>
      </c>
      <c r="J210" s="85" t="s">
        <v>254</v>
      </c>
      <c r="K210" s="85" t="s">
        <v>254</v>
      </c>
      <c r="L210" s="85" t="s">
        <v>254</v>
      </c>
      <c r="M210" s="85" t="s">
        <v>254</v>
      </c>
      <c r="N210" s="85" t="s">
        <v>254</v>
      </c>
      <c r="O210" s="85" t="s">
        <v>254</v>
      </c>
      <c r="P210" s="85" t="s">
        <v>254</v>
      </c>
      <c r="Q210" s="85" t="s">
        <v>254</v>
      </c>
      <c r="R210" s="85"/>
      <c r="S210" s="86"/>
    </row>
    <row r="211" spans="1:19" ht="15">
      <c r="A211" s="70" t="s">
        <v>254</v>
      </c>
      <c r="B211" s="70"/>
      <c r="C211" s="72" t="s">
        <v>420</v>
      </c>
      <c r="D211" s="72" t="s">
        <v>254</v>
      </c>
      <c r="E211" s="85" t="s">
        <v>254</v>
      </c>
      <c r="F211" s="85" t="s">
        <v>254</v>
      </c>
      <c r="G211" s="85" t="s">
        <v>254</v>
      </c>
      <c r="H211" s="85" t="s">
        <v>254</v>
      </c>
      <c r="I211" s="85" t="s">
        <v>254</v>
      </c>
      <c r="J211" s="85" t="s">
        <v>254</v>
      </c>
      <c r="K211" s="85" t="s">
        <v>254</v>
      </c>
      <c r="L211" s="85" t="s">
        <v>254</v>
      </c>
      <c r="M211" s="85" t="s">
        <v>254</v>
      </c>
      <c r="N211" s="85" t="s">
        <v>254</v>
      </c>
      <c r="O211" s="85" t="s">
        <v>254</v>
      </c>
      <c r="P211" s="85" t="s">
        <v>254</v>
      </c>
      <c r="Q211" s="85" t="s">
        <v>254</v>
      </c>
      <c r="R211" s="85"/>
      <c r="S211" s="86"/>
    </row>
    <row r="212" spans="1:19" ht="15">
      <c r="A212" s="70">
        <v>1</v>
      </c>
      <c r="B212" s="94" t="str">
        <f t="shared" ref="B212:B219" si="13">MID(C212,2,3)</f>
        <v>389</v>
      </c>
      <c r="C212" s="72" t="s">
        <v>421</v>
      </c>
      <c r="D212" s="72" t="s">
        <v>422</v>
      </c>
      <c r="E212" s="85">
        <v>3410792.0699999989</v>
      </c>
      <c r="F212" s="85" t="s">
        <v>254</v>
      </c>
      <c r="G212" s="85">
        <v>3077943.0983137204</v>
      </c>
      <c r="H212" s="85" t="s">
        <v>254</v>
      </c>
      <c r="I212" s="85">
        <v>161538.18777796911</v>
      </c>
      <c r="J212" s="85">
        <v>171310.78390830953</v>
      </c>
      <c r="K212" s="85" t="s">
        <v>254</v>
      </c>
      <c r="L212" s="85" t="s">
        <v>254</v>
      </c>
      <c r="M212" s="85">
        <v>77.981376474196111</v>
      </c>
      <c r="N212" s="85" t="s">
        <v>254</v>
      </c>
      <c r="O212" s="85">
        <v>171232.80253183533</v>
      </c>
      <c r="P212" s="85">
        <v>54660.689590616385</v>
      </c>
      <c r="Q212" s="85">
        <v>116572.11294121896</v>
      </c>
      <c r="R212" s="85"/>
      <c r="S212" s="86"/>
    </row>
    <row r="213" spans="1:19" ht="15">
      <c r="A213" s="70">
        <v>2</v>
      </c>
      <c r="B213" s="94" t="str">
        <f t="shared" si="13"/>
        <v>390</v>
      </c>
      <c r="C213" s="72" t="s">
        <v>423</v>
      </c>
      <c r="D213" s="72" t="s">
        <v>422</v>
      </c>
      <c r="E213" s="85">
        <v>61758524.859999985</v>
      </c>
      <c r="F213" s="85" t="s">
        <v>254</v>
      </c>
      <c r="G213" s="85">
        <v>55731695.58673019</v>
      </c>
      <c r="H213" s="85" t="s">
        <v>254</v>
      </c>
      <c r="I213" s="85">
        <v>2924939.4219815498</v>
      </c>
      <c r="J213" s="85">
        <v>3101889.8512882441</v>
      </c>
      <c r="K213" s="85" t="s">
        <v>254</v>
      </c>
      <c r="L213" s="85" t="s">
        <v>254</v>
      </c>
      <c r="M213" s="85">
        <v>1411.9930733856372</v>
      </c>
      <c r="N213" s="85" t="s">
        <v>254</v>
      </c>
      <c r="O213" s="85">
        <v>3100477.8582148585</v>
      </c>
      <c r="P213" s="85">
        <v>989730.09426130902</v>
      </c>
      <c r="Q213" s="85">
        <v>2110747.7639535493</v>
      </c>
      <c r="R213" s="85"/>
      <c r="S213" s="86"/>
    </row>
    <row r="214" spans="1:19" ht="15">
      <c r="A214" s="70">
        <v>3</v>
      </c>
      <c r="B214" s="94" t="str">
        <f t="shared" si="13"/>
        <v>391</v>
      </c>
      <c r="C214" s="72" t="s">
        <v>424</v>
      </c>
      <c r="D214" s="72" t="s">
        <v>422</v>
      </c>
      <c r="E214" s="85">
        <v>45046030.169999965</v>
      </c>
      <c r="F214" s="85" t="s">
        <v>254</v>
      </c>
      <c r="G214" s="85">
        <v>40650123.145203352</v>
      </c>
      <c r="H214" s="85" t="s">
        <v>254</v>
      </c>
      <c r="I214" s="85">
        <v>2133420.6046320256</v>
      </c>
      <c r="J214" s="85">
        <v>2262486.420164586</v>
      </c>
      <c r="K214" s="85" t="s">
        <v>254</v>
      </c>
      <c r="L214" s="85" t="s">
        <v>254</v>
      </c>
      <c r="M214" s="85">
        <v>1029.8931641865709</v>
      </c>
      <c r="N214" s="85" t="s">
        <v>254</v>
      </c>
      <c r="O214" s="85">
        <v>2261456.5270003993</v>
      </c>
      <c r="P214" s="85">
        <v>721898.90848781914</v>
      </c>
      <c r="Q214" s="85">
        <v>1539557.6185125802</v>
      </c>
      <c r="R214" s="85"/>
      <c r="S214" s="86"/>
    </row>
    <row r="215" spans="1:19" ht="15">
      <c r="A215" s="70">
        <v>4</v>
      </c>
      <c r="B215" s="94" t="str">
        <f t="shared" si="13"/>
        <v>392</v>
      </c>
      <c r="C215" s="72" t="s">
        <v>425</v>
      </c>
      <c r="D215" s="72" t="s">
        <v>422</v>
      </c>
      <c r="E215" s="85">
        <v>7277719.419999999</v>
      </c>
      <c r="F215" s="85" t="s">
        <v>254</v>
      </c>
      <c r="G215" s="85">
        <v>6567508.602262211</v>
      </c>
      <c r="H215" s="85" t="s">
        <v>254</v>
      </c>
      <c r="I215" s="85">
        <v>344679.35369139421</v>
      </c>
      <c r="J215" s="85">
        <v>365531.46404639317</v>
      </c>
      <c r="K215" s="85" t="s">
        <v>254</v>
      </c>
      <c r="L215" s="85" t="s">
        <v>254</v>
      </c>
      <c r="M215" s="85">
        <v>166.39143234685315</v>
      </c>
      <c r="N215" s="85" t="s">
        <v>254</v>
      </c>
      <c r="O215" s="85">
        <v>365365.07261404634</v>
      </c>
      <c r="P215" s="85">
        <v>116631.31436335864</v>
      </c>
      <c r="Q215" s="85">
        <v>248733.75825068768</v>
      </c>
      <c r="R215" s="85"/>
      <c r="S215" s="86"/>
    </row>
    <row r="216" spans="1:19" ht="15">
      <c r="A216" s="70">
        <v>5</v>
      </c>
      <c r="B216" s="94" t="str">
        <f t="shared" si="13"/>
        <v>393</v>
      </c>
      <c r="C216" s="72" t="s">
        <v>426</v>
      </c>
      <c r="D216" s="72" t="s">
        <v>422</v>
      </c>
      <c r="E216" s="85">
        <v>1513641.69</v>
      </c>
      <c r="F216" s="85" t="s">
        <v>254</v>
      </c>
      <c r="G216" s="85">
        <v>1365929.9357569506</v>
      </c>
      <c r="H216" s="85" t="s">
        <v>254</v>
      </c>
      <c r="I216" s="85">
        <v>71687.43521436138</v>
      </c>
      <c r="J216" s="85">
        <v>76024.319028687809</v>
      </c>
      <c r="K216" s="85" t="s">
        <v>254</v>
      </c>
      <c r="L216" s="85" t="s">
        <v>254</v>
      </c>
      <c r="M216" s="85">
        <v>34.606584058033313</v>
      </c>
      <c r="N216" s="85" t="s">
        <v>254</v>
      </c>
      <c r="O216" s="85">
        <v>75989.712444629782</v>
      </c>
      <c r="P216" s="85">
        <v>24257.326999269702</v>
      </c>
      <c r="Q216" s="85">
        <v>51732.385445360072</v>
      </c>
      <c r="R216" s="85"/>
      <c r="S216" s="86"/>
    </row>
    <row r="217" spans="1:19" ht="15">
      <c r="A217" s="70">
        <v>6</v>
      </c>
      <c r="B217" s="94" t="str">
        <f t="shared" si="13"/>
        <v>394</v>
      </c>
      <c r="C217" s="72" t="s">
        <v>427</v>
      </c>
      <c r="D217" s="72" t="s">
        <v>422</v>
      </c>
      <c r="E217" s="85">
        <v>13321798.329999998</v>
      </c>
      <c r="F217" s="85" t="s">
        <v>254</v>
      </c>
      <c r="G217" s="85">
        <v>12021763.973126262</v>
      </c>
      <c r="H217" s="85" t="s">
        <v>254</v>
      </c>
      <c r="I217" s="85">
        <v>630932.38051646331</v>
      </c>
      <c r="J217" s="85">
        <v>669101.97635727155</v>
      </c>
      <c r="K217" s="85" t="s">
        <v>254</v>
      </c>
      <c r="L217" s="85" t="s">
        <v>254</v>
      </c>
      <c r="M217" s="85">
        <v>304.57798351954273</v>
      </c>
      <c r="N217" s="85" t="s">
        <v>254</v>
      </c>
      <c r="O217" s="85">
        <v>668797.39837375202</v>
      </c>
      <c r="P217" s="85">
        <v>213492.54611845096</v>
      </c>
      <c r="Q217" s="85">
        <v>455304.85225530103</v>
      </c>
      <c r="R217" s="85"/>
      <c r="S217" s="86"/>
    </row>
    <row r="218" spans="1:19" ht="15">
      <c r="A218" s="70">
        <v>7</v>
      </c>
      <c r="B218" s="94" t="str">
        <f t="shared" si="13"/>
        <v>395</v>
      </c>
      <c r="C218" s="72" t="s">
        <v>428</v>
      </c>
      <c r="D218" s="72" t="s">
        <v>422</v>
      </c>
      <c r="E218" s="85">
        <v>0</v>
      </c>
      <c r="F218" s="85" t="s">
        <v>254</v>
      </c>
      <c r="G218" s="85">
        <v>0</v>
      </c>
      <c r="H218" s="85" t="s">
        <v>254</v>
      </c>
      <c r="I218" s="85">
        <v>0</v>
      </c>
      <c r="J218" s="85">
        <v>0</v>
      </c>
      <c r="K218" s="85" t="s">
        <v>254</v>
      </c>
      <c r="L218" s="85" t="s">
        <v>254</v>
      </c>
      <c r="M218" s="85">
        <v>0</v>
      </c>
      <c r="N218" s="85" t="s">
        <v>254</v>
      </c>
      <c r="O218" s="85">
        <v>0</v>
      </c>
      <c r="P218" s="85">
        <v>0</v>
      </c>
      <c r="Q218" s="85">
        <v>0</v>
      </c>
      <c r="R218" s="85"/>
      <c r="S218" s="86"/>
    </row>
    <row r="219" spans="1:19" ht="15">
      <c r="A219" s="70">
        <v>8</v>
      </c>
      <c r="B219" s="94" t="str">
        <f t="shared" si="13"/>
        <v>396</v>
      </c>
      <c r="C219" s="72" t="s">
        <v>429</v>
      </c>
      <c r="D219" s="72" t="s">
        <v>422</v>
      </c>
      <c r="E219" s="85">
        <v>2370876.7599999993</v>
      </c>
      <c r="F219" s="85" t="s">
        <v>254</v>
      </c>
      <c r="G219" s="85">
        <v>2139510.0054851468</v>
      </c>
      <c r="H219" s="85" t="s">
        <v>254</v>
      </c>
      <c r="I219" s="85">
        <v>112286.86105608982</v>
      </c>
      <c r="J219" s="85">
        <v>119079.8934587628</v>
      </c>
      <c r="K219" s="85" t="s">
        <v>254</v>
      </c>
      <c r="L219" s="85" t="s">
        <v>254</v>
      </c>
      <c r="M219" s="85">
        <v>54.205659389691931</v>
      </c>
      <c r="N219" s="85" t="s">
        <v>254</v>
      </c>
      <c r="O219" s="85">
        <v>119025.68779937312</v>
      </c>
      <c r="P219" s="85">
        <v>37995.209316868822</v>
      </c>
      <c r="Q219" s="85">
        <v>81030.478482504288</v>
      </c>
      <c r="R219" s="85"/>
      <c r="S219" s="86"/>
    </row>
    <row r="220" spans="1:19" ht="15">
      <c r="A220" s="70" t="s">
        <v>254</v>
      </c>
      <c r="C220" s="72" t="s">
        <v>430</v>
      </c>
      <c r="D220" s="72" t="s">
        <v>254</v>
      </c>
      <c r="E220" s="85" t="s">
        <v>254</v>
      </c>
      <c r="F220" s="85" t="s">
        <v>254</v>
      </c>
      <c r="G220" s="85" t="s">
        <v>254</v>
      </c>
      <c r="H220" s="85" t="s">
        <v>254</v>
      </c>
      <c r="I220" s="85" t="s">
        <v>254</v>
      </c>
      <c r="J220" s="85" t="s">
        <v>254</v>
      </c>
      <c r="K220" s="85" t="s">
        <v>254</v>
      </c>
      <c r="L220" s="85" t="s">
        <v>254</v>
      </c>
      <c r="M220" s="85" t="s">
        <v>254</v>
      </c>
      <c r="N220" s="85" t="s">
        <v>254</v>
      </c>
      <c r="O220" s="85" t="s">
        <v>254</v>
      </c>
      <c r="P220" s="85" t="s">
        <v>254</v>
      </c>
      <c r="Q220" s="85" t="s">
        <v>254</v>
      </c>
      <c r="R220" s="85"/>
      <c r="S220" s="86"/>
    </row>
    <row r="221" spans="1:19" ht="15">
      <c r="A221" s="70">
        <v>9</v>
      </c>
      <c r="B221" s="70"/>
      <c r="C221" s="72" t="s">
        <v>431</v>
      </c>
      <c r="D221" s="72" t="s">
        <v>432</v>
      </c>
      <c r="E221" s="85">
        <v>9232004.7799999975</v>
      </c>
      <c r="F221" s="85" t="s">
        <v>254</v>
      </c>
      <c r="G221" s="85">
        <v>9232004.7799999975</v>
      </c>
      <c r="H221" s="85" t="s">
        <v>254</v>
      </c>
      <c r="I221" s="85">
        <v>0</v>
      </c>
      <c r="J221" s="85">
        <v>0</v>
      </c>
      <c r="K221" s="85" t="s">
        <v>254</v>
      </c>
      <c r="L221" s="85" t="s">
        <v>254</v>
      </c>
      <c r="M221" s="85">
        <v>0</v>
      </c>
      <c r="N221" s="85" t="s">
        <v>254</v>
      </c>
      <c r="O221" s="85">
        <v>0</v>
      </c>
      <c r="P221" s="85">
        <v>0</v>
      </c>
      <c r="Q221" s="85">
        <v>0</v>
      </c>
      <c r="R221" s="85"/>
      <c r="S221" s="86"/>
    </row>
    <row r="222" spans="1:19" ht="15">
      <c r="A222" s="70">
        <v>10</v>
      </c>
      <c r="B222" s="70"/>
      <c r="C222" s="72" t="s">
        <v>380</v>
      </c>
      <c r="D222" s="72" t="s">
        <v>422</v>
      </c>
      <c r="E222" s="85">
        <v>46739606.389999993</v>
      </c>
      <c r="F222" s="85" t="s">
        <v>254</v>
      </c>
      <c r="G222" s="85">
        <v>42178428.339667268</v>
      </c>
      <c r="H222" s="85" t="s">
        <v>254</v>
      </c>
      <c r="I222" s="85">
        <v>2213629.901425268</v>
      </c>
      <c r="J222" s="85">
        <v>2347548.1489074575</v>
      </c>
      <c r="K222" s="85" t="s">
        <v>254</v>
      </c>
      <c r="L222" s="85" t="s">
        <v>254</v>
      </c>
      <c r="M222" s="85">
        <v>1068.6136144776285</v>
      </c>
      <c r="N222" s="85" t="s">
        <v>254</v>
      </c>
      <c r="O222" s="85">
        <v>2346479.5352929798</v>
      </c>
      <c r="P222" s="85">
        <v>749039.83122940129</v>
      </c>
      <c r="Q222" s="85">
        <v>1597439.7040635785</v>
      </c>
      <c r="R222" s="85"/>
      <c r="S222" s="86"/>
    </row>
    <row r="223" spans="1:19" ht="15">
      <c r="A223" s="70">
        <v>11</v>
      </c>
      <c r="B223" s="94">
        <v>397</v>
      </c>
      <c r="C223" s="72" t="s">
        <v>433</v>
      </c>
      <c r="D223" s="72" t="s">
        <v>254</v>
      </c>
      <c r="E223" s="85">
        <v>55971611.169999987</v>
      </c>
      <c r="F223" s="85" t="s">
        <v>254</v>
      </c>
      <c r="G223" s="85">
        <v>51410433.119667262</v>
      </c>
      <c r="H223" s="85" t="s">
        <v>254</v>
      </c>
      <c r="I223" s="85">
        <v>2213629.901425268</v>
      </c>
      <c r="J223" s="85">
        <v>2347548.1489074575</v>
      </c>
      <c r="K223" s="85" t="s">
        <v>254</v>
      </c>
      <c r="L223" s="85" t="s">
        <v>254</v>
      </c>
      <c r="M223" s="85">
        <v>1068.6136144776285</v>
      </c>
      <c r="N223" s="85" t="s">
        <v>254</v>
      </c>
      <c r="O223" s="85">
        <v>2346479.5352929798</v>
      </c>
      <c r="P223" s="85">
        <v>749039.83122940129</v>
      </c>
      <c r="Q223" s="85">
        <v>1597439.7040635785</v>
      </c>
      <c r="R223" s="85"/>
      <c r="S223" s="86"/>
    </row>
    <row r="224" spans="1:19" ht="15">
      <c r="A224" s="70">
        <v>12</v>
      </c>
      <c r="B224" s="94" t="str">
        <f>MID(C224,2,3)</f>
        <v>398</v>
      </c>
      <c r="C224" s="72" t="s">
        <v>434</v>
      </c>
      <c r="D224" s="72" t="s">
        <v>422</v>
      </c>
      <c r="E224" s="85">
        <v>0</v>
      </c>
      <c r="F224" s="85" t="s">
        <v>254</v>
      </c>
      <c r="G224" s="85">
        <v>0</v>
      </c>
      <c r="H224" s="85" t="s">
        <v>254</v>
      </c>
      <c r="I224" s="85">
        <v>0</v>
      </c>
      <c r="J224" s="85">
        <v>0</v>
      </c>
      <c r="K224" s="85" t="s">
        <v>254</v>
      </c>
      <c r="L224" s="85" t="s">
        <v>254</v>
      </c>
      <c r="M224" s="85">
        <v>0</v>
      </c>
      <c r="N224" s="85" t="s">
        <v>254</v>
      </c>
      <c r="O224" s="85">
        <v>0</v>
      </c>
      <c r="P224" s="85">
        <v>0</v>
      </c>
      <c r="Q224" s="85">
        <v>0</v>
      </c>
      <c r="R224" s="85"/>
      <c r="S224" s="86"/>
    </row>
    <row r="225" spans="1:19" ht="15">
      <c r="A225" s="70">
        <v>13</v>
      </c>
      <c r="B225" s="70"/>
      <c r="C225" s="72" t="s">
        <v>435</v>
      </c>
      <c r="D225" s="72" t="s">
        <v>254</v>
      </c>
      <c r="E225" s="85">
        <v>190670994.46999994</v>
      </c>
      <c r="F225" s="85" t="s">
        <v>254</v>
      </c>
      <c r="G225" s="85">
        <v>172964907.4665451</v>
      </c>
      <c r="H225" s="85" t="s">
        <v>254</v>
      </c>
      <c r="I225" s="85">
        <v>8593114.1462951209</v>
      </c>
      <c r="J225" s="85">
        <v>9112972.8571597114</v>
      </c>
      <c r="K225" s="85" t="s">
        <v>254</v>
      </c>
      <c r="L225" s="85" t="s">
        <v>254</v>
      </c>
      <c r="M225" s="85">
        <v>4148.2628878381529</v>
      </c>
      <c r="N225" s="85" t="s">
        <v>254</v>
      </c>
      <c r="O225" s="85">
        <v>9108824.5942718741</v>
      </c>
      <c r="P225" s="85">
        <v>2907705.9203670938</v>
      </c>
      <c r="Q225" s="85">
        <v>6201118.6739047803</v>
      </c>
      <c r="R225" s="85"/>
      <c r="S225" s="86"/>
    </row>
    <row r="226" spans="1:19" ht="15">
      <c r="A226" s="70" t="s">
        <v>254</v>
      </c>
      <c r="B226" s="70"/>
      <c r="C226" s="72" t="s">
        <v>254</v>
      </c>
      <c r="D226" s="72" t="s">
        <v>254</v>
      </c>
      <c r="E226" s="85" t="s">
        <v>254</v>
      </c>
      <c r="F226" s="85" t="s">
        <v>254</v>
      </c>
      <c r="G226" s="85" t="s">
        <v>254</v>
      </c>
      <c r="H226" s="85" t="s">
        <v>254</v>
      </c>
      <c r="I226" s="85" t="s">
        <v>254</v>
      </c>
      <c r="J226" s="85" t="s">
        <v>254</v>
      </c>
      <c r="K226" s="85" t="s">
        <v>254</v>
      </c>
      <c r="L226" s="85" t="s">
        <v>254</v>
      </c>
      <c r="M226" s="85" t="s">
        <v>254</v>
      </c>
      <c r="N226" s="85" t="s">
        <v>254</v>
      </c>
      <c r="O226" s="85" t="s">
        <v>254</v>
      </c>
      <c r="P226" s="85" t="s">
        <v>254</v>
      </c>
      <c r="Q226" s="85" t="s">
        <v>254</v>
      </c>
      <c r="R226" s="85"/>
      <c r="S226" s="86"/>
    </row>
    <row r="227" spans="1:19" ht="15">
      <c r="A227" s="70" t="s">
        <v>254</v>
      </c>
      <c r="B227" s="70"/>
      <c r="C227" s="72" t="s">
        <v>436</v>
      </c>
      <c r="D227" s="72" t="s">
        <v>254</v>
      </c>
      <c r="E227" s="85" t="s">
        <v>254</v>
      </c>
      <c r="F227" s="85" t="s">
        <v>254</v>
      </c>
      <c r="G227" s="85" t="s">
        <v>254</v>
      </c>
      <c r="H227" s="85" t="s">
        <v>254</v>
      </c>
      <c r="I227" s="85" t="s">
        <v>254</v>
      </c>
      <c r="J227" s="85" t="s">
        <v>254</v>
      </c>
      <c r="K227" s="85" t="s">
        <v>254</v>
      </c>
      <c r="L227" s="85" t="s">
        <v>254</v>
      </c>
      <c r="M227" s="85" t="s">
        <v>254</v>
      </c>
      <c r="N227" s="85" t="s">
        <v>254</v>
      </c>
      <c r="O227" s="85" t="s">
        <v>254</v>
      </c>
      <c r="P227" s="85" t="s">
        <v>254</v>
      </c>
      <c r="Q227" s="85" t="s">
        <v>254</v>
      </c>
      <c r="R227" s="85"/>
      <c r="S227" s="86"/>
    </row>
    <row r="228" spans="1:19" ht="15">
      <c r="A228" s="70">
        <v>14</v>
      </c>
      <c r="B228" s="70"/>
      <c r="C228" s="72" t="s">
        <v>437</v>
      </c>
      <c r="D228" s="72" t="s">
        <v>307</v>
      </c>
      <c r="E228" s="85">
        <v>309540.84999999998</v>
      </c>
      <c r="F228" s="85" t="s">
        <v>254</v>
      </c>
      <c r="G228" s="85">
        <v>271088.83674773236</v>
      </c>
      <c r="H228" s="85" t="s">
        <v>254</v>
      </c>
      <c r="I228" s="85">
        <v>12527.982436047074</v>
      </c>
      <c r="J228" s="85">
        <v>25924.030816220558</v>
      </c>
      <c r="K228" s="85" t="s">
        <v>254</v>
      </c>
      <c r="L228" s="85" t="s">
        <v>254</v>
      </c>
      <c r="M228" s="85">
        <v>0.95258633134382964</v>
      </c>
      <c r="N228" s="85" t="s">
        <v>254</v>
      </c>
      <c r="O228" s="85">
        <v>25923.078229889215</v>
      </c>
      <c r="P228" s="85">
        <v>8045.4575557725902</v>
      </c>
      <c r="Q228" s="85">
        <v>17877.620674116624</v>
      </c>
      <c r="R228" s="85"/>
      <c r="S228" s="86"/>
    </row>
    <row r="229" spans="1:19" ht="15">
      <c r="A229" s="70">
        <v>15</v>
      </c>
      <c r="B229" s="70"/>
      <c r="C229" s="72" t="s">
        <v>438</v>
      </c>
      <c r="D229" s="72" t="s">
        <v>344</v>
      </c>
      <c r="E229" s="85">
        <v>0</v>
      </c>
      <c r="F229" s="85" t="s">
        <v>254</v>
      </c>
      <c r="G229" s="85">
        <v>0</v>
      </c>
      <c r="H229" s="85" t="s">
        <v>254</v>
      </c>
      <c r="I229" s="85">
        <v>0</v>
      </c>
      <c r="J229" s="85">
        <v>0</v>
      </c>
      <c r="K229" s="85" t="s">
        <v>254</v>
      </c>
      <c r="L229" s="85" t="s">
        <v>254</v>
      </c>
      <c r="M229" s="85">
        <v>0</v>
      </c>
      <c r="N229" s="85" t="s">
        <v>254</v>
      </c>
      <c r="O229" s="85">
        <v>0</v>
      </c>
      <c r="P229" s="85">
        <v>0</v>
      </c>
      <c r="Q229" s="85">
        <v>0</v>
      </c>
      <c r="R229" s="85"/>
      <c r="S229" s="86"/>
    </row>
    <row r="230" spans="1:19" ht="15">
      <c r="A230" s="70">
        <v>16</v>
      </c>
      <c r="B230" s="70"/>
      <c r="C230" s="72" t="s">
        <v>439</v>
      </c>
      <c r="D230" s="72" t="s">
        <v>2426</v>
      </c>
      <c r="E230" s="85">
        <v>437970.09</v>
      </c>
      <c r="F230" s="85" t="s">
        <v>254</v>
      </c>
      <c r="G230" s="85">
        <v>113882.25</v>
      </c>
      <c r="H230" s="85" t="s">
        <v>254</v>
      </c>
      <c r="I230" s="85">
        <v>324087.84000000003</v>
      </c>
      <c r="J230" s="85">
        <v>0</v>
      </c>
      <c r="K230" s="85" t="s">
        <v>254</v>
      </c>
      <c r="L230" s="85" t="s">
        <v>254</v>
      </c>
      <c r="M230" s="85">
        <v>0</v>
      </c>
      <c r="N230" s="85" t="s">
        <v>254</v>
      </c>
      <c r="O230" s="85">
        <v>0</v>
      </c>
      <c r="P230" s="85">
        <v>0</v>
      </c>
      <c r="Q230" s="85">
        <v>0</v>
      </c>
      <c r="R230" s="85"/>
      <c r="S230" s="86"/>
    </row>
    <row r="231" spans="1:19" ht="15">
      <c r="A231" s="70">
        <v>17</v>
      </c>
      <c r="B231" s="70"/>
      <c r="C231" s="72" t="s">
        <v>440</v>
      </c>
      <c r="D231" s="72" t="s">
        <v>422</v>
      </c>
      <c r="E231" s="85">
        <v>0</v>
      </c>
      <c r="F231" s="85" t="s">
        <v>254</v>
      </c>
      <c r="G231" s="85">
        <v>0</v>
      </c>
      <c r="H231" s="85" t="s">
        <v>254</v>
      </c>
      <c r="I231" s="85">
        <v>0</v>
      </c>
      <c r="J231" s="85">
        <v>0</v>
      </c>
      <c r="K231" s="85" t="s">
        <v>254</v>
      </c>
      <c r="L231" s="85" t="s">
        <v>254</v>
      </c>
      <c r="M231" s="85">
        <v>0</v>
      </c>
      <c r="N231" s="85" t="s">
        <v>254</v>
      </c>
      <c r="O231" s="85">
        <v>0</v>
      </c>
      <c r="P231" s="85">
        <v>0</v>
      </c>
      <c r="Q231" s="85">
        <v>0</v>
      </c>
      <c r="R231" s="85"/>
      <c r="S231" s="86"/>
    </row>
    <row r="232" spans="1:19" ht="15">
      <c r="A232" s="70">
        <v>18</v>
      </c>
      <c r="B232" s="70"/>
      <c r="C232" s="72" t="s">
        <v>441</v>
      </c>
      <c r="D232" s="72" t="s">
        <v>254</v>
      </c>
      <c r="E232" s="85">
        <v>747510.94000000006</v>
      </c>
      <c r="F232" s="85" t="s">
        <v>254</v>
      </c>
      <c r="G232" s="85">
        <v>384971.08674773236</v>
      </c>
      <c r="H232" s="85" t="s">
        <v>254</v>
      </c>
      <c r="I232" s="85">
        <v>336615.82243604708</v>
      </c>
      <c r="J232" s="85">
        <v>25924.030816220558</v>
      </c>
      <c r="K232" s="85" t="s">
        <v>254</v>
      </c>
      <c r="L232" s="85" t="s">
        <v>254</v>
      </c>
      <c r="M232" s="85">
        <v>0.95258633134382964</v>
      </c>
      <c r="N232" s="85" t="s">
        <v>254</v>
      </c>
      <c r="O232" s="85">
        <v>25923.078229889215</v>
      </c>
      <c r="P232" s="85">
        <v>8045.4575557725902</v>
      </c>
      <c r="Q232" s="85">
        <v>17877.620674116624</v>
      </c>
      <c r="R232" s="85"/>
      <c r="S232" s="86"/>
    </row>
    <row r="233" spans="1:19" ht="15">
      <c r="A233" s="70" t="s">
        <v>254</v>
      </c>
      <c r="B233" s="70"/>
      <c r="C233" s="72" t="s">
        <v>254</v>
      </c>
      <c r="D233" s="72" t="s">
        <v>254</v>
      </c>
      <c r="E233" s="85" t="s">
        <v>254</v>
      </c>
      <c r="F233" s="85" t="s">
        <v>254</v>
      </c>
      <c r="G233" s="85" t="s">
        <v>254</v>
      </c>
      <c r="H233" s="85" t="s">
        <v>254</v>
      </c>
      <c r="I233" s="85" t="s">
        <v>254</v>
      </c>
      <c r="J233" s="85" t="s">
        <v>254</v>
      </c>
      <c r="K233" s="85" t="s">
        <v>254</v>
      </c>
      <c r="L233" s="85" t="s">
        <v>254</v>
      </c>
      <c r="M233" s="85" t="s">
        <v>254</v>
      </c>
      <c r="N233" s="85" t="s">
        <v>254</v>
      </c>
      <c r="O233" s="85" t="s">
        <v>254</v>
      </c>
      <c r="P233" s="85" t="s">
        <v>254</v>
      </c>
      <c r="Q233" s="85" t="s">
        <v>254</v>
      </c>
      <c r="R233" s="85"/>
      <c r="S233" s="86"/>
    </row>
    <row r="234" spans="1:19" ht="15">
      <c r="A234" s="70">
        <v>19</v>
      </c>
      <c r="B234" s="70"/>
      <c r="C234" s="72" t="s">
        <v>442</v>
      </c>
      <c r="D234" s="72" t="s">
        <v>254</v>
      </c>
      <c r="E234" s="85">
        <v>9283387172.6699963</v>
      </c>
      <c r="F234" s="85" t="s">
        <v>254</v>
      </c>
      <c r="G234" s="85">
        <v>8236955902.1613598</v>
      </c>
      <c r="H234" s="85" t="s">
        <v>254</v>
      </c>
      <c r="I234" s="85">
        <v>460936917.02036798</v>
      </c>
      <c r="J234" s="85">
        <v>585494353.48826849</v>
      </c>
      <c r="K234" s="85" t="s">
        <v>254</v>
      </c>
      <c r="L234" s="85" t="s">
        <v>254</v>
      </c>
      <c r="M234" s="85">
        <v>205173.4119882911</v>
      </c>
      <c r="N234" s="85" t="s">
        <v>254</v>
      </c>
      <c r="O234" s="85">
        <v>585289180.07628024</v>
      </c>
      <c r="P234" s="85">
        <v>184499062.45623788</v>
      </c>
      <c r="Q234" s="85">
        <v>400790117.62004232</v>
      </c>
      <c r="R234" s="85"/>
      <c r="S234" s="86"/>
    </row>
    <row r="235" spans="1:19" ht="15">
      <c r="A235" s="70" t="s">
        <v>254</v>
      </c>
      <c r="B235" s="70"/>
      <c r="C235" s="72" t="s">
        <v>254</v>
      </c>
      <c r="D235" s="72" t="s">
        <v>254</v>
      </c>
      <c r="E235" s="85" t="s">
        <v>254</v>
      </c>
      <c r="F235" s="85" t="s">
        <v>254</v>
      </c>
      <c r="G235" s="85" t="s">
        <v>254</v>
      </c>
      <c r="H235" s="85" t="s">
        <v>254</v>
      </c>
      <c r="I235" s="85" t="s">
        <v>254</v>
      </c>
      <c r="J235" s="85" t="s">
        <v>254</v>
      </c>
      <c r="K235" s="85" t="s">
        <v>254</v>
      </c>
      <c r="L235" s="85" t="s">
        <v>254</v>
      </c>
      <c r="M235" s="85" t="s">
        <v>254</v>
      </c>
      <c r="N235" s="85" t="s">
        <v>254</v>
      </c>
      <c r="O235" s="85" t="s">
        <v>254</v>
      </c>
      <c r="P235" s="85" t="s">
        <v>254</v>
      </c>
      <c r="Q235" s="85" t="s">
        <v>254</v>
      </c>
      <c r="R235" s="85"/>
      <c r="S235" s="86"/>
    </row>
    <row r="236" spans="1:19" ht="15">
      <c r="A236" s="70" t="s">
        <v>254</v>
      </c>
      <c r="B236" s="70"/>
      <c r="C236" s="72" t="s">
        <v>340</v>
      </c>
      <c r="D236" s="72" t="s">
        <v>254</v>
      </c>
      <c r="E236" s="85" t="s">
        <v>254</v>
      </c>
      <c r="F236" s="85" t="s">
        <v>254</v>
      </c>
      <c r="G236" s="85" t="s">
        <v>254</v>
      </c>
      <c r="H236" s="85" t="s">
        <v>254</v>
      </c>
      <c r="I236" s="85" t="s">
        <v>254</v>
      </c>
      <c r="J236" s="85" t="s">
        <v>254</v>
      </c>
      <c r="K236" s="85" t="s">
        <v>254</v>
      </c>
      <c r="L236" s="85" t="s">
        <v>254</v>
      </c>
      <c r="M236" s="85" t="s">
        <v>254</v>
      </c>
      <c r="N236" s="85" t="s">
        <v>254</v>
      </c>
      <c r="O236" s="85" t="s">
        <v>254</v>
      </c>
      <c r="P236" s="85" t="s">
        <v>254</v>
      </c>
      <c r="Q236" s="85" t="s">
        <v>254</v>
      </c>
      <c r="R236" s="85"/>
      <c r="S236" s="86"/>
    </row>
    <row r="237" spans="1:19" ht="15">
      <c r="A237" s="70" t="s">
        <v>254</v>
      </c>
      <c r="B237" s="70"/>
      <c r="C237" s="72" t="s">
        <v>254</v>
      </c>
      <c r="D237" s="72" t="s">
        <v>254</v>
      </c>
      <c r="E237" s="85" t="s">
        <v>254</v>
      </c>
      <c r="F237" s="85" t="s">
        <v>254</v>
      </c>
      <c r="G237" s="85" t="s">
        <v>254</v>
      </c>
      <c r="H237" s="85" t="s">
        <v>254</v>
      </c>
      <c r="I237" s="85" t="s">
        <v>254</v>
      </c>
      <c r="J237" s="85" t="s">
        <v>254</v>
      </c>
      <c r="K237" s="85" t="s">
        <v>254</v>
      </c>
      <c r="L237" s="85" t="s">
        <v>254</v>
      </c>
      <c r="M237" s="85" t="s">
        <v>254</v>
      </c>
      <c r="N237" s="85" t="s">
        <v>254</v>
      </c>
      <c r="O237" s="85" t="s">
        <v>254</v>
      </c>
      <c r="P237" s="85" t="s">
        <v>254</v>
      </c>
      <c r="Q237" s="85" t="s">
        <v>254</v>
      </c>
      <c r="R237" s="85"/>
      <c r="S237" s="86"/>
    </row>
    <row r="238" spans="1:19" ht="15">
      <c r="A238" s="70" t="s">
        <v>254</v>
      </c>
      <c r="B238" s="70"/>
      <c r="C238" s="72" t="s">
        <v>443</v>
      </c>
      <c r="D238" s="72" t="s">
        <v>254</v>
      </c>
      <c r="E238" s="85" t="s">
        <v>254</v>
      </c>
      <c r="F238" s="85" t="s">
        <v>254</v>
      </c>
      <c r="G238" s="85" t="s">
        <v>254</v>
      </c>
      <c r="H238" s="85" t="s">
        <v>254</v>
      </c>
      <c r="I238" s="85" t="s">
        <v>254</v>
      </c>
      <c r="J238" s="85" t="s">
        <v>254</v>
      </c>
      <c r="K238" s="85" t="s">
        <v>254</v>
      </c>
      <c r="L238" s="85" t="s">
        <v>254</v>
      </c>
      <c r="M238" s="85" t="s">
        <v>254</v>
      </c>
      <c r="N238" s="85" t="s">
        <v>254</v>
      </c>
      <c r="O238" s="85" t="s">
        <v>254</v>
      </c>
      <c r="P238" s="85" t="s">
        <v>254</v>
      </c>
      <c r="Q238" s="85" t="s">
        <v>254</v>
      </c>
      <c r="R238" s="85"/>
      <c r="S238" s="86"/>
    </row>
    <row r="239" spans="1:19" ht="15">
      <c r="A239" s="70" t="s">
        <v>254</v>
      </c>
      <c r="B239" s="70"/>
      <c r="C239" s="72" t="s">
        <v>254</v>
      </c>
      <c r="D239" s="72" t="s">
        <v>254</v>
      </c>
      <c r="E239" s="85" t="s">
        <v>254</v>
      </c>
      <c r="F239" s="85" t="s">
        <v>254</v>
      </c>
      <c r="G239" s="85" t="s">
        <v>254</v>
      </c>
      <c r="H239" s="85" t="s">
        <v>254</v>
      </c>
      <c r="I239" s="85" t="s">
        <v>254</v>
      </c>
      <c r="J239" s="85" t="s">
        <v>254</v>
      </c>
      <c r="K239" s="85" t="s">
        <v>254</v>
      </c>
      <c r="L239" s="85" t="s">
        <v>254</v>
      </c>
      <c r="M239" s="85" t="s">
        <v>254</v>
      </c>
      <c r="N239" s="85" t="s">
        <v>254</v>
      </c>
      <c r="O239" s="85" t="s">
        <v>254</v>
      </c>
      <c r="P239" s="85" t="s">
        <v>254</v>
      </c>
      <c r="Q239" s="85" t="s">
        <v>254</v>
      </c>
      <c r="R239" s="85"/>
      <c r="S239" s="86"/>
    </row>
    <row r="240" spans="1:19" ht="15">
      <c r="A240" s="70" t="s">
        <v>254</v>
      </c>
      <c r="B240" s="70"/>
      <c r="C240" s="72" t="s">
        <v>444</v>
      </c>
      <c r="D240" s="72" t="s">
        <v>254</v>
      </c>
      <c r="E240" s="85" t="s">
        <v>254</v>
      </c>
      <c r="F240" s="85" t="s">
        <v>254</v>
      </c>
      <c r="G240" s="85" t="s">
        <v>254</v>
      </c>
      <c r="H240" s="85" t="s">
        <v>254</v>
      </c>
      <c r="I240" s="85" t="s">
        <v>254</v>
      </c>
      <c r="J240" s="85" t="s">
        <v>254</v>
      </c>
      <c r="K240" s="85" t="s">
        <v>254</v>
      </c>
      <c r="L240" s="85" t="s">
        <v>254</v>
      </c>
      <c r="M240" s="85" t="s">
        <v>254</v>
      </c>
      <c r="N240" s="85" t="s">
        <v>254</v>
      </c>
      <c r="O240" s="85" t="s">
        <v>254</v>
      </c>
      <c r="P240" s="85" t="s">
        <v>254</v>
      </c>
      <c r="Q240" s="85" t="s">
        <v>254</v>
      </c>
      <c r="R240" s="85"/>
      <c r="S240" s="86"/>
    </row>
    <row r="241" spans="1:19" ht="15">
      <c r="A241" s="70" t="s">
        <v>254</v>
      </c>
      <c r="B241" s="70"/>
      <c r="C241" s="72" t="s">
        <v>445</v>
      </c>
      <c r="D241" s="72" t="s">
        <v>254</v>
      </c>
      <c r="E241" s="85" t="s">
        <v>254</v>
      </c>
      <c r="F241" s="85" t="s">
        <v>254</v>
      </c>
      <c r="G241" s="85" t="s">
        <v>254</v>
      </c>
      <c r="H241" s="85" t="s">
        <v>254</v>
      </c>
      <c r="I241" s="85" t="s">
        <v>254</v>
      </c>
      <c r="J241" s="85" t="s">
        <v>254</v>
      </c>
      <c r="K241" s="85" t="s">
        <v>254</v>
      </c>
      <c r="L241" s="85" t="s">
        <v>254</v>
      </c>
      <c r="M241" s="85" t="s">
        <v>254</v>
      </c>
      <c r="N241" s="85" t="s">
        <v>254</v>
      </c>
      <c r="O241" s="85" t="s">
        <v>254</v>
      </c>
      <c r="P241" s="85" t="s">
        <v>254</v>
      </c>
      <c r="Q241" s="85" t="s">
        <v>254</v>
      </c>
      <c r="R241" s="85"/>
      <c r="S241" s="86"/>
    </row>
    <row r="242" spans="1:19" ht="15">
      <c r="A242" s="70">
        <v>1</v>
      </c>
      <c r="B242" s="70"/>
      <c r="C242" s="72" t="s">
        <v>446</v>
      </c>
      <c r="D242" s="72" t="s">
        <v>447</v>
      </c>
      <c r="E242" s="85">
        <v>1643129107.7907906</v>
      </c>
      <c r="F242" s="85" t="s">
        <v>254</v>
      </c>
      <c r="G242" s="85">
        <v>1439015104.00758</v>
      </c>
      <c r="H242" s="85" t="s">
        <v>254</v>
      </c>
      <c r="I242" s="85">
        <v>66502022.600767307</v>
      </c>
      <c r="J242" s="85">
        <v>137611981.18244311</v>
      </c>
      <c r="K242" s="85" t="s">
        <v>254</v>
      </c>
      <c r="L242" s="85" t="s">
        <v>254</v>
      </c>
      <c r="M242" s="85">
        <v>5056.5937539897859</v>
      </c>
      <c r="N242" s="85" t="s">
        <v>254</v>
      </c>
      <c r="O242" s="85">
        <v>137606924.58868912</v>
      </c>
      <c r="P242" s="85">
        <v>42707531.155856453</v>
      </c>
      <c r="Q242" s="85">
        <v>94899393.432832658</v>
      </c>
      <c r="R242" s="85"/>
      <c r="S242" s="86"/>
    </row>
    <row r="243" spans="1:19" ht="15">
      <c r="A243" s="70">
        <v>2</v>
      </c>
      <c r="B243" s="70"/>
      <c r="C243" s="72" t="s">
        <v>448</v>
      </c>
      <c r="D243" s="72" t="s">
        <v>315</v>
      </c>
      <c r="E243" s="85">
        <v>17261379</v>
      </c>
      <c r="F243" s="85" t="s">
        <v>254</v>
      </c>
      <c r="G243" s="85">
        <v>0</v>
      </c>
      <c r="H243" s="85" t="s">
        <v>254</v>
      </c>
      <c r="I243" s="85">
        <v>5624038.6920074597</v>
      </c>
      <c r="J243" s="85">
        <v>11637340.30799254</v>
      </c>
      <c r="K243" s="85" t="s">
        <v>254</v>
      </c>
      <c r="L243" s="85" t="s">
        <v>254</v>
      </c>
      <c r="M243" s="85">
        <v>0</v>
      </c>
      <c r="N243" s="85" t="s">
        <v>254</v>
      </c>
      <c r="O243" s="85">
        <v>11637340.30799254</v>
      </c>
      <c r="P243" s="85">
        <v>3611751.9177210624</v>
      </c>
      <c r="Q243" s="85">
        <v>8025588.3902714783</v>
      </c>
      <c r="R243" s="85"/>
      <c r="S243" s="86"/>
    </row>
    <row r="244" spans="1:19" ht="15">
      <c r="A244" s="70">
        <v>3</v>
      </c>
      <c r="B244" s="70"/>
      <c r="C244" s="72" t="s">
        <v>449</v>
      </c>
      <c r="D244" s="72" t="s">
        <v>317</v>
      </c>
      <c r="E244" s="85">
        <v>5789302.91666668</v>
      </c>
      <c r="F244" s="85" t="s">
        <v>254</v>
      </c>
      <c r="G244" s="85">
        <v>0</v>
      </c>
      <c r="H244" s="85" t="s">
        <v>254</v>
      </c>
      <c r="I244" s="85">
        <v>0</v>
      </c>
      <c r="J244" s="85">
        <v>5789302.91666668</v>
      </c>
      <c r="K244" s="85" t="s">
        <v>254</v>
      </c>
      <c r="L244" s="85" t="s">
        <v>254</v>
      </c>
      <c r="M244" s="85">
        <v>0</v>
      </c>
      <c r="N244" s="85" t="s">
        <v>254</v>
      </c>
      <c r="O244" s="85">
        <v>5789302.91666668</v>
      </c>
      <c r="P244" s="85">
        <v>1796761.5759400225</v>
      </c>
      <c r="Q244" s="85">
        <v>3992541.3407266573</v>
      </c>
      <c r="R244" s="85"/>
      <c r="S244" s="86"/>
    </row>
    <row r="245" spans="1:19" ht="15">
      <c r="A245" s="70">
        <v>4</v>
      </c>
      <c r="B245" s="70"/>
      <c r="C245" s="72" t="s">
        <v>450</v>
      </c>
      <c r="D245" s="72" t="s">
        <v>254</v>
      </c>
      <c r="E245" s="85">
        <v>1666179789.7074571</v>
      </c>
      <c r="F245" s="85" t="s">
        <v>254</v>
      </c>
      <c r="G245" s="85">
        <v>1439015104.00758</v>
      </c>
      <c r="H245" s="85" t="s">
        <v>254</v>
      </c>
      <c r="I245" s="85">
        <v>72126061.292774767</v>
      </c>
      <c r="J245" s="85">
        <v>155038624.40710235</v>
      </c>
      <c r="K245" s="85" t="s">
        <v>254</v>
      </c>
      <c r="L245" s="85" t="s">
        <v>254</v>
      </c>
      <c r="M245" s="85">
        <v>5056.5937539897859</v>
      </c>
      <c r="N245" s="85" t="s">
        <v>254</v>
      </c>
      <c r="O245" s="85">
        <v>155033567.81334835</v>
      </c>
      <c r="P245" s="85">
        <v>48116044.649517536</v>
      </c>
      <c r="Q245" s="85">
        <v>106917523.1638308</v>
      </c>
      <c r="R245" s="85"/>
      <c r="S245" s="86"/>
    </row>
    <row r="246" spans="1:19" ht="15">
      <c r="A246" s="70" t="s">
        <v>254</v>
      </c>
      <c r="B246" s="70"/>
      <c r="C246" s="72" t="s">
        <v>254</v>
      </c>
      <c r="D246" s="72" t="s">
        <v>254</v>
      </c>
      <c r="E246" s="85" t="s">
        <v>254</v>
      </c>
      <c r="F246" s="85" t="s">
        <v>254</v>
      </c>
      <c r="G246" s="85" t="s">
        <v>254</v>
      </c>
      <c r="H246" s="85" t="s">
        <v>254</v>
      </c>
      <c r="I246" s="85" t="s">
        <v>254</v>
      </c>
      <c r="J246" s="85" t="s">
        <v>254</v>
      </c>
      <c r="K246" s="85" t="s">
        <v>254</v>
      </c>
      <c r="L246" s="85" t="s">
        <v>254</v>
      </c>
      <c r="M246" s="85" t="s">
        <v>254</v>
      </c>
      <c r="N246" s="85" t="s">
        <v>254</v>
      </c>
      <c r="O246" s="85" t="s">
        <v>254</v>
      </c>
      <c r="P246" s="85" t="s">
        <v>254</v>
      </c>
      <c r="Q246" s="85" t="s">
        <v>254</v>
      </c>
      <c r="R246" s="85"/>
      <c r="S246" s="86"/>
    </row>
    <row r="247" spans="1:19" ht="15">
      <c r="A247" s="70" t="s">
        <v>254</v>
      </c>
      <c r="B247" s="70"/>
      <c r="C247" s="72" t="s">
        <v>451</v>
      </c>
      <c r="D247" s="72" t="s">
        <v>254</v>
      </c>
      <c r="E247" s="85" t="s">
        <v>254</v>
      </c>
      <c r="F247" s="85" t="s">
        <v>254</v>
      </c>
      <c r="G247" s="85" t="s">
        <v>254</v>
      </c>
      <c r="H247" s="85" t="s">
        <v>254</v>
      </c>
      <c r="I247" s="85" t="s">
        <v>254</v>
      </c>
      <c r="J247" s="85" t="s">
        <v>254</v>
      </c>
      <c r="K247" s="85" t="s">
        <v>254</v>
      </c>
      <c r="L247" s="85" t="s">
        <v>254</v>
      </c>
      <c r="M247" s="85" t="s">
        <v>254</v>
      </c>
      <c r="N247" s="85" t="s">
        <v>254</v>
      </c>
      <c r="O247" s="85" t="s">
        <v>254</v>
      </c>
      <c r="P247" s="85" t="s">
        <v>254</v>
      </c>
      <c r="Q247" s="85" t="s">
        <v>254</v>
      </c>
      <c r="R247" s="85"/>
      <c r="S247" s="86"/>
    </row>
    <row r="248" spans="1:19" ht="15">
      <c r="A248" s="70">
        <v>5</v>
      </c>
      <c r="B248" s="70"/>
      <c r="C248" s="72" t="s">
        <v>446</v>
      </c>
      <c r="D248" s="72" t="s">
        <v>452</v>
      </c>
      <c r="E248" s="85">
        <v>11973500.92117748</v>
      </c>
      <c r="F248" s="85" t="s">
        <v>254</v>
      </c>
      <c r="G248" s="85">
        <v>10486119.801376473</v>
      </c>
      <c r="H248" s="85" t="s">
        <v>254</v>
      </c>
      <c r="I248" s="85">
        <v>484601.01223636523</v>
      </c>
      <c r="J248" s="85">
        <v>1002780.1075646405</v>
      </c>
      <c r="K248" s="85" t="s">
        <v>254</v>
      </c>
      <c r="L248" s="85" t="s">
        <v>254</v>
      </c>
      <c r="M248" s="85">
        <v>36.84745750309343</v>
      </c>
      <c r="N248" s="85" t="s">
        <v>254</v>
      </c>
      <c r="O248" s="85">
        <v>1002743.2601071374</v>
      </c>
      <c r="P248" s="85">
        <v>311210.27630226314</v>
      </c>
      <c r="Q248" s="85">
        <v>691532.98380487424</v>
      </c>
      <c r="R248" s="85"/>
      <c r="S248" s="86"/>
    </row>
    <row r="249" spans="1:19" ht="15">
      <c r="A249" s="70">
        <v>6</v>
      </c>
      <c r="B249" s="70"/>
      <c r="C249" s="72" t="s">
        <v>448</v>
      </c>
      <c r="D249" s="72" t="s">
        <v>315</v>
      </c>
      <c r="E249" s="85">
        <v>3348.6666666666597</v>
      </c>
      <c r="F249" s="85" t="s">
        <v>254</v>
      </c>
      <c r="G249" s="85">
        <v>0</v>
      </c>
      <c r="H249" s="85" t="s">
        <v>254</v>
      </c>
      <c r="I249" s="85">
        <v>1091.0501936125115</v>
      </c>
      <c r="J249" s="85">
        <v>2257.6164730541482</v>
      </c>
      <c r="K249" s="85" t="s">
        <v>254</v>
      </c>
      <c r="L249" s="85" t="s">
        <v>254</v>
      </c>
      <c r="M249" s="85">
        <v>0</v>
      </c>
      <c r="N249" s="85" t="s">
        <v>254</v>
      </c>
      <c r="O249" s="85">
        <v>2257.6164730541482</v>
      </c>
      <c r="P249" s="85">
        <v>700.67132267601016</v>
      </c>
      <c r="Q249" s="85">
        <v>1556.9451503781379</v>
      </c>
      <c r="R249" s="85"/>
      <c r="S249" s="86"/>
    </row>
    <row r="250" spans="1:19" ht="15">
      <c r="A250" s="70">
        <v>7</v>
      </c>
      <c r="B250" s="70"/>
      <c r="C250" s="72" t="s">
        <v>449</v>
      </c>
      <c r="D250" s="72" t="s">
        <v>317</v>
      </c>
      <c r="E250" s="85">
        <v>13031.833333333399</v>
      </c>
      <c r="F250" s="85" t="s">
        <v>254</v>
      </c>
      <c r="G250" s="85">
        <v>0</v>
      </c>
      <c r="H250" s="85" t="s">
        <v>254</v>
      </c>
      <c r="I250" s="85">
        <v>0</v>
      </c>
      <c r="J250" s="85">
        <v>13031.833333333399</v>
      </c>
      <c r="K250" s="85" t="s">
        <v>254</v>
      </c>
      <c r="L250" s="85" t="s">
        <v>254</v>
      </c>
      <c r="M250" s="85">
        <v>0</v>
      </c>
      <c r="N250" s="85" t="s">
        <v>254</v>
      </c>
      <c r="O250" s="85">
        <v>13031.833333333399</v>
      </c>
      <c r="P250" s="85">
        <v>4044.5452128577858</v>
      </c>
      <c r="Q250" s="85">
        <v>8987.2881204756141</v>
      </c>
      <c r="R250" s="85"/>
      <c r="S250" s="86"/>
    </row>
    <row r="251" spans="1:19" ht="15">
      <c r="A251" s="70">
        <v>8</v>
      </c>
      <c r="B251" s="70"/>
      <c r="C251" s="72" t="s">
        <v>453</v>
      </c>
      <c r="D251" s="72" t="s">
        <v>254</v>
      </c>
      <c r="E251" s="85">
        <v>11989881.421177479</v>
      </c>
      <c r="F251" s="85" t="s">
        <v>254</v>
      </c>
      <c r="G251" s="85">
        <v>10486119.801376473</v>
      </c>
      <c r="H251" s="85" t="s">
        <v>254</v>
      </c>
      <c r="I251" s="85">
        <v>485692.06242997776</v>
      </c>
      <c r="J251" s="85">
        <v>1018069.557371028</v>
      </c>
      <c r="K251" s="85" t="s">
        <v>254</v>
      </c>
      <c r="L251" s="85" t="s">
        <v>254</v>
      </c>
      <c r="M251" s="85">
        <v>36.84745750309343</v>
      </c>
      <c r="N251" s="85" t="s">
        <v>254</v>
      </c>
      <c r="O251" s="85">
        <v>1018032.7099135249</v>
      </c>
      <c r="P251" s="85">
        <v>315955.49283779692</v>
      </c>
      <c r="Q251" s="85">
        <v>702077.217075728</v>
      </c>
      <c r="R251" s="85"/>
      <c r="S251" s="86"/>
    </row>
    <row r="252" spans="1:19" ht="15">
      <c r="A252" s="70" t="s">
        <v>254</v>
      </c>
      <c r="B252" s="70"/>
      <c r="C252" s="72" t="s">
        <v>254</v>
      </c>
      <c r="D252" s="72" t="s">
        <v>254</v>
      </c>
      <c r="E252" s="85" t="s">
        <v>254</v>
      </c>
      <c r="F252" s="85" t="s">
        <v>254</v>
      </c>
      <c r="G252" s="85" t="s">
        <v>254</v>
      </c>
      <c r="H252" s="85" t="s">
        <v>254</v>
      </c>
      <c r="I252" s="85" t="s">
        <v>254</v>
      </c>
      <c r="J252" s="85" t="s">
        <v>254</v>
      </c>
      <c r="K252" s="85" t="s">
        <v>254</v>
      </c>
      <c r="L252" s="85" t="s">
        <v>254</v>
      </c>
      <c r="M252" s="85" t="s">
        <v>254</v>
      </c>
      <c r="N252" s="85" t="s">
        <v>254</v>
      </c>
      <c r="O252" s="85" t="s">
        <v>254</v>
      </c>
      <c r="P252" s="85" t="s">
        <v>254</v>
      </c>
      <c r="Q252" s="85" t="s">
        <v>254</v>
      </c>
      <c r="R252" s="85"/>
      <c r="S252" s="86"/>
    </row>
    <row r="253" spans="1:19" ht="15">
      <c r="A253" s="70" t="s">
        <v>254</v>
      </c>
      <c r="B253" s="70"/>
      <c r="C253" s="72" t="s">
        <v>454</v>
      </c>
      <c r="D253" s="72" t="s">
        <v>254</v>
      </c>
      <c r="E253" s="85" t="s">
        <v>254</v>
      </c>
      <c r="F253" s="85" t="s">
        <v>254</v>
      </c>
      <c r="G253" s="85" t="s">
        <v>254</v>
      </c>
      <c r="H253" s="85" t="s">
        <v>254</v>
      </c>
      <c r="I253" s="85" t="s">
        <v>254</v>
      </c>
      <c r="J253" s="85" t="s">
        <v>254</v>
      </c>
      <c r="K253" s="85" t="s">
        <v>254</v>
      </c>
      <c r="L253" s="85" t="s">
        <v>254</v>
      </c>
      <c r="M253" s="85" t="s">
        <v>254</v>
      </c>
      <c r="N253" s="85" t="s">
        <v>254</v>
      </c>
      <c r="O253" s="85" t="s">
        <v>254</v>
      </c>
      <c r="P253" s="85" t="s">
        <v>254</v>
      </c>
      <c r="Q253" s="85" t="s">
        <v>254</v>
      </c>
      <c r="R253" s="85"/>
      <c r="S253" s="86"/>
    </row>
    <row r="254" spans="1:19" ht="15">
      <c r="A254" s="70">
        <v>9</v>
      </c>
      <c r="B254" s="70"/>
      <c r="C254" s="72" t="s">
        <v>446</v>
      </c>
      <c r="D254" s="72" t="s">
        <v>455</v>
      </c>
      <c r="E254" s="85">
        <v>286801133.3910833</v>
      </c>
      <c r="F254" s="85" t="s">
        <v>254</v>
      </c>
      <c r="G254" s="85">
        <v>251173910.09593722</v>
      </c>
      <c r="H254" s="85" t="s">
        <v>254</v>
      </c>
      <c r="I254" s="85">
        <v>11607642.615706086</v>
      </c>
      <c r="J254" s="85">
        <v>24019580.679439973</v>
      </c>
      <c r="K254" s="85" t="s">
        <v>254</v>
      </c>
      <c r="L254" s="85" t="s">
        <v>254</v>
      </c>
      <c r="M254" s="85">
        <v>882.60673666259004</v>
      </c>
      <c r="N254" s="85" t="s">
        <v>254</v>
      </c>
      <c r="O254" s="85">
        <v>24018698.072703309</v>
      </c>
      <c r="P254" s="85">
        <v>7454416.2608761769</v>
      </c>
      <c r="Q254" s="85">
        <v>16564281.811827131</v>
      </c>
      <c r="R254" s="85"/>
      <c r="S254" s="86"/>
    </row>
    <row r="255" spans="1:19" ht="15">
      <c r="A255" s="70">
        <v>10</v>
      </c>
      <c r="B255" s="70"/>
      <c r="C255" s="72" t="s">
        <v>448</v>
      </c>
      <c r="D255" s="72" t="s">
        <v>315</v>
      </c>
      <c r="E255" s="85">
        <v>1606</v>
      </c>
      <c r="F255" s="85" t="s">
        <v>254</v>
      </c>
      <c r="G255" s="85">
        <v>0</v>
      </c>
      <c r="H255" s="85" t="s">
        <v>254</v>
      </c>
      <c r="I255" s="85">
        <v>523.26098276180483</v>
      </c>
      <c r="J255" s="85">
        <v>1082.7390172381952</v>
      </c>
      <c r="K255" s="85" t="s">
        <v>254</v>
      </c>
      <c r="L255" s="85" t="s">
        <v>254</v>
      </c>
      <c r="M255" s="85">
        <v>0</v>
      </c>
      <c r="N255" s="85" t="s">
        <v>254</v>
      </c>
      <c r="O255" s="85">
        <v>1082.7390172381952</v>
      </c>
      <c r="P255" s="85">
        <v>336.03766998337886</v>
      </c>
      <c r="Q255" s="85">
        <v>746.70134725481626</v>
      </c>
      <c r="R255" s="85"/>
      <c r="S255" s="86"/>
    </row>
    <row r="256" spans="1:19" ht="15">
      <c r="A256" s="70">
        <v>11</v>
      </c>
      <c r="B256" s="70"/>
      <c r="C256" s="72" t="s">
        <v>449</v>
      </c>
      <c r="D256" s="72" t="s">
        <v>317</v>
      </c>
      <c r="E256" s="85">
        <v>1265688.75</v>
      </c>
      <c r="F256" s="85" t="s">
        <v>254</v>
      </c>
      <c r="G256" s="85">
        <v>0</v>
      </c>
      <c r="H256" s="85" t="s">
        <v>254</v>
      </c>
      <c r="I256" s="85">
        <v>0</v>
      </c>
      <c r="J256" s="85">
        <v>1265688.75</v>
      </c>
      <c r="K256" s="85" t="s">
        <v>254</v>
      </c>
      <c r="L256" s="85" t="s">
        <v>254</v>
      </c>
      <c r="M256" s="85">
        <v>0</v>
      </c>
      <c r="N256" s="85" t="s">
        <v>254</v>
      </c>
      <c r="O256" s="85">
        <v>1265688.75</v>
      </c>
      <c r="P256" s="85">
        <v>392817.7443527077</v>
      </c>
      <c r="Q256" s="85">
        <v>872871.00564729224</v>
      </c>
      <c r="R256" s="85"/>
      <c r="S256" s="86"/>
    </row>
    <row r="257" spans="1:19" ht="15">
      <c r="A257" s="70">
        <v>12</v>
      </c>
      <c r="B257" s="70"/>
      <c r="C257" s="72" t="s">
        <v>456</v>
      </c>
      <c r="D257" s="72" t="s">
        <v>254</v>
      </c>
      <c r="E257" s="85">
        <v>288068428.14108324</v>
      </c>
      <c r="F257" s="85" t="s">
        <v>254</v>
      </c>
      <c r="G257" s="85">
        <v>251173910.09593722</v>
      </c>
      <c r="H257" s="85" t="s">
        <v>254</v>
      </c>
      <c r="I257" s="85">
        <v>11608165.876688847</v>
      </c>
      <c r="J257" s="85">
        <v>25286352.168457206</v>
      </c>
      <c r="K257" s="85" t="s">
        <v>254</v>
      </c>
      <c r="L257" s="85" t="s">
        <v>254</v>
      </c>
      <c r="M257" s="85">
        <v>882.60673666259004</v>
      </c>
      <c r="N257" s="85" t="s">
        <v>254</v>
      </c>
      <c r="O257" s="85">
        <v>25285469.561720543</v>
      </c>
      <c r="P257" s="85">
        <v>7847570.0428988682</v>
      </c>
      <c r="Q257" s="85">
        <v>17437899.518821675</v>
      </c>
      <c r="R257" s="85"/>
      <c r="S257" s="86"/>
    </row>
    <row r="258" spans="1:19" ht="15">
      <c r="A258" s="70" t="s">
        <v>254</v>
      </c>
      <c r="B258" s="70"/>
      <c r="C258" s="72" t="s">
        <v>254</v>
      </c>
      <c r="D258" s="72" t="s">
        <v>254</v>
      </c>
      <c r="E258" s="85" t="s">
        <v>254</v>
      </c>
      <c r="F258" s="85" t="s">
        <v>254</v>
      </c>
      <c r="G258" s="85" t="s">
        <v>254</v>
      </c>
      <c r="H258" s="85" t="s">
        <v>254</v>
      </c>
      <c r="I258" s="85" t="s">
        <v>254</v>
      </c>
      <c r="J258" s="85" t="s">
        <v>254</v>
      </c>
      <c r="K258" s="85" t="s">
        <v>254</v>
      </c>
      <c r="L258" s="85" t="s">
        <v>254</v>
      </c>
      <c r="M258" s="85" t="s">
        <v>254</v>
      </c>
      <c r="N258" s="85" t="s">
        <v>254</v>
      </c>
      <c r="O258" s="85" t="s">
        <v>254</v>
      </c>
      <c r="P258" s="85" t="s">
        <v>254</v>
      </c>
      <c r="Q258" s="85" t="s">
        <v>254</v>
      </c>
      <c r="R258" s="85"/>
      <c r="S258" s="86"/>
    </row>
    <row r="259" spans="1:19" ht="15">
      <c r="A259" s="70">
        <v>13</v>
      </c>
      <c r="B259" s="70"/>
      <c r="C259" s="72" t="s">
        <v>457</v>
      </c>
      <c r="D259" s="72" t="s">
        <v>254</v>
      </c>
      <c r="E259" s="85">
        <v>1966238099.2697179</v>
      </c>
      <c r="F259" s="85" t="s">
        <v>254</v>
      </c>
      <c r="G259" s="85">
        <v>1700675133.9048939</v>
      </c>
      <c r="H259" s="85" t="s">
        <v>254</v>
      </c>
      <c r="I259" s="85">
        <v>84219919.231893599</v>
      </c>
      <c r="J259" s="85">
        <v>181343046.13293055</v>
      </c>
      <c r="K259" s="85" t="s">
        <v>254</v>
      </c>
      <c r="L259" s="85" t="s">
        <v>254</v>
      </c>
      <c r="M259" s="85">
        <v>5976.0479481554694</v>
      </c>
      <c r="N259" s="85" t="s">
        <v>254</v>
      </c>
      <c r="O259" s="85">
        <v>181337070.0849824</v>
      </c>
      <c r="P259" s="85">
        <v>56279570.185254201</v>
      </c>
      <c r="Q259" s="85">
        <v>125057499.89972821</v>
      </c>
      <c r="R259" s="85"/>
      <c r="S259" s="86"/>
    </row>
    <row r="260" spans="1:19" ht="15">
      <c r="A260" s="70" t="s">
        <v>254</v>
      </c>
      <c r="B260" s="70"/>
      <c r="C260" s="72" t="s">
        <v>254</v>
      </c>
      <c r="D260" s="72" t="s">
        <v>254</v>
      </c>
      <c r="E260" s="85" t="s">
        <v>254</v>
      </c>
      <c r="F260" s="85" t="s">
        <v>254</v>
      </c>
      <c r="G260" s="85" t="s">
        <v>254</v>
      </c>
      <c r="H260" s="85" t="s">
        <v>254</v>
      </c>
      <c r="I260" s="85" t="s">
        <v>254</v>
      </c>
      <c r="J260" s="85" t="s">
        <v>254</v>
      </c>
      <c r="K260" s="85" t="s">
        <v>254</v>
      </c>
      <c r="L260" s="85" t="s">
        <v>254</v>
      </c>
      <c r="M260" s="85" t="s">
        <v>254</v>
      </c>
      <c r="N260" s="85" t="s">
        <v>254</v>
      </c>
      <c r="O260" s="85" t="s">
        <v>254</v>
      </c>
      <c r="P260" s="85" t="s">
        <v>254</v>
      </c>
      <c r="Q260" s="85" t="s">
        <v>254</v>
      </c>
      <c r="R260" s="85"/>
      <c r="S260" s="86"/>
    </row>
    <row r="261" spans="1:19" ht="15">
      <c r="A261" s="70" t="s">
        <v>254</v>
      </c>
      <c r="B261" s="70"/>
      <c r="C261" s="72" t="s">
        <v>458</v>
      </c>
      <c r="D261" s="72" t="s">
        <v>254</v>
      </c>
      <c r="E261" s="85" t="s">
        <v>254</v>
      </c>
      <c r="F261" s="85" t="s">
        <v>254</v>
      </c>
      <c r="G261" s="85" t="s">
        <v>254</v>
      </c>
      <c r="H261" s="85" t="s">
        <v>254</v>
      </c>
      <c r="I261" s="85" t="s">
        <v>254</v>
      </c>
      <c r="J261" s="85" t="s">
        <v>254</v>
      </c>
      <c r="K261" s="85" t="s">
        <v>254</v>
      </c>
      <c r="L261" s="85" t="s">
        <v>254</v>
      </c>
      <c r="M261" s="85" t="s">
        <v>254</v>
      </c>
      <c r="N261" s="85" t="s">
        <v>254</v>
      </c>
      <c r="O261" s="85" t="s">
        <v>254</v>
      </c>
      <c r="P261" s="85" t="s">
        <v>254</v>
      </c>
      <c r="Q261" s="85" t="s">
        <v>254</v>
      </c>
      <c r="R261" s="85"/>
      <c r="S261" s="86"/>
    </row>
    <row r="262" spans="1:19" ht="15">
      <c r="A262" s="70">
        <v>14</v>
      </c>
      <c r="B262" s="70"/>
      <c r="C262" s="72" t="s">
        <v>459</v>
      </c>
      <c r="D262" s="72" t="s">
        <v>460</v>
      </c>
      <c r="E262" s="85">
        <v>306229528.88202691</v>
      </c>
      <c r="F262" s="85" t="s">
        <v>254</v>
      </c>
      <c r="G262" s="85">
        <v>292344727.07217628</v>
      </c>
      <c r="H262" s="85" t="s">
        <v>254</v>
      </c>
      <c r="I262" s="85">
        <v>13883774.531876365</v>
      </c>
      <c r="J262" s="85">
        <v>1027.2779742256469</v>
      </c>
      <c r="K262" s="85" t="s">
        <v>254</v>
      </c>
      <c r="L262" s="85" t="s">
        <v>254</v>
      </c>
      <c r="M262" s="85">
        <v>1027.2779742256469</v>
      </c>
      <c r="N262" s="85" t="s">
        <v>254</v>
      </c>
      <c r="O262" s="85">
        <v>0</v>
      </c>
      <c r="P262" s="85">
        <v>0</v>
      </c>
      <c r="Q262" s="85">
        <v>0</v>
      </c>
      <c r="R262" s="85"/>
      <c r="S262" s="86"/>
    </row>
    <row r="263" spans="1:19" ht="15">
      <c r="A263" s="70">
        <v>15</v>
      </c>
      <c r="B263" s="70"/>
      <c r="C263" s="72" t="s">
        <v>461</v>
      </c>
      <c r="D263" s="72" t="s">
        <v>462</v>
      </c>
      <c r="E263" s="85">
        <v>29712092.011637483</v>
      </c>
      <c r="F263" s="85" t="s">
        <v>254</v>
      </c>
      <c r="G263" s="85">
        <v>3892774.4833553727</v>
      </c>
      <c r="H263" s="85" t="s">
        <v>254</v>
      </c>
      <c r="I263" s="85">
        <v>25819303.849357486</v>
      </c>
      <c r="J263" s="85">
        <v>13.678924622407513</v>
      </c>
      <c r="K263" s="85" t="s">
        <v>254</v>
      </c>
      <c r="L263" s="85" t="s">
        <v>254</v>
      </c>
      <c r="M263" s="85">
        <v>13.678924622407513</v>
      </c>
      <c r="N263" s="85" t="s">
        <v>254</v>
      </c>
      <c r="O263" s="85">
        <v>0</v>
      </c>
      <c r="P263" s="85">
        <v>0</v>
      </c>
      <c r="Q263" s="85">
        <v>0</v>
      </c>
      <c r="R263" s="85"/>
      <c r="S263" s="86"/>
    </row>
    <row r="264" spans="1:19" ht="15">
      <c r="A264" s="70">
        <v>16</v>
      </c>
      <c r="B264" s="70"/>
      <c r="C264" s="72" t="s">
        <v>463</v>
      </c>
      <c r="D264" s="72" t="s">
        <v>315</v>
      </c>
      <c r="E264" s="85">
        <v>2861263</v>
      </c>
      <c r="F264" s="85" t="s">
        <v>254</v>
      </c>
      <c r="G264" s="85">
        <v>0</v>
      </c>
      <c r="H264" s="85" t="s">
        <v>254</v>
      </c>
      <c r="I264" s="85">
        <v>932246.13282689289</v>
      </c>
      <c r="J264" s="85">
        <v>1929016.8671731069</v>
      </c>
      <c r="K264" s="85" t="s">
        <v>254</v>
      </c>
      <c r="L264" s="85" t="s">
        <v>254</v>
      </c>
      <c r="M264" s="85">
        <v>0</v>
      </c>
      <c r="N264" s="85" t="s">
        <v>254</v>
      </c>
      <c r="O264" s="85">
        <v>1929016.8671731069</v>
      </c>
      <c r="P264" s="85">
        <v>598687.51664361928</v>
      </c>
      <c r="Q264" s="85">
        <v>1330329.3505294877</v>
      </c>
      <c r="R264" s="85"/>
      <c r="S264" s="86"/>
    </row>
    <row r="265" spans="1:19" ht="15">
      <c r="A265" s="70">
        <v>17</v>
      </c>
      <c r="B265" s="70"/>
      <c r="C265" s="72" t="s">
        <v>464</v>
      </c>
      <c r="D265" s="72" t="s">
        <v>317</v>
      </c>
      <c r="E265" s="85">
        <v>291785.5</v>
      </c>
      <c r="F265" s="85" t="s">
        <v>254</v>
      </c>
      <c r="G265" s="85">
        <v>0</v>
      </c>
      <c r="H265" s="85" t="s">
        <v>254</v>
      </c>
      <c r="I265" s="85">
        <v>0</v>
      </c>
      <c r="J265" s="85">
        <v>291785.5</v>
      </c>
      <c r="K265" s="85" t="s">
        <v>254</v>
      </c>
      <c r="L265" s="85" t="s">
        <v>254</v>
      </c>
      <c r="M265" s="85">
        <v>0</v>
      </c>
      <c r="N265" s="85" t="s">
        <v>254</v>
      </c>
      <c r="O265" s="85">
        <v>291785.5</v>
      </c>
      <c r="P265" s="85">
        <v>90558.221320073353</v>
      </c>
      <c r="Q265" s="85">
        <v>201227.27867992662</v>
      </c>
      <c r="R265" s="85"/>
      <c r="S265" s="86"/>
    </row>
    <row r="266" spans="1:19" ht="15">
      <c r="A266" s="70">
        <v>18</v>
      </c>
      <c r="B266" s="70"/>
      <c r="C266" s="72" t="s">
        <v>465</v>
      </c>
      <c r="D266" s="72" t="s">
        <v>254</v>
      </c>
      <c r="E266" s="85">
        <v>339094669.3936643</v>
      </c>
      <c r="F266" s="85" t="s">
        <v>254</v>
      </c>
      <c r="G266" s="85">
        <v>296237501.55553162</v>
      </c>
      <c r="H266" s="85" t="s">
        <v>254</v>
      </c>
      <c r="I266" s="85">
        <v>40635324.514060743</v>
      </c>
      <c r="J266" s="85">
        <v>2221843.3240719549</v>
      </c>
      <c r="K266" s="85" t="s">
        <v>254</v>
      </c>
      <c r="L266" s="85" t="s">
        <v>254</v>
      </c>
      <c r="M266" s="85">
        <v>1040.9568988480544</v>
      </c>
      <c r="N266" s="85" t="s">
        <v>254</v>
      </c>
      <c r="O266" s="85">
        <v>2220802.3671731069</v>
      </c>
      <c r="P266" s="85">
        <v>689245.73796369263</v>
      </c>
      <c r="Q266" s="85">
        <v>1531556.6292094144</v>
      </c>
      <c r="R266" s="85"/>
      <c r="S266" s="86"/>
    </row>
    <row r="267" spans="1:19" ht="15">
      <c r="A267" s="70" t="s">
        <v>254</v>
      </c>
      <c r="B267" s="70"/>
      <c r="C267" s="72" t="s">
        <v>254</v>
      </c>
      <c r="D267" s="72" t="s">
        <v>254</v>
      </c>
      <c r="E267" s="85" t="s">
        <v>254</v>
      </c>
      <c r="F267" s="85" t="s">
        <v>254</v>
      </c>
      <c r="G267" s="85" t="s">
        <v>254</v>
      </c>
      <c r="H267" s="85" t="s">
        <v>254</v>
      </c>
      <c r="I267" s="85" t="s">
        <v>254</v>
      </c>
      <c r="J267" s="85" t="s">
        <v>254</v>
      </c>
      <c r="K267" s="85" t="s">
        <v>254</v>
      </c>
      <c r="L267" s="85" t="s">
        <v>254</v>
      </c>
      <c r="M267" s="85" t="s">
        <v>254</v>
      </c>
      <c r="N267" s="85" t="s">
        <v>254</v>
      </c>
      <c r="O267" s="85" t="s">
        <v>254</v>
      </c>
      <c r="P267" s="85" t="s">
        <v>254</v>
      </c>
      <c r="Q267" s="85" t="s">
        <v>254</v>
      </c>
      <c r="R267" s="85"/>
      <c r="S267" s="86"/>
    </row>
    <row r="268" spans="1:19" ht="15">
      <c r="A268" s="70">
        <v>19</v>
      </c>
      <c r="B268" s="70"/>
      <c r="C268" s="72" t="s">
        <v>466</v>
      </c>
      <c r="D268" s="72" t="s">
        <v>467</v>
      </c>
      <c r="E268" s="85">
        <v>40748724.382609449</v>
      </c>
      <c r="F268" s="85" t="s">
        <v>254</v>
      </c>
      <c r="G268" s="85">
        <v>0</v>
      </c>
      <c r="H268" s="85" t="s">
        <v>254</v>
      </c>
      <c r="I268" s="85">
        <v>40605603.641878448</v>
      </c>
      <c r="J268" s="85">
        <v>143120.74073099965</v>
      </c>
      <c r="K268" s="85" t="s">
        <v>254</v>
      </c>
      <c r="L268" s="85" t="s">
        <v>254</v>
      </c>
      <c r="M268" s="85">
        <v>143120.74073099965</v>
      </c>
      <c r="N268" s="85" t="s">
        <v>254</v>
      </c>
      <c r="O268" s="85">
        <v>0</v>
      </c>
      <c r="P268" s="85">
        <v>0</v>
      </c>
      <c r="Q268" s="85">
        <v>0</v>
      </c>
      <c r="R268" s="85"/>
      <c r="S268" s="86"/>
    </row>
    <row r="269" spans="1:19" ht="15">
      <c r="A269" s="70">
        <v>20</v>
      </c>
      <c r="B269" s="70"/>
      <c r="C269" s="72" t="s">
        <v>468</v>
      </c>
      <c r="D269" s="72" t="s">
        <v>469</v>
      </c>
      <c r="E269" s="85">
        <v>620493790.852494</v>
      </c>
      <c r="F269" s="85" t="s">
        <v>254</v>
      </c>
      <c r="G269" s="85">
        <v>618667945.99956048</v>
      </c>
      <c r="H269" s="85" t="s">
        <v>254</v>
      </c>
      <c r="I269" s="85">
        <v>0</v>
      </c>
      <c r="J269" s="85">
        <v>1825844.8529335372</v>
      </c>
      <c r="K269" s="85" t="s">
        <v>254</v>
      </c>
      <c r="L269" s="85" t="s">
        <v>254</v>
      </c>
      <c r="M269" s="85">
        <v>0</v>
      </c>
      <c r="N269" s="85" t="s">
        <v>254</v>
      </c>
      <c r="O269" s="85">
        <v>1825844.8529335372</v>
      </c>
      <c r="P269" s="85">
        <v>1582630.6293193288</v>
      </c>
      <c r="Q269" s="85">
        <v>243214.22361420846</v>
      </c>
      <c r="R269" s="85"/>
      <c r="S269" s="86"/>
    </row>
    <row r="270" spans="1:19" ht="15">
      <c r="A270" s="70">
        <v>21</v>
      </c>
      <c r="B270" s="70"/>
      <c r="C270" s="72" t="s">
        <v>470</v>
      </c>
      <c r="D270" s="72" t="s">
        <v>254</v>
      </c>
      <c r="E270" s="85">
        <v>661242515.23510349</v>
      </c>
      <c r="F270" s="85" t="s">
        <v>254</v>
      </c>
      <c r="G270" s="85">
        <v>618667945.99956048</v>
      </c>
      <c r="H270" s="85" t="s">
        <v>254</v>
      </c>
      <c r="I270" s="85">
        <v>40605603.641878448</v>
      </c>
      <c r="J270" s="85">
        <v>1968965.593664537</v>
      </c>
      <c r="K270" s="85" t="s">
        <v>254</v>
      </c>
      <c r="L270" s="85" t="s">
        <v>254</v>
      </c>
      <c r="M270" s="85">
        <v>143120.74073099965</v>
      </c>
      <c r="N270" s="85" t="s">
        <v>254</v>
      </c>
      <c r="O270" s="85">
        <v>1825844.8529335372</v>
      </c>
      <c r="P270" s="85">
        <v>1582630.6293193288</v>
      </c>
      <c r="Q270" s="85">
        <v>243214.22361420846</v>
      </c>
      <c r="R270" s="85"/>
      <c r="S270" s="86"/>
    </row>
    <row r="271" spans="1:19" ht="15">
      <c r="A271" s="70" t="s">
        <v>254</v>
      </c>
      <c r="B271" s="70"/>
      <c r="C271" s="72" t="s">
        <v>254</v>
      </c>
      <c r="D271" s="72" t="s">
        <v>254</v>
      </c>
      <c r="E271" s="85" t="s">
        <v>254</v>
      </c>
      <c r="F271" s="85" t="s">
        <v>254</v>
      </c>
      <c r="G271" s="85" t="s">
        <v>254</v>
      </c>
      <c r="H271" s="85" t="s">
        <v>254</v>
      </c>
      <c r="I271" s="85" t="s">
        <v>254</v>
      </c>
      <c r="J271" s="85" t="s">
        <v>254</v>
      </c>
      <c r="K271" s="85" t="s">
        <v>254</v>
      </c>
      <c r="L271" s="85" t="s">
        <v>254</v>
      </c>
      <c r="M271" s="85" t="s">
        <v>254</v>
      </c>
      <c r="N271" s="85" t="s">
        <v>254</v>
      </c>
      <c r="O271" s="85" t="s">
        <v>254</v>
      </c>
      <c r="P271" s="85" t="s">
        <v>254</v>
      </c>
      <c r="Q271" s="85" t="s">
        <v>254</v>
      </c>
      <c r="R271" s="85"/>
      <c r="S271" s="86"/>
    </row>
    <row r="272" spans="1:19" ht="15">
      <c r="A272" s="70">
        <v>22</v>
      </c>
      <c r="B272" s="70"/>
      <c r="C272" s="72" t="s">
        <v>420</v>
      </c>
      <c r="D272" s="72" t="s">
        <v>471</v>
      </c>
      <c r="E272" s="85">
        <v>63819054.448679008</v>
      </c>
      <c r="F272" s="85" t="s">
        <v>254</v>
      </c>
      <c r="G272" s="85">
        <v>57892690.380103685</v>
      </c>
      <c r="H272" s="85" t="s">
        <v>254</v>
      </c>
      <c r="I272" s="85">
        <v>2876181.671525334</v>
      </c>
      <c r="J272" s="85">
        <v>3050182.3970499886</v>
      </c>
      <c r="K272" s="85" t="s">
        <v>254</v>
      </c>
      <c r="L272" s="85" t="s">
        <v>254</v>
      </c>
      <c r="M272" s="85">
        <v>1388.4556266266879</v>
      </c>
      <c r="N272" s="85" t="s">
        <v>254</v>
      </c>
      <c r="O272" s="85">
        <v>3048793.9414233621</v>
      </c>
      <c r="P272" s="85">
        <v>973231.62848374865</v>
      </c>
      <c r="Q272" s="85">
        <v>2075562.3129396134</v>
      </c>
      <c r="R272" s="85"/>
      <c r="S272" s="86"/>
    </row>
    <row r="273" spans="1:19" ht="15">
      <c r="A273" s="70" t="s">
        <v>254</v>
      </c>
      <c r="B273" s="70"/>
      <c r="C273" s="72" t="s">
        <v>254</v>
      </c>
      <c r="D273" s="72" t="s">
        <v>254</v>
      </c>
      <c r="E273" s="85" t="s">
        <v>254</v>
      </c>
      <c r="F273" s="85" t="s">
        <v>254</v>
      </c>
      <c r="G273" s="85" t="s">
        <v>254</v>
      </c>
      <c r="H273" s="85" t="s">
        <v>254</v>
      </c>
      <c r="I273" s="85" t="s">
        <v>254</v>
      </c>
      <c r="J273" s="85" t="s">
        <v>254</v>
      </c>
      <c r="K273" s="85" t="s">
        <v>254</v>
      </c>
      <c r="L273" s="85" t="s">
        <v>254</v>
      </c>
      <c r="M273" s="85" t="s">
        <v>254</v>
      </c>
      <c r="N273" s="85" t="s">
        <v>254</v>
      </c>
      <c r="O273" s="85" t="s">
        <v>254</v>
      </c>
      <c r="P273" s="85" t="s">
        <v>254</v>
      </c>
      <c r="Q273" s="85" t="s">
        <v>254</v>
      </c>
      <c r="R273" s="85"/>
      <c r="S273" s="86"/>
    </row>
    <row r="274" spans="1:19" ht="15">
      <c r="A274" s="70">
        <v>23</v>
      </c>
      <c r="B274" s="70"/>
      <c r="C274" s="72" t="s">
        <v>472</v>
      </c>
      <c r="D274" s="72" t="s">
        <v>473</v>
      </c>
      <c r="E274" s="85">
        <v>64830.048137000005</v>
      </c>
      <c r="F274" s="85" t="s">
        <v>254</v>
      </c>
      <c r="G274" s="85">
        <v>64830.048137000005</v>
      </c>
      <c r="H274" s="85" t="s">
        <v>254</v>
      </c>
      <c r="I274" s="85">
        <v>0</v>
      </c>
      <c r="J274" s="85">
        <v>0</v>
      </c>
      <c r="K274" s="85" t="s">
        <v>254</v>
      </c>
      <c r="L274" s="85" t="s">
        <v>254</v>
      </c>
      <c r="M274" s="85">
        <v>0</v>
      </c>
      <c r="N274" s="85" t="s">
        <v>254</v>
      </c>
      <c r="O274" s="85">
        <v>0</v>
      </c>
      <c r="P274" s="85">
        <v>0</v>
      </c>
      <c r="Q274" s="85">
        <v>0</v>
      </c>
      <c r="R274" s="85"/>
      <c r="S274" s="86"/>
    </row>
    <row r="275" spans="1:19" ht="15">
      <c r="A275" s="70">
        <v>24</v>
      </c>
      <c r="B275" s="70"/>
      <c r="C275" s="72" t="s">
        <v>474</v>
      </c>
      <c r="D275" s="72" t="s">
        <v>475</v>
      </c>
      <c r="E275" s="85">
        <v>52553325.752099998</v>
      </c>
      <c r="F275" s="85" t="s">
        <v>254</v>
      </c>
      <c r="G275" s="85">
        <v>46629434.647441149</v>
      </c>
      <c r="H275" s="85" t="s">
        <v>254</v>
      </c>
      <c r="I275" s="85">
        <v>2609383.1286393087</v>
      </c>
      <c r="J275" s="85">
        <v>3314507.9760195413</v>
      </c>
      <c r="K275" s="85" t="s">
        <v>254</v>
      </c>
      <c r="L275" s="85" t="s">
        <v>254</v>
      </c>
      <c r="M275" s="85">
        <v>1161.4952500408021</v>
      </c>
      <c r="N275" s="85" t="s">
        <v>254</v>
      </c>
      <c r="O275" s="85">
        <v>3313346.4807695006</v>
      </c>
      <c r="P275" s="85">
        <v>1044456.8943081722</v>
      </c>
      <c r="Q275" s="85">
        <v>2268889.5864613284</v>
      </c>
      <c r="R275" s="85"/>
      <c r="S275" s="86"/>
    </row>
    <row r="276" spans="1:19" ht="15">
      <c r="A276" s="70" t="s">
        <v>254</v>
      </c>
      <c r="B276" s="70"/>
      <c r="C276" s="72" t="s">
        <v>254</v>
      </c>
      <c r="D276" s="72" t="s">
        <v>254</v>
      </c>
      <c r="E276" s="85" t="s">
        <v>254</v>
      </c>
      <c r="F276" s="85" t="s">
        <v>254</v>
      </c>
      <c r="G276" s="85" t="s">
        <v>254</v>
      </c>
      <c r="H276" s="85" t="s">
        <v>254</v>
      </c>
      <c r="I276" s="85" t="s">
        <v>254</v>
      </c>
      <c r="J276" s="85" t="s">
        <v>254</v>
      </c>
      <c r="K276" s="85" t="s">
        <v>254</v>
      </c>
      <c r="L276" s="85" t="s">
        <v>254</v>
      </c>
      <c r="M276" s="85" t="s">
        <v>254</v>
      </c>
      <c r="N276" s="85" t="s">
        <v>254</v>
      </c>
      <c r="O276" s="85" t="s">
        <v>254</v>
      </c>
      <c r="P276" s="85" t="s">
        <v>254</v>
      </c>
      <c r="Q276" s="85" t="s">
        <v>254</v>
      </c>
      <c r="R276" s="85"/>
      <c r="S276" s="86"/>
    </row>
    <row r="277" spans="1:19" ht="15">
      <c r="A277" s="70">
        <v>25</v>
      </c>
      <c r="B277" s="70"/>
      <c r="C277" s="72" t="s">
        <v>476</v>
      </c>
      <c r="D277" s="72" t="s">
        <v>254</v>
      </c>
      <c r="E277" s="85">
        <v>3083012494.1474013</v>
      </c>
      <c r="F277" s="85" t="s">
        <v>254</v>
      </c>
      <c r="G277" s="85">
        <v>2720167536.5356674</v>
      </c>
      <c r="H277" s="85" t="s">
        <v>254</v>
      </c>
      <c r="I277" s="85">
        <v>170946412.18799743</v>
      </c>
      <c r="J277" s="85">
        <v>191898545.4237366</v>
      </c>
      <c r="K277" s="85" t="s">
        <v>254</v>
      </c>
      <c r="L277" s="85" t="s">
        <v>254</v>
      </c>
      <c r="M277" s="85">
        <v>152687.69645467066</v>
      </c>
      <c r="N277" s="85" t="s">
        <v>254</v>
      </c>
      <c r="O277" s="85">
        <v>191745857.72728193</v>
      </c>
      <c r="P277" s="85">
        <v>60569135.07532914</v>
      </c>
      <c r="Q277" s="85">
        <v>131176722.65195279</v>
      </c>
      <c r="R277" s="85"/>
      <c r="S277" s="86"/>
    </row>
    <row r="278" spans="1:19" ht="15">
      <c r="A278" s="70" t="s">
        <v>254</v>
      </c>
      <c r="B278" s="70"/>
      <c r="C278" s="72" t="s">
        <v>254</v>
      </c>
      <c r="D278" s="72" t="s">
        <v>254</v>
      </c>
      <c r="E278" s="85" t="s">
        <v>254</v>
      </c>
      <c r="F278" s="85" t="s">
        <v>254</v>
      </c>
      <c r="G278" s="85" t="s">
        <v>254</v>
      </c>
      <c r="H278" s="85" t="s">
        <v>254</v>
      </c>
      <c r="I278" s="85" t="s">
        <v>254</v>
      </c>
      <c r="J278" s="85" t="s">
        <v>254</v>
      </c>
      <c r="K278" s="85" t="s">
        <v>254</v>
      </c>
      <c r="L278" s="85" t="s">
        <v>254</v>
      </c>
      <c r="M278" s="85" t="s">
        <v>254</v>
      </c>
      <c r="N278" s="85" t="s">
        <v>254</v>
      </c>
      <c r="O278" s="85" t="s">
        <v>254</v>
      </c>
      <c r="P278" s="85" t="s">
        <v>254</v>
      </c>
      <c r="Q278" s="85" t="s">
        <v>254</v>
      </c>
      <c r="R278" s="85"/>
      <c r="S278" s="86"/>
    </row>
    <row r="279" spans="1:19" ht="15">
      <c r="A279" s="70">
        <v>26</v>
      </c>
      <c r="B279" s="70"/>
      <c r="C279" s="72" t="s">
        <v>477</v>
      </c>
      <c r="D279" s="72" t="s">
        <v>254</v>
      </c>
      <c r="E279" s="85">
        <v>6200374678.5225954</v>
      </c>
      <c r="F279" s="85" t="s">
        <v>254</v>
      </c>
      <c r="G279" s="85">
        <v>5516788365.6256924</v>
      </c>
      <c r="H279" s="85" t="s">
        <v>254</v>
      </c>
      <c r="I279" s="85">
        <v>289990504.83237052</v>
      </c>
      <c r="J279" s="85">
        <v>393595808.06453186</v>
      </c>
      <c r="K279" s="85" t="s">
        <v>254</v>
      </c>
      <c r="L279" s="85" t="s">
        <v>254</v>
      </c>
      <c r="M279" s="85">
        <v>52485.715533620445</v>
      </c>
      <c r="N279" s="85" t="s">
        <v>254</v>
      </c>
      <c r="O279" s="85">
        <v>393543322.34899825</v>
      </c>
      <c r="P279" s="85">
        <v>123929927.38090874</v>
      </c>
      <c r="Q279" s="85">
        <v>269613394.96808952</v>
      </c>
      <c r="R279" s="85"/>
      <c r="S279" s="86"/>
    </row>
    <row r="280" spans="1:19" ht="15">
      <c r="A280" s="70" t="s">
        <v>254</v>
      </c>
      <c r="B280" s="70"/>
      <c r="C280" s="72" t="s">
        <v>254</v>
      </c>
      <c r="D280" s="72" t="s">
        <v>254</v>
      </c>
      <c r="E280" s="85" t="s">
        <v>254</v>
      </c>
      <c r="F280" s="85" t="s">
        <v>254</v>
      </c>
      <c r="G280" s="85" t="s">
        <v>254</v>
      </c>
      <c r="H280" s="85" t="s">
        <v>254</v>
      </c>
      <c r="I280" s="85" t="s">
        <v>254</v>
      </c>
      <c r="J280" s="85" t="s">
        <v>254</v>
      </c>
      <c r="K280" s="85" t="s">
        <v>254</v>
      </c>
      <c r="L280" s="85" t="s">
        <v>254</v>
      </c>
      <c r="M280" s="85" t="s">
        <v>254</v>
      </c>
      <c r="N280" s="85" t="s">
        <v>254</v>
      </c>
      <c r="O280" s="85" t="s">
        <v>254</v>
      </c>
      <c r="P280" s="85" t="s">
        <v>254</v>
      </c>
      <c r="Q280" s="85" t="s">
        <v>254</v>
      </c>
      <c r="R280" s="85"/>
      <c r="S280" s="86"/>
    </row>
    <row r="281" spans="1:19" ht="15">
      <c r="A281" s="70" t="s">
        <v>254</v>
      </c>
      <c r="B281" s="70"/>
      <c r="C281" s="72" t="s">
        <v>254</v>
      </c>
      <c r="D281" s="72" t="s">
        <v>254</v>
      </c>
      <c r="E281" s="85" t="s">
        <v>254</v>
      </c>
      <c r="F281" s="85" t="s">
        <v>254</v>
      </c>
      <c r="G281" s="85" t="s">
        <v>254</v>
      </c>
      <c r="H281" s="85" t="s">
        <v>254</v>
      </c>
      <c r="I281" s="85" t="s">
        <v>254</v>
      </c>
      <c r="J281" s="85" t="s">
        <v>254</v>
      </c>
      <c r="K281" s="85" t="s">
        <v>254</v>
      </c>
      <c r="L281" s="85" t="s">
        <v>254</v>
      </c>
      <c r="M281" s="85" t="s">
        <v>254</v>
      </c>
      <c r="N281" s="85" t="s">
        <v>254</v>
      </c>
      <c r="O281" s="85" t="s">
        <v>254</v>
      </c>
      <c r="P281" s="85" t="s">
        <v>254</v>
      </c>
      <c r="Q281" s="85" t="s">
        <v>254</v>
      </c>
      <c r="R281" s="85"/>
      <c r="S281" s="86"/>
    </row>
    <row r="282" spans="1:19" ht="15">
      <c r="A282" s="70" t="s">
        <v>254</v>
      </c>
      <c r="B282" s="70"/>
      <c r="C282" s="72" t="s">
        <v>478</v>
      </c>
      <c r="D282" s="72" t="s">
        <v>254</v>
      </c>
      <c r="E282" s="85" t="s">
        <v>254</v>
      </c>
      <c r="F282" s="85" t="s">
        <v>254</v>
      </c>
      <c r="G282" s="85" t="s">
        <v>254</v>
      </c>
      <c r="H282" s="85" t="s">
        <v>254</v>
      </c>
      <c r="I282" s="85" t="s">
        <v>254</v>
      </c>
      <c r="J282" s="85" t="s">
        <v>254</v>
      </c>
      <c r="K282" s="85" t="s">
        <v>254</v>
      </c>
      <c r="L282" s="85" t="s">
        <v>254</v>
      </c>
      <c r="M282" s="85" t="s">
        <v>254</v>
      </c>
      <c r="N282" s="85" t="s">
        <v>254</v>
      </c>
      <c r="O282" s="85" t="s">
        <v>254</v>
      </c>
      <c r="P282" s="85" t="s">
        <v>254</v>
      </c>
      <c r="Q282" s="85" t="s">
        <v>254</v>
      </c>
      <c r="R282" s="85"/>
      <c r="S282" s="86"/>
    </row>
    <row r="283" spans="1:19" ht="15">
      <c r="A283" s="70" t="s">
        <v>254</v>
      </c>
      <c r="B283" s="70"/>
      <c r="C283" s="72" t="s">
        <v>254</v>
      </c>
      <c r="D283" s="72" t="s">
        <v>254</v>
      </c>
      <c r="E283" s="85" t="s">
        <v>254</v>
      </c>
      <c r="F283" s="85" t="s">
        <v>254</v>
      </c>
      <c r="G283" s="85" t="s">
        <v>254</v>
      </c>
      <c r="H283" s="85" t="s">
        <v>254</v>
      </c>
      <c r="I283" s="85" t="s">
        <v>254</v>
      </c>
      <c r="J283" s="85" t="s">
        <v>254</v>
      </c>
      <c r="K283" s="85" t="s">
        <v>254</v>
      </c>
      <c r="L283" s="85" t="s">
        <v>254</v>
      </c>
      <c r="M283" s="85" t="s">
        <v>254</v>
      </c>
      <c r="N283" s="85" t="s">
        <v>254</v>
      </c>
      <c r="O283" s="85" t="s">
        <v>254</v>
      </c>
      <c r="P283" s="85" t="s">
        <v>254</v>
      </c>
      <c r="Q283" s="85" t="s">
        <v>254</v>
      </c>
      <c r="R283" s="85"/>
      <c r="S283" s="86"/>
    </row>
    <row r="284" spans="1:19" ht="15">
      <c r="A284" s="70" t="s">
        <v>254</v>
      </c>
      <c r="B284" s="70"/>
      <c r="C284" s="72" t="s">
        <v>479</v>
      </c>
      <c r="D284" s="72" t="s">
        <v>254</v>
      </c>
      <c r="E284" s="85" t="s">
        <v>254</v>
      </c>
      <c r="F284" s="85" t="s">
        <v>254</v>
      </c>
      <c r="G284" s="85" t="s">
        <v>254</v>
      </c>
      <c r="H284" s="85" t="s">
        <v>254</v>
      </c>
      <c r="I284" s="85" t="s">
        <v>254</v>
      </c>
      <c r="J284" s="85" t="s">
        <v>254</v>
      </c>
      <c r="K284" s="85" t="s">
        <v>254</v>
      </c>
      <c r="L284" s="85" t="s">
        <v>254</v>
      </c>
      <c r="M284" s="85" t="s">
        <v>254</v>
      </c>
      <c r="N284" s="85" t="s">
        <v>254</v>
      </c>
      <c r="O284" s="85" t="s">
        <v>254</v>
      </c>
      <c r="P284" s="85" t="s">
        <v>254</v>
      </c>
      <c r="Q284" s="85" t="s">
        <v>254</v>
      </c>
      <c r="R284" s="85"/>
      <c r="S284" s="86"/>
    </row>
    <row r="285" spans="1:19" ht="15">
      <c r="A285" s="70" t="s">
        <v>254</v>
      </c>
      <c r="B285" s="70"/>
      <c r="C285" s="72" t="s">
        <v>254</v>
      </c>
      <c r="D285" s="72" t="s">
        <v>254</v>
      </c>
      <c r="E285" s="85" t="s">
        <v>254</v>
      </c>
      <c r="F285" s="85" t="s">
        <v>254</v>
      </c>
      <c r="G285" s="85" t="s">
        <v>254</v>
      </c>
      <c r="H285" s="85" t="s">
        <v>254</v>
      </c>
      <c r="I285" s="85" t="s">
        <v>254</v>
      </c>
      <c r="J285" s="85" t="s">
        <v>254</v>
      </c>
      <c r="K285" s="85" t="s">
        <v>254</v>
      </c>
      <c r="L285" s="85" t="s">
        <v>254</v>
      </c>
      <c r="M285" s="85" t="s">
        <v>254</v>
      </c>
      <c r="N285" s="85" t="s">
        <v>254</v>
      </c>
      <c r="O285" s="85" t="s">
        <v>254</v>
      </c>
      <c r="P285" s="85" t="s">
        <v>254</v>
      </c>
      <c r="Q285" s="85" t="s">
        <v>254</v>
      </c>
      <c r="R285" s="85"/>
      <c r="S285" s="86"/>
    </row>
    <row r="286" spans="1:19" ht="15">
      <c r="A286" s="70" t="s">
        <v>254</v>
      </c>
      <c r="B286" s="70"/>
      <c r="C286" s="72" t="s">
        <v>444</v>
      </c>
      <c r="D286" s="72" t="s">
        <v>254</v>
      </c>
      <c r="E286" s="85" t="s">
        <v>254</v>
      </c>
      <c r="F286" s="85" t="s">
        <v>254</v>
      </c>
      <c r="G286" s="85" t="s">
        <v>254</v>
      </c>
      <c r="H286" s="85" t="s">
        <v>254</v>
      </c>
      <c r="I286" s="85" t="s">
        <v>254</v>
      </c>
      <c r="J286" s="85" t="s">
        <v>254</v>
      </c>
      <c r="K286" s="85" t="s">
        <v>254</v>
      </c>
      <c r="L286" s="85" t="s">
        <v>254</v>
      </c>
      <c r="M286" s="85" t="s">
        <v>254</v>
      </c>
      <c r="N286" s="85" t="s">
        <v>254</v>
      </c>
      <c r="O286" s="85" t="s">
        <v>254</v>
      </c>
      <c r="P286" s="85" t="s">
        <v>254</v>
      </c>
      <c r="Q286" s="85" t="s">
        <v>254</v>
      </c>
      <c r="R286" s="85"/>
      <c r="S286" s="86"/>
    </row>
    <row r="287" spans="1:19" ht="15">
      <c r="A287" s="70">
        <v>1</v>
      </c>
      <c r="B287" s="70"/>
      <c r="C287" s="72" t="s">
        <v>480</v>
      </c>
      <c r="D287" s="72" t="s">
        <v>481</v>
      </c>
      <c r="E287" s="85">
        <v>85928628.560000002</v>
      </c>
      <c r="F287" s="85" t="s">
        <v>254</v>
      </c>
      <c r="G287" s="85">
        <v>75254338.675035536</v>
      </c>
      <c r="H287" s="85" t="s">
        <v>254</v>
      </c>
      <c r="I287" s="85">
        <v>3477771.5101360395</v>
      </c>
      <c r="J287" s="85">
        <v>7196518.3748284271</v>
      </c>
      <c r="K287" s="85" t="s">
        <v>254</v>
      </c>
      <c r="L287" s="85" t="s">
        <v>254</v>
      </c>
      <c r="M287" s="85">
        <v>264.43823824020978</v>
      </c>
      <c r="N287" s="85" t="s">
        <v>254</v>
      </c>
      <c r="O287" s="85">
        <v>7196253.9365901873</v>
      </c>
      <c r="P287" s="85">
        <v>2233421.3203369724</v>
      </c>
      <c r="Q287" s="85">
        <v>4962832.6162532149</v>
      </c>
      <c r="R287" s="85"/>
      <c r="S287" s="86"/>
    </row>
    <row r="288" spans="1:19" ht="15">
      <c r="A288" s="70">
        <v>2</v>
      </c>
      <c r="B288" s="70"/>
      <c r="C288" s="72" t="s">
        <v>482</v>
      </c>
      <c r="D288" s="72" t="s">
        <v>315</v>
      </c>
      <c r="E288" s="85">
        <v>0</v>
      </c>
      <c r="F288" s="85" t="s">
        <v>254</v>
      </c>
      <c r="G288" s="85">
        <v>0</v>
      </c>
      <c r="H288" s="85" t="s">
        <v>254</v>
      </c>
      <c r="I288" s="85">
        <v>0</v>
      </c>
      <c r="J288" s="85">
        <v>0</v>
      </c>
      <c r="K288" s="85" t="s">
        <v>254</v>
      </c>
      <c r="L288" s="85" t="s">
        <v>254</v>
      </c>
      <c r="M288" s="85">
        <v>0</v>
      </c>
      <c r="N288" s="85" t="s">
        <v>254</v>
      </c>
      <c r="O288" s="85">
        <v>0</v>
      </c>
      <c r="P288" s="85">
        <v>0</v>
      </c>
      <c r="Q288" s="85">
        <v>0</v>
      </c>
      <c r="R288" s="85"/>
      <c r="S288" s="86"/>
    </row>
    <row r="289" spans="1:19" ht="15">
      <c r="A289" s="70">
        <v>3</v>
      </c>
      <c r="B289" s="70"/>
      <c r="C289" s="72" t="s">
        <v>483</v>
      </c>
      <c r="D289" s="72" t="s">
        <v>317</v>
      </c>
      <c r="E289" s="85">
        <v>462.87</v>
      </c>
      <c r="F289" s="85" t="s">
        <v>254</v>
      </c>
      <c r="G289" s="85">
        <v>0</v>
      </c>
      <c r="H289" s="85" t="s">
        <v>254</v>
      </c>
      <c r="I289" s="85">
        <v>0</v>
      </c>
      <c r="J289" s="85">
        <v>462.87</v>
      </c>
      <c r="K289" s="85" t="s">
        <v>254</v>
      </c>
      <c r="L289" s="85" t="s">
        <v>254</v>
      </c>
      <c r="M289" s="85">
        <v>0</v>
      </c>
      <c r="N289" s="85" t="s">
        <v>254</v>
      </c>
      <c r="O289" s="85">
        <v>462.87</v>
      </c>
      <c r="P289" s="85">
        <v>143.65581532469008</v>
      </c>
      <c r="Q289" s="85">
        <v>319.21418467530992</v>
      </c>
      <c r="R289" s="85"/>
      <c r="S289" s="86"/>
    </row>
    <row r="290" spans="1:19" ht="15">
      <c r="A290" s="70">
        <v>4</v>
      </c>
      <c r="B290" s="70"/>
      <c r="C290" s="72" t="s">
        <v>484</v>
      </c>
      <c r="D290" s="72" t="s">
        <v>254</v>
      </c>
      <c r="E290" s="85">
        <v>85929091.430000007</v>
      </c>
      <c r="F290" s="85" t="s">
        <v>254</v>
      </c>
      <c r="G290" s="85">
        <v>75254338.675035536</v>
      </c>
      <c r="H290" s="85" t="s">
        <v>254</v>
      </c>
      <c r="I290" s="85">
        <v>3477771.5101360395</v>
      </c>
      <c r="J290" s="85">
        <v>7196981.2448284272</v>
      </c>
      <c r="K290" s="85" t="s">
        <v>254</v>
      </c>
      <c r="L290" s="85" t="s">
        <v>254</v>
      </c>
      <c r="M290" s="85">
        <v>264.43823824020978</v>
      </c>
      <c r="N290" s="85" t="s">
        <v>254</v>
      </c>
      <c r="O290" s="85">
        <v>7196716.8065901874</v>
      </c>
      <c r="P290" s="85">
        <v>2233564.9761522971</v>
      </c>
      <c r="Q290" s="85">
        <v>4963151.8304378903</v>
      </c>
      <c r="R290" s="85"/>
      <c r="S290" s="86"/>
    </row>
    <row r="291" spans="1:19" ht="15">
      <c r="A291" s="70" t="s">
        <v>254</v>
      </c>
      <c r="B291" s="70"/>
      <c r="C291" s="72" t="s">
        <v>254</v>
      </c>
      <c r="D291" s="72" t="s">
        <v>254</v>
      </c>
      <c r="E291" s="85" t="s">
        <v>254</v>
      </c>
      <c r="F291" s="85" t="s">
        <v>254</v>
      </c>
      <c r="G291" s="85" t="s">
        <v>254</v>
      </c>
      <c r="H291" s="85" t="s">
        <v>254</v>
      </c>
      <c r="I291" s="85" t="s">
        <v>254</v>
      </c>
      <c r="J291" s="85" t="s">
        <v>254</v>
      </c>
      <c r="K291" s="85" t="s">
        <v>254</v>
      </c>
      <c r="L291" s="85" t="s">
        <v>254</v>
      </c>
      <c r="M291" s="85" t="s">
        <v>254</v>
      </c>
      <c r="N291" s="85" t="s">
        <v>254</v>
      </c>
      <c r="O291" s="85" t="s">
        <v>254</v>
      </c>
      <c r="P291" s="85" t="s">
        <v>254</v>
      </c>
      <c r="Q291" s="85" t="s">
        <v>254</v>
      </c>
      <c r="R291" s="85"/>
      <c r="S291" s="86"/>
    </row>
    <row r="292" spans="1:19" ht="15">
      <c r="A292" s="70" t="s">
        <v>254</v>
      </c>
      <c r="B292" s="70"/>
      <c r="C292" s="72" t="s">
        <v>458</v>
      </c>
      <c r="D292" s="72" t="s">
        <v>254</v>
      </c>
      <c r="E292" s="85" t="s">
        <v>254</v>
      </c>
      <c r="F292" s="85" t="s">
        <v>254</v>
      </c>
      <c r="G292" s="85" t="s">
        <v>254</v>
      </c>
      <c r="H292" s="85" t="s">
        <v>254</v>
      </c>
      <c r="I292" s="85" t="s">
        <v>254</v>
      </c>
      <c r="J292" s="85" t="s">
        <v>254</v>
      </c>
      <c r="K292" s="85" t="s">
        <v>254</v>
      </c>
      <c r="L292" s="85" t="s">
        <v>254</v>
      </c>
      <c r="M292" s="85" t="s">
        <v>254</v>
      </c>
      <c r="N292" s="85" t="s">
        <v>254</v>
      </c>
      <c r="O292" s="85" t="s">
        <v>254</v>
      </c>
      <c r="P292" s="85" t="s">
        <v>254</v>
      </c>
      <c r="Q292" s="85" t="s">
        <v>254</v>
      </c>
      <c r="R292" s="85"/>
      <c r="S292" s="86"/>
    </row>
    <row r="293" spans="1:19" ht="15">
      <c r="A293" s="70">
        <v>5</v>
      </c>
      <c r="B293" s="70"/>
      <c r="C293" s="72" t="s">
        <v>480</v>
      </c>
      <c r="D293" s="72" t="s">
        <v>460</v>
      </c>
      <c r="E293" s="85">
        <v>15536352.939999999</v>
      </c>
      <c r="F293" s="85" t="s">
        <v>254</v>
      </c>
      <c r="G293" s="85">
        <v>14831916.688514618</v>
      </c>
      <c r="H293" s="85" t="s">
        <v>254</v>
      </c>
      <c r="I293" s="85">
        <v>704384.13321568631</v>
      </c>
      <c r="J293" s="85">
        <v>52.118269695690991</v>
      </c>
      <c r="K293" s="85" t="s">
        <v>254</v>
      </c>
      <c r="L293" s="85" t="s">
        <v>254</v>
      </c>
      <c r="M293" s="85">
        <v>52.118269695690991</v>
      </c>
      <c r="N293" s="85" t="s">
        <v>254</v>
      </c>
      <c r="O293" s="85">
        <v>0</v>
      </c>
      <c r="P293" s="85">
        <v>0</v>
      </c>
      <c r="Q293" s="85">
        <v>0</v>
      </c>
      <c r="R293" s="85"/>
      <c r="S293" s="86"/>
    </row>
    <row r="294" spans="1:19" ht="15">
      <c r="A294" s="70">
        <v>6</v>
      </c>
      <c r="B294" s="70"/>
      <c r="C294" s="72" t="s">
        <v>485</v>
      </c>
      <c r="D294" s="72" t="s">
        <v>460</v>
      </c>
      <c r="E294" s="85">
        <v>0</v>
      </c>
      <c r="F294" s="85" t="s">
        <v>254</v>
      </c>
      <c r="G294" s="85">
        <v>0</v>
      </c>
      <c r="H294" s="85" t="s">
        <v>254</v>
      </c>
      <c r="I294" s="85">
        <v>0</v>
      </c>
      <c r="J294" s="85">
        <v>0</v>
      </c>
      <c r="K294" s="85" t="s">
        <v>254</v>
      </c>
      <c r="L294" s="85" t="s">
        <v>254</v>
      </c>
      <c r="M294" s="85">
        <v>0</v>
      </c>
      <c r="N294" s="85" t="s">
        <v>254</v>
      </c>
      <c r="O294" s="85">
        <v>0</v>
      </c>
      <c r="P294" s="85">
        <v>0</v>
      </c>
      <c r="Q294" s="85">
        <v>0</v>
      </c>
      <c r="R294" s="85"/>
      <c r="S294" s="86"/>
    </row>
    <row r="295" spans="1:19" ht="15">
      <c r="A295" s="70">
        <v>7</v>
      </c>
      <c r="B295" s="70"/>
      <c r="C295" s="72" t="s">
        <v>486</v>
      </c>
      <c r="D295" s="72" t="s">
        <v>487</v>
      </c>
      <c r="E295" s="85">
        <v>0</v>
      </c>
      <c r="F295" s="85" t="s">
        <v>254</v>
      </c>
      <c r="G295" s="85">
        <v>0</v>
      </c>
      <c r="H295" s="85" t="s">
        <v>254</v>
      </c>
      <c r="I295" s="85">
        <v>0</v>
      </c>
      <c r="J295" s="85">
        <v>0</v>
      </c>
      <c r="K295" s="85" t="s">
        <v>254</v>
      </c>
      <c r="L295" s="85" t="s">
        <v>254</v>
      </c>
      <c r="M295" s="85">
        <v>0</v>
      </c>
      <c r="N295" s="85" t="s">
        <v>254</v>
      </c>
      <c r="O295" s="85">
        <v>0</v>
      </c>
      <c r="P295" s="85">
        <v>0</v>
      </c>
      <c r="Q295" s="85">
        <v>0</v>
      </c>
      <c r="R295" s="85"/>
      <c r="S295" s="86"/>
    </row>
    <row r="296" spans="1:19" ht="15">
      <c r="A296" s="70">
        <v>8</v>
      </c>
      <c r="B296" s="70"/>
      <c r="C296" s="72" t="s">
        <v>482</v>
      </c>
      <c r="D296" s="72" t="s">
        <v>315</v>
      </c>
      <c r="E296" s="85">
        <v>0</v>
      </c>
      <c r="F296" s="85" t="s">
        <v>254</v>
      </c>
      <c r="G296" s="85">
        <v>0</v>
      </c>
      <c r="H296" s="85" t="s">
        <v>254</v>
      </c>
      <c r="I296" s="85">
        <v>0</v>
      </c>
      <c r="J296" s="85">
        <v>0</v>
      </c>
      <c r="K296" s="85" t="s">
        <v>254</v>
      </c>
      <c r="L296" s="85" t="s">
        <v>254</v>
      </c>
      <c r="M296" s="85">
        <v>0</v>
      </c>
      <c r="N296" s="85" t="s">
        <v>254</v>
      </c>
      <c r="O296" s="85">
        <v>0</v>
      </c>
      <c r="P296" s="85">
        <v>0</v>
      </c>
      <c r="Q296" s="85">
        <v>0</v>
      </c>
      <c r="R296" s="85"/>
      <c r="S296" s="86"/>
    </row>
    <row r="297" spans="1:19" ht="15">
      <c r="A297" s="70">
        <v>9</v>
      </c>
      <c r="B297" s="70"/>
      <c r="C297" s="72" t="s">
        <v>483</v>
      </c>
      <c r="D297" s="72" t="s">
        <v>317</v>
      </c>
      <c r="E297" s="85">
        <v>0</v>
      </c>
      <c r="F297" s="85" t="s">
        <v>254</v>
      </c>
      <c r="G297" s="85">
        <v>0</v>
      </c>
      <c r="H297" s="85" t="s">
        <v>254</v>
      </c>
      <c r="I297" s="85">
        <v>0</v>
      </c>
      <c r="J297" s="85">
        <v>0</v>
      </c>
      <c r="K297" s="85" t="s">
        <v>254</v>
      </c>
      <c r="L297" s="85" t="s">
        <v>254</v>
      </c>
      <c r="M297" s="85">
        <v>0</v>
      </c>
      <c r="N297" s="85" t="s">
        <v>254</v>
      </c>
      <c r="O297" s="85">
        <v>0</v>
      </c>
      <c r="P297" s="85">
        <v>0</v>
      </c>
      <c r="Q297" s="85">
        <v>0</v>
      </c>
      <c r="R297" s="85"/>
      <c r="S297" s="86"/>
    </row>
    <row r="298" spans="1:19" ht="15">
      <c r="A298" s="70">
        <v>10</v>
      </c>
      <c r="B298" s="70"/>
      <c r="C298" s="72" t="s">
        <v>488</v>
      </c>
      <c r="D298" s="72" t="s">
        <v>254</v>
      </c>
      <c r="E298" s="85">
        <v>15536352.939999999</v>
      </c>
      <c r="F298" s="85" t="s">
        <v>254</v>
      </c>
      <c r="G298" s="85">
        <v>14831916.688514618</v>
      </c>
      <c r="H298" s="85" t="s">
        <v>254</v>
      </c>
      <c r="I298" s="85">
        <v>704384.13321568631</v>
      </c>
      <c r="J298" s="85">
        <v>52.118269695690991</v>
      </c>
      <c r="K298" s="85" t="s">
        <v>254</v>
      </c>
      <c r="L298" s="85" t="s">
        <v>254</v>
      </c>
      <c r="M298" s="85">
        <v>52.118269695690991</v>
      </c>
      <c r="N298" s="85" t="s">
        <v>254</v>
      </c>
      <c r="O298" s="85">
        <v>0</v>
      </c>
      <c r="P298" s="85">
        <v>0</v>
      </c>
      <c r="Q298" s="85">
        <v>0</v>
      </c>
      <c r="R298" s="85"/>
      <c r="S298" s="86"/>
    </row>
    <row r="299" spans="1:19" ht="15">
      <c r="A299" s="70" t="s">
        <v>254</v>
      </c>
      <c r="B299" s="70"/>
      <c r="C299" s="72" t="s">
        <v>254</v>
      </c>
      <c r="D299" s="72" t="s">
        <v>254</v>
      </c>
      <c r="E299" s="85" t="s">
        <v>254</v>
      </c>
      <c r="F299" s="85" t="s">
        <v>254</v>
      </c>
      <c r="G299" s="85" t="s">
        <v>254</v>
      </c>
      <c r="H299" s="85" t="s">
        <v>254</v>
      </c>
      <c r="I299" s="85" t="s">
        <v>254</v>
      </c>
      <c r="J299" s="85" t="s">
        <v>254</v>
      </c>
      <c r="K299" s="85" t="s">
        <v>254</v>
      </c>
      <c r="L299" s="85" t="s">
        <v>254</v>
      </c>
      <c r="M299" s="85" t="s">
        <v>254</v>
      </c>
      <c r="N299" s="85" t="s">
        <v>254</v>
      </c>
      <c r="O299" s="85" t="s">
        <v>254</v>
      </c>
      <c r="P299" s="85" t="s">
        <v>254</v>
      </c>
      <c r="Q299" s="85" t="s">
        <v>254</v>
      </c>
      <c r="R299" s="85"/>
      <c r="S299" s="86"/>
    </row>
    <row r="300" spans="1:19" ht="15">
      <c r="A300" s="70">
        <v>11</v>
      </c>
      <c r="B300" s="70"/>
      <c r="C300" s="72" t="s">
        <v>489</v>
      </c>
      <c r="D300" s="72" t="s">
        <v>490</v>
      </c>
      <c r="E300" s="85">
        <v>0</v>
      </c>
      <c r="F300" s="85" t="s">
        <v>254</v>
      </c>
      <c r="G300" s="85">
        <v>0</v>
      </c>
      <c r="H300" s="85" t="s">
        <v>254</v>
      </c>
      <c r="I300" s="85">
        <v>0</v>
      </c>
      <c r="J300" s="85">
        <v>0</v>
      </c>
      <c r="K300" s="85" t="s">
        <v>254</v>
      </c>
      <c r="L300" s="85" t="s">
        <v>254</v>
      </c>
      <c r="M300" s="85">
        <v>0</v>
      </c>
      <c r="N300" s="85" t="s">
        <v>254</v>
      </c>
      <c r="O300" s="85">
        <v>0</v>
      </c>
      <c r="P300" s="85">
        <v>0</v>
      </c>
      <c r="Q300" s="85">
        <v>0</v>
      </c>
      <c r="R300" s="85"/>
      <c r="S300" s="86"/>
    </row>
    <row r="301" spans="1:19" ht="15">
      <c r="A301" s="70">
        <v>12</v>
      </c>
      <c r="B301" s="70"/>
      <c r="C301" s="72" t="s">
        <v>491</v>
      </c>
      <c r="D301" s="72" t="s">
        <v>492</v>
      </c>
      <c r="E301" s="85">
        <v>13323958.24</v>
      </c>
      <c r="F301" s="85" t="s">
        <v>254</v>
      </c>
      <c r="G301" s="85">
        <v>13323958.24</v>
      </c>
      <c r="H301" s="85" t="s">
        <v>254</v>
      </c>
      <c r="I301" s="85">
        <v>0</v>
      </c>
      <c r="J301" s="85">
        <v>0</v>
      </c>
      <c r="K301" s="85" t="s">
        <v>254</v>
      </c>
      <c r="L301" s="85" t="s">
        <v>254</v>
      </c>
      <c r="M301" s="85">
        <v>0</v>
      </c>
      <c r="N301" s="85" t="s">
        <v>254</v>
      </c>
      <c r="O301" s="85">
        <v>0</v>
      </c>
      <c r="P301" s="85">
        <v>0</v>
      </c>
      <c r="Q301" s="85">
        <v>0</v>
      </c>
      <c r="R301" s="85"/>
      <c r="S301" s="86"/>
    </row>
    <row r="302" spans="1:19" ht="15">
      <c r="A302" s="70">
        <v>13</v>
      </c>
      <c r="B302" s="70"/>
      <c r="C302" s="72" t="s">
        <v>493</v>
      </c>
      <c r="D302" s="72" t="s">
        <v>254</v>
      </c>
      <c r="E302" s="85">
        <v>13323958.24</v>
      </c>
      <c r="F302" s="85" t="s">
        <v>254</v>
      </c>
      <c r="G302" s="85">
        <v>13323958.24</v>
      </c>
      <c r="H302" s="85" t="s">
        <v>254</v>
      </c>
      <c r="I302" s="85">
        <v>0</v>
      </c>
      <c r="J302" s="85">
        <v>0</v>
      </c>
      <c r="K302" s="85" t="s">
        <v>254</v>
      </c>
      <c r="L302" s="85" t="s">
        <v>254</v>
      </c>
      <c r="M302" s="85">
        <v>0</v>
      </c>
      <c r="N302" s="85" t="s">
        <v>254</v>
      </c>
      <c r="O302" s="85">
        <v>0</v>
      </c>
      <c r="P302" s="85">
        <v>0</v>
      </c>
      <c r="Q302" s="85">
        <v>0</v>
      </c>
      <c r="R302" s="85"/>
      <c r="S302" s="86"/>
    </row>
    <row r="303" spans="1:19" ht="15">
      <c r="A303" s="70" t="s">
        <v>254</v>
      </c>
      <c r="B303" s="70"/>
      <c r="C303" s="72" t="s">
        <v>254</v>
      </c>
      <c r="D303" s="72" t="s">
        <v>254</v>
      </c>
      <c r="E303" s="85" t="s">
        <v>254</v>
      </c>
      <c r="F303" s="85" t="s">
        <v>254</v>
      </c>
      <c r="G303" s="85" t="s">
        <v>254</v>
      </c>
      <c r="H303" s="85" t="s">
        <v>254</v>
      </c>
      <c r="I303" s="85" t="s">
        <v>254</v>
      </c>
      <c r="J303" s="85" t="s">
        <v>254</v>
      </c>
      <c r="K303" s="85" t="s">
        <v>254</v>
      </c>
      <c r="L303" s="85" t="s">
        <v>254</v>
      </c>
      <c r="M303" s="85" t="s">
        <v>254</v>
      </c>
      <c r="N303" s="85" t="s">
        <v>254</v>
      </c>
      <c r="O303" s="85" t="s">
        <v>254</v>
      </c>
      <c r="P303" s="85" t="s">
        <v>254</v>
      </c>
      <c r="Q303" s="85" t="s">
        <v>254</v>
      </c>
      <c r="R303" s="85"/>
      <c r="S303" s="86"/>
    </row>
    <row r="304" spans="1:19" ht="15">
      <c r="A304" s="70">
        <v>14</v>
      </c>
      <c r="B304" s="70"/>
      <c r="C304" s="72" t="s">
        <v>440</v>
      </c>
      <c r="D304" s="72" t="s">
        <v>471</v>
      </c>
      <c r="E304" s="85">
        <v>24882578.43</v>
      </c>
      <c r="F304" s="85" t="s">
        <v>254</v>
      </c>
      <c r="G304" s="85">
        <v>22571932.808328435</v>
      </c>
      <c r="H304" s="85" t="s">
        <v>254</v>
      </c>
      <c r="I304" s="85">
        <v>1121402.0113414417</v>
      </c>
      <c r="J304" s="85">
        <v>1189243.6103301235</v>
      </c>
      <c r="K304" s="85" t="s">
        <v>254</v>
      </c>
      <c r="L304" s="85" t="s">
        <v>254</v>
      </c>
      <c r="M304" s="85">
        <v>541.34860387027368</v>
      </c>
      <c r="N304" s="85" t="s">
        <v>254</v>
      </c>
      <c r="O304" s="85">
        <v>1188702.2617262532</v>
      </c>
      <c r="P304" s="85">
        <v>379455.8307938822</v>
      </c>
      <c r="Q304" s="85">
        <v>809246.43093237095</v>
      </c>
      <c r="R304" s="85"/>
      <c r="S304" s="86"/>
    </row>
    <row r="305" spans="1:19" ht="15">
      <c r="A305" s="70" t="s">
        <v>254</v>
      </c>
      <c r="B305" s="70"/>
      <c r="C305" s="72" t="s">
        <v>254</v>
      </c>
      <c r="D305" s="72" t="s">
        <v>254</v>
      </c>
      <c r="E305" s="85" t="s">
        <v>254</v>
      </c>
      <c r="F305" s="85" t="s">
        <v>254</v>
      </c>
      <c r="G305" s="85" t="s">
        <v>254</v>
      </c>
      <c r="H305" s="85" t="s">
        <v>254</v>
      </c>
      <c r="I305" s="85" t="s">
        <v>254</v>
      </c>
      <c r="J305" s="85" t="s">
        <v>254</v>
      </c>
      <c r="K305" s="85" t="s">
        <v>254</v>
      </c>
      <c r="L305" s="85" t="s">
        <v>254</v>
      </c>
      <c r="M305" s="85" t="s">
        <v>254</v>
      </c>
      <c r="N305" s="85" t="s">
        <v>254</v>
      </c>
      <c r="O305" s="85" t="s">
        <v>254</v>
      </c>
      <c r="P305" s="85" t="s">
        <v>254</v>
      </c>
      <c r="Q305" s="85" t="s">
        <v>254</v>
      </c>
      <c r="R305" s="85"/>
      <c r="S305" s="86"/>
    </row>
    <row r="306" spans="1:19" ht="15">
      <c r="A306" s="70">
        <v>15</v>
      </c>
      <c r="B306" s="70"/>
      <c r="C306" s="72" t="s">
        <v>494</v>
      </c>
      <c r="D306" s="72" t="s">
        <v>254</v>
      </c>
      <c r="E306" s="85">
        <v>139671981.03999999</v>
      </c>
      <c r="F306" s="85" t="s">
        <v>254</v>
      </c>
      <c r="G306" s="85">
        <v>125982146.41187859</v>
      </c>
      <c r="H306" s="85" t="s">
        <v>254</v>
      </c>
      <c r="I306" s="85">
        <v>5303557.6546931677</v>
      </c>
      <c r="J306" s="85">
        <v>8386276.9734282475</v>
      </c>
      <c r="K306" s="85" t="s">
        <v>254</v>
      </c>
      <c r="L306" s="85" t="s">
        <v>254</v>
      </c>
      <c r="M306" s="85">
        <v>857.90511180617443</v>
      </c>
      <c r="N306" s="85" t="s">
        <v>254</v>
      </c>
      <c r="O306" s="85">
        <v>8385419.068316441</v>
      </c>
      <c r="P306" s="85">
        <v>2613020.8069461794</v>
      </c>
      <c r="Q306" s="85">
        <v>5772398.2613702612</v>
      </c>
      <c r="R306" s="85"/>
      <c r="S306" s="86"/>
    </row>
    <row r="307" spans="1:19" ht="15">
      <c r="A307" s="70" t="s">
        <v>254</v>
      </c>
      <c r="B307" s="70"/>
      <c r="C307" s="72" t="s">
        <v>254</v>
      </c>
      <c r="D307" s="72" t="s">
        <v>254</v>
      </c>
      <c r="E307" s="85" t="s">
        <v>254</v>
      </c>
      <c r="F307" s="85" t="s">
        <v>254</v>
      </c>
      <c r="G307" s="85" t="s">
        <v>254</v>
      </c>
      <c r="H307" s="85" t="s">
        <v>254</v>
      </c>
      <c r="I307" s="85" t="s">
        <v>254</v>
      </c>
      <c r="J307" s="85" t="s">
        <v>254</v>
      </c>
      <c r="K307" s="85" t="s">
        <v>254</v>
      </c>
      <c r="L307" s="85" t="s">
        <v>254</v>
      </c>
      <c r="M307" s="85" t="s">
        <v>254</v>
      </c>
      <c r="N307" s="85" t="s">
        <v>254</v>
      </c>
      <c r="O307" s="85" t="s">
        <v>254</v>
      </c>
      <c r="P307" s="85" t="s">
        <v>254</v>
      </c>
      <c r="Q307" s="85" t="s">
        <v>254</v>
      </c>
      <c r="R307" s="85"/>
      <c r="S307" s="86"/>
    </row>
    <row r="308" spans="1:19" ht="15">
      <c r="A308" s="70" t="s">
        <v>254</v>
      </c>
      <c r="B308" s="70"/>
      <c r="C308" s="72" t="s">
        <v>495</v>
      </c>
      <c r="D308" s="72" t="s">
        <v>254</v>
      </c>
      <c r="E308" s="85" t="s">
        <v>254</v>
      </c>
      <c r="F308" s="85" t="s">
        <v>254</v>
      </c>
      <c r="G308" s="85" t="s">
        <v>254</v>
      </c>
      <c r="H308" s="85" t="s">
        <v>254</v>
      </c>
      <c r="I308" s="85" t="s">
        <v>254</v>
      </c>
      <c r="J308" s="85" t="s">
        <v>254</v>
      </c>
      <c r="K308" s="85" t="s">
        <v>254</v>
      </c>
      <c r="L308" s="85" t="s">
        <v>254</v>
      </c>
      <c r="M308" s="85" t="s">
        <v>254</v>
      </c>
      <c r="N308" s="85" t="s">
        <v>254</v>
      </c>
      <c r="O308" s="85" t="s">
        <v>254</v>
      </c>
      <c r="P308" s="85" t="s">
        <v>254</v>
      </c>
      <c r="Q308" s="85" t="s">
        <v>254</v>
      </c>
      <c r="R308" s="85"/>
      <c r="S308" s="86"/>
    </row>
    <row r="309" spans="1:19" ht="15">
      <c r="A309" s="70" t="s">
        <v>254</v>
      </c>
      <c r="B309" s="70"/>
      <c r="C309" s="72" t="s">
        <v>496</v>
      </c>
      <c r="D309" s="72" t="s">
        <v>254</v>
      </c>
      <c r="E309" s="85" t="s">
        <v>254</v>
      </c>
      <c r="F309" s="85" t="s">
        <v>254</v>
      </c>
      <c r="G309" s="85" t="s">
        <v>254</v>
      </c>
      <c r="H309" s="85" t="s">
        <v>254</v>
      </c>
      <c r="I309" s="85" t="s">
        <v>254</v>
      </c>
      <c r="J309" s="85" t="s">
        <v>254</v>
      </c>
      <c r="K309" s="85" t="s">
        <v>254</v>
      </c>
      <c r="L309" s="85" t="s">
        <v>254</v>
      </c>
      <c r="M309" s="85" t="s">
        <v>254</v>
      </c>
      <c r="N309" s="85" t="s">
        <v>254</v>
      </c>
      <c r="O309" s="85" t="s">
        <v>254</v>
      </c>
      <c r="P309" s="85" t="s">
        <v>254</v>
      </c>
      <c r="Q309" s="85" t="s">
        <v>254</v>
      </c>
      <c r="R309" s="85"/>
      <c r="S309" s="86"/>
    </row>
    <row r="310" spans="1:19" ht="15">
      <c r="A310" s="70">
        <v>16</v>
      </c>
      <c r="B310" s="70"/>
      <c r="C310" s="72" t="s">
        <v>497</v>
      </c>
      <c r="D310" s="72" t="s">
        <v>498</v>
      </c>
      <c r="E310" s="85">
        <v>100950355.99999999</v>
      </c>
      <c r="F310" s="85" t="s">
        <v>254</v>
      </c>
      <c r="G310" s="85">
        <v>88773969.190853924</v>
      </c>
      <c r="H310" s="85" t="s">
        <v>254</v>
      </c>
      <c r="I310" s="85">
        <v>3680167.1722610025</v>
      </c>
      <c r="J310" s="85">
        <v>8496219.6368850637</v>
      </c>
      <c r="K310" s="85" t="s">
        <v>254</v>
      </c>
      <c r="L310" s="85" t="s">
        <v>254</v>
      </c>
      <c r="M310" s="85">
        <v>428.12050894751218</v>
      </c>
      <c r="N310" s="85" t="s">
        <v>254</v>
      </c>
      <c r="O310" s="85">
        <v>8495791.5163761154</v>
      </c>
      <c r="P310" s="85">
        <v>2684784.0514751286</v>
      </c>
      <c r="Q310" s="85">
        <v>5811007.4649009863</v>
      </c>
      <c r="R310" s="85"/>
      <c r="S310" s="86"/>
    </row>
    <row r="311" spans="1:19" ht="15">
      <c r="A311" s="70" t="s">
        <v>254</v>
      </c>
      <c r="B311" s="70"/>
      <c r="C311" s="72" t="s">
        <v>499</v>
      </c>
      <c r="D311" s="72" t="s">
        <v>254</v>
      </c>
      <c r="E311" s="85" t="s">
        <v>254</v>
      </c>
      <c r="F311" s="85" t="s">
        <v>254</v>
      </c>
      <c r="G311" s="85" t="s">
        <v>254</v>
      </c>
      <c r="H311" s="85" t="s">
        <v>254</v>
      </c>
      <c r="I311" s="85" t="s">
        <v>254</v>
      </c>
      <c r="J311" s="85" t="s">
        <v>254</v>
      </c>
      <c r="K311" s="85" t="s">
        <v>254</v>
      </c>
      <c r="L311" s="85" t="s">
        <v>254</v>
      </c>
      <c r="M311" s="85" t="s">
        <v>254</v>
      </c>
      <c r="N311" s="85" t="s">
        <v>254</v>
      </c>
      <c r="O311" s="85" t="s">
        <v>254</v>
      </c>
      <c r="P311" s="85" t="s">
        <v>254</v>
      </c>
      <c r="Q311" s="85" t="s">
        <v>254</v>
      </c>
      <c r="R311" s="85"/>
      <c r="S311" s="86"/>
    </row>
    <row r="312" spans="1:19" ht="15">
      <c r="A312" s="70">
        <v>17</v>
      </c>
      <c r="B312" s="70"/>
      <c r="C312" s="72" t="s">
        <v>500</v>
      </c>
      <c r="D312" s="72" t="s">
        <v>501</v>
      </c>
      <c r="E312" s="85">
        <v>30293354.574700002</v>
      </c>
      <c r="F312" s="85" t="s">
        <v>254</v>
      </c>
      <c r="G312" s="85">
        <v>26357056.444709018</v>
      </c>
      <c r="H312" s="85" t="s">
        <v>254</v>
      </c>
      <c r="I312" s="85">
        <v>1244700.8276740836</v>
      </c>
      <c r="J312" s="85">
        <v>2691597.3023169003</v>
      </c>
      <c r="K312" s="85" t="s">
        <v>254</v>
      </c>
      <c r="L312" s="85" t="s">
        <v>254</v>
      </c>
      <c r="M312" s="85">
        <v>92.616767274160452</v>
      </c>
      <c r="N312" s="85" t="s">
        <v>254</v>
      </c>
      <c r="O312" s="85">
        <v>2691504.6855496261</v>
      </c>
      <c r="P312" s="85">
        <v>835332.38285664469</v>
      </c>
      <c r="Q312" s="85">
        <v>1856172.3026929817</v>
      </c>
      <c r="R312" s="85"/>
      <c r="S312" s="86"/>
    </row>
    <row r="313" spans="1:19" ht="15">
      <c r="A313" s="70">
        <v>18</v>
      </c>
      <c r="B313" s="70"/>
      <c r="C313" s="72" t="s">
        <v>502</v>
      </c>
      <c r="D313" s="72" t="s">
        <v>503</v>
      </c>
      <c r="E313" s="85">
        <v>7643961.9672999997</v>
      </c>
      <c r="F313" s="85" t="s">
        <v>254</v>
      </c>
      <c r="G313" s="85">
        <v>6859244.6858627368</v>
      </c>
      <c r="H313" s="85" t="s">
        <v>254</v>
      </c>
      <c r="I313" s="85">
        <v>784693.17855346471</v>
      </c>
      <c r="J313" s="85">
        <v>24.102883798110884</v>
      </c>
      <c r="K313" s="85" t="s">
        <v>254</v>
      </c>
      <c r="L313" s="85" t="s">
        <v>254</v>
      </c>
      <c r="M313" s="85">
        <v>24.102883798110884</v>
      </c>
      <c r="N313" s="85" t="s">
        <v>254</v>
      </c>
      <c r="O313" s="85">
        <v>0</v>
      </c>
      <c r="P313" s="85">
        <v>0</v>
      </c>
      <c r="Q313" s="85">
        <v>0</v>
      </c>
      <c r="R313" s="85"/>
      <c r="S313" s="86"/>
    </row>
    <row r="314" spans="1:19" ht="15">
      <c r="A314" s="70">
        <v>19</v>
      </c>
      <c r="B314" s="70"/>
      <c r="C314" s="72" t="s">
        <v>504</v>
      </c>
      <c r="D314" s="72" t="s">
        <v>505</v>
      </c>
      <c r="E314" s="85">
        <v>5860093.4579999996</v>
      </c>
      <c r="F314" s="85" t="s">
        <v>254</v>
      </c>
      <c r="G314" s="85">
        <v>5528987.0337316561</v>
      </c>
      <c r="H314" s="85" t="s">
        <v>254</v>
      </c>
      <c r="I314" s="85">
        <v>314203.18989120587</v>
      </c>
      <c r="J314" s="85">
        <v>16903.234377137593</v>
      </c>
      <c r="K314" s="85" t="s">
        <v>254</v>
      </c>
      <c r="L314" s="85" t="s">
        <v>254</v>
      </c>
      <c r="M314" s="85">
        <v>585.80176607035708</v>
      </c>
      <c r="N314" s="85" t="s">
        <v>254</v>
      </c>
      <c r="O314" s="85">
        <v>16317.432611067235</v>
      </c>
      <c r="P314" s="85">
        <v>14143.846121776216</v>
      </c>
      <c r="Q314" s="85">
        <v>2173.586489291019</v>
      </c>
      <c r="R314" s="85"/>
      <c r="S314" s="86"/>
    </row>
    <row r="315" spans="1:19" ht="15">
      <c r="A315" s="70">
        <v>20</v>
      </c>
      <c r="B315" s="70"/>
      <c r="C315" s="72" t="s">
        <v>506</v>
      </c>
      <c r="D315" s="72" t="s">
        <v>471</v>
      </c>
      <c r="E315" s="85">
        <v>0</v>
      </c>
      <c r="F315" s="85" t="s">
        <v>254</v>
      </c>
      <c r="G315" s="85">
        <v>0</v>
      </c>
      <c r="H315" s="85" t="s">
        <v>254</v>
      </c>
      <c r="I315" s="85">
        <v>0</v>
      </c>
      <c r="J315" s="85">
        <v>0</v>
      </c>
      <c r="K315" s="85" t="s">
        <v>254</v>
      </c>
      <c r="L315" s="85" t="s">
        <v>254</v>
      </c>
      <c r="M315" s="85">
        <v>0</v>
      </c>
      <c r="N315" s="85" t="s">
        <v>254</v>
      </c>
      <c r="O315" s="85">
        <v>0</v>
      </c>
      <c r="P315" s="85">
        <v>0</v>
      </c>
      <c r="Q315" s="85">
        <v>0</v>
      </c>
      <c r="R315" s="85"/>
      <c r="S315" s="86"/>
    </row>
    <row r="316" spans="1:19" ht="15">
      <c r="A316" s="70">
        <v>21</v>
      </c>
      <c r="B316" s="70"/>
      <c r="C316" s="72" t="s">
        <v>507</v>
      </c>
      <c r="D316" s="72" t="s">
        <v>508</v>
      </c>
      <c r="E316" s="85">
        <v>10292410</v>
      </c>
      <c r="F316" s="85" t="s">
        <v>254</v>
      </c>
      <c r="G316" s="85">
        <v>9105159.2172952238</v>
      </c>
      <c r="H316" s="85" t="s">
        <v>254</v>
      </c>
      <c r="I316" s="85">
        <v>550746.3390484649</v>
      </c>
      <c r="J316" s="85">
        <v>636504.44365631009</v>
      </c>
      <c r="K316" s="85" t="s">
        <v>254</v>
      </c>
      <c r="L316" s="85" t="s">
        <v>254</v>
      </c>
      <c r="M316" s="85">
        <v>165.092832179185</v>
      </c>
      <c r="N316" s="85" t="s">
        <v>254</v>
      </c>
      <c r="O316" s="85">
        <v>636339.35082413093</v>
      </c>
      <c r="P316" s="85">
        <v>199627.27553752129</v>
      </c>
      <c r="Q316" s="85">
        <v>436712.0752866097</v>
      </c>
      <c r="R316" s="85"/>
      <c r="S316" s="86"/>
    </row>
    <row r="317" spans="1:19" ht="15">
      <c r="A317" s="70">
        <v>22</v>
      </c>
      <c r="B317" s="70"/>
      <c r="C317" s="72" t="s">
        <v>509</v>
      </c>
      <c r="D317" s="72" t="s">
        <v>254</v>
      </c>
      <c r="E317" s="85">
        <v>54089819.999999993</v>
      </c>
      <c r="F317" s="85" t="s">
        <v>254</v>
      </c>
      <c r="G317" s="85">
        <v>47850447.381598629</v>
      </c>
      <c r="H317" s="85" t="s">
        <v>254</v>
      </c>
      <c r="I317" s="85">
        <v>2894343.5351672191</v>
      </c>
      <c r="J317" s="85">
        <v>3345029.0832341462</v>
      </c>
      <c r="K317" s="85" t="s">
        <v>254</v>
      </c>
      <c r="L317" s="85" t="s">
        <v>254</v>
      </c>
      <c r="M317" s="85">
        <v>867.6142493218133</v>
      </c>
      <c r="N317" s="85" t="s">
        <v>254</v>
      </c>
      <c r="O317" s="85">
        <v>3344161.4689848246</v>
      </c>
      <c r="P317" s="85">
        <v>1049103.5045159422</v>
      </c>
      <c r="Q317" s="85">
        <v>2295057.9644688824</v>
      </c>
      <c r="R317" s="85"/>
      <c r="S317" s="86"/>
    </row>
    <row r="318" spans="1:19" ht="15">
      <c r="A318" s="70">
        <v>23</v>
      </c>
      <c r="B318" s="70"/>
      <c r="C318" s="72" t="s">
        <v>510</v>
      </c>
      <c r="D318" s="72" t="s">
        <v>254</v>
      </c>
      <c r="E318" s="85">
        <v>155040175.99999997</v>
      </c>
      <c r="F318" s="85" t="s">
        <v>254</v>
      </c>
      <c r="G318" s="85">
        <v>136624416.57245255</v>
      </c>
      <c r="H318" s="85" t="s">
        <v>254</v>
      </c>
      <c r="I318" s="85">
        <v>6574510.7074282216</v>
      </c>
      <c r="J318" s="85">
        <v>11841248.720119208</v>
      </c>
      <c r="K318" s="85" t="s">
        <v>254</v>
      </c>
      <c r="L318" s="85" t="s">
        <v>254</v>
      </c>
      <c r="M318" s="85">
        <v>1295.7347582693255</v>
      </c>
      <c r="N318" s="85" t="s">
        <v>254</v>
      </c>
      <c r="O318" s="85">
        <v>11839952.985360939</v>
      </c>
      <c r="P318" s="85">
        <v>3733887.5559910708</v>
      </c>
      <c r="Q318" s="85">
        <v>8106065.4293698687</v>
      </c>
      <c r="R318" s="85"/>
      <c r="S318" s="86"/>
    </row>
    <row r="319" spans="1:19" ht="15">
      <c r="A319" s="70" t="s">
        <v>254</v>
      </c>
      <c r="B319" s="70"/>
      <c r="C319" s="72" t="s">
        <v>254</v>
      </c>
      <c r="D319" s="72" t="s">
        <v>254</v>
      </c>
      <c r="E319" s="85" t="s">
        <v>254</v>
      </c>
      <c r="F319" s="85" t="s">
        <v>254</v>
      </c>
      <c r="G319" s="85" t="s">
        <v>254</v>
      </c>
      <c r="H319" s="85" t="s">
        <v>254</v>
      </c>
      <c r="I319" s="85" t="s">
        <v>254</v>
      </c>
      <c r="J319" s="85" t="s">
        <v>254</v>
      </c>
      <c r="K319" s="85" t="s">
        <v>254</v>
      </c>
      <c r="L319" s="85" t="s">
        <v>254</v>
      </c>
      <c r="M319" s="85" t="s">
        <v>254</v>
      </c>
      <c r="N319" s="85" t="s">
        <v>254</v>
      </c>
      <c r="O319" s="85" t="s">
        <v>254</v>
      </c>
      <c r="P319" s="85" t="s">
        <v>254</v>
      </c>
      <c r="Q319" s="85" t="s">
        <v>254</v>
      </c>
      <c r="R319" s="85"/>
      <c r="S319" s="86"/>
    </row>
    <row r="320" spans="1:19" ht="15">
      <c r="A320" s="70" t="s">
        <v>254</v>
      </c>
      <c r="B320" s="70"/>
      <c r="C320" s="72" t="s">
        <v>511</v>
      </c>
      <c r="D320" s="72" t="s">
        <v>254</v>
      </c>
      <c r="E320" s="85" t="s">
        <v>254</v>
      </c>
      <c r="F320" s="85" t="s">
        <v>254</v>
      </c>
      <c r="G320" s="85" t="s">
        <v>254</v>
      </c>
      <c r="H320" s="85" t="s">
        <v>254</v>
      </c>
      <c r="I320" s="85" t="s">
        <v>254</v>
      </c>
      <c r="J320" s="85" t="s">
        <v>254</v>
      </c>
      <c r="K320" s="85" t="s">
        <v>254</v>
      </c>
      <c r="L320" s="85" t="s">
        <v>254</v>
      </c>
      <c r="M320" s="85" t="s">
        <v>254</v>
      </c>
      <c r="N320" s="85" t="s">
        <v>254</v>
      </c>
      <c r="O320" s="85" t="s">
        <v>254</v>
      </c>
      <c r="P320" s="85" t="s">
        <v>254</v>
      </c>
      <c r="Q320" s="85" t="s">
        <v>254</v>
      </c>
      <c r="R320" s="85"/>
      <c r="S320" s="86"/>
    </row>
    <row r="321" spans="1:19" ht="15">
      <c r="A321" s="70">
        <v>24</v>
      </c>
      <c r="B321" s="70"/>
      <c r="C321" s="72" t="s">
        <v>512</v>
      </c>
      <c r="D321" s="72" t="s">
        <v>513</v>
      </c>
      <c r="E321" s="85">
        <v>14433442.042318262</v>
      </c>
      <c r="F321" s="85" t="s">
        <v>254</v>
      </c>
      <c r="G321" s="85">
        <v>13556945.731400739</v>
      </c>
      <c r="H321" s="85" t="s">
        <v>254</v>
      </c>
      <c r="I321" s="85">
        <v>0</v>
      </c>
      <c r="J321" s="85">
        <v>876496.31091752183</v>
      </c>
      <c r="K321" s="85" t="s">
        <v>254</v>
      </c>
      <c r="L321" s="85" t="s">
        <v>254</v>
      </c>
      <c r="M321" s="85">
        <v>340.01602321583022</v>
      </c>
      <c r="N321" s="85" t="s">
        <v>254</v>
      </c>
      <c r="O321" s="85">
        <v>876156.29489430599</v>
      </c>
      <c r="P321" s="85">
        <v>277439.7759265934</v>
      </c>
      <c r="Q321" s="85">
        <v>598716.51896771253</v>
      </c>
      <c r="R321" s="85"/>
      <c r="S321" s="86"/>
    </row>
    <row r="322" spans="1:19" ht="15">
      <c r="A322" s="70">
        <v>25</v>
      </c>
      <c r="B322" s="70"/>
      <c r="C322" s="72" t="s">
        <v>514</v>
      </c>
      <c r="D322" s="72" t="s">
        <v>515</v>
      </c>
      <c r="E322" s="85">
        <v>0</v>
      </c>
      <c r="F322" s="85" t="s">
        <v>254</v>
      </c>
      <c r="G322" s="85">
        <v>0</v>
      </c>
      <c r="H322" s="85" t="s">
        <v>254</v>
      </c>
      <c r="I322" s="85">
        <v>0</v>
      </c>
      <c r="J322" s="85">
        <v>0</v>
      </c>
      <c r="K322" s="85" t="s">
        <v>254</v>
      </c>
      <c r="L322" s="85" t="s">
        <v>254</v>
      </c>
      <c r="M322" s="85">
        <v>0</v>
      </c>
      <c r="N322" s="85" t="s">
        <v>254</v>
      </c>
      <c r="O322" s="85">
        <v>0</v>
      </c>
      <c r="P322" s="85">
        <v>0</v>
      </c>
      <c r="Q322" s="85">
        <v>0</v>
      </c>
      <c r="R322" s="85"/>
      <c r="S322" s="86"/>
    </row>
    <row r="323" spans="1:19" ht="15">
      <c r="A323" s="70">
        <v>26</v>
      </c>
      <c r="B323" s="70"/>
      <c r="C323" s="72" t="s">
        <v>516</v>
      </c>
      <c r="D323" s="72" t="s">
        <v>254</v>
      </c>
      <c r="E323" s="85">
        <v>14433442.042318262</v>
      </c>
      <c r="F323" s="85" t="s">
        <v>254</v>
      </c>
      <c r="G323" s="85">
        <v>13556945.731400739</v>
      </c>
      <c r="H323" s="85" t="s">
        <v>254</v>
      </c>
      <c r="I323" s="85">
        <v>0</v>
      </c>
      <c r="J323" s="85">
        <v>876496.31091752183</v>
      </c>
      <c r="K323" s="85" t="s">
        <v>254</v>
      </c>
      <c r="L323" s="85" t="s">
        <v>254</v>
      </c>
      <c r="M323" s="85">
        <v>340.01602321583022</v>
      </c>
      <c r="N323" s="85" t="s">
        <v>254</v>
      </c>
      <c r="O323" s="85">
        <v>876156.29489430599</v>
      </c>
      <c r="P323" s="85">
        <v>277439.7759265934</v>
      </c>
      <c r="Q323" s="85">
        <v>598716.51896771253</v>
      </c>
      <c r="R323" s="85"/>
      <c r="S323" s="86"/>
    </row>
    <row r="324" spans="1:19" ht="15">
      <c r="A324" s="70" t="s">
        <v>254</v>
      </c>
      <c r="B324" s="70"/>
      <c r="C324" s="72" t="s">
        <v>254</v>
      </c>
      <c r="D324" s="72" t="s">
        <v>254</v>
      </c>
      <c r="E324" s="85" t="s">
        <v>254</v>
      </c>
      <c r="F324" s="85" t="s">
        <v>254</v>
      </c>
      <c r="G324" s="85" t="s">
        <v>254</v>
      </c>
      <c r="H324" s="85" t="s">
        <v>254</v>
      </c>
      <c r="I324" s="85" t="s">
        <v>254</v>
      </c>
      <c r="J324" s="85" t="s">
        <v>254</v>
      </c>
      <c r="K324" s="85" t="s">
        <v>254</v>
      </c>
      <c r="L324" s="85" t="s">
        <v>254</v>
      </c>
      <c r="M324" s="85" t="s">
        <v>254</v>
      </c>
      <c r="N324" s="85" t="s">
        <v>254</v>
      </c>
      <c r="O324" s="85" t="s">
        <v>254</v>
      </c>
      <c r="P324" s="85" t="s">
        <v>254</v>
      </c>
      <c r="Q324" s="85" t="s">
        <v>254</v>
      </c>
      <c r="R324" s="85"/>
      <c r="S324" s="86"/>
    </row>
    <row r="325" spans="1:19" ht="15">
      <c r="A325" s="70">
        <v>27</v>
      </c>
      <c r="B325" s="70"/>
      <c r="C325" s="72" t="s">
        <v>517</v>
      </c>
      <c r="D325" s="72" t="s">
        <v>254</v>
      </c>
      <c r="E325" s="85">
        <v>111647266.31580596</v>
      </c>
      <c r="F325" s="85" t="s">
        <v>254</v>
      </c>
      <c r="G325" s="85">
        <v>103768560.12848042</v>
      </c>
      <c r="H325" s="85" t="s">
        <v>254</v>
      </c>
      <c r="I325" s="85">
        <v>0</v>
      </c>
      <c r="J325" s="85">
        <v>7878706.1873255344</v>
      </c>
      <c r="K325" s="85" t="s">
        <v>254</v>
      </c>
      <c r="L325" s="85" t="s">
        <v>254</v>
      </c>
      <c r="M325" s="85">
        <v>1523.9730284656353</v>
      </c>
      <c r="N325" s="85" t="s">
        <v>254</v>
      </c>
      <c r="O325" s="85">
        <v>7877182.2142970692</v>
      </c>
      <c r="P325" s="85">
        <v>2492244.9562144629</v>
      </c>
      <c r="Q325" s="85">
        <v>5384937.2580826068</v>
      </c>
      <c r="R325" s="85"/>
      <c r="S325" s="86"/>
    </row>
    <row r="326" spans="1:19" ht="15">
      <c r="A326" s="70" t="s">
        <v>254</v>
      </c>
      <c r="B326" s="70"/>
      <c r="C326" s="72" t="s">
        <v>254</v>
      </c>
      <c r="D326" s="72" t="s">
        <v>254</v>
      </c>
      <c r="E326" s="85" t="s">
        <v>254</v>
      </c>
      <c r="F326" s="85" t="s">
        <v>254</v>
      </c>
      <c r="G326" s="85" t="s">
        <v>254</v>
      </c>
      <c r="H326" s="85" t="s">
        <v>254</v>
      </c>
      <c r="I326" s="85" t="s">
        <v>254</v>
      </c>
      <c r="J326" s="85" t="s">
        <v>254</v>
      </c>
      <c r="K326" s="85" t="s">
        <v>254</v>
      </c>
      <c r="L326" s="85" t="s">
        <v>254</v>
      </c>
      <c r="M326" s="85" t="s">
        <v>254</v>
      </c>
      <c r="N326" s="85" t="s">
        <v>254</v>
      </c>
      <c r="O326" s="85" t="s">
        <v>254</v>
      </c>
      <c r="P326" s="85" t="s">
        <v>254</v>
      </c>
      <c r="Q326" s="85" t="s">
        <v>254</v>
      </c>
      <c r="R326" s="85"/>
      <c r="S326" s="86"/>
    </row>
    <row r="327" spans="1:19" ht="15">
      <c r="A327" s="70">
        <v>28</v>
      </c>
      <c r="B327" s="70"/>
      <c r="C327" s="72" t="s">
        <v>518</v>
      </c>
      <c r="D327" s="72" t="s">
        <v>254</v>
      </c>
      <c r="E327" s="85">
        <v>281120884.3581242</v>
      </c>
      <c r="F327" s="85" t="s">
        <v>254</v>
      </c>
      <c r="G327" s="85">
        <v>253949922.43233371</v>
      </c>
      <c r="H327" s="85" t="s">
        <v>254</v>
      </c>
      <c r="I327" s="85">
        <v>6574510.7074282216</v>
      </c>
      <c r="J327" s="85">
        <v>20596451.218362264</v>
      </c>
      <c r="K327" s="85" t="s">
        <v>254</v>
      </c>
      <c r="L327" s="85" t="s">
        <v>254</v>
      </c>
      <c r="M327" s="85">
        <v>3159.7238099507913</v>
      </c>
      <c r="N327" s="85" t="s">
        <v>254</v>
      </c>
      <c r="O327" s="85">
        <v>20593291.494552314</v>
      </c>
      <c r="P327" s="85">
        <v>6503572.2881321274</v>
      </c>
      <c r="Q327" s="85">
        <v>14089719.206420187</v>
      </c>
      <c r="R327" s="85"/>
      <c r="S327" s="86"/>
    </row>
    <row r="328" spans="1:19" ht="15">
      <c r="A328" s="70" t="s">
        <v>254</v>
      </c>
      <c r="B328" s="70"/>
      <c r="C328" s="72" t="s">
        <v>254</v>
      </c>
      <c r="D328" s="72" t="s">
        <v>254</v>
      </c>
      <c r="E328" s="85" t="s">
        <v>254</v>
      </c>
      <c r="F328" s="85" t="s">
        <v>254</v>
      </c>
      <c r="G328" s="85" t="s">
        <v>254</v>
      </c>
      <c r="H328" s="85" t="s">
        <v>254</v>
      </c>
      <c r="I328" s="85" t="s">
        <v>254</v>
      </c>
      <c r="J328" s="85" t="s">
        <v>254</v>
      </c>
      <c r="K328" s="85" t="s">
        <v>254</v>
      </c>
      <c r="L328" s="85" t="s">
        <v>254</v>
      </c>
      <c r="M328" s="85" t="s">
        <v>254</v>
      </c>
      <c r="N328" s="85" t="s">
        <v>254</v>
      </c>
      <c r="O328" s="85" t="s">
        <v>254</v>
      </c>
      <c r="P328" s="85" t="s">
        <v>254</v>
      </c>
      <c r="Q328" s="85" t="s">
        <v>254</v>
      </c>
      <c r="R328" s="85"/>
      <c r="S328" s="86"/>
    </row>
    <row r="329" spans="1:19" ht="15">
      <c r="A329" s="70">
        <v>29</v>
      </c>
      <c r="B329" s="70"/>
      <c r="C329" s="72" t="s">
        <v>519</v>
      </c>
      <c r="D329" s="72" t="s">
        <v>307</v>
      </c>
      <c r="E329" s="85">
        <v>137387</v>
      </c>
      <c r="F329" s="85" t="s">
        <v>254</v>
      </c>
      <c r="G329" s="85">
        <v>120320.41009857248</v>
      </c>
      <c r="H329" s="85" t="s">
        <v>254</v>
      </c>
      <c r="I329" s="85">
        <v>5560.4354738355196</v>
      </c>
      <c r="J329" s="85">
        <v>11506.15442759201</v>
      </c>
      <c r="K329" s="85" t="s">
        <v>254</v>
      </c>
      <c r="L329" s="85" t="s">
        <v>254</v>
      </c>
      <c r="M329" s="85">
        <v>0.42279711483745924</v>
      </c>
      <c r="N329" s="85" t="s">
        <v>254</v>
      </c>
      <c r="O329" s="85">
        <v>11505.731630477172</v>
      </c>
      <c r="P329" s="85">
        <v>3570.9059958158314</v>
      </c>
      <c r="Q329" s="85">
        <v>7934.8256346613407</v>
      </c>
      <c r="R329" s="85"/>
      <c r="S329" s="86"/>
    </row>
    <row r="330" spans="1:19" ht="15">
      <c r="A330" s="70" t="s">
        <v>254</v>
      </c>
      <c r="B330" s="70"/>
      <c r="C330" s="72" t="s">
        <v>254</v>
      </c>
      <c r="D330" s="72" t="s">
        <v>254</v>
      </c>
      <c r="E330" s="85" t="s">
        <v>254</v>
      </c>
      <c r="F330" s="85" t="s">
        <v>254</v>
      </c>
      <c r="G330" s="85" t="s">
        <v>254</v>
      </c>
      <c r="H330" s="85" t="s">
        <v>254</v>
      </c>
      <c r="I330" s="85" t="s">
        <v>254</v>
      </c>
      <c r="J330" s="85" t="s">
        <v>254</v>
      </c>
      <c r="K330" s="85" t="s">
        <v>254</v>
      </c>
      <c r="L330" s="85" t="s">
        <v>254</v>
      </c>
      <c r="M330" s="85" t="s">
        <v>254</v>
      </c>
      <c r="N330" s="85" t="s">
        <v>254</v>
      </c>
      <c r="O330" s="85" t="s">
        <v>254</v>
      </c>
      <c r="P330" s="85" t="s">
        <v>254</v>
      </c>
      <c r="Q330" s="85" t="s">
        <v>254</v>
      </c>
      <c r="R330" s="85"/>
      <c r="S330" s="86"/>
    </row>
    <row r="331" spans="1:19" ht="15">
      <c r="A331" s="70">
        <v>30</v>
      </c>
      <c r="B331" s="70"/>
      <c r="C331" s="72" t="s">
        <v>520</v>
      </c>
      <c r="D331" s="72" t="s">
        <v>254</v>
      </c>
      <c r="E331" s="85">
        <v>420930252.39812416</v>
      </c>
      <c r="F331" s="85" t="s">
        <v>254</v>
      </c>
      <c r="G331" s="85">
        <v>380052389.25431085</v>
      </c>
      <c r="H331" s="85" t="s">
        <v>254</v>
      </c>
      <c r="I331" s="85">
        <v>11883628.797595225</v>
      </c>
      <c r="J331" s="85">
        <v>28994234.346218105</v>
      </c>
      <c r="K331" s="85" t="s">
        <v>254</v>
      </c>
      <c r="L331" s="85" t="s">
        <v>254</v>
      </c>
      <c r="M331" s="85">
        <v>4018.0517188718031</v>
      </c>
      <c r="N331" s="85" t="s">
        <v>254</v>
      </c>
      <c r="O331" s="85">
        <v>28990216.294499233</v>
      </c>
      <c r="P331" s="85">
        <v>9120164.0010741223</v>
      </c>
      <c r="Q331" s="85">
        <v>19870052.293425109</v>
      </c>
      <c r="R331" s="85"/>
      <c r="S331" s="86"/>
    </row>
    <row r="332" spans="1:19" ht="15">
      <c r="A332" s="70" t="s">
        <v>254</v>
      </c>
      <c r="B332" s="70"/>
      <c r="C332" s="72" t="s">
        <v>254</v>
      </c>
      <c r="D332" s="72" t="s">
        <v>254</v>
      </c>
      <c r="E332" s="85" t="s">
        <v>254</v>
      </c>
      <c r="F332" s="85" t="s">
        <v>254</v>
      </c>
      <c r="G332" s="85" t="s">
        <v>254</v>
      </c>
      <c r="H332" s="85" t="s">
        <v>254</v>
      </c>
      <c r="I332" s="85" t="s">
        <v>254</v>
      </c>
      <c r="J332" s="85" t="s">
        <v>254</v>
      </c>
      <c r="K332" s="85" t="s">
        <v>254</v>
      </c>
      <c r="L332" s="85" t="s">
        <v>254</v>
      </c>
      <c r="M332" s="85" t="s">
        <v>254</v>
      </c>
      <c r="N332" s="85" t="s">
        <v>254</v>
      </c>
      <c r="O332" s="85" t="s">
        <v>254</v>
      </c>
      <c r="P332" s="85" t="s">
        <v>254</v>
      </c>
      <c r="Q332" s="85" t="s">
        <v>254</v>
      </c>
      <c r="R332" s="85"/>
      <c r="S332" s="86"/>
    </row>
    <row r="333" spans="1:19" ht="15">
      <c r="A333" s="70" t="s">
        <v>254</v>
      </c>
      <c r="B333" s="70"/>
      <c r="C333" s="72" t="s">
        <v>254</v>
      </c>
      <c r="D333" s="72" t="s">
        <v>254</v>
      </c>
      <c r="E333" s="85" t="s">
        <v>254</v>
      </c>
      <c r="F333" s="85" t="s">
        <v>254</v>
      </c>
      <c r="G333" s="85" t="s">
        <v>254</v>
      </c>
      <c r="H333" s="85" t="s">
        <v>254</v>
      </c>
      <c r="I333" s="85" t="s">
        <v>254</v>
      </c>
      <c r="J333" s="85" t="s">
        <v>254</v>
      </c>
      <c r="K333" s="85" t="s">
        <v>254</v>
      </c>
      <c r="L333" s="85" t="s">
        <v>254</v>
      </c>
      <c r="M333" s="85" t="s">
        <v>254</v>
      </c>
      <c r="N333" s="85" t="s">
        <v>254</v>
      </c>
      <c r="O333" s="85" t="s">
        <v>254</v>
      </c>
      <c r="P333" s="85" t="s">
        <v>254</v>
      </c>
      <c r="Q333" s="85" t="s">
        <v>254</v>
      </c>
      <c r="R333" s="85"/>
      <c r="S333" s="86"/>
    </row>
    <row r="334" spans="1:19" ht="15">
      <c r="A334" s="70" t="s">
        <v>254</v>
      </c>
      <c r="B334" s="70"/>
      <c r="C334" s="72" t="s">
        <v>521</v>
      </c>
      <c r="D334" s="72" t="s">
        <v>254</v>
      </c>
      <c r="E334" s="85" t="s">
        <v>254</v>
      </c>
      <c r="F334" s="85" t="s">
        <v>254</v>
      </c>
      <c r="G334" s="85" t="s">
        <v>254</v>
      </c>
      <c r="H334" s="85" t="s">
        <v>254</v>
      </c>
      <c r="I334" s="85" t="s">
        <v>254</v>
      </c>
      <c r="J334" s="85" t="s">
        <v>254</v>
      </c>
      <c r="K334" s="85" t="s">
        <v>254</v>
      </c>
      <c r="L334" s="85" t="s">
        <v>254</v>
      </c>
      <c r="M334" s="85" t="s">
        <v>254</v>
      </c>
      <c r="N334" s="85" t="s">
        <v>254</v>
      </c>
      <c r="O334" s="85" t="s">
        <v>254</v>
      </c>
      <c r="P334" s="85" t="s">
        <v>254</v>
      </c>
      <c r="Q334" s="85" t="s">
        <v>254</v>
      </c>
      <c r="R334" s="85"/>
      <c r="S334" s="86"/>
    </row>
    <row r="335" spans="1:19" ht="15">
      <c r="A335" s="70" t="s">
        <v>254</v>
      </c>
      <c r="B335" s="70"/>
      <c r="C335" s="72" t="s">
        <v>254</v>
      </c>
      <c r="D335" s="72" t="s">
        <v>254</v>
      </c>
      <c r="E335" s="85" t="s">
        <v>254</v>
      </c>
      <c r="F335" s="85" t="s">
        <v>254</v>
      </c>
      <c r="G335" s="85" t="s">
        <v>254</v>
      </c>
      <c r="H335" s="85" t="s">
        <v>254</v>
      </c>
      <c r="I335" s="85" t="s">
        <v>254</v>
      </c>
      <c r="J335" s="85" t="s">
        <v>254</v>
      </c>
      <c r="K335" s="85" t="s">
        <v>254</v>
      </c>
      <c r="L335" s="85" t="s">
        <v>254</v>
      </c>
      <c r="M335" s="85" t="s">
        <v>254</v>
      </c>
      <c r="N335" s="85" t="s">
        <v>254</v>
      </c>
      <c r="O335" s="85" t="s">
        <v>254</v>
      </c>
      <c r="P335" s="85" t="s">
        <v>254</v>
      </c>
      <c r="Q335" s="85" t="s">
        <v>254</v>
      </c>
      <c r="R335" s="85"/>
      <c r="S335" s="86"/>
    </row>
    <row r="336" spans="1:19" ht="15">
      <c r="A336" s="70" t="s">
        <v>254</v>
      </c>
      <c r="B336" s="70"/>
      <c r="C336" s="72" t="s">
        <v>522</v>
      </c>
      <c r="D336" s="72" t="s">
        <v>254</v>
      </c>
      <c r="E336" s="85" t="s">
        <v>254</v>
      </c>
      <c r="F336" s="85" t="s">
        <v>254</v>
      </c>
      <c r="G336" s="85" t="s">
        <v>254</v>
      </c>
      <c r="H336" s="85" t="s">
        <v>254</v>
      </c>
      <c r="I336" s="85" t="s">
        <v>254</v>
      </c>
      <c r="J336" s="85" t="s">
        <v>254</v>
      </c>
      <c r="K336" s="85" t="s">
        <v>254</v>
      </c>
      <c r="L336" s="85" t="s">
        <v>254</v>
      </c>
      <c r="M336" s="85" t="s">
        <v>254</v>
      </c>
      <c r="N336" s="85" t="s">
        <v>254</v>
      </c>
      <c r="O336" s="85" t="s">
        <v>254</v>
      </c>
      <c r="P336" s="85" t="s">
        <v>254</v>
      </c>
      <c r="Q336" s="85" t="s">
        <v>254</v>
      </c>
      <c r="R336" s="85"/>
      <c r="S336" s="86"/>
    </row>
    <row r="337" spans="1:19" ht="15">
      <c r="A337" s="70" t="s">
        <v>254</v>
      </c>
      <c r="B337" s="70"/>
      <c r="C337" s="72" t="s">
        <v>254</v>
      </c>
      <c r="D337" s="72" t="s">
        <v>254</v>
      </c>
      <c r="E337" s="85" t="s">
        <v>254</v>
      </c>
      <c r="F337" s="85" t="s">
        <v>254</v>
      </c>
      <c r="G337" s="85" t="s">
        <v>254</v>
      </c>
      <c r="H337" s="85" t="s">
        <v>254</v>
      </c>
      <c r="I337" s="85" t="s">
        <v>254</v>
      </c>
      <c r="J337" s="85" t="s">
        <v>254</v>
      </c>
      <c r="K337" s="85" t="s">
        <v>254</v>
      </c>
      <c r="L337" s="85" t="s">
        <v>254</v>
      </c>
      <c r="M337" s="85" t="s">
        <v>254</v>
      </c>
      <c r="N337" s="85" t="s">
        <v>254</v>
      </c>
      <c r="O337" s="85" t="s">
        <v>254</v>
      </c>
      <c r="P337" s="85" t="s">
        <v>254</v>
      </c>
      <c r="Q337" s="85" t="s">
        <v>254</v>
      </c>
      <c r="R337" s="85"/>
      <c r="S337" s="86"/>
    </row>
    <row r="338" spans="1:19" ht="15">
      <c r="A338" s="70" t="s">
        <v>254</v>
      </c>
      <c r="B338" s="70"/>
      <c r="C338" s="72" t="s">
        <v>444</v>
      </c>
      <c r="D338" s="72" t="s">
        <v>254</v>
      </c>
      <c r="E338" s="85" t="s">
        <v>254</v>
      </c>
      <c r="F338" s="85" t="s">
        <v>254</v>
      </c>
      <c r="G338" s="85" t="s">
        <v>254</v>
      </c>
      <c r="H338" s="85" t="s">
        <v>254</v>
      </c>
      <c r="I338" s="85" t="s">
        <v>254</v>
      </c>
      <c r="J338" s="85" t="s">
        <v>254</v>
      </c>
      <c r="K338" s="85" t="s">
        <v>254</v>
      </c>
      <c r="L338" s="85" t="s">
        <v>254</v>
      </c>
      <c r="M338" s="85" t="s">
        <v>254</v>
      </c>
      <c r="N338" s="85" t="s">
        <v>254</v>
      </c>
      <c r="O338" s="85" t="s">
        <v>254</v>
      </c>
      <c r="P338" s="85" t="s">
        <v>254</v>
      </c>
      <c r="Q338" s="85" t="s">
        <v>254</v>
      </c>
      <c r="R338" s="85"/>
      <c r="S338" s="86"/>
    </row>
    <row r="339" spans="1:19" ht="15">
      <c r="A339" s="70">
        <v>1</v>
      </c>
      <c r="B339" s="70"/>
      <c r="C339" s="72" t="s">
        <v>480</v>
      </c>
      <c r="D339" s="72" t="s">
        <v>481</v>
      </c>
      <c r="E339" s="85">
        <v>846464794</v>
      </c>
      <c r="F339" s="85" t="s">
        <v>254</v>
      </c>
      <c r="G339" s="85">
        <v>741314615.99775565</v>
      </c>
      <c r="H339" s="85" t="s">
        <v>254</v>
      </c>
      <c r="I339" s="85">
        <v>34258793.538766228</v>
      </c>
      <c r="J339" s="85">
        <v>70891384.463478059</v>
      </c>
      <c r="K339" s="85" t="s">
        <v>254</v>
      </c>
      <c r="L339" s="85" t="s">
        <v>254</v>
      </c>
      <c r="M339" s="85">
        <v>2604.9253038110178</v>
      </c>
      <c r="N339" s="85" t="s">
        <v>254</v>
      </c>
      <c r="O339" s="85">
        <v>70888779.538174242</v>
      </c>
      <c r="P339" s="85">
        <v>22000962.304596607</v>
      </c>
      <c r="Q339" s="85">
        <v>48887817.233577631</v>
      </c>
      <c r="R339" s="85"/>
      <c r="S339" s="86"/>
    </row>
    <row r="340" spans="1:19" ht="15">
      <c r="A340" s="70">
        <v>2</v>
      </c>
      <c r="B340" s="70"/>
      <c r="C340" s="72" t="s">
        <v>482</v>
      </c>
      <c r="D340" s="72" t="s">
        <v>315</v>
      </c>
      <c r="E340" s="85">
        <v>19665</v>
      </c>
      <c r="F340" s="85" t="s">
        <v>254</v>
      </c>
      <c r="G340" s="85">
        <v>0</v>
      </c>
      <c r="H340" s="85" t="s">
        <v>254</v>
      </c>
      <c r="I340" s="85">
        <v>6407.1776002558481</v>
      </c>
      <c r="J340" s="85">
        <v>13257.822399744153</v>
      </c>
      <c r="K340" s="85" t="s">
        <v>254</v>
      </c>
      <c r="L340" s="85" t="s">
        <v>254</v>
      </c>
      <c r="M340" s="85">
        <v>0</v>
      </c>
      <c r="N340" s="85" t="s">
        <v>254</v>
      </c>
      <c r="O340" s="85">
        <v>13257.822399744153</v>
      </c>
      <c r="P340" s="85">
        <v>4114.6829266644745</v>
      </c>
      <c r="Q340" s="85">
        <v>9143.1394730796783</v>
      </c>
      <c r="R340" s="85"/>
      <c r="S340" s="86"/>
    </row>
    <row r="341" spans="1:19" ht="15">
      <c r="A341" s="70">
        <v>3</v>
      </c>
      <c r="B341" s="70"/>
      <c r="C341" s="72" t="s">
        <v>483</v>
      </c>
      <c r="D341" s="72" t="s">
        <v>317</v>
      </c>
      <c r="E341" s="85">
        <v>1737885</v>
      </c>
      <c r="F341" s="85" t="s">
        <v>254</v>
      </c>
      <c r="G341" s="85">
        <v>0</v>
      </c>
      <c r="H341" s="85" t="s">
        <v>254</v>
      </c>
      <c r="I341" s="85">
        <v>0</v>
      </c>
      <c r="J341" s="85">
        <v>1737885</v>
      </c>
      <c r="K341" s="85" t="s">
        <v>254</v>
      </c>
      <c r="L341" s="85" t="s">
        <v>254</v>
      </c>
      <c r="M341" s="85">
        <v>0</v>
      </c>
      <c r="N341" s="85" t="s">
        <v>254</v>
      </c>
      <c r="O341" s="85">
        <v>1737885</v>
      </c>
      <c r="P341" s="85">
        <v>539368.04419285979</v>
      </c>
      <c r="Q341" s="85">
        <v>1198516.9558071401</v>
      </c>
      <c r="R341" s="85"/>
      <c r="S341" s="86"/>
    </row>
    <row r="342" spans="1:19" ht="15">
      <c r="A342" s="70">
        <v>4</v>
      </c>
      <c r="B342" s="70"/>
      <c r="C342" s="72" t="s">
        <v>484</v>
      </c>
      <c r="D342" s="72" t="s">
        <v>254</v>
      </c>
      <c r="E342" s="85">
        <v>848222344</v>
      </c>
      <c r="F342" s="85" t="s">
        <v>254</v>
      </c>
      <c r="G342" s="85">
        <v>741314615.99775565</v>
      </c>
      <c r="H342" s="85" t="s">
        <v>254</v>
      </c>
      <c r="I342" s="85">
        <v>34265200.716366485</v>
      </c>
      <c r="J342" s="85">
        <v>72642527.285877794</v>
      </c>
      <c r="K342" s="85" t="s">
        <v>254</v>
      </c>
      <c r="L342" s="85" t="s">
        <v>254</v>
      </c>
      <c r="M342" s="85">
        <v>2604.9253038110178</v>
      </c>
      <c r="N342" s="85" t="s">
        <v>254</v>
      </c>
      <c r="O342" s="85">
        <v>72639922.360573977</v>
      </c>
      <c r="P342" s="85">
        <v>22544445.031716131</v>
      </c>
      <c r="Q342" s="85">
        <v>50095477.328857854</v>
      </c>
      <c r="R342" s="85"/>
      <c r="S342" s="86"/>
    </row>
    <row r="343" spans="1:19" ht="15">
      <c r="A343" s="70" t="s">
        <v>254</v>
      </c>
      <c r="B343" s="70"/>
      <c r="C343" s="72" t="s">
        <v>254</v>
      </c>
      <c r="D343" s="72" t="s">
        <v>254</v>
      </c>
      <c r="E343" s="85" t="s">
        <v>254</v>
      </c>
      <c r="F343" s="85" t="s">
        <v>254</v>
      </c>
      <c r="G343" s="85" t="s">
        <v>254</v>
      </c>
      <c r="H343" s="85" t="s">
        <v>254</v>
      </c>
      <c r="I343" s="85" t="s">
        <v>254</v>
      </c>
      <c r="J343" s="85" t="s">
        <v>254</v>
      </c>
      <c r="K343" s="85" t="s">
        <v>254</v>
      </c>
      <c r="L343" s="85" t="s">
        <v>254</v>
      </c>
      <c r="M343" s="85" t="s">
        <v>254</v>
      </c>
      <c r="N343" s="85" t="s">
        <v>254</v>
      </c>
      <c r="O343" s="85" t="s">
        <v>254</v>
      </c>
      <c r="P343" s="85" t="s">
        <v>254</v>
      </c>
      <c r="Q343" s="85" t="s">
        <v>254</v>
      </c>
      <c r="R343" s="85"/>
      <c r="S343" s="86"/>
    </row>
    <row r="344" spans="1:19" ht="15">
      <c r="A344" s="70" t="s">
        <v>254</v>
      </c>
      <c r="B344" s="70"/>
      <c r="C344" s="72" t="s">
        <v>458</v>
      </c>
      <c r="D344" s="72" t="s">
        <v>254</v>
      </c>
      <c r="E344" s="85" t="s">
        <v>254</v>
      </c>
      <c r="F344" s="85" t="s">
        <v>254</v>
      </c>
      <c r="G344" s="85" t="s">
        <v>254</v>
      </c>
      <c r="H344" s="85" t="s">
        <v>254</v>
      </c>
      <c r="I344" s="85" t="s">
        <v>254</v>
      </c>
      <c r="J344" s="85" t="s">
        <v>254</v>
      </c>
      <c r="K344" s="85" t="s">
        <v>254</v>
      </c>
      <c r="L344" s="85" t="s">
        <v>254</v>
      </c>
      <c r="M344" s="85" t="s">
        <v>254</v>
      </c>
      <c r="N344" s="85" t="s">
        <v>254</v>
      </c>
      <c r="O344" s="85" t="s">
        <v>254</v>
      </c>
      <c r="P344" s="85" t="s">
        <v>254</v>
      </c>
      <c r="Q344" s="85" t="s">
        <v>254</v>
      </c>
      <c r="R344" s="85"/>
      <c r="S344" s="86"/>
    </row>
    <row r="345" spans="1:19" ht="15">
      <c r="A345" s="70">
        <v>5</v>
      </c>
      <c r="B345" s="70"/>
      <c r="C345" s="72" t="s">
        <v>459</v>
      </c>
      <c r="D345" s="72" t="s">
        <v>460</v>
      </c>
      <c r="E345" s="85">
        <v>103553173.99999999</v>
      </c>
      <c r="F345" s="85" t="s">
        <v>254</v>
      </c>
      <c r="G345" s="85">
        <v>98857953.05569686</v>
      </c>
      <c r="H345" s="85" t="s">
        <v>254</v>
      </c>
      <c r="I345" s="85">
        <v>4694873.5646915045</v>
      </c>
      <c r="J345" s="85">
        <v>347.37961162568803</v>
      </c>
      <c r="K345" s="85" t="s">
        <v>254</v>
      </c>
      <c r="L345" s="85" t="s">
        <v>254</v>
      </c>
      <c r="M345" s="85">
        <v>347.37961162568803</v>
      </c>
      <c r="N345" s="85" t="s">
        <v>254</v>
      </c>
      <c r="O345" s="85">
        <v>0</v>
      </c>
      <c r="P345" s="85">
        <v>0</v>
      </c>
      <c r="Q345" s="85">
        <v>0</v>
      </c>
      <c r="R345" s="85"/>
      <c r="S345" s="86"/>
    </row>
    <row r="346" spans="1:19" ht="15">
      <c r="A346" s="70">
        <v>6</v>
      </c>
      <c r="B346" s="70"/>
      <c r="C346" s="72" t="s">
        <v>523</v>
      </c>
      <c r="D346" s="72" t="s">
        <v>358</v>
      </c>
      <c r="E346" s="85">
        <v>0</v>
      </c>
      <c r="F346" s="85" t="s">
        <v>254</v>
      </c>
      <c r="G346" s="85">
        <v>0</v>
      </c>
      <c r="H346" s="85" t="s">
        <v>254</v>
      </c>
      <c r="I346" s="85">
        <v>0</v>
      </c>
      <c r="J346" s="85">
        <v>0</v>
      </c>
      <c r="K346" s="85" t="s">
        <v>254</v>
      </c>
      <c r="L346" s="85" t="s">
        <v>254</v>
      </c>
      <c r="M346" s="85">
        <v>0</v>
      </c>
      <c r="N346" s="85" t="s">
        <v>254</v>
      </c>
      <c r="O346" s="85">
        <v>0</v>
      </c>
      <c r="P346" s="85">
        <v>0</v>
      </c>
      <c r="Q346" s="85">
        <v>0</v>
      </c>
      <c r="R346" s="85"/>
      <c r="S346" s="86"/>
    </row>
    <row r="347" spans="1:19" ht="15">
      <c r="A347" s="70">
        <v>7</v>
      </c>
      <c r="B347" s="70"/>
      <c r="C347" s="72" t="s">
        <v>524</v>
      </c>
      <c r="D347" s="72" t="s">
        <v>487</v>
      </c>
      <c r="E347" s="85">
        <v>6454263</v>
      </c>
      <c r="F347" s="85" t="s">
        <v>254</v>
      </c>
      <c r="G347" s="85">
        <v>0</v>
      </c>
      <c r="H347" s="85" t="s">
        <v>254</v>
      </c>
      <c r="I347" s="85">
        <v>6454263</v>
      </c>
      <c r="J347" s="85">
        <v>0</v>
      </c>
      <c r="K347" s="85" t="s">
        <v>254</v>
      </c>
      <c r="L347" s="85" t="s">
        <v>254</v>
      </c>
      <c r="M347" s="85">
        <v>0</v>
      </c>
      <c r="N347" s="85" t="s">
        <v>254</v>
      </c>
      <c r="O347" s="85">
        <v>0</v>
      </c>
      <c r="P347" s="85">
        <v>0</v>
      </c>
      <c r="Q347" s="85">
        <v>0</v>
      </c>
      <c r="R347" s="85"/>
      <c r="S347" s="86"/>
    </row>
    <row r="348" spans="1:19" ht="15">
      <c r="A348" s="70">
        <v>8</v>
      </c>
      <c r="B348" s="70"/>
      <c r="C348" s="72" t="s">
        <v>463</v>
      </c>
      <c r="D348" s="72" t="s">
        <v>315</v>
      </c>
      <c r="E348" s="85">
        <v>3470</v>
      </c>
      <c r="F348" s="85" t="s">
        <v>254</v>
      </c>
      <c r="G348" s="85">
        <v>0</v>
      </c>
      <c r="H348" s="85" t="s">
        <v>254</v>
      </c>
      <c r="I348" s="85">
        <v>1130.5825717207115</v>
      </c>
      <c r="J348" s="85">
        <v>2339.4174282792883</v>
      </c>
      <c r="K348" s="85" t="s">
        <v>254</v>
      </c>
      <c r="L348" s="85" t="s">
        <v>254</v>
      </c>
      <c r="M348" s="85">
        <v>0</v>
      </c>
      <c r="N348" s="85" t="s">
        <v>254</v>
      </c>
      <c r="O348" s="85">
        <v>2339.4174282792883</v>
      </c>
      <c r="P348" s="85">
        <v>726.05897561788584</v>
      </c>
      <c r="Q348" s="85">
        <v>1613.3584526614025</v>
      </c>
      <c r="R348" s="85"/>
      <c r="S348" s="86"/>
    </row>
    <row r="349" spans="1:19" ht="15">
      <c r="A349" s="70">
        <v>9</v>
      </c>
      <c r="B349" s="70"/>
      <c r="C349" s="72" t="s">
        <v>464</v>
      </c>
      <c r="D349" s="72" t="s">
        <v>317</v>
      </c>
      <c r="E349" s="85">
        <v>306686</v>
      </c>
      <c r="F349" s="85" t="s">
        <v>254</v>
      </c>
      <c r="G349" s="85">
        <v>0</v>
      </c>
      <c r="H349" s="85" t="s">
        <v>254</v>
      </c>
      <c r="I349" s="85">
        <v>0</v>
      </c>
      <c r="J349" s="85">
        <v>306686</v>
      </c>
      <c r="K349" s="85" t="s">
        <v>254</v>
      </c>
      <c r="L349" s="85" t="s">
        <v>254</v>
      </c>
      <c r="M349" s="85">
        <v>0</v>
      </c>
      <c r="N349" s="85" t="s">
        <v>254</v>
      </c>
      <c r="O349" s="85">
        <v>306686</v>
      </c>
      <c r="P349" s="85">
        <v>95182.7238288675</v>
      </c>
      <c r="Q349" s="85">
        <v>211503.27617113249</v>
      </c>
      <c r="R349" s="85"/>
      <c r="S349" s="86"/>
    </row>
    <row r="350" spans="1:19" ht="15">
      <c r="A350" s="70">
        <v>10</v>
      </c>
      <c r="B350" s="70"/>
      <c r="C350" s="72" t="s">
        <v>465</v>
      </c>
      <c r="D350" s="72" t="s">
        <v>254</v>
      </c>
      <c r="E350" s="85">
        <v>110317593</v>
      </c>
      <c r="F350" s="85" t="s">
        <v>254</v>
      </c>
      <c r="G350" s="85">
        <v>98857953.05569686</v>
      </c>
      <c r="H350" s="85" t="s">
        <v>254</v>
      </c>
      <c r="I350" s="85">
        <v>11150267.147263225</v>
      </c>
      <c r="J350" s="85">
        <v>309372.79703990498</v>
      </c>
      <c r="K350" s="85" t="s">
        <v>254</v>
      </c>
      <c r="L350" s="85" t="s">
        <v>254</v>
      </c>
      <c r="M350" s="85">
        <v>347.37961162568803</v>
      </c>
      <c r="N350" s="85" t="s">
        <v>254</v>
      </c>
      <c r="O350" s="85">
        <v>309025.4174282793</v>
      </c>
      <c r="P350" s="85">
        <v>95908.782804485381</v>
      </c>
      <c r="Q350" s="85">
        <v>213116.63462379389</v>
      </c>
      <c r="R350" s="85"/>
      <c r="S350" s="86"/>
    </row>
    <row r="351" spans="1:19" ht="15">
      <c r="A351" s="70" t="s">
        <v>254</v>
      </c>
      <c r="B351" s="70"/>
      <c r="C351" s="72" t="s">
        <v>254</v>
      </c>
      <c r="D351" s="72" t="s">
        <v>254</v>
      </c>
      <c r="E351" s="85" t="s">
        <v>254</v>
      </c>
      <c r="F351" s="85" t="s">
        <v>254</v>
      </c>
      <c r="G351" s="85" t="s">
        <v>254</v>
      </c>
      <c r="H351" s="85" t="s">
        <v>254</v>
      </c>
      <c r="I351" s="85" t="s">
        <v>254</v>
      </c>
      <c r="J351" s="85" t="s">
        <v>254</v>
      </c>
      <c r="K351" s="85" t="s">
        <v>254</v>
      </c>
      <c r="L351" s="85" t="s">
        <v>254</v>
      </c>
      <c r="M351" s="85" t="s">
        <v>254</v>
      </c>
      <c r="N351" s="85" t="s">
        <v>254</v>
      </c>
      <c r="O351" s="85" t="s">
        <v>254</v>
      </c>
      <c r="P351" s="85" t="s">
        <v>254</v>
      </c>
      <c r="Q351" s="85" t="s">
        <v>254</v>
      </c>
      <c r="R351" s="85"/>
      <c r="S351" s="86"/>
    </row>
    <row r="352" spans="1:19" ht="15">
      <c r="A352" s="70">
        <v>11</v>
      </c>
      <c r="B352" s="70"/>
      <c r="C352" s="72" t="s">
        <v>525</v>
      </c>
      <c r="D352" s="72" t="s">
        <v>526</v>
      </c>
      <c r="E352" s="85">
        <v>10552828</v>
      </c>
      <c r="F352" s="85" t="s">
        <v>254</v>
      </c>
      <c r="G352" s="85">
        <v>0</v>
      </c>
      <c r="H352" s="85" t="s">
        <v>254</v>
      </c>
      <c r="I352" s="85">
        <v>10552828</v>
      </c>
      <c r="J352" s="85">
        <v>0</v>
      </c>
      <c r="K352" s="85" t="s">
        <v>254</v>
      </c>
      <c r="L352" s="85" t="s">
        <v>254</v>
      </c>
      <c r="M352" s="85">
        <v>0</v>
      </c>
      <c r="N352" s="85" t="s">
        <v>254</v>
      </c>
      <c r="O352" s="85">
        <v>0</v>
      </c>
      <c r="P352" s="85">
        <v>0</v>
      </c>
      <c r="Q352" s="85">
        <v>0</v>
      </c>
      <c r="R352" s="85"/>
      <c r="S352" s="86"/>
    </row>
    <row r="353" spans="1:19" ht="15">
      <c r="A353" s="70">
        <v>12</v>
      </c>
      <c r="B353" s="70"/>
      <c r="C353" s="72" t="s">
        <v>527</v>
      </c>
      <c r="D353" s="72" t="s">
        <v>528</v>
      </c>
      <c r="E353" s="85">
        <v>204977017</v>
      </c>
      <c r="F353" s="85" t="s">
        <v>254</v>
      </c>
      <c r="G353" s="85">
        <v>204352270.67564493</v>
      </c>
      <c r="H353" s="85" t="s">
        <v>254</v>
      </c>
      <c r="I353" s="85">
        <v>0</v>
      </c>
      <c r="J353" s="85">
        <v>624746.32435506885</v>
      </c>
      <c r="K353" s="85" t="s">
        <v>254</v>
      </c>
      <c r="L353" s="85" t="s">
        <v>254</v>
      </c>
      <c r="M353" s="85">
        <v>21651.329679730705</v>
      </c>
      <c r="N353" s="85" t="s">
        <v>254</v>
      </c>
      <c r="O353" s="85">
        <v>603094.99467533815</v>
      </c>
      <c r="P353" s="85">
        <v>522758.88032262708</v>
      </c>
      <c r="Q353" s="85">
        <v>80336.114352711069</v>
      </c>
      <c r="R353" s="85"/>
      <c r="S353" s="86"/>
    </row>
    <row r="354" spans="1:19" ht="15">
      <c r="A354" s="70">
        <v>13</v>
      </c>
      <c r="B354" s="70"/>
      <c r="C354" s="72" t="s">
        <v>470</v>
      </c>
      <c r="D354" s="72" t="s">
        <v>254</v>
      </c>
      <c r="E354" s="85">
        <v>215529845</v>
      </c>
      <c r="F354" s="85" t="s">
        <v>254</v>
      </c>
      <c r="G354" s="85">
        <v>204352270.67564493</v>
      </c>
      <c r="H354" s="85" t="s">
        <v>254</v>
      </c>
      <c r="I354" s="85">
        <v>10552828</v>
      </c>
      <c r="J354" s="85">
        <v>624746.32435506885</v>
      </c>
      <c r="K354" s="85" t="s">
        <v>254</v>
      </c>
      <c r="L354" s="85" t="s">
        <v>254</v>
      </c>
      <c r="M354" s="85">
        <v>21651.329679730705</v>
      </c>
      <c r="N354" s="85" t="s">
        <v>254</v>
      </c>
      <c r="O354" s="85">
        <v>603094.99467533815</v>
      </c>
      <c r="P354" s="85">
        <v>522758.88032262708</v>
      </c>
      <c r="Q354" s="85">
        <v>80336.114352711069</v>
      </c>
      <c r="R354" s="85"/>
      <c r="S354" s="86"/>
    </row>
    <row r="355" spans="1:19" ht="15">
      <c r="A355" s="70" t="s">
        <v>254</v>
      </c>
      <c r="B355" s="70"/>
      <c r="C355" s="72" t="s">
        <v>254</v>
      </c>
      <c r="D355" s="72" t="s">
        <v>254</v>
      </c>
      <c r="E355" s="85" t="s">
        <v>254</v>
      </c>
      <c r="F355" s="85" t="s">
        <v>254</v>
      </c>
      <c r="G355" s="85" t="s">
        <v>254</v>
      </c>
      <c r="H355" s="85" t="s">
        <v>254</v>
      </c>
      <c r="I355" s="85" t="s">
        <v>254</v>
      </c>
      <c r="J355" s="85" t="s">
        <v>254</v>
      </c>
      <c r="K355" s="85" t="s">
        <v>254</v>
      </c>
      <c r="L355" s="85" t="s">
        <v>254</v>
      </c>
      <c r="M355" s="85" t="s">
        <v>254</v>
      </c>
      <c r="N355" s="85" t="s">
        <v>254</v>
      </c>
      <c r="O355" s="85" t="s">
        <v>254</v>
      </c>
      <c r="P355" s="85" t="s">
        <v>254</v>
      </c>
      <c r="Q355" s="85" t="s">
        <v>254</v>
      </c>
      <c r="R355" s="85"/>
      <c r="S355" s="86"/>
    </row>
    <row r="356" spans="1:19" ht="15">
      <c r="A356" s="70">
        <v>14</v>
      </c>
      <c r="B356" s="70"/>
      <c r="C356" s="72" t="s">
        <v>440</v>
      </c>
      <c r="D356" s="72" t="s">
        <v>471</v>
      </c>
      <c r="E356" s="85">
        <v>24730513</v>
      </c>
      <c r="F356" s="85" t="s">
        <v>254</v>
      </c>
      <c r="G356" s="85">
        <v>22433988.475988213</v>
      </c>
      <c r="H356" s="85" t="s">
        <v>254</v>
      </c>
      <c r="I356" s="85">
        <v>1114548.7634138917</v>
      </c>
      <c r="J356" s="85">
        <v>1181975.7605978961</v>
      </c>
      <c r="K356" s="85" t="s">
        <v>254</v>
      </c>
      <c r="L356" s="85" t="s">
        <v>254</v>
      </c>
      <c r="M356" s="85">
        <v>538.04024865061592</v>
      </c>
      <c r="N356" s="85" t="s">
        <v>254</v>
      </c>
      <c r="O356" s="85">
        <v>1181437.7203492455</v>
      </c>
      <c r="P356" s="85">
        <v>377136.85431650438</v>
      </c>
      <c r="Q356" s="85">
        <v>804300.86603274103</v>
      </c>
      <c r="R356" s="85"/>
      <c r="S356" s="86"/>
    </row>
    <row r="357" spans="1:19" ht="15">
      <c r="A357" s="70" t="s">
        <v>254</v>
      </c>
      <c r="B357" s="70"/>
      <c r="C357" s="72" t="s">
        <v>254</v>
      </c>
      <c r="D357" s="72" t="s">
        <v>254</v>
      </c>
      <c r="E357" s="85" t="s">
        <v>254</v>
      </c>
      <c r="F357" s="85" t="s">
        <v>254</v>
      </c>
      <c r="G357" s="85" t="s">
        <v>254</v>
      </c>
      <c r="H357" s="85" t="s">
        <v>254</v>
      </c>
      <c r="I357" s="85" t="s">
        <v>254</v>
      </c>
      <c r="J357" s="85" t="s">
        <v>254</v>
      </c>
      <c r="K357" s="85" t="s">
        <v>254</v>
      </c>
      <c r="L357" s="85" t="s">
        <v>254</v>
      </c>
      <c r="M357" s="85" t="s">
        <v>254</v>
      </c>
      <c r="N357" s="85" t="s">
        <v>254</v>
      </c>
      <c r="O357" s="85" t="s">
        <v>254</v>
      </c>
      <c r="P357" s="85" t="s">
        <v>254</v>
      </c>
      <c r="Q357" s="85" t="s">
        <v>254</v>
      </c>
      <c r="R357" s="85"/>
      <c r="S357" s="86"/>
    </row>
    <row r="358" spans="1:19" ht="15">
      <c r="A358" s="70">
        <v>15</v>
      </c>
      <c r="B358" s="70"/>
      <c r="C358" s="72" t="s">
        <v>529</v>
      </c>
      <c r="D358" s="72" t="s">
        <v>254</v>
      </c>
      <c r="E358" s="85">
        <v>1198800295</v>
      </c>
      <c r="F358" s="85" t="s">
        <v>254</v>
      </c>
      <c r="G358" s="85">
        <v>1066958828.2050856</v>
      </c>
      <c r="H358" s="85" t="s">
        <v>254</v>
      </c>
      <c r="I358" s="85">
        <v>57082844.627043605</v>
      </c>
      <c r="J358" s="85">
        <v>74758622.167870671</v>
      </c>
      <c r="K358" s="85" t="s">
        <v>254</v>
      </c>
      <c r="L358" s="85" t="s">
        <v>254</v>
      </c>
      <c r="M358" s="85">
        <v>25141.674843818029</v>
      </c>
      <c r="N358" s="85" t="s">
        <v>254</v>
      </c>
      <c r="O358" s="85">
        <v>74733480.493026853</v>
      </c>
      <c r="P358" s="85">
        <v>23540249.549159747</v>
      </c>
      <c r="Q358" s="85">
        <v>51193230.943867102</v>
      </c>
      <c r="R358" s="85"/>
      <c r="S358" s="86"/>
    </row>
    <row r="359" spans="1:19" ht="15">
      <c r="A359" s="70" t="s">
        <v>254</v>
      </c>
      <c r="B359" s="70"/>
      <c r="C359" s="72" t="s">
        <v>254</v>
      </c>
      <c r="D359" s="72" t="s">
        <v>254</v>
      </c>
      <c r="E359" s="85" t="s">
        <v>254</v>
      </c>
      <c r="F359" s="85" t="s">
        <v>254</v>
      </c>
      <c r="G359" s="85" t="s">
        <v>254</v>
      </c>
      <c r="H359" s="85" t="s">
        <v>254</v>
      </c>
      <c r="I359" s="85" t="s">
        <v>254</v>
      </c>
      <c r="J359" s="85" t="s">
        <v>254</v>
      </c>
      <c r="K359" s="85" t="s">
        <v>254</v>
      </c>
      <c r="L359" s="85" t="s">
        <v>254</v>
      </c>
      <c r="M359" s="85" t="s">
        <v>254</v>
      </c>
      <c r="N359" s="85" t="s">
        <v>254</v>
      </c>
      <c r="O359" s="85" t="s">
        <v>254</v>
      </c>
      <c r="P359" s="85" t="s">
        <v>254</v>
      </c>
      <c r="Q359" s="85" t="s">
        <v>254</v>
      </c>
      <c r="R359" s="85"/>
      <c r="S359" s="86"/>
    </row>
    <row r="360" spans="1:19" ht="15">
      <c r="A360" s="70" t="s">
        <v>254</v>
      </c>
      <c r="B360" s="70"/>
      <c r="C360" s="72" t="s">
        <v>530</v>
      </c>
      <c r="D360" s="72" t="s">
        <v>254</v>
      </c>
      <c r="E360" s="85" t="s">
        <v>254</v>
      </c>
      <c r="F360" s="85" t="s">
        <v>254</v>
      </c>
      <c r="G360" s="85" t="s">
        <v>254</v>
      </c>
      <c r="H360" s="85" t="s">
        <v>254</v>
      </c>
      <c r="I360" s="85" t="s">
        <v>254</v>
      </c>
      <c r="J360" s="85" t="s">
        <v>254</v>
      </c>
      <c r="K360" s="85" t="s">
        <v>254</v>
      </c>
      <c r="L360" s="85" t="s">
        <v>254</v>
      </c>
      <c r="M360" s="85" t="s">
        <v>254</v>
      </c>
      <c r="N360" s="85" t="s">
        <v>254</v>
      </c>
      <c r="O360" s="85" t="s">
        <v>254</v>
      </c>
      <c r="P360" s="85" t="s">
        <v>254</v>
      </c>
      <c r="Q360" s="85" t="s">
        <v>254</v>
      </c>
      <c r="R360" s="85"/>
      <c r="S360" s="86"/>
    </row>
    <row r="361" spans="1:19" ht="15">
      <c r="A361" s="70">
        <v>16</v>
      </c>
      <c r="B361" s="70"/>
      <c r="C361" s="72" t="s">
        <v>531</v>
      </c>
      <c r="D361" s="72" t="s">
        <v>501</v>
      </c>
      <c r="E361" s="85">
        <v>94865036.069999918</v>
      </c>
      <c r="F361" s="85" t="s">
        <v>254</v>
      </c>
      <c r="G361" s="85">
        <v>82538337.052132368</v>
      </c>
      <c r="H361" s="85" t="s">
        <v>254</v>
      </c>
      <c r="I361" s="85">
        <v>3897838.0100656124</v>
      </c>
      <c r="J361" s="85">
        <v>8428861.0078019332</v>
      </c>
      <c r="K361" s="85" t="s">
        <v>254</v>
      </c>
      <c r="L361" s="85" t="s">
        <v>254</v>
      </c>
      <c r="M361" s="85">
        <v>290.03367542160117</v>
      </c>
      <c r="N361" s="85" t="s">
        <v>254</v>
      </c>
      <c r="O361" s="85">
        <v>8428570.9741265122</v>
      </c>
      <c r="P361" s="85">
        <v>2615881.857346904</v>
      </c>
      <c r="Q361" s="85">
        <v>5812689.1167796087</v>
      </c>
      <c r="R361" s="85"/>
      <c r="S361" s="86"/>
    </row>
    <row r="362" spans="1:19" ht="15">
      <c r="A362" s="70">
        <v>17</v>
      </c>
      <c r="B362" s="70"/>
      <c r="C362" s="72" t="s">
        <v>532</v>
      </c>
      <c r="D362" s="72" t="s">
        <v>503</v>
      </c>
      <c r="E362" s="85">
        <v>0</v>
      </c>
      <c r="F362" s="85" t="s">
        <v>254</v>
      </c>
      <c r="G362" s="85">
        <v>0</v>
      </c>
      <c r="H362" s="85" t="s">
        <v>254</v>
      </c>
      <c r="I362" s="85">
        <v>0</v>
      </c>
      <c r="J362" s="85">
        <v>0</v>
      </c>
      <c r="K362" s="85" t="s">
        <v>254</v>
      </c>
      <c r="L362" s="85" t="s">
        <v>254</v>
      </c>
      <c r="M362" s="85">
        <v>0</v>
      </c>
      <c r="N362" s="85" t="s">
        <v>254</v>
      </c>
      <c r="O362" s="85">
        <v>0</v>
      </c>
      <c r="P362" s="85">
        <v>0</v>
      </c>
      <c r="Q362" s="85">
        <v>0</v>
      </c>
      <c r="R362" s="85"/>
      <c r="S362" s="86"/>
    </row>
    <row r="363" spans="1:19" ht="15">
      <c r="A363" s="70">
        <v>18</v>
      </c>
      <c r="B363" s="70"/>
      <c r="C363" s="72" t="s">
        <v>533</v>
      </c>
      <c r="D363" s="72" t="s">
        <v>462</v>
      </c>
      <c r="E363" s="85">
        <v>0</v>
      </c>
      <c r="F363" s="85" t="s">
        <v>254</v>
      </c>
      <c r="G363" s="85">
        <v>0</v>
      </c>
      <c r="H363" s="85" t="s">
        <v>254</v>
      </c>
      <c r="I363" s="85">
        <v>0</v>
      </c>
      <c r="J363" s="85">
        <v>0</v>
      </c>
      <c r="K363" s="85" t="s">
        <v>254</v>
      </c>
      <c r="L363" s="85" t="s">
        <v>254</v>
      </c>
      <c r="M363" s="85">
        <v>0</v>
      </c>
      <c r="N363" s="85" t="s">
        <v>254</v>
      </c>
      <c r="O363" s="85">
        <v>0</v>
      </c>
      <c r="P363" s="85">
        <v>0</v>
      </c>
      <c r="Q363" s="85">
        <v>0</v>
      </c>
      <c r="R363" s="85"/>
      <c r="S363" s="86"/>
    </row>
    <row r="364" spans="1:19" ht="15">
      <c r="A364" s="70">
        <v>18</v>
      </c>
      <c r="B364" s="70"/>
      <c r="C364" s="72" t="s">
        <v>534</v>
      </c>
      <c r="D364" s="72" t="s">
        <v>535</v>
      </c>
      <c r="E364" s="85">
        <v>0</v>
      </c>
      <c r="F364" s="85" t="s">
        <v>254</v>
      </c>
      <c r="G364" s="85">
        <v>0</v>
      </c>
      <c r="H364" s="85" t="s">
        <v>254</v>
      </c>
      <c r="I364" s="85">
        <v>0</v>
      </c>
      <c r="J364" s="85">
        <v>0</v>
      </c>
      <c r="K364" s="85" t="s">
        <v>254</v>
      </c>
      <c r="L364" s="85" t="s">
        <v>254</v>
      </c>
      <c r="M364" s="85">
        <v>0</v>
      </c>
      <c r="N364" s="85" t="s">
        <v>254</v>
      </c>
      <c r="O364" s="85">
        <v>0</v>
      </c>
      <c r="P364" s="85">
        <v>0</v>
      </c>
      <c r="Q364" s="85">
        <v>0</v>
      </c>
      <c r="R364" s="85"/>
      <c r="S364" s="86"/>
    </row>
    <row r="365" spans="1:19" ht="15">
      <c r="A365" s="70">
        <v>20</v>
      </c>
      <c r="B365" s="70"/>
      <c r="C365" s="72" t="s">
        <v>536</v>
      </c>
      <c r="D365" s="72" t="s">
        <v>528</v>
      </c>
      <c r="E365" s="85">
        <v>0</v>
      </c>
      <c r="F365" s="85" t="s">
        <v>254</v>
      </c>
      <c r="G365" s="85">
        <v>0</v>
      </c>
      <c r="H365" s="85" t="s">
        <v>254</v>
      </c>
      <c r="I365" s="85">
        <v>0</v>
      </c>
      <c r="J365" s="85">
        <v>0</v>
      </c>
      <c r="K365" s="85" t="s">
        <v>254</v>
      </c>
      <c r="L365" s="85" t="s">
        <v>254</v>
      </c>
      <c r="M365" s="85">
        <v>0</v>
      </c>
      <c r="N365" s="85" t="s">
        <v>254</v>
      </c>
      <c r="O365" s="85">
        <v>0</v>
      </c>
      <c r="P365" s="85">
        <v>0</v>
      </c>
      <c r="Q365" s="85">
        <v>0</v>
      </c>
      <c r="R365" s="85"/>
      <c r="S365" s="86"/>
    </row>
    <row r="366" spans="1:19" ht="15">
      <c r="A366" s="70">
        <v>21</v>
      </c>
      <c r="B366" s="70"/>
      <c r="C366" s="72" t="s">
        <v>537</v>
      </c>
      <c r="D366" s="72" t="s">
        <v>471</v>
      </c>
      <c r="E366" s="85">
        <v>0</v>
      </c>
      <c r="F366" s="85" t="s">
        <v>254</v>
      </c>
      <c r="G366" s="85">
        <v>0</v>
      </c>
      <c r="H366" s="85" t="s">
        <v>254</v>
      </c>
      <c r="I366" s="85">
        <v>0</v>
      </c>
      <c r="J366" s="85">
        <v>0</v>
      </c>
      <c r="K366" s="85" t="s">
        <v>254</v>
      </c>
      <c r="L366" s="85" t="s">
        <v>254</v>
      </c>
      <c r="M366" s="85">
        <v>0</v>
      </c>
      <c r="N366" s="85" t="s">
        <v>254</v>
      </c>
      <c r="O366" s="85">
        <v>0</v>
      </c>
      <c r="P366" s="85">
        <v>0</v>
      </c>
      <c r="Q366" s="85">
        <v>0</v>
      </c>
      <c r="R366" s="85"/>
      <c r="S366" s="86"/>
    </row>
    <row r="367" spans="1:19" ht="15">
      <c r="A367" s="70">
        <v>22</v>
      </c>
      <c r="B367" s="70"/>
      <c r="C367" s="72" t="s">
        <v>538</v>
      </c>
      <c r="D367" s="72" t="s">
        <v>254</v>
      </c>
      <c r="E367" s="85">
        <v>94865036.069999918</v>
      </c>
      <c r="F367" s="85" t="s">
        <v>254</v>
      </c>
      <c r="G367" s="85">
        <v>82538337.052132368</v>
      </c>
      <c r="H367" s="85" t="s">
        <v>254</v>
      </c>
      <c r="I367" s="85">
        <v>3897838.0100656124</v>
      </c>
      <c r="J367" s="85">
        <v>8428861.0078019332</v>
      </c>
      <c r="K367" s="85" t="s">
        <v>254</v>
      </c>
      <c r="L367" s="85" t="s">
        <v>254</v>
      </c>
      <c r="M367" s="85">
        <v>290.03367542160117</v>
      </c>
      <c r="N367" s="85" t="s">
        <v>254</v>
      </c>
      <c r="O367" s="85">
        <v>8428570.9741265122</v>
      </c>
      <c r="P367" s="85">
        <v>2615881.857346904</v>
      </c>
      <c r="Q367" s="85">
        <v>5812689.1167796087</v>
      </c>
      <c r="R367" s="85"/>
      <c r="S367" s="86"/>
    </row>
    <row r="368" spans="1:19" ht="15">
      <c r="A368" s="70" t="s">
        <v>254</v>
      </c>
      <c r="B368" s="70"/>
      <c r="C368" s="72" t="s">
        <v>254</v>
      </c>
      <c r="D368" s="72" t="s">
        <v>254</v>
      </c>
      <c r="E368" s="85" t="s">
        <v>254</v>
      </c>
      <c r="F368" s="85" t="s">
        <v>254</v>
      </c>
      <c r="G368" s="85" t="s">
        <v>254</v>
      </c>
      <c r="H368" s="85" t="s">
        <v>254</v>
      </c>
      <c r="I368" s="85" t="s">
        <v>254</v>
      </c>
      <c r="J368" s="85" t="s">
        <v>254</v>
      </c>
      <c r="K368" s="85" t="s">
        <v>254</v>
      </c>
      <c r="L368" s="85" t="s">
        <v>254</v>
      </c>
      <c r="M368" s="85" t="s">
        <v>254</v>
      </c>
      <c r="N368" s="85" t="s">
        <v>254</v>
      </c>
      <c r="O368" s="85" t="s">
        <v>254</v>
      </c>
      <c r="P368" s="85" t="s">
        <v>254</v>
      </c>
      <c r="Q368" s="85" t="s">
        <v>254</v>
      </c>
      <c r="R368" s="85"/>
      <c r="S368" s="86"/>
    </row>
    <row r="369" spans="1:19" ht="15">
      <c r="A369" s="70">
        <v>23</v>
      </c>
      <c r="B369" s="70"/>
      <c r="C369" s="72" t="s">
        <v>539</v>
      </c>
      <c r="D369" s="72" t="s">
        <v>540</v>
      </c>
      <c r="E369" s="85">
        <v>1576406.04</v>
      </c>
      <c r="F369" s="85" t="s">
        <v>254</v>
      </c>
      <c r="G369" s="85">
        <v>1549703.6162990495</v>
      </c>
      <c r="H369" s="85" t="s">
        <v>254</v>
      </c>
      <c r="I369" s="85">
        <v>26702.423700950654</v>
      </c>
      <c r="J369" s="85">
        <v>0</v>
      </c>
      <c r="K369" s="85" t="s">
        <v>254</v>
      </c>
      <c r="L369" s="85" t="s">
        <v>254</v>
      </c>
      <c r="M369" s="85">
        <v>0</v>
      </c>
      <c r="N369" s="85" t="s">
        <v>254</v>
      </c>
      <c r="O369" s="85">
        <v>0</v>
      </c>
      <c r="P369" s="85">
        <v>0</v>
      </c>
      <c r="Q369" s="85">
        <v>0</v>
      </c>
      <c r="R369" s="85"/>
      <c r="S369" s="86"/>
    </row>
    <row r="370" spans="1:19" ht="15">
      <c r="A370" s="70">
        <v>24</v>
      </c>
      <c r="B370" s="70"/>
      <c r="C370" s="72" t="s">
        <v>541</v>
      </c>
      <c r="D370" s="72" t="s">
        <v>542</v>
      </c>
      <c r="E370" s="85">
        <v>28000984.02</v>
      </c>
      <c r="F370" s="85" t="s">
        <v>254</v>
      </c>
      <c r="G370" s="85">
        <v>0</v>
      </c>
      <c r="H370" s="85" t="s">
        <v>254</v>
      </c>
      <c r="I370" s="85">
        <v>1378728.5512620951</v>
      </c>
      <c r="J370" s="85">
        <v>-729.01445774044214</v>
      </c>
      <c r="K370" s="85" t="s">
        <v>254</v>
      </c>
      <c r="L370" s="85" t="s">
        <v>254</v>
      </c>
      <c r="M370" s="85">
        <v>0</v>
      </c>
      <c r="N370" s="85" t="s">
        <v>254</v>
      </c>
      <c r="O370" s="85">
        <v>-729.01445774044214</v>
      </c>
      <c r="P370" s="85">
        <v>-729.01445774044214</v>
      </c>
      <c r="Q370" s="85">
        <v>0</v>
      </c>
      <c r="R370" s="85"/>
      <c r="S370" s="86"/>
    </row>
    <row r="371" spans="1:19" ht="15">
      <c r="A371" s="70">
        <v>25</v>
      </c>
      <c r="B371" s="70"/>
      <c r="C371" s="72" t="s">
        <v>543</v>
      </c>
      <c r="D371" s="72" t="s">
        <v>544</v>
      </c>
      <c r="E371" s="85">
        <v>1421186</v>
      </c>
      <c r="F371" s="85" t="s">
        <v>254</v>
      </c>
      <c r="G371" s="85">
        <v>0</v>
      </c>
      <c r="H371" s="85" t="s">
        <v>254</v>
      </c>
      <c r="I371" s="85">
        <v>1421186</v>
      </c>
      <c r="J371" s="85">
        <v>0</v>
      </c>
      <c r="K371" s="85" t="s">
        <v>254</v>
      </c>
      <c r="L371" s="85" t="s">
        <v>254</v>
      </c>
      <c r="M371" s="85">
        <v>0</v>
      </c>
      <c r="N371" s="85" t="s">
        <v>254</v>
      </c>
      <c r="O371" s="85">
        <v>0</v>
      </c>
      <c r="P371" s="85">
        <v>0</v>
      </c>
      <c r="Q371" s="85">
        <v>0</v>
      </c>
      <c r="R371" s="85"/>
      <c r="S371" s="86"/>
    </row>
    <row r="372" spans="1:19" ht="15">
      <c r="A372" s="70">
        <v>26</v>
      </c>
      <c r="B372" s="70"/>
      <c r="C372" s="72" t="s">
        <v>545</v>
      </c>
      <c r="D372" s="72" t="s">
        <v>422</v>
      </c>
      <c r="E372" s="85">
        <v>66883905.046666592</v>
      </c>
      <c r="F372" s="85" t="s">
        <v>254</v>
      </c>
      <c r="G372" s="85">
        <v>0</v>
      </c>
      <c r="H372" s="85" t="s">
        <v>254</v>
      </c>
      <c r="I372" s="85">
        <v>3167682.0489242794</v>
      </c>
      <c r="J372" s="85">
        <v>3.6157479055072375E-12</v>
      </c>
      <c r="K372" s="85" t="s">
        <v>254</v>
      </c>
      <c r="L372" s="85" t="s">
        <v>254</v>
      </c>
      <c r="M372" s="85">
        <v>0</v>
      </c>
      <c r="N372" s="85" t="s">
        <v>254</v>
      </c>
      <c r="O372" s="85">
        <v>3.6157479055072375E-12</v>
      </c>
      <c r="P372" s="85">
        <v>0</v>
      </c>
      <c r="Q372" s="85">
        <v>0</v>
      </c>
      <c r="R372" s="85"/>
      <c r="S372" s="86"/>
    </row>
    <row r="373" spans="1:19" ht="15">
      <c r="A373" s="70">
        <v>27</v>
      </c>
      <c r="B373" s="70"/>
      <c r="C373" s="72" t="s">
        <v>546</v>
      </c>
      <c r="D373" s="72" t="s">
        <v>422</v>
      </c>
      <c r="E373" s="85">
        <v>5714130.7692307662</v>
      </c>
      <c r="F373" s="85" t="s">
        <v>254</v>
      </c>
      <c r="G373" s="85">
        <v>0</v>
      </c>
      <c r="H373" s="85" t="s">
        <v>254</v>
      </c>
      <c r="I373" s="85">
        <v>0</v>
      </c>
      <c r="J373" s="85">
        <v>286867.8610621891</v>
      </c>
      <c r="K373" s="85" t="s">
        <v>254</v>
      </c>
      <c r="L373" s="85" t="s">
        <v>254</v>
      </c>
      <c r="M373" s="85">
        <v>0</v>
      </c>
      <c r="N373" s="85" t="s">
        <v>254</v>
      </c>
      <c r="O373" s="85">
        <v>286867.8610621891</v>
      </c>
      <c r="P373" s="85">
        <v>91573.547096089314</v>
      </c>
      <c r="Q373" s="85">
        <v>195294.31396609975</v>
      </c>
      <c r="R373" s="85"/>
      <c r="S373" s="86"/>
    </row>
    <row r="374" spans="1:19" ht="15">
      <c r="A374" s="70">
        <v>28</v>
      </c>
      <c r="B374" s="70"/>
      <c r="C374" s="72" t="s">
        <v>547</v>
      </c>
      <c r="D374" s="72" t="s">
        <v>422</v>
      </c>
      <c r="E374" s="85">
        <v>6337287.3053846145</v>
      </c>
      <c r="F374" s="85" t="s">
        <v>254</v>
      </c>
      <c r="G374" s="85">
        <v>0</v>
      </c>
      <c r="H374" s="85" t="s">
        <v>254</v>
      </c>
      <c r="I374" s="85">
        <v>0</v>
      </c>
      <c r="J374" s="85">
        <v>318152.33631360903</v>
      </c>
      <c r="K374" s="85" t="s">
        <v>254</v>
      </c>
      <c r="L374" s="85" t="s">
        <v>254</v>
      </c>
      <c r="M374" s="85">
        <v>0</v>
      </c>
      <c r="N374" s="85" t="s">
        <v>254</v>
      </c>
      <c r="O374" s="85">
        <v>318152.33631360903</v>
      </c>
      <c r="P374" s="85">
        <v>101560.13240824211</v>
      </c>
      <c r="Q374" s="85">
        <v>216592.20390536691</v>
      </c>
      <c r="R374" s="85"/>
      <c r="S374" s="86"/>
    </row>
    <row r="375" spans="1:19" ht="15">
      <c r="A375" s="70">
        <v>29</v>
      </c>
      <c r="B375" s="70"/>
      <c r="C375" s="72" t="s">
        <v>548</v>
      </c>
      <c r="D375" s="72" t="s">
        <v>422</v>
      </c>
      <c r="E375" s="85">
        <v>1224309.4969230758</v>
      </c>
      <c r="F375" s="85" t="s">
        <v>254</v>
      </c>
      <c r="G375" s="85">
        <v>0</v>
      </c>
      <c r="H375" s="85" t="s">
        <v>254</v>
      </c>
      <c r="I375" s="85">
        <v>0</v>
      </c>
      <c r="J375" s="85">
        <v>61464.299793707367</v>
      </c>
      <c r="K375" s="85" t="s">
        <v>254</v>
      </c>
      <c r="L375" s="85" t="s">
        <v>254</v>
      </c>
      <c r="M375" s="85">
        <v>0</v>
      </c>
      <c r="N375" s="85" t="s">
        <v>254</v>
      </c>
      <c r="O375" s="85">
        <v>61464.299793707367</v>
      </c>
      <c r="P375" s="85">
        <v>19620.545609558649</v>
      </c>
      <c r="Q375" s="85">
        <v>41843.754184148718</v>
      </c>
      <c r="R375" s="85"/>
      <c r="S375" s="86"/>
    </row>
    <row r="376" spans="1:19" ht="15">
      <c r="A376" s="70">
        <v>30</v>
      </c>
      <c r="B376" s="70"/>
      <c r="C376" s="72" t="s">
        <v>549</v>
      </c>
      <c r="D376" s="72" t="s">
        <v>254</v>
      </c>
      <c r="E376" s="85">
        <v>1404823539.7482049</v>
      </c>
      <c r="F376" s="85" t="s">
        <v>254</v>
      </c>
      <c r="G376" s="85">
        <v>1151046868.873517</v>
      </c>
      <c r="H376" s="85" t="s">
        <v>254</v>
      </c>
      <c r="I376" s="85">
        <v>66974981.660996549</v>
      </c>
      <c r="J376" s="85">
        <v>83853238.658384368</v>
      </c>
      <c r="K376" s="85" t="s">
        <v>254</v>
      </c>
      <c r="L376" s="85" t="s">
        <v>254</v>
      </c>
      <c r="M376" s="85">
        <v>25431.70851923963</v>
      </c>
      <c r="N376" s="85" t="s">
        <v>254</v>
      </c>
      <c r="O376" s="85">
        <v>83827806.949865133</v>
      </c>
      <c r="P376" s="85">
        <v>26368156.617162801</v>
      </c>
      <c r="Q376" s="85">
        <v>57459650.332702331</v>
      </c>
      <c r="R376" s="85"/>
      <c r="S376" s="86"/>
    </row>
    <row r="377" spans="1:19" ht="15">
      <c r="A377" s="70" t="s">
        <v>254</v>
      </c>
      <c r="B377" s="70"/>
      <c r="C377" s="72" t="s">
        <v>254</v>
      </c>
      <c r="D377" s="72" t="s">
        <v>254</v>
      </c>
      <c r="E377" s="85" t="s">
        <v>254</v>
      </c>
      <c r="F377" s="85" t="s">
        <v>254</v>
      </c>
      <c r="G377" s="85" t="s">
        <v>254</v>
      </c>
      <c r="H377" s="85" t="s">
        <v>254</v>
      </c>
      <c r="I377" s="85" t="s">
        <v>254</v>
      </c>
      <c r="J377" s="85" t="s">
        <v>254</v>
      </c>
      <c r="K377" s="85" t="s">
        <v>254</v>
      </c>
      <c r="L377" s="85" t="s">
        <v>254</v>
      </c>
      <c r="M377" s="85" t="s">
        <v>254</v>
      </c>
      <c r="N377" s="85" t="s">
        <v>254</v>
      </c>
      <c r="O377" s="85" t="s">
        <v>254</v>
      </c>
      <c r="P377" s="85" t="s">
        <v>254</v>
      </c>
      <c r="Q377" s="85" t="s">
        <v>254</v>
      </c>
      <c r="R377" s="85"/>
      <c r="S377" s="86"/>
    </row>
    <row r="378" spans="1:19" ht="15">
      <c r="A378" s="70">
        <v>31</v>
      </c>
      <c r="B378" s="70"/>
      <c r="C378" s="72" t="s">
        <v>550</v>
      </c>
      <c r="D378" s="72" t="s">
        <v>254</v>
      </c>
      <c r="E378" s="85">
        <v>5216481391.172514</v>
      </c>
      <c r="F378" s="85" t="s">
        <v>254</v>
      </c>
      <c r="G378" s="85">
        <v>4745793886.0064859</v>
      </c>
      <c r="H378" s="85" t="s">
        <v>254</v>
      </c>
      <c r="I378" s="85">
        <v>234899151.96896917</v>
      </c>
      <c r="J378" s="85">
        <v>338736803.75236559</v>
      </c>
      <c r="K378" s="85" t="s">
        <v>254</v>
      </c>
      <c r="L378" s="85" t="s">
        <v>254</v>
      </c>
      <c r="M378" s="85">
        <v>31072.058733252616</v>
      </c>
      <c r="N378" s="85" t="s">
        <v>254</v>
      </c>
      <c r="O378" s="85">
        <v>338705731.69363236</v>
      </c>
      <c r="P378" s="85">
        <v>106681934.76482007</v>
      </c>
      <c r="Q378" s="85">
        <v>232023796.92881227</v>
      </c>
      <c r="R378" s="85"/>
      <c r="S378" s="86"/>
    </row>
    <row r="379" spans="1:19" ht="15">
      <c r="A379" s="70" t="s">
        <v>254</v>
      </c>
      <c r="B379" s="70"/>
      <c r="C379" s="72" t="s">
        <v>254</v>
      </c>
      <c r="D379" s="72" t="s">
        <v>254</v>
      </c>
      <c r="E379" s="85" t="s">
        <v>254</v>
      </c>
      <c r="F379" s="85" t="s">
        <v>254</v>
      </c>
      <c r="G379" s="85" t="s">
        <v>254</v>
      </c>
      <c r="H379" s="85" t="s">
        <v>254</v>
      </c>
      <c r="I379" s="85" t="s">
        <v>254</v>
      </c>
      <c r="J379" s="85" t="s">
        <v>254</v>
      </c>
      <c r="K379" s="85" t="s">
        <v>254</v>
      </c>
      <c r="L379" s="85" t="s">
        <v>254</v>
      </c>
      <c r="M379" s="85" t="s">
        <v>254</v>
      </c>
      <c r="N379" s="85" t="s">
        <v>254</v>
      </c>
      <c r="O379" s="85" t="s">
        <v>254</v>
      </c>
      <c r="P379" s="85" t="s">
        <v>254</v>
      </c>
      <c r="Q379" s="85" t="s">
        <v>254</v>
      </c>
      <c r="R379" s="85"/>
      <c r="S379" s="86"/>
    </row>
    <row r="380" spans="1:19" ht="15">
      <c r="A380" s="70" t="s">
        <v>254</v>
      </c>
      <c r="B380" s="70"/>
      <c r="C380" s="72" t="s">
        <v>254</v>
      </c>
      <c r="D380" s="72" t="s">
        <v>254</v>
      </c>
      <c r="E380" s="85" t="s">
        <v>254</v>
      </c>
      <c r="F380" s="85" t="s">
        <v>254</v>
      </c>
      <c r="G380" s="85" t="s">
        <v>254</v>
      </c>
      <c r="H380" s="85" t="s">
        <v>254</v>
      </c>
      <c r="I380" s="85" t="s">
        <v>254</v>
      </c>
      <c r="J380" s="85" t="s">
        <v>254</v>
      </c>
      <c r="K380" s="85" t="s">
        <v>254</v>
      </c>
      <c r="L380" s="85" t="s">
        <v>254</v>
      </c>
      <c r="M380" s="85" t="s">
        <v>254</v>
      </c>
      <c r="N380" s="85" t="s">
        <v>254</v>
      </c>
      <c r="O380" s="85" t="s">
        <v>254</v>
      </c>
      <c r="P380" s="85" t="s">
        <v>254</v>
      </c>
      <c r="Q380" s="85" t="s">
        <v>254</v>
      </c>
      <c r="R380" s="85"/>
      <c r="S380" s="86"/>
    </row>
    <row r="381" spans="1:19" ht="15">
      <c r="A381" s="70" t="s">
        <v>254</v>
      </c>
      <c r="B381" s="70"/>
      <c r="C381" s="72" t="s">
        <v>282</v>
      </c>
      <c r="D381" s="72" t="s">
        <v>254</v>
      </c>
      <c r="E381" s="85" t="s">
        <v>254</v>
      </c>
      <c r="F381" s="85" t="s">
        <v>254</v>
      </c>
      <c r="G381" s="85" t="s">
        <v>254</v>
      </c>
      <c r="H381" s="85" t="s">
        <v>254</v>
      </c>
      <c r="I381" s="85" t="s">
        <v>254</v>
      </c>
      <c r="J381" s="85" t="s">
        <v>254</v>
      </c>
      <c r="K381" s="85" t="s">
        <v>254</v>
      </c>
      <c r="L381" s="85" t="s">
        <v>254</v>
      </c>
      <c r="M381" s="85" t="s">
        <v>254</v>
      </c>
      <c r="N381" s="85" t="s">
        <v>254</v>
      </c>
      <c r="O381" s="85" t="s">
        <v>254</v>
      </c>
      <c r="P381" s="85" t="s">
        <v>254</v>
      </c>
      <c r="Q381" s="85" t="s">
        <v>254</v>
      </c>
      <c r="R381" s="85"/>
      <c r="S381" s="86"/>
    </row>
    <row r="382" spans="1:19" ht="15">
      <c r="A382" s="70" t="s">
        <v>254</v>
      </c>
      <c r="B382" s="70"/>
      <c r="C382" s="72" t="s">
        <v>254</v>
      </c>
      <c r="D382" s="72" t="s">
        <v>254</v>
      </c>
      <c r="E382" s="85" t="s">
        <v>254</v>
      </c>
      <c r="F382" s="85" t="s">
        <v>254</v>
      </c>
      <c r="G382" s="85" t="s">
        <v>254</v>
      </c>
      <c r="H382" s="85" t="s">
        <v>254</v>
      </c>
      <c r="I382" s="85" t="s">
        <v>254</v>
      </c>
      <c r="J382" s="85" t="s">
        <v>254</v>
      </c>
      <c r="K382" s="85" t="s">
        <v>254</v>
      </c>
      <c r="L382" s="85" t="s">
        <v>254</v>
      </c>
      <c r="M382" s="85" t="s">
        <v>254</v>
      </c>
      <c r="N382" s="85" t="s">
        <v>254</v>
      </c>
      <c r="O382" s="85" t="s">
        <v>254</v>
      </c>
      <c r="P382" s="85" t="s">
        <v>254</v>
      </c>
      <c r="Q382" s="85" t="s">
        <v>254</v>
      </c>
      <c r="R382" s="85"/>
      <c r="S382" s="86"/>
    </row>
    <row r="383" spans="1:19" ht="15">
      <c r="A383" s="70" t="s">
        <v>254</v>
      </c>
      <c r="B383" s="70"/>
      <c r="C383" s="72" t="s">
        <v>551</v>
      </c>
      <c r="D383" s="72" t="s">
        <v>254</v>
      </c>
      <c r="E383" s="85" t="s">
        <v>254</v>
      </c>
      <c r="F383" s="85" t="s">
        <v>254</v>
      </c>
      <c r="G383" s="85" t="s">
        <v>254</v>
      </c>
      <c r="H383" s="85" t="s">
        <v>254</v>
      </c>
      <c r="I383" s="85" t="s">
        <v>254</v>
      </c>
      <c r="J383" s="85" t="s">
        <v>254</v>
      </c>
      <c r="K383" s="85" t="s">
        <v>254</v>
      </c>
      <c r="L383" s="85" t="s">
        <v>254</v>
      </c>
      <c r="M383" s="85" t="s">
        <v>254</v>
      </c>
      <c r="N383" s="85" t="s">
        <v>254</v>
      </c>
      <c r="O383" s="85" t="s">
        <v>254</v>
      </c>
      <c r="P383" s="85" t="s">
        <v>254</v>
      </c>
      <c r="Q383" s="85" t="s">
        <v>254</v>
      </c>
      <c r="R383" s="85"/>
      <c r="S383" s="86"/>
    </row>
    <row r="384" spans="1:19" ht="15">
      <c r="A384" s="70">
        <v>1</v>
      </c>
      <c r="B384" s="94" t="str">
        <f>MID(C384,3,3)</f>
        <v>440</v>
      </c>
      <c r="C384" s="72" t="s">
        <v>552</v>
      </c>
      <c r="D384" s="72" t="s">
        <v>254</v>
      </c>
      <c r="E384" s="85">
        <v>641320773.6304127</v>
      </c>
      <c r="F384" s="85" t="s">
        <v>254</v>
      </c>
      <c r="G384" s="85">
        <v>603089687.40214503</v>
      </c>
      <c r="H384" s="85" t="s">
        <v>254</v>
      </c>
      <c r="I384" s="85">
        <v>38228668.668267749</v>
      </c>
      <c r="J384" s="85">
        <v>2417.56</v>
      </c>
      <c r="K384" s="85" t="s">
        <v>254</v>
      </c>
      <c r="L384" s="85" t="s">
        <v>254</v>
      </c>
      <c r="M384" s="85">
        <v>2417.56</v>
      </c>
      <c r="N384" s="85" t="s">
        <v>254</v>
      </c>
      <c r="O384" s="85">
        <v>0</v>
      </c>
      <c r="P384" s="85">
        <v>0</v>
      </c>
      <c r="Q384" s="85">
        <v>0</v>
      </c>
      <c r="R384" s="85"/>
      <c r="S384" s="86"/>
    </row>
    <row r="385" spans="1:19" ht="15">
      <c r="A385" s="70">
        <v>2</v>
      </c>
      <c r="B385" s="94" t="str">
        <f t="shared" ref="B385:B448" si="14">MID(C385,3,3)</f>
        <v>442</v>
      </c>
      <c r="C385" s="72" t="s">
        <v>553</v>
      </c>
      <c r="D385" s="72" t="s">
        <v>254</v>
      </c>
      <c r="E385" s="85">
        <v>400071762.12383687</v>
      </c>
      <c r="F385" s="85" t="s">
        <v>254</v>
      </c>
      <c r="G385" s="85">
        <v>382448127.15668082</v>
      </c>
      <c r="H385" s="85" t="s">
        <v>254</v>
      </c>
      <c r="I385" s="85">
        <v>17623634.967156082</v>
      </c>
      <c r="J385" s="85">
        <v>0</v>
      </c>
      <c r="K385" s="85" t="s">
        <v>254</v>
      </c>
      <c r="L385" s="85" t="s">
        <v>254</v>
      </c>
      <c r="M385" s="85">
        <v>0</v>
      </c>
      <c r="N385" s="85" t="s">
        <v>254</v>
      </c>
      <c r="O385" s="85">
        <v>0</v>
      </c>
      <c r="P385" s="85">
        <v>0</v>
      </c>
      <c r="Q385" s="85">
        <v>0</v>
      </c>
      <c r="R385" s="85"/>
      <c r="S385" s="86"/>
    </row>
    <row r="386" spans="1:19" ht="15">
      <c r="A386" s="70">
        <v>3</v>
      </c>
      <c r="B386" s="94" t="str">
        <f t="shared" si="14"/>
        <v>442</v>
      </c>
      <c r="C386" s="72" t="s">
        <v>554</v>
      </c>
      <c r="D386" s="72" t="s">
        <v>254</v>
      </c>
      <c r="E386" s="85">
        <v>424927105.30201465</v>
      </c>
      <c r="F386" s="85" t="s">
        <v>254</v>
      </c>
      <c r="G386" s="85">
        <v>414548825.781766</v>
      </c>
      <c r="H386" s="85" t="s">
        <v>254</v>
      </c>
      <c r="I386" s="85">
        <v>10378279.520248644</v>
      </c>
      <c r="J386" s="85">
        <v>0</v>
      </c>
      <c r="K386" s="85" t="s">
        <v>254</v>
      </c>
      <c r="L386" s="85" t="s">
        <v>254</v>
      </c>
      <c r="M386" s="85">
        <v>0</v>
      </c>
      <c r="N386" s="85" t="s">
        <v>254</v>
      </c>
      <c r="O386" s="85">
        <v>0</v>
      </c>
      <c r="P386" s="85">
        <v>0</v>
      </c>
      <c r="Q386" s="85">
        <v>0</v>
      </c>
      <c r="R386" s="85"/>
      <c r="S386" s="86"/>
    </row>
    <row r="387" spans="1:19" ht="15">
      <c r="A387" s="70">
        <v>4</v>
      </c>
      <c r="B387" s="94" t="str">
        <f t="shared" si="14"/>
        <v>444</v>
      </c>
      <c r="C387" s="72" t="s">
        <v>555</v>
      </c>
      <c r="D387" s="72" t="s">
        <v>254</v>
      </c>
      <c r="E387" s="85">
        <v>12222216.654964283</v>
      </c>
      <c r="F387" s="85" t="s">
        <v>254</v>
      </c>
      <c r="G387" s="85">
        <v>11813863.892054604</v>
      </c>
      <c r="H387" s="85" t="s">
        <v>254</v>
      </c>
      <c r="I387" s="85">
        <v>408352.76290967927</v>
      </c>
      <c r="J387" s="85">
        <v>0</v>
      </c>
      <c r="K387" s="85" t="s">
        <v>254</v>
      </c>
      <c r="L387" s="85" t="s">
        <v>254</v>
      </c>
      <c r="M387" s="85">
        <v>0</v>
      </c>
      <c r="N387" s="85" t="s">
        <v>254</v>
      </c>
      <c r="O387" s="85">
        <v>0</v>
      </c>
      <c r="P387" s="85">
        <v>0</v>
      </c>
      <c r="Q387" s="85">
        <v>0</v>
      </c>
      <c r="R387" s="85"/>
      <c r="S387" s="86"/>
    </row>
    <row r="388" spans="1:19" ht="15">
      <c r="A388" s="70">
        <v>5</v>
      </c>
      <c r="B388" s="94" t="str">
        <f t="shared" si="14"/>
        <v>445</v>
      </c>
      <c r="C388" s="72" t="s">
        <v>556</v>
      </c>
      <c r="D388" s="72" t="s">
        <v>254</v>
      </c>
      <c r="E388" s="85">
        <v>132659788.20358272</v>
      </c>
      <c r="F388" s="85" t="s">
        <v>254</v>
      </c>
      <c r="G388" s="85">
        <v>125993029.04854409</v>
      </c>
      <c r="H388" s="85" t="s">
        <v>254</v>
      </c>
      <c r="I388" s="85">
        <v>6666759.1550386222</v>
      </c>
      <c r="J388" s="85">
        <v>0</v>
      </c>
      <c r="K388" s="85" t="s">
        <v>254</v>
      </c>
      <c r="L388" s="85" t="s">
        <v>254</v>
      </c>
      <c r="M388" s="85">
        <v>0</v>
      </c>
      <c r="N388" s="85" t="s">
        <v>254</v>
      </c>
      <c r="O388" s="85">
        <v>0</v>
      </c>
      <c r="P388" s="85">
        <v>0</v>
      </c>
      <c r="Q388" s="85">
        <v>0</v>
      </c>
      <c r="R388" s="85"/>
      <c r="S388" s="86"/>
    </row>
    <row r="389" spans="1:19" ht="15">
      <c r="A389" s="70">
        <v>6</v>
      </c>
      <c r="B389" s="94" t="str">
        <f t="shared" si="14"/>
        <v>447</v>
      </c>
      <c r="C389" s="72" t="s">
        <v>557</v>
      </c>
      <c r="D389" s="72" t="s">
        <v>254</v>
      </c>
      <c r="E389" s="85">
        <v>119007216.81909734</v>
      </c>
      <c r="F389" s="85" t="s">
        <v>254</v>
      </c>
      <c r="G389" s="85">
        <v>0</v>
      </c>
      <c r="H389" s="85" t="s">
        <v>254</v>
      </c>
      <c r="I389" s="85">
        <v>0</v>
      </c>
      <c r="J389" s="85">
        <v>119007216.81909734</v>
      </c>
      <c r="K389" s="85" t="s">
        <v>254</v>
      </c>
      <c r="L389" s="85" t="s">
        <v>254</v>
      </c>
      <c r="M389" s="85">
        <v>0</v>
      </c>
      <c r="N389" s="85" t="s">
        <v>254</v>
      </c>
      <c r="O389" s="85">
        <v>119007216.81909734</v>
      </c>
      <c r="P389" s="85">
        <v>35320912.728230186</v>
      </c>
      <c r="Q389" s="85">
        <v>83686304.090867147</v>
      </c>
      <c r="R389" s="85"/>
      <c r="S389" s="86"/>
    </row>
    <row r="390" spans="1:19" ht="15">
      <c r="A390" s="70">
        <v>7</v>
      </c>
      <c r="B390" s="94" t="str">
        <f t="shared" si="14"/>
        <v>447</v>
      </c>
      <c r="C390" s="72" t="s">
        <v>2427</v>
      </c>
      <c r="D390" s="72" t="s">
        <v>254</v>
      </c>
      <c r="E390" s="85">
        <v>119.83</v>
      </c>
      <c r="F390" s="85" t="s">
        <v>254</v>
      </c>
      <c r="G390" s="85">
        <v>0</v>
      </c>
      <c r="H390" s="85" t="s">
        <v>254</v>
      </c>
      <c r="I390" s="85">
        <v>119.83</v>
      </c>
      <c r="J390" s="85">
        <v>0</v>
      </c>
      <c r="K390" s="85" t="s">
        <v>254</v>
      </c>
      <c r="L390" s="85" t="s">
        <v>254</v>
      </c>
      <c r="M390" s="85">
        <v>0</v>
      </c>
      <c r="N390" s="85" t="s">
        <v>254</v>
      </c>
      <c r="O390" s="85">
        <v>0</v>
      </c>
      <c r="P390" s="85">
        <v>0</v>
      </c>
      <c r="Q390" s="85">
        <v>0</v>
      </c>
      <c r="R390" s="85"/>
      <c r="S390" s="86"/>
    </row>
    <row r="391" spans="1:19" ht="15">
      <c r="A391" s="70">
        <v>8</v>
      </c>
      <c r="B391" s="94" t="str">
        <f t="shared" si="14"/>
        <v>447</v>
      </c>
      <c r="C391" s="72" t="s">
        <v>558</v>
      </c>
      <c r="D391" s="72" t="s">
        <v>254</v>
      </c>
      <c r="E391" s="85" t="s">
        <v>254</v>
      </c>
      <c r="F391" s="85" t="s">
        <v>254</v>
      </c>
      <c r="G391" s="85" t="s">
        <v>254</v>
      </c>
      <c r="H391" s="85" t="s">
        <v>254</v>
      </c>
      <c r="I391" s="85" t="s">
        <v>254</v>
      </c>
      <c r="J391" s="85" t="s">
        <v>254</v>
      </c>
      <c r="K391" s="85" t="s">
        <v>254</v>
      </c>
      <c r="L391" s="85" t="s">
        <v>254</v>
      </c>
      <c r="M391" s="85" t="s">
        <v>254</v>
      </c>
      <c r="N391" s="85" t="s">
        <v>254</v>
      </c>
      <c r="O391" s="85" t="s">
        <v>254</v>
      </c>
      <c r="P391" s="85" t="s">
        <v>254</v>
      </c>
      <c r="Q391" s="85" t="s">
        <v>254</v>
      </c>
      <c r="R391" s="85"/>
      <c r="S391" s="86"/>
    </row>
    <row r="392" spans="1:19" ht="15">
      <c r="A392" s="70">
        <v>9</v>
      </c>
      <c r="B392" s="94" t="str">
        <f t="shared" si="14"/>
        <v xml:space="preserve">   </v>
      </c>
      <c r="C392" s="72" t="s">
        <v>559</v>
      </c>
      <c r="D392" s="72" t="s">
        <v>307</v>
      </c>
      <c r="E392" s="85">
        <v>0</v>
      </c>
      <c r="F392" s="85" t="s">
        <v>254</v>
      </c>
      <c r="G392" s="85">
        <v>0</v>
      </c>
      <c r="H392" s="85" t="s">
        <v>254</v>
      </c>
      <c r="I392" s="85">
        <v>0</v>
      </c>
      <c r="J392" s="85">
        <v>0</v>
      </c>
      <c r="K392" s="85" t="s">
        <v>254</v>
      </c>
      <c r="L392" s="85" t="s">
        <v>254</v>
      </c>
      <c r="M392" s="85">
        <v>0</v>
      </c>
      <c r="N392" s="85" t="s">
        <v>254</v>
      </c>
      <c r="O392" s="85">
        <v>0</v>
      </c>
      <c r="P392" s="85">
        <v>0</v>
      </c>
      <c r="Q392" s="85">
        <v>0</v>
      </c>
      <c r="R392" s="85"/>
      <c r="S392" s="86"/>
    </row>
    <row r="393" spans="1:19" ht="15">
      <c r="A393" s="70">
        <v>10</v>
      </c>
      <c r="B393" s="94" t="str">
        <f t="shared" si="14"/>
        <v xml:space="preserve">   </v>
      </c>
      <c r="C393" s="72" t="s">
        <v>560</v>
      </c>
      <c r="D393" s="72" t="s">
        <v>498</v>
      </c>
      <c r="E393" s="85">
        <v>16193477.34926394</v>
      </c>
      <c r="F393" s="85" t="s">
        <v>254</v>
      </c>
      <c r="G393" s="85">
        <v>14240259.433026152</v>
      </c>
      <c r="H393" s="85" t="s">
        <v>254</v>
      </c>
      <c r="I393" s="85">
        <v>590336.73685621552</v>
      </c>
      <c r="J393" s="85">
        <v>1362881.1793815743</v>
      </c>
      <c r="K393" s="85" t="s">
        <v>254</v>
      </c>
      <c r="L393" s="85" t="s">
        <v>254</v>
      </c>
      <c r="M393" s="85">
        <v>68.674941219592043</v>
      </c>
      <c r="N393" s="85" t="s">
        <v>254</v>
      </c>
      <c r="O393" s="85">
        <v>1362812.5044403546</v>
      </c>
      <c r="P393" s="85">
        <v>430667.02731813624</v>
      </c>
      <c r="Q393" s="85">
        <v>932145.47712221846</v>
      </c>
      <c r="R393" s="85"/>
      <c r="S393" s="86"/>
    </row>
    <row r="394" spans="1:19" ht="15">
      <c r="A394" s="70">
        <v>11</v>
      </c>
      <c r="B394" s="94" t="str">
        <f t="shared" si="14"/>
        <v>TOT</v>
      </c>
      <c r="C394" s="72" t="s">
        <v>561</v>
      </c>
      <c r="D394" s="72" t="s">
        <v>254</v>
      </c>
      <c r="E394" s="85">
        <v>16193477.34926394</v>
      </c>
      <c r="F394" s="85" t="s">
        <v>254</v>
      </c>
      <c r="G394" s="85">
        <v>14240259.433026152</v>
      </c>
      <c r="H394" s="85" t="s">
        <v>254</v>
      </c>
      <c r="I394" s="85">
        <v>590336.73685621552</v>
      </c>
      <c r="J394" s="85">
        <v>1362881.1793815743</v>
      </c>
      <c r="K394" s="85" t="s">
        <v>254</v>
      </c>
      <c r="L394" s="85" t="s">
        <v>254</v>
      </c>
      <c r="M394" s="85">
        <v>68.674941219592043</v>
      </c>
      <c r="N394" s="85" t="s">
        <v>254</v>
      </c>
      <c r="O394" s="85">
        <v>1362812.5044403546</v>
      </c>
      <c r="P394" s="85">
        <v>430667.02731813624</v>
      </c>
      <c r="Q394" s="85">
        <v>932145.47712221846</v>
      </c>
      <c r="R394" s="85"/>
      <c r="S394" s="86"/>
    </row>
    <row r="395" spans="1:19" ht="15">
      <c r="A395" s="70" t="s">
        <v>254</v>
      </c>
      <c r="B395" s="94" t="str">
        <f t="shared" si="14"/>
        <v/>
      </c>
      <c r="C395" s="72" t="s">
        <v>254</v>
      </c>
      <c r="D395" s="72" t="s">
        <v>254</v>
      </c>
      <c r="E395" s="85" t="s">
        <v>254</v>
      </c>
      <c r="F395" s="85" t="s">
        <v>254</v>
      </c>
      <c r="G395" s="85" t="s">
        <v>254</v>
      </c>
      <c r="H395" s="85" t="s">
        <v>254</v>
      </c>
      <c r="I395" s="85" t="s">
        <v>254</v>
      </c>
      <c r="J395" s="85" t="s">
        <v>254</v>
      </c>
      <c r="K395" s="85" t="s">
        <v>254</v>
      </c>
      <c r="L395" s="85" t="s">
        <v>254</v>
      </c>
      <c r="M395" s="85" t="s">
        <v>254</v>
      </c>
      <c r="N395" s="85" t="s">
        <v>254</v>
      </c>
      <c r="O395" s="85" t="s">
        <v>254</v>
      </c>
      <c r="P395" s="85" t="s">
        <v>254</v>
      </c>
      <c r="Q395" s="85" t="s">
        <v>254</v>
      </c>
      <c r="R395" s="85"/>
      <c r="S395" s="86"/>
    </row>
    <row r="396" spans="1:19" ht="15">
      <c r="A396" s="70">
        <v>12</v>
      </c>
      <c r="B396" s="94" t="str">
        <f t="shared" si="14"/>
        <v>449</v>
      </c>
      <c r="C396" s="72" t="s">
        <v>562</v>
      </c>
      <c r="D396" s="72" t="s">
        <v>254</v>
      </c>
      <c r="E396" s="85">
        <v>0</v>
      </c>
      <c r="F396" s="85" t="s">
        <v>254</v>
      </c>
      <c r="G396" s="85">
        <v>0</v>
      </c>
      <c r="H396" s="85" t="s">
        <v>254</v>
      </c>
      <c r="I396" s="85">
        <v>0</v>
      </c>
      <c r="J396" s="85">
        <v>0</v>
      </c>
      <c r="K396" s="85" t="s">
        <v>254</v>
      </c>
      <c r="L396" s="85" t="s">
        <v>254</v>
      </c>
      <c r="M396" s="85">
        <v>0</v>
      </c>
      <c r="N396" s="85" t="s">
        <v>254</v>
      </c>
      <c r="O396" s="85">
        <v>0</v>
      </c>
      <c r="P396" s="85">
        <v>0</v>
      </c>
      <c r="Q396" s="85">
        <v>0</v>
      </c>
      <c r="R396" s="85"/>
      <c r="S396" s="86"/>
    </row>
    <row r="397" spans="1:19" ht="15">
      <c r="A397" s="70" t="s">
        <v>254</v>
      </c>
      <c r="B397" s="94" t="str">
        <f t="shared" si="14"/>
        <v/>
      </c>
      <c r="C397" s="72" t="s">
        <v>254</v>
      </c>
      <c r="D397" s="72" t="s">
        <v>254</v>
      </c>
      <c r="E397" s="85" t="s">
        <v>254</v>
      </c>
      <c r="F397" s="85" t="s">
        <v>254</v>
      </c>
      <c r="G397" s="85" t="s">
        <v>254</v>
      </c>
      <c r="H397" s="85" t="s">
        <v>254</v>
      </c>
      <c r="I397" s="85" t="s">
        <v>254</v>
      </c>
      <c r="J397" s="85" t="s">
        <v>254</v>
      </c>
      <c r="K397" s="85" t="s">
        <v>254</v>
      </c>
      <c r="L397" s="85" t="s">
        <v>254</v>
      </c>
      <c r="M397" s="85" t="s">
        <v>254</v>
      </c>
      <c r="N397" s="85" t="s">
        <v>254</v>
      </c>
      <c r="O397" s="85" t="s">
        <v>254</v>
      </c>
      <c r="P397" s="85" t="s">
        <v>254</v>
      </c>
      <c r="Q397" s="85" t="s">
        <v>254</v>
      </c>
      <c r="R397" s="85"/>
      <c r="S397" s="86"/>
    </row>
    <row r="398" spans="1:19" ht="15">
      <c r="A398" s="70">
        <v>13</v>
      </c>
      <c r="B398" s="94" t="str">
        <f t="shared" si="14"/>
        <v>TAL</v>
      </c>
      <c r="C398" s="72" t="s">
        <v>563</v>
      </c>
      <c r="D398" s="72" t="s">
        <v>254</v>
      </c>
      <c r="E398" s="85">
        <v>1746402459.9131725</v>
      </c>
      <c r="F398" s="85" t="s">
        <v>254</v>
      </c>
      <c r="G398" s="85">
        <v>1552133792.7142167</v>
      </c>
      <c r="H398" s="85" t="s">
        <v>254</v>
      </c>
      <c r="I398" s="85">
        <v>73896151.640477002</v>
      </c>
      <c r="J398" s="85">
        <v>120372515.55847889</v>
      </c>
      <c r="K398" s="85" t="s">
        <v>254</v>
      </c>
      <c r="L398" s="85" t="s">
        <v>254</v>
      </c>
      <c r="M398" s="85">
        <v>2486.2349412195922</v>
      </c>
      <c r="N398" s="85" t="s">
        <v>254</v>
      </c>
      <c r="O398" s="85">
        <v>120370029.32353768</v>
      </c>
      <c r="P398" s="85">
        <v>35751579.755548321</v>
      </c>
      <c r="Q398" s="85">
        <v>84618449.567989364</v>
      </c>
      <c r="R398" s="85"/>
      <c r="S398" s="86"/>
    </row>
    <row r="399" spans="1:19" ht="15">
      <c r="A399" s="70" t="s">
        <v>254</v>
      </c>
      <c r="B399" s="94" t="str">
        <f t="shared" si="14"/>
        <v/>
      </c>
      <c r="C399" s="72" t="s">
        <v>254</v>
      </c>
      <c r="D399" s="72" t="s">
        <v>254</v>
      </c>
      <c r="E399" s="85" t="s">
        <v>254</v>
      </c>
      <c r="F399" s="85" t="s">
        <v>254</v>
      </c>
      <c r="G399" s="85" t="s">
        <v>254</v>
      </c>
      <c r="H399" s="85" t="s">
        <v>254</v>
      </c>
      <c r="I399" s="85" t="s">
        <v>254</v>
      </c>
      <c r="J399" s="85" t="s">
        <v>254</v>
      </c>
      <c r="K399" s="85" t="s">
        <v>254</v>
      </c>
      <c r="L399" s="85" t="s">
        <v>254</v>
      </c>
      <c r="M399" s="85" t="s">
        <v>254</v>
      </c>
      <c r="N399" s="85" t="s">
        <v>254</v>
      </c>
      <c r="O399" s="85" t="s">
        <v>254</v>
      </c>
      <c r="P399" s="85" t="s">
        <v>254</v>
      </c>
      <c r="Q399" s="85" t="s">
        <v>254</v>
      </c>
      <c r="R399" s="85"/>
      <c r="S399" s="86"/>
    </row>
    <row r="400" spans="1:19" ht="15">
      <c r="A400" s="70" t="s">
        <v>254</v>
      </c>
      <c r="B400" s="94" t="str">
        <f t="shared" si="14"/>
        <v>HER</v>
      </c>
      <c r="C400" s="72" t="s">
        <v>564</v>
      </c>
      <c r="D400" s="72" t="s">
        <v>254</v>
      </c>
      <c r="E400" s="85" t="s">
        <v>254</v>
      </c>
      <c r="F400" s="85" t="s">
        <v>254</v>
      </c>
      <c r="G400" s="85" t="s">
        <v>254</v>
      </c>
      <c r="H400" s="85" t="s">
        <v>254</v>
      </c>
      <c r="I400" s="85" t="s">
        <v>254</v>
      </c>
      <c r="J400" s="85" t="s">
        <v>254</v>
      </c>
      <c r="K400" s="85" t="s">
        <v>254</v>
      </c>
      <c r="L400" s="85" t="s">
        <v>254</v>
      </c>
      <c r="M400" s="85" t="s">
        <v>254</v>
      </c>
      <c r="N400" s="85" t="s">
        <v>254</v>
      </c>
      <c r="O400" s="85" t="s">
        <v>254</v>
      </c>
      <c r="P400" s="85" t="s">
        <v>254</v>
      </c>
      <c r="Q400" s="85" t="s">
        <v>254</v>
      </c>
      <c r="R400" s="85"/>
      <c r="S400" s="86"/>
    </row>
    <row r="401" spans="1:19" ht="15">
      <c r="A401" s="70">
        <v>14</v>
      </c>
      <c r="B401" s="94" t="str">
        <f t="shared" si="14"/>
        <v>450</v>
      </c>
      <c r="C401" s="72" t="s">
        <v>565</v>
      </c>
      <c r="D401" s="72" t="s">
        <v>566</v>
      </c>
      <c r="E401" s="85">
        <v>4206242.7118333327</v>
      </c>
      <c r="F401" s="85" t="s">
        <v>254</v>
      </c>
      <c r="G401" s="85">
        <v>4055578.37682979</v>
      </c>
      <c r="H401" s="85" t="s">
        <v>254</v>
      </c>
      <c r="I401" s="85">
        <v>150622.07679184602</v>
      </c>
      <c r="J401" s="85">
        <v>42.2582116964563</v>
      </c>
      <c r="K401" s="85" t="s">
        <v>254</v>
      </c>
      <c r="L401" s="85" t="s">
        <v>254</v>
      </c>
      <c r="M401" s="85">
        <v>0</v>
      </c>
      <c r="N401" s="85" t="s">
        <v>254</v>
      </c>
      <c r="O401" s="85">
        <v>42.2582116964563</v>
      </c>
      <c r="P401" s="85">
        <v>42.2582116964563</v>
      </c>
      <c r="Q401" s="85">
        <v>0</v>
      </c>
      <c r="R401" s="85"/>
      <c r="S401" s="86"/>
    </row>
    <row r="402" spans="1:19" ht="15">
      <c r="A402" s="70">
        <v>15</v>
      </c>
      <c r="B402" s="94" t="str">
        <f t="shared" si="14"/>
        <v>451</v>
      </c>
      <c r="C402" s="72" t="s">
        <v>567</v>
      </c>
      <c r="D402" s="72" t="s">
        <v>568</v>
      </c>
      <c r="E402" s="85">
        <v>2238776.8756666663</v>
      </c>
      <c r="F402" s="85" t="s">
        <v>254</v>
      </c>
      <c r="G402" s="85">
        <v>2119124.0470042997</v>
      </c>
      <c r="H402" s="85" t="s">
        <v>254</v>
      </c>
      <c r="I402" s="85">
        <v>119652.82866236672</v>
      </c>
      <c r="J402" s="85">
        <v>0</v>
      </c>
      <c r="K402" s="85" t="s">
        <v>254</v>
      </c>
      <c r="L402" s="85" t="s">
        <v>254</v>
      </c>
      <c r="M402" s="85">
        <v>0</v>
      </c>
      <c r="N402" s="85" t="s">
        <v>254</v>
      </c>
      <c r="O402" s="85">
        <v>0</v>
      </c>
      <c r="P402" s="85">
        <v>0</v>
      </c>
      <c r="Q402" s="85">
        <v>0</v>
      </c>
      <c r="R402" s="85"/>
      <c r="S402" s="86"/>
    </row>
    <row r="403" spans="1:19" ht="15">
      <c r="A403" s="70">
        <v>16</v>
      </c>
      <c r="B403" s="94" t="str">
        <f t="shared" si="14"/>
        <v>451</v>
      </c>
      <c r="C403" s="72" t="s">
        <v>569</v>
      </c>
      <c r="D403" s="72" t="s">
        <v>570</v>
      </c>
      <c r="E403" s="85">
        <v>58344.662666666671</v>
      </c>
      <c r="F403" s="85" t="s">
        <v>254</v>
      </c>
      <c r="G403" s="85">
        <v>58077.030782557486</v>
      </c>
      <c r="H403" s="85" t="s">
        <v>254</v>
      </c>
      <c r="I403" s="85">
        <v>267.63188410918491</v>
      </c>
      <c r="J403" s="85">
        <v>0</v>
      </c>
      <c r="K403" s="85" t="s">
        <v>254</v>
      </c>
      <c r="L403" s="85" t="s">
        <v>254</v>
      </c>
      <c r="M403" s="85">
        <v>0</v>
      </c>
      <c r="N403" s="85" t="s">
        <v>254</v>
      </c>
      <c r="O403" s="85">
        <v>0</v>
      </c>
      <c r="P403" s="85">
        <v>0</v>
      </c>
      <c r="Q403" s="85">
        <v>0</v>
      </c>
      <c r="R403" s="85"/>
      <c r="S403" s="86"/>
    </row>
    <row r="404" spans="1:19" ht="15">
      <c r="A404" s="70">
        <v>17</v>
      </c>
      <c r="B404" s="94" t="str">
        <f t="shared" si="14"/>
        <v>454</v>
      </c>
      <c r="C404" s="72" t="s">
        <v>571</v>
      </c>
      <c r="D404" s="72" t="s">
        <v>572</v>
      </c>
      <c r="E404" s="85">
        <v>3478458.2862666659</v>
      </c>
      <c r="F404" s="85" t="s">
        <v>254</v>
      </c>
      <c r="G404" s="85">
        <v>3246156.0005037882</v>
      </c>
      <c r="H404" s="85" t="s">
        <v>254</v>
      </c>
      <c r="I404" s="85">
        <v>232245.38417902848</v>
      </c>
      <c r="J404" s="85">
        <v>56.901583849115198</v>
      </c>
      <c r="K404" s="85" t="s">
        <v>254</v>
      </c>
      <c r="L404" s="85" t="s">
        <v>254</v>
      </c>
      <c r="M404" s="85">
        <v>56.901583849115198</v>
      </c>
      <c r="N404" s="85" t="s">
        <v>254</v>
      </c>
      <c r="O404" s="85">
        <v>0</v>
      </c>
      <c r="P404" s="85">
        <v>0</v>
      </c>
      <c r="Q404" s="85">
        <v>0</v>
      </c>
      <c r="R404" s="85"/>
      <c r="S404" s="86"/>
    </row>
    <row r="405" spans="1:19" ht="15">
      <c r="A405" s="70">
        <v>18</v>
      </c>
      <c r="B405" s="94" t="str">
        <f t="shared" si="14"/>
        <v>456</v>
      </c>
      <c r="C405" s="72" t="s">
        <v>573</v>
      </c>
      <c r="D405" s="72" t="s">
        <v>344</v>
      </c>
      <c r="E405" s="85">
        <v>18360644.101178546</v>
      </c>
      <c r="F405" s="85" t="s">
        <v>254</v>
      </c>
      <c r="G405" s="85">
        <v>17549554.882484794</v>
      </c>
      <c r="H405" s="85" t="s">
        <v>254</v>
      </c>
      <c r="I405" s="85">
        <v>811027.55084234488</v>
      </c>
      <c r="J405" s="85">
        <v>61.667851405405472</v>
      </c>
      <c r="K405" s="85" t="s">
        <v>254</v>
      </c>
      <c r="L405" s="85" t="s">
        <v>254</v>
      </c>
      <c r="M405" s="85">
        <v>61.667851405405472</v>
      </c>
      <c r="N405" s="85" t="s">
        <v>254</v>
      </c>
      <c r="O405" s="85">
        <v>0</v>
      </c>
      <c r="P405" s="85">
        <v>0</v>
      </c>
      <c r="Q405" s="85">
        <v>0</v>
      </c>
      <c r="R405" s="85"/>
      <c r="S405" s="86"/>
    </row>
    <row r="406" spans="1:19" ht="15">
      <c r="A406" s="70">
        <v>19</v>
      </c>
      <c r="B406" s="94" t="str">
        <f t="shared" si="14"/>
        <v>456</v>
      </c>
      <c r="C406" s="72" t="s">
        <v>574</v>
      </c>
      <c r="D406" s="72" t="s">
        <v>575</v>
      </c>
      <c r="E406" s="85">
        <v>1870705.4435354006</v>
      </c>
      <c r="F406" s="85" t="s">
        <v>254</v>
      </c>
      <c r="G406" s="85">
        <v>1638321.2832350319</v>
      </c>
      <c r="H406" s="85" t="s">
        <v>254</v>
      </c>
      <c r="I406" s="85">
        <v>75712.672300373757</v>
      </c>
      <c r="J406" s="85">
        <v>156671.48799999509</v>
      </c>
      <c r="K406" s="85" t="s">
        <v>254</v>
      </c>
      <c r="L406" s="85" t="s">
        <v>254</v>
      </c>
      <c r="M406" s="85">
        <v>5.7569410805789252</v>
      </c>
      <c r="N406" s="85" t="s">
        <v>254</v>
      </c>
      <c r="O406" s="85">
        <v>156665.73105891451</v>
      </c>
      <c r="P406" s="85">
        <v>48622.601008289552</v>
      </c>
      <c r="Q406" s="85">
        <v>108043.13005062495</v>
      </c>
      <c r="R406" s="85"/>
      <c r="S406" s="86"/>
    </row>
    <row r="407" spans="1:19" ht="15">
      <c r="A407" s="70">
        <v>20</v>
      </c>
      <c r="B407" s="94" t="str">
        <f t="shared" si="14"/>
        <v>456</v>
      </c>
      <c r="C407" s="72" t="s">
        <v>576</v>
      </c>
      <c r="D407" s="72" t="s">
        <v>515</v>
      </c>
      <c r="E407" s="85">
        <v>713.1500000000002</v>
      </c>
      <c r="F407" s="85" t="s">
        <v>254</v>
      </c>
      <c r="G407" s="85">
        <v>713.1500000000002</v>
      </c>
      <c r="H407" s="85" t="s">
        <v>254</v>
      </c>
      <c r="I407" s="85">
        <v>0</v>
      </c>
      <c r="J407" s="85">
        <v>0</v>
      </c>
      <c r="K407" s="85" t="s">
        <v>254</v>
      </c>
      <c r="L407" s="85" t="s">
        <v>254</v>
      </c>
      <c r="M407" s="85">
        <v>0</v>
      </c>
      <c r="N407" s="85" t="s">
        <v>254</v>
      </c>
      <c r="O407" s="85">
        <v>0</v>
      </c>
      <c r="P407" s="85">
        <v>0</v>
      </c>
      <c r="Q407" s="85">
        <v>0</v>
      </c>
      <c r="R407" s="85"/>
      <c r="S407" s="86"/>
    </row>
    <row r="408" spans="1:19" ht="15">
      <c r="A408" s="70">
        <v>21</v>
      </c>
      <c r="B408" s="94" t="str">
        <f t="shared" si="14"/>
        <v>456</v>
      </c>
      <c r="C408" s="72" t="s">
        <v>577</v>
      </c>
      <c r="D408" s="72" t="s">
        <v>578</v>
      </c>
      <c r="E408" s="85">
        <v>151253.1933333333</v>
      </c>
      <c r="F408" s="85" t="s">
        <v>254</v>
      </c>
      <c r="G408" s="85">
        <v>151384.80588442658</v>
      </c>
      <c r="H408" s="85" t="s">
        <v>254</v>
      </c>
      <c r="I408" s="85">
        <v>-131.61255109326191</v>
      </c>
      <c r="J408" s="85">
        <v>0</v>
      </c>
      <c r="K408" s="85" t="s">
        <v>254</v>
      </c>
      <c r="L408" s="85" t="s">
        <v>254</v>
      </c>
      <c r="M408" s="85">
        <v>0</v>
      </c>
      <c r="N408" s="85" t="s">
        <v>254</v>
      </c>
      <c r="O408" s="85">
        <v>0</v>
      </c>
      <c r="P408" s="85">
        <v>0</v>
      </c>
      <c r="Q408" s="85">
        <v>0</v>
      </c>
      <c r="R408" s="85"/>
      <c r="S408" s="86"/>
    </row>
    <row r="409" spans="1:19" ht="15">
      <c r="A409" s="70">
        <v>22</v>
      </c>
      <c r="B409" s="94" t="str">
        <f t="shared" si="14"/>
        <v>456</v>
      </c>
      <c r="C409" s="72" t="s">
        <v>579</v>
      </c>
      <c r="D409" s="72" t="s">
        <v>580</v>
      </c>
      <c r="E409" s="85">
        <v>46761.230299999981</v>
      </c>
      <c r="F409" s="85" t="s">
        <v>254</v>
      </c>
      <c r="G409" s="85">
        <v>-17684.029700000006</v>
      </c>
      <c r="H409" s="85" t="s">
        <v>254</v>
      </c>
      <c r="I409" s="85">
        <v>0</v>
      </c>
      <c r="J409" s="85">
        <v>64445.259999999987</v>
      </c>
      <c r="K409" s="85" t="s">
        <v>254</v>
      </c>
      <c r="L409" s="85" t="s">
        <v>254</v>
      </c>
      <c r="M409" s="85">
        <v>0</v>
      </c>
      <c r="N409" s="85" t="s">
        <v>254</v>
      </c>
      <c r="O409" s="85">
        <v>64445.259999999987</v>
      </c>
      <c r="P409" s="85">
        <v>19127.12073309176</v>
      </c>
      <c r="Q409" s="85">
        <v>45318.139266908227</v>
      </c>
      <c r="R409" s="85"/>
      <c r="S409" s="86"/>
    </row>
    <row r="410" spans="1:19" ht="15">
      <c r="A410" s="70">
        <v>23</v>
      </c>
      <c r="B410" s="94" t="str">
        <f t="shared" si="14"/>
        <v>456</v>
      </c>
      <c r="C410" s="72" t="s">
        <v>581</v>
      </c>
      <c r="D410" s="72" t="s">
        <v>582</v>
      </c>
      <c r="E410" s="85">
        <v>33204.551366666674</v>
      </c>
      <c r="F410" s="85" t="s">
        <v>254</v>
      </c>
      <c r="G410" s="85">
        <v>28402.941366666673</v>
      </c>
      <c r="H410" s="85" t="s">
        <v>254</v>
      </c>
      <c r="I410" s="85">
        <v>2038.25</v>
      </c>
      <c r="J410" s="85">
        <v>2763.36</v>
      </c>
      <c r="K410" s="85" t="s">
        <v>254</v>
      </c>
      <c r="L410" s="85" t="s">
        <v>254</v>
      </c>
      <c r="M410" s="85">
        <v>0</v>
      </c>
      <c r="N410" s="85" t="s">
        <v>254</v>
      </c>
      <c r="O410" s="85">
        <v>2763.36</v>
      </c>
      <c r="P410" s="85">
        <v>2763.36</v>
      </c>
      <c r="Q410" s="85">
        <v>0</v>
      </c>
      <c r="R410" s="85"/>
      <c r="S410" s="86"/>
    </row>
    <row r="411" spans="1:19" ht="15">
      <c r="A411" s="70">
        <v>24</v>
      </c>
      <c r="B411" s="94" t="str">
        <f t="shared" si="14"/>
        <v>456</v>
      </c>
      <c r="C411" s="72" t="s">
        <v>583</v>
      </c>
      <c r="D411" s="72" t="s">
        <v>515</v>
      </c>
      <c r="E411" s="85">
        <v>42292.784733333319</v>
      </c>
      <c r="F411" s="85" t="s">
        <v>254</v>
      </c>
      <c r="G411" s="85">
        <v>42292.784733333319</v>
      </c>
      <c r="H411" s="85" t="s">
        <v>254</v>
      </c>
      <c r="I411" s="85">
        <v>0</v>
      </c>
      <c r="J411" s="85">
        <v>0</v>
      </c>
      <c r="K411" s="85" t="s">
        <v>254</v>
      </c>
      <c r="L411" s="85" t="s">
        <v>254</v>
      </c>
      <c r="M411" s="85">
        <v>0</v>
      </c>
      <c r="N411" s="85" t="s">
        <v>254</v>
      </c>
      <c r="O411" s="85">
        <v>0</v>
      </c>
      <c r="P411" s="85">
        <v>0</v>
      </c>
      <c r="Q411" s="85">
        <v>0</v>
      </c>
      <c r="R411" s="85"/>
      <c r="S411" s="86"/>
    </row>
    <row r="412" spans="1:19" ht="15">
      <c r="A412" s="70">
        <v>25</v>
      </c>
      <c r="B412" s="94" t="str">
        <f t="shared" si="14"/>
        <v>456</v>
      </c>
      <c r="C412" s="72" t="s">
        <v>2428</v>
      </c>
      <c r="D412" s="72" t="s">
        <v>498</v>
      </c>
      <c r="E412" s="85">
        <v>16152.311999999996</v>
      </c>
      <c r="F412" s="85" t="s">
        <v>254</v>
      </c>
      <c r="G412" s="85">
        <v>14204.059348231123</v>
      </c>
      <c r="H412" s="85" t="s">
        <v>254</v>
      </c>
      <c r="I412" s="85">
        <v>588.83604510040016</v>
      </c>
      <c r="J412" s="85">
        <v>1359.4166066684718</v>
      </c>
      <c r="K412" s="85" t="s">
        <v>254</v>
      </c>
      <c r="L412" s="85" t="s">
        <v>254</v>
      </c>
      <c r="M412" s="85">
        <v>6.8500363031102213E-2</v>
      </c>
      <c r="N412" s="85" t="s">
        <v>254</v>
      </c>
      <c r="O412" s="85">
        <v>1359.3481063054408</v>
      </c>
      <c r="P412" s="85">
        <v>429.57223104840097</v>
      </c>
      <c r="Q412" s="85">
        <v>929.77587525703984</v>
      </c>
      <c r="R412" s="85"/>
      <c r="S412" s="86"/>
    </row>
    <row r="413" spans="1:19" ht="15">
      <c r="A413" s="70">
        <v>26</v>
      </c>
      <c r="B413" s="94" t="str">
        <f t="shared" si="14"/>
        <v>456</v>
      </c>
      <c r="C413" s="72" t="s">
        <v>2429</v>
      </c>
      <c r="D413" s="72" t="s">
        <v>515</v>
      </c>
      <c r="E413" s="85">
        <v>35840</v>
      </c>
      <c r="F413" s="85" t="s">
        <v>254</v>
      </c>
      <c r="G413" s="85">
        <v>35840</v>
      </c>
      <c r="H413" s="85" t="s">
        <v>254</v>
      </c>
      <c r="I413" s="85">
        <v>0</v>
      </c>
      <c r="J413" s="85">
        <v>0</v>
      </c>
      <c r="K413" s="85" t="s">
        <v>254</v>
      </c>
      <c r="L413" s="85" t="s">
        <v>254</v>
      </c>
      <c r="M413" s="85">
        <v>0</v>
      </c>
      <c r="N413" s="85" t="s">
        <v>254</v>
      </c>
      <c r="O413" s="85">
        <v>0</v>
      </c>
      <c r="P413" s="85">
        <v>0</v>
      </c>
      <c r="Q413" s="85">
        <v>0</v>
      </c>
      <c r="R413" s="85"/>
      <c r="S413" s="86"/>
    </row>
    <row r="414" spans="1:19" ht="15">
      <c r="A414" s="70">
        <v>27</v>
      </c>
      <c r="B414" s="94" t="str">
        <f t="shared" si="14"/>
        <v>456</v>
      </c>
      <c r="C414" s="72" t="s">
        <v>2430</v>
      </c>
      <c r="D414" s="72" t="s">
        <v>515</v>
      </c>
      <c r="E414" s="85">
        <v>5909.76</v>
      </c>
      <c r="F414" s="85" t="s">
        <v>254</v>
      </c>
      <c r="G414" s="85">
        <v>5909.76</v>
      </c>
      <c r="H414" s="85" t="s">
        <v>254</v>
      </c>
      <c r="I414" s="85">
        <v>0</v>
      </c>
      <c r="J414" s="85">
        <v>0</v>
      </c>
      <c r="K414" s="85" t="s">
        <v>254</v>
      </c>
      <c r="L414" s="85" t="s">
        <v>254</v>
      </c>
      <c r="M414" s="85">
        <v>0</v>
      </c>
      <c r="N414" s="85" t="s">
        <v>254</v>
      </c>
      <c r="O414" s="85">
        <v>0</v>
      </c>
      <c r="P414" s="85">
        <v>0</v>
      </c>
      <c r="Q414" s="85">
        <v>0</v>
      </c>
      <c r="R414" s="85"/>
      <c r="S414" s="86"/>
    </row>
    <row r="415" spans="1:19" ht="15">
      <c r="A415" s="70">
        <v>28</v>
      </c>
      <c r="B415" s="94" t="str">
        <f t="shared" si="14"/>
        <v>456</v>
      </c>
      <c r="C415" s="72" t="s">
        <v>2431</v>
      </c>
      <c r="D415" s="72" t="s">
        <v>515</v>
      </c>
      <c r="E415" s="85">
        <v>0</v>
      </c>
      <c r="F415" s="85" t="s">
        <v>254</v>
      </c>
      <c r="G415" s="85">
        <v>0</v>
      </c>
      <c r="H415" s="85" t="s">
        <v>254</v>
      </c>
      <c r="I415" s="85">
        <v>0</v>
      </c>
      <c r="J415" s="85">
        <v>0</v>
      </c>
      <c r="K415" s="85" t="s">
        <v>254</v>
      </c>
      <c r="L415" s="85" t="s">
        <v>254</v>
      </c>
      <c r="M415" s="85">
        <v>0</v>
      </c>
      <c r="N415" s="85" t="s">
        <v>254</v>
      </c>
      <c r="O415" s="85">
        <v>0</v>
      </c>
      <c r="P415" s="85">
        <v>0</v>
      </c>
      <c r="Q415" s="85">
        <v>0</v>
      </c>
      <c r="R415" s="85"/>
      <c r="S415" s="86"/>
    </row>
    <row r="416" spans="1:19" ht="15">
      <c r="A416" s="70">
        <v>29</v>
      </c>
      <c r="B416" s="94" t="str">
        <f t="shared" si="14"/>
        <v>TAL</v>
      </c>
      <c r="C416" s="72" t="s">
        <v>584</v>
      </c>
      <c r="D416" s="72" t="s">
        <v>254</v>
      </c>
      <c r="E416" s="85">
        <v>30545299.062880609</v>
      </c>
      <c r="F416" s="85" t="s">
        <v>254</v>
      </c>
      <c r="G416" s="85">
        <v>28927875.092472918</v>
      </c>
      <c r="H416" s="85" t="s">
        <v>254</v>
      </c>
      <c r="I416" s="85">
        <v>1392023.6181540759</v>
      </c>
      <c r="J416" s="85">
        <v>225400.35225361449</v>
      </c>
      <c r="K416" s="85" t="s">
        <v>254</v>
      </c>
      <c r="L416" s="85" t="s">
        <v>254</v>
      </c>
      <c r="M416" s="85">
        <v>124.3948766981307</v>
      </c>
      <c r="N416" s="85" t="s">
        <v>254</v>
      </c>
      <c r="O416" s="85">
        <v>225275.95737691637</v>
      </c>
      <c r="P416" s="85">
        <v>70984.912184126166</v>
      </c>
      <c r="Q416" s="85">
        <v>154291.04519279022</v>
      </c>
      <c r="R416" s="85"/>
      <c r="S416" s="86"/>
    </row>
    <row r="417" spans="1:19" ht="15">
      <c r="A417" s="70" t="s">
        <v>254</v>
      </c>
      <c r="B417" s="94" t="str">
        <f t="shared" si="14"/>
        <v/>
      </c>
      <c r="C417" s="72" t="s">
        <v>254</v>
      </c>
      <c r="D417" s="72" t="s">
        <v>254</v>
      </c>
      <c r="E417" s="85" t="s">
        <v>254</v>
      </c>
      <c r="F417" s="85" t="s">
        <v>254</v>
      </c>
      <c r="G417" s="85" t="s">
        <v>254</v>
      </c>
      <c r="H417" s="85" t="s">
        <v>254</v>
      </c>
      <c r="I417" s="85" t="s">
        <v>254</v>
      </c>
      <c r="J417" s="85" t="s">
        <v>254</v>
      </c>
      <c r="K417" s="85" t="s">
        <v>254</v>
      </c>
      <c r="L417" s="85" t="s">
        <v>254</v>
      </c>
      <c r="M417" s="85" t="s">
        <v>254</v>
      </c>
      <c r="N417" s="85" t="s">
        <v>254</v>
      </c>
      <c r="O417" s="85" t="s">
        <v>254</v>
      </c>
      <c r="P417" s="85" t="s">
        <v>254</v>
      </c>
      <c r="Q417" s="85" t="s">
        <v>254</v>
      </c>
      <c r="R417" s="85"/>
      <c r="S417" s="86"/>
    </row>
    <row r="418" spans="1:19" ht="15">
      <c r="A418" s="70">
        <v>30</v>
      </c>
      <c r="B418" s="94" t="str">
        <f t="shared" si="14"/>
        <v>TAL</v>
      </c>
      <c r="C418" s="72" t="s">
        <v>585</v>
      </c>
      <c r="D418" s="72" t="s">
        <v>254</v>
      </c>
      <c r="E418" s="85">
        <v>1776947758.9760532</v>
      </c>
      <c r="F418" s="85" t="s">
        <v>254</v>
      </c>
      <c r="G418" s="85">
        <v>1581061667.8066897</v>
      </c>
      <c r="H418" s="85" t="s">
        <v>254</v>
      </c>
      <c r="I418" s="85">
        <v>75288175.25863108</v>
      </c>
      <c r="J418" s="85">
        <v>120597915.91073252</v>
      </c>
      <c r="K418" s="85" t="s">
        <v>254</v>
      </c>
      <c r="L418" s="85" t="s">
        <v>254</v>
      </c>
      <c r="M418" s="85">
        <v>2610.6298179177229</v>
      </c>
      <c r="N418" s="85" t="s">
        <v>254</v>
      </c>
      <c r="O418" s="85">
        <v>120595305.2809146</v>
      </c>
      <c r="P418" s="85">
        <v>35822564.667732447</v>
      </c>
      <c r="Q418" s="85">
        <v>84772740.613182157</v>
      </c>
      <c r="R418" s="85"/>
      <c r="S418" s="86"/>
    </row>
    <row r="419" spans="1:19" ht="15">
      <c r="A419" s="70" t="s">
        <v>254</v>
      </c>
      <c r="B419" s="94" t="str">
        <f t="shared" si="14"/>
        <v/>
      </c>
      <c r="C419" s="72" t="s">
        <v>254</v>
      </c>
      <c r="D419" s="72" t="s">
        <v>254</v>
      </c>
      <c r="E419" s="85" t="s">
        <v>254</v>
      </c>
      <c r="F419" s="85" t="s">
        <v>254</v>
      </c>
      <c r="G419" s="85" t="s">
        <v>254</v>
      </c>
      <c r="H419" s="85" t="s">
        <v>254</v>
      </c>
      <c r="I419" s="85" t="s">
        <v>254</v>
      </c>
      <c r="J419" s="85" t="s">
        <v>254</v>
      </c>
      <c r="K419" s="85" t="s">
        <v>254</v>
      </c>
      <c r="L419" s="85" t="s">
        <v>254</v>
      </c>
      <c r="M419" s="85" t="s">
        <v>254</v>
      </c>
      <c r="N419" s="85" t="s">
        <v>254</v>
      </c>
      <c r="O419" s="85" t="s">
        <v>254</v>
      </c>
      <c r="P419" s="85" t="s">
        <v>254</v>
      </c>
      <c r="Q419" s="85" t="s">
        <v>254</v>
      </c>
      <c r="R419" s="85"/>
      <c r="S419" s="86"/>
    </row>
    <row r="420" spans="1:19" ht="15">
      <c r="A420" s="70" t="s">
        <v>254</v>
      </c>
      <c r="B420" s="94" t="str">
        <f t="shared" si="14"/>
        <v/>
      </c>
      <c r="C420" s="72" t="s">
        <v>254</v>
      </c>
      <c r="D420" s="72" t="s">
        <v>254</v>
      </c>
      <c r="E420" s="85" t="s">
        <v>254</v>
      </c>
      <c r="F420" s="85" t="s">
        <v>254</v>
      </c>
      <c r="G420" s="85" t="s">
        <v>254</v>
      </c>
      <c r="H420" s="85" t="s">
        <v>254</v>
      </c>
      <c r="I420" s="85" t="s">
        <v>254</v>
      </c>
      <c r="J420" s="85" t="s">
        <v>254</v>
      </c>
      <c r="K420" s="85" t="s">
        <v>254</v>
      </c>
      <c r="L420" s="85" t="s">
        <v>254</v>
      </c>
      <c r="M420" s="85" t="s">
        <v>254</v>
      </c>
      <c r="N420" s="85" t="s">
        <v>254</v>
      </c>
      <c r="O420" s="85" t="s">
        <v>254</v>
      </c>
      <c r="P420" s="85" t="s">
        <v>254</v>
      </c>
      <c r="Q420" s="85" t="s">
        <v>254</v>
      </c>
      <c r="R420" s="85"/>
      <c r="S420" s="86"/>
    </row>
    <row r="421" spans="1:19" ht="15">
      <c r="A421" s="70" t="s">
        <v>254</v>
      </c>
      <c r="B421" s="94" t="str">
        <f t="shared" si="14"/>
        <v>ERA</v>
      </c>
      <c r="C421" s="72" t="s">
        <v>586</v>
      </c>
      <c r="D421" s="72" t="s">
        <v>254</v>
      </c>
      <c r="E421" s="85" t="s">
        <v>254</v>
      </c>
      <c r="F421" s="85" t="s">
        <v>254</v>
      </c>
      <c r="G421" s="85" t="s">
        <v>254</v>
      </c>
      <c r="H421" s="85" t="s">
        <v>254</v>
      </c>
      <c r="I421" s="85" t="s">
        <v>254</v>
      </c>
      <c r="J421" s="85" t="s">
        <v>254</v>
      </c>
      <c r="K421" s="85" t="s">
        <v>254</v>
      </c>
      <c r="L421" s="85" t="s">
        <v>254</v>
      </c>
      <c r="M421" s="85" t="s">
        <v>254</v>
      </c>
      <c r="N421" s="85" t="s">
        <v>254</v>
      </c>
      <c r="O421" s="85" t="s">
        <v>254</v>
      </c>
      <c r="P421" s="85" t="s">
        <v>254</v>
      </c>
      <c r="Q421" s="85" t="s">
        <v>254</v>
      </c>
      <c r="R421" s="85"/>
      <c r="S421" s="86"/>
    </row>
    <row r="422" spans="1:19" ht="15">
      <c r="A422" s="70" t="s">
        <v>254</v>
      </c>
      <c r="B422" s="94" t="str">
        <f t="shared" si="14"/>
        <v/>
      </c>
      <c r="C422" s="72" t="s">
        <v>254</v>
      </c>
      <c r="D422" s="72" t="s">
        <v>254</v>
      </c>
      <c r="E422" s="85" t="s">
        <v>254</v>
      </c>
      <c r="F422" s="85" t="s">
        <v>254</v>
      </c>
      <c r="G422" s="85" t="s">
        <v>254</v>
      </c>
      <c r="H422" s="85" t="s">
        <v>254</v>
      </c>
      <c r="I422" s="85" t="s">
        <v>254</v>
      </c>
      <c r="J422" s="85" t="s">
        <v>254</v>
      </c>
      <c r="K422" s="85" t="s">
        <v>254</v>
      </c>
      <c r="L422" s="85" t="s">
        <v>254</v>
      </c>
      <c r="M422" s="85" t="s">
        <v>254</v>
      </c>
      <c r="N422" s="85" t="s">
        <v>254</v>
      </c>
      <c r="O422" s="85" t="s">
        <v>254</v>
      </c>
      <c r="P422" s="85" t="s">
        <v>254</v>
      </c>
      <c r="Q422" s="85" t="s">
        <v>254</v>
      </c>
      <c r="R422" s="85"/>
      <c r="S422" s="86"/>
    </row>
    <row r="423" spans="1:19" ht="15">
      <c r="A423" s="70" t="s">
        <v>254</v>
      </c>
      <c r="B423" s="94" t="str">
        <f t="shared" si="14"/>
        <v>ODU</v>
      </c>
      <c r="C423" s="72" t="s">
        <v>587</v>
      </c>
      <c r="D423" s="72" t="s">
        <v>254</v>
      </c>
      <c r="E423" s="85" t="s">
        <v>254</v>
      </c>
      <c r="F423" s="85" t="s">
        <v>254</v>
      </c>
      <c r="G423" s="85" t="s">
        <v>254</v>
      </c>
      <c r="H423" s="85" t="s">
        <v>254</v>
      </c>
      <c r="I423" s="85" t="s">
        <v>254</v>
      </c>
      <c r="J423" s="85" t="s">
        <v>254</v>
      </c>
      <c r="K423" s="85" t="s">
        <v>254</v>
      </c>
      <c r="L423" s="85" t="s">
        <v>254</v>
      </c>
      <c r="M423" s="85" t="s">
        <v>254</v>
      </c>
      <c r="N423" s="85" t="s">
        <v>254</v>
      </c>
      <c r="O423" s="85" t="s">
        <v>254</v>
      </c>
      <c r="P423" s="85" t="s">
        <v>254</v>
      </c>
      <c r="Q423" s="85" t="s">
        <v>254</v>
      </c>
      <c r="R423" s="85"/>
      <c r="S423" s="86"/>
    </row>
    <row r="424" spans="1:19" ht="15">
      <c r="A424" s="70">
        <v>1</v>
      </c>
      <c r="B424" s="94" t="str">
        <f t="shared" si="14"/>
        <v>500</v>
      </c>
      <c r="C424" s="72" t="s">
        <v>588</v>
      </c>
      <c r="D424" s="72" t="s">
        <v>589</v>
      </c>
      <c r="E424" s="85">
        <v>10578571.700000001</v>
      </c>
      <c r="F424" s="85" t="s">
        <v>254</v>
      </c>
      <c r="G424" s="85">
        <v>9328587.3710185736</v>
      </c>
      <c r="H424" s="85" t="s">
        <v>254</v>
      </c>
      <c r="I424" s="85">
        <v>394240.33395939815</v>
      </c>
      <c r="J424" s="85">
        <v>855743.99502202787</v>
      </c>
      <c r="K424" s="85" t="s">
        <v>254</v>
      </c>
      <c r="L424" s="85" t="s">
        <v>254</v>
      </c>
      <c r="M424" s="85">
        <v>29.210577852870703</v>
      </c>
      <c r="N424" s="85" t="s">
        <v>254</v>
      </c>
      <c r="O424" s="85">
        <v>855714.78444417496</v>
      </c>
      <c r="P424" s="85">
        <v>265578.68309615954</v>
      </c>
      <c r="Q424" s="85">
        <v>590136.10134801548</v>
      </c>
      <c r="R424" s="85"/>
      <c r="S424" s="86"/>
    </row>
    <row r="425" spans="1:19" ht="15">
      <c r="A425" s="70">
        <v>2</v>
      </c>
      <c r="B425" s="94" t="str">
        <f t="shared" si="14"/>
        <v>501</v>
      </c>
      <c r="C425" s="72" t="s">
        <v>590</v>
      </c>
      <c r="D425" s="72" t="s">
        <v>498</v>
      </c>
      <c r="E425" s="85">
        <v>376035782.74079514</v>
      </c>
      <c r="F425" s="85" t="s">
        <v>254</v>
      </c>
      <c r="G425" s="85">
        <v>330687946.09256303</v>
      </c>
      <c r="H425" s="85" t="s">
        <v>254</v>
      </c>
      <c r="I425" s="85">
        <v>13705840.852601985</v>
      </c>
      <c r="J425" s="85">
        <v>31641995.795630082</v>
      </c>
      <c r="K425" s="85" t="s">
        <v>254</v>
      </c>
      <c r="L425" s="85" t="s">
        <v>254</v>
      </c>
      <c r="M425" s="85">
        <v>1594.4252765464907</v>
      </c>
      <c r="N425" s="85" t="s">
        <v>254</v>
      </c>
      <c r="O425" s="85">
        <v>31640401.370353535</v>
      </c>
      <c r="P425" s="85">
        <v>9998791.1447280254</v>
      </c>
      <c r="Q425" s="85">
        <v>21641610.225625511</v>
      </c>
      <c r="R425" s="85"/>
      <c r="S425" s="86"/>
    </row>
    <row r="426" spans="1:19" ht="15">
      <c r="A426" s="70">
        <v>3</v>
      </c>
      <c r="B426" s="94" t="str">
        <f t="shared" si="14"/>
        <v>502</v>
      </c>
      <c r="C426" s="72" t="s">
        <v>2432</v>
      </c>
      <c r="D426" s="72" t="s">
        <v>589</v>
      </c>
      <c r="E426" s="85">
        <v>21423630.519999981</v>
      </c>
      <c r="F426" s="85" t="s">
        <v>254</v>
      </c>
      <c r="G426" s="85">
        <v>18637208.101582069</v>
      </c>
      <c r="H426" s="85" t="s">
        <v>254</v>
      </c>
      <c r="I426" s="85">
        <v>878827.10152389039</v>
      </c>
      <c r="J426" s="85">
        <v>1907595.3168940225</v>
      </c>
      <c r="K426" s="85" t="s">
        <v>254</v>
      </c>
      <c r="L426" s="85" t="s">
        <v>254</v>
      </c>
      <c r="M426" s="85">
        <v>65.1152235248464</v>
      </c>
      <c r="N426" s="85" t="s">
        <v>254</v>
      </c>
      <c r="O426" s="85">
        <v>1907530.2016704977</v>
      </c>
      <c r="P426" s="85">
        <v>592018.93917826994</v>
      </c>
      <c r="Q426" s="85">
        <v>1315511.2624922276</v>
      </c>
      <c r="R426" s="85"/>
      <c r="S426" s="86"/>
    </row>
    <row r="427" spans="1:19" ht="15">
      <c r="A427" s="70">
        <v>4</v>
      </c>
      <c r="B427" s="94" t="str">
        <f t="shared" si="14"/>
        <v>504</v>
      </c>
      <c r="C427" s="72" t="s">
        <v>2433</v>
      </c>
      <c r="D427" s="72" t="s">
        <v>589</v>
      </c>
      <c r="E427" s="85">
        <v>0</v>
      </c>
      <c r="F427" s="85" t="s">
        <v>254</v>
      </c>
      <c r="G427" s="85">
        <v>0</v>
      </c>
      <c r="H427" s="85" t="s">
        <v>254</v>
      </c>
      <c r="I427" s="85">
        <v>0</v>
      </c>
      <c r="J427" s="85">
        <v>0</v>
      </c>
      <c r="K427" s="85" t="s">
        <v>254</v>
      </c>
      <c r="L427" s="85" t="s">
        <v>254</v>
      </c>
      <c r="M427" s="85">
        <v>0</v>
      </c>
      <c r="N427" s="85" t="s">
        <v>254</v>
      </c>
      <c r="O427" s="85">
        <v>0</v>
      </c>
      <c r="P427" s="85">
        <v>0</v>
      </c>
      <c r="Q427" s="85">
        <v>0</v>
      </c>
      <c r="R427" s="85"/>
      <c r="S427" s="86"/>
    </row>
    <row r="428" spans="1:19" ht="15">
      <c r="A428" s="70">
        <v>5</v>
      </c>
      <c r="B428" s="94" t="str">
        <f t="shared" si="14"/>
        <v>505</v>
      </c>
      <c r="C428" s="72" t="s">
        <v>592</v>
      </c>
      <c r="D428" s="72" t="s">
        <v>589</v>
      </c>
      <c r="E428" s="85">
        <v>7786802.790000001</v>
      </c>
      <c r="F428" s="85" t="s">
        <v>254</v>
      </c>
      <c r="G428" s="85">
        <v>6778431.254485256</v>
      </c>
      <c r="H428" s="85" t="s">
        <v>254</v>
      </c>
      <c r="I428" s="85">
        <v>318036.57189880766</v>
      </c>
      <c r="J428" s="85">
        <v>690334.96361593727</v>
      </c>
      <c r="K428" s="85" t="s">
        <v>254</v>
      </c>
      <c r="L428" s="85" t="s">
        <v>254</v>
      </c>
      <c r="M428" s="85">
        <v>23.564387616582607</v>
      </c>
      <c r="N428" s="85" t="s">
        <v>254</v>
      </c>
      <c r="O428" s="85">
        <v>690311.39922832069</v>
      </c>
      <c r="P428" s="85">
        <v>214244.27351971838</v>
      </c>
      <c r="Q428" s="85">
        <v>476067.12570860237</v>
      </c>
      <c r="R428" s="85"/>
      <c r="S428" s="86"/>
    </row>
    <row r="429" spans="1:19" ht="15">
      <c r="A429" s="70">
        <v>6</v>
      </c>
      <c r="B429" s="94" t="str">
        <f t="shared" si="14"/>
        <v>506</v>
      </c>
      <c r="C429" s="72" t="s">
        <v>593</v>
      </c>
      <c r="D429" s="72" t="s">
        <v>589</v>
      </c>
      <c r="E429" s="85">
        <v>31580869.469999999</v>
      </c>
      <c r="F429" s="85" t="s">
        <v>254</v>
      </c>
      <c r="G429" s="85">
        <v>27468075.210786335</v>
      </c>
      <c r="H429" s="85" t="s">
        <v>254</v>
      </c>
      <c r="I429" s="85">
        <v>1297159.7680588067</v>
      </c>
      <c r="J429" s="85">
        <v>2815634.491154856</v>
      </c>
      <c r="K429" s="85" t="s">
        <v>254</v>
      </c>
      <c r="L429" s="85" t="s">
        <v>254</v>
      </c>
      <c r="M429" s="85">
        <v>96.110882445619467</v>
      </c>
      <c r="N429" s="85" t="s">
        <v>254</v>
      </c>
      <c r="O429" s="85">
        <v>2815538.3802724103</v>
      </c>
      <c r="P429" s="85">
        <v>873827.34157752793</v>
      </c>
      <c r="Q429" s="85">
        <v>1941711.0386948823</v>
      </c>
      <c r="R429" s="85"/>
      <c r="S429" s="86"/>
    </row>
    <row r="430" spans="1:19" ht="15">
      <c r="A430" s="70">
        <v>7</v>
      </c>
      <c r="B430" s="94" t="str">
        <f t="shared" si="14"/>
        <v>507</v>
      </c>
      <c r="C430" s="72" t="s">
        <v>2434</v>
      </c>
      <c r="D430" s="72" t="s">
        <v>589</v>
      </c>
      <c r="E430" s="85">
        <v>6000</v>
      </c>
      <c r="F430" s="85" t="s">
        <v>254</v>
      </c>
      <c r="G430" s="85">
        <v>5215.7195918393218</v>
      </c>
      <c r="H430" s="85" t="s">
        <v>254</v>
      </c>
      <c r="I430" s="85">
        <v>247.35907711981662</v>
      </c>
      <c r="J430" s="85">
        <v>536.92133104086145</v>
      </c>
      <c r="K430" s="85" t="s">
        <v>254</v>
      </c>
      <c r="L430" s="85" t="s">
        <v>254</v>
      </c>
      <c r="M430" s="85">
        <v>1.8327656907288405E-2</v>
      </c>
      <c r="N430" s="85" t="s">
        <v>254</v>
      </c>
      <c r="O430" s="85">
        <v>536.90300338395411</v>
      </c>
      <c r="P430" s="85">
        <v>166.63261542419417</v>
      </c>
      <c r="Q430" s="85">
        <v>370.27038795975994</v>
      </c>
      <c r="R430" s="85"/>
      <c r="S430" s="86"/>
    </row>
    <row r="431" spans="1:19" ht="15">
      <c r="A431" s="70">
        <v>8</v>
      </c>
      <c r="B431" s="94" t="str">
        <f t="shared" si="14"/>
        <v>509</v>
      </c>
      <c r="C431" s="72" t="s">
        <v>2435</v>
      </c>
      <c r="D431" s="72" t="s">
        <v>589</v>
      </c>
      <c r="E431" s="85">
        <v>7469.95</v>
      </c>
      <c r="F431" s="85" t="s">
        <v>254</v>
      </c>
      <c r="G431" s="85">
        <v>6493.5274275100237</v>
      </c>
      <c r="H431" s="85" t="s">
        <v>254</v>
      </c>
      <c r="I431" s="85">
        <v>307.95998968852899</v>
      </c>
      <c r="J431" s="85">
        <v>668.46258280144707</v>
      </c>
      <c r="K431" s="85" t="s">
        <v>254</v>
      </c>
      <c r="L431" s="85" t="s">
        <v>254</v>
      </c>
      <c r="M431" s="85">
        <v>2.2817780119099837E-2</v>
      </c>
      <c r="N431" s="85" t="s">
        <v>254</v>
      </c>
      <c r="O431" s="85">
        <v>668.43976502132796</v>
      </c>
      <c r="P431" s="85">
        <v>207.4562175979932</v>
      </c>
      <c r="Q431" s="85">
        <v>460.98354742333476</v>
      </c>
      <c r="R431" s="85"/>
      <c r="S431" s="86"/>
    </row>
    <row r="432" spans="1:19" ht="15">
      <c r="A432" s="70">
        <v>9</v>
      </c>
      <c r="B432" s="94" t="str">
        <f t="shared" si="14"/>
        <v xml:space="preserve">  T</v>
      </c>
      <c r="C432" s="72" t="s">
        <v>594</v>
      </c>
      <c r="D432" s="72" t="s">
        <v>254</v>
      </c>
      <c r="E432" s="85">
        <v>447419127.17079508</v>
      </c>
      <c r="F432" s="85" t="s">
        <v>254</v>
      </c>
      <c r="G432" s="85">
        <v>392911957.27745461</v>
      </c>
      <c r="H432" s="85" t="s">
        <v>254</v>
      </c>
      <c r="I432" s="85">
        <v>16594659.947109697</v>
      </c>
      <c r="J432" s="85">
        <v>37912509.946230769</v>
      </c>
      <c r="K432" s="85" t="s">
        <v>254</v>
      </c>
      <c r="L432" s="85" t="s">
        <v>254</v>
      </c>
      <c r="M432" s="85">
        <v>1808.4674934234363</v>
      </c>
      <c r="N432" s="85" t="s">
        <v>254</v>
      </c>
      <c r="O432" s="85">
        <v>37910701.478737347</v>
      </c>
      <c r="P432" s="85">
        <v>11944834.470932724</v>
      </c>
      <c r="Q432" s="85">
        <v>25965867.007804621</v>
      </c>
      <c r="R432" s="85"/>
      <c r="S432" s="86"/>
    </row>
    <row r="433" spans="1:19" ht="15">
      <c r="A433" s="70">
        <v>10</v>
      </c>
      <c r="B433" s="94" t="str">
        <f t="shared" si="14"/>
        <v>510</v>
      </c>
      <c r="C433" s="72" t="s">
        <v>595</v>
      </c>
      <c r="D433" s="72" t="s">
        <v>589</v>
      </c>
      <c r="E433" s="85">
        <v>9771992.2100000009</v>
      </c>
      <c r="F433" s="85" t="s">
        <v>254</v>
      </c>
      <c r="G433" s="85">
        <v>8504374.8849948887</v>
      </c>
      <c r="H433" s="85" t="s">
        <v>254</v>
      </c>
      <c r="I433" s="85">
        <v>399801.71427425992</v>
      </c>
      <c r="J433" s="85">
        <v>867815.61073085282</v>
      </c>
      <c r="K433" s="85" t="s">
        <v>254</v>
      </c>
      <c r="L433" s="85" t="s">
        <v>254</v>
      </c>
      <c r="M433" s="85">
        <v>29.622639021308689</v>
      </c>
      <c r="N433" s="85" t="s">
        <v>254</v>
      </c>
      <c r="O433" s="85">
        <v>867785.98809183156</v>
      </c>
      <c r="P433" s="85">
        <v>269325.08835455711</v>
      </c>
      <c r="Q433" s="85">
        <v>598460.89973727451</v>
      </c>
      <c r="R433" s="85"/>
      <c r="S433" s="86"/>
    </row>
    <row r="434" spans="1:19" ht="15">
      <c r="A434" s="70">
        <v>11</v>
      </c>
      <c r="B434" s="94" t="str">
        <f t="shared" si="14"/>
        <v>511</v>
      </c>
      <c r="C434" s="72" t="s">
        <v>596</v>
      </c>
      <c r="D434" s="72" t="s">
        <v>589</v>
      </c>
      <c r="E434" s="85">
        <v>8417768.1300000008</v>
      </c>
      <c r="F434" s="85" t="s">
        <v>254</v>
      </c>
      <c r="G434" s="85">
        <v>7329232.4313436635</v>
      </c>
      <c r="H434" s="85" t="s">
        <v>254</v>
      </c>
      <c r="I434" s="85">
        <v>343320.04603185563</v>
      </c>
      <c r="J434" s="85">
        <v>745215.65262448194</v>
      </c>
      <c r="K434" s="85" t="s">
        <v>254</v>
      </c>
      <c r="L434" s="85" t="s">
        <v>254</v>
      </c>
      <c r="M434" s="85">
        <v>25.437724325024263</v>
      </c>
      <c r="N434" s="85" t="s">
        <v>254</v>
      </c>
      <c r="O434" s="85">
        <v>745190.21490015695</v>
      </c>
      <c r="P434" s="85">
        <v>231276.40135127155</v>
      </c>
      <c r="Q434" s="85">
        <v>513913.81354888546</v>
      </c>
      <c r="R434" s="85"/>
      <c r="S434" s="86"/>
    </row>
    <row r="435" spans="1:19" ht="15">
      <c r="A435" s="70">
        <v>12</v>
      </c>
      <c r="B435" s="94" t="str">
        <f t="shared" si="14"/>
        <v>512</v>
      </c>
      <c r="C435" s="72" t="s">
        <v>597</v>
      </c>
      <c r="D435" s="72" t="s">
        <v>498</v>
      </c>
      <c r="E435" s="85">
        <v>43730956.370000005</v>
      </c>
      <c r="F435" s="85" t="s">
        <v>254</v>
      </c>
      <c r="G435" s="85">
        <v>38466105.639973409</v>
      </c>
      <c r="H435" s="85" t="s">
        <v>254</v>
      </c>
      <c r="I435" s="85">
        <v>1591238.1174475073</v>
      </c>
      <c r="J435" s="85">
        <v>3673612.6125790859</v>
      </c>
      <c r="K435" s="85" t="s">
        <v>254</v>
      </c>
      <c r="L435" s="85" t="s">
        <v>254</v>
      </c>
      <c r="M435" s="85">
        <v>185.11161064451596</v>
      </c>
      <c r="N435" s="85" t="s">
        <v>254</v>
      </c>
      <c r="O435" s="85">
        <v>3673427.5009684414</v>
      </c>
      <c r="P435" s="85">
        <v>1160852.3525842128</v>
      </c>
      <c r="Q435" s="85">
        <v>2512575.1483842288</v>
      </c>
      <c r="R435" s="85"/>
      <c r="S435" s="86"/>
    </row>
    <row r="436" spans="1:19" ht="15">
      <c r="A436" s="70">
        <v>13</v>
      </c>
      <c r="B436" s="94" t="str">
        <f t="shared" si="14"/>
        <v>513</v>
      </c>
      <c r="C436" s="72" t="s">
        <v>598</v>
      </c>
      <c r="D436" s="72" t="s">
        <v>498</v>
      </c>
      <c r="E436" s="85">
        <v>8832857.2599999979</v>
      </c>
      <c r="F436" s="85" t="s">
        <v>254</v>
      </c>
      <c r="G436" s="85">
        <v>7769708.1920478158</v>
      </c>
      <c r="H436" s="85" t="s">
        <v>254</v>
      </c>
      <c r="I436" s="85">
        <v>321324.08081506164</v>
      </c>
      <c r="J436" s="85">
        <v>741824.98713711998</v>
      </c>
      <c r="K436" s="85" t="s">
        <v>254</v>
      </c>
      <c r="L436" s="85" t="s">
        <v>254</v>
      </c>
      <c r="M436" s="85">
        <v>37.380211978555032</v>
      </c>
      <c r="N436" s="85" t="s">
        <v>254</v>
      </c>
      <c r="O436" s="85">
        <v>741787.60692514142</v>
      </c>
      <c r="P436" s="85">
        <v>234414.83148635618</v>
      </c>
      <c r="Q436" s="85">
        <v>507372.77543878526</v>
      </c>
      <c r="R436" s="85"/>
      <c r="S436" s="86"/>
    </row>
    <row r="437" spans="1:19" ht="15">
      <c r="A437" s="70">
        <v>14</v>
      </c>
      <c r="B437" s="94" t="str">
        <f t="shared" si="14"/>
        <v>514</v>
      </c>
      <c r="C437" s="72" t="s">
        <v>599</v>
      </c>
      <c r="D437" s="72" t="s">
        <v>589</v>
      </c>
      <c r="E437" s="85">
        <v>3057033.2500000005</v>
      </c>
      <c r="F437" s="85" t="s">
        <v>254</v>
      </c>
      <c r="G437" s="85">
        <v>2729619.3773002569</v>
      </c>
      <c r="H437" s="85" t="s">
        <v>254</v>
      </c>
      <c r="I437" s="85">
        <v>103265.09822828737</v>
      </c>
      <c r="J437" s="85">
        <v>224148.77447145636</v>
      </c>
      <c r="K437" s="85" t="s">
        <v>254</v>
      </c>
      <c r="L437" s="85" t="s">
        <v>254</v>
      </c>
      <c r="M437" s="85">
        <v>7.6512546572476872</v>
      </c>
      <c r="N437" s="85" t="s">
        <v>254</v>
      </c>
      <c r="O437" s="85">
        <v>224141.12321679911</v>
      </c>
      <c r="P437" s="85">
        <v>69564.18822455786</v>
      </c>
      <c r="Q437" s="85">
        <v>154576.93499224124</v>
      </c>
      <c r="R437" s="85"/>
      <c r="S437" s="86"/>
    </row>
    <row r="438" spans="1:19" ht="15">
      <c r="A438" s="70">
        <v>15</v>
      </c>
      <c r="B438" s="94" t="str">
        <f t="shared" si="14"/>
        <v xml:space="preserve">  T</v>
      </c>
      <c r="C438" s="72" t="s">
        <v>600</v>
      </c>
      <c r="D438" s="72" t="s">
        <v>254</v>
      </c>
      <c r="E438" s="85">
        <v>73810607.219999999</v>
      </c>
      <c r="F438" s="85" t="s">
        <v>254</v>
      </c>
      <c r="G438" s="85">
        <v>64799040.525660031</v>
      </c>
      <c r="H438" s="85" t="s">
        <v>254</v>
      </c>
      <c r="I438" s="85">
        <v>2758949.0567969717</v>
      </c>
      <c r="J438" s="85">
        <v>6252617.6375429975</v>
      </c>
      <c r="K438" s="85" t="s">
        <v>254</v>
      </c>
      <c r="L438" s="85" t="s">
        <v>254</v>
      </c>
      <c r="M438" s="85">
        <v>285.20344062665168</v>
      </c>
      <c r="N438" s="85" t="s">
        <v>254</v>
      </c>
      <c r="O438" s="85">
        <v>6252332.4341023704</v>
      </c>
      <c r="P438" s="85">
        <v>1965432.8620009555</v>
      </c>
      <c r="Q438" s="85">
        <v>4286899.5721014151</v>
      </c>
      <c r="R438" s="85"/>
      <c r="S438" s="86"/>
    </row>
    <row r="439" spans="1:19" ht="15">
      <c r="A439" s="70" t="s">
        <v>254</v>
      </c>
      <c r="B439" s="94" t="str">
        <f t="shared" si="14"/>
        <v/>
      </c>
      <c r="C439" s="72" t="s">
        <v>254</v>
      </c>
      <c r="D439" s="72" t="s">
        <v>254</v>
      </c>
      <c r="E439" s="85" t="s">
        <v>254</v>
      </c>
      <c r="F439" s="85" t="s">
        <v>254</v>
      </c>
      <c r="G439" s="85" t="s">
        <v>254</v>
      </c>
      <c r="H439" s="85" t="s">
        <v>254</v>
      </c>
      <c r="I439" s="85" t="s">
        <v>254</v>
      </c>
      <c r="J439" s="85" t="s">
        <v>254</v>
      </c>
      <c r="K439" s="85" t="s">
        <v>254</v>
      </c>
      <c r="L439" s="85" t="s">
        <v>254</v>
      </c>
      <c r="M439" s="85" t="s">
        <v>254</v>
      </c>
      <c r="N439" s="85" t="s">
        <v>254</v>
      </c>
      <c r="O439" s="85" t="s">
        <v>254</v>
      </c>
      <c r="P439" s="85" t="s">
        <v>254</v>
      </c>
      <c r="Q439" s="85" t="s">
        <v>254</v>
      </c>
      <c r="R439" s="85"/>
      <c r="S439" s="86"/>
    </row>
    <row r="440" spans="1:19" ht="15">
      <c r="A440" s="70">
        <v>16</v>
      </c>
      <c r="B440" s="94" t="str">
        <f t="shared" si="14"/>
        <v>TAL</v>
      </c>
      <c r="C440" s="72" t="s">
        <v>601</v>
      </c>
      <c r="D440" s="72" t="s">
        <v>254</v>
      </c>
      <c r="E440" s="85">
        <v>521229734.39079511</v>
      </c>
      <c r="F440" s="85" t="s">
        <v>254</v>
      </c>
      <c r="G440" s="85">
        <v>457710997.80311465</v>
      </c>
      <c r="H440" s="85" t="s">
        <v>254</v>
      </c>
      <c r="I440" s="85">
        <v>19353609.003906667</v>
      </c>
      <c r="J440" s="85">
        <v>44165127.583773762</v>
      </c>
      <c r="K440" s="85" t="s">
        <v>254</v>
      </c>
      <c r="L440" s="85" t="s">
        <v>254</v>
      </c>
      <c r="M440" s="85">
        <v>2093.6709340500879</v>
      </c>
      <c r="N440" s="85" t="s">
        <v>254</v>
      </c>
      <c r="O440" s="85">
        <v>44163033.912839711</v>
      </c>
      <c r="P440" s="85">
        <v>13910267.332933679</v>
      </c>
      <c r="Q440" s="85">
        <v>30252766.579906035</v>
      </c>
      <c r="R440" s="85"/>
      <c r="S440" s="86"/>
    </row>
    <row r="441" spans="1:19" ht="15">
      <c r="A441" s="70" t="s">
        <v>254</v>
      </c>
      <c r="B441" s="94" t="str">
        <f t="shared" si="14"/>
        <v/>
      </c>
      <c r="C441" s="72" t="s">
        <v>254</v>
      </c>
      <c r="D441" s="72" t="s">
        <v>254</v>
      </c>
      <c r="E441" s="85" t="s">
        <v>254</v>
      </c>
      <c r="F441" s="85" t="s">
        <v>254</v>
      </c>
      <c r="G441" s="85" t="s">
        <v>254</v>
      </c>
      <c r="H441" s="85" t="s">
        <v>254</v>
      </c>
      <c r="I441" s="85" t="s">
        <v>254</v>
      </c>
      <c r="J441" s="85" t="s">
        <v>254</v>
      </c>
      <c r="K441" s="85" t="s">
        <v>254</v>
      </c>
      <c r="L441" s="85" t="s">
        <v>254</v>
      </c>
      <c r="M441" s="85" t="s">
        <v>254</v>
      </c>
      <c r="N441" s="85" t="s">
        <v>254</v>
      </c>
      <c r="O441" s="85" t="s">
        <v>254</v>
      </c>
      <c r="P441" s="85" t="s">
        <v>254</v>
      </c>
      <c r="Q441" s="85" t="s">
        <v>254</v>
      </c>
      <c r="R441" s="85"/>
      <c r="S441" s="86"/>
    </row>
    <row r="442" spans="1:19" ht="15">
      <c r="A442" s="70" t="s">
        <v>254</v>
      </c>
      <c r="B442" s="94" t="str">
        <f t="shared" si="14"/>
        <v>ODU</v>
      </c>
      <c r="C442" s="72" t="s">
        <v>602</v>
      </c>
      <c r="D442" s="72" t="s">
        <v>254</v>
      </c>
      <c r="E442" s="85" t="s">
        <v>254</v>
      </c>
      <c r="F442" s="85" t="s">
        <v>254</v>
      </c>
      <c r="G442" s="85" t="s">
        <v>254</v>
      </c>
      <c r="H442" s="85" t="s">
        <v>254</v>
      </c>
      <c r="I442" s="85" t="s">
        <v>254</v>
      </c>
      <c r="J442" s="85" t="s">
        <v>254</v>
      </c>
      <c r="K442" s="85" t="s">
        <v>254</v>
      </c>
      <c r="L442" s="85" t="s">
        <v>254</v>
      </c>
      <c r="M442" s="85" t="s">
        <v>254</v>
      </c>
      <c r="N442" s="85" t="s">
        <v>254</v>
      </c>
      <c r="O442" s="85" t="s">
        <v>254</v>
      </c>
      <c r="P442" s="85" t="s">
        <v>254</v>
      </c>
      <c r="Q442" s="85" t="s">
        <v>254</v>
      </c>
      <c r="R442" s="85"/>
      <c r="S442" s="86"/>
    </row>
    <row r="443" spans="1:19" ht="15">
      <c r="A443" s="70">
        <v>17</v>
      </c>
      <c r="B443" s="94" t="str">
        <f t="shared" si="14"/>
        <v>535</v>
      </c>
      <c r="C443" s="72" t="s">
        <v>603</v>
      </c>
      <c r="D443" s="72" t="s">
        <v>604</v>
      </c>
      <c r="E443" s="85">
        <v>0</v>
      </c>
      <c r="F443" s="85" t="s">
        <v>254</v>
      </c>
      <c r="G443" s="85">
        <v>0</v>
      </c>
      <c r="H443" s="85" t="s">
        <v>254</v>
      </c>
      <c r="I443" s="85">
        <v>0</v>
      </c>
      <c r="J443" s="85">
        <v>0</v>
      </c>
      <c r="K443" s="85" t="s">
        <v>254</v>
      </c>
      <c r="L443" s="85" t="s">
        <v>254</v>
      </c>
      <c r="M443" s="85">
        <v>0</v>
      </c>
      <c r="N443" s="85" t="s">
        <v>254</v>
      </c>
      <c r="O443" s="85">
        <v>0</v>
      </c>
      <c r="P443" s="85">
        <v>0</v>
      </c>
      <c r="Q443" s="85">
        <v>0</v>
      </c>
      <c r="R443" s="85"/>
      <c r="S443" s="86"/>
    </row>
    <row r="444" spans="1:19" ht="15">
      <c r="A444" s="70">
        <v>18</v>
      </c>
      <c r="B444" s="94" t="str">
        <f t="shared" si="14"/>
        <v>536</v>
      </c>
      <c r="C444" s="72" t="s">
        <v>605</v>
      </c>
      <c r="D444" s="72" t="s">
        <v>604</v>
      </c>
      <c r="E444" s="85">
        <v>0</v>
      </c>
      <c r="F444" s="85" t="s">
        <v>254</v>
      </c>
      <c r="G444" s="85">
        <v>0</v>
      </c>
      <c r="H444" s="85" t="s">
        <v>254</v>
      </c>
      <c r="I444" s="85">
        <v>0</v>
      </c>
      <c r="J444" s="85">
        <v>0</v>
      </c>
      <c r="K444" s="85" t="s">
        <v>254</v>
      </c>
      <c r="L444" s="85" t="s">
        <v>254</v>
      </c>
      <c r="M444" s="85">
        <v>0</v>
      </c>
      <c r="N444" s="85" t="s">
        <v>254</v>
      </c>
      <c r="O444" s="85">
        <v>0</v>
      </c>
      <c r="P444" s="85">
        <v>0</v>
      </c>
      <c r="Q444" s="85">
        <v>0</v>
      </c>
      <c r="R444" s="85"/>
      <c r="S444" s="86"/>
    </row>
    <row r="445" spans="1:19" ht="15">
      <c r="A445" s="70">
        <v>19</v>
      </c>
      <c r="B445" s="94" t="str">
        <f t="shared" si="14"/>
        <v>537</v>
      </c>
      <c r="C445" s="72" t="s">
        <v>606</v>
      </c>
      <c r="D445" s="72" t="s">
        <v>604</v>
      </c>
      <c r="E445" s="85">
        <v>0</v>
      </c>
      <c r="F445" s="85" t="s">
        <v>254</v>
      </c>
      <c r="G445" s="85">
        <v>0</v>
      </c>
      <c r="H445" s="85" t="s">
        <v>254</v>
      </c>
      <c r="I445" s="85">
        <v>0</v>
      </c>
      <c r="J445" s="85">
        <v>0</v>
      </c>
      <c r="K445" s="85" t="s">
        <v>254</v>
      </c>
      <c r="L445" s="85" t="s">
        <v>254</v>
      </c>
      <c r="M445" s="85">
        <v>0</v>
      </c>
      <c r="N445" s="85" t="s">
        <v>254</v>
      </c>
      <c r="O445" s="85">
        <v>0</v>
      </c>
      <c r="P445" s="85">
        <v>0</v>
      </c>
      <c r="Q445" s="85">
        <v>0</v>
      </c>
      <c r="R445" s="85"/>
      <c r="S445" s="86"/>
    </row>
    <row r="446" spans="1:19" ht="15">
      <c r="A446" s="70">
        <v>20</v>
      </c>
      <c r="B446" s="94" t="str">
        <f t="shared" si="14"/>
        <v>538</v>
      </c>
      <c r="C446" s="72" t="s">
        <v>607</v>
      </c>
      <c r="D446" s="72" t="s">
        <v>604</v>
      </c>
      <c r="E446" s="85">
        <v>0</v>
      </c>
      <c r="F446" s="85" t="s">
        <v>254</v>
      </c>
      <c r="G446" s="85">
        <v>0</v>
      </c>
      <c r="H446" s="85" t="s">
        <v>254</v>
      </c>
      <c r="I446" s="85">
        <v>0</v>
      </c>
      <c r="J446" s="85">
        <v>0</v>
      </c>
      <c r="K446" s="85" t="s">
        <v>254</v>
      </c>
      <c r="L446" s="85" t="s">
        <v>254</v>
      </c>
      <c r="M446" s="85">
        <v>0</v>
      </c>
      <c r="N446" s="85" t="s">
        <v>254</v>
      </c>
      <c r="O446" s="85">
        <v>0</v>
      </c>
      <c r="P446" s="85">
        <v>0</v>
      </c>
      <c r="Q446" s="85">
        <v>0</v>
      </c>
      <c r="R446" s="85"/>
      <c r="S446" s="86"/>
    </row>
    <row r="447" spans="1:19" ht="15">
      <c r="A447" s="70">
        <v>21</v>
      </c>
      <c r="B447" s="94" t="str">
        <f t="shared" si="14"/>
        <v>539</v>
      </c>
      <c r="C447" s="72" t="s">
        <v>2436</v>
      </c>
      <c r="D447" s="72" t="s">
        <v>604</v>
      </c>
      <c r="E447" s="85">
        <v>39921.319999999898</v>
      </c>
      <c r="F447" s="85" t="s">
        <v>254</v>
      </c>
      <c r="G447" s="85">
        <v>34873.66874279896</v>
      </c>
      <c r="H447" s="85" t="s">
        <v>254</v>
      </c>
      <c r="I447" s="85">
        <v>1611.891036808805</v>
      </c>
      <c r="J447" s="85">
        <v>3435.7602203921329</v>
      </c>
      <c r="K447" s="85" t="s">
        <v>254</v>
      </c>
      <c r="L447" s="85" t="s">
        <v>254</v>
      </c>
      <c r="M447" s="85">
        <v>0.12254351955892824</v>
      </c>
      <c r="N447" s="85" t="s">
        <v>254</v>
      </c>
      <c r="O447" s="85">
        <v>3435.637676872574</v>
      </c>
      <c r="P447" s="85">
        <v>1066.2806654813526</v>
      </c>
      <c r="Q447" s="85">
        <v>2369.3570113912215</v>
      </c>
      <c r="R447" s="85"/>
      <c r="S447" s="86"/>
    </row>
    <row r="448" spans="1:19" ht="15">
      <c r="A448" s="70">
        <v>22</v>
      </c>
      <c r="B448" s="94" t="str">
        <f t="shared" si="14"/>
        <v>540</v>
      </c>
      <c r="C448" s="72" t="s">
        <v>608</v>
      </c>
      <c r="D448" s="72" t="s">
        <v>604</v>
      </c>
      <c r="E448" s="85">
        <v>0</v>
      </c>
      <c r="F448" s="85" t="s">
        <v>254</v>
      </c>
      <c r="G448" s="85">
        <v>0</v>
      </c>
      <c r="H448" s="85" t="s">
        <v>254</v>
      </c>
      <c r="I448" s="85">
        <v>0</v>
      </c>
      <c r="J448" s="85">
        <v>0</v>
      </c>
      <c r="K448" s="85" t="s">
        <v>254</v>
      </c>
      <c r="L448" s="85" t="s">
        <v>254</v>
      </c>
      <c r="M448" s="85">
        <v>0</v>
      </c>
      <c r="N448" s="85" t="s">
        <v>254</v>
      </c>
      <c r="O448" s="85">
        <v>0</v>
      </c>
      <c r="P448" s="85">
        <v>0</v>
      </c>
      <c r="Q448" s="85">
        <v>0</v>
      </c>
      <c r="R448" s="85"/>
      <c r="S448" s="86"/>
    </row>
    <row r="449" spans="1:19" ht="15">
      <c r="A449" s="70">
        <v>23</v>
      </c>
      <c r="B449" s="94" t="str">
        <f t="shared" ref="B449:B512" si="15">MID(C449,3,3)</f>
        <v xml:space="preserve">  T</v>
      </c>
      <c r="C449" s="72" t="s">
        <v>609</v>
      </c>
      <c r="D449" s="72" t="s">
        <v>254</v>
      </c>
      <c r="E449" s="85">
        <v>39921.319999999898</v>
      </c>
      <c r="F449" s="85" t="s">
        <v>254</v>
      </c>
      <c r="G449" s="85">
        <v>34873.66874279896</v>
      </c>
      <c r="H449" s="85" t="s">
        <v>254</v>
      </c>
      <c r="I449" s="85">
        <v>1611.891036808805</v>
      </c>
      <c r="J449" s="85">
        <v>3435.7602203921329</v>
      </c>
      <c r="K449" s="85" t="s">
        <v>254</v>
      </c>
      <c r="L449" s="85" t="s">
        <v>254</v>
      </c>
      <c r="M449" s="85">
        <v>0.12254351955892824</v>
      </c>
      <c r="N449" s="85" t="s">
        <v>254</v>
      </c>
      <c r="O449" s="85">
        <v>3435.637676872574</v>
      </c>
      <c r="P449" s="85">
        <v>1066.2806654813526</v>
      </c>
      <c r="Q449" s="85">
        <v>2369.3570113912215</v>
      </c>
      <c r="R449" s="85"/>
      <c r="S449" s="86"/>
    </row>
    <row r="450" spans="1:19" ht="15">
      <c r="A450" s="70">
        <v>24</v>
      </c>
      <c r="B450" s="94" t="str">
        <f t="shared" si="15"/>
        <v>541</v>
      </c>
      <c r="C450" s="72" t="s">
        <v>610</v>
      </c>
      <c r="D450" s="72" t="s">
        <v>604</v>
      </c>
      <c r="E450" s="85">
        <v>173074.83000000002</v>
      </c>
      <c r="F450" s="85" t="s">
        <v>254</v>
      </c>
      <c r="G450" s="85">
        <v>151191.25041797865</v>
      </c>
      <c r="H450" s="85" t="s">
        <v>254</v>
      </c>
      <c r="I450" s="85">
        <v>6988.189948984862</v>
      </c>
      <c r="J450" s="85">
        <v>14895.389633036495</v>
      </c>
      <c r="K450" s="85" t="s">
        <v>254</v>
      </c>
      <c r="L450" s="85" t="s">
        <v>254</v>
      </c>
      <c r="M450" s="85">
        <v>0.53127498828353448</v>
      </c>
      <c r="N450" s="85" t="s">
        <v>254</v>
      </c>
      <c r="O450" s="85">
        <v>14894.858358048212</v>
      </c>
      <c r="P450" s="85">
        <v>4622.7515751100518</v>
      </c>
      <c r="Q450" s="85">
        <v>10272.106782938159</v>
      </c>
      <c r="R450" s="85"/>
      <c r="S450" s="86"/>
    </row>
    <row r="451" spans="1:19" ht="15">
      <c r="A451" s="70">
        <v>25</v>
      </c>
      <c r="B451" s="94" t="str">
        <f t="shared" si="15"/>
        <v>542</v>
      </c>
      <c r="C451" s="72" t="s">
        <v>611</v>
      </c>
      <c r="D451" s="72" t="s">
        <v>604</v>
      </c>
      <c r="E451" s="85">
        <v>207088.36</v>
      </c>
      <c r="F451" s="85" t="s">
        <v>254</v>
      </c>
      <c r="G451" s="85">
        <v>180904.11006273131</v>
      </c>
      <c r="H451" s="85" t="s">
        <v>254</v>
      </c>
      <c r="I451" s="85">
        <v>8361.5439397153168</v>
      </c>
      <c r="J451" s="85">
        <v>17822.70599755337</v>
      </c>
      <c r="K451" s="85" t="s">
        <v>254</v>
      </c>
      <c r="L451" s="85" t="s">
        <v>254</v>
      </c>
      <c r="M451" s="85">
        <v>0.63568380239146494</v>
      </c>
      <c r="N451" s="85" t="s">
        <v>254</v>
      </c>
      <c r="O451" s="85">
        <v>17822.070313750977</v>
      </c>
      <c r="P451" s="85">
        <v>5531.2378026138031</v>
      </c>
      <c r="Q451" s="85">
        <v>12290.832511137172</v>
      </c>
      <c r="R451" s="85"/>
      <c r="S451" s="86"/>
    </row>
    <row r="452" spans="1:19" ht="15">
      <c r="A452" s="70">
        <v>26</v>
      </c>
      <c r="B452" s="94" t="str">
        <f t="shared" si="15"/>
        <v>543</v>
      </c>
      <c r="C452" s="72" t="s">
        <v>612</v>
      </c>
      <c r="D452" s="72" t="s">
        <v>604</v>
      </c>
      <c r="E452" s="85">
        <v>12586.000000000002</v>
      </c>
      <c r="F452" s="85" t="s">
        <v>254</v>
      </c>
      <c r="G452" s="85">
        <v>10994.626299853533</v>
      </c>
      <c r="H452" s="85" t="s">
        <v>254</v>
      </c>
      <c r="I452" s="85">
        <v>508.1811069693004</v>
      </c>
      <c r="J452" s="85">
        <v>1083.1925931771668</v>
      </c>
      <c r="K452" s="85" t="s">
        <v>254</v>
      </c>
      <c r="L452" s="85" t="s">
        <v>254</v>
      </c>
      <c r="M452" s="85">
        <v>3.8634312121159191E-2</v>
      </c>
      <c r="N452" s="85" t="s">
        <v>254</v>
      </c>
      <c r="O452" s="85">
        <v>1083.1539588650458</v>
      </c>
      <c r="P452" s="85">
        <v>336.16645080243683</v>
      </c>
      <c r="Q452" s="85">
        <v>746.98750806260898</v>
      </c>
      <c r="R452" s="85"/>
      <c r="S452" s="86"/>
    </row>
    <row r="453" spans="1:19" ht="15">
      <c r="A453" s="70">
        <v>27</v>
      </c>
      <c r="B453" s="94" t="str">
        <f t="shared" si="15"/>
        <v>544</v>
      </c>
      <c r="C453" s="72" t="s">
        <v>613</v>
      </c>
      <c r="D453" s="72" t="s">
        <v>498</v>
      </c>
      <c r="E453" s="85">
        <v>68848.42</v>
      </c>
      <c r="F453" s="85" t="s">
        <v>254</v>
      </c>
      <c r="G453" s="85">
        <v>60544.09076000654</v>
      </c>
      <c r="H453" s="85" t="s">
        <v>254</v>
      </c>
      <c r="I453" s="85">
        <v>2509.8841171599024</v>
      </c>
      <c r="J453" s="85">
        <v>5794.4451228335465</v>
      </c>
      <c r="K453" s="85" t="s">
        <v>254</v>
      </c>
      <c r="L453" s="85" t="s">
        <v>254</v>
      </c>
      <c r="M453" s="85">
        <v>0.29197936271400643</v>
      </c>
      <c r="N453" s="85" t="s">
        <v>254</v>
      </c>
      <c r="O453" s="85">
        <v>5794.1531434708322</v>
      </c>
      <c r="P453" s="85">
        <v>1831.0300954784277</v>
      </c>
      <c r="Q453" s="85">
        <v>3963.1230479924047</v>
      </c>
      <c r="R453" s="85"/>
      <c r="S453" s="86"/>
    </row>
    <row r="454" spans="1:19" ht="15">
      <c r="A454" s="70">
        <v>28</v>
      </c>
      <c r="B454" s="94" t="str">
        <f t="shared" si="15"/>
        <v>545</v>
      </c>
      <c r="C454" s="72" t="s">
        <v>614</v>
      </c>
      <c r="D454" s="72" t="s">
        <v>604</v>
      </c>
      <c r="E454" s="85">
        <v>8599.880000000001</v>
      </c>
      <c r="F454" s="85" t="s">
        <v>254</v>
      </c>
      <c r="G454" s="85">
        <v>7512.511268360433</v>
      </c>
      <c r="H454" s="85" t="s">
        <v>254</v>
      </c>
      <c r="I454" s="85">
        <v>347.23474799008005</v>
      </c>
      <c r="J454" s="85">
        <v>740.13398364948785</v>
      </c>
      <c r="K454" s="85" t="s">
        <v>254</v>
      </c>
      <c r="L454" s="85" t="s">
        <v>254</v>
      </c>
      <c r="M454" s="85">
        <v>2.6398414756436877E-2</v>
      </c>
      <c r="N454" s="85" t="s">
        <v>254</v>
      </c>
      <c r="O454" s="85">
        <v>740.10758523473146</v>
      </c>
      <c r="P454" s="85">
        <v>229.69896209493569</v>
      </c>
      <c r="Q454" s="85">
        <v>510.40862313979579</v>
      </c>
      <c r="R454" s="85"/>
      <c r="S454" s="86"/>
    </row>
    <row r="455" spans="1:19" ht="15">
      <c r="A455" s="70">
        <v>29</v>
      </c>
      <c r="B455" s="94" t="str">
        <f t="shared" si="15"/>
        <v xml:space="preserve">  T</v>
      </c>
      <c r="C455" s="72" t="s">
        <v>615</v>
      </c>
      <c r="D455" s="72" t="s">
        <v>254</v>
      </c>
      <c r="E455" s="85">
        <v>470197.49</v>
      </c>
      <c r="F455" s="85" t="s">
        <v>254</v>
      </c>
      <c r="G455" s="85">
        <v>411146.58880893048</v>
      </c>
      <c r="H455" s="85" t="s">
        <v>254</v>
      </c>
      <c r="I455" s="85">
        <v>18715.033860819465</v>
      </c>
      <c r="J455" s="85">
        <v>40335.867330250061</v>
      </c>
      <c r="K455" s="85" t="s">
        <v>254</v>
      </c>
      <c r="L455" s="85" t="s">
        <v>254</v>
      </c>
      <c r="M455" s="85">
        <v>1.5239708802666019</v>
      </c>
      <c r="N455" s="85" t="s">
        <v>254</v>
      </c>
      <c r="O455" s="85">
        <v>40334.343359369792</v>
      </c>
      <c r="P455" s="85">
        <v>12550.884886099653</v>
      </c>
      <c r="Q455" s="85">
        <v>27783.458473270141</v>
      </c>
      <c r="R455" s="85"/>
      <c r="S455" s="86"/>
    </row>
    <row r="456" spans="1:19" ht="15">
      <c r="A456" s="70" t="s">
        <v>254</v>
      </c>
      <c r="B456" s="94" t="str">
        <f t="shared" si="15"/>
        <v/>
      </c>
      <c r="C456" s="72" t="s">
        <v>254</v>
      </c>
      <c r="D456" s="72" t="s">
        <v>254</v>
      </c>
      <c r="E456" s="85" t="s">
        <v>254</v>
      </c>
      <c r="F456" s="85" t="s">
        <v>254</v>
      </c>
      <c r="G456" s="85" t="s">
        <v>254</v>
      </c>
      <c r="H456" s="85" t="s">
        <v>254</v>
      </c>
      <c r="I456" s="85" t="s">
        <v>254</v>
      </c>
      <c r="J456" s="85" t="s">
        <v>254</v>
      </c>
      <c r="K456" s="85" t="s">
        <v>254</v>
      </c>
      <c r="L456" s="85" t="s">
        <v>254</v>
      </c>
      <c r="M456" s="85" t="s">
        <v>254</v>
      </c>
      <c r="N456" s="85" t="s">
        <v>254</v>
      </c>
      <c r="O456" s="85" t="s">
        <v>254</v>
      </c>
      <c r="P456" s="85" t="s">
        <v>254</v>
      </c>
      <c r="Q456" s="85" t="s">
        <v>254</v>
      </c>
      <c r="R456" s="85"/>
      <c r="S456" s="86"/>
    </row>
    <row r="457" spans="1:19" ht="15">
      <c r="A457" s="70">
        <v>30</v>
      </c>
      <c r="B457" s="94" t="str">
        <f t="shared" si="15"/>
        <v>TAL</v>
      </c>
      <c r="C457" s="72" t="s">
        <v>616</v>
      </c>
      <c r="D457" s="72" t="s">
        <v>254</v>
      </c>
      <c r="E457" s="85">
        <v>510118.80999999988</v>
      </c>
      <c r="F457" s="85" t="s">
        <v>254</v>
      </c>
      <c r="G457" s="85">
        <v>446020.25755172945</v>
      </c>
      <c r="H457" s="85" t="s">
        <v>254</v>
      </c>
      <c r="I457" s="85">
        <v>20326.924897628269</v>
      </c>
      <c r="J457" s="85">
        <v>43771.627550642195</v>
      </c>
      <c r="K457" s="85" t="s">
        <v>254</v>
      </c>
      <c r="L457" s="85" t="s">
        <v>254</v>
      </c>
      <c r="M457" s="85">
        <v>1.6465143998255301</v>
      </c>
      <c r="N457" s="85" t="s">
        <v>254</v>
      </c>
      <c r="O457" s="85">
        <v>43769.981036242367</v>
      </c>
      <c r="P457" s="85">
        <v>13617.165551581005</v>
      </c>
      <c r="Q457" s="85">
        <v>30152.815484661362</v>
      </c>
      <c r="R457" s="85"/>
      <c r="S457" s="86"/>
    </row>
    <row r="458" spans="1:19" ht="15">
      <c r="A458" s="70" t="s">
        <v>254</v>
      </c>
      <c r="B458" s="94" t="str">
        <f t="shared" si="15"/>
        <v/>
      </c>
      <c r="C458" s="72" t="s">
        <v>254</v>
      </c>
      <c r="D458" s="72" t="s">
        <v>254</v>
      </c>
      <c r="E458" s="85" t="s">
        <v>254</v>
      </c>
      <c r="F458" s="85" t="s">
        <v>254</v>
      </c>
      <c r="G458" s="85" t="s">
        <v>254</v>
      </c>
      <c r="H458" s="85" t="s">
        <v>254</v>
      </c>
      <c r="I458" s="85" t="s">
        <v>254</v>
      </c>
      <c r="J458" s="85" t="s">
        <v>254</v>
      </c>
      <c r="K458" s="85" t="s">
        <v>254</v>
      </c>
      <c r="L458" s="85" t="s">
        <v>254</v>
      </c>
      <c r="M458" s="85" t="s">
        <v>254</v>
      </c>
      <c r="N458" s="85" t="s">
        <v>254</v>
      </c>
      <c r="O458" s="85" t="s">
        <v>254</v>
      </c>
      <c r="P458" s="85" t="s">
        <v>254</v>
      </c>
      <c r="Q458" s="85" t="s">
        <v>254</v>
      </c>
      <c r="R458" s="85"/>
      <c r="S458" s="86"/>
    </row>
    <row r="459" spans="1:19" ht="15">
      <c r="A459" s="70" t="s">
        <v>254</v>
      </c>
      <c r="B459" s="94" t="str">
        <f t="shared" si="15"/>
        <v>ODU</v>
      </c>
      <c r="C459" s="72" t="s">
        <v>617</v>
      </c>
      <c r="D459" s="72" t="s">
        <v>254</v>
      </c>
      <c r="E459" s="85" t="s">
        <v>254</v>
      </c>
      <c r="F459" s="85" t="s">
        <v>254</v>
      </c>
      <c r="G459" s="85" t="s">
        <v>254</v>
      </c>
      <c r="H459" s="85" t="s">
        <v>254</v>
      </c>
      <c r="I459" s="85" t="s">
        <v>254</v>
      </c>
      <c r="J459" s="85" t="s">
        <v>254</v>
      </c>
      <c r="K459" s="85" t="s">
        <v>254</v>
      </c>
      <c r="L459" s="85" t="s">
        <v>254</v>
      </c>
      <c r="M459" s="85" t="s">
        <v>254</v>
      </c>
      <c r="N459" s="85" t="s">
        <v>254</v>
      </c>
      <c r="O459" s="85" t="s">
        <v>254</v>
      </c>
      <c r="P459" s="85" t="s">
        <v>254</v>
      </c>
      <c r="Q459" s="85" t="s">
        <v>254</v>
      </c>
      <c r="R459" s="85"/>
      <c r="S459" s="86"/>
    </row>
    <row r="460" spans="1:19" ht="15">
      <c r="A460" s="70">
        <v>31</v>
      </c>
      <c r="B460" s="94" t="str">
        <f t="shared" si="15"/>
        <v>546</v>
      </c>
      <c r="C460" s="72" t="s">
        <v>618</v>
      </c>
      <c r="D460" s="72" t="s">
        <v>619</v>
      </c>
      <c r="E460" s="85">
        <v>1263587.7599999898</v>
      </c>
      <c r="F460" s="85" t="s">
        <v>254</v>
      </c>
      <c r="G460" s="85">
        <v>1104357.6472867841</v>
      </c>
      <c r="H460" s="85" t="s">
        <v>254</v>
      </c>
      <c r="I460" s="85">
        <v>51037.123819034998</v>
      </c>
      <c r="J460" s="85">
        <v>108192.98889417069</v>
      </c>
      <c r="K460" s="85" t="s">
        <v>254</v>
      </c>
      <c r="L460" s="85" t="s">
        <v>254</v>
      </c>
      <c r="M460" s="85">
        <v>3.8806319446469071</v>
      </c>
      <c r="N460" s="85" t="s">
        <v>254</v>
      </c>
      <c r="O460" s="85">
        <v>108189.10826222604</v>
      </c>
      <c r="P460" s="85">
        <v>33577.450594467664</v>
      </c>
      <c r="Q460" s="85">
        <v>74611.65766775838</v>
      </c>
      <c r="R460" s="85"/>
      <c r="S460" s="86"/>
    </row>
    <row r="461" spans="1:19" ht="15">
      <c r="A461" s="70">
        <v>32</v>
      </c>
      <c r="B461" s="94" t="str">
        <f t="shared" si="15"/>
        <v>547</v>
      </c>
      <c r="C461" s="72" t="s">
        <v>620</v>
      </c>
      <c r="D461" s="72" t="s">
        <v>498</v>
      </c>
      <c r="E461" s="85">
        <v>131025892.29899998</v>
      </c>
      <c r="F461" s="85" t="s">
        <v>254</v>
      </c>
      <c r="G461" s="85">
        <v>115221867.3320535</v>
      </c>
      <c r="H461" s="85" t="s">
        <v>254</v>
      </c>
      <c r="I461" s="85">
        <v>4776577.3857695516</v>
      </c>
      <c r="J461" s="85">
        <v>11027447.581176942</v>
      </c>
      <c r="K461" s="85" t="s">
        <v>254</v>
      </c>
      <c r="L461" s="85" t="s">
        <v>254</v>
      </c>
      <c r="M461" s="85">
        <v>555.66789379474608</v>
      </c>
      <c r="N461" s="85" t="s">
        <v>254</v>
      </c>
      <c r="O461" s="85">
        <v>11026891.913283147</v>
      </c>
      <c r="P461" s="85">
        <v>3484645.7200671299</v>
      </c>
      <c r="Q461" s="85">
        <v>7542246.1932160165</v>
      </c>
      <c r="R461" s="85"/>
      <c r="S461" s="86"/>
    </row>
    <row r="462" spans="1:19" ht="15">
      <c r="A462" s="70">
        <v>33</v>
      </c>
      <c r="B462" s="94" t="str">
        <f t="shared" si="15"/>
        <v>548</v>
      </c>
      <c r="C462" s="72" t="s">
        <v>621</v>
      </c>
      <c r="D462" s="72" t="s">
        <v>619</v>
      </c>
      <c r="E462" s="85">
        <v>437463.01</v>
      </c>
      <c r="F462" s="85" t="s">
        <v>254</v>
      </c>
      <c r="G462" s="85">
        <v>382336.41998763807</v>
      </c>
      <c r="H462" s="85" t="s">
        <v>254</v>
      </c>
      <c r="I462" s="85">
        <v>17669.412853142803</v>
      </c>
      <c r="J462" s="85">
        <v>37457.177159219129</v>
      </c>
      <c r="K462" s="85" t="s">
        <v>254</v>
      </c>
      <c r="L462" s="85" t="s">
        <v>254</v>
      </c>
      <c r="M462" s="85">
        <v>1.3435021966399887</v>
      </c>
      <c r="N462" s="85" t="s">
        <v>254</v>
      </c>
      <c r="O462" s="85">
        <v>37455.833657022486</v>
      </c>
      <c r="P462" s="85">
        <v>11624.750626883431</v>
      </c>
      <c r="Q462" s="85">
        <v>25831.083030139056</v>
      </c>
      <c r="R462" s="85"/>
      <c r="S462" s="86"/>
    </row>
    <row r="463" spans="1:19" ht="15">
      <c r="A463" s="70">
        <v>34</v>
      </c>
      <c r="B463" s="94" t="str">
        <f t="shared" si="15"/>
        <v>549</v>
      </c>
      <c r="C463" s="72" t="s">
        <v>2437</v>
      </c>
      <c r="D463" s="72" t="s">
        <v>619</v>
      </c>
      <c r="E463" s="85">
        <v>3912336.0600000005</v>
      </c>
      <c r="F463" s="85" t="s">
        <v>254</v>
      </c>
      <c r="G463" s="85">
        <v>3419325.8144704425</v>
      </c>
      <c r="H463" s="85" t="s">
        <v>254</v>
      </c>
      <c r="I463" s="85">
        <v>158021.77437671376</v>
      </c>
      <c r="J463" s="85">
        <v>334988.47115284414</v>
      </c>
      <c r="K463" s="85" t="s">
        <v>254</v>
      </c>
      <c r="L463" s="85" t="s">
        <v>254</v>
      </c>
      <c r="M463" s="85">
        <v>12.0152606516465</v>
      </c>
      <c r="N463" s="85" t="s">
        <v>254</v>
      </c>
      <c r="O463" s="85">
        <v>334976.45589219249</v>
      </c>
      <c r="P463" s="85">
        <v>103962.91806720679</v>
      </c>
      <c r="Q463" s="85">
        <v>231013.53782498572</v>
      </c>
      <c r="R463" s="85"/>
      <c r="S463" s="86"/>
    </row>
    <row r="464" spans="1:19" ht="15">
      <c r="A464" s="70">
        <v>35</v>
      </c>
      <c r="B464" s="94" t="str">
        <f t="shared" si="15"/>
        <v>550</v>
      </c>
      <c r="C464" s="72" t="s">
        <v>2438</v>
      </c>
      <c r="D464" s="72" t="s">
        <v>619</v>
      </c>
      <c r="E464" s="85">
        <v>14632.18</v>
      </c>
      <c r="F464" s="85" t="s">
        <v>254</v>
      </c>
      <c r="G464" s="85">
        <v>12788.316246017504</v>
      </c>
      <c r="H464" s="85" t="s">
        <v>254</v>
      </c>
      <c r="I464" s="85">
        <v>591.00317844358779</v>
      </c>
      <c r="J464" s="85">
        <v>1252.8605755389078</v>
      </c>
      <c r="K464" s="85" t="s">
        <v>254</v>
      </c>
      <c r="L464" s="85" t="s">
        <v>254</v>
      </c>
      <c r="M464" s="85">
        <v>4.4937207311840401E-2</v>
      </c>
      <c r="N464" s="85" t="s">
        <v>254</v>
      </c>
      <c r="O464" s="85">
        <v>1252.8156383315959</v>
      </c>
      <c r="P464" s="85">
        <v>388.82245981819403</v>
      </c>
      <c r="Q464" s="85">
        <v>863.99317851340186</v>
      </c>
      <c r="R464" s="85"/>
      <c r="S464" s="86"/>
    </row>
    <row r="465" spans="1:19" ht="15">
      <c r="A465" s="70">
        <v>36</v>
      </c>
      <c r="B465" s="94" t="str">
        <f t="shared" si="15"/>
        <v xml:space="preserve">  T</v>
      </c>
      <c r="C465" s="72" t="s">
        <v>622</v>
      </c>
      <c r="D465" s="72" t="s">
        <v>254</v>
      </c>
      <c r="E465" s="85">
        <v>136653911.30899999</v>
      </c>
      <c r="F465" s="85" t="s">
        <v>254</v>
      </c>
      <c r="G465" s="85">
        <v>120140675.53004438</v>
      </c>
      <c r="H465" s="85" t="s">
        <v>254</v>
      </c>
      <c r="I465" s="85">
        <v>5003896.6999968868</v>
      </c>
      <c r="J465" s="85">
        <v>11509339.078958714</v>
      </c>
      <c r="K465" s="85" t="s">
        <v>254</v>
      </c>
      <c r="L465" s="85" t="s">
        <v>254</v>
      </c>
      <c r="M465" s="85">
        <v>572.95222579499125</v>
      </c>
      <c r="N465" s="85" t="s">
        <v>254</v>
      </c>
      <c r="O465" s="85">
        <v>11508766.126732919</v>
      </c>
      <c r="P465" s="85">
        <v>3634199.6618155059</v>
      </c>
      <c r="Q465" s="85">
        <v>7874566.464917413</v>
      </c>
      <c r="R465" s="85"/>
      <c r="S465" s="86"/>
    </row>
    <row r="466" spans="1:19" ht="15">
      <c r="A466" s="70">
        <v>37</v>
      </c>
      <c r="B466" s="94" t="str">
        <f t="shared" si="15"/>
        <v>551</v>
      </c>
      <c r="C466" s="72" t="s">
        <v>623</v>
      </c>
      <c r="D466" s="72" t="s">
        <v>619</v>
      </c>
      <c r="E466" s="85">
        <v>473977.59</v>
      </c>
      <c r="F466" s="85" t="s">
        <v>254</v>
      </c>
      <c r="G466" s="85">
        <v>414249.64116387471</v>
      </c>
      <c r="H466" s="85" t="s">
        <v>254</v>
      </c>
      <c r="I466" s="85">
        <v>19144.260267508445</v>
      </c>
      <c r="J466" s="85">
        <v>40583.688568616875</v>
      </c>
      <c r="K466" s="85" t="s">
        <v>254</v>
      </c>
      <c r="L466" s="85" t="s">
        <v>254</v>
      </c>
      <c r="M466" s="85">
        <v>1.455642920125128</v>
      </c>
      <c r="N466" s="85" t="s">
        <v>254</v>
      </c>
      <c r="O466" s="85">
        <v>40582.23292569675</v>
      </c>
      <c r="P466" s="85">
        <v>12595.056405983214</v>
      </c>
      <c r="Q466" s="85">
        <v>27987.176519713539</v>
      </c>
      <c r="R466" s="85"/>
      <c r="S466" s="86"/>
    </row>
    <row r="467" spans="1:19" ht="15">
      <c r="A467" s="70">
        <v>38</v>
      </c>
      <c r="B467" s="94" t="str">
        <f t="shared" si="15"/>
        <v>552</v>
      </c>
      <c r="C467" s="72" t="s">
        <v>624</v>
      </c>
      <c r="D467" s="72" t="s">
        <v>619</v>
      </c>
      <c r="E467" s="85">
        <v>777178.67000000016</v>
      </c>
      <c r="F467" s="85" t="s">
        <v>254</v>
      </c>
      <c r="G467" s="85">
        <v>679243.05275217211</v>
      </c>
      <c r="H467" s="85" t="s">
        <v>254</v>
      </c>
      <c r="I467" s="85">
        <v>31390.747256291288</v>
      </c>
      <c r="J467" s="85">
        <v>66544.86999153666</v>
      </c>
      <c r="K467" s="85" t="s">
        <v>254</v>
      </c>
      <c r="L467" s="85" t="s">
        <v>254</v>
      </c>
      <c r="M467" s="85">
        <v>2.3868103735827741</v>
      </c>
      <c r="N467" s="85" t="s">
        <v>254</v>
      </c>
      <c r="O467" s="85">
        <v>66542.483181163072</v>
      </c>
      <c r="P467" s="85">
        <v>20652.05063002454</v>
      </c>
      <c r="Q467" s="85">
        <v>45890.432551138532</v>
      </c>
      <c r="R467" s="85"/>
      <c r="S467" s="86"/>
    </row>
    <row r="468" spans="1:19" ht="15">
      <c r="A468" s="70">
        <v>39</v>
      </c>
      <c r="B468" s="94" t="str">
        <f t="shared" si="15"/>
        <v>553</v>
      </c>
      <c r="C468" s="72" t="s">
        <v>625</v>
      </c>
      <c r="D468" s="72" t="s">
        <v>619</v>
      </c>
      <c r="E468" s="85">
        <v>4307095.9499999993</v>
      </c>
      <c r="F468" s="85" t="s">
        <v>254</v>
      </c>
      <c r="G468" s="85">
        <v>3764340.3177476763</v>
      </c>
      <c r="H468" s="85" t="s">
        <v>254</v>
      </c>
      <c r="I468" s="85">
        <v>173966.38069730584</v>
      </c>
      <c r="J468" s="85">
        <v>368789.25155501766</v>
      </c>
      <c r="K468" s="85" t="s">
        <v>254</v>
      </c>
      <c r="L468" s="85" t="s">
        <v>254</v>
      </c>
      <c r="M468" s="85">
        <v>13.227616364556626</v>
      </c>
      <c r="N468" s="85" t="s">
        <v>254</v>
      </c>
      <c r="O468" s="85">
        <v>368776.02393865312</v>
      </c>
      <c r="P468" s="85">
        <v>114452.91418995538</v>
      </c>
      <c r="Q468" s="85">
        <v>254323.10974869772</v>
      </c>
      <c r="R468" s="85"/>
      <c r="S468" s="86"/>
    </row>
    <row r="469" spans="1:19" ht="15">
      <c r="A469" s="70">
        <v>40</v>
      </c>
      <c r="B469" s="94" t="str">
        <f t="shared" si="15"/>
        <v>554</v>
      </c>
      <c r="C469" s="72" t="s">
        <v>626</v>
      </c>
      <c r="D469" s="72" t="s">
        <v>619</v>
      </c>
      <c r="E469" s="85">
        <v>4730327.87</v>
      </c>
      <c r="F469" s="85" t="s">
        <v>254</v>
      </c>
      <c r="G469" s="85">
        <v>4134238.9684182657</v>
      </c>
      <c r="H469" s="85" t="s">
        <v>254</v>
      </c>
      <c r="I469" s="85">
        <v>191060.99065554733</v>
      </c>
      <c r="J469" s="85">
        <v>405027.910926187</v>
      </c>
      <c r="K469" s="85" t="s">
        <v>254</v>
      </c>
      <c r="L469" s="85" t="s">
        <v>254</v>
      </c>
      <c r="M469" s="85">
        <v>14.527413150136645</v>
      </c>
      <c r="N469" s="85" t="s">
        <v>254</v>
      </c>
      <c r="O469" s="85">
        <v>405013.38351303688</v>
      </c>
      <c r="P469" s="85">
        <v>125699.50056382292</v>
      </c>
      <c r="Q469" s="85">
        <v>279313.88294921396</v>
      </c>
      <c r="R469" s="85"/>
      <c r="S469" s="86"/>
    </row>
    <row r="470" spans="1:19" ht="15">
      <c r="A470" s="70">
        <v>41</v>
      </c>
      <c r="B470" s="94" t="str">
        <f t="shared" si="15"/>
        <v xml:space="preserve">  T</v>
      </c>
      <c r="C470" s="72" t="s">
        <v>627</v>
      </c>
      <c r="D470" s="72" t="s">
        <v>254</v>
      </c>
      <c r="E470" s="85">
        <v>10288580.08</v>
      </c>
      <c r="F470" s="85" t="s">
        <v>254</v>
      </c>
      <c r="G470" s="85">
        <v>8992071.9800819885</v>
      </c>
      <c r="H470" s="85" t="s">
        <v>254</v>
      </c>
      <c r="I470" s="85">
        <v>415562.37887665292</v>
      </c>
      <c r="J470" s="85">
        <v>880945.72104135819</v>
      </c>
      <c r="K470" s="85" t="s">
        <v>254</v>
      </c>
      <c r="L470" s="85" t="s">
        <v>254</v>
      </c>
      <c r="M470" s="85">
        <v>31.597482808401175</v>
      </c>
      <c r="N470" s="85" t="s">
        <v>254</v>
      </c>
      <c r="O470" s="85">
        <v>880914.12355854979</v>
      </c>
      <c r="P470" s="85">
        <v>273399.52178978606</v>
      </c>
      <c r="Q470" s="85">
        <v>607514.60176876374</v>
      </c>
      <c r="R470" s="85"/>
      <c r="S470" s="86"/>
    </row>
    <row r="471" spans="1:19" ht="15">
      <c r="A471" s="70" t="s">
        <v>254</v>
      </c>
      <c r="B471" s="94" t="str">
        <f t="shared" si="15"/>
        <v/>
      </c>
      <c r="C471" s="72" t="s">
        <v>254</v>
      </c>
      <c r="D471" s="72" t="s">
        <v>254</v>
      </c>
      <c r="E471" s="85" t="s">
        <v>254</v>
      </c>
      <c r="F471" s="85" t="s">
        <v>254</v>
      </c>
      <c r="G471" s="85" t="s">
        <v>254</v>
      </c>
      <c r="H471" s="85" t="s">
        <v>254</v>
      </c>
      <c r="I471" s="85" t="s">
        <v>254</v>
      </c>
      <c r="J471" s="85" t="s">
        <v>254</v>
      </c>
      <c r="K471" s="85" t="s">
        <v>254</v>
      </c>
      <c r="L471" s="85" t="s">
        <v>254</v>
      </c>
      <c r="M471" s="85" t="s">
        <v>254</v>
      </c>
      <c r="N471" s="85" t="s">
        <v>254</v>
      </c>
      <c r="O471" s="85" t="s">
        <v>254</v>
      </c>
      <c r="P471" s="85" t="s">
        <v>254</v>
      </c>
      <c r="Q471" s="85" t="s">
        <v>254</v>
      </c>
      <c r="R471" s="85"/>
      <c r="S471" s="86"/>
    </row>
    <row r="472" spans="1:19" ht="15">
      <c r="A472" s="70">
        <v>42</v>
      </c>
      <c r="B472" s="94" t="str">
        <f t="shared" si="15"/>
        <v>TAL</v>
      </c>
      <c r="C472" s="72" t="s">
        <v>628</v>
      </c>
      <c r="D472" s="72" t="s">
        <v>254</v>
      </c>
      <c r="E472" s="85">
        <v>146942491.38899997</v>
      </c>
      <c r="F472" s="85" t="s">
        <v>254</v>
      </c>
      <c r="G472" s="85">
        <v>129132747.51012637</v>
      </c>
      <c r="H472" s="85" t="s">
        <v>254</v>
      </c>
      <c r="I472" s="85">
        <v>5419459.0788735393</v>
      </c>
      <c r="J472" s="85">
        <v>12390284.80000007</v>
      </c>
      <c r="K472" s="85" t="s">
        <v>254</v>
      </c>
      <c r="L472" s="85" t="s">
        <v>254</v>
      </c>
      <c r="M472" s="85">
        <v>604.54970860339245</v>
      </c>
      <c r="N472" s="85" t="s">
        <v>254</v>
      </c>
      <c r="O472" s="85">
        <v>12389680.250291467</v>
      </c>
      <c r="P472" s="85">
        <v>3907599.1836052919</v>
      </c>
      <c r="Q472" s="85">
        <v>8482081.0666861758</v>
      </c>
      <c r="R472" s="85"/>
      <c r="S472" s="86"/>
    </row>
    <row r="473" spans="1:19" ht="15">
      <c r="A473" s="70" t="s">
        <v>254</v>
      </c>
      <c r="B473" s="94" t="str">
        <f t="shared" si="15"/>
        <v/>
      </c>
      <c r="C473" s="72" t="s">
        <v>254</v>
      </c>
      <c r="D473" s="72" t="s">
        <v>254</v>
      </c>
      <c r="E473" s="85" t="s">
        <v>254</v>
      </c>
      <c r="F473" s="85" t="s">
        <v>254</v>
      </c>
      <c r="G473" s="85" t="s">
        <v>254</v>
      </c>
      <c r="H473" s="85" t="s">
        <v>254</v>
      </c>
      <c r="I473" s="85" t="s">
        <v>254</v>
      </c>
      <c r="J473" s="85" t="s">
        <v>254</v>
      </c>
      <c r="K473" s="85" t="s">
        <v>254</v>
      </c>
      <c r="L473" s="85" t="s">
        <v>254</v>
      </c>
      <c r="M473" s="85" t="s">
        <v>254</v>
      </c>
      <c r="N473" s="85" t="s">
        <v>254</v>
      </c>
      <c r="O473" s="85" t="s">
        <v>254</v>
      </c>
      <c r="P473" s="85" t="s">
        <v>254</v>
      </c>
      <c r="Q473" s="85" t="s">
        <v>254</v>
      </c>
      <c r="R473" s="85"/>
      <c r="S473" s="86"/>
    </row>
    <row r="474" spans="1:19" ht="15">
      <c r="A474" s="70" t="s">
        <v>254</v>
      </c>
      <c r="B474" s="94" t="str">
        <f t="shared" si="15"/>
        <v>ERA</v>
      </c>
      <c r="C474" s="72" t="s">
        <v>636</v>
      </c>
      <c r="D474" s="72" t="s">
        <v>254</v>
      </c>
      <c r="E474" s="85" t="s">
        <v>254</v>
      </c>
      <c r="F474" s="85" t="s">
        <v>254</v>
      </c>
      <c r="G474" s="85" t="s">
        <v>254</v>
      </c>
      <c r="H474" s="85" t="s">
        <v>254</v>
      </c>
      <c r="I474" s="85" t="s">
        <v>254</v>
      </c>
      <c r="J474" s="85" t="s">
        <v>254</v>
      </c>
      <c r="K474" s="85" t="s">
        <v>254</v>
      </c>
      <c r="L474" s="85" t="s">
        <v>254</v>
      </c>
      <c r="M474" s="85" t="s">
        <v>254</v>
      </c>
      <c r="N474" s="85" t="s">
        <v>254</v>
      </c>
      <c r="O474" s="85" t="s">
        <v>254</v>
      </c>
      <c r="P474" s="85" t="s">
        <v>254</v>
      </c>
      <c r="Q474" s="85" t="s">
        <v>254</v>
      </c>
      <c r="R474" s="85"/>
      <c r="S474" s="86"/>
    </row>
    <row r="475" spans="1:19" ht="15">
      <c r="A475" s="70" t="s">
        <v>254</v>
      </c>
      <c r="B475" s="94" t="str">
        <f t="shared" si="15"/>
        <v/>
      </c>
      <c r="C475" s="72" t="s">
        <v>254</v>
      </c>
      <c r="D475" s="72" t="s">
        <v>254</v>
      </c>
      <c r="E475" s="85" t="s">
        <v>254</v>
      </c>
      <c r="F475" s="85" t="s">
        <v>254</v>
      </c>
      <c r="G475" s="85" t="s">
        <v>254</v>
      </c>
      <c r="H475" s="85" t="s">
        <v>254</v>
      </c>
      <c r="I475" s="85" t="s">
        <v>254</v>
      </c>
      <c r="J475" s="85" t="s">
        <v>254</v>
      </c>
      <c r="K475" s="85" t="s">
        <v>254</v>
      </c>
      <c r="L475" s="85" t="s">
        <v>254</v>
      </c>
      <c r="M475" s="85" t="s">
        <v>254</v>
      </c>
      <c r="N475" s="85" t="s">
        <v>254</v>
      </c>
      <c r="O475" s="85" t="s">
        <v>254</v>
      </c>
      <c r="P475" s="85" t="s">
        <v>254</v>
      </c>
      <c r="Q475" s="85" t="s">
        <v>254</v>
      </c>
      <c r="R475" s="85"/>
      <c r="S475" s="86"/>
    </row>
    <row r="476" spans="1:19" ht="15">
      <c r="A476" s="70" t="s">
        <v>254</v>
      </c>
      <c r="B476" s="94" t="str">
        <f t="shared" si="15"/>
        <v>5-P</v>
      </c>
      <c r="C476" s="72" t="s">
        <v>629</v>
      </c>
      <c r="D476" s="72" t="s">
        <v>254</v>
      </c>
      <c r="E476" s="85" t="s">
        <v>254</v>
      </c>
      <c r="F476" s="85" t="s">
        <v>254</v>
      </c>
      <c r="G476" s="85" t="s">
        <v>254</v>
      </c>
      <c r="H476" s="85" t="s">
        <v>254</v>
      </c>
      <c r="I476" s="85" t="s">
        <v>254</v>
      </c>
      <c r="J476" s="85" t="s">
        <v>254</v>
      </c>
      <c r="K476" s="85" t="s">
        <v>254</v>
      </c>
      <c r="L476" s="85" t="s">
        <v>254</v>
      </c>
      <c r="M476" s="85" t="s">
        <v>254</v>
      </c>
      <c r="N476" s="85" t="s">
        <v>254</v>
      </c>
      <c r="O476" s="85" t="s">
        <v>254</v>
      </c>
      <c r="P476" s="85" t="s">
        <v>254</v>
      </c>
      <c r="Q476" s="85" t="s">
        <v>254</v>
      </c>
      <c r="R476" s="85"/>
      <c r="S476" s="86"/>
    </row>
    <row r="477" spans="1:19" ht="15">
      <c r="A477" s="70">
        <v>43</v>
      </c>
      <c r="B477" s="94" t="str">
        <f t="shared" si="15"/>
        <v>CAP</v>
      </c>
      <c r="C477" s="72" t="s">
        <v>630</v>
      </c>
      <c r="D477" s="72" t="s">
        <v>307</v>
      </c>
      <c r="E477" s="85">
        <v>7850859.8593999995</v>
      </c>
      <c r="F477" s="85" t="s">
        <v>254</v>
      </c>
      <c r="G477" s="85">
        <v>6875604.5179633368</v>
      </c>
      <c r="H477" s="85" t="s">
        <v>254</v>
      </c>
      <c r="I477" s="85">
        <v>317746.21807244566</v>
      </c>
      <c r="J477" s="85">
        <v>657509.123364217</v>
      </c>
      <c r="K477" s="85" t="s">
        <v>254</v>
      </c>
      <c r="L477" s="85" t="s">
        <v>254</v>
      </c>
      <c r="M477" s="85">
        <v>24.160371050736536</v>
      </c>
      <c r="N477" s="85" t="s">
        <v>254</v>
      </c>
      <c r="O477" s="85">
        <v>657484.96299316629</v>
      </c>
      <c r="P477" s="85">
        <v>204056.29749715253</v>
      </c>
      <c r="Q477" s="85">
        <v>453428.66549601377</v>
      </c>
      <c r="R477" s="85"/>
      <c r="S477" s="86"/>
    </row>
    <row r="478" spans="1:19" ht="15">
      <c r="A478" s="70">
        <v>44</v>
      </c>
      <c r="B478" s="94" t="str">
        <f t="shared" si="15"/>
        <v>ENE</v>
      </c>
      <c r="C478" s="72" t="s">
        <v>631</v>
      </c>
      <c r="D478" s="72" t="s">
        <v>498</v>
      </c>
      <c r="E478" s="85">
        <v>37873013.860000007</v>
      </c>
      <c r="F478" s="85" t="s">
        <v>254</v>
      </c>
      <c r="G478" s="85">
        <v>33304862.892929513</v>
      </c>
      <c r="H478" s="85" t="s">
        <v>254</v>
      </c>
      <c r="I478" s="85">
        <v>1380668.9529867333</v>
      </c>
      <c r="J478" s="85">
        <v>3187482.0140837561</v>
      </c>
      <c r="K478" s="85" t="s">
        <v>254</v>
      </c>
      <c r="L478" s="85" t="s">
        <v>254</v>
      </c>
      <c r="M478" s="85">
        <v>160.61571857279421</v>
      </c>
      <c r="N478" s="85" t="s">
        <v>254</v>
      </c>
      <c r="O478" s="85">
        <v>3187321.3983651833</v>
      </c>
      <c r="P478" s="85">
        <v>1007236.3052649811</v>
      </c>
      <c r="Q478" s="85">
        <v>2180085.0931002023</v>
      </c>
      <c r="R478" s="85"/>
      <c r="S478" s="86"/>
    </row>
    <row r="479" spans="1:19" ht="15">
      <c r="A479" s="70">
        <v>45</v>
      </c>
      <c r="B479" s="94" t="str">
        <f t="shared" si="15"/>
        <v xml:space="preserve">  T</v>
      </c>
      <c r="C479" s="72" t="s">
        <v>632</v>
      </c>
      <c r="D479" s="72" t="s">
        <v>254</v>
      </c>
      <c r="E479" s="85">
        <v>45723873.719400004</v>
      </c>
      <c r="F479" s="85" t="s">
        <v>254</v>
      </c>
      <c r="G479" s="85">
        <v>40180467.410892852</v>
      </c>
      <c r="H479" s="85" t="s">
        <v>254</v>
      </c>
      <c r="I479" s="85">
        <v>1698415.1710591789</v>
      </c>
      <c r="J479" s="85">
        <v>3844991.1374479728</v>
      </c>
      <c r="K479" s="85" t="s">
        <v>254</v>
      </c>
      <c r="L479" s="85" t="s">
        <v>254</v>
      </c>
      <c r="M479" s="85">
        <v>184.77608962353074</v>
      </c>
      <c r="N479" s="85" t="s">
        <v>254</v>
      </c>
      <c r="O479" s="85">
        <v>3844806.3613583492</v>
      </c>
      <c r="P479" s="85">
        <v>1211292.6027621336</v>
      </c>
      <c r="Q479" s="85">
        <v>2633513.7585962159</v>
      </c>
      <c r="R479" s="85"/>
      <c r="S479" s="86"/>
    </row>
    <row r="480" spans="1:19" ht="15">
      <c r="A480" s="70" t="s">
        <v>254</v>
      </c>
      <c r="B480" s="94" t="str">
        <f t="shared" si="15"/>
        <v/>
      </c>
      <c r="C480" s="72" t="s">
        <v>254</v>
      </c>
      <c r="D480" s="72" t="s">
        <v>254</v>
      </c>
      <c r="E480" s="85" t="s">
        <v>254</v>
      </c>
      <c r="F480" s="85" t="s">
        <v>254</v>
      </c>
      <c r="G480" s="85" t="s">
        <v>254</v>
      </c>
      <c r="H480" s="85" t="s">
        <v>254</v>
      </c>
      <c r="I480" s="85" t="s">
        <v>254</v>
      </c>
      <c r="J480" s="85" t="s">
        <v>254</v>
      </c>
      <c r="K480" s="85" t="s">
        <v>254</v>
      </c>
      <c r="L480" s="85" t="s">
        <v>254</v>
      </c>
      <c r="M480" s="85" t="s">
        <v>254</v>
      </c>
      <c r="N480" s="85" t="s">
        <v>254</v>
      </c>
      <c r="O480" s="85" t="s">
        <v>254</v>
      </c>
      <c r="P480" s="85" t="s">
        <v>254</v>
      </c>
      <c r="Q480" s="85" t="s">
        <v>254</v>
      </c>
      <c r="R480" s="85"/>
      <c r="S480" s="86"/>
    </row>
    <row r="481" spans="1:19" ht="15">
      <c r="A481" s="70">
        <v>46</v>
      </c>
      <c r="B481" s="94" t="str">
        <f t="shared" si="15"/>
        <v>6-S</v>
      </c>
      <c r="C481" s="72" t="s">
        <v>633</v>
      </c>
      <c r="D481" s="72" t="s">
        <v>307</v>
      </c>
      <c r="E481" s="85">
        <v>1876649.7200000002</v>
      </c>
      <c r="F481" s="85" t="s">
        <v>254</v>
      </c>
      <c r="G481" s="85">
        <v>1643527.1453759905</v>
      </c>
      <c r="H481" s="85" t="s">
        <v>254</v>
      </c>
      <c r="I481" s="85">
        <v>75953.253765287067</v>
      </c>
      <c r="J481" s="85">
        <v>157169.32085872249</v>
      </c>
      <c r="K481" s="85" t="s">
        <v>254</v>
      </c>
      <c r="L481" s="85" t="s">
        <v>254</v>
      </c>
      <c r="M481" s="85">
        <v>5.775234099125286</v>
      </c>
      <c r="N481" s="85" t="s">
        <v>254</v>
      </c>
      <c r="O481" s="85">
        <v>157163.54562462337</v>
      </c>
      <c r="P481" s="85">
        <v>48777.102179930422</v>
      </c>
      <c r="Q481" s="85">
        <v>108386.44344469294</v>
      </c>
      <c r="R481" s="85"/>
      <c r="S481" s="86"/>
    </row>
    <row r="482" spans="1:19" ht="15">
      <c r="A482" s="70">
        <v>47</v>
      </c>
      <c r="B482" s="94" t="str">
        <f t="shared" si="15"/>
        <v>7-O</v>
      </c>
      <c r="C482" s="72" t="s">
        <v>634</v>
      </c>
      <c r="D482" s="72" t="s">
        <v>501</v>
      </c>
      <c r="E482" s="85">
        <v>32031.660000000003</v>
      </c>
      <c r="F482" s="85" t="s">
        <v>254</v>
      </c>
      <c r="G482" s="85">
        <v>27869.487631548938</v>
      </c>
      <c r="H482" s="85" t="s">
        <v>254</v>
      </c>
      <c r="I482" s="85">
        <v>1316.1247499170261</v>
      </c>
      <c r="J482" s="85">
        <v>2846.0476185340385</v>
      </c>
      <c r="K482" s="85" t="s">
        <v>254</v>
      </c>
      <c r="L482" s="85" t="s">
        <v>254</v>
      </c>
      <c r="M482" s="85">
        <v>9.7931339769901121E-2</v>
      </c>
      <c r="N482" s="85" t="s">
        <v>254</v>
      </c>
      <c r="O482" s="85">
        <v>2845.9496871942688</v>
      </c>
      <c r="P482" s="85">
        <v>883.26576076855133</v>
      </c>
      <c r="Q482" s="85">
        <v>1962.6839264257176</v>
      </c>
      <c r="R482" s="85"/>
      <c r="S482" s="86"/>
    </row>
    <row r="483" spans="1:19" ht="15">
      <c r="A483" s="70" t="s">
        <v>254</v>
      </c>
      <c r="B483" s="94" t="str">
        <f t="shared" si="15"/>
        <v/>
      </c>
      <c r="C483" s="72" t="s">
        <v>254</v>
      </c>
      <c r="D483" s="72" t="s">
        <v>254</v>
      </c>
      <c r="E483" s="85" t="s">
        <v>254</v>
      </c>
      <c r="F483" s="85" t="s">
        <v>254</v>
      </c>
      <c r="G483" s="85" t="s">
        <v>254</v>
      </c>
      <c r="H483" s="85" t="s">
        <v>254</v>
      </c>
      <c r="I483" s="85" t="s">
        <v>254</v>
      </c>
      <c r="J483" s="85" t="s">
        <v>254</v>
      </c>
      <c r="K483" s="85" t="s">
        <v>254</v>
      </c>
      <c r="L483" s="85" t="s">
        <v>254</v>
      </c>
      <c r="M483" s="85" t="s">
        <v>254</v>
      </c>
      <c r="N483" s="85" t="s">
        <v>254</v>
      </c>
      <c r="O483" s="85" t="s">
        <v>254</v>
      </c>
      <c r="P483" s="85" t="s">
        <v>254</v>
      </c>
      <c r="Q483" s="85" t="s">
        <v>254</v>
      </c>
      <c r="R483" s="85"/>
      <c r="S483" s="86"/>
    </row>
    <row r="484" spans="1:19" ht="15">
      <c r="A484" s="70">
        <v>48</v>
      </c>
      <c r="B484" s="94" t="str">
        <f t="shared" si="15"/>
        <v>TAL</v>
      </c>
      <c r="C484" s="72" t="s">
        <v>635</v>
      </c>
      <c r="D484" s="72" t="s">
        <v>254</v>
      </c>
      <c r="E484" s="85">
        <v>716314899.68919504</v>
      </c>
      <c r="F484" s="85" t="s">
        <v>254</v>
      </c>
      <c r="G484" s="85">
        <v>629141629.61469316</v>
      </c>
      <c r="H484" s="85" t="s">
        <v>254</v>
      </c>
      <c r="I484" s="85">
        <v>26569079.557252225</v>
      </c>
      <c r="J484" s="85">
        <v>60604190.517249711</v>
      </c>
      <c r="K484" s="85" t="s">
        <v>254</v>
      </c>
      <c r="L484" s="85" t="s">
        <v>254</v>
      </c>
      <c r="M484" s="85">
        <v>2890.5164121157318</v>
      </c>
      <c r="N484" s="85" t="s">
        <v>254</v>
      </c>
      <c r="O484" s="85">
        <v>60601300.000837594</v>
      </c>
      <c r="P484" s="85">
        <v>19092436.652793381</v>
      </c>
      <c r="Q484" s="85">
        <v>41508863.348044209</v>
      </c>
      <c r="R484" s="85"/>
      <c r="S484" s="86"/>
    </row>
    <row r="485" spans="1:19" ht="15">
      <c r="A485" s="70" t="s">
        <v>254</v>
      </c>
      <c r="B485" s="94" t="str">
        <f t="shared" si="15"/>
        <v/>
      </c>
      <c r="C485" s="72" t="s">
        <v>254</v>
      </c>
      <c r="D485" s="72" t="s">
        <v>254</v>
      </c>
      <c r="E485" s="85" t="s">
        <v>254</v>
      </c>
      <c r="F485" s="85" t="s">
        <v>254</v>
      </c>
      <c r="G485" s="85" t="s">
        <v>254</v>
      </c>
      <c r="H485" s="85" t="s">
        <v>254</v>
      </c>
      <c r="I485" s="85" t="s">
        <v>254</v>
      </c>
      <c r="J485" s="85" t="s">
        <v>254</v>
      </c>
      <c r="K485" s="85" t="s">
        <v>254</v>
      </c>
      <c r="L485" s="85" t="s">
        <v>254</v>
      </c>
      <c r="M485" s="85" t="s">
        <v>254</v>
      </c>
      <c r="N485" s="85" t="s">
        <v>254</v>
      </c>
      <c r="O485" s="85" t="s">
        <v>254</v>
      </c>
      <c r="P485" s="85" t="s">
        <v>254</v>
      </c>
      <c r="Q485" s="85" t="s">
        <v>254</v>
      </c>
      <c r="R485" s="85"/>
      <c r="S485" s="86"/>
    </row>
    <row r="486" spans="1:19" ht="15">
      <c r="A486" s="70" t="s">
        <v>254</v>
      </c>
      <c r="B486" s="94" t="str">
        <f t="shared" si="15"/>
        <v>ERA</v>
      </c>
      <c r="C486" s="72" t="s">
        <v>636</v>
      </c>
      <c r="D486" s="72" t="s">
        <v>254</v>
      </c>
      <c r="E486" s="85" t="s">
        <v>254</v>
      </c>
      <c r="F486" s="85" t="s">
        <v>254</v>
      </c>
      <c r="G486" s="85" t="s">
        <v>254</v>
      </c>
      <c r="H486" s="85" t="s">
        <v>254</v>
      </c>
      <c r="I486" s="85" t="s">
        <v>254</v>
      </c>
      <c r="J486" s="85" t="s">
        <v>254</v>
      </c>
      <c r="K486" s="85" t="s">
        <v>254</v>
      </c>
      <c r="L486" s="85" t="s">
        <v>254</v>
      </c>
      <c r="M486" s="85" t="s">
        <v>254</v>
      </c>
      <c r="N486" s="85" t="s">
        <v>254</v>
      </c>
      <c r="O486" s="85" t="s">
        <v>254</v>
      </c>
      <c r="P486" s="85" t="s">
        <v>254</v>
      </c>
      <c r="Q486" s="85" t="s">
        <v>254</v>
      </c>
      <c r="R486" s="85"/>
      <c r="S486" s="86"/>
    </row>
    <row r="487" spans="1:19" ht="15">
      <c r="A487" s="70" t="s">
        <v>254</v>
      </c>
      <c r="B487" s="94" t="str">
        <f t="shared" si="15"/>
        <v/>
      </c>
      <c r="C487" s="72" t="s">
        <v>254</v>
      </c>
      <c r="D487" s="72" t="s">
        <v>254</v>
      </c>
      <c r="E487" s="85" t="s">
        <v>254</v>
      </c>
      <c r="F487" s="85" t="s">
        <v>254</v>
      </c>
      <c r="G487" s="85" t="s">
        <v>254</v>
      </c>
      <c r="H487" s="85" t="s">
        <v>254</v>
      </c>
      <c r="I487" s="85" t="s">
        <v>254</v>
      </c>
      <c r="J487" s="85" t="s">
        <v>254</v>
      </c>
      <c r="K487" s="85" t="s">
        <v>254</v>
      </c>
      <c r="L487" s="85" t="s">
        <v>254</v>
      </c>
      <c r="M487" s="85" t="s">
        <v>254</v>
      </c>
      <c r="N487" s="85" t="s">
        <v>254</v>
      </c>
      <c r="O487" s="85" t="s">
        <v>254</v>
      </c>
      <c r="P487" s="85" t="s">
        <v>254</v>
      </c>
      <c r="Q487" s="85" t="s">
        <v>254</v>
      </c>
      <c r="R487" s="85"/>
      <c r="S487" s="86"/>
    </row>
    <row r="488" spans="1:19" ht="15">
      <c r="A488" s="70" t="s">
        <v>254</v>
      </c>
      <c r="B488" s="94" t="str">
        <f t="shared" si="15"/>
        <v>ANS</v>
      </c>
      <c r="C488" s="72" t="s">
        <v>637</v>
      </c>
      <c r="D488" s="72" t="s">
        <v>254</v>
      </c>
      <c r="E488" s="85" t="s">
        <v>254</v>
      </c>
      <c r="F488" s="85" t="s">
        <v>254</v>
      </c>
      <c r="G488" s="85" t="s">
        <v>254</v>
      </c>
      <c r="H488" s="85" t="s">
        <v>254</v>
      </c>
      <c r="I488" s="85" t="s">
        <v>254</v>
      </c>
      <c r="J488" s="85" t="s">
        <v>254</v>
      </c>
      <c r="K488" s="85" t="s">
        <v>254</v>
      </c>
      <c r="L488" s="85" t="s">
        <v>254</v>
      </c>
      <c r="M488" s="85" t="s">
        <v>254</v>
      </c>
      <c r="N488" s="85" t="s">
        <v>254</v>
      </c>
      <c r="O488" s="85" t="s">
        <v>254</v>
      </c>
      <c r="P488" s="85" t="s">
        <v>254</v>
      </c>
      <c r="Q488" s="85" t="s">
        <v>254</v>
      </c>
      <c r="R488" s="85"/>
      <c r="S488" s="86"/>
    </row>
    <row r="489" spans="1:19" ht="15">
      <c r="A489" s="70">
        <v>1</v>
      </c>
      <c r="B489" s="94" t="str">
        <f t="shared" si="15"/>
        <v>560</v>
      </c>
      <c r="C489" s="72" t="s">
        <v>638</v>
      </c>
      <c r="D489" s="72" t="s">
        <v>639</v>
      </c>
      <c r="E489" s="85">
        <v>1704552.9100000001</v>
      </c>
      <c r="F489" s="85" t="s">
        <v>254</v>
      </c>
      <c r="G489" s="85">
        <v>1529566.1516509603</v>
      </c>
      <c r="H489" s="85" t="s">
        <v>254</v>
      </c>
      <c r="I489" s="85">
        <v>174981.38356553172</v>
      </c>
      <c r="J489" s="85">
        <v>5.3747835079788695</v>
      </c>
      <c r="K489" s="85" t="s">
        <v>254</v>
      </c>
      <c r="L489" s="85" t="s">
        <v>254</v>
      </c>
      <c r="M489" s="85">
        <v>5.3747835079788695</v>
      </c>
      <c r="N489" s="85" t="s">
        <v>254</v>
      </c>
      <c r="O489" s="85">
        <v>0</v>
      </c>
      <c r="P489" s="85">
        <v>0</v>
      </c>
      <c r="Q489" s="85">
        <v>0</v>
      </c>
      <c r="R489" s="85"/>
      <c r="S489" s="86"/>
    </row>
    <row r="490" spans="1:19" ht="15">
      <c r="A490" s="70">
        <v>2</v>
      </c>
      <c r="B490" s="94" t="str">
        <f t="shared" si="15"/>
        <v>561</v>
      </c>
      <c r="C490" s="72" t="s">
        <v>640</v>
      </c>
      <c r="D490" s="72" t="s">
        <v>503</v>
      </c>
      <c r="E490" s="85">
        <v>3843800.2899999907</v>
      </c>
      <c r="F490" s="85" t="s">
        <v>254</v>
      </c>
      <c r="G490" s="85">
        <v>3449201.7131284769</v>
      </c>
      <c r="H490" s="85" t="s">
        <v>254</v>
      </c>
      <c r="I490" s="85">
        <v>394586.45662914065</v>
      </c>
      <c r="J490" s="85">
        <v>12.120242372914284</v>
      </c>
      <c r="K490" s="85" t="s">
        <v>254</v>
      </c>
      <c r="L490" s="85" t="s">
        <v>254</v>
      </c>
      <c r="M490" s="85">
        <v>12.120242372914284</v>
      </c>
      <c r="N490" s="85" t="s">
        <v>254</v>
      </c>
      <c r="O490" s="85">
        <v>0</v>
      </c>
      <c r="P490" s="85">
        <v>0</v>
      </c>
      <c r="Q490" s="85">
        <v>0</v>
      </c>
      <c r="R490" s="85"/>
      <c r="S490" s="86"/>
    </row>
    <row r="491" spans="1:19" ht="15">
      <c r="A491" s="70">
        <v>3</v>
      </c>
      <c r="B491" s="94" t="str">
        <f t="shared" si="15"/>
        <v>562</v>
      </c>
      <c r="C491" s="72" t="s">
        <v>641</v>
      </c>
      <c r="D491" s="72" t="s">
        <v>503</v>
      </c>
      <c r="E491" s="85">
        <v>1457462.04999999</v>
      </c>
      <c r="F491" s="85" t="s">
        <v>254</v>
      </c>
      <c r="G491" s="85">
        <v>1307841.2561542629</v>
      </c>
      <c r="H491" s="85" t="s">
        <v>254</v>
      </c>
      <c r="I491" s="85">
        <v>149616.1981872739</v>
      </c>
      <c r="J491" s="85">
        <v>4.5956584532450933</v>
      </c>
      <c r="K491" s="85" t="s">
        <v>254</v>
      </c>
      <c r="L491" s="85" t="s">
        <v>254</v>
      </c>
      <c r="M491" s="85">
        <v>4.5956584532450933</v>
      </c>
      <c r="N491" s="85" t="s">
        <v>254</v>
      </c>
      <c r="O491" s="85">
        <v>0</v>
      </c>
      <c r="P491" s="85">
        <v>0</v>
      </c>
      <c r="Q491" s="85">
        <v>0</v>
      </c>
      <c r="R491" s="85"/>
      <c r="S491" s="86"/>
    </row>
    <row r="492" spans="1:19" ht="15">
      <c r="A492" s="70">
        <v>4</v>
      </c>
      <c r="B492" s="94" t="str">
        <f t="shared" si="15"/>
        <v>563</v>
      </c>
      <c r="C492" s="72" t="s">
        <v>642</v>
      </c>
      <c r="D492" s="72" t="s">
        <v>503</v>
      </c>
      <c r="E492" s="85">
        <v>742014.62999999884</v>
      </c>
      <c r="F492" s="85" t="s">
        <v>254</v>
      </c>
      <c r="G492" s="85">
        <v>665840.55878782284</v>
      </c>
      <c r="H492" s="85" t="s">
        <v>254</v>
      </c>
      <c r="I492" s="85">
        <v>76171.731497185348</v>
      </c>
      <c r="J492" s="85">
        <v>2.3397149907203749</v>
      </c>
      <c r="K492" s="85" t="s">
        <v>254</v>
      </c>
      <c r="L492" s="85" t="s">
        <v>254</v>
      </c>
      <c r="M492" s="85">
        <v>2.3397149907203749</v>
      </c>
      <c r="N492" s="85" t="s">
        <v>254</v>
      </c>
      <c r="O492" s="85">
        <v>0</v>
      </c>
      <c r="P492" s="85">
        <v>0</v>
      </c>
      <c r="Q492" s="85">
        <v>0</v>
      </c>
      <c r="R492" s="85"/>
      <c r="S492" s="86"/>
    </row>
    <row r="493" spans="1:19" ht="15">
      <c r="A493" s="70">
        <v>5</v>
      </c>
      <c r="B493" s="94" t="str">
        <f t="shared" si="15"/>
        <v>564</v>
      </c>
      <c r="C493" s="72" t="s">
        <v>643</v>
      </c>
      <c r="D493" s="72" t="s">
        <v>503</v>
      </c>
      <c r="E493" s="85">
        <v>0</v>
      </c>
      <c r="F493" s="85" t="s">
        <v>254</v>
      </c>
      <c r="G493" s="85">
        <v>0</v>
      </c>
      <c r="H493" s="85" t="s">
        <v>254</v>
      </c>
      <c r="I493" s="85">
        <v>0</v>
      </c>
      <c r="J493" s="85">
        <v>0</v>
      </c>
      <c r="K493" s="85" t="s">
        <v>254</v>
      </c>
      <c r="L493" s="85" t="s">
        <v>254</v>
      </c>
      <c r="M493" s="85">
        <v>0</v>
      </c>
      <c r="N493" s="85" t="s">
        <v>254</v>
      </c>
      <c r="O493" s="85">
        <v>0</v>
      </c>
      <c r="P493" s="85">
        <v>0</v>
      </c>
      <c r="Q493" s="85">
        <v>0</v>
      </c>
      <c r="R493" s="85"/>
      <c r="S493" s="86"/>
    </row>
    <row r="494" spans="1:19" ht="15">
      <c r="A494" s="70">
        <v>6</v>
      </c>
      <c r="B494" s="94" t="str">
        <f t="shared" si="15"/>
        <v>565</v>
      </c>
      <c r="C494" s="72" t="s">
        <v>644</v>
      </c>
      <c r="D494" s="72" t="s">
        <v>503</v>
      </c>
      <c r="E494" s="85">
        <v>3305540.68</v>
      </c>
      <c r="F494" s="85" t="s">
        <v>254</v>
      </c>
      <c r="G494" s="85">
        <v>2966198.9999672691</v>
      </c>
      <c r="H494" s="85" t="s">
        <v>254</v>
      </c>
      <c r="I494" s="85">
        <v>339331.25702654116</v>
      </c>
      <c r="J494" s="85">
        <v>10.423006189826786</v>
      </c>
      <c r="K494" s="85" t="s">
        <v>254</v>
      </c>
      <c r="L494" s="85" t="s">
        <v>254</v>
      </c>
      <c r="M494" s="85">
        <v>10.423006189826786</v>
      </c>
      <c r="N494" s="85" t="s">
        <v>254</v>
      </c>
      <c r="O494" s="85">
        <v>0</v>
      </c>
      <c r="P494" s="85">
        <v>0</v>
      </c>
      <c r="Q494" s="85">
        <v>0</v>
      </c>
      <c r="R494" s="85"/>
      <c r="S494" s="86"/>
    </row>
    <row r="495" spans="1:19" ht="15">
      <c r="A495" s="70">
        <v>7</v>
      </c>
      <c r="B495" s="94" t="str">
        <f t="shared" si="15"/>
        <v>566</v>
      </c>
      <c r="C495" s="72" t="s">
        <v>645</v>
      </c>
      <c r="D495" s="72" t="s">
        <v>503</v>
      </c>
      <c r="E495" s="85">
        <v>11972222.199999999</v>
      </c>
      <c r="F495" s="85" t="s">
        <v>254</v>
      </c>
      <c r="G495" s="85">
        <v>10743172.43526585</v>
      </c>
      <c r="H495" s="85" t="s">
        <v>254</v>
      </c>
      <c r="I495" s="85">
        <v>1229012.0140125039</v>
      </c>
      <c r="J495" s="85">
        <v>37.750721644902477</v>
      </c>
      <c r="K495" s="85" t="s">
        <v>254</v>
      </c>
      <c r="L495" s="85" t="s">
        <v>254</v>
      </c>
      <c r="M495" s="85">
        <v>37.750721644902477</v>
      </c>
      <c r="N495" s="85" t="s">
        <v>254</v>
      </c>
      <c r="O495" s="85">
        <v>0</v>
      </c>
      <c r="P495" s="85">
        <v>0</v>
      </c>
      <c r="Q495" s="85">
        <v>0</v>
      </c>
      <c r="R495" s="85"/>
      <c r="S495" s="86"/>
    </row>
    <row r="496" spans="1:19" ht="15">
      <c r="A496" s="70">
        <v>8</v>
      </c>
      <c r="B496" s="94" t="str">
        <f t="shared" si="15"/>
        <v>567</v>
      </c>
      <c r="C496" s="72" t="s">
        <v>646</v>
      </c>
      <c r="D496" s="72" t="s">
        <v>503</v>
      </c>
      <c r="E496" s="85">
        <v>143878.99000000002</v>
      </c>
      <c r="F496" s="85" t="s">
        <v>254</v>
      </c>
      <c r="G496" s="85">
        <v>129108.59601168205</v>
      </c>
      <c r="H496" s="85" t="s">
        <v>254</v>
      </c>
      <c r="I496" s="85">
        <v>14769.940310161044</v>
      </c>
      <c r="J496" s="85">
        <v>0.45367815692893737</v>
      </c>
      <c r="K496" s="85" t="s">
        <v>254</v>
      </c>
      <c r="L496" s="85" t="s">
        <v>254</v>
      </c>
      <c r="M496" s="85">
        <v>0.45367815692893737</v>
      </c>
      <c r="N496" s="85" t="s">
        <v>254</v>
      </c>
      <c r="O496" s="85">
        <v>0</v>
      </c>
      <c r="P496" s="85">
        <v>0</v>
      </c>
      <c r="Q496" s="85">
        <v>0</v>
      </c>
      <c r="R496" s="85"/>
      <c r="S496" s="86"/>
    </row>
    <row r="497" spans="1:19" ht="15">
      <c r="A497" s="70">
        <v>9</v>
      </c>
      <c r="B497" s="94" t="str">
        <f t="shared" si="15"/>
        <v>575</v>
      </c>
      <c r="C497" s="72" t="s">
        <v>647</v>
      </c>
      <c r="D497" s="72" t="s">
        <v>503</v>
      </c>
      <c r="E497" s="85">
        <v>-331916.03000000003</v>
      </c>
      <c r="F497" s="85" t="s">
        <v>254</v>
      </c>
      <c r="G497" s="85">
        <v>-331988.91031285271</v>
      </c>
      <c r="H497" s="85" t="s">
        <v>254</v>
      </c>
      <c r="I497" s="85">
        <v>72.878074306697073</v>
      </c>
      <c r="J497" s="85">
        <v>2.2385459749790938E-3</v>
      </c>
      <c r="K497" s="85" t="s">
        <v>254</v>
      </c>
      <c r="L497" s="85" t="s">
        <v>254</v>
      </c>
      <c r="M497" s="85">
        <v>2.2385459749790938E-3</v>
      </c>
      <c r="N497" s="85" t="s">
        <v>254</v>
      </c>
      <c r="O497" s="85">
        <v>0</v>
      </c>
      <c r="P497" s="85">
        <v>0</v>
      </c>
      <c r="Q497" s="85">
        <v>0</v>
      </c>
      <c r="R497" s="85"/>
      <c r="S497" s="86"/>
    </row>
    <row r="498" spans="1:19" ht="15">
      <c r="A498" s="70">
        <v>10</v>
      </c>
      <c r="B498" s="94" t="str">
        <f t="shared" si="15"/>
        <v xml:space="preserve">  T</v>
      </c>
      <c r="C498" s="72" t="s">
        <v>648</v>
      </c>
      <c r="D498" s="72" t="s">
        <v>254</v>
      </c>
      <c r="E498" s="85">
        <v>22837555.71999998</v>
      </c>
      <c r="F498" s="85" t="s">
        <v>254</v>
      </c>
      <c r="G498" s="85">
        <v>20458940.800653473</v>
      </c>
      <c r="H498" s="85" t="s">
        <v>254</v>
      </c>
      <c r="I498" s="85">
        <v>2378541.8593026442</v>
      </c>
      <c r="J498" s="85">
        <v>73.060043862491781</v>
      </c>
      <c r="K498" s="85" t="s">
        <v>254</v>
      </c>
      <c r="L498" s="85" t="s">
        <v>254</v>
      </c>
      <c r="M498" s="85">
        <v>73.060043862491781</v>
      </c>
      <c r="N498" s="85" t="s">
        <v>254</v>
      </c>
      <c r="O498" s="85">
        <v>0</v>
      </c>
      <c r="P498" s="85">
        <v>0</v>
      </c>
      <c r="Q498" s="85">
        <v>0</v>
      </c>
      <c r="R498" s="85"/>
      <c r="S498" s="86"/>
    </row>
    <row r="499" spans="1:19" ht="15">
      <c r="A499" s="70">
        <v>11</v>
      </c>
      <c r="B499" s="94" t="str">
        <f t="shared" si="15"/>
        <v>568</v>
      </c>
      <c r="C499" s="72" t="s">
        <v>649</v>
      </c>
      <c r="D499" s="72" t="s">
        <v>503</v>
      </c>
      <c r="E499" s="85">
        <v>0</v>
      </c>
      <c r="F499" s="85" t="s">
        <v>254</v>
      </c>
      <c r="G499" s="85">
        <v>0</v>
      </c>
      <c r="H499" s="85" t="s">
        <v>254</v>
      </c>
      <c r="I499" s="85">
        <v>0</v>
      </c>
      <c r="J499" s="85">
        <v>0</v>
      </c>
      <c r="K499" s="85" t="s">
        <v>254</v>
      </c>
      <c r="L499" s="85" t="s">
        <v>254</v>
      </c>
      <c r="M499" s="85">
        <v>0</v>
      </c>
      <c r="N499" s="85" t="s">
        <v>254</v>
      </c>
      <c r="O499" s="85">
        <v>0</v>
      </c>
      <c r="P499" s="85">
        <v>0</v>
      </c>
      <c r="Q499" s="85">
        <v>0</v>
      </c>
      <c r="R499" s="85"/>
      <c r="S499" s="86"/>
    </row>
    <row r="500" spans="1:19" ht="15">
      <c r="A500" s="70">
        <v>12</v>
      </c>
      <c r="B500" s="94" t="str">
        <f t="shared" si="15"/>
        <v>569</v>
      </c>
      <c r="C500" s="72" t="s">
        <v>650</v>
      </c>
      <c r="D500" s="72" t="s">
        <v>503</v>
      </c>
      <c r="E500" s="85">
        <v>0</v>
      </c>
      <c r="F500" s="85" t="s">
        <v>254</v>
      </c>
      <c r="G500" s="85">
        <v>0</v>
      </c>
      <c r="H500" s="85" t="s">
        <v>254</v>
      </c>
      <c r="I500" s="85">
        <v>0</v>
      </c>
      <c r="J500" s="85">
        <v>0</v>
      </c>
      <c r="K500" s="85" t="s">
        <v>254</v>
      </c>
      <c r="L500" s="85" t="s">
        <v>254</v>
      </c>
      <c r="M500" s="85">
        <v>0</v>
      </c>
      <c r="N500" s="85" t="s">
        <v>254</v>
      </c>
      <c r="O500" s="85">
        <v>0</v>
      </c>
      <c r="P500" s="85">
        <v>0</v>
      </c>
      <c r="Q500" s="85">
        <v>0</v>
      </c>
      <c r="R500" s="85"/>
      <c r="S500" s="86"/>
    </row>
    <row r="501" spans="1:19" ht="15">
      <c r="A501" s="70">
        <v>13</v>
      </c>
      <c r="B501" s="94" t="str">
        <f t="shared" si="15"/>
        <v>570</v>
      </c>
      <c r="C501" s="72" t="s">
        <v>651</v>
      </c>
      <c r="D501" s="72" t="s">
        <v>503</v>
      </c>
      <c r="E501" s="85">
        <v>2430367.35</v>
      </c>
      <c r="F501" s="85" t="s">
        <v>254</v>
      </c>
      <c r="G501" s="85">
        <v>2180869.6068212059</v>
      </c>
      <c r="H501" s="85" t="s">
        <v>254</v>
      </c>
      <c r="I501" s="85">
        <v>249490.07976261352</v>
      </c>
      <c r="J501" s="85">
        <v>7.6634161805574639</v>
      </c>
      <c r="K501" s="85" t="s">
        <v>254</v>
      </c>
      <c r="L501" s="85" t="s">
        <v>254</v>
      </c>
      <c r="M501" s="85">
        <v>7.6634161805574639</v>
      </c>
      <c r="N501" s="85" t="s">
        <v>254</v>
      </c>
      <c r="O501" s="85">
        <v>0</v>
      </c>
      <c r="P501" s="85">
        <v>0</v>
      </c>
      <c r="Q501" s="85">
        <v>0</v>
      </c>
      <c r="R501" s="85"/>
      <c r="S501" s="86"/>
    </row>
    <row r="502" spans="1:19" ht="15">
      <c r="A502" s="70">
        <v>14</v>
      </c>
      <c r="B502" s="94" t="str">
        <f t="shared" si="15"/>
        <v>571</v>
      </c>
      <c r="C502" s="72" t="s">
        <v>652</v>
      </c>
      <c r="D502" s="72" t="s">
        <v>503</v>
      </c>
      <c r="E502" s="85">
        <v>6169706.5399999889</v>
      </c>
      <c r="F502" s="85" t="s">
        <v>254</v>
      </c>
      <c r="G502" s="85">
        <v>5544176.2694557253</v>
      </c>
      <c r="H502" s="85" t="s">
        <v>254</v>
      </c>
      <c r="I502" s="85">
        <v>625511.05714884144</v>
      </c>
      <c r="J502" s="85">
        <v>19.213395422507528</v>
      </c>
      <c r="K502" s="85" t="s">
        <v>254</v>
      </c>
      <c r="L502" s="85" t="s">
        <v>254</v>
      </c>
      <c r="M502" s="85">
        <v>19.213395422507528</v>
      </c>
      <c r="N502" s="85" t="s">
        <v>254</v>
      </c>
      <c r="O502" s="85">
        <v>0</v>
      </c>
      <c r="P502" s="85">
        <v>0</v>
      </c>
      <c r="Q502" s="85">
        <v>0</v>
      </c>
      <c r="R502" s="85"/>
      <c r="S502" s="86"/>
    </row>
    <row r="503" spans="1:19" ht="15">
      <c r="A503" s="70">
        <v>15</v>
      </c>
      <c r="B503" s="94" t="str">
        <f t="shared" si="15"/>
        <v>572</v>
      </c>
      <c r="C503" s="72" t="s">
        <v>653</v>
      </c>
      <c r="D503" s="72" t="s">
        <v>503</v>
      </c>
      <c r="E503" s="85">
        <v>0</v>
      </c>
      <c r="F503" s="85" t="s">
        <v>254</v>
      </c>
      <c r="G503" s="85">
        <v>0</v>
      </c>
      <c r="H503" s="85" t="s">
        <v>254</v>
      </c>
      <c r="I503" s="85">
        <v>0</v>
      </c>
      <c r="J503" s="85">
        <v>0</v>
      </c>
      <c r="K503" s="85" t="s">
        <v>254</v>
      </c>
      <c r="L503" s="85" t="s">
        <v>254</v>
      </c>
      <c r="M503" s="85">
        <v>0</v>
      </c>
      <c r="N503" s="85" t="s">
        <v>254</v>
      </c>
      <c r="O503" s="85">
        <v>0</v>
      </c>
      <c r="P503" s="85">
        <v>0</v>
      </c>
      <c r="Q503" s="85">
        <v>0</v>
      </c>
      <c r="R503" s="85"/>
      <c r="S503" s="86"/>
    </row>
    <row r="504" spans="1:19" ht="15">
      <c r="A504" s="70">
        <v>16</v>
      </c>
      <c r="B504" s="94" t="str">
        <f t="shared" si="15"/>
        <v>573</v>
      </c>
      <c r="C504" s="72" t="s">
        <v>654</v>
      </c>
      <c r="D504" s="72" t="s">
        <v>503</v>
      </c>
      <c r="E504" s="85">
        <v>352146.75999999902</v>
      </c>
      <c r="F504" s="85" t="s">
        <v>254</v>
      </c>
      <c r="G504" s="85">
        <v>315995.91972158424</v>
      </c>
      <c r="H504" s="85" t="s">
        <v>254</v>
      </c>
      <c r="I504" s="85">
        <v>36149.729891880612</v>
      </c>
      <c r="J504" s="85">
        <v>1.1103865341652481</v>
      </c>
      <c r="K504" s="85" t="s">
        <v>254</v>
      </c>
      <c r="L504" s="85" t="s">
        <v>254</v>
      </c>
      <c r="M504" s="85">
        <v>1.1103865341652481</v>
      </c>
      <c r="N504" s="85" t="s">
        <v>254</v>
      </c>
      <c r="O504" s="85">
        <v>0</v>
      </c>
      <c r="P504" s="85">
        <v>0</v>
      </c>
      <c r="Q504" s="85">
        <v>0</v>
      </c>
      <c r="R504" s="85"/>
      <c r="S504" s="86"/>
    </row>
    <row r="505" spans="1:19" ht="15">
      <c r="A505" s="70">
        <v>17</v>
      </c>
      <c r="B505" s="94" t="str">
        <f t="shared" si="15"/>
        <v xml:space="preserve">  T</v>
      </c>
      <c r="C505" s="72" t="s">
        <v>655</v>
      </c>
      <c r="D505" s="72" t="s">
        <v>254</v>
      </c>
      <c r="E505" s="85">
        <v>8952220.6499999873</v>
      </c>
      <c r="F505" s="85" t="s">
        <v>254</v>
      </c>
      <c r="G505" s="85">
        <v>8041041.7959985146</v>
      </c>
      <c r="H505" s="85" t="s">
        <v>254</v>
      </c>
      <c r="I505" s="85">
        <v>911150.86680333561</v>
      </c>
      <c r="J505" s="85">
        <v>27.987198137230241</v>
      </c>
      <c r="K505" s="85" t="s">
        <v>254</v>
      </c>
      <c r="L505" s="85" t="s">
        <v>254</v>
      </c>
      <c r="M505" s="85">
        <v>27.987198137230241</v>
      </c>
      <c r="N505" s="85" t="s">
        <v>254</v>
      </c>
      <c r="O505" s="85">
        <v>0</v>
      </c>
      <c r="P505" s="85">
        <v>0</v>
      </c>
      <c r="Q505" s="85">
        <v>0</v>
      </c>
      <c r="R505" s="85"/>
      <c r="S505" s="86"/>
    </row>
    <row r="506" spans="1:19" ht="15">
      <c r="A506" s="70" t="s">
        <v>254</v>
      </c>
      <c r="B506" s="94" t="str">
        <f t="shared" si="15"/>
        <v/>
      </c>
      <c r="C506" s="72" t="s">
        <v>254</v>
      </c>
      <c r="D506" s="72" t="s">
        <v>254</v>
      </c>
      <c r="E506" s="85" t="s">
        <v>254</v>
      </c>
      <c r="F506" s="85" t="s">
        <v>254</v>
      </c>
      <c r="G506" s="85" t="s">
        <v>254</v>
      </c>
      <c r="H506" s="85" t="s">
        <v>254</v>
      </c>
      <c r="I506" s="85" t="s">
        <v>254</v>
      </c>
      <c r="J506" s="85" t="s">
        <v>254</v>
      </c>
      <c r="K506" s="85" t="s">
        <v>254</v>
      </c>
      <c r="L506" s="85" t="s">
        <v>254</v>
      </c>
      <c r="M506" s="85" t="s">
        <v>254</v>
      </c>
      <c r="N506" s="85" t="s">
        <v>254</v>
      </c>
      <c r="O506" s="85" t="s">
        <v>254</v>
      </c>
      <c r="P506" s="85" t="s">
        <v>254</v>
      </c>
      <c r="Q506" s="85" t="s">
        <v>254</v>
      </c>
      <c r="R506" s="85"/>
      <c r="S506" s="86"/>
    </row>
    <row r="507" spans="1:19" ht="15">
      <c r="A507" s="70">
        <v>18</v>
      </c>
      <c r="B507" s="94" t="str">
        <f t="shared" si="15"/>
        <v>TAL</v>
      </c>
      <c r="C507" s="72" t="s">
        <v>656</v>
      </c>
      <c r="D507" s="72" t="s">
        <v>254</v>
      </c>
      <c r="E507" s="85">
        <v>31789776.369999968</v>
      </c>
      <c r="F507" s="85" t="s">
        <v>254</v>
      </c>
      <c r="G507" s="85">
        <v>28499982.596651986</v>
      </c>
      <c r="H507" s="85" t="s">
        <v>254</v>
      </c>
      <c r="I507" s="85">
        <v>3289692.7261059796</v>
      </c>
      <c r="J507" s="85">
        <v>101.04724199972202</v>
      </c>
      <c r="K507" s="85" t="s">
        <v>254</v>
      </c>
      <c r="L507" s="85" t="s">
        <v>254</v>
      </c>
      <c r="M507" s="85">
        <v>101.04724199972202</v>
      </c>
      <c r="N507" s="85" t="s">
        <v>254</v>
      </c>
      <c r="O507" s="85">
        <v>0</v>
      </c>
      <c r="P507" s="85">
        <v>0</v>
      </c>
      <c r="Q507" s="85">
        <v>0</v>
      </c>
      <c r="R507" s="85"/>
      <c r="S507" s="86"/>
    </row>
    <row r="508" spans="1:19" ht="15">
      <c r="A508" s="70" t="s">
        <v>254</v>
      </c>
      <c r="B508" s="94" t="str">
        <f t="shared" si="15"/>
        <v/>
      </c>
      <c r="C508" s="72" t="s">
        <v>254</v>
      </c>
      <c r="D508" s="72" t="s">
        <v>254</v>
      </c>
      <c r="E508" s="85" t="s">
        <v>254</v>
      </c>
      <c r="F508" s="85" t="s">
        <v>254</v>
      </c>
      <c r="G508" s="85" t="s">
        <v>254</v>
      </c>
      <c r="H508" s="85" t="s">
        <v>254</v>
      </c>
      <c r="I508" s="85" t="s">
        <v>254</v>
      </c>
      <c r="J508" s="85" t="s">
        <v>254</v>
      </c>
      <c r="K508" s="85" t="s">
        <v>254</v>
      </c>
      <c r="L508" s="85" t="s">
        <v>254</v>
      </c>
      <c r="M508" s="85" t="s">
        <v>254</v>
      </c>
      <c r="N508" s="85" t="s">
        <v>254</v>
      </c>
      <c r="O508" s="85" t="s">
        <v>254</v>
      </c>
      <c r="P508" s="85" t="s">
        <v>254</v>
      </c>
      <c r="Q508" s="85" t="s">
        <v>254</v>
      </c>
      <c r="R508" s="85"/>
      <c r="S508" s="86"/>
    </row>
    <row r="509" spans="1:19" ht="15">
      <c r="A509" s="70" t="s">
        <v>254</v>
      </c>
      <c r="B509" s="94" t="str">
        <f t="shared" si="15"/>
        <v>STR</v>
      </c>
      <c r="C509" s="72" t="s">
        <v>657</v>
      </c>
      <c r="D509" s="72" t="s">
        <v>254</v>
      </c>
      <c r="E509" s="85" t="s">
        <v>254</v>
      </c>
      <c r="F509" s="85" t="s">
        <v>254</v>
      </c>
      <c r="G509" s="85" t="s">
        <v>254</v>
      </c>
      <c r="H509" s="85" t="s">
        <v>254</v>
      </c>
      <c r="I509" s="85" t="s">
        <v>254</v>
      </c>
      <c r="J509" s="85" t="s">
        <v>254</v>
      </c>
      <c r="K509" s="85" t="s">
        <v>254</v>
      </c>
      <c r="L509" s="85" t="s">
        <v>254</v>
      </c>
      <c r="M509" s="85" t="s">
        <v>254</v>
      </c>
      <c r="N509" s="85" t="s">
        <v>254</v>
      </c>
      <c r="O509" s="85" t="s">
        <v>254</v>
      </c>
      <c r="P509" s="85" t="s">
        <v>254</v>
      </c>
      <c r="Q509" s="85" t="s">
        <v>254</v>
      </c>
      <c r="R509" s="85"/>
      <c r="S509" s="86"/>
    </row>
    <row r="510" spans="1:19" ht="15">
      <c r="A510" s="70">
        <v>19</v>
      </c>
      <c r="B510" s="94" t="str">
        <f t="shared" si="15"/>
        <v>580</v>
      </c>
      <c r="C510" s="72" t="s">
        <v>658</v>
      </c>
      <c r="D510" s="72" t="s">
        <v>505</v>
      </c>
      <c r="E510" s="85">
        <v>1664189.59</v>
      </c>
      <c r="F510" s="85" t="s">
        <v>254</v>
      </c>
      <c r="G510" s="85">
        <v>1570159.713446195</v>
      </c>
      <c r="H510" s="85" t="s">
        <v>254</v>
      </c>
      <c r="I510" s="85">
        <v>89229.579956255038</v>
      </c>
      <c r="J510" s="85">
        <v>4800.2965975500183</v>
      </c>
      <c r="K510" s="85" t="s">
        <v>254</v>
      </c>
      <c r="L510" s="85" t="s">
        <v>254</v>
      </c>
      <c r="M510" s="85">
        <v>166.36000908262369</v>
      </c>
      <c r="N510" s="85" t="s">
        <v>254</v>
      </c>
      <c r="O510" s="85">
        <v>4633.9365884673944</v>
      </c>
      <c r="P510" s="85">
        <v>4016.6665680542214</v>
      </c>
      <c r="Q510" s="85">
        <v>617.2700204131728</v>
      </c>
      <c r="R510" s="85"/>
      <c r="S510" s="86"/>
    </row>
    <row r="511" spans="1:19" ht="15">
      <c r="A511" s="70">
        <v>20</v>
      </c>
      <c r="B511" s="94" t="str">
        <f t="shared" si="15"/>
        <v>581</v>
      </c>
      <c r="C511" s="72" t="s">
        <v>659</v>
      </c>
      <c r="D511" s="72" t="s">
        <v>660</v>
      </c>
      <c r="E511" s="85">
        <v>371264.25999999902</v>
      </c>
      <c r="F511" s="85" t="s">
        <v>254</v>
      </c>
      <c r="G511" s="85">
        <v>348184.92083662649</v>
      </c>
      <c r="H511" s="85" t="s">
        <v>254</v>
      </c>
      <c r="I511" s="85">
        <v>15876.236950759416</v>
      </c>
      <c r="J511" s="85">
        <v>7203.102212613122</v>
      </c>
      <c r="K511" s="85" t="s">
        <v>254</v>
      </c>
      <c r="L511" s="85" t="s">
        <v>254</v>
      </c>
      <c r="M511" s="85">
        <v>130.40998387477464</v>
      </c>
      <c r="N511" s="85" t="s">
        <v>254</v>
      </c>
      <c r="O511" s="85">
        <v>7072.6922287383477</v>
      </c>
      <c r="P511" s="85">
        <v>7072.6922287383477</v>
      </c>
      <c r="Q511" s="85">
        <v>0</v>
      </c>
      <c r="R511" s="85"/>
      <c r="S511" s="86"/>
    </row>
    <row r="512" spans="1:19" ht="15">
      <c r="A512" s="70">
        <v>21</v>
      </c>
      <c r="B512" s="94" t="str">
        <f t="shared" si="15"/>
        <v>582</v>
      </c>
      <c r="C512" s="72" t="s">
        <v>661</v>
      </c>
      <c r="D512" s="72" t="s">
        <v>660</v>
      </c>
      <c r="E512" s="85">
        <v>1926550.0899999903</v>
      </c>
      <c r="F512" s="85" t="s">
        <v>254</v>
      </c>
      <c r="G512" s="85">
        <v>1806787.6788744598</v>
      </c>
      <c r="H512" s="85" t="s">
        <v>254</v>
      </c>
      <c r="I512" s="85">
        <v>82384.352661219804</v>
      </c>
      <c r="J512" s="85">
        <v>37378.058464310503</v>
      </c>
      <c r="K512" s="85" t="s">
        <v>254</v>
      </c>
      <c r="L512" s="85" t="s">
        <v>254</v>
      </c>
      <c r="M512" s="85">
        <v>676.71842738335488</v>
      </c>
      <c r="N512" s="85" t="s">
        <v>254</v>
      </c>
      <c r="O512" s="85">
        <v>36701.340036927148</v>
      </c>
      <c r="P512" s="85">
        <v>36701.340036927148</v>
      </c>
      <c r="Q512" s="85">
        <v>0</v>
      </c>
      <c r="R512" s="85"/>
      <c r="S512" s="86"/>
    </row>
    <row r="513" spans="1:19" ht="15">
      <c r="A513" s="70">
        <v>22</v>
      </c>
      <c r="B513" s="94" t="str">
        <f t="shared" ref="B513:B576" si="16">MID(C513,3,3)</f>
        <v>583</v>
      </c>
      <c r="C513" s="72" t="s">
        <v>662</v>
      </c>
      <c r="D513" s="72" t="s">
        <v>663</v>
      </c>
      <c r="E513" s="85">
        <v>5271308.05</v>
      </c>
      <c r="F513" s="85" t="s">
        <v>254</v>
      </c>
      <c r="G513" s="85">
        <v>4885155.9922376694</v>
      </c>
      <c r="H513" s="85" t="s">
        <v>254</v>
      </c>
      <c r="I513" s="85">
        <v>385484.3539110432</v>
      </c>
      <c r="J513" s="85">
        <v>667.70385128680698</v>
      </c>
      <c r="K513" s="85" t="s">
        <v>254</v>
      </c>
      <c r="L513" s="85" t="s">
        <v>254</v>
      </c>
      <c r="M513" s="85">
        <v>667.70385128680698</v>
      </c>
      <c r="N513" s="85" t="s">
        <v>254</v>
      </c>
      <c r="O513" s="85">
        <v>0</v>
      </c>
      <c r="P513" s="85">
        <v>0</v>
      </c>
      <c r="Q513" s="85">
        <v>0</v>
      </c>
      <c r="R513" s="85"/>
      <c r="S513" s="86"/>
    </row>
    <row r="514" spans="1:19" ht="15">
      <c r="A514" s="70">
        <v>23</v>
      </c>
      <c r="B514" s="94" t="str">
        <f t="shared" si="16"/>
        <v>584</v>
      </c>
      <c r="C514" s="72" t="s">
        <v>664</v>
      </c>
      <c r="D514" s="72" t="s">
        <v>665</v>
      </c>
      <c r="E514" s="85">
        <v>111</v>
      </c>
      <c r="F514" s="85" t="s">
        <v>254</v>
      </c>
      <c r="G514" s="85">
        <v>108.04470038878037</v>
      </c>
      <c r="H514" s="85" t="s">
        <v>254</v>
      </c>
      <c r="I514" s="85">
        <v>2.9552996112196359</v>
      </c>
      <c r="J514" s="85">
        <v>0</v>
      </c>
      <c r="K514" s="85" t="s">
        <v>254</v>
      </c>
      <c r="L514" s="85" t="s">
        <v>254</v>
      </c>
      <c r="M514" s="85">
        <v>0</v>
      </c>
      <c r="N514" s="85" t="s">
        <v>254</v>
      </c>
      <c r="O514" s="85">
        <v>0</v>
      </c>
      <c r="P514" s="85">
        <v>0</v>
      </c>
      <c r="Q514" s="85">
        <v>0</v>
      </c>
      <c r="R514" s="85"/>
      <c r="S514" s="86"/>
    </row>
    <row r="515" spans="1:19" ht="15">
      <c r="A515" s="70">
        <v>24</v>
      </c>
      <c r="B515" s="94" t="str">
        <f t="shared" si="16"/>
        <v>585</v>
      </c>
      <c r="C515" s="72" t="s">
        <v>666</v>
      </c>
      <c r="D515" s="72" t="s">
        <v>667</v>
      </c>
      <c r="E515" s="85">
        <v>0</v>
      </c>
      <c r="F515" s="85" t="s">
        <v>254</v>
      </c>
      <c r="G515" s="85">
        <v>0</v>
      </c>
      <c r="H515" s="85" t="s">
        <v>254</v>
      </c>
      <c r="I515" s="85">
        <v>0</v>
      </c>
      <c r="J515" s="85">
        <v>0</v>
      </c>
      <c r="K515" s="85" t="s">
        <v>254</v>
      </c>
      <c r="L515" s="85" t="s">
        <v>254</v>
      </c>
      <c r="M515" s="85">
        <v>0</v>
      </c>
      <c r="N515" s="85" t="s">
        <v>254</v>
      </c>
      <c r="O515" s="85">
        <v>0</v>
      </c>
      <c r="P515" s="85">
        <v>0</v>
      </c>
      <c r="Q515" s="85">
        <v>0</v>
      </c>
      <c r="R515" s="85"/>
      <c r="S515" s="86"/>
    </row>
    <row r="516" spans="1:19" ht="15">
      <c r="A516" s="70">
        <v>25</v>
      </c>
      <c r="B516" s="94" t="str">
        <f t="shared" si="16"/>
        <v>586</v>
      </c>
      <c r="C516" s="72" t="s">
        <v>668</v>
      </c>
      <c r="D516" s="72" t="s">
        <v>669</v>
      </c>
      <c r="E516" s="85">
        <v>7834561.3900000015</v>
      </c>
      <c r="F516" s="85" t="s">
        <v>254</v>
      </c>
      <c r="G516" s="85">
        <v>7404740.46793669</v>
      </c>
      <c r="H516" s="85" t="s">
        <v>254</v>
      </c>
      <c r="I516" s="85">
        <v>393304.58320003439</v>
      </c>
      <c r="J516" s="85">
        <v>36516.338863276513</v>
      </c>
      <c r="K516" s="85" t="s">
        <v>254</v>
      </c>
      <c r="L516" s="85" t="s">
        <v>254</v>
      </c>
      <c r="M516" s="85">
        <v>419.38486242167841</v>
      </c>
      <c r="N516" s="85" t="s">
        <v>254</v>
      </c>
      <c r="O516" s="85">
        <v>36096.954000854836</v>
      </c>
      <c r="P516" s="85">
        <v>6307.6363782630406</v>
      </c>
      <c r="Q516" s="85">
        <v>29789.317622591792</v>
      </c>
      <c r="R516" s="85"/>
      <c r="S516" s="86"/>
    </row>
    <row r="517" spans="1:19" ht="15">
      <c r="A517" s="70">
        <v>26</v>
      </c>
      <c r="B517" s="94" t="str">
        <f t="shared" si="16"/>
        <v>587</v>
      </c>
      <c r="C517" s="72" t="s">
        <v>670</v>
      </c>
      <c r="D517" s="72" t="s">
        <v>671</v>
      </c>
      <c r="E517" s="85">
        <v>-109352.75</v>
      </c>
      <c r="F517" s="85" t="s">
        <v>254</v>
      </c>
      <c r="G517" s="85">
        <v>-109352.75</v>
      </c>
      <c r="H517" s="85" t="s">
        <v>254</v>
      </c>
      <c r="I517" s="85">
        <v>0</v>
      </c>
      <c r="J517" s="85">
        <v>0</v>
      </c>
      <c r="K517" s="85" t="s">
        <v>254</v>
      </c>
      <c r="L517" s="85" t="s">
        <v>254</v>
      </c>
      <c r="M517" s="85">
        <v>0</v>
      </c>
      <c r="N517" s="85" t="s">
        <v>254</v>
      </c>
      <c r="O517" s="85">
        <v>0</v>
      </c>
      <c r="P517" s="85">
        <v>0</v>
      </c>
      <c r="Q517" s="85">
        <v>0</v>
      </c>
      <c r="R517" s="85"/>
      <c r="S517" s="86"/>
    </row>
    <row r="518" spans="1:19" ht="15">
      <c r="A518" s="70">
        <v>27</v>
      </c>
      <c r="B518" s="94" t="str">
        <f t="shared" si="16"/>
        <v>588</v>
      </c>
      <c r="C518" s="72" t="s">
        <v>672</v>
      </c>
      <c r="D518" s="72" t="s">
        <v>505</v>
      </c>
      <c r="E518" s="85">
        <v>5624216.7599999998</v>
      </c>
      <c r="F518" s="85" t="s">
        <v>254</v>
      </c>
      <c r="G518" s="85">
        <v>5306437.8177253753</v>
      </c>
      <c r="H518" s="85" t="s">
        <v>254</v>
      </c>
      <c r="I518" s="85">
        <v>301556.08597319108</v>
      </c>
      <c r="J518" s="85">
        <v>16222.856301433651</v>
      </c>
      <c r="K518" s="85" t="s">
        <v>254</v>
      </c>
      <c r="L518" s="85" t="s">
        <v>254</v>
      </c>
      <c r="M518" s="85">
        <v>562.22245163560012</v>
      </c>
      <c r="N518" s="85" t="s">
        <v>254</v>
      </c>
      <c r="O518" s="85">
        <v>15660.633849798051</v>
      </c>
      <c r="P518" s="85">
        <v>13574.537160385813</v>
      </c>
      <c r="Q518" s="85">
        <v>2086.0966894122371</v>
      </c>
      <c r="R518" s="85"/>
      <c r="S518" s="86"/>
    </row>
    <row r="519" spans="1:19" ht="15">
      <c r="A519" s="70">
        <v>28</v>
      </c>
      <c r="B519" s="94" t="str">
        <f t="shared" si="16"/>
        <v>589</v>
      </c>
      <c r="C519" s="72" t="s">
        <v>673</v>
      </c>
      <c r="D519" s="72" t="s">
        <v>505</v>
      </c>
      <c r="E519" s="85">
        <v>5562.1</v>
      </c>
      <c r="F519" s="85" t="s">
        <v>254</v>
      </c>
      <c r="G519" s="85">
        <v>5247.8307727901856</v>
      </c>
      <c r="H519" s="85" t="s">
        <v>254</v>
      </c>
      <c r="I519" s="85">
        <v>298.22554452746346</v>
      </c>
      <c r="J519" s="85">
        <v>16.043682682351687</v>
      </c>
      <c r="K519" s="85" t="s">
        <v>254</v>
      </c>
      <c r="L519" s="85" t="s">
        <v>254</v>
      </c>
      <c r="M519" s="85">
        <v>0.55601297597256405</v>
      </c>
      <c r="N519" s="85" t="s">
        <v>254</v>
      </c>
      <c r="O519" s="85">
        <v>15.487669706379123</v>
      </c>
      <c r="P519" s="85">
        <v>13.424612948200442</v>
      </c>
      <c r="Q519" s="85">
        <v>2.0630567581786812</v>
      </c>
      <c r="R519" s="85"/>
      <c r="S519" s="86"/>
    </row>
    <row r="520" spans="1:19" ht="15">
      <c r="A520" s="70">
        <v>29</v>
      </c>
      <c r="B520" s="94" t="str">
        <f t="shared" si="16"/>
        <v xml:space="preserve">  T</v>
      </c>
      <c r="C520" s="72" t="s">
        <v>674</v>
      </c>
      <c r="D520" s="72" t="s">
        <v>254</v>
      </c>
      <c r="E520" s="85">
        <v>22588410.489999991</v>
      </c>
      <c r="F520" s="85" t="s">
        <v>254</v>
      </c>
      <c r="G520" s="85">
        <v>21217469.716530196</v>
      </c>
      <c r="H520" s="85" t="s">
        <v>254</v>
      </c>
      <c r="I520" s="85">
        <v>1268136.3734966416</v>
      </c>
      <c r="J520" s="85">
        <v>102804.39997315296</v>
      </c>
      <c r="K520" s="85" t="s">
        <v>254</v>
      </c>
      <c r="L520" s="85" t="s">
        <v>254</v>
      </c>
      <c r="M520" s="85">
        <v>2623.3555986608112</v>
      </c>
      <c r="N520" s="85" t="s">
        <v>254</v>
      </c>
      <c r="O520" s="85">
        <v>100181.04437449215</v>
      </c>
      <c r="P520" s="85">
        <v>67686.296985316774</v>
      </c>
      <c r="Q520" s="85">
        <v>32494.74738917538</v>
      </c>
      <c r="R520" s="85"/>
      <c r="S520" s="86"/>
    </row>
    <row r="521" spans="1:19" ht="15">
      <c r="A521" s="70">
        <v>30</v>
      </c>
      <c r="B521" s="94" t="str">
        <f t="shared" si="16"/>
        <v>590</v>
      </c>
      <c r="C521" s="72" t="s">
        <v>675</v>
      </c>
      <c r="D521" s="72" t="s">
        <v>505</v>
      </c>
      <c r="E521" s="85">
        <v>39200.589999999989</v>
      </c>
      <c r="F521" s="85" t="s">
        <v>254</v>
      </c>
      <c r="G521" s="85">
        <v>36985.682118899545</v>
      </c>
      <c r="H521" s="85" t="s">
        <v>254</v>
      </c>
      <c r="I521" s="85">
        <v>2101.8351519296375</v>
      </c>
      <c r="J521" s="85">
        <v>113.07272917081114</v>
      </c>
      <c r="K521" s="85" t="s">
        <v>254</v>
      </c>
      <c r="L521" s="85" t="s">
        <v>254</v>
      </c>
      <c r="M521" s="85">
        <v>3.9186704132935999</v>
      </c>
      <c r="N521" s="85" t="s">
        <v>254</v>
      </c>
      <c r="O521" s="85">
        <v>109.15405875751755</v>
      </c>
      <c r="P521" s="85">
        <v>94.614039318080714</v>
      </c>
      <c r="Q521" s="85">
        <v>14.540019439436835</v>
      </c>
      <c r="R521" s="85"/>
      <c r="S521" s="86"/>
    </row>
    <row r="522" spans="1:19" ht="15">
      <c r="A522" s="70">
        <v>31</v>
      </c>
      <c r="B522" s="94" t="str">
        <f t="shared" si="16"/>
        <v>591</v>
      </c>
      <c r="C522" s="72" t="s">
        <v>676</v>
      </c>
      <c r="D522" s="72" t="s">
        <v>660</v>
      </c>
      <c r="E522" s="85">
        <v>0</v>
      </c>
      <c r="F522" s="85" t="s">
        <v>254</v>
      </c>
      <c r="G522" s="85">
        <v>0</v>
      </c>
      <c r="H522" s="85" t="s">
        <v>254</v>
      </c>
      <c r="I522" s="85">
        <v>0</v>
      </c>
      <c r="J522" s="85">
        <v>0</v>
      </c>
      <c r="K522" s="85" t="s">
        <v>254</v>
      </c>
      <c r="L522" s="85" t="s">
        <v>254</v>
      </c>
      <c r="M522" s="85">
        <v>0</v>
      </c>
      <c r="N522" s="85" t="s">
        <v>254</v>
      </c>
      <c r="O522" s="85">
        <v>0</v>
      </c>
      <c r="P522" s="85">
        <v>0</v>
      </c>
      <c r="Q522" s="85">
        <v>0</v>
      </c>
      <c r="R522" s="85"/>
      <c r="S522" s="86"/>
    </row>
    <row r="523" spans="1:19" ht="15">
      <c r="A523" s="70">
        <v>32</v>
      </c>
      <c r="B523" s="94" t="str">
        <f t="shared" si="16"/>
        <v>592</v>
      </c>
      <c r="C523" s="72" t="s">
        <v>677</v>
      </c>
      <c r="D523" s="72" t="s">
        <v>660</v>
      </c>
      <c r="E523" s="85">
        <v>1225824.9899999998</v>
      </c>
      <c r="F523" s="85" t="s">
        <v>254</v>
      </c>
      <c r="G523" s="85">
        <v>1149622.5817769517</v>
      </c>
      <c r="H523" s="85" t="s">
        <v>254</v>
      </c>
      <c r="I523" s="85">
        <v>52419.503028388295</v>
      </c>
      <c r="J523" s="85">
        <v>23782.905194659674</v>
      </c>
      <c r="K523" s="85" t="s">
        <v>254</v>
      </c>
      <c r="L523" s="85" t="s">
        <v>254</v>
      </c>
      <c r="M523" s="85">
        <v>430.58229515331254</v>
      </c>
      <c r="N523" s="85" t="s">
        <v>254</v>
      </c>
      <c r="O523" s="85">
        <v>23352.322899506362</v>
      </c>
      <c r="P523" s="85">
        <v>23352.322899506362</v>
      </c>
      <c r="Q523" s="85">
        <v>0</v>
      </c>
      <c r="R523" s="85"/>
      <c r="S523" s="86"/>
    </row>
    <row r="524" spans="1:19" ht="15">
      <c r="A524" s="70">
        <v>33</v>
      </c>
      <c r="B524" s="94" t="str">
        <f t="shared" si="16"/>
        <v>593</v>
      </c>
      <c r="C524" s="72" t="s">
        <v>678</v>
      </c>
      <c r="D524" s="72" t="s">
        <v>663</v>
      </c>
      <c r="E524" s="85">
        <v>32441040.410000004</v>
      </c>
      <c r="F524" s="85" t="s">
        <v>254</v>
      </c>
      <c r="G524" s="85">
        <v>30056145.737812385</v>
      </c>
      <c r="H524" s="85" t="s">
        <v>254</v>
      </c>
      <c r="I524" s="85">
        <v>2381588.4737002621</v>
      </c>
      <c r="J524" s="85">
        <v>3306.1984873553806</v>
      </c>
      <c r="K524" s="85" t="s">
        <v>254</v>
      </c>
      <c r="L524" s="85" t="s">
        <v>254</v>
      </c>
      <c r="M524" s="85">
        <v>3306.1984873553806</v>
      </c>
      <c r="N524" s="85" t="s">
        <v>254</v>
      </c>
      <c r="O524" s="85">
        <v>0</v>
      </c>
      <c r="P524" s="85">
        <v>0</v>
      </c>
      <c r="Q524" s="85">
        <v>0</v>
      </c>
      <c r="R524" s="85"/>
      <c r="S524" s="86"/>
    </row>
    <row r="525" spans="1:19" ht="15">
      <c r="A525" s="70">
        <v>34</v>
      </c>
      <c r="B525" s="94" t="str">
        <f t="shared" si="16"/>
        <v>594</v>
      </c>
      <c r="C525" s="72" t="s">
        <v>679</v>
      </c>
      <c r="D525" s="72" t="s">
        <v>665</v>
      </c>
      <c r="E525" s="85">
        <v>613791.6100000001</v>
      </c>
      <c r="F525" s="85" t="s">
        <v>254</v>
      </c>
      <c r="G525" s="85">
        <v>597449.82525763183</v>
      </c>
      <c r="H525" s="85" t="s">
        <v>254</v>
      </c>
      <c r="I525" s="85">
        <v>16341.784742368238</v>
      </c>
      <c r="J525" s="85">
        <v>0</v>
      </c>
      <c r="K525" s="85" t="s">
        <v>254</v>
      </c>
      <c r="L525" s="85" t="s">
        <v>254</v>
      </c>
      <c r="M525" s="85">
        <v>0</v>
      </c>
      <c r="N525" s="85" t="s">
        <v>254</v>
      </c>
      <c r="O525" s="85">
        <v>0</v>
      </c>
      <c r="P525" s="85">
        <v>0</v>
      </c>
      <c r="Q525" s="85">
        <v>0</v>
      </c>
      <c r="R525" s="85"/>
      <c r="S525" s="86"/>
    </row>
    <row r="526" spans="1:19" ht="15">
      <c r="A526" s="70">
        <v>35</v>
      </c>
      <c r="B526" s="94" t="str">
        <f t="shared" si="16"/>
        <v>595</v>
      </c>
      <c r="C526" s="72" t="s">
        <v>680</v>
      </c>
      <c r="D526" s="72" t="s">
        <v>681</v>
      </c>
      <c r="E526" s="85">
        <v>114446.74999999898</v>
      </c>
      <c r="F526" s="85" t="s">
        <v>254</v>
      </c>
      <c r="G526" s="85">
        <v>109638.998519282</v>
      </c>
      <c r="H526" s="85" t="s">
        <v>254</v>
      </c>
      <c r="I526" s="85">
        <v>4618.6597230094094</v>
      </c>
      <c r="J526" s="85">
        <v>189.09175770757784</v>
      </c>
      <c r="K526" s="85" t="s">
        <v>254</v>
      </c>
      <c r="L526" s="85" t="s">
        <v>254</v>
      </c>
      <c r="M526" s="85">
        <v>1.1319740588290854</v>
      </c>
      <c r="N526" s="85" t="s">
        <v>254</v>
      </c>
      <c r="O526" s="85">
        <v>187.95978364874875</v>
      </c>
      <c r="P526" s="85">
        <v>58.334988157178806</v>
      </c>
      <c r="Q526" s="85">
        <v>129.62479549156996</v>
      </c>
      <c r="R526" s="85"/>
      <c r="S526" s="86"/>
    </row>
    <row r="527" spans="1:19" ht="15">
      <c r="A527" s="70">
        <v>36</v>
      </c>
      <c r="B527" s="94" t="str">
        <f t="shared" si="16"/>
        <v>596</v>
      </c>
      <c r="C527" s="72" t="s">
        <v>682</v>
      </c>
      <c r="D527" s="72" t="s">
        <v>667</v>
      </c>
      <c r="E527" s="85">
        <v>3.9999999999999996</v>
      </c>
      <c r="F527" s="85" t="s">
        <v>254</v>
      </c>
      <c r="G527" s="85">
        <v>3.8711275984796374</v>
      </c>
      <c r="H527" s="85" t="s">
        <v>254</v>
      </c>
      <c r="I527" s="85">
        <v>0.12887240152036231</v>
      </c>
      <c r="J527" s="85">
        <v>0</v>
      </c>
      <c r="K527" s="85" t="s">
        <v>254</v>
      </c>
      <c r="L527" s="85" t="s">
        <v>254</v>
      </c>
      <c r="M527" s="85">
        <v>0</v>
      </c>
      <c r="N527" s="85" t="s">
        <v>254</v>
      </c>
      <c r="O527" s="85">
        <v>0</v>
      </c>
      <c r="P527" s="85">
        <v>0</v>
      </c>
      <c r="Q527" s="85">
        <v>0</v>
      </c>
      <c r="R527" s="85"/>
      <c r="S527" s="86"/>
    </row>
    <row r="528" spans="1:19" ht="15">
      <c r="A528" s="70">
        <v>37</v>
      </c>
      <c r="B528" s="94" t="str">
        <f t="shared" si="16"/>
        <v>597</v>
      </c>
      <c r="C528" s="72" t="s">
        <v>683</v>
      </c>
      <c r="D528" s="72" t="s">
        <v>669</v>
      </c>
      <c r="E528" s="85">
        <v>0</v>
      </c>
      <c r="F528" s="85" t="s">
        <v>254</v>
      </c>
      <c r="G528" s="85">
        <v>0</v>
      </c>
      <c r="H528" s="85" t="s">
        <v>254</v>
      </c>
      <c r="I528" s="85">
        <v>0</v>
      </c>
      <c r="J528" s="85">
        <v>0</v>
      </c>
      <c r="K528" s="85" t="s">
        <v>254</v>
      </c>
      <c r="L528" s="85" t="s">
        <v>254</v>
      </c>
      <c r="M528" s="85">
        <v>0</v>
      </c>
      <c r="N528" s="85" t="s">
        <v>254</v>
      </c>
      <c r="O528" s="85">
        <v>0</v>
      </c>
      <c r="P528" s="85">
        <v>0</v>
      </c>
      <c r="Q528" s="85">
        <v>0</v>
      </c>
      <c r="R528" s="85"/>
      <c r="S528" s="86"/>
    </row>
    <row r="529" spans="1:19" ht="15">
      <c r="A529" s="70">
        <v>38</v>
      </c>
      <c r="B529" s="94" t="str">
        <f t="shared" si="16"/>
        <v>598</v>
      </c>
      <c r="C529" s="72" t="s">
        <v>684</v>
      </c>
      <c r="D529" s="72" t="s">
        <v>505</v>
      </c>
      <c r="E529" s="85">
        <v>331381.08999999892</v>
      </c>
      <c r="F529" s="85" t="s">
        <v>254</v>
      </c>
      <c r="G529" s="85">
        <v>312657.42824162607</v>
      </c>
      <c r="H529" s="85" t="s">
        <v>254</v>
      </c>
      <c r="I529" s="85">
        <v>17767.804608215254</v>
      </c>
      <c r="J529" s="85">
        <v>955.85715015764004</v>
      </c>
      <c r="K529" s="85" t="s">
        <v>254</v>
      </c>
      <c r="L529" s="85" t="s">
        <v>254</v>
      </c>
      <c r="M529" s="85">
        <v>33.126370621155949</v>
      </c>
      <c r="N529" s="85" t="s">
        <v>254</v>
      </c>
      <c r="O529" s="85">
        <v>922.73077953648408</v>
      </c>
      <c r="P529" s="85">
        <v>799.81713230664002</v>
      </c>
      <c r="Q529" s="85">
        <v>122.91364722984406</v>
      </c>
      <c r="R529" s="85"/>
      <c r="S529" s="86"/>
    </row>
    <row r="530" spans="1:19" ht="15">
      <c r="A530" s="70">
        <v>39</v>
      </c>
      <c r="B530" s="94" t="str">
        <f t="shared" si="16"/>
        <v xml:space="preserve">  T</v>
      </c>
      <c r="C530" s="72" t="s">
        <v>685</v>
      </c>
      <c r="D530" s="72" t="s">
        <v>254</v>
      </c>
      <c r="E530" s="85">
        <v>34765689.439999998</v>
      </c>
      <c r="F530" s="85" t="s">
        <v>254</v>
      </c>
      <c r="G530" s="85">
        <v>32262504.124854375</v>
      </c>
      <c r="H530" s="85" t="s">
        <v>254</v>
      </c>
      <c r="I530" s="85">
        <v>2474838.1898265746</v>
      </c>
      <c r="J530" s="85">
        <v>28347.125319051083</v>
      </c>
      <c r="K530" s="85" t="s">
        <v>254</v>
      </c>
      <c r="L530" s="85" t="s">
        <v>254</v>
      </c>
      <c r="M530" s="85">
        <v>3774.9577976019718</v>
      </c>
      <c r="N530" s="85" t="s">
        <v>254</v>
      </c>
      <c r="O530" s="85">
        <v>24572.167521449112</v>
      </c>
      <c r="P530" s="85">
        <v>24305.089059288261</v>
      </c>
      <c r="Q530" s="85">
        <v>267.07846216085085</v>
      </c>
      <c r="R530" s="85"/>
      <c r="S530" s="86"/>
    </row>
    <row r="531" spans="1:19" ht="15">
      <c r="A531" s="70" t="s">
        <v>254</v>
      </c>
      <c r="B531" s="94" t="str">
        <f t="shared" si="16"/>
        <v/>
      </c>
      <c r="C531" s="72" t="s">
        <v>254</v>
      </c>
      <c r="D531" s="72" t="s">
        <v>254</v>
      </c>
      <c r="E531" s="85" t="s">
        <v>254</v>
      </c>
      <c r="F531" s="85" t="s">
        <v>254</v>
      </c>
      <c r="G531" s="85" t="s">
        <v>254</v>
      </c>
      <c r="H531" s="85" t="s">
        <v>254</v>
      </c>
      <c r="I531" s="85" t="s">
        <v>254</v>
      </c>
      <c r="J531" s="85" t="s">
        <v>254</v>
      </c>
      <c r="K531" s="85" t="s">
        <v>254</v>
      </c>
      <c r="L531" s="85" t="s">
        <v>254</v>
      </c>
      <c r="M531" s="85" t="s">
        <v>254</v>
      </c>
      <c r="N531" s="85" t="s">
        <v>254</v>
      </c>
      <c r="O531" s="85" t="s">
        <v>254</v>
      </c>
      <c r="P531" s="85" t="s">
        <v>254</v>
      </c>
      <c r="Q531" s="85" t="s">
        <v>254</v>
      </c>
      <c r="R531" s="85"/>
      <c r="S531" s="86"/>
    </row>
    <row r="532" spans="1:19" ht="15">
      <c r="A532" s="70">
        <v>40</v>
      </c>
      <c r="B532" s="94" t="str">
        <f t="shared" si="16"/>
        <v>TAL</v>
      </c>
      <c r="C532" s="72" t="s">
        <v>686</v>
      </c>
      <c r="D532" s="72" t="s">
        <v>254</v>
      </c>
      <c r="E532" s="85">
        <v>57354099.929999992</v>
      </c>
      <c r="F532" s="85" t="s">
        <v>254</v>
      </c>
      <c r="G532" s="85">
        <v>53479973.841384575</v>
      </c>
      <c r="H532" s="85" t="s">
        <v>254</v>
      </c>
      <c r="I532" s="85">
        <v>3742974.5633232165</v>
      </c>
      <c r="J532" s="85">
        <v>131151.52529220405</v>
      </c>
      <c r="K532" s="85" t="s">
        <v>254</v>
      </c>
      <c r="L532" s="85" t="s">
        <v>254</v>
      </c>
      <c r="M532" s="85">
        <v>6398.3133962627835</v>
      </c>
      <c r="N532" s="85" t="s">
        <v>254</v>
      </c>
      <c r="O532" s="85">
        <v>124753.21189594126</v>
      </c>
      <c r="P532" s="85">
        <v>91991.386044605038</v>
      </c>
      <c r="Q532" s="85">
        <v>32761.825851336231</v>
      </c>
      <c r="R532" s="85"/>
      <c r="S532" s="86"/>
    </row>
    <row r="533" spans="1:19" ht="15">
      <c r="A533" s="70" t="s">
        <v>254</v>
      </c>
      <c r="B533" s="94" t="str">
        <f t="shared" si="16"/>
        <v/>
      </c>
      <c r="C533" s="72" t="s">
        <v>254</v>
      </c>
      <c r="D533" s="72" t="s">
        <v>254</v>
      </c>
      <c r="E533" s="85" t="s">
        <v>254</v>
      </c>
      <c r="F533" s="85" t="s">
        <v>254</v>
      </c>
      <c r="G533" s="85" t="s">
        <v>254</v>
      </c>
      <c r="H533" s="85" t="s">
        <v>254</v>
      </c>
      <c r="I533" s="85" t="s">
        <v>254</v>
      </c>
      <c r="J533" s="85" t="s">
        <v>254</v>
      </c>
      <c r="K533" s="85" t="s">
        <v>254</v>
      </c>
      <c r="L533" s="85" t="s">
        <v>254</v>
      </c>
      <c r="M533" s="85" t="s">
        <v>254</v>
      </c>
      <c r="N533" s="85" t="s">
        <v>254</v>
      </c>
      <c r="O533" s="85" t="s">
        <v>254</v>
      </c>
      <c r="P533" s="85" t="s">
        <v>254</v>
      </c>
      <c r="Q533" s="85" t="s">
        <v>254</v>
      </c>
      <c r="R533" s="85"/>
      <c r="S533" s="86"/>
    </row>
    <row r="534" spans="1:19" ht="15">
      <c r="A534" s="70" t="s">
        <v>254</v>
      </c>
      <c r="B534" s="94" t="str">
        <f t="shared" si="16"/>
        <v/>
      </c>
      <c r="C534" s="72" t="s">
        <v>254</v>
      </c>
      <c r="D534" s="72" t="s">
        <v>254</v>
      </c>
      <c r="E534" s="85" t="s">
        <v>254</v>
      </c>
      <c r="F534" s="85" t="s">
        <v>254</v>
      </c>
      <c r="G534" s="85" t="s">
        <v>254</v>
      </c>
      <c r="H534" s="85" t="s">
        <v>254</v>
      </c>
      <c r="I534" s="85" t="s">
        <v>254</v>
      </c>
      <c r="J534" s="85" t="s">
        <v>254</v>
      </c>
      <c r="K534" s="85" t="s">
        <v>254</v>
      </c>
      <c r="L534" s="85" t="s">
        <v>254</v>
      </c>
      <c r="M534" s="85" t="s">
        <v>254</v>
      </c>
      <c r="N534" s="85" t="s">
        <v>254</v>
      </c>
      <c r="O534" s="85" t="s">
        <v>254</v>
      </c>
      <c r="P534" s="85" t="s">
        <v>254</v>
      </c>
      <c r="Q534" s="85" t="s">
        <v>254</v>
      </c>
      <c r="R534" s="85"/>
      <c r="S534" s="86"/>
    </row>
    <row r="535" spans="1:19" ht="15">
      <c r="A535" s="70" t="s">
        <v>254</v>
      </c>
      <c r="B535" s="94" t="str">
        <f t="shared" si="16"/>
        <v>ERA</v>
      </c>
      <c r="C535" s="72" t="s">
        <v>636</v>
      </c>
      <c r="D535" s="72" t="s">
        <v>254</v>
      </c>
      <c r="E535" s="85" t="s">
        <v>254</v>
      </c>
      <c r="F535" s="85" t="s">
        <v>254</v>
      </c>
      <c r="G535" s="85" t="s">
        <v>254</v>
      </c>
      <c r="H535" s="85" t="s">
        <v>254</v>
      </c>
      <c r="I535" s="85" t="s">
        <v>254</v>
      </c>
      <c r="J535" s="85" t="s">
        <v>254</v>
      </c>
      <c r="K535" s="85" t="s">
        <v>254</v>
      </c>
      <c r="L535" s="85" t="s">
        <v>254</v>
      </c>
      <c r="M535" s="85" t="s">
        <v>254</v>
      </c>
      <c r="N535" s="85" t="s">
        <v>254</v>
      </c>
      <c r="O535" s="85" t="s">
        <v>254</v>
      </c>
      <c r="P535" s="85" t="s">
        <v>254</v>
      </c>
      <c r="Q535" s="85" t="s">
        <v>254</v>
      </c>
      <c r="R535" s="85"/>
      <c r="S535" s="86"/>
    </row>
    <row r="536" spans="1:19" ht="15">
      <c r="A536" s="70" t="s">
        <v>254</v>
      </c>
      <c r="B536" s="94" t="str">
        <f t="shared" si="16"/>
        <v/>
      </c>
      <c r="C536" s="72" t="s">
        <v>254</v>
      </c>
      <c r="D536" s="72" t="s">
        <v>254</v>
      </c>
      <c r="E536" s="85" t="s">
        <v>254</v>
      </c>
      <c r="F536" s="85" t="s">
        <v>254</v>
      </c>
      <c r="G536" s="85" t="s">
        <v>254</v>
      </c>
      <c r="H536" s="85" t="s">
        <v>254</v>
      </c>
      <c r="I536" s="85" t="s">
        <v>254</v>
      </c>
      <c r="J536" s="85" t="s">
        <v>254</v>
      </c>
      <c r="K536" s="85" t="s">
        <v>254</v>
      </c>
      <c r="L536" s="85" t="s">
        <v>254</v>
      </c>
      <c r="M536" s="85" t="s">
        <v>254</v>
      </c>
      <c r="N536" s="85" t="s">
        <v>254</v>
      </c>
      <c r="O536" s="85" t="s">
        <v>254</v>
      </c>
      <c r="P536" s="85" t="s">
        <v>254</v>
      </c>
      <c r="Q536" s="85" t="s">
        <v>254</v>
      </c>
      <c r="R536" s="85"/>
      <c r="S536" s="86"/>
    </row>
    <row r="537" spans="1:19" ht="15">
      <c r="A537" s="70" t="s">
        <v>254</v>
      </c>
      <c r="B537" s="94" t="str">
        <f t="shared" si="16"/>
        <v>STO</v>
      </c>
      <c r="C537" s="72" t="s">
        <v>687</v>
      </c>
      <c r="D537" s="72" t="s">
        <v>254</v>
      </c>
      <c r="E537" s="85" t="s">
        <v>254</v>
      </c>
      <c r="F537" s="85" t="s">
        <v>254</v>
      </c>
      <c r="G537" s="85" t="s">
        <v>254</v>
      </c>
      <c r="H537" s="85" t="s">
        <v>254</v>
      </c>
      <c r="I537" s="85" t="s">
        <v>254</v>
      </c>
      <c r="J537" s="85" t="s">
        <v>254</v>
      </c>
      <c r="K537" s="85" t="s">
        <v>254</v>
      </c>
      <c r="L537" s="85" t="s">
        <v>254</v>
      </c>
      <c r="M537" s="85" t="s">
        <v>254</v>
      </c>
      <c r="N537" s="85" t="s">
        <v>254</v>
      </c>
      <c r="O537" s="85" t="s">
        <v>254</v>
      </c>
      <c r="P537" s="85" t="s">
        <v>254</v>
      </c>
      <c r="Q537" s="85" t="s">
        <v>254</v>
      </c>
      <c r="R537" s="85"/>
      <c r="S537" s="86"/>
    </row>
    <row r="538" spans="1:19" ht="15">
      <c r="A538" s="70">
        <v>1</v>
      </c>
      <c r="B538" s="94" t="str">
        <f t="shared" si="16"/>
        <v>901</v>
      </c>
      <c r="C538" s="72" t="s">
        <v>688</v>
      </c>
      <c r="D538" s="72" t="s">
        <v>689</v>
      </c>
      <c r="E538" s="85">
        <v>3399229.9999999898</v>
      </c>
      <c r="F538" s="85" t="s">
        <v>254</v>
      </c>
      <c r="G538" s="85">
        <v>3225131.9725033925</v>
      </c>
      <c r="H538" s="85" t="s">
        <v>254</v>
      </c>
      <c r="I538" s="85">
        <v>170100.36384947036</v>
      </c>
      <c r="J538" s="85">
        <v>3997.6636471269812</v>
      </c>
      <c r="K538" s="85" t="s">
        <v>254</v>
      </c>
      <c r="L538" s="85" t="s">
        <v>254</v>
      </c>
      <c r="M538" s="85">
        <v>26.920293920047015</v>
      </c>
      <c r="N538" s="85" t="s">
        <v>254</v>
      </c>
      <c r="O538" s="85">
        <v>3970.7433532069344</v>
      </c>
      <c r="P538" s="85">
        <v>2059.4024848835966</v>
      </c>
      <c r="Q538" s="85">
        <v>1911.3408683233381</v>
      </c>
      <c r="R538" s="85"/>
      <c r="S538" s="86"/>
    </row>
    <row r="539" spans="1:19" ht="15">
      <c r="A539" s="70">
        <v>2</v>
      </c>
      <c r="B539" s="94" t="str">
        <f t="shared" si="16"/>
        <v>902</v>
      </c>
      <c r="C539" s="72" t="s">
        <v>690</v>
      </c>
      <c r="D539" s="72" t="s">
        <v>691</v>
      </c>
      <c r="E539" s="85">
        <v>5359749.6899999902</v>
      </c>
      <c r="F539" s="85" t="s">
        <v>254</v>
      </c>
      <c r="G539" s="85">
        <v>5085239.9189917026</v>
      </c>
      <c r="H539" s="85" t="s">
        <v>254</v>
      </c>
      <c r="I539" s="85">
        <v>268206.43863789365</v>
      </c>
      <c r="J539" s="85">
        <v>6303.3323703936285</v>
      </c>
      <c r="K539" s="85" t="s">
        <v>254</v>
      </c>
      <c r="L539" s="85" t="s">
        <v>254</v>
      </c>
      <c r="M539" s="85">
        <v>42.446682628913329</v>
      </c>
      <c r="N539" s="85" t="s">
        <v>254</v>
      </c>
      <c r="O539" s="85">
        <v>6260.8856877647149</v>
      </c>
      <c r="P539" s="85">
        <v>3247.1712211118693</v>
      </c>
      <c r="Q539" s="85">
        <v>3013.7144666528457</v>
      </c>
      <c r="R539" s="85"/>
      <c r="S539" s="86"/>
    </row>
    <row r="540" spans="1:19" ht="15">
      <c r="A540" s="70">
        <v>3</v>
      </c>
      <c r="B540" s="94" t="str">
        <f t="shared" si="16"/>
        <v>903</v>
      </c>
      <c r="C540" s="72" t="s">
        <v>692</v>
      </c>
      <c r="D540" s="72" t="s">
        <v>693</v>
      </c>
      <c r="E540" s="85">
        <v>19124695.140000001</v>
      </c>
      <c r="F540" s="85" t="s">
        <v>254</v>
      </c>
      <c r="G540" s="85">
        <v>18145187.516112305</v>
      </c>
      <c r="H540" s="85" t="s">
        <v>254</v>
      </c>
      <c r="I540" s="85">
        <v>957016.030637588</v>
      </c>
      <c r="J540" s="85">
        <v>22491.593250107908</v>
      </c>
      <c r="K540" s="85" t="s">
        <v>254</v>
      </c>
      <c r="L540" s="85" t="s">
        <v>254</v>
      </c>
      <c r="M540" s="85">
        <v>151.45854040476704</v>
      </c>
      <c r="N540" s="85" t="s">
        <v>254</v>
      </c>
      <c r="O540" s="85">
        <v>22340.134709703139</v>
      </c>
      <c r="P540" s="85">
        <v>11586.578340964679</v>
      </c>
      <c r="Q540" s="85">
        <v>10753.556368738458</v>
      </c>
      <c r="R540" s="85"/>
      <c r="S540" s="86"/>
    </row>
    <row r="541" spans="1:19" ht="15">
      <c r="A541" s="70">
        <v>4</v>
      </c>
      <c r="B541" s="94" t="str">
        <f t="shared" si="16"/>
        <v>904</v>
      </c>
      <c r="C541" s="72" t="s">
        <v>694</v>
      </c>
      <c r="D541" s="72" t="s">
        <v>695</v>
      </c>
      <c r="E541" s="85">
        <v>5155130.9190480513</v>
      </c>
      <c r="F541" s="85" t="s">
        <v>254</v>
      </c>
      <c r="G541" s="85">
        <v>4891101.0874411911</v>
      </c>
      <c r="H541" s="85" t="s">
        <v>254</v>
      </c>
      <c r="I541" s="85">
        <v>257967.14109422753</v>
      </c>
      <c r="J541" s="85">
        <v>6062.6905126333804</v>
      </c>
      <c r="K541" s="85" t="s">
        <v>254</v>
      </c>
      <c r="L541" s="85" t="s">
        <v>254</v>
      </c>
      <c r="M541" s="85">
        <v>40.826198738271927</v>
      </c>
      <c r="N541" s="85" t="s">
        <v>254</v>
      </c>
      <c r="O541" s="85">
        <v>6021.8643138951084</v>
      </c>
      <c r="P541" s="85">
        <v>3123.2042034778024</v>
      </c>
      <c r="Q541" s="85">
        <v>2898.6601104173064</v>
      </c>
      <c r="R541" s="85"/>
      <c r="S541" s="86"/>
    </row>
    <row r="542" spans="1:19" ht="15">
      <c r="A542" s="70">
        <v>5</v>
      </c>
      <c r="B542" s="94" t="str">
        <f t="shared" si="16"/>
        <v>905</v>
      </c>
      <c r="C542" s="72" t="s">
        <v>696</v>
      </c>
      <c r="D542" s="72" t="s">
        <v>697</v>
      </c>
      <c r="E542" s="85">
        <v>1040.2399999999998</v>
      </c>
      <c r="F542" s="85" t="s">
        <v>254</v>
      </c>
      <c r="G542" s="85">
        <v>986.96213056396266</v>
      </c>
      <c r="H542" s="85" t="s">
        <v>254</v>
      </c>
      <c r="I542" s="85">
        <v>52.054495427133091</v>
      </c>
      <c r="J542" s="85">
        <v>1.2233740089041885</v>
      </c>
      <c r="K542" s="85" t="s">
        <v>254</v>
      </c>
      <c r="L542" s="85" t="s">
        <v>254</v>
      </c>
      <c r="M542" s="85">
        <v>8.2382088141696192E-3</v>
      </c>
      <c r="N542" s="85" t="s">
        <v>254</v>
      </c>
      <c r="O542" s="85">
        <v>1.2151358000900188</v>
      </c>
      <c r="P542" s="85">
        <v>0.63022297428397578</v>
      </c>
      <c r="Q542" s="85">
        <v>0.58491282580604287</v>
      </c>
      <c r="R542" s="85"/>
      <c r="S542" s="86"/>
    </row>
    <row r="543" spans="1:19" ht="15">
      <c r="A543" s="70">
        <v>6</v>
      </c>
      <c r="B543" s="94" t="str">
        <f t="shared" si="16"/>
        <v>TAL</v>
      </c>
      <c r="C543" s="72" t="s">
        <v>698</v>
      </c>
      <c r="D543" s="72" t="s">
        <v>254</v>
      </c>
      <c r="E543" s="85">
        <v>33039845.989048034</v>
      </c>
      <c r="F543" s="85" t="s">
        <v>254</v>
      </c>
      <c r="G543" s="85">
        <v>31347647.457179155</v>
      </c>
      <c r="H543" s="85" t="s">
        <v>254</v>
      </c>
      <c r="I543" s="85">
        <v>1653342.0287146065</v>
      </c>
      <c r="J543" s="85">
        <v>38856.503154270802</v>
      </c>
      <c r="K543" s="85" t="s">
        <v>254</v>
      </c>
      <c r="L543" s="85" t="s">
        <v>254</v>
      </c>
      <c r="M543" s="85">
        <v>261.65995390081349</v>
      </c>
      <c r="N543" s="85" t="s">
        <v>254</v>
      </c>
      <c r="O543" s="85">
        <v>38594.843200369985</v>
      </c>
      <c r="P543" s="85">
        <v>20016.986473412231</v>
      </c>
      <c r="Q543" s="85">
        <v>18577.856726957754</v>
      </c>
      <c r="R543" s="85"/>
      <c r="S543" s="86"/>
    </row>
    <row r="544" spans="1:19" ht="15">
      <c r="A544" s="70" t="s">
        <v>254</v>
      </c>
      <c r="B544" s="94" t="str">
        <f t="shared" si="16"/>
        <v/>
      </c>
      <c r="C544" s="72" t="s">
        <v>254</v>
      </c>
      <c r="D544" s="72" t="s">
        <v>254</v>
      </c>
      <c r="E544" s="85" t="s">
        <v>254</v>
      </c>
      <c r="F544" s="85" t="s">
        <v>254</v>
      </c>
      <c r="G544" s="85" t="s">
        <v>254</v>
      </c>
      <c r="H544" s="85" t="s">
        <v>254</v>
      </c>
      <c r="I544" s="85" t="s">
        <v>254</v>
      </c>
      <c r="J544" s="85" t="s">
        <v>254</v>
      </c>
      <c r="K544" s="85" t="s">
        <v>254</v>
      </c>
      <c r="L544" s="85" t="s">
        <v>254</v>
      </c>
      <c r="M544" s="85" t="s">
        <v>254</v>
      </c>
      <c r="N544" s="85" t="s">
        <v>254</v>
      </c>
      <c r="O544" s="85" t="s">
        <v>254</v>
      </c>
      <c r="P544" s="85" t="s">
        <v>254</v>
      </c>
      <c r="Q544" s="85" t="s">
        <v>254</v>
      </c>
      <c r="R544" s="85"/>
      <c r="S544" s="86"/>
    </row>
    <row r="545" spans="1:19" ht="15">
      <c r="A545" s="70" t="s">
        <v>254</v>
      </c>
      <c r="B545" s="94" t="str">
        <f t="shared" si="16"/>
        <v>STO</v>
      </c>
      <c r="C545" s="72" t="s">
        <v>699</v>
      </c>
      <c r="D545" s="72" t="s">
        <v>254</v>
      </c>
      <c r="E545" s="85" t="s">
        <v>254</v>
      </c>
      <c r="F545" s="85" t="s">
        <v>254</v>
      </c>
      <c r="G545" s="85" t="s">
        <v>254</v>
      </c>
      <c r="H545" s="85" t="s">
        <v>254</v>
      </c>
      <c r="I545" s="85" t="s">
        <v>254</v>
      </c>
      <c r="J545" s="85" t="s">
        <v>254</v>
      </c>
      <c r="K545" s="85" t="s">
        <v>254</v>
      </c>
      <c r="L545" s="85" t="s">
        <v>254</v>
      </c>
      <c r="M545" s="85" t="s">
        <v>254</v>
      </c>
      <c r="N545" s="85" t="s">
        <v>254</v>
      </c>
      <c r="O545" s="85" t="s">
        <v>254</v>
      </c>
      <c r="P545" s="85" t="s">
        <v>254</v>
      </c>
      <c r="Q545" s="85" t="s">
        <v>254</v>
      </c>
      <c r="R545" s="85"/>
      <c r="S545" s="86"/>
    </row>
    <row r="546" spans="1:19" ht="15">
      <c r="A546" s="70">
        <v>7</v>
      </c>
      <c r="B546" s="94" t="str">
        <f t="shared" si="16"/>
        <v>907</v>
      </c>
      <c r="C546" s="72" t="s">
        <v>700</v>
      </c>
      <c r="D546" s="72" t="s">
        <v>701</v>
      </c>
      <c r="E546" s="85">
        <v>521947.81</v>
      </c>
      <c r="F546" s="85" t="s">
        <v>254</v>
      </c>
      <c r="G546" s="85">
        <v>520408.831096454</v>
      </c>
      <c r="H546" s="85" t="s">
        <v>254</v>
      </c>
      <c r="I546" s="85">
        <v>1538.7612877507931</v>
      </c>
      <c r="J546" s="85">
        <v>0.21761579518466886</v>
      </c>
      <c r="K546" s="85" t="s">
        <v>254</v>
      </c>
      <c r="L546" s="85" t="s">
        <v>254</v>
      </c>
      <c r="M546" s="85">
        <v>0.21761579518466886</v>
      </c>
      <c r="N546" s="85" t="s">
        <v>254</v>
      </c>
      <c r="O546" s="85">
        <v>0</v>
      </c>
      <c r="P546" s="85">
        <v>0</v>
      </c>
      <c r="Q546" s="85">
        <v>0</v>
      </c>
      <c r="R546" s="85"/>
      <c r="S546" s="86"/>
    </row>
    <row r="547" spans="1:19" ht="15">
      <c r="A547" s="70">
        <v>8</v>
      </c>
      <c r="B547" s="94" t="str">
        <f t="shared" si="16"/>
        <v>908</v>
      </c>
      <c r="C547" s="72" t="s">
        <v>702</v>
      </c>
      <c r="D547" s="72" t="s">
        <v>703</v>
      </c>
      <c r="E547" s="85">
        <v>19595859.279999901</v>
      </c>
      <c r="F547" s="85" t="s">
        <v>254</v>
      </c>
      <c r="G547" s="85">
        <v>19595859.279999901</v>
      </c>
      <c r="H547" s="85" t="s">
        <v>254</v>
      </c>
      <c r="I547" s="85">
        <v>0</v>
      </c>
      <c r="J547" s="85">
        <v>0</v>
      </c>
      <c r="K547" s="85" t="s">
        <v>254</v>
      </c>
      <c r="L547" s="85" t="s">
        <v>254</v>
      </c>
      <c r="M547" s="85">
        <v>0</v>
      </c>
      <c r="N547" s="85" t="s">
        <v>254</v>
      </c>
      <c r="O547" s="85">
        <v>0</v>
      </c>
      <c r="P547" s="85">
        <v>0</v>
      </c>
      <c r="Q547" s="85">
        <v>0</v>
      </c>
      <c r="R547" s="85"/>
      <c r="S547" s="86"/>
    </row>
    <row r="548" spans="1:19" ht="15">
      <c r="A548" s="70">
        <v>9</v>
      </c>
      <c r="B548" s="94" t="str">
        <f t="shared" si="16"/>
        <v>909</v>
      </c>
      <c r="C548" s="72" t="s">
        <v>704</v>
      </c>
      <c r="D548" s="72" t="s">
        <v>705</v>
      </c>
      <c r="E548" s="85">
        <v>468645.05000000005</v>
      </c>
      <c r="F548" s="85" t="s">
        <v>254</v>
      </c>
      <c r="G548" s="85">
        <v>444347.64033494319</v>
      </c>
      <c r="H548" s="85" t="s">
        <v>254</v>
      </c>
      <c r="I548" s="85">
        <v>24293.973945364407</v>
      </c>
      <c r="J548" s="85">
        <v>3.4357196924571358</v>
      </c>
      <c r="K548" s="85" t="s">
        <v>254</v>
      </c>
      <c r="L548" s="85" t="s">
        <v>254</v>
      </c>
      <c r="M548" s="85">
        <v>3.4357196924571358</v>
      </c>
      <c r="N548" s="85" t="s">
        <v>254</v>
      </c>
      <c r="O548" s="85">
        <v>0</v>
      </c>
      <c r="P548" s="85">
        <v>0</v>
      </c>
      <c r="Q548" s="85">
        <v>0</v>
      </c>
      <c r="R548" s="85"/>
      <c r="S548" s="86"/>
    </row>
    <row r="549" spans="1:19" ht="15">
      <c r="A549" s="70">
        <v>10</v>
      </c>
      <c r="B549" s="94" t="str">
        <f t="shared" si="16"/>
        <v>910</v>
      </c>
      <c r="C549" s="72" t="s">
        <v>706</v>
      </c>
      <c r="D549" s="72" t="s">
        <v>707</v>
      </c>
      <c r="E549" s="85">
        <v>1231886.55</v>
      </c>
      <c r="F549" s="85" t="s">
        <v>254</v>
      </c>
      <c r="G549" s="85">
        <v>1230394.7786771734</v>
      </c>
      <c r="H549" s="85" t="s">
        <v>254</v>
      </c>
      <c r="I549" s="85">
        <v>1491.5603823114725</v>
      </c>
      <c r="J549" s="85">
        <v>0.21094051510556819</v>
      </c>
      <c r="K549" s="85" t="s">
        <v>254</v>
      </c>
      <c r="L549" s="85" t="s">
        <v>254</v>
      </c>
      <c r="M549" s="85">
        <v>0.21094051510556819</v>
      </c>
      <c r="N549" s="85" t="s">
        <v>254</v>
      </c>
      <c r="O549" s="85">
        <v>0</v>
      </c>
      <c r="P549" s="85">
        <v>0</v>
      </c>
      <c r="Q549" s="85">
        <v>0</v>
      </c>
      <c r="R549" s="85"/>
      <c r="S549" s="86"/>
    </row>
    <row r="550" spans="1:19" ht="15">
      <c r="A550" s="70">
        <v>11</v>
      </c>
      <c r="B550" s="94" t="str">
        <f t="shared" si="16"/>
        <v>TAL</v>
      </c>
      <c r="C550" s="72" t="s">
        <v>708</v>
      </c>
      <c r="D550" s="72" t="s">
        <v>254</v>
      </c>
      <c r="E550" s="85">
        <v>21818338.689999901</v>
      </c>
      <c r="F550" s="85" t="s">
        <v>254</v>
      </c>
      <c r="G550" s="85">
        <v>21791010.53010847</v>
      </c>
      <c r="H550" s="85" t="s">
        <v>254</v>
      </c>
      <c r="I550" s="85">
        <v>27324.295615426672</v>
      </c>
      <c r="J550" s="85">
        <v>3.8642760027473728</v>
      </c>
      <c r="K550" s="85" t="s">
        <v>254</v>
      </c>
      <c r="L550" s="85" t="s">
        <v>254</v>
      </c>
      <c r="M550" s="85">
        <v>3.8642760027473728</v>
      </c>
      <c r="N550" s="85" t="s">
        <v>254</v>
      </c>
      <c r="O550" s="85">
        <v>0</v>
      </c>
      <c r="P550" s="85">
        <v>0</v>
      </c>
      <c r="Q550" s="85">
        <v>0</v>
      </c>
      <c r="R550" s="85"/>
      <c r="S550" s="86"/>
    </row>
    <row r="551" spans="1:19" ht="15">
      <c r="A551" s="70" t="s">
        <v>254</v>
      </c>
      <c r="B551" s="94" t="str">
        <f t="shared" si="16"/>
        <v/>
      </c>
      <c r="C551" s="72" t="s">
        <v>254</v>
      </c>
      <c r="D551" s="72" t="s">
        <v>254</v>
      </c>
      <c r="E551" s="85" t="s">
        <v>254</v>
      </c>
      <c r="F551" s="85" t="s">
        <v>254</v>
      </c>
      <c r="G551" s="85" t="s">
        <v>254</v>
      </c>
      <c r="H551" s="85" t="s">
        <v>254</v>
      </c>
      <c r="I551" s="85" t="s">
        <v>254</v>
      </c>
      <c r="J551" s="85" t="s">
        <v>254</v>
      </c>
      <c r="K551" s="85" t="s">
        <v>254</v>
      </c>
      <c r="L551" s="85" t="s">
        <v>254</v>
      </c>
      <c r="M551" s="85" t="s">
        <v>254</v>
      </c>
      <c r="N551" s="85" t="s">
        <v>254</v>
      </c>
      <c r="O551" s="85" t="s">
        <v>254</v>
      </c>
      <c r="P551" s="85" t="s">
        <v>254</v>
      </c>
      <c r="Q551" s="85" t="s">
        <v>254</v>
      </c>
      <c r="R551" s="85"/>
      <c r="S551" s="86"/>
    </row>
    <row r="552" spans="1:19" ht="15">
      <c r="A552" s="70" t="s">
        <v>254</v>
      </c>
      <c r="B552" s="94" t="str">
        <f t="shared" si="16"/>
        <v>LES</v>
      </c>
      <c r="C552" s="72" t="s">
        <v>709</v>
      </c>
      <c r="D552" s="72" t="s">
        <v>254</v>
      </c>
      <c r="E552" s="85" t="s">
        <v>254</v>
      </c>
      <c r="F552" s="85" t="s">
        <v>254</v>
      </c>
      <c r="G552" s="85" t="s">
        <v>254</v>
      </c>
      <c r="H552" s="85" t="s">
        <v>254</v>
      </c>
      <c r="I552" s="85" t="s">
        <v>254</v>
      </c>
      <c r="J552" s="85" t="s">
        <v>254</v>
      </c>
      <c r="K552" s="85" t="s">
        <v>254</v>
      </c>
      <c r="L552" s="85" t="s">
        <v>254</v>
      </c>
      <c r="M552" s="85" t="s">
        <v>254</v>
      </c>
      <c r="N552" s="85" t="s">
        <v>254</v>
      </c>
      <c r="O552" s="85" t="s">
        <v>254</v>
      </c>
      <c r="P552" s="85" t="s">
        <v>254</v>
      </c>
      <c r="Q552" s="85" t="s">
        <v>254</v>
      </c>
      <c r="R552" s="85"/>
      <c r="S552" s="86"/>
    </row>
    <row r="553" spans="1:19" ht="15">
      <c r="A553" s="70">
        <v>12</v>
      </c>
      <c r="B553" s="94" t="str">
        <f t="shared" si="16"/>
        <v>911</v>
      </c>
      <c r="C553" s="72" t="s">
        <v>710</v>
      </c>
      <c r="D553" s="72" t="s">
        <v>701</v>
      </c>
      <c r="E553" s="85">
        <v>0</v>
      </c>
      <c r="F553" s="85" t="s">
        <v>254</v>
      </c>
      <c r="G553" s="85">
        <v>0</v>
      </c>
      <c r="H553" s="85" t="s">
        <v>254</v>
      </c>
      <c r="I553" s="85">
        <v>0</v>
      </c>
      <c r="J553" s="85">
        <v>0</v>
      </c>
      <c r="K553" s="85" t="s">
        <v>254</v>
      </c>
      <c r="L553" s="85" t="s">
        <v>254</v>
      </c>
      <c r="M553" s="85">
        <v>0</v>
      </c>
      <c r="N553" s="85" t="s">
        <v>254</v>
      </c>
      <c r="O553" s="85">
        <v>0</v>
      </c>
      <c r="P553" s="85">
        <v>0</v>
      </c>
      <c r="Q553" s="85">
        <v>0</v>
      </c>
      <c r="R553" s="85"/>
      <c r="S553" s="86"/>
    </row>
    <row r="554" spans="1:19" ht="15">
      <c r="A554" s="70">
        <v>13</v>
      </c>
      <c r="B554" s="94" t="str">
        <f t="shared" si="16"/>
        <v>912</v>
      </c>
      <c r="C554" s="72" t="s">
        <v>711</v>
      </c>
      <c r="D554" s="72" t="s">
        <v>712</v>
      </c>
      <c r="E554" s="85">
        <v>0</v>
      </c>
      <c r="F554" s="85" t="s">
        <v>254</v>
      </c>
      <c r="G554" s="85">
        <v>0</v>
      </c>
      <c r="H554" s="85" t="s">
        <v>254</v>
      </c>
      <c r="I554" s="85">
        <v>0</v>
      </c>
      <c r="J554" s="85">
        <v>0</v>
      </c>
      <c r="K554" s="85" t="s">
        <v>254</v>
      </c>
      <c r="L554" s="85" t="s">
        <v>254</v>
      </c>
      <c r="M554" s="85">
        <v>0</v>
      </c>
      <c r="N554" s="85" t="s">
        <v>254</v>
      </c>
      <c r="O554" s="85">
        <v>0</v>
      </c>
      <c r="P554" s="85">
        <v>0</v>
      </c>
      <c r="Q554" s="85">
        <v>0</v>
      </c>
      <c r="R554" s="85"/>
      <c r="S554" s="86"/>
    </row>
    <row r="555" spans="1:19" ht="15">
      <c r="A555" s="70">
        <v>14</v>
      </c>
      <c r="B555" s="94" t="str">
        <f t="shared" si="16"/>
        <v>913</v>
      </c>
      <c r="C555" s="72" t="s">
        <v>713</v>
      </c>
      <c r="D555" s="72" t="s">
        <v>714</v>
      </c>
      <c r="E555" s="85">
        <v>756763.28</v>
      </c>
      <c r="F555" s="85" t="s">
        <v>254</v>
      </c>
      <c r="G555" s="85">
        <v>717528.06897273718</v>
      </c>
      <c r="H555" s="85" t="s">
        <v>254</v>
      </c>
      <c r="I555" s="85">
        <v>39229.663061902618</v>
      </c>
      <c r="J555" s="85">
        <v>5.5479653601898766</v>
      </c>
      <c r="K555" s="85" t="s">
        <v>254</v>
      </c>
      <c r="L555" s="85" t="s">
        <v>254</v>
      </c>
      <c r="M555" s="85">
        <v>5.5479653601898766</v>
      </c>
      <c r="N555" s="85" t="s">
        <v>254</v>
      </c>
      <c r="O555" s="85">
        <v>0</v>
      </c>
      <c r="P555" s="85">
        <v>0</v>
      </c>
      <c r="Q555" s="85">
        <v>0</v>
      </c>
      <c r="R555" s="85"/>
      <c r="S555" s="86"/>
    </row>
    <row r="556" spans="1:19" ht="15">
      <c r="A556" s="70">
        <v>15</v>
      </c>
      <c r="B556" s="94" t="str">
        <f t="shared" si="16"/>
        <v>916</v>
      </c>
      <c r="C556" s="72" t="s">
        <v>715</v>
      </c>
      <c r="D556" s="72" t="s">
        <v>716</v>
      </c>
      <c r="E556" s="85">
        <v>0</v>
      </c>
      <c r="F556" s="85" t="s">
        <v>254</v>
      </c>
      <c r="G556" s="85">
        <v>0</v>
      </c>
      <c r="H556" s="85" t="s">
        <v>254</v>
      </c>
      <c r="I556" s="85">
        <v>0</v>
      </c>
      <c r="J556" s="85">
        <v>0</v>
      </c>
      <c r="K556" s="85" t="s">
        <v>254</v>
      </c>
      <c r="L556" s="85" t="s">
        <v>254</v>
      </c>
      <c r="M556" s="85">
        <v>0</v>
      </c>
      <c r="N556" s="85" t="s">
        <v>254</v>
      </c>
      <c r="O556" s="85">
        <v>0</v>
      </c>
      <c r="P556" s="85">
        <v>0</v>
      </c>
      <c r="Q556" s="85">
        <v>0</v>
      </c>
      <c r="R556" s="85"/>
      <c r="S556" s="86"/>
    </row>
    <row r="557" spans="1:19" ht="15">
      <c r="A557" s="70">
        <v>16</v>
      </c>
      <c r="B557" s="94" t="str">
        <f t="shared" si="16"/>
        <v>TAL</v>
      </c>
      <c r="C557" s="72" t="s">
        <v>717</v>
      </c>
      <c r="D557" s="72" t="s">
        <v>254</v>
      </c>
      <c r="E557" s="85">
        <v>756763.28</v>
      </c>
      <c r="F557" s="85" t="s">
        <v>254</v>
      </c>
      <c r="G557" s="85">
        <v>717528.06897273718</v>
      </c>
      <c r="H557" s="85" t="s">
        <v>254</v>
      </c>
      <c r="I557" s="85">
        <v>39229.663061902618</v>
      </c>
      <c r="J557" s="85">
        <v>5.5479653601898766</v>
      </c>
      <c r="K557" s="85" t="s">
        <v>254</v>
      </c>
      <c r="L557" s="85" t="s">
        <v>254</v>
      </c>
      <c r="M557" s="85">
        <v>5.5479653601898766</v>
      </c>
      <c r="N557" s="85" t="s">
        <v>254</v>
      </c>
      <c r="O557" s="85">
        <v>0</v>
      </c>
      <c r="P557" s="85">
        <v>0</v>
      </c>
      <c r="Q557" s="85">
        <v>0</v>
      </c>
      <c r="R557" s="85"/>
      <c r="S557" s="86"/>
    </row>
    <row r="558" spans="1:19" ht="15">
      <c r="A558" s="70" t="s">
        <v>254</v>
      </c>
      <c r="B558" s="94" t="str">
        <f t="shared" si="16"/>
        <v/>
      </c>
      <c r="C558" s="72" t="s">
        <v>254</v>
      </c>
      <c r="D558" s="72" t="s">
        <v>254</v>
      </c>
      <c r="E558" s="85" t="s">
        <v>254</v>
      </c>
      <c r="F558" s="85" t="s">
        <v>254</v>
      </c>
      <c r="G558" s="85" t="s">
        <v>254</v>
      </c>
      <c r="H558" s="85" t="s">
        <v>254</v>
      </c>
      <c r="I558" s="85" t="s">
        <v>254</v>
      </c>
      <c r="J558" s="85" t="s">
        <v>254</v>
      </c>
      <c r="K558" s="85" t="s">
        <v>254</v>
      </c>
      <c r="L558" s="85" t="s">
        <v>254</v>
      </c>
      <c r="M558" s="85" t="s">
        <v>254</v>
      </c>
      <c r="N558" s="85" t="s">
        <v>254</v>
      </c>
      <c r="O558" s="85" t="s">
        <v>254</v>
      </c>
      <c r="P558" s="85" t="s">
        <v>254</v>
      </c>
      <c r="Q558" s="85" t="s">
        <v>254</v>
      </c>
      <c r="R558" s="85"/>
      <c r="S558" s="86"/>
    </row>
    <row r="559" spans="1:19" ht="15">
      <c r="A559" s="70" t="s">
        <v>254</v>
      </c>
      <c r="B559" s="94" t="str">
        <f t="shared" si="16"/>
        <v>MIN</v>
      </c>
      <c r="C559" s="72" t="s">
        <v>718</v>
      </c>
      <c r="D559" s="72" t="s">
        <v>254</v>
      </c>
      <c r="E559" s="85" t="s">
        <v>254</v>
      </c>
      <c r="F559" s="85" t="s">
        <v>254</v>
      </c>
      <c r="G559" s="85" t="s">
        <v>254</v>
      </c>
      <c r="H559" s="85" t="s">
        <v>254</v>
      </c>
      <c r="I559" s="85" t="s">
        <v>254</v>
      </c>
      <c r="J559" s="85" t="s">
        <v>254</v>
      </c>
      <c r="K559" s="85" t="s">
        <v>254</v>
      </c>
      <c r="L559" s="85" t="s">
        <v>254</v>
      </c>
      <c r="M559" s="85" t="s">
        <v>254</v>
      </c>
      <c r="N559" s="85" t="s">
        <v>254</v>
      </c>
      <c r="O559" s="85" t="s">
        <v>254</v>
      </c>
      <c r="P559" s="85" t="s">
        <v>254</v>
      </c>
      <c r="Q559" s="85" t="s">
        <v>254</v>
      </c>
      <c r="R559" s="85"/>
      <c r="S559" s="86"/>
    </row>
    <row r="560" spans="1:19" ht="15">
      <c r="A560" s="70" t="s">
        <v>254</v>
      </c>
      <c r="B560" s="94" t="str">
        <f t="shared" si="16"/>
        <v/>
      </c>
      <c r="C560" s="72" t="s">
        <v>254</v>
      </c>
      <c r="D560" s="72" t="s">
        <v>254</v>
      </c>
      <c r="E560" s="85" t="s">
        <v>254</v>
      </c>
      <c r="F560" s="85" t="s">
        <v>254</v>
      </c>
      <c r="G560" s="85" t="s">
        <v>254</v>
      </c>
      <c r="H560" s="85" t="s">
        <v>254</v>
      </c>
      <c r="I560" s="85" t="s">
        <v>254</v>
      </c>
      <c r="J560" s="85" t="s">
        <v>254</v>
      </c>
      <c r="K560" s="85" t="s">
        <v>254</v>
      </c>
      <c r="L560" s="85" t="s">
        <v>254</v>
      </c>
      <c r="M560" s="85" t="s">
        <v>254</v>
      </c>
      <c r="N560" s="85" t="s">
        <v>254</v>
      </c>
      <c r="O560" s="85" t="s">
        <v>254</v>
      </c>
      <c r="P560" s="85" t="s">
        <v>254</v>
      </c>
      <c r="Q560" s="85" t="s">
        <v>254</v>
      </c>
      <c r="R560" s="85"/>
      <c r="S560" s="86"/>
    </row>
    <row r="561" spans="1:19" ht="15">
      <c r="A561" s="70" t="s">
        <v>254</v>
      </c>
      <c r="B561" s="94" t="str">
        <f t="shared" si="16"/>
        <v>LAN</v>
      </c>
      <c r="C561" s="72" t="s">
        <v>719</v>
      </c>
      <c r="D561" s="72" t="s">
        <v>254</v>
      </c>
      <c r="E561" s="85" t="s">
        <v>254</v>
      </c>
      <c r="F561" s="85" t="s">
        <v>254</v>
      </c>
      <c r="G561" s="85" t="s">
        <v>254</v>
      </c>
      <c r="H561" s="85" t="s">
        <v>254</v>
      </c>
      <c r="I561" s="85" t="s">
        <v>254</v>
      </c>
      <c r="J561" s="85" t="s">
        <v>254</v>
      </c>
      <c r="K561" s="85" t="s">
        <v>254</v>
      </c>
      <c r="L561" s="85" t="s">
        <v>254</v>
      </c>
      <c r="M561" s="85" t="s">
        <v>254</v>
      </c>
      <c r="N561" s="85" t="s">
        <v>254</v>
      </c>
      <c r="O561" s="85" t="s">
        <v>254</v>
      </c>
      <c r="P561" s="85" t="s">
        <v>254</v>
      </c>
      <c r="Q561" s="85" t="s">
        <v>254</v>
      </c>
      <c r="R561" s="85"/>
      <c r="S561" s="86"/>
    </row>
    <row r="562" spans="1:19" ht="15">
      <c r="A562" s="70">
        <v>17</v>
      </c>
      <c r="B562" s="94" t="str">
        <f t="shared" si="16"/>
        <v>924</v>
      </c>
      <c r="C562" s="72" t="s">
        <v>720</v>
      </c>
      <c r="D562" s="72" t="s">
        <v>721</v>
      </c>
      <c r="E562" s="85">
        <v>6250233.0600000005</v>
      </c>
      <c r="F562" s="85" t="s">
        <v>254</v>
      </c>
      <c r="G562" s="85">
        <v>5545701.4919096669</v>
      </c>
      <c r="H562" s="85" t="s">
        <v>254</v>
      </c>
      <c r="I562" s="85">
        <v>310335.34460532322</v>
      </c>
      <c r="J562" s="85">
        <v>394196.22348501056</v>
      </c>
      <c r="K562" s="85" t="s">
        <v>254</v>
      </c>
      <c r="L562" s="85" t="s">
        <v>254</v>
      </c>
      <c r="M562" s="85">
        <v>138.13725731675927</v>
      </c>
      <c r="N562" s="85" t="s">
        <v>254</v>
      </c>
      <c r="O562" s="85">
        <v>394058.08622769383</v>
      </c>
      <c r="P562" s="85">
        <v>124217.82246655147</v>
      </c>
      <c r="Q562" s="85">
        <v>269840.26376114233</v>
      </c>
      <c r="R562" s="85"/>
      <c r="S562" s="86"/>
    </row>
    <row r="563" spans="1:19" ht="15">
      <c r="A563" s="70">
        <v>18</v>
      </c>
      <c r="B563" s="94" t="str">
        <f t="shared" si="16"/>
        <v xml:space="preserve">   </v>
      </c>
      <c r="C563" s="72" t="s">
        <v>722</v>
      </c>
      <c r="D563" s="72" t="s">
        <v>254</v>
      </c>
      <c r="E563" s="85">
        <v>6250233.0600000005</v>
      </c>
      <c r="F563" s="85" t="s">
        <v>254</v>
      </c>
      <c r="G563" s="85">
        <v>5545701.4919096669</v>
      </c>
      <c r="H563" s="85" t="s">
        <v>254</v>
      </c>
      <c r="I563" s="85">
        <v>310335.34460532322</v>
      </c>
      <c r="J563" s="85">
        <v>394196.22348501056</v>
      </c>
      <c r="K563" s="85" t="s">
        <v>254</v>
      </c>
      <c r="L563" s="85" t="s">
        <v>254</v>
      </c>
      <c r="M563" s="85">
        <v>138.13725731675927</v>
      </c>
      <c r="N563" s="85" t="s">
        <v>254</v>
      </c>
      <c r="O563" s="85">
        <v>394058.08622769383</v>
      </c>
      <c r="P563" s="85">
        <v>124217.82246655147</v>
      </c>
      <c r="Q563" s="85">
        <v>269840.26376114233</v>
      </c>
      <c r="R563" s="85"/>
      <c r="S563" s="86"/>
    </row>
    <row r="564" spans="1:19" ht="15">
      <c r="A564" s="70" t="s">
        <v>254</v>
      </c>
      <c r="B564" s="94" t="str">
        <f t="shared" si="16"/>
        <v/>
      </c>
      <c r="C564" s="72" t="s">
        <v>254</v>
      </c>
      <c r="D564" s="72" t="s">
        <v>254</v>
      </c>
      <c r="E564" s="85" t="s">
        <v>254</v>
      </c>
      <c r="F564" s="85" t="s">
        <v>254</v>
      </c>
      <c r="G564" s="85" t="s">
        <v>254</v>
      </c>
      <c r="H564" s="85" t="s">
        <v>254</v>
      </c>
      <c r="I564" s="85" t="s">
        <v>254</v>
      </c>
      <c r="J564" s="85" t="s">
        <v>254</v>
      </c>
      <c r="K564" s="85" t="s">
        <v>254</v>
      </c>
      <c r="L564" s="85" t="s">
        <v>254</v>
      </c>
      <c r="M564" s="85" t="s">
        <v>254</v>
      </c>
      <c r="N564" s="85" t="s">
        <v>254</v>
      </c>
      <c r="O564" s="85" t="s">
        <v>254</v>
      </c>
      <c r="P564" s="85" t="s">
        <v>254</v>
      </c>
      <c r="Q564" s="85" t="s">
        <v>254</v>
      </c>
      <c r="R564" s="85"/>
      <c r="S564" s="86"/>
    </row>
    <row r="565" spans="1:19" ht="15">
      <c r="A565" s="70" t="s">
        <v>254</v>
      </c>
      <c r="B565" s="94" t="str">
        <f t="shared" si="16"/>
        <v>ABO</v>
      </c>
      <c r="C565" s="72" t="s">
        <v>723</v>
      </c>
      <c r="D565" s="72" t="s">
        <v>254</v>
      </c>
      <c r="E565" s="85" t="s">
        <v>254</v>
      </c>
      <c r="F565" s="85" t="s">
        <v>254</v>
      </c>
      <c r="G565" s="85" t="s">
        <v>254</v>
      </c>
      <c r="H565" s="85" t="s">
        <v>254</v>
      </c>
      <c r="I565" s="85" t="s">
        <v>254</v>
      </c>
      <c r="J565" s="85" t="s">
        <v>254</v>
      </c>
      <c r="K565" s="85" t="s">
        <v>254</v>
      </c>
      <c r="L565" s="85" t="s">
        <v>254</v>
      </c>
      <c r="M565" s="85" t="s">
        <v>254</v>
      </c>
      <c r="N565" s="85" t="s">
        <v>254</v>
      </c>
      <c r="O565" s="85" t="s">
        <v>254</v>
      </c>
      <c r="P565" s="85" t="s">
        <v>254</v>
      </c>
      <c r="Q565" s="85" t="s">
        <v>254</v>
      </c>
      <c r="R565" s="85"/>
      <c r="S565" s="86"/>
    </row>
    <row r="566" spans="1:19" ht="15">
      <c r="A566" s="70">
        <v>19</v>
      </c>
      <c r="B566" s="94" t="str">
        <f t="shared" si="16"/>
        <v>920</v>
      </c>
      <c r="C566" s="72" t="s">
        <v>724</v>
      </c>
      <c r="D566" s="72" t="s">
        <v>422</v>
      </c>
      <c r="E566" s="85">
        <v>34866677.999999993</v>
      </c>
      <c r="F566" s="85" t="s">
        <v>254</v>
      </c>
      <c r="G566" s="85">
        <v>31464143.43317822</v>
      </c>
      <c r="H566" s="85" t="s">
        <v>254</v>
      </c>
      <c r="I566" s="85">
        <v>1651317.3076416778</v>
      </c>
      <c r="J566" s="85">
        <v>1751217.2591800974</v>
      </c>
      <c r="K566" s="85" t="s">
        <v>254</v>
      </c>
      <c r="L566" s="85" t="s">
        <v>254</v>
      </c>
      <c r="M566" s="85">
        <v>797.16133018996118</v>
      </c>
      <c r="N566" s="85" t="s">
        <v>254</v>
      </c>
      <c r="O566" s="85">
        <v>1750420.0978499074</v>
      </c>
      <c r="P566" s="85">
        <v>558766.59265657712</v>
      </c>
      <c r="Q566" s="85">
        <v>1191653.5051933303</v>
      </c>
      <c r="R566" s="85"/>
      <c r="S566" s="86"/>
    </row>
    <row r="567" spans="1:19" ht="15">
      <c r="A567" s="70">
        <v>20</v>
      </c>
      <c r="B567" s="94" t="str">
        <f t="shared" si="16"/>
        <v>921</v>
      </c>
      <c r="C567" s="72" t="s">
        <v>725</v>
      </c>
      <c r="D567" s="72" t="s">
        <v>422</v>
      </c>
      <c r="E567" s="85">
        <v>7339697.9399999883</v>
      </c>
      <c r="F567" s="85" t="s">
        <v>254</v>
      </c>
      <c r="G567" s="85">
        <v>6623438.8243228216</v>
      </c>
      <c r="H567" s="85" t="s">
        <v>254</v>
      </c>
      <c r="I567" s="85">
        <v>347614.71228156443</v>
      </c>
      <c r="J567" s="85">
        <v>368644.40339560277</v>
      </c>
      <c r="K567" s="85" t="s">
        <v>254</v>
      </c>
      <c r="L567" s="85" t="s">
        <v>254</v>
      </c>
      <c r="M567" s="85">
        <v>167.80845519733512</v>
      </c>
      <c r="N567" s="85" t="s">
        <v>254</v>
      </c>
      <c r="O567" s="85">
        <v>368476.59494040546</v>
      </c>
      <c r="P567" s="85">
        <v>117624.57005689768</v>
      </c>
      <c r="Q567" s="85">
        <v>250852.02488350781</v>
      </c>
      <c r="R567" s="85"/>
      <c r="S567" s="86"/>
    </row>
    <row r="568" spans="1:19" ht="15">
      <c r="A568" s="70">
        <v>21</v>
      </c>
      <c r="B568" s="94" t="str">
        <f t="shared" si="16"/>
        <v>922</v>
      </c>
      <c r="C568" s="72" t="s">
        <v>726</v>
      </c>
      <c r="D568" s="72" t="s">
        <v>422</v>
      </c>
      <c r="E568" s="85">
        <v>-4357425.199999989</v>
      </c>
      <c r="F568" s="85" t="s">
        <v>254</v>
      </c>
      <c r="G568" s="85">
        <v>-3932197.1394047053</v>
      </c>
      <c r="H568" s="85" t="s">
        <v>254</v>
      </c>
      <c r="I568" s="85">
        <v>-206371.58634711293</v>
      </c>
      <c r="J568" s="85">
        <v>-218856.474248171</v>
      </c>
      <c r="K568" s="85" t="s">
        <v>254</v>
      </c>
      <c r="L568" s="85" t="s">
        <v>254</v>
      </c>
      <c r="M568" s="85">
        <v>-99.624371115460136</v>
      </c>
      <c r="N568" s="85" t="s">
        <v>254</v>
      </c>
      <c r="O568" s="85">
        <v>-218756.84987705553</v>
      </c>
      <c r="P568" s="85">
        <v>-69831.247810872563</v>
      </c>
      <c r="Q568" s="85">
        <v>-148925.60206618297</v>
      </c>
      <c r="R568" s="85"/>
      <c r="S568" s="86"/>
    </row>
    <row r="569" spans="1:19" ht="15">
      <c r="A569" s="70">
        <v>22</v>
      </c>
      <c r="B569" s="94" t="str">
        <f t="shared" si="16"/>
        <v>923</v>
      </c>
      <c r="C569" s="72" t="s">
        <v>727</v>
      </c>
      <c r="D569" s="72" t="s">
        <v>422</v>
      </c>
      <c r="E569" s="85">
        <v>19339606.249999996</v>
      </c>
      <c r="F569" s="85" t="s">
        <v>254</v>
      </c>
      <c r="G569" s="85">
        <v>17452312.061137281</v>
      </c>
      <c r="H569" s="85" t="s">
        <v>254</v>
      </c>
      <c r="I569" s="85">
        <v>915941.18956787814</v>
      </c>
      <c r="J569" s="85">
        <v>971352.99929483619</v>
      </c>
      <c r="K569" s="85" t="s">
        <v>254</v>
      </c>
      <c r="L569" s="85" t="s">
        <v>254</v>
      </c>
      <c r="M569" s="85">
        <v>442.1638976790415</v>
      </c>
      <c r="N569" s="85" t="s">
        <v>254</v>
      </c>
      <c r="O569" s="85">
        <v>970910.83539715712</v>
      </c>
      <c r="P569" s="85">
        <v>309932.76410308841</v>
      </c>
      <c r="Q569" s="85">
        <v>660978.07129406871</v>
      </c>
      <c r="R569" s="85"/>
      <c r="S569" s="86"/>
    </row>
    <row r="570" spans="1:19" ht="15">
      <c r="A570" s="70">
        <v>23</v>
      </c>
      <c r="B570" s="94" t="str">
        <f t="shared" si="16"/>
        <v>925</v>
      </c>
      <c r="C570" s="72" t="s">
        <v>728</v>
      </c>
      <c r="D570" s="72" t="s">
        <v>422</v>
      </c>
      <c r="E570" s="85">
        <v>4376661.26</v>
      </c>
      <c r="F570" s="85" t="s">
        <v>254</v>
      </c>
      <c r="G570" s="85">
        <v>3949767.6293489551</v>
      </c>
      <c r="H570" s="85" t="s">
        <v>254</v>
      </c>
      <c r="I570" s="85">
        <v>207179.92043047136</v>
      </c>
      <c r="J570" s="85">
        <v>219713.71022057321</v>
      </c>
      <c r="K570" s="85" t="s">
        <v>254</v>
      </c>
      <c r="L570" s="85" t="s">
        <v>254</v>
      </c>
      <c r="M570" s="85">
        <v>100.01458847111067</v>
      </c>
      <c r="N570" s="85" t="s">
        <v>254</v>
      </c>
      <c r="O570" s="85">
        <v>219613.69563210208</v>
      </c>
      <c r="P570" s="85">
        <v>70104.768883652578</v>
      </c>
      <c r="Q570" s="85">
        <v>149508.92674844951</v>
      </c>
      <c r="R570" s="85"/>
      <c r="S570" s="86"/>
    </row>
    <row r="571" spans="1:19" ht="15">
      <c r="A571" s="70">
        <v>24</v>
      </c>
      <c r="B571" s="94" t="str">
        <f t="shared" si="16"/>
        <v>926</v>
      </c>
      <c r="C571" s="72" t="s">
        <v>729</v>
      </c>
      <c r="D571" s="72" t="s">
        <v>422</v>
      </c>
      <c r="E571" s="85">
        <v>37926879.347036362</v>
      </c>
      <c r="F571" s="85" t="s">
        <v>254</v>
      </c>
      <c r="G571" s="85">
        <v>34225708.906021878</v>
      </c>
      <c r="H571" s="85" t="s">
        <v>254</v>
      </c>
      <c r="I571" s="85">
        <v>1796251.2026697481</v>
      </c>
      <c r="J571" s="85">
        <v>1904919.2383447392</v>
      </c>
      <c r="K571" s="85" t="s">
        <v>254</v>
      </c>
      <c r="L571" s="85" t="s">
        <v>254</v>
      </c>
      <c r="M571" s="85">
        <v>867.12710600756623</v>
      </c>
      <c r="N571" s="85" t="s">
        <v>254</v>
      </c>
      <c r="O571" s="85">
        <v>1904052.1112387315</v>
      </c>
      <c r="P571" s="85">
        <v>607808.783585308</v>
      </c>
      <c r="Q571" s="85">
        <v>1296243.3276534237</v>
      </c>
      <c r="R571" s="85"/>
      <c r="S571" s="86"/>
    </row>
    <row r="572" spans="1:19" ht="15">
      <c r="A572" s="70">
        <v>25</v>
      </c>
      <c r="B572" s="94" t="str">
        <f t="shared" si="16"/>
        <v>926</v>
      </c>
      <c r="C572" s="72" t="s">
        <v>2439</v>
      </c>
      <c r="D572" s="72" t="s">
        <v>737</v>
      </c>
      <c r="E572" s="85">
        <v>235065.59999999998</v>
      </c>
      <c r="F572" s="85" t="s">
        <v>254</v>
      </c>
      <c r="G572" s="85">
        <v>235065.59999999998</v>
      </c>
      <c r="H572" s="85" t="s">
        <v>254</v>
      </c>
      <c r="I572" s="85">
        <v>0</v>
      </c>
      <c r="J572" s="85">
        <v>0</v>
      </c>
      <c r="K572" s="85" t="s">
        <v>254</v>
      </c>
      <c r="L572" s="85" t="s">
        <v>254</v>
      </c>
      <c r="M572" s="85">
        <v>0</v>
      </c>
      <c r="N572" s="85" t="s">
        <v>254</v>
      </c>
      <c r="O572" s="85">
        <v>0</v>
      </c>
      <c r="P572" s="85">
        <v>0</v>
      </c>
      <c r="Q572" s="85">
        <v>0</v>
      </c>
      <c r="R572" s="85"/>
      <c r="S572" s="86"/>
    </row>
    <row r="573" spans="1:19" ht="15">
      <c r="A573" s="70">
        <v>26</v>
      </c>
      <c r="B573" s="94" t="str">
        <f t="shared" si="16"/>
        <v>926</v>
      </c>
      <c r="C573" s="72" t="s">
        <v>2440</v>
      </c>
      <c r="D573" s="72" t="s">
        <v>737</v>
      </c>
      <c r="E573" s="85">
        <v>204319.32991057212</v>
      </c>
      <c r="F573" s="85" t="s">
        <v>254</v>
      </c>
      <c r="G573" s="85">
        <v>0</v>
      </c>
      <c r="H573" s="85" t="s">
        <v>254</v>
      </c>
      <c r="I573" s="85">
        <v>204319.32991057212</v>
      </c>
      <c r="J573" s="85">
        <v>0</v>
      </c>
      <c r="K573" s="85" t="s">
        <v>254</v>
      </c>
      <c r="L573" s="85" t="s">
        <v>254</v>
      </c>
      <c r="M573" s="85">
        <v>0</v>
      </c>
      <c r="N573" s="85" t="s">
        <v>254</v>
      </c>
      <c r="O573" s="85">
        <v>0</v>
      </c>
      <c r="P573" s="85">
        <v>0</v>
      </c>
      <c r="Q573" s="85">
        <v>0</v>
      </c>
      <c r="R573" s="85"/>
      <c r="S573" s="86"/>
    </row>
    <row r="574" spans="1:19" ht="15">
      <c r="A574" s="70">
        <v>27</v>
      </c>
      <c r="B574" s="94" t="str">
        <f t="shared" si="16"/>
        <v>926</v>
      </c>
      <c r="C574" s="72" t="s">
        <v>2441</v>
      </c>
      <c r="D574" s="72" t="s">
        <v>737</v>
      </c>
      <c r="E574" s="85">
        <v>202300.74305306544</v>
      </c>
      <c r="F574" s="85" t="s">
        <v>254</v>
      </c>
      <c r="G574" s="85">
        <v>0</v>
      </c>
      <c r="H574" s="85" t="s">
        <v>254</v>
      </c>
      <c r="I574" s="85">
        <v>0</v>
      </c>
      <c r="J574" s="85">
        <v>202300.74305306544</v>
      </c>
      <c r="K574" s="85" t="s">
        <v>254</v>
      </c>
      <c r="L574" s="85" t="s">
        <v>254</v>
      </c>
      <c r="M574" s="85">
        <v>82.62231695040451</v>
      </c>
      <c r="N574" s="85" t="s">
        <v>254</v>
      </c>
      <c r="O574" s="85">
        <v>202218.12073611503</v>
      </c>
      <c r="P574" s="85">
        <v>64551.778419322094</v>
      </c>
      <c r="Q574" s="85">
        <v>137666.34231679293</v>
      </c>
      <c r="R574" s="85"/>
      <c r="S574" s="86"/>
    </row>
    <row r="575" spans="1:19" ht="15">
      <c r="A575" s="70">
        <v>28</v>
      </c>
      <c r="B575" s="94" t="str">
        <f t="shared" si="16"/>
        <v>930</v>
      </c>
      <c r="C575" s="72" t="s">
        <v>2442</v>
      </c>
      <c r="D575" s="72" t="s">
        <v>732</v>
      </c>
      <c r="E575" s="85">
        <v>58132.420000000006</v>
      </c>
      <c r="F575" s="85" t="s">
        <v>254</v>
      </c>
      <c r="G575" s="85">
        <v>55232.291232971824</v>
      </c>
      <c r="H575" s="85" t="s">
        <v>254</v>
      </c>
      <c r="I575" s="85">
        <v>2898.7294266379868</v>
      </c>
      <c r="J575" s="85">
        <v>1.3993403901880108</v>
      </c>
      <c r="K575" s="85" t="s">
        <v>254</v>
      </c>
      <c r="L575" s="85" t="s">
        <v>254</v>
      </c>
      <c r="M575" s="85">
        <v>1.3993403901880108</v>
      </c>
      <c r="N575" s="85" t="s">
        <v>254</v>
      </c>
      <c r="O575" s="85">
        <v>0</v>
      </c>
      <c r="P575" s="85">
        <v>0</v>
      </c>
      <c r="Q575" s="85">
        <v>0</v>
      </c>
      <c r="R575" s="85"/>
      <c r="S575" s="86"/>
    </row>
    <row r="576" spans="1:19" ht="15">
      <c r="A576" s="70">
        <v>29</v>
      </c>
      <c r="B576" s="94" t="str">
        <f t="shared" si="16"/>
        <v>930</v>
      </c>
      <c r="C576" s="72" t="s">
        <v>2443</v>
      </c>
      <c r="D576" s="72" t="s">
        <v>422</v>
      </c>
      <c r="E576" s="85">
        <v>6353705.209999999</v>
      </c>
      <c r="F576" s="85" t="s">
        <v>254</v>
      </c>
      <c r="G576" s="85">
        <v>5743662.984947931</v>
      </c>
      <c r="H576" s="85" t="s">
        <v>254</v>
      </c>
      <c r="I576" s="85">
        <v>296065.55490828794</v>
      </c>
      <c r="J576" s="85">
        <v>313976.67014378041</v>
      </c>
      <c r="K576" s="85" t="s">
        <v>254</v>
      </c>
      <c r="L576" s="85" t="s">
        <v>254</v>
      </c>
      <c r="M576" s="85">
        <v>142.92347720328772</v>
      </c>
      <c r="N576" s="85" t="s">
        <v>254</v>
      </c>
      <c r="O576" s="85">
        <v>313833.74666657712</v>
      </c>
      <c r="P576" s="85">
        <v>100181.55841613699</v>
      </c>
      <c r="Q576" s="85">
        <v>213652.18825044014</v>
      </c>
      <c r="R576" s="85"/>
      <c r="S576" s="86"/>
    </row>
    <row r="577" spans="1:19" ht="15">
      <c r="A577" s="70">
        <v>30</v>
      </c>
      <c r="B577" s="94" t="str">
        <f t="shared" ref="B577:B579" si="17">MID(C577,3,3)</f>
        <v>931</v>
      </c>
      <c r="C577" s="72" t="s">
        <v>733</v>
      </c>
      <c r="D577" s="72" t="s">
        <v>422</v>
      </c>
      <c r="E577" s="85">
        <v>2057795.3599999996</v>
      </c>
      <c r="F577" s="85" t="s">
        <v>254</v>
      </c>
      <c r="G577" s="85">
        <v>1856981.2806132149</v>
      </c>
      <c r="H577" s="85" t="s">
        <v>254</v>
      </c>
      <c r="I577" s="85">
        <v>97459.043662052834</v>
      </c>
      <c r="J577" s="85">
        <v>103355.03572473185</v>
      </c>
      <c r="K577" s="85" t="s">
        <v>254</v>
      </c>
      <c r="L577" s="85" t="s">
        <v>254</v>
      </c>
      <c r="M577" s="85">
        <v>47.047639193969957</v>
      </c>
      <c r="N577" s="85" t="s">
        <v>254</v>
      </c>
      <c r="O577" s="85">
        <v>103307.98808553787</v>
      </c>
      <c r="P577" s="85">
        <v>32977.827761271503</v>
      </c>
      <c r="Q577" s="85">
        <v>70330.16032426637</v>
      </c>
      <c r="R577" s="85"/>
      <c r="S577" s="86"/>
    </row>
    <row r="578" spans="1:19" ht="15">
      <c r="A578" s="70">
        <v>31</v>
      </c>
      <c r="B578" s="94" t="str">
        <f t="shared" si="17"/>
        <v>935</v>
      </c>
      <c r="C578" s="72" t="s">
        <v>734</v>
      </c>
      <c r="D578" s="72" t="s">
        <v>422</v>
      </c>
      <c r="E578" s="85">
        <v>1197942.1599999997</v>
      </c>
      <c r="F578" s="85" t="s">
        <v>254</v>
      </c>
      <c r="G578" s="85">
        <v>1081038.5763418968</v>
      </c>
      <c r="H578" s="85" t="s">
        <v>254</v>
      </c>
      <c r="I578" s="85">
        <v>56735.62082288586</v>
      </c>
      <c r="J578" s="85">
        <v>60167.962835217222</v>
      </c>
      <c r="K578" s="85" t="s">
        <v>254</v>
      </c>
      <c r="L578" s="85" t="s">
        <v>254</v>
      </c>
      <c r="M578" s="85">
        <v>27.388705220389376</v>
      </c>
      <c r="N578" s="85" t="s">
        <v>254</v>
      </c>
      <c r="O578" s="85">
        <v>60140.574129996836</v>
      </c>
      <c r="P578" s="85">
        <v>19197.987802074527</v>
      </c>
      <c r="Q578" s="85">
        <v>40942.586327922305</v>
      </c>
      <c r="R578" s="85"/>
      <c r="S578" s="86"/>
    </row>
    <row r="579" spans="1:19" ht="15">
      <c r="A579" s="70">
        <v>32</v>
      </c>
      <c r="B579" s="94" t="str">
        <f t="shared" si="17"/>
        <v xml:space="preserve">   </v>
      </c>
      <c r="C579" s="72" t="s">
        <v>735</v>
      </c>
      <c r="D579" s="72" t="s">
        <v>254</v>
      </c>
      <c r="E579" s="85">
        <v>109801358.41999999</v>
      </c>
      <c r="F579" s="85" t="s">
        <v>254</v>
      </c>
      <c r="G579" s="85">
        <v>98755154.447740465</v>
      </c>
      <c r="H579" s="85" t="s">
        <v>254</v>
      </c>
      <c r="I579" s="85">
        <v>5369411.0249746637</v>
      </c>
      <c r="J579" s="85">
        <v>5676792.9472848633</v>
      </c>
      <c r="K579" s="85" t="s">
        <v>254</v>
      </c>
      <c r="L579" s="85" t="s">
        <v>254</v>
      </c>
      <c r="M579" s="85">
        <v>2576.0324853877937</v>
      </c>
      <c r="N579" s="85" t="s">
        <v>254</v>
      </c>
      <c r="O579" s="85">
        <v>5674216.9147994751</v>
      </c>
      <c r="P579" s="85">
        <v>1811315.3838734564</v>
      </c>
      <c r="Q579" s="85">
        <v>3862901.530926019</v>
      </c>
      <c r="R579" s="85"/>
      <c r="S579" s="86"/>
    </row>
    <row r="580" spans="1:19" ht="15">
      <c r="A580" s="70" t="s">
        <v>254</v>
      </c>
      <c r="B580" s="70"/>
      <c r="C580" s="72" t="s">
        <v>254</v>
      </c>
      <c r="D580" s="72" t="s">
        <v>254</v>
      </c>
      <c r="E580" s="85" t="s">
        <v>254</v>
      </c>
      <c r="F580" s="85" t="s">
        <v>254</v>
      </c>
      <c r="G580" s="85" t="s">
        <v>254</v>
      </c>
      <c r="H580" s="85" t="s">
        <v>254</v>
      </c>
      <c r="I580" s="85" t="s">
        <v>254</v>
      </c>
      <c r="J580" s="85" t="s">
        <v>254</v>
      </c>
      <c r="K580" s="85" t="s">
        <v>254</v>
      </c>
      <c r="L580" s="85" t="s">
        <v>254</v>
      </c>
      <c r="M580" s="85" t="s">
        <v>254</v>
      </c>
      <c r="N580" s="85" t="s">
        <v>254</v>
      </c>
      <c r="O580" s="85" t="s">
        <v>254</v>
      </c>
      <c r="P580" s="85" t="s">
        <v>254</v>
      </c>
      <c r="Q580" s="85" t="s">
        <v>254</v>
      </c>
      <c r="R580" s="85"/>
      <c r="S580" s="86"/>
    </row>
    <row r="581" spans="1:19" ht="15">
      <c r="A581" s="70" t="s">
        <v>254</v>
      </c>
      <c r="B581" s="70"/>
      <c r="C581" s="72" t="s">
        <v>736</v>
      </c>
      <c r="D581" s="72" t="s">
        <v>254</v>
      </c>
      <c r="E581" s="85" t="s">
        <v>254</v>
      </c>
      <c r="F581" s="85" t="s">
        <v>254</v>
      </c>
      <c r="G581" s="85" t="s">
        <v>254</v>
      </c>
      <c r="H581" s="85" t="s">
        <v>254</v>
      </c>
      <c r="I581" s="85" t="s">
        <v>254</v>
      </c>
      <c r="J581" s="85" t="s">
        <v>254</v>
      </c>
      <c r="K581" s="85" t="s">
        <v>254</v>
      </c>
      <c r="L581" s="85" t="s">
        <v>254</v>
      </c>
      <c r="M581" s="85" t="s">
        <v>254</v>
      </c>
      <c r="N581" s="85" t="s">
        <v>254</v>
      </c>
      <c r="O581" s="85" t="s">
        <v>254</v>
      </c>
      <c r="P581" s="85" t="s">
        <v>254</v>
      </c>
      <c r="Q581" s="85" t="s">
        <v>254</v>
      </c>
      <c r="R581" s="85"/>
      <c r="S581" s="86"/>
    </row>
    <row r="582" spans="1:19" ht="15">
      <c r="A582" s="70">
        <v>33</v>
      </c>
      <c r="B582" s="70"/>
      <c r="C582" s="72" t="s">
        <v>2444</v>
      </c>
      <c r="D582" s="72" t="s">
        <v>737</v>
      </c>
      <c r="E582" s="85">
        <v>751450.11</v>
      </c>
      <c r="F582" s="85" t="s">
        <v>254</v>
      </c>
      <c r="G582" s="85">
        <v>751450.11</v>
      </c>
      <c r="H582" s="85" t="s">
        <v>254</v>
      </c>
      <c r="I582" s="85">
        <v>0</v>
      </c>
      <c r="J582" s="85">
        <v>0</v>
      </c>
      <c r="K582" s="85" t="s">
        <v>254</v>
      </c>
      <c r="L582" s="85" t="s">
        <v>254</v>
      </c>
      <c r="M582" s="85">
        <v>0</v>
      </c>
      <c r="N582" s="85" t="s">
        <v>254</v>
      </c>
      <c r="O582" s="85">
        <v>0</v>
      </c>
      <c r="P582" s="85">
        <v>0</v>
      </c>
      <c r="Q582" s="85">
        <v>0</v>
      </c>
      <c r="R582" s="85"/>
      <c r="S582" s="86"/>
    </row>
    <row r="583" spans="1:19" ht="15">
      <c r="A583" s="70">
        <v>34</v>
      </c>
      <c r="B583" s="70"/>
      <c r="C583" s="72" t="s">
        <v>739</v>
      </c>
      <c r="D583" s="72" t="s">
        <v>737</v>
      </c>
      <c r="E583" s="85">
        <v>78</v>
      </c>
      <c r="F583" s="85" t="s">
        <v>254</v>
      </c>
      <c r="G583" s="85">
        <v>0</v>
      </c>
      <c r="H583" s="85" t="s">
        <v>254</v>
      </c>
      <c r="I583" s="85">
        <v>78</v>
      </c>
      <c r="J583" s="85">
        <v>0</v>
      </c>
      <c r="K583" s="85" t="s">
        <v>254</v>
      </c>
      <c r="L583" s="85" t="s">
        <v>254</v>
      </c>
      <c r="M583" s="85">
        <v>0</v>
      </c>
      <c r="N583" s="85" t="s">
        <v>254</v>
      </c>
      <c r="O583" s="85">
        <v>0</v>
      </c>
      <c r="P583" s="85">
        <v>0</v>
      </c>
      <c r="Q583" s="85">
        <v>0</v>
      </c>
      <c r="R583" s="85"/>
      <c r="S583" s="86"/>
    </row>
    <row r="584" spans="1:19" ht="15">
      <c r="A584" s="70">
        <v>35</v>
      </c>
      <c r="B584" s="70"/>
      <c r="C584" s="72" t="s">
        <v>738</v>
      </c>
      <c r="D584" s="72" t="s">
        <v>1128</v>
      </c>
      <c r="E584" s="85">
        <v>738.72</v>
      </c>
      <c r="F584" s="85" t="s">
        <v>254</v>
      </c>
      <c r="G584" s="85">
        <v>0</v>
      </c>
      <c r="H584" s="85" t="s">
        <v>254</v>
      </c>
      <c r="I584" s="85">
        <v>0</v>
      </c>
      <c r="J584" s="85">
        <v>738.72</v>
      </c>
      <c r="K584" s="85" t="s">
        <v>254</v>
      </c>
      <c r="L584" s="85" t="s">
        <v>254</v>
      </c>
      <c r="M584" s="85">
        <v>0</v>
      </c>
      <c r="N584" s="85" t="s">
        <v>254</v>
      </c>
      <c r="O584" s="85">
        <v>738.72</v>
      </c>
      <c r="P584" s="85">
        <v>235.31084449272126</v>
      </c>
      <c r="Q584" s="85">
        <v>503.4091555072788</v>
      </c>
      <c r="R584" s="85"/>
      <c r="S584" s="86"/>
    </row>
    <row r="585" spans="1:19" ht="15">
      <c r="A585" s="70">
        <v>36</v>
      </c>
      <c r="B585" s="70"/>
      <c r="C585" s="72" t="s">
        <v>741</v>
      </c>
      <c r="D585" s="72" t="s">
        <v>498</v>
      </c>
      <c r="E585" s="85">
        <v>339863.82999999984</v>
      </c>
      <c r="F585" s="85" t="s">
        <v>254</v>
      </c>
      <c r="G585" s="85">
        <v>298870.28009594744</v>
      </c>
      <c r="H585" s="85" t="s">
        <v>254</v>
      </c>
      <c r="I585" s="85">
        <v>12389.809801214509</v>
      </c>
      <c r="J585" s="85">
        <v>28603.740102837935</v>
      </c>
      <c r="K585" s="85" t="s">
        <v>254</v>
      </c>
      <c r="L585" s="85" t="s">
        <v>254</v>
      </c>
      <c r="M585" s="85">
        <v>1.4413290020735612</v>
      </c>
      <c r="N585" s="85" t="s">
        <v>254</v>
      </c>
      <c r="O585" s="85">
        <v>28602.298773835861</v>
      </c>
      <c r="P585" s="85">
        <v>9038.7099819366085</v>
      </c>
      <c r="Q585" s="85">
        <v>19563.588791899252</v>
      </c>
      <c r="R585" s="85"/>
      <c r="S585" s="86"/>
    </row>
    <row r="586" spans="1:19" ht="15">
      <c r="A586" s="70">
        <v>37</v>
      </c>
      <c r="B586" s="70"/>
      <c r="C586" s="72" t="s">
        <v>742</v>
      </c>
      <c r="D586" s="72" t="s">
        <v>254</v>
      </c>
      <c r="E586" s="85">
        <v>1092130.6599999999</v>
      </c>
      <c r="F586" s="85" t="s">
        <v>254</v>
      </c>
      <c r="G586" s="85">
        <v>1050320.3900959473</v>
      </c>
      <c r="H586" s="85" t="s">
        <v>254</v>
      </c>
      <c r="I586" s="85">
        <v>12467.809801214509</v>
      </c>
      <c r="J586" s="85">
        <v>29342.460102837933</v>
      </c>
      <c r="K586" s="85" t="s">
        <v>254</v>
      </c>
      <c r="L586" s="85" t="s">
        <v>254</v>
      </c>
      <c r="M586" s="85">
        <v>1.4413290020735612</v>
      </c>
      <c r="N586" s="85" t="s">
        <v>254</v>
      </c>
      <c r="O586" s="85">
        <v>29341.018773835858</v>
      </c>
      <c r="P586" s="85">
        <v>9274.0208264293306</v>
      </c>
      <c r="Q586" s="85">
        <v>20066.997947406529</v>
      </c>
      <c r="R586" s="85"/>
      <c r="S586" s="86"/>
    </row>
    <row r="587" spans="1:19" ht="15">
      <c r="A587" s="70" t="s">
        <v>254</v>
      </c>
      <c r="B587" s="70"/>
      <c r="C587" s="72" t="s">
        <v>254</v>
      </c>
      <c r="D587" s="72" t="s">
        <v>254</v>
      </c>
      <c r="E587" s="85" t="s">
        <v>254</v>
      </c>
      <c r="F587" s="85" t="s">
        <v>254</v>
      </c>
      <c r="G587" s="85" t="s">
        <v>254</v>
      </c>
      <c r="H587" s="85" t="s">
        <v>254</v>
      </c>
      <c r="I587" s="85" t="s">
        <v>254</v>
      </c>
      <c r="J587" s="85" t="s">
        <v>254</v>
      </c>
      <c r="K587" s="85" t="s">
        <v>254</v>
      </c>
      <c r="L587" s="85" t="s">
        <v>254</v>
      </c>
      <c r="M587" s="85" t="s">
        <v>254</v>
      </c>
      <c r="N587" s="85" t="s">
        <v>254</v>
      </c>
      <c r="O587" s="85" t="s">
        <v>254</v>
      </c>
      <c r="P587" s="85" t="s">
        <v>254</v>
      </c>
      <c r="Q587" s="85" t="s">
        <v>254</v>
      </c>
      <c r="R587" s="85"/>
      <c r="S587" s="86"/>
    </row>
    <row r="588" spans="1:19" ht="15">
      <c r="A588" s="70">
        <v>38</v>
      </c>
      <c r="B588" s="70"/>
      <c r="C588" s="72" t="s">
        <v>743</v>
      </c>
      <c r="D588" s="72" t="s">
        <v>731</v>
      </c>
      <c r="E588" s="85">
        <v>1880.8400000000001</v>
      </c>
      <c r="F588" s="85" t="s">
        <v>254</v>
      </c>
      <c r="G588" s="85">
        <v>0</v>
      </c>
      <c r="H588" s="85" t="s">
        <v>254</v>
      </c>
      <c r="I588" s="85">
        <v>1880.8400000000001</v>
      </c>
      <c r="J588" s="85">
        <v>0</v>
      </c>
      <c r="K588" s="85" t="s">
        <v>254</v>
      </c>
      <c r="L588" s="85" t="s">
        <v>254</v>
      </c>
      <c r="M588" s="85">
        <v>0</v>
      </c>
      <c r="N588" s="85" t="s">
        <v>254</v>
      </c>
      <c r="O588" s="85">
        <v>0</v>
      </c>
      <c r="P588" s="85">
        <v>0</v>
      </c>
      <c r="Q588" s="85">
        <v>0</v>
      </c>
      <c r="R588" s="85"/>
      <c r="S588" s="86"/>
    </row>
    <row r="589" spans="1:19" ht="15">
      <c r="A589" s="70">
        <v>39</v>
      </c>
      <c r="B589" s="70"/>
      <c r="C589" s="72" t="s">
        <v>730</v>
      </c>
      <c r="D589" s="72" t="s">
        <v>731</v>
      </c>
      <c r="E589" s="85">
        <v>-1880.8400000000001</v>
      </c>
      <c r="F589" s="85" t="s">
        <v>254</v>
      </c>
      <c r="G589" s="85">
        <v>0</v>
      </c>
      <c r="H589" s="85" t="s">
        <v>254</v>
      </c>
      <c r="I589" s="85">
        <v>-1880.8400000000001</v>
      </c>
      <c r="J589" s="85">
        <v>0</v>
      </c>
      <c r="K589" s="85" t="s">
        <v>254</v>
      </c>
      <c r="L589" s="85" t="s">
        <v>254</v>
      </c>
      <c r="M589" s="85">
        <v>0</v>
      </c>
      <c r="N589" s="85" t="s">
        <v>254</v>
      </c>
      <c r="O589" s="85">
        <v>0</v>
      </c>
      <c r="P589" s="85">
        <v>0</v>
      </c>
      <c r="Q589" s="85">
        <v>0</v>
      </c>
      <c r="R589" s="85"/>
      <c r="S589" s="86"/>
    </row>
    <row r="590" spans="1:19" ht="15">
      <c r="A590" s="70" t="s">
        <v>254</v>
      </c>
      <c r="B590" s="70"/>
      <c r="C590" s="72" t="s">
        <v>254</v>
      </c>
      <c r="D590" s="72" t="s">
        <v>254</v>
      </c>
      <c r="E590" s="85" t="s">
        <v>254</v>
      </c>
      <c r="F590" s="85" t="s">
        <v>254</v>
      </c>
      <c r="G590" s="85" t="s">
        <v>254</v>
      </c>
      <c r="H590" s="85" t="s">
        <v>254</v>
      </c>
      <c r="I590" s="85" t="s">
        <v>254</v>
      </c>
      <c r="J590" s="85" t="s">
        <v>254</v>
      </c>
      <c r="K590" s="85" t="s">
        <v>254</v>
      </c>
      <c r="L590" s="85" t="s">
        <v>254</v>
      </c>
      <c r="M590" s="85" t="s">
        <v>254</v>
      </c>
      <c r="N590" s="85" t="s">
        <v>254</v>
      </c>
      <c r="O590" s="85" t="s">
        <v>254</v>
      </c>
      <c r="P590" s="85" t="s">
        <v>254</v>
      </c>
      <c r="Q590" s="85" t="s">
        <v>254</v>
      </c>
      <c r="R590" s="85"/>
      <c r="S590" s="86"/>
    </row>
    <row r="591" spans="1:19" ht="15">
      <c r="A591" s="70">
        <v>40</v>
      </c>
      <c r="B591" s="70"/>
      <c r="C591" s="72" t="s">
        <v>745</v>
      </c>
      <c r="D591" s="72" t="s">
        <v>254</v>
      </c>
      <c r="E591" s="85">
        <v>117143722.14</v>
      </c>
      <c r="F591" s="85" t="s">
        <v>254</v>
      </c>
      <c r="G591" s="85">
        <v>105351176.32974608</v>
      </c>
      <c r="H591" s="85" t="s">
        <v>254</v>
      </c>
      <c r="I591" s="85">
        <v>5692214.179381201</v>
      </c>
      <c r="J591" s="85">
        <v>6100331.6308727115</v>
      </c>
      <c r="K591" s="85" t="s">
        <v>254</v>
      </c>
      <c r="L591" s="85" t="s">
        <v>254</v>
      </c>
      <c r="M591" s="85">
        <v>2715.6110717066263</v>
      </c>
      <c r="N591" s="85" t="s">
        <v>254</v>
      </c>
      <c r="O591" s="85">
        <v>6097616.0198010048</v>
      </c>
      <c r="P591" s="85">
        <v>1944807.2271664373</v>
      </c>
      <c r="Q591" s="85">
        <v>4152808.7926345677</v>
      </c>
      <c r="R591" s="85"/>
      <c r="S591" s="86"/>
    </row>
    <row r="592" spans="1:19" ht="15">
      <c r="A592" s="70" t="s">
        <v>254</v>
      </c>
      <c r="B592" s="70"/>
      <c r="C592" s="72" t="s">
        <v>254</v>
      </c>
      <c r="D592" s="72" t="s">
        <v>254</v>
      </c>
      <c r="E592" s="85" t="s">
        <v>254</v>
      </c>
      <c r="F592" s="85" t="s">
        <v>254</v>
      </c>
      <c r="G592" s="85" t="s">
        <v>254</v>
      </c>
      <c r="H592" s="85" t="s">
        <v>254</v>
      </c>
      <c r="I592" s="85" t="s">
        <v>254</v>
      </c>
      <c r="J592" s="85" t="s">
        <v>254</v>
      </c>
      <c r="K592" s="85" t="s">
        <v>254</v>
      </c>
      <c r="L592" s="85" t="s">
        <v>254</v>
      </c>
      <c r="M592" s="85" t="s">
        <v>254</v>
      </c>
      <c r="N592" s="85" t="s">
        <v>254</v>
      </c>
      <c r="O592" s="85" t="s">
        <v>254</v>
      </c>
      <c r="P592" s="85" t="s">
        <v>254</v>
      </c>
      <c r="Q592" s="85" t="s">
        <v>254</v>
      </c>
      <c r="R592" s="85"/>
      <c r="S592" s="86"/>
    </row>
    <row r="593" spans="1:19" ht="15">
      <c r="A593" s="70">
        <v>41</v>
      </c>
      <c r="B593" s="70"/>
      <c r="C593" s="72" t="s">
        <v>746</v>
      </c>
      <c r="D593" s="72" t="s">
        <v>254</v>
      </c>
      <c r="E593" s="85">
        <v>978217446.08824301</v>
      </c>
      <c r="F593" s="85" t="s">
        <v>254</v>
      </c>
      <c r="G593" s="85">
        <v>870328948.4387362</v>
      </c>
      <c r="H593" s="85" t="s">
        <v>254</v>
      </c>
      <c r="I593" s="85">
        <v>41013857.013454556</v>
      </c>
      <c r="J593" s="85">
        <v>66874640.636052258</v>
      </c>
      <c r="K593" s="85" t="s">
        <v>254</v>
      </c>
      <c r="L593" s="85" t="s">
        <v>254</v>
      </c>
      <c r="M593" s="85">
        <v>12376.560317348612</v>
      </c>
      <c r="N593" s="85" t="s">
        <v>254</v>
      </c>
      <c r="O593" s="85">
        <v>66862264.075734913</v>
      </c>
      <c r="P593" s="85">
        <v>21149252.252477836</v>
      </c>
      <c r="Q593" s="85">
        <v>45713011.823257074</v>
      </c>
      <c r="R593" s="85"/>
      <c r="S593" s="86"/>
    </row>
    <row r="594" spans="1:19" ht="15">
      <c r="A594" s="70"/>
      <c r="B594" s="70"/>
      <c r="C594" s="72"/>
      <c r="D594" s="72"/>
      <c r="E594" s="85"/>
      <c r="F594" s="85"/>
      <c r="G594" s="85"/>
      <c r="H594" s="85"/>
      <c r="I594" s="85"/>
      <c r="J594" s="85"/>
      <c r="K594" s="85"/>
      <c r="L594" s="85"/>
      <c r="M594" s="85"/>
      <c r="N594" s="85"/>
      <c r="O594" s="85"/>
      <c r="P594" s="85"/>
      <c r="Q594" s="85"/>
      <c r="R594" s="85"/>
      <c r="S594" s="86"/>
    </row>
    <row r="595" spans="1:19" ht="15">
      <c r="A595" s="70"/>
      <c r="B595" s="70"/>
      <c r="C595" s="72"/>
      <c r="D595" s="72"/>
      <c r="E595" s="85"/>
      <c r="F595" s="85"/>
      <c r="G595" s="85"/>
      <c r="H595" s="85"/>
      <c r="I595" s="85"/>
      <c r="J595" s="85"/>
      <c r="K595" s="85"/>
      <c r="L595" s="85"/>
      <c r="M595" s="85"/>
      <c r="N595" s="85"/>
      <c r="O595" s="85"/>
      <c r="P595" s="85"/>
      <c r="Q595" s="85"/>
      <c r="R595" s="85"/>
      <c r="S595" s="86"/>
    </row>
    <row r="596" spans="1:19" ht="15">
      <c r="A596" s="70" t="s">
        <v>254</v>
      </c>
      <c r="B596" s="70"/>
      <c r="C596" s="72" t="s">
        <v>747</v>
      </c>
      <c r="D596" s="72" t="s">
        <v>254</v>
      </c>
      <c r="E596" s="85" t="s">
        <v>254</v>
      </c>
      <c r="F596" s="85" t="s">
        <v>254</v>
      </c>
      <c r="G596" s="85" t="s">
        <v>254</v>
      </c>
      <c r="H596" s="85" t="s">
        <v>254</v>
      </c>
      <c r="I596" s="85" t="s">
        <v>254</v>
      </c>
      <c r="J596" s="85" t="s">
        <v>254</v>
      </c>
      <c r="K596" s="85" t="s">
        <v>254</v>
      </c>
      <c r="L596" s="85" t="s">
        <v>254</v>
      </c>
      <c r="M596" s="85" t="s">
        <v>254</v>
      </c>
      <c r="N596" s="85" t="s">
        <v>254</v>
      </c>
      <c r="O596" s="85" t="s">
        <v>254</v>
      </c>
      <c r="P596" s="85" t="s">
        <v>254</v>
      </c>
      <c r="Q596" s="85" t="s">
        <v>254</v>
      </c>
      <c r="R596" s="85"/>
      <c r="S596" s="86"/>
    </row>
    <row r="597" spans="1:19" ht="15">
      <c r="A597" s="70" t="s">
        <v>254</v>
      </c>
      <c r="B597" s="70"/>
      <c r="C597" s="72" t="s">
        <v>254</v>
      </c>
      <c r="D597" s="72" t="s">
        <v>254</v>
      </c>
      <c r="E597" s="85" t="s">
        <v>254</v>
      </c>
      <c r="F597" s="85" t="s">
        <v>254</v>
      </c>
      <c r="G597" s="85" t="s">
        <v>254</v>
      </c>
      <c r="H597" s="85" t="s">
        <v>254</v>
      </c>
      <c r="I597" s="85" t="s">
        <v>254</v>
      </c>
      <c r="J597" s="85" t="s">
        <v>254</v>
      </c>
      <c r="K597" s="85" t="s">
        <v>254</v>
      </c>
      <c r="L597" s="85" t="s">
        <v>254</v>
      </c>
      <c r="M597" s="85" t="s">
        <v>254</v>
      </c>
      <c r="N597" s="85" t="s">
        <v>254</v>
      </c>
      <c r="O597" s="85" t="s">
        <v>254</v>
      </c>
      <c r="P597" s="85" t="s">
        <v>254</v>
      </c>
      <c r="Q597" s="85" t="s">
        <v>254</v>
      </c>
      <c r="R597" s="85"/>
      <c r="S597" s="86"/>
    </row>
    <row r="598" spans="1:19" ht="15">
      <c r="A598" s="70" t="s">
        <v>254</v>
      </c>
      <c r="B598" s="70"/>
      <c r="C598" s="72" t="s">
        <v>748</v>
      </c>
      <c r="D598" s="72" t="s">
        <v>254</v>
      </c>
      <c r="E598" s="85" t="s">
        <v>254</v>
      </c>
      <c r="F598" s="85" t="s">
        <v>254</v>
      </c>
      <c r="G598" s="85" t="s">
        <v>254</v>
      </c>
      <c r="H598" s="85" t="s">
        <v>254</v>
      </c>
      <c r="I598" s="85" t="s">
        <v>254</v>
      </c>
      <c r="J598" s="85" t="s">
        <v>254</v>
      </c>
      <c r="K598" s="85" t="s">
        <v>254</v>
      </c>
      <c r="L598" s="85" t="s">
        <v>254</v>
      </c>
      <c r="M598" s="85" t="s">
        <v>254</v>
      </c>
      <c r="N598" s="85" t="s">
        <v>254</v>
      </c>
      <c r="O598" s="85" t="s">
        <v>254</v>
      </c>
      <c r="P598" s="85" t="s">
        <v>254</v>
      </c>
      <c r="Q598" s="85" t="s">
        <v>254</v>
      </c>
      <c r="R598" s="85"/>
      <c r="S598" s="86"/>
    </row>
    <row r="599" spans="1:19" ht="15">
      <c r="A599" s="70" t="s">
        <v>254</v>
      </c>
      <c r="B599" s="70"/>
      <c r="C599" s="72" t="s">
        <v>254</v>
      </c>
      <c r="D599" s="72" t="s">
        <v>254</v>
      </c>
      <c r="E599" s="85" t="s">
        <v>254</v>
      </c>
      <c r="F599" s="85" t="s">
        <v>254</v>
      </c>
      <c r="G599" s="85" t="s">
        <v>254</v>
      </c>
      <c r="H599" s="85" t="s">
        <v>254</v>
      </c>
      <c r="I599" s="85" t="s">
        <v>254</v>
      </c>
      <c r="J599" s="85" t="s">
        <v>254</v>
      </c>
      <c r="K599" s="85" t="s">
        <v>254</v>
      </c>
      <c r="L599" s="85" t="s">
        <v>254</v>
      </c>
      <c r="M599" s="85" t="s">
        <v>254</v>
      </c>
      <c r="N599" s="85" t="s">
        <v>254</v>
      </c>
      <c r="O599" s="85" t="s">
        <v>254</v>
      </c>
      <c r="P599" s="85" t="s">
        <v>254</v>
      </c>
      <c r="Q599" s="85" t="s">
        <v>254</v>
      </c>
      <c r="R599" s="85"/>
      <c r="S599" s="86"/>
    </row>
    <row r="600" spans="1:19" ht="15">
      <c r="A600" s="70" t="s">
        <v>254</v>
      </c>
      <c r="B600" s="70"/>
      <c r="C600" s="72" t="s">
        <v>444</v>
      </c>
      <c r="D600" s="72" t="s">
        <v>254</v>
      </c>
      <c r="E600" s="85" t="s">
        <v>254</v>
      </c>
      <c r="F600" s="85" t="s">
        <v>254</v>
      </c>
      <c r="G600" s="85" t="s">
        <v>254</v>
      </c>
      <c r="H600" s="85" t="s">
        <v>254</v>
      </c>
      <c r="I600" s="85" t="s">
        <v>254</v>
      </c>
      <c r="J600" s="85" t="s">
        <v>254</v>
      </c>
      <c r="K600" s="85" t="s">
        <v>254</v>
      </c>
      <c r="L600" s="85" t="s">
        <v>254</v>
      </c>
      <c r="M600" s="85" t="s">
        <v>254</v>
      </c>
      <c r="N600" s="85" t="s">
        <v>254</v>
      </c>
      <c r="O600" s="85" t="s">
        <v>254</v>
      </c>
      <c r="P600" s="85" t="s">
        <v>254</v>
      </c>
      <c r="Q600" s="85" t="s">
        <v>254</v>
      </c>
      <c r="R600" s="85"/>
      <c r="S600" s="86"/>
    </row>
    <row r="601" spans="1:19" ht="15">
      <c r="A601" s="70" t="s">
        <v>254</v>
      </c>
      <c r="B601" s="70"/>
      <c r="C601" s="72" t="s">
        <v>445</v>
      </c>
      <c r="D601" s="72" t="s">
        <v>254</v>
      </c>
      <c r="E601" s="85" t="s">
        <v>254</v>
      </c>
      <c r="F601" s="85" t="s">
        <v>254</v>
      </c>
      <c r="G601" s="85" t="s">
        <v>254</v>
      </c>
      <c r="H601" s="85" t="s">
        <v>254</v>
      </c>
      <c r="I601" s="85" t="s">
        <v>254</v>
      </c>
      <c r="J601" s="85" t="s">
        <v>254</v>
      </c>
      <c r="K601" s="85" t="s">
        <v>254</v>
      </c>
      <c r="L601" s="85" t="s">
        <v>254</v>
      </c>
      <c r="M601" s="85" t="s">
        <v>254</v>
      </c>
      <c r="N601" s="85" t="s">
        <v>254</v>
      </c>
      <c r="O601" s="85" t="s">
        <v>254</v>
      </c>
      <c r="P601" s="85" t="s">
        <v>254</v>
      </c>
      <c r="Q601" s="85" t="s">
        <v>254</v>
      </c>
      <c r="R601" s="85"/>
      <c r="S601" s="86"/>
    </row>
    <row r="602" spans="1:19" ht="15">
      <c r="A602" s="70">
        <v>1</v>
      </c>
      <c r="B602" s="70"/>
      <c r="C602" s="72" t="s">
        <v>446</v>
      </c>
      <c r="D602" s="72" t="s">
        <v>447</v>
      </c>
      <c r="E602" s="85">
        <v>116826804.88743</v>
      </c>
      <c r="F602" s="85" t="s">
        <v>254</v>
      </c>
      <c r="G602" s="85">
        <v>102314258.80586582</v>
      </c>
      <c r="H602" s="85" t="s">
        <v>254</v>
      </c>
      <c r="I602" s="85">
        <v>4728306.9736650968</v>
      </c>
      <c r="J602" s="85">
        <v>9784239.1078990754</v>
      </c>
      <c r="K602" s="85" t="s">
        <v>254</v>
      </c>
      <c r="L602" s="85" t="s">
        <v>254</v>
      </c>
      <c r="M602" s="85">
        <v>359.52481706481825</v>
      </c>
      <c r="N602" s="85" t="s">
        <v>254</v>
      </c>
      <c r="O602" s="85">
        <v>9783879.583082011</v>
      </c>
      <c r="P602" s="85">
        <v>3036513.9208551757</v>
      </c>
      <c r="Q602" s="85">
        <v>6747365.6622268353</v>
      </c>
      <c r="R602" s="85"/>
      <c r="S602" s="86"/>
    </row>
    <row r="603" spans="1:19" ht="15">
      <c r="A603" s="70">
        <v>2</v>
      </c>
      <c r="B603" s="70"/>
      <c r="C603" s="72" t="s">
        <v>448</v>
      </c>
      <c r="D603" s="72" t="s">
        <v>315</v>
      </c>
      <c r="E603" s="85">
        <v>350694.75003333302</v>
      </c>
      <c r="F603" s="85" t="s">
        <v>254</v>
      </c>
      <c r="G603" s="85">
        <v>0</v>
      </c>
      <c r="H603" s="85" t="s">
        <v>254</v>
      </c>
      <c r="I603" s="85">
        <v>114262.06696877169</v>
      </c>
      <c r="J603" s="85">
        <v>236432.68306456134</v>
      </c>
      <c r="K603" s="85" t="s">
        <v>254</v>
      </c>
      <c r="L603" s="85" t="s">
        <v>254</v>
      </c>
      <c r="M603" s="85">
        <v>0</v>
      </c>
      <c r="N603" s="85" t="s">
        <v>254</v>
      </c>
      <c r="O603" s="85">
        <v>236432.68306456134</v>
      </c>
      <c r="P603" s="85">
        <v>73378.982986677904</v>
      </c>
      <c r="Q603" s="85">
        <v>163053.70007788343</v>
      </c>
      <c r="R603" s="85"/>
      <c r="S603" s="86"/>
    </row>
    <row r="604" spans="1:19" ht="15">
      <c r="A604" s="70">
        <v>3</v>
      </c>
      <c r="B604" s="70"/>
      <c r="C604" s="72" t="s">
        <v>449</v>
      </c>
      <c r="D604" s="72" t="s">
        <v>317</v>
      </c>
      <c r="E604" s="85">
        <v>581426.99999999977</v>
      </c>
      <c r="F604" s="85" t="s">
        <v>254</v>
      </c>
      <c r="G604" s="85">
        <v>0</v>
      </c>
      <c r="H604" s="85" t="s">
        <v>254</v>
      </c>
      <c r="I604" s="85">
        <v>0</v>
      </c>
      <c r="J604" s="85">
        <v>581426.99999999977</v>
      </c>
      <c r="K604" s="85" t="s">
        <v>254</v>
      </c>
      <c r="L604" s="85" t="s">
        <v>254</v>
      </c>
      <c r="M604" s="85">
        <v>0</v>
      </c>
      <c r="N604" s="85" t="s">
        <v>254</v>
      </c>
      <c r="O604" s="85">
        <v>581426.99999999977</v>
      </c>
      <c r="P604" s="85">
        <v>180451.03319892962</v>
      </c>
      <c r="Q604" s="85">
        <v>400975.9668010702</v>
      </c>
      <c r="R604" s="85"/>
      <c r="S604" s="86"/>
    </row>
    <row r="605" spans="1:19" ht="15">
      <c r="A605" s="70">
        <v>4</v>
      </c>
      <c r="B605" s="70"/>
      <c r="C605" s="72" t="s">
        <v>450</v>
      </c>
      <c r="D605" s="72" t="s">
        <v>254</v>
      </c>
      <c r="E605" s="85">
        <v>117758926.63746333</v>
      </c>
      <c r="F605" s="85" t="s">
        <v>254</v>
      </c>
      <c r="G605" s="85">
        <v>102314258.80586582</v>
      </c>
      <c r="H605" s="85" t="s">
        <v>254</v>
      </c>
      <c r="I605" s="85">
        <v>4842569.0406338684</v>
      </c>
      <c r="J605" s="85">
        <v>10602098.790963639</v>
      </c>
      <c r="K605" s="85" t="s">
        <v>254</v>
      </c>
      <c r="L605" s="85" t="s">
        <v>254</v>
      </c>
      <c r="M605" s="85">
        <v>359.52481706481825</v>
      </c>
      <c r="N605" s="85" t="s">
        <v>254</v>
      </c>
      <c r="O605" s="85">
        <v>10601739.266146574</v>
      </c>
      <c r="P605" s="85">
        <v>3290343.9370407835</v>
      </c>
      <c r="Q605" s="85">
        <v>7311395.3291057898</v>
      </c>
      <c r="R605" s="85"/>
      <c r="S605" s="86"/>
    </row>
    <row r="606" spans="1:19" ht="15">
      <c r="A606" s="70" t="s">
        <v>254</v>
      </c>
      <c r="B606" s="70"/>
      <c r="C606" s="72" t="s">
        <v>254</v>
      </c>
      <c r="D606" s="72" t="s">
        <v>254</v>
      </c>
      <c r="E606" s="85" t="s">
        <v>254</v>
      </c>
      <c r="F606" s="85" t="s">
        <v>254</v>
      </c>
      <c r="G606" s="85" t="s">
        <v>254</v>
      </c>
      <c r="H606" s="85" t="s">
        <v>254</v>
      </c>
      <c r="I606" s="85" t="s">
        <v>254</v>
      </c>
      <c r="J606" s="85" t="s">
        <v>254</v>
      </c>
      <c r="K606" s="85" t="s">
        <v>254</v>
      </c>
      <c r="L606" s="85" t="s">
        <v>254</v>
      </c>
      <c r="M606" s="85" t="s">
        <v>254</v>
      </c>
      <c r="N606" s="85" t="s">
        <v>254</v>
      </c>
      <c r="O606" s="85" t="s">
        <v>254</v>
      </c>
      <c r="P606" s="85" t="s">
        <v>254</v>
      </c>
      <c r="Q606" s="85" t="s">
        <v>254</v>
      </c>
      <c r="R606" s="85"/>
      <c r="S606" s="86"/>
    </row>
    <row r="607" spans="1:19" ht="15">
      <c r="A607" s="70" t="s">
        <v>254</v>
      </c>
      <c r="B607" s="70"/>
      <c r="C607" s="72" t="s">
        <v>451</v>
      </c>
      <c r="D607" s="72" t="s">
        <v>254</v>
      </c>
      <c r="E607" s="85" t="s">
        <v>254</v>
      </c>
      <c r="F607" s="85" t="s">
        <v>254</v>
      </c>
      <c r="G607" s="85" t="s">
        <v>254</v>
      </c>
      <c r="H607" s="85" t="s">
        <v>254</v>
      </c>
      <c r="I607" s="85" t="s">
        <v>254</v>
      </c>
      <c r="J607" s="85" t="s">
        <v>254</v>
      </c>
      <c r="K607" s="85" t="s">
        <v>254</v>
      </c>
      <c r="L607" s="85" t="s">
        <v>254</v>
      </c>
      <c r="M607" s="85" t="s">
        <v>254</v>
      </c>
      <c r="N607" s="85" t="s">
        <v>254</v>
      </c>
      <c r="O607" s="85" t="s">
        <v>254</v>
      </c>
      <c r="P607" s="85" t="s">
        <v>254</v>
      </c>
      <c r="Q607" s="85" t="s">
        <v>254</v>
      </c>
      <c r="R607" s="85"/>
      <c r="S607" s="86"/>
    </row>
    <row r="608" spans="1:19" ht="15">
      <c r="A608" s="70">
        <v>5</v>
      </c>
      <c r="B608" s="70"/>
      <c r="C608" s="72" t="s">
        <v>446</v>
      </c>
      <c r="D608" s="72" t="s">
        <v>452</v>
      </c>
      <c r="E608" s="85">
        <v>1172307.2311774802</v>
      </c>
      <c r="F608" s="85" t="s">
        <v>254</v>
      </c>
      <c r="G608" s="85">
        <v>1026680.012059339</v>
      </c>
      <c r="H608" s="85" t="s">
        <v>254</v>
      </c>
      <c r="I608" s="85">
        <v>47446.546721837985</v>
      </c>
      <c r="J608" s="85">
        <v>98180.672396303082</v>
      </c>
      <c r="K608" s="85" t="s">
        <v>254</v>
      </c>
      <c r="L608" s="85" t="s">
        <v>254</v>
      </c>
      <c r="M608" s="85">
        <v>3.6076784196825669</v>
      </c>
      <c r="N608" s="85" t="s">
        <v>254</v>
      </c>
      <c r="O608" s="85">
        <v>98177.064717883404</v>
      </c>
      <c r="P608" s="85">
        <v>30470.123961873527</v>
      </c>
      <c r="Q608" s="85">
        <v>67706.940756009877</v>
      </c>
      <c r="R608" s="85"/>
      <c r="S608" s="86"/>
    </row>
    <row r="609" spans="1:19" ht="15">
      <c r="A609" s="70">
        <v>6</v>
      </c>
      <c r="B609" s="70"/>
      <c r="C609" s="72" t="s">
        <v>448</v>
      </c>
      <c r="D609" s="72" t="s">
        <v>315</v>
      </c>
      <c r="E609" s="85">
        <v>21.999966666666623</v>
      </c>
      <c r="F609" s="85" t="s">
        <v>254</v>
      </c>
      <c r="G609" s="85">
        <v>0</v>
      </c>
      <c r="H609" s="85" t="s">
        <v>254</v>
      </c>
      <c r="I609" s="85">
        <v>7.1679478074264784</v>
      </c>
      <c r="J609" s="85">
        <v>14.832018859240144</v>
      </c>
      <c r="K609" s="85" t="s">
        <v>254</v>
      </c>
      <c r="L609" s="85" t="s">
        <v>254</v>
      </c>
      <c r="M609" s="85">
        <v>0</v>
      </c>
      <c r="N609" s="85" t="s">
        <v>254</v>
      </c>
      <c r="O609" s="85">
        <v>14.832018859240144</v>
      </c>
      <c r="P609" s="85">
        <v>4.6032487785670329</v>
      </c>
      <c r="Q609" s="85">
        <v>10.228770080673112</v>
      </c>
      <c r="R609" s="85"/>
      <c r="S609" s="86"/>
    </row>
    <row r="610" spans="1:19" ht="15">
      <c r="A610" s="70">
        <v>7</v>
      </c>
      <c r="B610" s="70"/>
      <c r="C610" s="72" t="s">
        <v>449</v>
      </c>
      <c r="D610" s="72" t="s">
        <v>317</v>
      </c>
      <c r="E610" s="85">
        <v>2759.0000333333369</v>
      </c>
      <c r="F610" s="85" t="s">
        <v>254</v>
      </c>
      <c r="G610" s="85">
        <v>0</v>
      </c>
      <c r="H610" s="85" t="s">
        <v>254</v>
      </c>
      <c r="I610" s="85">
        <v>0</v>
      </c>
      <c r="J610" s="85">
        <v>2759.0000333333369</v>
      </c>
      <c r="K610" s="85" t="s">
        <v>254</v>
      </c>
      <c r="L610" s="85" t="s">
        <v>254</v>
      </c>
      <c r="M610" s="85">
        <v>0</v>
      </c>
      <c r="N610" s="85" t="s">
        <v>254</v>
      </c>
      <c r="O610" s="85">
        <v>2759.0000333333369</v>
      </c>
      <c r="P610" s="85">
        <v>856.28016347861728</v>
      </c>
      <c r="Q610" s="85">
        <v>1902.7198698547195</v>
      </c>
      <c r="R610" s="85"/>
      <c r="S610" s="86"/>
    </row>
    <row r="611" spans="1:19" ht="15">
      <c r="A611" s="70">
        <v>8</v>
      </c>
      <c r="B611" s="70"/>
      <c r="C611" s="72" t="s">
        <v>453</v>
      </c>
      <c r="D611" s="72" t="s">
        <v>254</v>
      </c>
      <c r="E611" s="85">
        <v>1175088.23117748</v>
      </c>
      <c r="F611" s="85" t="s">
        <v>254</v>
      </c>
      <c r="G611" s="85">
        <v>1026680.012059339</v>
      </c>
      <c r="H611" s="85" t="s">
        <v>254</v>
      </c>
      <c r="I611" s="85">
        <v>47453.714669645415</v>
      </c>
      <c r="J611" s="85">
        <v>100954.50444849566</v>
      </c>
      <c r="K611" s="85" t="s">
        <v>254</v>
      </c>
      <c r="L611" s="85" t="s">
        <v>254</v>
      </c>
      <c r="M611" s="85">
        <v>3.6076784196825669</v>
      </c>
      <c r="N611" s="85" t="s">
        <v>254</v>
      </c>
      <c r="O611" s="85">
        <v>100950.89677007598</v>
      </c>
      <c r="P611" s="85">
        <v>31331.00737413071</v>
      </c>
      <c r="Q611" s="85">
        <v>69619.889395945269</v>
      </c>
      <c r="R611" s="85"/>
      <c r="S611" s="86"/>
    </row>
    <row r="612" spans="1:19" ht="15">
      <c r="A612" s="70" t="s">
        <v>254</v>
      </c>
      <c r="B612" s="70"/>
      <c r="C612" s="72" t="s">
        <v>254</v>
      </c>
      <c r="D612" s="72" t="s">
        <v>254</v>
      </c>
      <c r="E612" s="85" t="s">
        <v>254</v>
      </c>
      <c r="F612" s="85" t="s">
        <v>254</v>
      </c>
      <c r="G612" s="85" t="s">
        <v>254</v>
      </c>
      <c r="H612" s="85" t="s">
        <v>254</v>
      </c>
      <c r="I612" s="85" t="s">
        <v>254</v>
      </c>
      <c r="J612" s="85" t="s">
        <v>254</v>
      </c>
      <c r="K612" s="85" t="s">
        <v>254</v>
      </c>
      <c r="L612" s="85" t="s">
        <v>254</v>
      </c>
      <c r="M612" s="85" t="s">
        <v>254</v>
      </c>
      <c r="N612" s="85" t="s">
        <v>254</v>
      </c>
      <c r="O612" s="85" t="s">
        <v>254</v>
      </c>
      <c r="P612" s="85" t="s">
        <v>254</v>
      </c>
      <c r="Q612" s="85" t="s">
        <v>254</v>
      </c>
      <c r="R612" s="85"/>
      <c r="S612" s="86"/>
    </row>
    <row r="613" spans="1:19" ht="15">
      <c r="A613" s="70" t="s">
        <v>254</v>
      </c>
      <c r="B613" s="70"/>
      <c r="C613" s="72" t="s">
        <v>454</v>
      </c>
      <c r="D613" s="72" t="s">
        <v>254</v>
      </c>
      <c r="E613" s="85" t="s">
        <v>254</v>
      </c>
      <c r="F613" s="85" t="s">
        <v>254</v>
      </c>
      <c r="G613" s="85" t="s">
        <v>254</v>
      </c>
      <c r="H613" s="85" t="s">
        <v>254</v>
      </c>
      <c r="I613" s="85" t="s">
        <v>254</v>
      </c>
      <c r="J613" s="85" t="s">
        <v>254</v>
      </c>
      <c r="K613" s="85" t="s">
        <v>254</v>
      </c>
      <c r="L613" s="85" t="s">
        <v>254</v>
      </c>
      <c r="M613" s="85" t="s">
        <v>254</v>
      </c>
      <c r="N613" s="85" t="s">
        <v>254</v>
      </c>
      <c r="O613" s="85" t="s">
        <v>254</v>
      </c>
      <c r="P613" s="85" t="s">
        <v>254</v>
      </c>
      <c r="Q613" s="85" t="s">
        <v>254</v>
      </c>
      <c r="R613" s="85"/>
      <c r="S613" s="86"/>
    </row>
    <row r="614" spans="1:19" ht="15">
      <c r="A614" s="70">
        <v>9</v>
      </c>
      <c r="B614" s="70"/>
      <c r="C614" s="72" t="s">
        <v>446</v>
      </c>
      <c r="D614" s="72" t="s">
        <v>455</v>
      </c>
      <c r="E614" s="85">
        <v>33480277.830168225</v>
      </c>
      <c r="F614" s="85" t="s">
        <v>254</v>
      </c>
      <c r="G614" s="85">
        <v>29321265.903906371</v>
      </c>
      <c r="H614" s="85" t="s">
        <v>254</v>
      </c>
      <c r="I614" s="85">
        <v>1355040.3205597054</v>
      </c>
      <c r="J614" s="85">
        <v>2803971.6057021455</v>
      </c>
      <c r="K614" s="85" t="s">
        <v>254</v>
      </c>
      <c r="L614" s="85" t="s">
        <v>254</v>
      </c>
      <c r="M614" s="85">
        <v>103.0327823633362</v>
      </c>
      <c r="N614" s="85" t="s">
        <v>254</v>
      </c>
      <c r="O614" s="85">
        <v>2803868.5729197823</v>
      </c>
      <c r="P614" s="85">
        <v>870205.51322415913</v>
      </c>
      <c r="Q614" s="85">
        <v>1933663.0596956229</v>
      </c>
      <c r="R614" s="85"/>
      <c r="S614" s="86"/>
    </row>
    <row r="615" spans="1:19" ht="15">
      <c r="A615" s="70">
        <v>10</v>
      </c>
      <c r="B615" s="70"/>
      <c r="C615" s="72" t="s">
        <v>448</v>
      </c>
      <c r="D615" s="72" t="s">
        <v>315</v>
      </c>
      <c r="E615" s="85">
        <v>77.500033333333363</v>
      </c>
      <c r="F615" s="85" t="s">
        <v>254</v>
      </c>
      <c r="G615" s="85">
        <v>0</v>
      </c>
      <c r="H615" s="85" t="s">
        <v>254</v>
      </c>
      <c r="I615" s="85">
        <v>25.250774349982969</v>
      </c>
      <c r="J615" s="85">
        <v>52.249258983350387</v>
      </c>
      <c r="K615" s="85" t="s">
        <v>254</v>
      </c>
      <c r="L615" s="85" t="s">
        <v>254</v>
      </c>
      <c r="M615" s="85">
        <v>0</v>
      </c>
      <c r="N615" s="85" t="s">
        <v>254</v>
      </c>
      <c r="O615" s="85">
        <v>52.249258983350387</v>
      </c>
      <c r="P615" s="85">
        <v>16.216021559755628</v>
      </c>
      <c r="Q615" s="85">
        <v>36.033237423594763</v>
      </c>
      <c r="R615" s="85"/>
      <c r="S615" s="86"/>
    </row>
    <row r="616" spans="1:19" ht="15">
      <c r="A616" s="70">
        <v>11</v>
      </c>
      <c r="B616" s="70"/>
      <c r="C616" s="72" t="s">
        <v>449</v>
      </c>
      <c r="D616" s="72" t="s">
        <v>317</v>
      </c>
      <c r="E616" s="85">
        <v>119898.00003333346</v>
      </c>
      <c r="F616" s="85" t="s">
        <v>254</v>
      </c>
      <c r="G616" s="85">
        <v>0</v>
      </c>
      <c r="H616" s="85" t="s">
        <v>254</v>
      </c>
      <c r="I616" s="85">
        <v>0</v>
      </c>
      <c r="J616" s="85">
        <v>119898.00003333346</v>
      </c>
      <c r="K616" s="85" t="s">
        <v>254</v>
      </c>
      <c r="L616" s="85" t="s">
        <v>254</v>
      </c>
      <c r="M616" s="85">
        <v>0</v>
      </c>
      <c r="N616" s="85" t="s">
        <v>254</v>
      </c>
      <c r="O616" s="85">
        <v>119898.00003333346</v>
      </c>
      <c r="P616" s="85">
        <v>37211.409144226753</v>
      </c>
      <c r="Q616" s="85">
        <v>82686.590889106708</v>
      </c>
      <c r="R616" s="85"/>
      <c r="S616" s="86"/>
    </row>
    <row r="617" spans="1:19" ht="15">
      <c r="A617" s="70">
        <v>12</v>
      </c>
      <c r="B617" s="70"/>
      <c r="C617" s="72" t="s">
        <v>456</v>
      </c>
      <c r="D617" s="72" t="s">
        <v>254</v>
      </c>
      <c r="E617" s="85">
        <v>33600253.330234893</v>
      </c>
      <c r="F617" s="85" t="s">
        <v>254</v>
      </c>
      <c r="G617" s="85">
        <v>29321265.903906371</v>
      </c>
      <c r="H617" s="85" t="s">
        <v>254</v>
      </c>
      <c r="I617" s="85">
        <v>1355065.5713340554</v>
      </c>
      <c r="J617" s="85">
        <v>2923921.8549944623</v>
      </c>
      <c r="K617" s="85" t="s">
        <v>254</v>
      </c>
      <c r="L617" s="85" t="s">
        <v>254</v>
      </c>
      <c r="M617" s="85">
        <v>103.0327823633362</v>
      </c>
      <c r="N617" s="85" t="s">
        <v>254</v>
      </c>
      <c r="O617" s="85">
        <v>2923818.8222120991</v>
      </c>
      <c r="P617" s="85">
        <v>907433.13838994573</v>
      </c>
      <c r="Q617" s="85">
        <v>2016385.6838221531</v>
      </c>
      <c r="R617" s="85"/>
      <c r="S617" s="86"/>
    </row>
    <row r="618" spans="1:19" ht="15">
      <c r="A618" s="70" t="s">
        <v>254</v>
      </c>
      <c r="B618" s="70"/>
      <c r="C618" s="72" t="s">
        <v>254</v>
      </c>
      <c r="D618" s="72" t="s">
        <v>254</v>
      </c>
      <c r="E618" s="85" t="s">
        <v>254</v>
      </c>
      <c r="F618" s="85" t="s">
        <v>254</v>
      </c>
      <c r="G618" s="85" t="s">
        <v>254</v>
      </c>
      <c r="H618" s="85" t="s">
        <v>254</v>
      </c>
      <c r="I618" s="85" t="s">
        <v>254</v>
      </c>
      <c r="J618" s="85" t="s">
        <v>254</v>
      </c>
      <c r="K618" s="85" t="s">
        <v>254</v>
      </c>
      <c r="L618" s="85" t="s">
        <v>254</v>
      </c>
      <c r="M618" s="85" t="s">
        <v>254</v>
      </c>
      <c r="N618" s="85" t="s">
        <v>254</v>
      </c>
      <c r="O618" s="85" t="s">
        <v>254</v>
      </c>
      <c r="P618" s="85" t="s">
        <v>254</v>
      </c>
      <c r="Q618" s="85" t="s">
        <v>254</v>
      </c>
      <c r="R618" s="85"/>
      <c r="S618" s="86"/>
    </row>
    <row r="619" spans="1:19" ht="15">
      <c r="A619" s="70">
        <v>13</v>
      </c>
      <c r="B619" s="70"/>
      <c r="C619" s="72" t="s">
        <v>457</v>
      </c>
      <c r="D619" s="72" t="s">
        <v>254</v>
      </c>
      <c r="E619" s="85">
        <v>152534268.19887573</v>
      </c>
      <c r="F619" s="85" t="s">
        <v>254</v>
      </c>
      <c r="G619" s="85">
        <v>132662204.72183155</v>
      </c>
      <c r="H619" s="85" t="s">
        <v>254</v>
      </c>
      <c r="I619" s="85">
        <v>6245088.3266375698</v>
      </c>
      <c r="J619" s="85">
        <v>13626975.150406597</v>
      </c>
      <c r="K619" s="85" t="s">
        <v>254</v>
      </c>
      <c r="L619" s="85" t="s">
        <v>254</v>
      </c>
      <c r="M619" s="85">
        <v>466.16527784783699</v>
      </c>
      <c r="N619" s="85" t="s">
        <v>254</v>
      </c>
      <c r="O619" s="85">
        <v>13626508.985128749</v>
      </c>
      <c r="P619" s="85">
        <v>4229108.0828048596</v>
      </c>
      <c r="Q619" s="85">
        <v>9397400.9023238886</v>
      </c>
      <c r="R619" s="85"/>
      <c r="S619" s="86"/>
    </row>
    <row r="620" spans="1:19" ht="15">
      <c r="A620" s="70" t="s">
        <v>254</v>
      </c>
      <c r="B620" s="70"/>
      <c r="C620" s="72" t="s">
        <v>254</v>
      </c>
      <c r="D620" s="72" t="s">
        <v>254</v>
      </c>
      <c r="E620" s="85" t="s">
        <v>254</v>
      </c>
      <c r="F620" s="85" t="s">
        <v>254</v>
      </c>
      <c r="G620" s="85" t="s">
        <v>254</v>
      </c>
      <c r="H620" s="85" t="s">
        <v>254</v>
      </c>
      <c r="I620" s="85" t="s">
        <v>254</v>
      </c>
      <c r="J620" s="85" t="s">
        <v>254</v>
      </c>
      <c r="K620" s="85" t="s">
        <v>254</v>
      </c>
      <c r="L620" s="85" t="s">
        <v>254</v>
      </c>
      <c r="M620" s="85" t="s">
        <v>254</v>
      </c>
      <c r="N620" s="85" t="s">
        <v>254</v>
      </c>
      <c r="O620" s="85" t="s">
        <v>254</v>
      </c>
      <c r="P620" s="85" t="s">
        <v>254</v>
      </c>
      <c r="Q620" s="85" t="s">
        <v>254</v>
      </c>
      <c r="R620" s="85"/>
      <c r="S620" s="86"/>
    </row>
    <row r="621" spans="1:19" ht="15">
      <c r="A621" s="70" t="s">
        <v>254</v>
      </c>
      <c r="B621" s="70"/>
      <c r="C621" s="72" t="s">
        <v>458</v>
      </c>
      <c r="D621" s="72" t="s">
        <v>254</v>
      </c>
      <c r="E621" s="85" t="s">
        <v>254</v>
      </c>
      <c r="F621" s="85" t="s">
        <v>254</v>
      </c>
      <c r="G621" s="85" t="s">
        <v>254</v>
      </c>
      <c r="H621" s="85" t="s">
        <v>254</v>
      </c>
      <c r="I621" s="85" t="s">
        <v>254</v>
      </c>
      <c r="J621" s="85" t="s">
        <v>254</v>
      </c>
      <c r="K621" s="85" t="s">
        <v>254</v>
      </c>
      <c r="L621" s="85" t="s">
        <v>254</v>
      </c>
      <c r="M621" s="85" t="s">
        <v>254</v>
      </c>
      <c r="N621" s="85" t="s">
        <v>254</v>
      </c>
      <c r="O621" s="85" t="s">
        <v>254</v>
      </c>
      <c r="P621" s="85" t="s">
        <v>254</v>
      </c>
      <c r="Q621" s="85" t="s">
        <v>254</v>
      </c>
      <c r="R621" s="85"/>
      <c r="S621" s="86"/>
    </row>
    <row r="622" spans="1:19" ht="15">
      <c r="A622" s="70">
        <v>14</v>
      </c>
      <c r="B622" s="70"/>
      <c r="C622" s="72" t="s">
        <v>459</v>
      </c>
      <c r="D622" s="72" t="s">
        <v>460</v>
      </c>
      <c r="E622" s="85">
        <v>14687447.531548154</v>
      </c>
      <c r="F622" s="85" t="s">
        <v>254</v>
      </c>
      <c r="G622" s="85">
        <v>14021501.635302829</v>
      </c>
      <c r="H622" s="85" t="s">
        <v>254</v>
      </c>
      <c r="I622" s="85">
        <v>665896.62571481324</v>
      </c>
      <c r="J622" s="85">
        <v>49.270530512969771</v>
      </c>
      <c r="K622" s="85" t="s">
        <v>254</v>
      </c>
      <c r="L622" s="85" t="s">
        <v>254</v>
      </c>
      <c r="M622" s="85">
        <v>49.270530512969771</v>
      </c>
      <c r="N622" s="85" t="s">
        <v>254</v>
      </c>
      <c r="O622" s="85">
        <v>0</v>
      </c>
      <c r="P622" s="85">
        <v>0</v>
      </c>
      <c r="Q622" s="85">
        <v>0</v>
      </c>
      <c r="R622" s="85"/>
      <c r="S622" s="86"/>
    </row>
    <row r="623" spans="1:19" ht="15">
      <c r="A623" s="70">
        <v>15</v>
      </c>
      <c r="B623" s="70"/>
      <c r="C623" s="72" t="s">
        <v>461</v>
      </c>
      <c r="D623" s="72" t="s">
        <v>462</v>
      </c>
      <c r="E623" s="85">
        <v>1107021.2221509984</v>
      </c>
      <c r="F623" s="85" t="s">
        <v>254</v>
      </c>
      <c r="G623" s="85">
        <v>145038.05267008493</v>
      </c>
      <c r="H623" s="85" t="s">
        <v>254</v>
      </c>
      <c r="I623" s="85">
        <v>961982.65982781188</v>
      </c>
      <c r="J623" s="85">
        <v>0.50965310174988254</v>
      </c>
      <c r="K623" s="85" t="s">
        <v>254</v>
      </c>
      <c r="L623" s="85" t="s">
        <v>254</v>
      </c>
      <c r="M623" s="85">
        <v>0.50965310174988254</v>
      </c>
      <c r="N623" s="85" t="s">
        <v>254</v>
      </c>
      <c r="O623" s="85">
        <v>0</v>
      </c>
      <c r="P623" s="85">
        <v>0</v>
      </c>
      <c r="Q623" s="85">
        <v>0</v>
      </c>
      <c r="R623" s="85"/>
      <c r="S623" s="86"/>
    </row>
    <row r="624" spans="1:19" ht="15">
      <c r="A624" s="70">
        <v>17</v>
      </c>
      <c r="B624" s="70"/>
      <c r="C624" s="72" t="s">
        <v>463</v>
      </c>
      <c r="D624" s="72" t="s">
        <v>315</v>
      </c>
      <c r="E624" s="85">
        <v>53467.583300000006</v>
      </c>
      <c r="F624" s="85" t="s">
        <v>254</v>
      </c>
      <c r="G624" s="85">
        <v>0</v>
      </c>
      <c r="H624" s="85" t="s">
        <v>254</v>
      </c>
      <c r="I624" s="85">
        <v>17420.610325938149</v>
      </c>
      <c r="J624" s="85">
        <v>36046.972974061857</v>
      </c>
      <c r="K624" s="85" t="s">
        <v>254</v>
      </c>
      <c r="L624" s="85" t="s">
        <v>254</v>
      </c>
      <c r="M624" s="85">
        <v>0</v>
      </c>
      <c r="N624" s="85" t="s">
        <v>254</v>
      </c>
      <c r="O624" s="85">
        <v>36046.972974061857</v>
      </c>
      <c r="P624" s="85">
        <v>11187.498201602877</v>
      </c>
      <c r="Q624" s="85">
        <v>24859.47477245898</v>
      </c>
      <c r="R624" s="85"/>
      <c r="S624" s="86"/>
    </row>
    <row r="625" spans="1:19" ht="15">
      <c r="A625" s="70">
        <v>18</v>
      </c>
      <c r="B625" s="70"/>
      <c r="C625" s="72" t="s">
        <v>464</v>
      </c>
      <c r="D625" s="72" t="s">
        <v>317</v>
      </c>
      <c r="E625" s="85">
        <v>25621.416666666672</v>
      </c>
      <c r="F625" s="85" t="s">
        <v>254</v>
      </c>
      <c r="G625" s="85">
        <v>0</v>
      </c>
      <c r="H625" s="85" t="s">
        <v>254</v>
      </c>
      <c r="I625" s="85">
        <v>0</v>
      </c>
      <c r="J625" s="85">
        <v>25621.416666666672</v>
      </c>
      <c r="K625" s="85" t="s">
        <v>254</v>
      </c>
      <c r="L625" s="85" t="s">
        <v>254</v>
      </c>
      <c r="M625" s="85">
        <v>0</v>
      </c>
      <c r="N625" s="85" t="s">
        <v>254</v>
      </c>
      <c r="O625" s="85">
        <v>25621.416666666672</v>
      </c>
      <c r="P625" s="85">
        <v>7951.8342105204565</v>
      </c>
      <c r="Q625" s="85">
        <v>17669.582456146214</v>
      </c>
      <c r="R625" s="85"/>
      <c r="S625" s="86"/>
    </row>
    <row r="626" spans="1:19" ht="15">
      <c r="A626" s="70">
        <v>19</v>
      </c>
      <c r="B626" s="70"/>
      <c r="C626" s="72" t="s">
        <v>465</v>
      </c>
      <c r="D626" s="72" t="s">
        <v>254</v>
      </c>
      <c r="E626" s="85">
        <v>15873557.75366582</v>
      </c>
      <c r="F626" s="85" t="s">
        <v>254</v>
      </c>
      <c r="G626" s="85">
        <v>14166539.687972914</v>
      </c>
      <c r="H626" s="85" t="s">
        <v>254</v>
      </c>
      <c r="I626" s="85">
        <v>1645299.8958685631</v>
      </c>
      <c r="J626" s="85">
        <v>61718.16982434324</v>
      </c>
      <c r="K626" s="85" t="s">
        <v>254</v>
      </c>
      <c r="L626" s="85" t="s">
        <v>254</v>
      </c>
      <c r="M626" s="85">
        <v>49.780183614719654</v>
      </c>
      <c r="N626" s="85" t="s">
        <v>254</v>
      </c>
      <c r="O626" s="85">
        <v>61668.389640728521</v>
      </c>
      <c r="P626" s="85">
        <v>19139.332412123335</v>
      </c>
      <c r="Q626" s="85">
        <v>42529.05722860519</v>
      </c>
      <c r="R626" s="85"/>
      <c r="S626" s="86"/>
    </row>
    <row r="627" spans="1:19" ht="15">
      <c r="A627" s="70" t="s">
        <v>254</v>
      </c>
      <c r="B627" s="70"/>
      <c r="C627" s="72" t="s">
        <v>254</v>
      </c>
      <c r="D627" s="72" t="s">
        <v>254</v>
      </c>
      <c r="E627" s="85" t="s">
        <v>254</v>
      </c>
      <c r="F627" s="85" t="s">
        <v>254</v>
      </c>
      <c r="G627" s="85" t="s">
        <v>254</v>
      </c>
      <c r="H627" s="85" t="s">
        <v>254</v>
      </c>
      <c r="I627" s="85" t="s">
        <v>254</v>
      </c>
      <c r="J627" s="85" t="s">
        <v>254</v>
      </c>
      <c r="K627" s="85" t="s">
        <v>254</v>
      </c>
      <c r="L627" s="85" t="s">
        <v>254</v>
      </c>
      <c r="M627" s="85" t="s">
        <v>254</v>
      </c>
      <c r="N627" s="85" t="s">
        <v>254</v>
      </c>
      <c r="O627" s="85" t="s">
        <v>254</v>
      </c>
      <c r="P627" s="85" t="s">
        <v>254</v>
      </c>
      <c r="Q627" s="85" t="s">
        <v>254</v>
      </c>
      <c r="R627" s="85"/>
      <c r="S627" s="86"/>
    </row>
    <row r="628" spans="1:19" ht="15">
      <c r="A628" s="70" t="s">
        <v>254</v>
      </c>
      <c r="B628" s="70"/>
      <c r="C628" s="72" t="s">
        <v>749</v>
      </c>
      <c r="D628" s="72" t="s">
        <v>254</v>
      </c>
      <c r="E628" s="85" t="s">
        <v>254</v>
      </c>
      <c r="F628" s="85" t="s">
        <v>254</v>
      </c>
      <c r="G628" s="85" t="s">
        <v>254</v>
      </c>
      <c r="H628" s="85" t="s">
        <v>254</v>
      </c>
      <c r="I628" s="85" t="s">
        <v>254</v>
      </c>
      <c r="J628" s="85" t="s">
        <v>254</v>
      </c>
      <c r="K628" s="85" t="s">
        <v>254</v>
      </c>
      <c r="L628" s="85" t="s">
        <v>254</v>
      </c>
      <c r="M628" s="85" t="s">
        <v>254</v>
      </c>
      <c r="N628" s="85" t="s">
        <v>254</v>
      </c>
      <c r="O628" s="85" t="s">
        <v>254</v>
      </c>
      <c r="P628" s="85" t="s">
        <v>254</v>
      </c>
      <c r="Q628" s="85" t="s">
        <v>254</v>
      </c>
      <c r="R628" s="85"/>
      <c r="S628" s="86"/>
    </row>
    <row r="629" spans="1:19" ht="15">
      <c r="A629" s="70">
        <v>20</v>
      </c>
      <c r="B629" s="70"/>
      <c r="C629" s="72" t="s">
        <v>750</v>
      </c>
      <c r="D629" s="72" t="s">
        <v>751</v>
      </c>
      <c r="E629" s="85">
        <v>42422050.542497158</v>
      </c>
      <c r="F629" s="85" t="s">
        <v>254</v>
      </c>
      <c r="G629" s="85">
        <v>42297220.795969822</v>
      </c>
      <c r="H629" s="85" t="s">
        <v>254</v>
      </c>
      <c r="I629" s="85">
        <v>0</v>
      </c>
      <c r="J629" s="85">
        <v>124829.74652733946</v>
      </c>
      <c r="K629" s="85" t="s">
        <v>254</v>
      </c>
      <c r="L629" s="85" t="s">
        <v>254</v>
      </c>
      <c r="M629" s="85">
        <v>0</v>
      </c>
      <c r="N629" s="85" t="s">
        <v>254</v>
      </c>
      <c r="O629" s="85">
        <v>124829.74652733946</v>
      </c>
      <c r="P629" s="85">
        <v>108201.62511996682</v>
      </c>
      <c r="Q629" s="85">
        <v>16628.121407372641</v>
      </c>
      <c r="R629" s="85"/>
      <c r="S629" s="86"/>
    </row>
    <row r="630" spans="1:19" ht="15">
      <c r="A630" s="70">
        <v>21</v>
      </c>
      <c r="B630" s="70"/>
      <c r="C630" s="72" t="s">
        <v>752</v>
      </c>
      <c r="D630" s="72" t="s">
        <v>753</v>
      </c>
      <c r="E630" s="85">
        <v>2400551.1718784794</v>
      </c>
      <c r="F630" s="85" t="s">
        <v>254</v>
      </c>
      <c r="G630" s="85">
        <v>0</v>
      </c>
      <c r="H630" s="85" t="s">
        <v>254</v>
      </c>
      <c r="I630" s="85">
        <v>2400551.1718784794</v>
      </c>
      <c r="J630" s="85">
        <v>0</v>
      </c>
      <c r="K630" s="85" t="s">
        <v>254</v>
      </c>
      <c r="L630" s="85" t="s">
        <v>254</v>
      </c>
      <c r="M630" s="85">
        <v>0</v>
      </c>
      <c r="N630" s="85" t="s">
        <v>254</v>
      </c>
      <c r="O630" s="85">
        <v>0</v>
      </c>
      <c r="P630" s="85">
        <v>0</v>
      </c>
      <c r="Q630" s="85">
        <v>0</v>
      </c>
      <c r="R630" s="85"/>
      <c r="S630" s="86"/>
    </row>
    <row r="631" spans="1:19" ht="15">
      <c r="A631" s="70">
        <v>22</v>
      </c>
      <c r="B631" s="70"/>
      <c r="C631" s="72" t="s">
        <v>754</v>
      </c>
      <c r="D631" s="72" t="s">
        <v>755</v>
      </c>
      <c r="E631" s="85">
        <v>4386.5207310000005</v>
      </c>
      <c r="F631" s="85" t="s">
        <v>254</v>
      </c>
      <c r="G631" s="85">
        <v>0</v>
      </c>
      <c r="H631" s="85" t="s">
        <v>254</v>
      </c>
      <c r="I631" s="85">
        <v>0</v>
      </c>
      <c r="J631" s="85">
        <v>4386.5207310000005</v>
      </c>
      <c r="K631" s="85" t="s">
        <v>254</v>
      </c>
      <c r="L631" s="85" t="s">
        <v>254</v>
      </c>
      <c r="M631" s="85">
        <v>4386.5207310000005</v>
      </c>
      <c r="N631" s="85" t="s">
        <v>254</v>
      </c>
      <c r="O631" s="85">
        <v>0</v>
      </c>
      <c r="P631" s="85">
        <v>0</v>
      </c>
      <c r="Q631" s="85">
        <v>0</v>
      </c>
      <c r="R631" s="85"/>
      <c r="S631" s="86"/>
    </row>
    <row r="632" spans="1:19" ht="15">
      <c r="A632" s="70">
        <v>23</v>
      </c>
      <c r="B632" s="70"/>
      <c r="C632" s="72" t="s">
        <v>470</v>
      </c>
      <c r="D632" s="72" t="s">
        <v>254</v>
      </c>
      <c r="E632" s="85">
        <v>44826988.23510664</v>
      </c>
      <c r="F632" s="85" t="s">
        <v>254</v>
      </c>
      <c r="G632" s="85">
        <v>42297220.795969822</v>
      </c>
      <c r="H632" s="85" t="s">
        <v>254</v>
      </c>
      <c r="I632" s="85">
        <v>2400551.1718784794</v>
      </c>
      <c r="J632" s="85">
        <v>129216.26725833946</v>
      </c>
      <c r="K632" s="85" t="s">
        <v>254</v>
      </c>
      <c r="L632" s="85" t="s">
        <v>254</v>
      </c>
      <c r="M632" s="85">
        <v>4386.5207310000005</v>
      </c>
      <c r="N632" s="85" t="s">
        <v>254</v>
      </c>
      <c r="O632" s="85">
        <v>124829.74652733946</v>
      </c>
      <c r="P632" s="85">
        <v>108201.62511996682</v>
      </c>
      <c r="Q632" s="85">
        <v>16628.121407372641</v>
      </c>
      <c r="R632" s="85"/>
      <c r="S632" s="86"/>
    </row>
    <row r="633" spans="1:19" ht="15">
      <c r="A633" s="70" t="s">
        <v>254</v>
      </c>
      <c r="B633" s="70"/>
      <c r="C633" s="72" t="s">
        <v>254</v>
      </c>
      <c r="D633" s="72" t="s">
        <v>254</v>
      </c>
      <c r="E633" s="85" t="s">
        <v>254</v>
      </c>
      <c r="F633" s="85" t="s">
        <v>254</v>
      </c>
      <c r="G633" s="85" t="s">
        <v>254</v>
      </c>
      <c r="H633" s="85" t="s">
        <v>254</v>
      </c>
      <c r="I633" s="85" t="s">
        <v>254</v>
      </c>
      <c r="J633" s="85" t="s">
        <v>254</v>
      </c>
      <c r="K633" s="85" t="s">
        <v>254</v>
      </c>
      <c r="L633" s="85" t="s">
        <v>254</v>
      </c>
      <c r="M633" s="85" t="s">
        <v>254</v>
      </c>
      <c r="N633" s="85" t="s">
        <v>254</v>
      </c>
      <c r="O633" s="85" t="s">
        <v>254</v>
      </c>
      <c r="P633" s="85" t="s">
        <v>254</v>
      </c>
      <c r="Q633" s="85" t="s">
        <v>254</v>
      </c>
      <c r="R633" s="85"/>
      <c r="S633" s="86"/>
    </row>
    <row r="634" spans="1:19" ht="15">
      <c r="A634" s="70">
        <v>24</v>
      </c>
      <c r="B634" s="70"/>
      <c r="C634" s="72" t="s">
        <v>420</v>
      </c>
      <c r="D634" s="72" t="s">
        <v>471</v>
      </c>
      <c r="E634" s="85">
        <v>11288155.818609012</v>
      </c>
      <c r="F634" s="85" t="s">
        <v>254</v>
      </c>
      <c r="G634" s="85">
        <v>10239915.263780978</v>
      </c>
      <c r="H634" s="85" t="s">
        <v>254</v>
      </c>
      <c r="I634" s="85">
        <v>508731.86936534644</v>
      </c>
      <c r="J634" s="85">
        <v>539508.68546268961</v>
      </c>
      <c r="K634" s="85" t="s">
        <v>254</v>
      </c>
      <c r="L634" s="85" t="s">
        <v>254</v>
      </c>
      <c r="M634" s="85">
        <v>245.58658218902661</v>
      </c>
      <c r="N634" s="85" t="s">
        <v>254</v>
      </c>
      <c r="O634" s="85">
        <v>539263.09888050053</v>
      </c>
      <c r="P634" s="85">
        <v>172142.79285127443</v>
      </c>
      <c r="Q634" s="85">
        <v>367120.30602922611</v>
      </c>
      <c r="R634" s="85"/>
      <c r="S634" s="86"/>
    </row>
    <row r="635" spans="1:19" ht="15">
      <c r="A635" s="70" t="s">
        <v>254</v>
      </c>
      <c r="B635" s="70"/>
      <c r="C635" s="72" t="s">
        <v>254</v>
      </c>
      <c r="D635" s="72" t="s">
        <v>254</v>
      </c>
      <c r="E635" s="85" t="s">
        <v>254</v>
      </c>
      <c r="F635" s="85" t="s">
        <v>254</v>
      </c>
      <c r="G635" s="85" t="s">
        <v>254</v>
      </c>
      <c r="H635" s="85" t="s">
        <v>254</v>
      </c>
      <c r="I635" s="85" t="s">
        <v>254</v>
      </c>
      <c r="J635" s="85" t="s">
        <v>254</v>
      </c>
      <c r="K635" s="85" t="s">
        <v>254</v>
      </c>
      <c r="L635" s="85" t="s">
        <v>254</v>
      </c>
      <c r="M635" s="85" t="s">
        <v>254</v>
      </c>
      <c r="N635" s="85" t="s">
        <v>254</v>
      </c>
      <c r="O635" s="85" t="s">
        <v>254</v>
      </c>
      <c r="P635" s="85" t="s">
        <v>254</v>
      </c>
      <c r="Q635" s="85" t="s">
        <v>254</v>
      </c>
      <c r="R635" s="85"/>
      <c r="S635" s="86"/>
    </row>
    <row r="636" spans="1:19" ht="15">
      <c r="A636" s="70">
        <v>25</v>
      </c>
      <c r="B636" s="70"/>
      <c r="C636" s="72" t="s">
        <v>474</v>
      </c>
      <c r="D636" s="72" t="s">
        <v>475</v>
      </c>
      <c r="E636" s="85">
        <v>12187353.482099997</v>
      </c>
      <c r="F636" s="85" t="s">
        <v>254</v>
      </c>
      <c r="G636" s="85">
        <v>10813576.392853456</v>
      </c>
      <c r="H636" s="85" t="s">
        <v>254</v>
      </c>
      <c r="I636" s="85">
        <v>605127.72700564039</v>
      </c>
      <c r="J636" s="85">
        <v>768649.36224090075</v>
      </c>
      <c r="K636" s="85" t="s">
        <v>254</v>
      </c>
      <c r="L636" s="85" t="s">
        <v>254</v>
      </c>
      <c r="M636" s="85">
        <v>269.35599179394904</v>
      </c>
      <c r="N636" s="85" t="s">
        <v>254</v>
      </c>
      <c r="O636" s="85">
        <v>768380.00624910684</v>
      </c>
      <c r="P636" s="85">
        <v>242214.26875617669</v>
      </c>
      <c r="Q636" s="85">
        <v>526165.73749293014</v>
      </c>
      <c r="R636" s="85"/>
      <c r="S636" s="86"/>
    </row>
    <row r="637" spans="1:19" ht="15">
      <c r="A637" s="70" t="s">
        <v>254</v>
      </c>
      <c r="B637" s="70"/>
      <c r="C637" s="72" t="s">
        <v>254</v>
      </c>
      <c r="D637" s="72" t="s">
        <v>254</v>
      </c>
      <c r="E637" s="85" t="s">
        <v>254</v>
      </c>
      <c r="F637" s="85" t="s">
        <v>254</v>
      </c>
      <c r="G637" s="85" t="s">
        <v>254</v>
      </c>
      <c r="H637" s="85" t="s">
        <v>254</v>
      </c>
      <c r="I637" s="85" t="s">
        <v>254</v>
      </c>
      <c r="J637" s="85" t="s">
        <v>254</v>
      </c>
      <c r="K637" s="85" t="s">
        <v>254</v>
      </c>
      <c r="L637" s="85" t="s">
        <v>254</v>
      </c>
      <c r="M637" s="85" t="s">
        <v>254</v>
      </c>
      <c r="N637" s="85" t="s">
        <v>254</v>
      </c>
      <c r="O637" s="85" t="s">
        <v>254</v>
      </c>
      <c r="P637" s="85" t="s">
        <v>254</v>
      </c>
      <c r="Q637" s="85" t="s">
        <v>254</v>
      </c>
      <c r="R637" s="85"/>
      <c r="S637" s="86"/>
    </row>
    <row r="638" spans="1:19" ht="15">
      <c r="A638" s="70">
        <v>26</v>
      </c>
      <c r="B638" s="70"/>
      <c r="C638" s="72" t="s">
        <v>472</v>
      </c>
      <c r="D638" s="72" t="s">
        <v>473</v>
      </c>
      <c r="E638" s="85">
        <v>10501.558136999998</v>
      </c>
      <c r="F638" s="85" t="s">
        <v>254</v>
      </c>
      <c r="G638" s="85">
        <v>10501.558136999998</v>
      </c>
      <c r="H638" s="85" t="s">
        <v>254</v>
      </c>
      <c r="I638" s="85">
        <v>0</v>
      </c>
      <c r="J638" s="85">
        <v>0</v>
      </c>
      <c r="K638" s="85" t="s">
        <v>254</v>
      </c>
      <c r="L638" s="85" t="s">
        <v>254</v>
      </c>
      <c r="M638" s="85">
        <v>0</v>
      </c>
      <c r="N638" s="85" t="s">
        <v>254</v>
      </c>
      <c r="O638" s="85">
        <v>0</v>
      </c>
      <c r="P638" s="85">
        <v>0</v>
      </c>
      <c r="Q638" s="85">
        <v>0</v>
      </c>
      <c r="R638" s="85"/>
      <c r="S638" s="86"/>
    </row>
    <row r="639" spans="1:19" ht="15">
      <c r="A639" s="70" t="s">
        <v>254</v>
      </c>
      <c r="B639" s="70"/>
      <c r="C639" s="72" t="s">
        <v>254</v>
      </c>
      <c r="D639" s="72" t="s">
        <v>254</v>
      </c>
      <c r="E639" s="85" t="s">
        <v>254</v>
      </c>
      <c r="F639" s="85" t="s">
        <v>254</v>
      </c>
      <c r="G639" s="85" t="s">
        <v>254</v>
      </c>
      <c r="H639" s="85" t="s">
        <v>254</v>
      </c>
      <c r="I639" s="85" t="s">
        <v>254</v>
      </c>
      <c r="J639" s="85" t="s">
        <v>254</v>
      </c>
      <c r="K639" s="85" t="s">
        <v>254</v>
      </c>
      <c r="L639" s="85" t="s">
        <v>254</v>
      </c>
      <c r="M639" s="85" t="s">
        <v>254</v>
      </c>
      <c r="N639" s="85" t="s">
        <v>254</v>
      </c>
      <c r="O639" s="85" t="s">
        <v>254</v>
      </c>
      <c r="P639" s="85" t="s">
        <v>254</v>
      </c>
      <c r="Q639" s="85" t="s">
        <v>254</v>
      </c>
      <c r="R639" s="85"/>
      <c r="S639" s="86"/>
    </row>
    <row r="640" spans="1:19" ht="15">
      <c r="A640" s="70">
        <v>27</v>
      </c>
      <c r="B640" s="70"/>
      <c r="C640" s="72" t="s">
        <v>756</v>
      </c>
      <c r="D640" s="72" t="s">
        <v>254</v>
      </c>
      <c r="E640" s="85">
        <v>236720825.04649419</v>
      </c>
      <c r="F640" s="85" t="s">
        <v>254</v>
      </c>
      <c r="G640" s="85">
        <v>210189958.42054573</v>
      </c>
      <c r="H640" s="85" t="s">
        <v>254</v>
      </c>
      <c r="I640" s="85">
        <v>11404798.990755597</v>
      </c>
      <c r="J640" s="85">
        <v>15126067.635192867</v>
      </c>
      <c r="K640" s="85" t="s">
        <v>254</v>
      </c>
      <c r="L640" s="85" t="s">
        <v>254</v>
      </c>
      <c r="M640" s="85">
        <v>5417.4087664455328</v>
      </c>
      <c r="N640" s="85" t="s">
        <v>254</v>
      </c>
      <c r="O640" s="85">
        <v>15120650.226426423</v>
      </c>
      <c r="P640" s="85">
        <v>4770806.1019444009</v>
      </c>
      <c r="Q640" s="85">
        <v>10349844.124482023</v>
      </c>
      <c r="R640" s="85"/>
      <c r="S640" s="86"/>
    </row>
    <row r="641" spans="1:19" ht="15">
      <c r="A641" s="70" t="s">
        <v>254</v>
      </c>
      <c r="B641" s="70"/>
      <c r="C641" s="72" t="s">
        <v>254</v>
      </c>
      <c r="D641" s="72" t="s">
        <v>254</v>
      </c>
      <c r="E641" s="85" t="s">
        <v>254</v>
      </c>
      <c r="F641" s="85" t="s">
        <v>254</v>
      </c>
      <c r="G641" s="85" t="s">
        <v>254</v>
      </c>
      <c r="H641" s="85" t="s">
        <v>254</v>
      </c>
      <c r="I641" s="85" t="s">
        <v>254</v>
      </c>
      <c r="J641" s="85" t="s">
        <v>254</v>
      </c>
      <c r="K641" s="85" t="s">
        <v>254</v>
      </c>
      <c r="L641" s="85" t="s">
        <v>254</v>
      </c>
      <c r="M641" s="85" t="s">
        <v>254</v>
      </c>
      <c r="N641" s="85" t="s">
        <v>254</v>
      </c>
      <c r="O641" s="85" t="s">
        <v>254</v>
      </c>
      <c r="P641" s="85" t="s">
        <v>254</v>
      </c>
      <c r="Q641" s="85" t="s">
        <v>254</v>
      </c>
      <c r="R641" s="85"/>
      <c r="S641" s="86"/>
    </row>
    <row r="642" spans="1:19" ht="15">
      <c r="A642" s="70" t="s">
        <v>254</v>
      </c>
      <c r="B642" s="70"/>
      <c r="C642" s="72" t="s">
        <v>254</v>
      </c>
      <c r="D642" s="72" t="s">
        <v>254</v>
      </c>
      <c r="E642" s="85" t="s">
        <v>254</v>
      </c>
      <c r="F642" s="85" t="s">
        <v>254</v>
      </c>
      <c r="G642" s="85" t="s">
        <v>254</v>
      </c>
      <c r="H642" s="85" t="s">
        <v>254</v>
      </c>
      <c r="I642" s="85" t="s">
        <v>254</v>
      </c>
      <c r="J642" s="85" t="s">
        <v>254</v>
      </c>
      <c r="K642" s="85" t="s">
        <v>254</v>
      </c>
      <c r="L642" s="85" t="s">
        <v>254</v>
      </c>
      <c r="M642" s="85" t="s">
        <v>254</v>
      </c>
      <c r="N642" s="85" t="s">
        <v>254</v>
      </c>
      <c r="O642" s="85" t="s">
        <v>254</v>
      </c>
      <c r="P642" s="85" t="s">
        <v>254</v>
      </c>
      <c r="Q642" s="85" t="s">
        <v>254</v>
      </c>
      <c r="R642" s="85"/>
      <c r="S642" s="86"/>
    </row>
    <row r="643" spans="1:19" ht="15">
      <c r="A643" s="70" t="s">
        <v>254</v>
      </c>
      <c r="B643" s="70"/>
      <c r="C643" s="72" t="s">
        <v>2445</v>
      </c>
      <c r="D643" s="72" t="s">
        <v>254</v>
      </c>
      <c r="E643" s="85" t="s">
        <v>254</v>
      </c>
      <c r="F643" s="85" t="s">
        <v>254</v>
      </c>
      <c r="G643" s="85" t="s">
        <v>254</v>
      </c>
      <c r="H643" s="85" t="s">
        <v>254</v>
      </c>
      <c r="I643" s="85" t="s">
        <v>254</v>
      </c>
      <c r="J643" s="85" t="s">
        <v>254</v>
      </c>
      <c r="K643" s="85" t="s">
        <v>254</v>
      </c>
      <c r="L643" s="85" t="s">
        <v>254</v>
      </c>
      <c r="M643" s="85" t="s">
        <v>254</v>
      </c>
      <c r="N643" s="85" t="s">
        <v>254</v>
      </c>
      <c r="O643" s="85" t="s">
        <v>254</v>
      </c>
      <c r="P643" s="85" t="s">
        <v>254</v>
      </c>
      <c r="Q643" s="85" t="s">
        <v>254</v>
      </c>
      <c r="R643" s="85"/>
      <c r="S643" s="86"/>
    </row>
    <row r="644" spans="1:19" ht="15">
      <c r="A644" s="70" t="s">
        <v>254</v>
      </c>
      <c r="B644" s="70"/>
      <c r="C644" s="72" t="s">
        <v>254</v>
      </c>
      <c r="D644" s="72" t="s">
        <v>254</v>
      </c>
      <c r="E644" s="85" t="s">
        <v>254</v>
      </c>
      <c r="F644" s="85" t="s">
        <v>254</v>
      </c>
      <c r="G644" s="85" t="s">
        <v>254</v>
      </c>
      <c r="H644" s="85" t="s">
        <v>254</v>
      </c>
      <c r="I644" s="85" t="s">
        <v>254</v>
      </c>
      <c r="J644" s="85" t="s">
        <v>254</v>
      </c>
      <c r="K644" s="85" t="s">
        <v>254</v>
      </c>
      <c r="L644" s="85" t="s">
        <v>254</v>
      </c>
      <c r="M644" s="85" t="s">
        <v>254</v>
      </c>
      <c r="N644" s="85" t="s">
        <v>254</v>
      </c>
      <c r="O644" s="85" t="s">
        <v>254</v>
      </c>
      <c r="P644" s="85" t="s">
        <v>254</v>
      </c>
      <c r="Q644" s="85" t="s">
        <v>254</v>
      </c>
      <c r="R644" s="85"/>
      <c r="S644" s="86"/>
    </row>
    <row r="645" spans="1:19" ht="15">
      <c r="A645" s="70" t="s">
        <v>254</v>
      </c>
      <c r="B645" s="70"/>
      <c r="C645" s="72" t="s">
        <v>2446</v>
      </c>
      <c r="D645" s="72" t="s">
        <v>254</v>
      </c>
      <c r="E645" s="85" t="s">
        <v>254</v>
      </c>
      <c r="F645" s="85" t="s">
        <v>254</v>
      </c>
      <c r="G645" s="85" t="s">
        <v>254</v>
      </c>
      <c r="H645" s="85" t="s">
        <v>254</v>
      </c>
      <c r="I645" s="85" t="s">
        <v>254</v>
      </c>
      <c r="J645" s="85" t="s">
        <v>254</v>
      </c>
      <c r="K645" s="85" t="s">
        <v>254</v>
      </c>
      <c r="L645" s="85" t="s">
        <v>254</v>
      </c>
      <c r="M645" s="85" t="s">
        <v>254</v>
      </c>
      <c r="N645" s="85" t="s">
        <v>254</v>
      </c>
      <c r="O645" s="85" t="s">
        <v>254</v>
      </c>
      <c r="P645" s="85" t="s">
        <v>254</v>
      </c>
      <c r="Q645" s="85" t="s">
        <v>254</v>
      </c>
      <c r="R645" s="85"/>
      <c r="S645" s="86"/>
    </row>
    <row r="646" spans="1:19" ht="15">
      <c r="A646" s="70" t="s">
        <v>254</v>
      </c>
      <c r="B646" s="70"/>
      <c r="C646" s="72" t="s">
        <v>254</v>
      </c>
      <c r="D646" s="72" t="s">
        <v>254</v>
      </c>
      <c r="E646" s="85" t="s">
        <v>254</v>
      </c>
      <c r="F646" s="85" t="s">
        <v>254</v>
      </c>
      <c r="G646" s="85" t="s">
        <v>254</v>
      </c>
      <c r="H646" s="85" t="s">
        <v>254</v>
      </c>
      <c r="I646" s="85" t="s">
        <v>254</v>
      </c>
      <c r="J646" s="85" t="s">
        <v>254</v>
      </c>
      <c r="K646" s="85" t="s">
        <v>254</v>
      </c>
      <c r="L646" s="85" t="s">
        <v>254</v>
      </c>
      <c r="M646" s="85" t="s">
        <v>254</v>
      </c>
      <c r="N646" s="85" t="s">
        <v>254</v>
      </c>
      <c r="O646" s="85" t="s">
        <v>254</v>
      </c>
      <c r="P646" s="85" t="s">
        <v>254</v>
      </c>
      <c r="Q646" s="85" t="s">
        <v>254</v>
      </c>
      <c r="R646" s="85"/>
      <c r="S646" s="86"/>
    </row>
    <row r="647" spans="1:19" ht="15">
      <c r="A647" s="70" t="s">
        <v>254</v>
      </c>
      <c r="B647" s="70"/>
      <c r="C647" s="72" t="s">
        <v>444</v>
      </c>
      <c r="D647" s="72" t="s">
        <v>254</v>
      </c>
      <c r="E647" s="85" t="s">
        <v>254</v>
      </c>
      <c r="F647" s="85" t="s">
        <v>254</v>
      </c>
      <c r="G647" s="85" t="s">
        <v>254</v>
      </c>
      <c r="H647" s="85" t="s">
        <v>254</v>
      </c>
      <c r="I647" s="85" t="s">
        <v>254</v>
      </c>
      <c r="J647" s="85" t="s">
        <v>254</v>
      </c>
      <c r="K647" s="85" t="s">
        <v>254</v>
      </c>
      <c r="L647" s="85" t="s">
        <v>254</v>
      </c>
      <c r="M647" s="85" t="s">
        <v>254</v>
      </c>
      <c r="N647" s="85" t="s">
        <v>254</v>
      </c>
      <c r="O647" s="85" t="s">
        <v>254</v>
      </c>
      <c r="P647" s="85" t="s">
        <v>254</v>
      </c>
      <c r="Q647" s="85" t="s">
        <v>254</v>
      </c>
      <c r="R647" s="85"/>
      <c r="S647" s="86"/>
    </row>
    <row r="648" spans="1:19" ht="15">
      <c r="A648" s="70">
        <v>1</v>
      </c>
      <c r="B648" s="70"/>
      <c r="C648" s="72" t="s">
        <v>445</v>
      </c>
      <c r="D648" s="72" t="s">
        <v>737</v>
      </c>
      <c r="E648" s="85">
        <v>279365.33524746302</v>
      </c>
      <c r="F648" s="85" t="s">
        <v>254</v>
      </c>
      <c r="G648" s="85">
        <v>279365.33524746302</v>
      </c>
      <c r="H648" s="85" t="s">
        <v>254</v>
      </c>
      <c r="I648" s="85">
        <v>0</v>
      </c>
      <c r="J648" s="85">
        <v>0</v>
      </c>
      <c r="K648" s="85" t="s">
        <v>254</v>
      </c>
      <c r="L648" s="85" t="s">
        <v>254</v>
      </c>
      <c r="M648" s="85">
        <v>0</v>
      </c>
      <c r="N648" s="85" t="s">
        <v>254</v>
      </c>
      <c r="O648" s="85">
        <v>0</v>
      </c>
      <c r="P648" s="85">
        <v>0</v>
      </c>
      <c r="Q648" s="85">
        <v>0</v>
      </c>
      <c r="R648" s="85"/>
      <c r="S648" s="86"/>
    </row>
    <row r="649" spans="1:19" ht="15">
      <c r="A649" s="70">
        <v>2</v>
      </c>
      <c r="B649" s="70"/>
      <c r="C649" s="72" t="s">
        <v>451</v>
      </c>
      <c r="D649" s="72" t="s">
        <v>452</v>
      </c>
      <c r="E649" s="85">
        <v>0</v>
      </c>
      <c r="F649" s="85" t="s">
        <v>254</v>
      </c>
      <c r="G649" s="85">
        <v>0</v>
      </c>
      <c r="H649" s="85" t="s">
        <v>254</v>
      </c>
      <c r="I649" s="85">
        <v>0</v>
      </c>
      <c r="J649" s="85">
        <v>0</v>
      </c>
      <c r="K649" s="85" t="s">
        <v>254</v>
      </c>
      <c r="L649" s="85" t="s">
        <v>254</v>
      </c>
      <c r="M649" s="85">
        <v>0</v>
      </c>
      <c r="N649" s="85" t="s">
        <v>254</v>
      </c>
      <c r="O649" s="85">
        <v>0</v>
      </c>
      <c r="P649" s="85">
        <v>0</v>
      </c>
      <c r="Q649" s="85">
        <v>0</v>
      </c>
      <c r="R649" s="85"/>
      <c r="S649" s="86"/>
    </row>
    <row r="650" spans="1:19" ht="15">
      <c r="A650" s="70">
        <v>3</v>
      </c>
      <c r="B650" s="70"/>
      <c r="C650" s="72" t="s">
        <v>454</v>
      </c>
      <c r="D650" s="72" t="s">
        <v>455</v>
      </c>
      <c r="E650" s="85">
        <v>0</v>
      </c>
      <c r="F650" s="85" t="s">
        <v>254</v>
      </c>
      <c r="G650" s="85">
        <v>0</v>
      </c>
      <c r="H650" s="85" t="s">
        <v>254</v>
      </c>
      <c r="I650" s="85">
        <v>0</v>
      </c>
      <c r="J650" s="85">
        <v>0</v>
      </c>
      <c r="K650" s="85" t="s">
        <v>254</v>
      </c>
      <c r="L650" s="85" t="s">
        <v>254</v>
      </c>
      <c r="M650" s="85">
        <v>0</v>
      </c>
      <c r="N650" s="85" t="s">
        <v>254</v>
      </c>
      <c r="O650" s="85">
        <v>0</v>
      </c>
      <c r="P650" s="85">
        <v>0</v>
      </c>
      <c r="Q650" s="85">
        <v>0</v>
      </c>
      <c r="R650" s="85"/>
      <c r="S650" s="86"/>
    </row>
    <row r="651" spans="1:19" ht="15">
      <c r="A651" s="70" t="s">
        <v>254</v>
      </c>
      <c r="B651" s="70"/>
      <c r="C651" s="72" t="s">
        <v>254</v>
      </c>
      <c r="D651" s="72" t="s">
        <v>254</v>
      </c>
      <c r="E651" s="85" t="s">
        <v>254</v>
      </c>
      <c r="F651" s="85" t="s">
        <v>254</v>
      </c>
      <c r="G651" s="85" t="s">
        <v>254</v>
      </c>
      <c r="H651" s="85" t="s">
        <v>254</v>
      </c>
      <c r="I651" s="85" t="s">
        <v>254</v>
      </c>
      <c r="J651" s="85" t="s">
        <v>254</v>
      </c>
      <c r="K651" s="85" t="s">
        <v>254</v>
      </c>
      <c r="L651" s="85" t="s">
        <v>254</v>
      </c>
      <c r="M651" s="85" t="s">
        <v>254</v>
      </c>
      <c r="N651" s="85" t="s">
        <v>254</v>
      </c>
      <c r="O651" s="85" t="s">
        <v>254</v>
      </c>
      <c r="P651" s="85" t="s">
        <v>254</v>
      </c>
      <c r="Q651" s="85" t="s">
        <v>254</v>
      </c>
      <c r="R651" s="85"/>
      <c r="S651" s="86"/>
    </row>
    <row r="652" spans="1:19" ht="15">
      <c r="A652" s="70">
        <v>4</v>
      </c>
      <c r="B652" s="70"/>
      <c r="C652" s="72" t="s">
        <v>457</v>
      </c>
      <c r="D652" s="72" t="s">
        <v>254</v>
      </c>
      <c r="E652" s="85">
        <v>279365.33524746302</v>
      </c>
      <c r="F652" s="85" t="s">
        <v>254</v>
      </c>
      <c r="G652" s="85">
        <v>279365.33524746302</v>
      </c>
      <c r="H652" s="85" t="s">
        <v>254</v>
      </c>
      <c r="I652" s="85">
        <v>0</v>
      </c>
      <c r="J652" s="85">
        <v>0</v>
      </c>
      <c r="K652" s="85" t="s">
        <v>254</v>
      </c>
      <c r="L652" s="85" t="s">
        <v>254</v>
      </c>
      <c r="M652" s="85">
        <v>0</v>
      </c>
      <c r="N652" s="85" t="s">
        <v>254</v>
      </c>
      <c r="O652" s="85">
        <v>0</v>
      </c>
      <c r="P652" s="85">
        <v>0</v>
      </c>
      <c r="Q652" s="85">
        <v>0</v>
      </c>
      <c r="R652" s="85"/>
      <c r="S652" s="86"/>
    </row>
    <row r="653" spans="1:19" ht="15">
      <c r="A653" s="70" t="s">
        <v>254</v>
      </c>
      <c r="B653" s="70"/>
      <c r="C653" s="72" t="s">
        <v>254</v>
      </c>
      <c r="D653" s="72" t="s">
        <v>254</v>
      </c>
      <c r="E653" s="85" t="s">
        <v>254</v>
      </c>
      <c r="F653" s="85" t="s">
        <v>254</v>
      </c>
      <c r="G653" s="85" t="s">
        <v>254</v>
      </c>
      <c r="H653" s="85" t="s">
        <v>254</v>
      </c>
      <c r="I653" s="85" t="s">
        <v>254</v>
      </c>
      <c r="J653" s="85" t="s">
        <v>254</v>
      </c>
      <c r="K653" s="85" t="s">
        <v>254</v>
      </c>
      <c r="L653" s="85" t="s">
        <v>254</v>
      </c>
      <c r="M653" s="85" t="s">
        <v>254</v>
      </c>
      <c r="N653" s="85" t="s">
        <v>254</v>
      </c>
      <c r="O653" s="85" t="s">
        <v>254</v>
      </c>
      <c r="P653" s="85" t="s">
        <v>254</v>
      </c>
      <c r="Q653" s="85" t="s">
        <v>254</v>
      </c>
      <c r="R653" s="85"/>
      <c r="S653" s="86"/>
    </row>
    <row r="654" spans="1:19" ht="15">
      <c r="A654" s="70" t="s">
        <v>254</v>
      </c>
      <c r="B654" s="70"/>
      <c r="C654" s="72" t="s">
        <v>458</v>
      </c>
      <c r="D654" s="72" t="s">
        <v>254</v>
      </c>
      <c r="E654" s="85" t="s">
        <v>254</v>
      </c>
      <c r="F654" s="85" t="s">
        <v>254</v>
      </c>
      <c r="G654" s="85" t="s">
        <v>254</v>
      </c>
      <c r="H654" s="85" t="s">
        <v>254</v>
      </c>
      <c r="I654" s="85" t="s">
        <v>254</v>
      </c>
      <c r="J654" s="85" t="s">
        <v>254</v>
      </c>
      <c r="K654" s="85" t="s">
        <v>254</v>
      </c>
      <c r="L654" s="85" t="s">
        <v>254</v>
      </c>
      <c r="M654" s="85" t="s">
        <v>254</v>
      </c>
      <c r="N654" s="85" t="s">
        <v>254</v>
      </c>
      <c r="O654" s="85" t="s">
        <v>254</v>
      </c>
      <c r="P654" s="85" t="s">
        <v>254</v>
      </c>
      <c r="Q654" s="85" t="s">
        <v>254</v>
      </c>
      <c r="R654" s="85"/>
      <c r="S654" s="86"/>
    </row>
    <row r="655" spans="1:19" ht="15">
      <c r="A655" s="70">
        <v>5</v>
      </c>
      <c r="B655" s="70"/>
      <c r="C655" s="72" t="s">
        <v>459</v>
      </c>
      <c r="D655" s="72" t="s">
        <v>460</v>
      </c>
      <c r="E655" s="85">
        <v>0</v>
      </c>
      <c r="F655" s="85" t="s">
        <v>254</v>
      </c>
      <c r="G655" s="85">
        <v>0</v>
      </c>
      <c r="H655" s="85" t="s">
        <v>254</v>
      </c>
      <c r="I655" s="85">
        <v>0</v>
      </c>
      <c r="J655" s="85">
        <v>0</v>
      </c>
      <c r="K655" s="85" t="s">
        <v>254</v>
      </c>
      <c r="L655" s="85" t="s">
        <v>254</v>
      </c>
      <c r="M655" s="85">
        <v>0</v>
      </c>
      <c r="N655" s="85" t="s">
        <v>254</v>
      </c>
      <c r="O655" s="85">
        <v>0</v>
      </c>
      <c r="P655" s="85">
        <v>0</v>
      </c>
      <c r="Q655" s="85">
        <v>0</v>
      </c>
      <c r="R655" s="85"/>
      <c r="S655" s="86"/>
    </row>
    <row r="656" spans="1:19" ht="15">
      <c r="A656" s="70">
        <v>6</v>
      </c>
      <c r="B656" s="70"/>
      <c r="C656" s="72" t="s">
        <v>461</v>
      </c>
      <c r="D656" s="72" t="s">
        <v>462</v>
      </c>
      <c r="E656" s="85">
        <v>0</v>
      </c>
      <c r="F656" s="85" t="s">
        <v>254</v>
      </c>
      <c r="G656" s="85">
        <v>0</v>
      </c>
      <c r="H656" s="85" t="s">
        <v>254</v>
      </c>
      <c r="I656" s="85">
        <v>0</v>
      </c>
      <c r="J656" s="85">
        <v>0</v>
      </c>
      <c r="K656" s="85" t="s">
        <v>254</v>
      </c>
      <c r="L656" s="85" t="s">
        <v>254</v>
      </c>
      <c r="M656" s="85">
        <v>0</v>
      </c>
      <c r="N656" s="85" t="s">
        <v>254</v>
      </c>
      <c r="O656" s="85">
        <v>0</v>
      </c>
      <c r="P656" s="85">
        <v>0</v>
      </c>
      <c r="Q656" s="85">
        <v>0</v>
      </c>
      <c r="R656" s="85"/>
      <c r="S656" s="86"/>
    </row>
    <row r="657" spans="1:19" ht="15">
      <c r="A657" s="70" t="s">
        <v>254</v>
      </c>
      <c r="B657" s="70"/>
      <c r="C657" s="72" t="s">
        <v>254</v>
      </c>
      <c r="D657" s="72" t="s">
        <v>254</v>
      </c>
      <c r="E657" s="85" t="s">
        <v>254</v>
      </c>
      <c r="F657" s="85" t="s">
        <v>254</v>
      </c>
      <c r="G657" s="85" t="s">
        <v>254</v>
      </c>
      <c r="H657" s="85" t="s">
        <v>254</v>
      </c>
      <c r="I657" s="85" t="s">
        <v>254</v>
      </c>
      <c r="J657" s="85" t="s">
        <v>254</v>
      </c>
      <c r="K657" s="85" t="s">
        <v>254</v>
      </c>
      <c r="L657" s="85" t="s">
        <v>254</v>
      </c>
      <c r="M657" s="85" t="s">
        <v>254</v>
      </c>
      <c r="N657" s="85" t="s">
        <v>254</v>
      </c>
      <c r="O657" s="85" t="s">
        <v>254</v>
      </c>
      <c r="P657" s="85" t="s">
        <v>254</v>
      </c>
      <c r="Q657" s="85" t="s">
        <v>254</v>
      </c>
      <c r="R657" s="85"/>
      <c r="S657" s="86"/>
    </row>
    <row r="658" spans="1:19" ht="15">
      <c r="A658" s="70">
        <v>7</v>
      </c>
      <c r="B658" s="70"/>
      <c r="C658" s="72" t="s">
        <v>465</v>
      </c>
      <c r="D658" s="72" t="s">
        <v>254</v>
      </c>
      <c r="E658" s="85">
        <v>0</v>
      </c>
      <c r="F658" s="85" t="s">
        <v>254</v>
      </c>
      <c r="G658" s="85">
        <v>0</v>
      </c>
      <c r="H658" s="85" t="s">
        <v>254</v>
      </c>
      <c r="I658" s="85">
        <v>0</v>
      </c>
      <c r="J658" s="85">
        <v>0</v>
      </c>
      <c r="K658" s="85" t="s">
        <v>254</v>
      </c>
      <c r="L658" s="85" t="s">
        <v>254</v>
      </c>
      <c r="M658" s="85">
        <v>0</v>
      </c>
      <c r="N658" s="85" t="s">
        <v>254</v>
      </c>
      <c r="O658" s="85">
        <v>0</v>
      </c>
      <c r="P658" s="85">
        <v>0</v>
      </c>
      <c r="Q658" s="85">
        <v>0</v>
      </c>
      <c r="R658" s="85"/>
      <c r="S658" s="86"/>
    </row>
    <row r="659" spans="1:19" ht="15">
      <c r="A659" s="70" t="s">
        <v>254</v>
      </c>
      <c r="B659" s="70"/>
      <c r="C659" s="72" t="s">
        <v>254</v>
      </c>
      <c r="D659" s="72" t="s">
        <v>254</v>
      </c>
      <c r="E659" s="85" t="s">
        <v>254</v>
      </c>
      <c r="F659" s="85" t="s">
        <v>254</v>
      </c>
      <c r="G659" s="85" t="s">
        <v>254</v>
      </c>
      <c r="H659" s="85" t="s">
        <v>254</v>
      </c>
      <c r="I659" s="85" t="s">
        <v>254</v>
      </c>
      <c r="J659" s="85" t="s">
        <v>254</v>
      </c>
      <c r="K659" s="85" t="s">
        <v>254</v>
      </c>
      <c r="L659" s="85" t="s">
        <v>254</v>
      </c>
      <c r="M659" s="85" t="s">
        <v>254</v>
      </c>
      <c r="N659" s="85" t="s">
        <v>254</v>
      </c>
      <c r="O659" s="85" t="s">
        <v>254</v>
      </c>
      <c r="P659" s="85" t="s">
        <v>254</v>
      </c>
      <c r="Q659" s="85" t="s">
        <v>254</v>
      </c>
      <c r="R659" s="85"/>
      <c r="S659" s="86"/>
    </row>
    <row r="660" spans="1:19" ht="15">
      <c r="A660" s="70" t="s">
        <v>254</v>
      </c>
      <c r="B660" s="70"/>
      <c r="C660" s="72" t="s">
        <v>749</v>
      </c>
      <c r="D660" s="72" t="s">
        <v>254</v>
      </c>
      <c r="E660" s="85" t="s">
        <v>254</v>
      </c>
      <c r="F660" s="85" t="s">
        <v>254</v>
      </c>
      <c r="G660" s="85" t="s">
        <v>254</v>
      </c>
      <c r="H660" s="85" t="s">
        <v>254</v>
      </c>
      <c r="I660" s="85" t="s">
        <v>254</v>
      </c>
      <c r="J660" s="85" t="s">
        <v>254</v>
      </c>
      <c r="K660" s="85" t="s">
        <v>254</v>
      </c>
      <c r="L660" s="85" t="s">
        <v>254</v>
      </c>
      <c r="M660" s="85" t="s">
        <v>254</v>
      </c>
      <c r="N660" s="85" t="s">
        <v>254</v>
      </c>
      <c r="O660" s="85" t="s">
        <v>254</v>
      </c>
      <c r="P660" s="85" t="s">
        <v>254</v>
      </c>
      <c r="Q660" s="85" t="s">
        <v>254</v>
      </c>
      <c r="R660" s="85"/>
      <c r="S660" s="86"/>
    </row>
    <row r="661" spans="1:19" ht="15">
      <c r="A661" s="70">
        <v>8</v>
      </c>
      <c r="B661" s="70"/>
      <c r="C661" s="72" t="s">
        <v>757</v>
      </c>
      <c r="D661" s="72" t="s">
        <v>751</v>
      </c>
      <c r="E661" s="85">
        <v>0</v>
      </c>
      <c r="F661" s="85" t="s">
        <v>254</v>
      </c>
      <c r="G661" s="85">
        <v>0</v>
      </c>
      <c r="H661" s="85" t="s">
        <v>254</v>
      </c>
      <c r="I661" s="85">
        <v>0</v>
      </c>
      <c r="J661" s="85">
        <v>0</v>
      </c>
      <c r="K661" s="85" t="s">
        <v>254</v>
      </c>
      <c r="L661" s="85" t="s">
        <v>254</v>
      </c>
      <c r="M661" s="85">
        <v>0</v>
      </c>
      <c r="N661" s="85" t="s">
        <v>254</v>
      </c>
      <c r="O661" s="85">
        <v>0</v>
      </c>
      <c r="P661" s="85">
        <v>0</v>
      </c>
      <c r="Q661" s="85">
        <v>0</v>
      </c>
      <c r="R661" s="85"/>
      <c r="S661" s="86"/>
    </row>
    <row r="662" spans="1:19" ht="15">
      <c r="A662" s="70">
        <v>9</v>
      </c>
      <c r="B662" s="70"/>
      <c r="C662" s="72" t="s">
        <v>758</v>
      </c>
      <c r="D662" s="72" t="s">
        <v>753</v>
      </c>
      <c r="E662" s="85">
        <v>0</v>
      </c>
      <c r="F662" s="85" t="s">
        <v>254</v>
      </c>
      <c r="G662" s="85">
        <v>0</v>
      </c>
      <c r="H662" s="85" t="s">
        <v>254</v>
      </c>
      <c r="I662" s="85">
        <v>0</v>
      </c>
      <c r="J662" s="85">
        <v>0</v>
      </c>
      <c r="K662" s="85" t="s">
        <v>254</v>
      </c>
      <c r="L662" s="85" t="s">
        <v>254</v>
      </c>
      <c r="M662" s="85">
        <v>0</v>
      </c>
      <c r="N662" s="85" t="s">
        <v>254</v>
      </c>
      <c r="O662" s="85">
        <v>0</v>
      </c>
      <c r="P662" s="85">
        <v>0</v>
      </c>
      <c r="Q662" s="85">
        <v>0</v>
      </c>
      <c r="R662" s="85"/>
      <c r="S662" s="86"/>
    </row>
    <row r="663" spans="1:19" ht="15">
      <c r="A663" s="70" t="s">
        <v>254</v>
      </c>
      <c r="B663" s="70"/>
      <c r="C663" s="72" t="s">
        <v>254</v>
      </c>
      <c r="D663" s="72" t="s">
        <v>254</v>
      </c>
      <c r="E663" s="85" t="s">
        <v>254</v>
      </c>
      <c r="F663" s="85" t="s">
        <v>254</v>
      </c>
      <c r="G663" s="85" t="s">
        <v>254</v>
      </c>
      <c r="H663" s="85" t="s">
        <v>254</v>
      </c>
      <c r="I663" s="85" t="s">
        <v>254</v>
      </c>
      <c r="J663" s="85" t="s">
        <v>254</v>
      </c>
      <c r="K663" s="85" t="s">
        <v>254</v>
      </c>
      <c r="L663" s="85" t="s">
        <v>254</v>
      </c>
      <c r="M663" s="85" t="s">
        <v>254</v>
      </c>
      <c r="N663" s="85" t="s">
        <v>254</v>
      </c>
      <c r="O663" s="85" t="s">
        <v>254</v>
      </c>
      <c r="P663" s="85" t="s">
        <v>254</v>
      </c>
      <c r="Q663" s="85" t="s">
        <v>254</v>
      </c>
      <c r="R663" s="85"/>
      <c r="S663" s="86"/>
    </row>
    <row r="664" spans="1:19" ht="15">
      <c r="A664" s="70">
        <v>10</v>
      </c>
      <c r="B664" s="70"/>
      <c r="C664" s="72" t="s">
        <v>470</v>
      </c>
      <c r="D664" s="72" t="s">
        <v>254</v>
      </c>
      <c r="E664" s="85">
        <v>0</v>
      </c>
      <c r="F664" s="85" t="s">
        <v>254</v>
      </c>
      <c r="G664" s="85">
        <v>0</v>
      </c>
      <c r="H664" s="85" t="s">
        <v>254</v>
      </c>
      <c r="I664" s="85">
        <v>0</v>
      </c>
      <c r="J664" s="85">
        <v>0</v>
      </c>
      <c r="K664" s="85" t="s">
        <v>254</v>
      </c>
      <c r="L664" s="85" t="s">
        <v>254</v>
      </c>
      <c r="M664" s="85">
        <v>0</v>
      </c>
      <c r="N664" s="85" t="s">
        <v>254</v>
      </c>
      <c r="O664" s="85">
        <v>0</v>
      </c>
      <c r="P664" s="85">
        <v>0</v>
      </c>
      <c r="Q664" s="85">
        <v>0</v>
      </c>
      <c r="R664" s="85"/>
      <c r="S664" s="86"/>
    </row>
    <row r="665" spans="1:19" ht="15">
      <c r="A665" s="70" t="s">
        <v>254</v>
      </c>
      <c r="B665" s="70"/>
      <c r="C665" s="72" t="s">
        <v>254</v>
      </c>
      <c r="D665" s="72" t="s">
        <v>254</v>
      </c>
      <c r="E665" s="85" t="s">
        <v>254</v>
      </c>
      <c r="F665" s="85" t="s">
        <v>254</v>
      </c>
      <c r="G665" s="85" t="s">
        <v>254</v>
      </c>
      <c r="H665" s="85" t="s">
        <v>254</v>
      </c>
      <c r="I665" s="85" t="s">
        <v>254</v>
      </c>
      <c r="J665" s="85" t="s">
        <v>254</v>
      </c>
      <c r="K665" s="85" t="s">
        <v>254</v>
      </c>
      <c r="L665" s="85" t="s">
        <v>254</v>
      </c>
      <c r="M665" s="85" t="s">
        <v>254</v>
      </c>
      <c r="N665" s="85" t="s">
        <v>254</v>
      </c>
      <c r="O665" s="85" t="s">
        <v>254</v>
      </c>
      <c r="P665" s="85" t="s">
        <v>254</v>
      </c>
      <c r="Q665" s="85" t="s">
        <v>254</v>
      </c>
      <c r="R665" s="85"/>
      <c r="S665" s="86"/>
    </row>
    <row r="666" spans="1:19" ht="15">
      <c r="A666" s="70">
        <v>11</v>
      </c>
      <c r="B666" s="70"/>
      <c r="C666" s="72" t="s">
        <v>2447</v>
      </c>
      <c r="D666" s="72" t="s">
        <v>254</v>
      </c>
      <c r="E666" s="85">
        <v>279365.33524746302</v>
      </c>
      <c r="F666" s="85" t="s">
        <v>254</v>
      </c>
      <c r="G666" s="85">
        <v>279365.33524746302</v>
      </c>
      <c r="H666" s="85" t="s">
        <v>254</v>
      </c>
      <c r="I666" s="85">
        <v>0</v>
      </c>
      <c r="J666" s="85">
        <v>0</v>
      </c>
      <c r="K666" s="85" t="s">
        <v>254</v>
      </c>
      <c r="L666" s="85" t="s">
        <v>254</v>
      </c>
      <c r="M666" s="85">
        <v>0</v>
      </c>
      <c r="N666" s="85" t="s">
        <v>254</v>
      </c>
      <c r="O666" s="85">
        <v>0</v>
      </c>
      <c r="P666" s="85">
        <v>0</v>
      </c>
      <c r="Q666" s="85">
        <v>0</v>
      </c>
      <c r="R666" s="85"/>
      <c r="S666" s="86"/>
    </row>
    <row r="667" spans="1:19" ht="15">
      <c r="A667" s="70" t="s">
        <v>254</v>
      </c>
      <c r="B667" s="70"/>
      <c r="C667" s="72" t="s">
        <v>254</v>
      </c>
      <c r="D667" s="72" t="s">
        <v>254</v>
      </c>
      <c r="E667" s="85" t="s">
        <v>254</v>
      </c>
      <c r="F667" s="85" t="s">
        <v>254</v>
      </c>
      <c r="G667" s="85" t="s">
        <v>254</v>
      </c>
      <c r="H667" s="85" t="s">
        <v>254</v>
      </c>
      <c r="I667" s="85" t="s">
        <v>254</v>
      </c>
      <c r="J667" s="85" t="s">
        <v>254</v>
      </c>
      <c r="K667" s="85" t="s">
        <v>254</v>
      </c>
      <c r="L667" s="85" t="s">
        <v>254</v>
      </c>
      <c r="M667" s="85" t="s">
        <v>254</v>
      </c>
      <c r="N667" s="85" t="s">
        <v>254</v>
      </c>
      <c r="O667" s="85" t="s">
        <v>254</v>
      </c>
      <c r="P667" s="85" t="s">
        <v>254</v>
      </c>
      <c r="Q667" s="85" t="s">
        <v>254</v>
      </c>
      <c r="R667" s="85"/>
      <c r="S667" s="86"/>
    </row>
    <row r="668" spans="1:19" ht="15">
      <c r="A668" s="70" t="s">
        <v>254</v>
      </c>
      <c r="B668" s="70"/>
      <c r="C668" s="72" t="s">
        <v>759</v>
      </c>
      <c r="D668" s="72" t="s">
        <v>254</v>
      </c>
      <c r="E668" s="85" t="s">
        <v>254</v>
      </c>
      <c r="F668" s="85" t="s">
        <v>254</v>
      </c>
      <c r="G668" s="85" t="s">
        <v>254</v>
      </c>
      <c r="H668" s="85" t="s">
        <v>254</v>
      </c>
      <c r="I668" s="85" t="s">
        <v>254</v>
      </c>
      <c r="J668" s="85" t="s">
        <v>254</v>
      </c>
      <c r="K668" s="85" t="s">
        <v>254</v>
      </c>
      <c r="L668" s="85" t="s">
        <v>254</v>
      </c>
      <c r="M668" s="85" t="s">
        <v>254</v>
      </c>
      <c r="N668" s="85" t="s">
        <v>254</v>
      </c>
      <c r="O668" s="85" t="s">
        <v>254</v>
      </c>
      <c r="P668" s="85" t="s">
        <v>254</v>
      </c>
      <c r="Q668" s="85" t="s">
        <v>254</v>
      </c>
      <c r="R668" s="85"/>
      <c r="S668" s="86"/>
    </row>
    <row r="669" spans="1:19" ht="15">
      <c r="A669" s="70" t="s">
        <v>254</v>
      </c>
      <c r="B669" s="70"/>
      <c r="C669" s="72" t="s">
        <v>254</v>
      </c>
      <c r="D669" s="72" t="s">
        <v>254</v>
      </c>
      <c r="E669" s="85" t="s">
        <v>254</v>
      </c>
      <c r="F669" s="85" t="s">
        <v>254</v>
      </c>
      <c r="G669" s="85" t="s">
        <v>254</v>
      </c>
      <c r="H669" s="85" t="s">
        <v>254</v>
      </c>
      <c r="I669" s="85" t="s">
        <v>254</v>
      </c>
      <c r="J669" s="85" t="s">
        <v>254</v>
      </c>
      <c r="K669" s="85" t="s">
        <v>254</v>
      </c>
      <c r="L669" s="85" t="s">
        <v>254</v>
      </c>
      <c r="M669" s="85" t="s">
        <v>254</v>
      </c>
      <c r="N669" s="85" t="s">
        <v>254</v>
      </c>
      <c r="O669" s="85" t="s">
        <v>254</v>
      </c>
      <c r="P669" s="85" t="s">
        <v>254</v>
      </c>
      <c r="Q669" s="85" t="s">
        <v>254</v>
      </c>
      <c r="R669" s="85"/>
      <c r="S669" s="86"/>
    </row>
    <row r="670" spans="1:19" ht="15">
      <c r="A670" s="70" t="s">
        <v>254</v>
      </c>
      <c r="B670" s="70"/>
      <c r="C670" s="72" t="s">
        <v>444</v>
      </c>
      <c r="D670" s="72" t="s">
        <v>254</v>
      </c>
      <c r="E670" s="85" t="s">
        <v>254</v>
      </c>
      <c r="F670" s="85" t="s">
        <v>254</v>
      </c>
      <c r="G670" s="85" t="s">
        <v>254</v>
      </c>
      <c r="H670" s="85" t="s">
        <v>254</v>
      </c>
      <c r="I670" s="85" t="s">
        <v>254</v>
      </c>
      <c r="J670" s="85" t="s">
        <v>254</v>
      </c>
      <c r="K670" s="85" t="s">
        <v>254</v>
      </c>
      <c r="L670" s="85" t="s">
        <v>254</v>
      </c>
      <c r="M670" s="85" t="s">
        <v>254</v>
      </c>
      <c r="N670" s="85" t="s">
        <v>254</v>
      </c>
      <c r="O670" s="85" t="s">
        <v>254</v>
      </c>
      <c r="P670" s="85" t="s">
        <v>254</v>
      </c>
      <c r="Q670" s="85" t="s">
        <v>254</v>
      </c>
      <c r="R670" s="85"/>
      <c r="S670" s="86"/>
    </row>
    <row r="671" spans="1:19" ht="15">
      <c r="A671" s="70">
        <v>12</v>
      </c>
      <c r="B671" s="70"/>
      <c r="C671" s="72" t="s">
        <v>445</v>
      </c>
      <c r="D671" s="72" t="s">
        <v>447</v>
      </c>
      <c r="E671" s="85">
        <v>0</v>
      </c>
      <c r="F671" s="85" t="s">
        <v>254</v>
      </c>
      <c r="G671" s="85">
        <v>0</v>
      </c>
      <c r="H671" s="85" t="s">
        <v>254</v>
      </c>
      <c r="I671" s="85">
        <v>0</v>
      </c>
      <c r="J671" s="85">
        <v>0</v>
      </c>
      <c r="K671" s="85" t="s">
        <v>254</v>
      </c>
      <c r="L671" s="85" t="s">
        <v>254</v>
      </c>
      <c r="M671" s="85">
        <v>0</v>
      </c>
      <c r="N671" s="85" t="s">
        <v>254</v>
      </c>
      <c r="O671" s="85">
        <v>0</v>
      </c>
      <c r="P671" s="85">
        <v>0</v>
      </c>
      <c r="Q671" s="85">
        <v>0</v>
      </c>
      <c r="R671" s="85"/>
      <c r="S671" s="86"/>
    </row>
    <row r="672" spans="1:19" ht="15">
      <c r="A672" s="70">
        <v>13</v>
      </c>
      <c r="B672" s="70"/>
      <c r="C672" s="72" t="s">
        <v>451</v>
      </c>
      <c r="D672" s="72" t="s">
        <v>452</v>
      </c>
      <c r="E672" s="85">
        <v>0</v>
      </c>
      <c r="F672" s="85" t="s">
        <v>254</v>
      </c>
      <c r="G672" s="85">
        <v>0</v>
      </c>
      <c r="H672" s="85" t="s">
        <v>254</v>
      </c>
      <c r="I672" s="85">
        <v>0</v>
      </c>
      <c r="J672" s="85">
        <v>0</v>
      </c>
      <c r="K672" s="85" t="s">
        <v>254</v>
      </c>
      <c r="L672" s="85" t="s">
        <v>254</v>
      </c>
      <c r="M672" s="85">
        <v>0</v>
      </c>
      <c r="N672" s="85" t="s">
        <v>254</v>
      </c>
      <c r="O672" s="85">
        <v>0</v>
      </c>
      <c r="P672" s="85">
        <v>0</v>
      </c>
      <c r="Q672" s="85">
        <v>0</v>
      </c>
      <c r="R672" s="85"/>
      <c r="S672" s="86"/>
    </row>
    <row r="673" spans="1:19" ht="15">
      <c r="A673" s="70">
        <v>14</v>
      </c>
      <c r="B673" s="70"/>
      <c r="C673" s="72" t="s">
        <v>454</v>
      </c>
      <c r="D673" s="72" t="s">
        <v>455</v>
      </c>
      <c r="E673" s="85">
        <v>0</v>
      </c>
      <c r="F673" s="85" t="s">
        <v>254</v>
      </c>
      <c r="G673" s="85">
        <v>0</v>
      </c>
      <c r="H673" s="85" t="s">
        <v>254</v>
      </c>
      <c r="I673" s="85">
        <v>0</v>
      </c>
      <c r="J673" s="85">
        <v>0</v>
      </c>
      <c r="K673" s="85" t="s">
        <v>254</v>
      </c>
      <c r="L673" s="85" t="s">
        <v>254</v>
      </c>
      <c r="M673" s="85">
        <v>0</v>
      </c>
      <c r="N673" s="85" t="s">
        <v>254</v>
      </c>
      <c r="O673" s="85">
        <v>0</v>
      </c>
      <c r="P673" s="85">
        <v>0</v>
      </c>
      <c r="Q673" s="85">
        <v>0</v>
      </c>
      <c r="R673" s="85"/>
      <c r="S673" s="86"/>
    </row>
    <row r="674" spans="1:19" ht="15">
      <c r="A674" s="70" t="s">
        <v>254</v>
      </c>
      <c r="B674" s="70"/>
      <c r="C674" s="72" t="s">
        <v>254</v>
      </c>
      <c r="D674" s="72" t="s">
        <v>254</v>
      </c>
      <c r="E674" s="85" t="s">
        <v>254</v>
      </c>
      <c r="F674" s="85" t="s">
        <v>254</v>
      </c>
      <c r="G674" s="85" t="s">
        <v>254</v>
      </c>
      <c r="H674" s="85" t="s">
        <v>254</v>
      </c>
      <c r="I674" s="85" t="s">
        <v>254</v>
      </c>
      <c r="J674" s="85" t="s">
        <v>254</v>
      </c>
      <c r="K674" s="85" t="s">
        <v>254</v>
      </c>
      <c r="L674" s="85" t="s">
        <v>254</v>
      </c>
      <c r="M674" s="85" t="s">
        <v>254</v>
      </c>
      <c r="N674" s="85" t="s">
        <v>254</v>
      </c>
      <c r="O674" s="85" t="s">
        <v>254</v>
      </c>
      <c r="P674" s="85" t="s">
        <v>254</v>
      </c>
      <c r="Q674" s="85" t="s">
        <v>254</v>
      </c>
      <c r="R674" s="85"/>
      <c r="S674" s="86"/>
    </row>
    <row r="675" spans="1:19" ht="15">
      <c r="A675" s="70">
        <v>15</v>
      </c>
      <c r="B675" s="70"/>
      <c r="C675" s="72" t="s">
        <v>457</v>
      </c>
      <c r="D675" s="72" t="s">
        <v>254</v>
      </c>
      <c r="E675" s="85">
        <v>0</v>
      </c>
      <c r="F675" s="85" t="s">
        <v>254</v>
      </c>
      <c r="G675" s="85">
        <v>0</v>
      </c>
      <c r="H675" s="85" t="s">
        <v>254</v>
      </c>
      <c r="I675" s="85">
        <v>0</v>
      </c>
      <c r="J675" s="85">
        <v>0</v>
      </c>
      <c r="K675" s="85" t="s">
        <v>254</v>
      </c>
      <c r="L675" s="85" t="s">
        <v>254</v>
      </c>
      <c r="M675" s="85">
        <v>0</v>
      </c>
      <c r="N675" s="85" t="s">
        <v>254</v>
      </c>
      <c r="O675" s="85">
        <v>0</v>
      </c>
      <c r="P675" s="85">
        <v>0</v>
      </c>
      <c r="Q675" s="85">
        <v>0</v>
      </c>
      <c r="R675" s="85"/>
      <c r="S675" s="86"/>
    </row>
    <row r="676" spans="1:19" ht="15">
      <c r="A676" s="70" t="s">
        <v>254</v>
      </c>
      <c r="B676" s="70"/>
      <c r="C676" s="72" t="s">
        <v>254</v>
      </c>
      <c r="D676" s="72" t="s">
        <v>254</v>
      </c>
      <c r="E676" s="85" t="s">
        <v>254</v>
      </c>
      <c r="F676" s="85" t="s">
        <v>254</v>
      </c>
      <c r="G676" s="85" t="s">
        <v>254</v>
      </c>
      <c r="H676" s="85" t="s">
        <v>254</v>
      </c>
      <c r="I676" s="85" t="s">
        <v>254</v>
      </c>
      <c r="J676" s="85" t="s">
        <v>254</v>
      </c>
      <c r="K676" s="85" t="s">
        <v>254</v>
      </c>
      <c r="L676" s="85" t="s">
        <v>254</v>
      </c>
      <c r="M676" s="85" t="s">
        <v>254</v>
      </c>
      <c r="N676" s="85" t="s">
        <v>254</v>
      </c>
      <c r="O676" s="85" t="s">
        <v>254</v>
      </c>
      <c r="P676" s="85" t="s">
        <v>254</v>
      </c>
      <c r="Q676" s="85" t="s">
        <v>254</v>
      </c>
      <c r="R676" s="85"/>
      <c r="S676" s="86"/>
    </row>
    <row r="677" spans="1:19" ht="15">
      <c r="A677" s="70" t="s">
        <v>254</v>
      </c>
      <c r="B677" s="70"/>
      <c r="C677" s="72" t="s">
        <v>458</v>
      </c>
      <c r="D677" s="72" t="s">
        <v>254</v>
      </c>
      <c r="E677" s="85" t="s">
        <v>254</v>
      </c>
      <c r="F677" s="85" t="s">
        <v>254</v>
      </c>
      <c r="G677" s="85" t="s">
        <v>254</v>
      </c>
      <c r="H677" s="85" t="s">
        <v>254</v>
      </c>
      <c r="I677" s="85" t="s">
        <v>254</v>
      </c>
      <c r="J677" s="85" t="s">
        <v>254</v>
      </c>
      <c r="K677" s="85" t="s">
        <v>254</v>
      </c>
      <c r="L677" s="85" t="s">
        <v>254</v>
      </c>
      <c r="M677" s="85" t="s">
        <v>254</v>
      </c>
      <c r="N677" s="85" t="s">
        <v>254</v>
      </c>
      <c r="O677" s="85" t="s">
        <v>254</v>
      </c>
      <c r="P677" s="85" t="s">
        <v>254</v>
      </c>
      <c r="Q677" s="85" t="s">
        <v>254</v>
      </c>
      <c r="R677" s="85"/>
      <c r="S677" s="86"/>
    </row>
    <row r="678" spans="1:19" ht="15">
      <c r="A678" s="70">
        <v>16</v>
      </c>
      <c r="B678" s="70"/>
      <c r="C678" s="72" t="s">
        <v>459</v>
      </c>
      <c r="D678" s="72" t="s">
        <v>460</v>
      </c>
      <c r="E678" s="85">
        <v>0</v>
      </c>
      <c r="F678" s="85" t="s">
        <v>254</v>
      </c>
      <c r="G678" s="85">
        <v>0</v>
      </c>
      <c r="H678" s="85" t="s">
        <v>254</v>
      </c>
      <c r="I678" s="85">
        <v>0</v>
      </c>
      <c r="J678" s="85">
        <v>0</v>
      </c>
      <c r="K678" s="85" t="s">
        <v>254</v>
      </c>
      <c r="L678" s="85" t="s">
        <v>254</v>
      </c>
      <c r="M678" s="85">
        <v>0</v>
      </c>
      <c r="N678" s="85" t="s">
        <v>254</v>
      </c>
      <c r="O678" s="85">
        <v>0</v>
      </c>
      <c r="P678" s="85">
        <v>0</v>
      </c>
      <c r="Q678" s="85">
        <v>0</v>
      </c>
      <c r="R678" s="85"/>
      <c r="S678" s="86"/>
    </row>
    <row r="679" spans="1:19" ht="15">
      <c r="A679" s="70">
        <v>17</v>
      </c>
      <c r="B679" s="70"/>
      <c r="C679" s="72" t="s">
        <v>461</v>
      </c>
      <c r="D679" s="72" t="s">
        <v>462</v>
      </c>
      <c r="E679" s="85">
        <v>0</v>
      </c>
      <c r="F679" s="85" t="s">
        <v>254</v>
      </c>
      <c r="G679" s="85">
        <v>0</v>
      </c>
      <c r="H679" s="85" t="s">
        <v>254</v>
      </c>
      <c r="I679" s="85">
        <v>0</v>
      </c>
      <c r="J679" s="85">
        <v>0</v>
      </c>
      <c r="K679" s="85" t="s">
        <v>254</v>
      </c>
      <c r="L679" s="85" t="s">
        <v>254</v>
      </c>
      <c r="M679" s="85">
        <v>0</v>
      </c>
      <c r="N679" s="85" t="s">
        <v>254</v>
      </c>
      <c r="O679" s="85">
        <v>0</v>
      </c>
      <c r="P679" s="85">
        <v>0</v>
      </c>
      <c r="Q679" s="85">
        <v>0</v>
      </c>
      <c r="R679" s="85"/>
      <c r="S679" s="86"/>
    </row>
    <row r="680" spans="1:19" ht="15">
      <c r="A680" s="70" t="s">
        <v>254</v>
      </c>
      <c r="B680" s="70"/>
      <c r="C680" s="72" t="s">
        <v>254</v>
      </c>
      <c r="D680" s="72" t="s">
        <v>254</v>
      </c>
      <c r="E680" s="85" t="s">
        <v>254</v>
      </c>
      <c r="F680" s="85" t="s">
        <v>254</v>
      </c>
      <c r="G680" s="85" t="s">
        <v>254</v>
      </c>
      <c r="H680" s="85" t="s">
        <v>254</v>
      </c>
      <c r="I680" s="85" t="s">
        <v>254</v>
      </c>
      <c r="J680" s="85" t="s">
        <v>254</v>
      </c>
      <c r="K680" s="85" t="s">
        <v>254</v>
      </c>
      <c r="L680" s="85" t="s">
        <v>254</v>
      </c>
      <c r="M680" s="85" t="s">
        <v>254</v>
      </c>
      <c r="N680" s="85" t="s">
        <v>254</v>
      </c>
      <c r="O680" s="85" t="s">
        <v>254</v>
      </c>
      <c r="P680" s="85" t="s">
        <v>254</v>
      </c>
      <c r="Q680" s="85" t="s">
        <v>254</v>
      </c>
      <c r="R680" s="85"/>
      <c r="S680" s="86"/>
    </row>
    <row r="681" spans="1:19" ht="15">
      <c r="A681" s="70">
        <v>18</v>
      </c>
      <c r="B681" s="70"/>
      <c r="C681" s="72" t="s">
        <v>465</v>
      </c>
      <c r="D681" s="72" t="s">
        <v>254</v>
      </c>
      <c r="E681" s="85">
        <v>0</v>
      </c>
      <c r="F681" s="85" t="s">
        <v>254</v>
      </c>
      <c r="G681" s="85">
        <v>0</v>
      </c>
      <c r="H681" s="85" t="s">
        <v>254</v>
      </c>
      <c r="I681" s="85">
        <v>0</v>
      </c>
      <c r="J681" s="85">
        <v>0</v>
      </c>
      <c r="K681" s="85" t="s">
        <v>254</v>
      </c>
      <c r="L681" s="85" t="s">
        <v>254</v>
      </c>
      <c r="M681" s="85">
        <v>0</v>
      </c>
      <c r="N681" s="85" t="s">
        <v>254</v>
      </c>
      <c r="O681" s="85">
        <v>0</v>
      </c>
      <c r="P681" s="85">
        <v>0</v>
      </c>
      <c r="Q681" s="85">
        <v>0</v>
      </c>
      <c r="R681" s="85"/>
      <c r="S681" s="86"/>
    </row>
    <row r="682" spans="1:19" ht="15">
      <c r="A682" s="70" t="s">
        <v>254</v>
      </c>
      <c r="B682" s="70"/>
      <c r="C682" s="72" t="s">
        <v>254</v>
      </c>
      <c r="D682" s="72" t="s">
        <v>254</v>
      </c>
      <c r="E682" s="85" t="s">
        <v>254</v>
      </c>
      <c r="F682" s="85" t="s">
        <v>254</v>
      </c>
      <c r="G682" s="85" t="s">
        <v>254</v>
      </c>
      <c r="H682" s="85" t="s">
        <v>254</v>
      </c>
      <c r="I682" s="85" t="s">
        <v>254</v>
      </c>
      <c r="J682" s="85" t="s">
        <v>254</v>
      </c>
      <c r="K682" s="85" t="s">
        <v>254</v>
      </c>
      <c r="L682" s="85" t="s">
        <v>254</v>
      </c>
      <c r="M682" s="85" t="s">
        <v>254</v>
      </c>
      <c r="N682" s="85" t="s">
        <v>254</v>
      </c>
      <c r="O682" s="85" t="s">
        <v>254</v>
      </c>
      <c r="P682" s="85" t="s">
        <v>254</v>
      </c>
      <c r="Q682" s="85" t="s">
        <v>254</v>
      </c>
      <c r="R682" s="85"/>
      <c r="S682" s="86"/>
    </row>
    <row r="683" spans="1:19" ht="15">
      <c r="A683" s="70" t="s">
        <v>254</v>
      </c>
      <c r="B683" s="70"/>
      <c r="C683" s="72" t="s">
        <v>361</v>
      </c>
      <c r="D683" s="72" t="s">
        <v>254</v>
      </c>
      <c r="E683" s="85" t="s">
        <v>254</v>
      </c>
      <c r="F683" s="85" t="s">
        <v>254</v>
      </c>
      <c r="G683" s="85" t="s">
        <v>254</v>
      </c>
      <c r="H683" s="85" t="s">
        <v>254</v>
      </c>
      <c r="I683" s="85" t="s">
        <v>254</v>
      </c>
      <c r="J683" s="85" t="s">
        <v>254</v>
      </c>
      <c r="K683" s="85" t="s">
        <v>254</v>
      </c>
      <c r="L683" s="85" t="s">
        <v>254</v>
      </c>
      <c r="M683" s="85" t="s">
        <v>254</v>
      </c>
      <c r="N683" s="85" t="s">
        <v>254</v>
      </c>
      <c r="O683" s="85" t="s">
        <v>254</v>
      </c>
      <c r="P683" s="85" t="s">
        <v>254</v>
      </c>
      <c r="Q683" s="85" t="s">
        <v>254</v>
      </c>
      <c r="R683" s="85"/>
      <c r="S683" s="86"/>
    </row>
    <row r="684" spans="1:19" ht="15">
      <c r="A684" s="70">
        <v>19</v>
      </c>
      <c r="B684" s="70"/>
      <c r="C684" s="72" t="s">
        <v>459</v>
      </c>
      <c r="D684" s="72" t="s">
        <v>751</v>
      </c>
      <c r="E684" s="85">
        <v>0</v>
      </c>
      <c r="F684" s="85" t="s">
        <v>254</v>
      </c>
      <c r="G684" s="85">
        <v>0</v>
      </c>
      <c r="H684" s="85" t="s">
        <v>254</v>
      </c>
      <c r="I684" s="85">
        <v>0</v>
      </c>
      <c r="J684" s="85">
        <v>0</v>
      </c>
      <c r="K684" s="85" t="s">
        <v>254</v>
      </c>
      <c r="L684" s="85" t="s">
        <v>254</v>
      </c>
      <c r="M684" s="85">
        <v>0</v>
      </c>
      <c r="N684" s="85" t="s">
        <v>254</v>
      </c>
      <c r="O684" s="85">
        <v>0</v>
      </c>
      <c r="P684" s="85">
        <v>0</v>
      </c>
      <c r="Q684" s="85">
        <v>0</v>
      </c>
      <c r="R684" s="85"/>
      <c r="S684" s="86"/>
    </row>
    <row r="685" spans="1:19" ht="15">
      <c r="A685" s="70">
        <v>20</v>
      </c>
      <c r="B685" s="70"/>
      <c r="C685" s="72" t="s">
        <v>461</v>
      </c>
      <c r="D685" s="72" t="s">
        <v>528</v>
      </c>
      <c r="E685" s="85">
        <v>0</v>
      </c>
      <c r="F685" s="85" t="s">
        <v>254</v>
      </c>
      <c r="G685" s="85">
        <v>0</v>
      </c>
      <c r="H685" s="85" t="s">
        <v>254</v>
      </c>
      <c r="I685" s="85">
        <v>0</v>
      </c>
      <c r="J685" s="85">
        <v>0</v>
      </c>
      <c r="K685" s="85" t="s">
        <v>254</v>
      </c>
      <c r="L685" s="85" t="s">
        <v>254</v>
      </c>
      <c r="M685" s="85">
        <v>0</v>
      </c>
      <c r="N685" s="85" t="s">
        <v>254</v>
      </c>
      <c r="O685" s="85">
        <v>0</v>
      </c>
      <c r="P685" s="85">
        <v>0</v>
      </c>
      <c r="Q685" s="85">
        <v>0</v>
      </c>
      <c r="R685" s="85"/>
      <c r="S685" s="86"/>
    </row>
    <row r="686" spans="1:19" ht="15">
      <c r="A686" s="70" t="s">
        <v>254</v>
      </c>
      <c r="B686" s="70"/>
      <c r="C686" s="72" t="s">
        <v>254</v>
      </c>
      <c r="D686" s="72" t="s">
        <v>254</v>
      </c>
      <c r="E686" s="85" t="s">
        <v>254</v>
      </c>
      <c r="F686" s="85" t="s">
        <v>254</v>
      </c>
      <c r="G686" s="85" t="s">
        <v>254</v>
      </c>
      <c r="H686" s="85" t="s">
        <v>254</v>
      </c>
      <c r="I686" s="85" t="s">
        <v>254</v>
      </c>
      <c r="J686" s="85" t="s">
        <v>254</v>
      </c>
      <c r="K686" s="85" t="s">
        <v>254</v>
      </c>
      <c r="L686" s="85" t="s">
        <v>254</v>
      </c>
      <c r="M686" s="85" t="s">
        <v>254</v>
      </c>
      <c r="N686" s="85" t="s">
        <v>254</v>
      </c>
      <c r="O686" s="85" t="s">
        <v>254</v>
      </c>
      <c r="P686" s="85" t="s">
        <v>254</v>
      </c>
      <c r="Q686" s="85" t="s">
        <v>254</v>
      </c>
      <c r="R686" s="85"/>
      <c r="S686" s="86"/>
    </row>
    <row r="687" spans="1:19" ht="15">
      <c r="A687" s="70">
        <v>21</v>
      </c>
      <c r="B687" s="70"/>
      <c r="C687" s="72" t="s">
        <v>470</v>
      </c>
      <c r="D687" s="72" t="s">
        <v>254</v>
      </c>
      <c r="E687" s="85">
        <v>0</v>
      </c>
      <c r="F687" s="85" t="s">
        <v>254</v>
      </c>
      <c r="G687" s="85">
        <v>0</v>
      </c>
      <c r="H687" s="85" t="s">
        <v>254</v>
      </c>
      <c r="I687" s="85">
        <v>0</v>
      </c>
      <c r="J687" s="85">
        <v>0</v>
      </c>
      <c r="K687" s="85" t="s">
        <v>254</v>
      </c>
      <c r="L687" s="85" t="s">
        <v>254</v>
      </c>
      <c r="M687" s="85">
        <v>0</v>
      </c>
      <c r="N687" s="85" t="s">
        <v>254</v>
      </c>
      <c r="O687" s="85">
        <v>0</v>
      </c>
      <c r="P687" s="85">
        <v>0</v>
      </c>
      <c r="Q687" s="85">
        <v>0</v>
      </c>
      <c r="R687" s="85"/>
      <c r="S687" s="86"/>
    </row>
    <row r="688" spans="1:19" ht="15">
      <c r="A688" s="70" t="s">
        <v>254</v>
      </c>
      <c r="B688" s="70"/>
      <c r="C688" s="72" t="s">
        <v>254</v>
      </c>
      <c r="D688" s="72" t="s">
        <v>254</v>
      </c>
      <c r="E688" s="85" t="s">
        <v>254</v>
      </c>
      <c r="F688" s="85" t="s">
        <v>254</v>
      </c>
      <c r="G688" s="85" t="s">
        <v>254</v>
      </c>
      <c r="H688" s="85" t="s">
        <v>254</v>
      </c>
      <c r="I688" s="85" t="s">
        <v>254</v>
      </c>
      <c r="J688" s="85" t="s">
        <v>254</v>
      </c>
      <c r="K688" s="85" t="s">
        <v>254</v>
      </c>
      <c r="L688" s="85" t="s">
        <v>254</v>
      </c>
      <c r="M688" s="85" t="s">
        <v>254</v>
      </c>
      <c r="N688" s="85" t="s">
        <v>254</v>
      </c>
      <c r="O688" s="85" t="s">
        <v>254</v>
      </c>
      <c r="P688" s="85" t="s">
        <v>254</v>
      </c>
      <c r="Q688" s="85" t="s">
        <v>254</v>
      </c>
      <c r="R688" s="85"/>
      <c r="S688" s="86"/>
    </row>
    <row r="689" spans="1:19" ht="15">
      <c r="A689" s="70">
        <v>22</v>
      </c>
      <c r="B689" s="70"/>
      <c r="C689" s="72" t="s">
        <v>760</v>
      </c>
      <c r="D689" s="72" t="s">
        <v>254</v>
      </c>
      <c r="E689" s="85">
        <v>0</v>
      </c>
      <c r="F689" s="85" t="s">
        <v>254</v>
      </c>
      <c r="G689" s="85">
        <v>0</v>
      </c>
      <c r="H689" s="85" t="s">
        <v>254</v>
      </c>
      <c r="I689" s="85">
        <v>0</v>
      </c>
      <c r="J689" s="85">
        <v>0</v>
      </c>
      <c r="K689" s="85" t="s">
        <v>254</v>
      </c>
      <c r="L689" s="85" t="s">
        <v>254</v>
      </c>
      <c r="M689" s="85">
        <v>0</v>
      </c>
      <c r="N689" s="85" t="s">
        <v>254</v>
      </c>
      <c r="O689" s="85">
        <v>0</v>
      </c>
      <c r="P689" s="85">
        <v>0</v>
      </c>
      <c r="Q689" s="85">
        <v>0</v>
      </c>
      <c r="R689" s="85"/>
      <c r="S689" s="86"/>
    </row>
    <row r="690" spans="1:19" ht="15">
      <c r="A690" s="70" t="s">
        <v>254</v>
      </c>
      <c r="B690" s="70"/>
      <c r="C690" s="72" t="s">
        <v>254</v>
      </c>
      <c r="D690" s="72" t="s">
        <v>254</v>
      </c>
      <c r="E690" s="85" t="s">
        <v>254</v>
      </c>
      <c r="F690" s="85" t="s">
        <v>254</v>
      </c>
      <c r="G690" s="85" t="s">
        <v>254</v>
      </c>
      <c r="H690" s="85" t="s">
        <v>254</v>
      </c>
      <c r="I690" s="85" t="s">
        <v>254</v>
      </c>
      <c r="J690" s="85" t="s">
        <v>254</v>
      </c>
      <c r="K690" s="85" t="s">
        <v>254</v>
      </c>
      <c r="L690" s="85" t="s">
        <v>254</v>
      </c>
      <c r="M690" s="85" t="s">
        <v>254</v>
      </c>
      <c r="N690" s="85" t="s">
        <v>254</v>
      </c>
      <c r="O690" s="85" t="s">
        <v>254</v>
      </c>
      <c r="P690" s="85" t="s">
        <v>254</v>
      </c>
      <c r="Q690" s="85" t="s">
        <v>254</v>
      </c>
      <c r="R690" s="85"/>
      <c r="S690" s="86"/>
    </row>
    <row r="691" spans="1:19" ht="15">
      <c r="A691" s="70" t="s">
        <v>254</v>
      </c>
      <c r="B691" s="70"/>
      <c r="C691" s="72" t="s">
        <v>761</v>
      </c>
      <c r="D691" s="72" t="s">
        <v>254</v>
      </c>
      <c r="E691" s="85" t="s">
        <v>254</v>
      </c>
      <c r="F691" s="85" t="s">
        <v>254</v>
      </c>
      <c r="G691" s="85" t="s">
        <v>254</v>
      </c>
      <c r="H691" s="85" t="s">
        <v>254</v>
      </c>
      <c r="I691" s="85" t="s">
        <v>254</v>
      </c>
      <c r="J691" s="85" t="s">
        <v>254</v>
      </c>
      <c r="K691" s="85" t="s">
        <v>254</v>
      </c>
      <c r="L691" s="85" t="s">
        <v>254</v>
      </c>
      <c r="M691" s="85" t="s">
        <v>254</v>
      </c>
      <c r="N691" s="85" t="s">
        <v>254</v>
      </c>
      <c r="O691" s="85" t="s">
        <v>254</v>
      </c>
      <c r="P691" s="85" t="s">
        <v>254</v>
      </c>
      <c r="Q691" s="85" t="s">
        <v>254</v>
      </c>
      <c r="R691" s="85"/>
      <c r="S691" s="86"/>
    </row>
    <row r="692" spans="1:19" ht="15">
      <c r="A692" s="70" t="s">
        <v>254</v>
      </c>
      <c r="B692" s="70"/>
      <c r="C692" s="72" t="s">
        <v>254</v>
      </c>
      <c r="D692" s="72" t="s">
        <v>254</v>
      </c>
      <c r="E692" s="85" t="s">
        <v>254</v>
      </c>
      <c r="F692" s="85" t="s">
        <v>254</v>
      </c>
      <c r="G692" s="85" t="s">
        <v>254</v>
      </c>
      <c r="H692" s="85" t="s">
        <v>254</v>
      </c>
      <c r="I692" s="85" t="s">
        <v>254</v>
      </c>
      <c r="J692" s="85" t="s">
        <v>254</v>
      </c>
      <c r="K692" s="85" t="s">
        <v>254</v>
      </c>
      <c r="L692" s="85" t="s">
        <v>254</v>
      </c>
      <c r="M692" s="85" t="s">
        <v>254</v>
      </c>
      <c r="N692" s="85" t="s">
        <v>254</v>
      </c>
      <c r="O692" s="85" t="s">
        <v>254</v>
      </c>
      <c r="P692" s="85" t="s">
        <v>254</v>
      </c>
      <c r="Q692" s="85" t="s">
        <v>254</v>
      </c>
      <c r="R692" s="85"/>
      <c r="S692" s="86"/>
    </row>
    <row r="693" spans="1:19" ht="15">
      <c r="A693" s="70" t="s">
        <v>254</v>
      </c>
      <c r="B693" s="70"/>
      <c r="C693" s="72" t="s">
        <v>762</v>
      </c>
      <c r="D693" s="72" t="s">
        <v>254</v>
      </c>
      <c r="E693" s="85" t="s">
        <v>254</v>
      </c>
      <c r="F693" s="85" t="s">
        <v>254</v>
      </c>
      <c r="G693" s="85" t="s">
        <v>254</v>
      </c>
      <c r="H693" s="85" t="s">
        <v>254</v>
      </c>
      <c r="I693" s="85" t="s">
        <v>254</v>
      </c>
      <c r="J693" s="85" t="s">
        <v>254</v>
      </c>
      <c r="K693" s="85" t="s">
        <v>254</v>
      </c>
      <c r="L693" s="85" t="s">
        <v>254</v>
      </c>
      <c r="M693" s="85" t="s">
        <v>254</v>
      </c>
      <c r="N693" s="85" t="s">
        <v>254</v>
      </c>
      <c r="O693" s="85" t="s">
        <v>254</v>
      </c>
      <c r="P693" s="85" t="s">
        <v>254</v>
      </c>
      <c r="Q693" s="85" t="s">
        <v>254</v>
      </c>
      <c r="R693" s="85"/>
      <c r="S693" s="86"/>
    </row>
    <row r="694" spans="1:19" ht="15">
      <c r="A694" s="70">
        <v>1</v>
      </c>
      <c r="B694" s="70"/>
      <c r="C694" s="72" t="s">
        <v>763</v>
      </c>
      <c r="D694" s="72" t="s">
        <v>764</v>
      </c>
      <c r="E694" s="85">
        <v>27130840.593092859</v>
      </c>
      <c r="F694" s="85" t="s">
        <v>254</v>
      </c>
      <c r="G694" s="85">
        <v>24139687.276008945</v>
      </c>
      <c r="H694" s="85" t="s">
        <v>254</v>
      </c>
      <c r="I694" s="85">
        <v>1268904.956239234</v>
      </c>
      <c r="J694" s="85">
        <v>1722248.3608446778</v>
      </c>
      <c r="K694" s="85" t="s">
        <v>254</v>
      </c>
      <c r="L694" s="85" t="s">
        <v>254</v>
      </c>
      <c r="M694" s="85">
        <v>229.66056978614324</v>
      </c>
      <c r="N694" s="85" t="s">
        <v>254</v>
      </c>
      <c r="O694" s="85">
        <v>1722018.7002748917</v>
      </c>
      <c r="P694" s="85">
        <v>542277.40722374734</v>
      </c>
      <c r="Q694" s="85">
        <v>1179741.2930511443</v>
      </c>
      <c r="R694" s="85"/>
      <c r="S694" s="86"/>
    </row>
    <row r="695" spans="1:19" ht="15">
      <c r="A695" s="70">
        <v>2</v>
      </c>
      <c r="B695" s="70"/>
      <c r="C695" s="72" t="s">
        <v>765</v>
      </c>
      <c r="D695" s="72" t="s">
        <v>515</v>
      </c>
      <c r="E695" s="85">
        <v>3080466.83</v>
      </c>
      <c r="F695" s="85" t="s">
        <v>254</v>
      </c>
      <c r="G695" s="85">
        <v>3080466.83</v>
      </c>
      <c r="H695" s="85" t="s">
        <v>254</v>
      </c>
      <c r="I695" s="85">
        <v>0</v>
      </c>
      <c r="J695" s="85">
        <v>0</v>
      </c>
      <c r="K695" s="85" t="s">
        <v>254</v>
      </c>
      <c r="L695" s="85" t="s">
        <v>254</v>
      </c>
      <c r="M695" s="85">
        <v>0</v>
      </c>
      <c r="N695" s="85" t="s">
        <v>254</v>
      </c>
      <c r="O695" s="85">
        <v>0</v>
      </c>
      <c r="P695" s="85">
        <v>0</v>
      </c>
      <c r="Q695" s="85">
        <v>0</v>
      </c>
      <c r="R695" s="85"/>
      <c r="S695" s="86"/>
    </row>
    <row r="696" spans="1:19" ht="15">
      <c r="A696" s="70">
        <v>3</v>
      </c>
      <c r="B696" s="70"/>
      <c r="C696" s="72" t="s">
        <v>766</v>
      </c>
      <c r="D696" s="72" t="s">
        <v>740</v>
      </c>
      <c r="E696" s="85">
        <v>0</v>
      </c>
      <c r="F696" s="85" t="s">
        <v>254</v>
      </c>
      <c r="G696" s="85">
        <v>0</v>
      </c>
      <c r="H696" s="85" t="s">
        <v>254</v>
      </c>
      <c r="I696" s="85">
        <v>0</v>
      </c>
      <c r="J696" s="85">
        <v>0</v>
      </c>
      <c r="K696" s="85" t="s">
        <v>254</v>
      </c>
      <c r="L696" s="85" t="s">
        <v>254</v>
      </c>
      <c r="M696" s="85">
        <v>0</v>
      </c>
      <c r="N696" s="85" t="s">
        <v>254</v>
      </c>
      <c r="O696" s="85">
        <v>0</v>
      </c>
      <c r="P696" s="85">
        <v>0</v>
      </c>
      <c r="Q696" s="85">
        <v>0</v>
      </c>
      <c r="R696" s="85"/>
      <c r="S696" s="86"/>
    </row>
    <row r="697" spans="1:19" ht="15">
      <c r="A697" s="70">
        <v>4</v>
      </c>
      <c r="B697" s="70"/>
      <c r="C697" s="72" t="s">
        <v>796</v>
      </c>
      <c r="D697" s="72" t="s">
        <v>422</v>
      </c>
      <c r="E697" s="85">
        <v>0</v>
      </c>
      <c r="F697" s="85" t="s">
        <v>254</v>
      </c>
      <c r="G697" s="85">
        <v>0</v>
      </c>
      <c r="H697" s="85" t="s">
        <v>254</v>
      </c>
      <c r="I697" s="85">
        <v>0</v>
      </c>
      <c r="J697" s="85">
        <v>0</v>
      </c>
      <c r="K697" s="85" t="s">
        <v>254</v>
      </c>
      <c r="L697" s="85" t="s">
        <v>254</v>
      </c>
      <c r="M697" s="85">
        <v>0</v>
      </c>
      <c r="N697" s="85" t="s">
        <v>254</v>
      </c>
      <c r="O697" s="85">
        <v>0</v>
      </c>
      <c r="P697" s="85">
        <v>0</v>
      </c>
      <c r="Q697" s="85">
        <v>0</v>
      </c>
      <c r="R697" s="85"/>
      <c r="S697" s="86"/>
    </row>
    <row r="698" spans="1:19" ht="15">
      <c r="A698" s="70">
        <v>5</v>
      </c>
      <c r="B698" s="70"/>
      <c r="C698" s="72" t="s">
        <v>2448</v>
      </c>
      <c r="D698" s="72" t="s">
        <v>422</v>
      </c>
      <c r="E698" s="85">
        <v>11160798.929999998</v>
      </c>
      <c r="F698" s="85" t="s">
        <v>254</v>
      </c>
      <c r="G698" s="85">
        <v>10085821.110092532</v>
      </c>
      <c r="H698" s="85" t="s">
        <v>254</v>
      </c>
      <c r="I698" s="85">
        <v>521707.99281613831</v>
      </c>
      <c r="J698" s="85">
        <v>553269.82709132752</v>
      </c>
      <c r="K698" s="85" t="s">
        <v>254</v>
      </c>
      <c r="L698" s="85" t="s">
        <v>254</v>
      </c>
      <c r="M698" s="85">
        <v>251.85071070198654</v>
      </c>
      <c r="N698" s="85" t="s">
        <v>254</v>
      </c>
      <c r="O698" s="85">
        <v>553017.97638062551</v>
      </c>
      <c r="P698" s="85">
        <v>176533.60511548124</v>
      </c>
      <c r="Q698" s="85">
        <v>376484.37126514432</v>
      </c>
      <c r="R698" s="85"/>
      <c r="S698" s="86"/>
    </row>
    <row r="699" spans="1:19" ht="15">
      <c r="A699" s="70">
        <v>6</v>
      </c>
      <c r="B699" s="70"/>
      <c r="C699" s="72" t="s">
        <v>767</v>
      </c>
      <c r="D699" s="72" t="s">
        <v>721</v>
      </c>
      <c r="E699" s="85">
        <v>56726.16</v>
      </c>
      <c r="F699" s="85" t="s">
        <v>254</v>
      </c>
      <c r="G699" s="85">
        <v>50331.939164890355</v>
      </c>
      <c r="H699" s="85" t="s">
        <v>254</v>
      </c>
      <c r="I699" s="85">
        <v>2816.5561576253772</v>
      </c>
      <c r="J699" s="85">
        <v>3577.6646774842766</v>
      </c>
      <c r="K699" s="85" t="s">
        <v>254</v>
      </c>
      <c r="L699" s="85" t="s">
        <v>254</v>
      </c>
      <c r="M699" s="85">
        <v>1.2537126352391821</v>
      </c>
      <c r="N699" s="85" t="s">
        <v>254</v>
      </c>
      <c r="O699" s="85">
        <v>3576.4109648490376</v>
      </c>
      <c r="P699" s="85">
        <v>1127.3819719114911</v>
      </c>
      <c r="Q699" s="85">
        <v>2449.0289929375467</v>
      </c>
      <c r="R699" s="85"/>
      <c r="S699" s="86"/>
    </row>
    <row r="700" spans="1:19" ht="15">
      <c r="A700" s="70">
        <v>7</v>
      </c>
      <c r="B700" s="70"/>
      <c r="C700" s="72" t="s">
        <v>768</v>
      </c>
      <c r="D700" s="72" t="s">
        <v>254</v>
      </c>
      <c r="E700" s="85">
        <v>41428832.513092861</v>
      </c>
      <c r="F700" s="85" t="s">
        <v>254</v>
      </c>
      <c r="G700" s="85">
        <v>37356307.155266374</v>
      </c>
      <c r="H700" s="85" t="s">
        <v>254</v>
      </c>
      <c r="I700" s="85">
        <v>1793429.5052129976</v>
      </c>
      <c r="J700" s="85">
        <v>2279095.8526134896</v>
      </c>
      <c r="K700" s="85" t="s">
        <v>254</v>
      </c>
      <c r="L700" s="85" t="s">
        <v>254</v>
      </c>
      <c r="M700" s="85">
        <v>482.76499312336898</v>
      </c>
      <c r="N700" s="85" t="s">
        <v>254</v>
      </c>
      <c r="O700" s="85">
        <v>2278613.0876203664</v>
      </c>
      <c r="P700" s="85">
        <v>719938.39431114006</v>
      </c>
      <c r="Q700" s="85">
        <v>1558674.6933092263</v>
      </c>
      <c r="R700" s="85"/>
      <c r="S700" s="86"/>
    </row>
    <row r="701" spans="1:19" ht="15">
      <c r="A701" s="70" t="s">
        <v>254</v>
      </c>
      <c r="B701" s="70"/>
      <c r="C701" s="72" t="s">
        <v>254</v>
      </c>
      <c r="D701" s="72" t="s">
        <v>254</v>
      </c>
      <c r="E701" s="85" t="s">
        <v>254</v>
      </c>
      <c r="F701" s="85" t="s">
        <v>254</v>
      </c>
      <c r="G701" s="85" t="s">
        <v>254</v>
      </c>
      <c r="H701" s="85" t="s">
        <v>254</v>
      </c>
      <c r="I701" s="85" t="s">
        <v>254</v>
      </c>
      <c r="J701" s="85" t="s">
        <v>254</v>
      </c>
      <c r="K701" s="85" t="s">
        <v>254</v>
      </c>
      <c r="L701" s="85" t="s">
        <v>254</v>
      </c>
      <c r="M701" s="85" t="s">
        <v>254</v>
      </c>
      <c r="N701" s="85" t="s">
        <v>254</v>
      </c>
      <c r="O701" s="85" t="s">
        <v>254</v>
      </c>
      <c r="P701" s="85" t="s">
        <v>254</v>
      </c>
      <c r="Q701" s="85" t="s">
        <v>254</v>
      </c>
      <c r="R701" s="85"/>
      <c r="S701" s="86"/>
    </row>
    <row r="702" spans="1:19" ht="15">
      <c r="A702" s="70">
        <v>8</v>
      </c>
      <c r="B702" s="70"/>
      <c r="C702" s="72" t="s">
        <v>769</v>
      </c>
      <c r="D702" s="72" t="s">
        <v>307</v>
      </c>
      <c r="E702" s="85">
        <v>-91.809999999999988</v>
      </c>
      <c r="F702" s="85" t="s">
        <v>254</v>
      </c>
      <c r="G702" s="85">
        <v>-80.405110026057329</v>
      </c>
      <c r="H702" s="85" t="s">
        <v>254</v>
      </c>
      <c r="I702" s="85">
        <v>-3.7158070330732822</v>
      </c>
      <c r="J702" s="85">
        <v>-7.6890829408693868</v>
      </c>
      <c r="K702" s="85" t="s">
        <v>254</v>
      </c>
      <c r="L702" s="85" t="s">
        <v>254</v>
      </c>
      <c r="M702" s="85">
        <v>-2.8253767178282611E-4</v>
      </c>
      <c r="N702" s="85" t="s">
        <v>254</v>
      </c>
      <c r="O702" s="85">
        <v>-7.6888004031976038</v>
      </c>
      <c r="P702" s="85">
        <v>-2.3862874906348597</v>
      </c>
      <c r="Q702" s="85">
        <v>-5.3025129125627446</v>
      </c>
      <c r="R702" s="85"/>
      <c r="S702" s="86"/>
    </row>
    <row r="703" spans="1:19" ht="15">
      <c r="A703" s="70">
        <v>9</v>
      </c>
      <c r="B703" s="70"/>
      <c r="C703" s="72" t="s">
        <v>770</v>
      </c>
      <c r="D703" s="72" t="s">
        <v>721</v>
      </c>
      <c r="E703" s="85">
        <v>11573.452019999995</v>
      </c>
      <c r="F703" s="85" t="s">
        <v>254</v>
      </c>
      <c r="G703" s="85">
        <v>0</v>
      </c>
      <c r="H703" s="85" t="s">
        <v>254</v>
      </c>
      <c r="I703" s="85">
        <v>574.6427671450499</v>
      </c>
      <c r="J703" s="85">
        <v>0</v>
      </c>
      <c r="K703" s="85" t="s">
        <v>254</v>
      </c>
      <c r="L703" s="85" t="s">
        <v>254</v>
      </c>
      <c r="M703" s="85">
        <v>0</v>
      </c>
      <c r="N703" s="85" t="s">
        <v>254</v>
      </c>
      <c r="O703" s="85">
        <v>0</v>
      </c>
      <c r="P703" s="85">
        <v>0</v>
      </c>
      <c r="Q703" s="85">
        <v>0</v>
      </c>
      <c r="R703" s="85"/>
      <c r="S703" s="86"/>
    </row>
    <row r="704" spans="1:19" ht="15">
      <c r="A704" s="70">
        <v>10</v>
      </c>
      <c r="B704" s="70"/>
      <c r="C704" s="72" t="s">
        <v>771</v>
      </c>
      <c r="D704" s="72" t="s">
        <v>422</v>
      </c>
      <c r="E704" s="85">
        <v>922076.16318999999</v>
      </c>
      <c r="F704" s="85" t="s">
        <v>254</v>
      </c>
      <c r="G704" s="85">
        <v>0</v>
      </c>
      <c r="H704" s="85" t="s">
        <v>254</v>
      </c>
      <c r="I704" s="85">
        <v>21835.179239609221</v>
      </c>
      <c r="J704" s="85">
        <v>0</v>
      </c>
      <c r="K704" s="85" t="s">
        <v>254</v>
      </c>
      <c r="L704" s="85" t="s">
        <v>254</v>
      </c>
      <c r="M704" s="85">
        <v>0</v>
      </c>
      <c r="N704" s="85" t="s">
        <v>254</v>
      </c>
      <c r="O704" s="85">
        <v>0</v>
      </c>
      <c r="P704" s="85">
        <v>0</v>
      </c>
      <c r="Q704" s="85">
        <v>0</v>
      </c>
      <c r="R704" s="85"/>
      <c r="S704" s="86"/>
    </row>
    <row r="705" spans="1:19" ht="15">
      <c r="A705" s="70" t="s">
        <v>254</v>
      </c>
      <c r="B705" s="70"/>
      <c r="C705" s="72" t="s">
        <v>254</v>
      </c>
      <c r="D705" s="72" t="s">
        <v>254</v>
      </c>
      <c r="E705" s="85" t="s">
        <v>254</v>
      </c>
      <c r="F705" s="85" t="s">
        <v>254</v>
      </c>
      <c r="G705" s="85" t="s">
        <v>254</v>
      </c>
      <c r="H705" s="85" t="s">
        <v>254</v>
      </c>
      <c r="I705" s="85" t="s">
        <v>254</v>
      </c>
      <c r="J705" s="85" t="s">
        <v>254</v>
      </c>
      <c r="K705" s="85" t="s">
        <v>254</v>
      </c>
      <c r="L705" s="85" t="s">
        <v>254</v>
      </c>
      <c r="M705" s="85" t="s">
        <v>254</v>
      </c>
      <c r="N705" s="85" t="s">
        <v>254</v>
      </c>
      <c r="O705" s="85" t="s">
        <v>254</v>
      </c>
      <c r="P705" s="85" t="s">
        <v>254</v>
      </c>
      <c r="Q705" s="85" t="s">
        <v>254</v>
      </c>
      <c r="R705" s="85"/>
      <c r="S705" s="86"/>
    </row>
    <row r="706" spans="1:19" ht="15">
      <c r="A706" s="70" t="s">
        <v>254</v>
      </c>
      <c r="B706" s="70"/>
      <c r="C706" s="72" t="s">
        <v>772</v>
      </c>
      <c r="D706" s="72" t="s">
        <v>254</v>
      </c>
      <c r="E706" s="85" t="s">
        <v>254</v>
      </c>
      <c r="F706" s="85" t="s">
        <v>254</v>
      </c>
      <c r="G706" s="85" t="s">
        <v>254</v>
      </c>
      <c r="H706" s="85" t="s">
        <v>254</v>
      </c>
      <c r="I706" s="85" t="s">
        <v>254</v>
      </c>
      <c r="J706" s="85" t="s">
        <v>254</v>
      </c>
      <c r="K706" s="85" t="s">
        <v>254</v>
      </c>
      <c r="L706" s="85" t="s">
        <v>254</v>
      </c>
      <c r="M706" s="85" t="s">
        <v>254</v>
      </c>
      <c r="N706" s="85" t="s">
        <v>254</v>
      </c>
      <c r="O706" s="85" t="s">
        <v>254</v>
      </c>
      <c r="P706" s="85" t="s">
        <v>254</v>
      </c>
      <c r="Q706" s="85" t="s">
        <v>254</v>
      </c>
      <c r="R706" s="85"/>
      <c r="S706" s="86"/>
    </row>
    <row r="707" spans="1:19" ht="15">
      <c r="A707" s="70">
        <v>11</v>
      </c>
      <c r="B707" s="70"/>
      <c r="C707" s="72" t="s">
        <v>531</v>
      </c>
      <c r="D707" s="72" t="s">
        <v>501</v>
      </c>
      <c r="E707" s="85">
        <v>0</v>
      </c>
      <c r="F707" s="85" t="s">
        <v>254</v>
      </c>
      <c r="G707" s="85">
        <v>0</v>
      </c>
      <c r="H707" s="85" t="s">
        <v>254</v>
      </c>
      <c r="I707" s="85">
        <v>0</v>
      </c>
      <c r="J707" s="85">
        <v>0</v>
      </c>
      <c r="K707" s="85" t="s">
        <v>254</v>
      </c>
      <c r="L707" s="85" t="s">
        <v>254</v>
      </c>
      <c r="M707" s="85">
        <v>0</v>
      </c>
      <c r="N707" s="85" t="s">
        <v>254</v>
      </c>
      <c r="O707" s="85">
        <v>0</v>
      </c>
      <c r="P707" s="85">
        <v>0</v>
      </c>
      <c r="Q707" s="85">
        <v>0</v>
      </c>
      <c r="R707" s="85"/>
      <c r="S707" s="86"/>
    </row>
    <row r="708" spans="1:19" ht="15">
      <c r="A708" s="70">
        <v>12</v>
      </c>
      <c r="B708" s="70"/>
      <c r="C708" s="72" t="s">
        <v>532</v>
      </c>
      <c r="D708" s="72" t="s">
        <v>503</v>
      </c>
      <c r="E708" s="85">
        <v>0</v>
      </c>
      <c r="F708" s="85" t="s">
        <v>254</v>
      </c>
      <c r="G708" s="85">
        <v>0</v>
      </c>
      <c r="H708" s="85" t="s">
        <v>254</v>
      </c>
      <c r="I708" s="85">
        <v>0</v>
      </c>
      <c r="J708" s="85">
        <v>0</v>
      </c>
      <c r="K708" s="85" t="s">
        <v>254</v>
      </c>
      <c r="L708" s="85" t="s">
        <v>254</v>
      </c>
      <c r="M708" s="85">
        <v>0</v>
      </c>
      <c r="N708" s="85" t="s">
        <v>254</v>
      </c>
      <c r="O708" s="85">
        <v>0</v>
      </c>
      <c r="P708" s="85">
        <v>0</v>
      </c>
      <c r="Q708" s="85">
        <v>0</v>
      </c>
      <c r="R708" s="85"/>
      <c r="S708" s="86"/>
    </row>
    <row r="709" spans="1:19" ht="15">
      <c r="A709" s="70">
        <v>13</v>
      </c>
      <c r="B709" s="70"/>
      <c r="C709" s="72" t="s">
        <v>773</v>
      </c>
      <c r="D709" s="72" t="s">
        <v>462</v>
      </c>
      <c r="E709" s="85">
        <v>0</v>
      </c>
      <c r="F709" s="85" t="s">
        <v>254</v>
      </c>
      <c r="G709" s="85">
        <v>0</v>
      </c>
      <c r="H709" s="85" t="s">
        <v>254</v>
      </c>
      <c r="I709" s="85">
        <v>0</v>
      </c>
      <c r="J709" s="85">
        <v>0</v>
      </c>
      <c r="K709" s="85" t="s">
        <v>254</v>
      </c>
      <c r="L709" s="85" t="s">
        <v>254</v>
      </c>
      <c r="M709" s="85">
        <v>0</v>
      </c>
      <c r="N709" s="85" t="s">
        <v>254</v>
      </c>
      <c r="O709" s="85">
        <v>0</v>
      </c>
      <c r="P709" s="85">
        <v>0</v>
      </c>
      <c r="Q709" s="85">
        <v>0</v>
      </c>
      <c r="R709" s="85"/>
      <c r="S709" s="86"/>
    </row>
    <row r="710" spans="1:19" ht="15">
      <c r="A710" s="70">
        <v>14</v>
      </c>
      <c r="B710" s="70"/>
      <c r="C710" s="72" t="s">
        <v>774</v>
      </c>
      <c r="D710" s="72" t="s">
        <v>775</v>
      </c>
      <c r="E710" s="85">
        <v>0</v>
      </c>
      <c r="F710" s="85" t="s">
        <v>254</v>
      </c>
      <c r="G710" s="85">
        <v>0</v>
      </c>
      <c r="H710" s="85" t="s">
        <v>254</v>
      </c>
      <c r="I710" s="85">
        <v>0</v>
      </c>
      <c r="J710" s="85">
        <v>0</v>
      </c>
      <c r="K710" s="85" t="s">
        <v>254</v>
      </c>
      <c r="L710" s="85" t="s">
        <v>254</v>
      </c>
      <c r="M710" s="85">
        <v>0</v>
      </c>
      <c r="N710" s="85" t="s">
        <v>254</v>
      </c>
      <c r="O710" s="85">
        <v>0</v>
      </c>
      <c r="P710" s="85">
        <v>0</v>
      </c>
      <c r="Q710" s="85">
        <v>0</v>
      </c>
      <c r="R710" s="85"/>
      <c r="S710" s="86"/>
    </row>
    <row r="711" spans="1:19" ht="15">
      <c r="A711" s="70">
        <v>15</v>
      </c>
      <c r="B711" s="70"/>
      <c r="C711" s="72" t="s">
        <v>536</v>
      </c>
      <c r="D711" s="72" t="s">
        <v>528</v>
      </c>
      <c r="E711" s="85">
        <v>0</v>
      </c>
      <c r="F711" s="85" t="s">
        <v>254</v>
      </c>
      <c r="G711" s="85">
        <v>0</v>
      </c>
      <c r="H711" s="85" t="s">
        <v>254</v>
      </c>
      <c r="I711" s="85">
        <v>0</v>
      </c>
      <c r="J711" s="85">
        <v>0</v>
      </c>
      <c r="K711" s="85" t="s">
        <v>254</v>
      </c>
      <c r="L711" s="85" t="s">
        <v>254</v>
      </c>
      <c r="M711" s="85">
        <v>0</v>
      </c>
      <c r="N711" s="85" t="s">
        <v>254</v>
      </c>
      <c r="O711" s="85">
        <v>0</v>
      </c>
      <c r="P711" s="85">
        <v>0</v>
      </c>
      <c r="Q711" s="85">
        <v>0</v>
      </c>
      <c r="R711" s="85"/>
      <c r="S711" s="86"/>
    </row>
    <row r="712" spans="1:19" ht="15">
      <c r="A712" s="70">
        <v>16</v>
      </c>
      <c r="B712" s="70"/>
      <c r="C712" s="72" t="s">
        <v>537</v>
      </c>
      <c r="D712" s="72" t="s">
        <v>471</v>
      </c>
      <c r="E712" s="85">
        <v>0</v>
      </c>
      <c r="F712" s="85" t="s">
        <v>254</v>
      </c>
      <c r="G712" s="85">
        <v>0</v>
      </c>
      <c r="H712" s="85" t="s">
        <v>254</v>
      </c>
      <c r="I712" s="85">
        <v>0</v>
      </c>
      <c r="J712" s="85">
        <v>0</v>
      </c>
      <c r="K712" s="85" t="s">
        <v>254</v>
      </c>
      <c r="L712" s="85" t="s">
        <v>254</v>
      </c>
      <c r="M712" s="85">
        <v>0</v>
      </c>
      <c r="N712" s="85" t="s">
        <v>254</v>
      </c>
      <c r="O712" s="85">
        <v>0</v>
      </c>
      <c r="P712" s="85">
        <v>0</v>
      </c>
      <c r="Q712" s="85">
        <v>0</v>
      </c>
      <c r="R712" s="85"/>
      <c r="S712" s="86"/>
    </row>
    <row r="713" spans="1:19" ht="15">
      <c r="A713" s="70">
        <v>17</v>
      </c>
      <c r="B713" s="70"/>
      <c r="C713" s="72" t="s">
        <v>776</v>
      </c>
      <c r="D713" s="72" t="s">
        <v>254</v>
      </c>
      <c r="E713" s="85">
        <v>0</v>
      </c>
      <c r="F713" s="85" t="s">
        <v>254</v>
      </c>
      <c r="G713" s="85">
        <v>0</v>
      </c>
      <c r="H713" s="85" t="s">
        <v>254</v>
      </c>
      <c r="I713" s="85">
        <v>0</v>
      </c>
      <c r="J713" s="85">
        <v>0</v>
      </c>
      <c r="K713" s="85" t="s">
        <v>254</v>
      </c>
      <c r="L713" s="85" t="s">
        <v>254</v>
      </c>
      <c r="M713" s="85">
        <v>0</v>
      </c>
      <c r="N713" s="85" t="s">
        <v>254</v>
      </c>
      <c r="O713" s="85">
        <v>0</v>
      </c>
      <c r="P713" s="85">
        <v>0</v>
      </c>
      <c r="Q713" s="85">
        <v>0</v>
      </c>
      <c r="R713" s="85"/>
      <c r="S713" s="86"/>
    </row>
    <row r="714" spans="1:19" ht="15">
      <c r="A714" s="70" t="s">
        <v>254</v>
      </c>
      <c r="B714" s="70"/>
      <c r="C714" s="72" t="s">
        <v>254</v>
      </c>
      <c r="D714" s="72" t="s">
        <v>254</v>
      </c>
      <c r="E714" s="85" t="s">
        <v>254</v>
      </c>
      <c r="F714" s="85" t="s">
        <v>254</v>
      </c>
      <c r="G714" s="85" t="s">
        <v>254</v>
      </c>
      <c r="H714" s="85" t="s">
        <v>254</v>
      </c>
      <c r="I714" s="85" t="s">
        <v>254</v>
      </c>
      <c r="J714" s="85" t="s">
        <v>254</v>
      </c>
      <c r="K714" s="85" t="s">
        <v>254</v>
      </c>
      <c r="L714" s="85" t="s">
        <v>254</v>
      </c>
      <c r="M714" s="85" t="s">
        <v>254</v>
      </c>
      <c r="N714" s="85" t="s">
        <v>254</v>
      </c>
      <c r="O714" s="85" t="s">
        <v>254</v>
      </c>
      <c r="P714" s="85" t="s">
        <v>254</v>
      </c>
      <c r="Q714" s="85" t="s">
        <v>254</v>
      </c>
      <c r="R714" s="85"/>
      <c r="S714" s="86"/>
    </row>
    <row r="715" spans="1:19" ht="15">
      <c r="A715" s="70">
        <v>18</v>
      </c>
      <c r="B715" s="70"/>
      <c r="C715" s="72" t="s">
        <v>777</v>
      </c>
      <c r="D715" s="72" t="s">
        <v>254</v>
      </c>
      <c r="E715" s="85">
        <v>1256646377.1730773</v>
      </c>
      <c r="F715" s="85" t="s">
        <v>254</v>
      </c>
      <c r="G715" s="85">
        <v>1118154498.9446857</v>
      </c>
      <c r="H715" s="85" t="s">
        <v>254</v>
      </c>
      <c r="I715" s="85">
        <v>54212081.793616116</v>
      </c>
      <c r="J715" s="85">
        <v>84279796.434775665</v>
      </c>
      <c r="K715" s="85" t="s">
        <v>254</v>
      </c>
      <c r="L715" s="85" t="s">
        <v>254</v>
      </c>
      <c r="M715" s="85">
        <v>18276.733794379841</v>
      </c>
      <c r="N715" s="85" t="s">
        <v>254</v>
      </c>
      <c r="O715" s="85">
        <v>84261519.700981289</v>
      </c>
      <c r="P715" s="85">
        <v>26639994.362445887</v>
      </c>
      <c r="Q715" s="85">
        <v>57621525.338535406</v>
      </c>
      <c r="R715" s="85"/>
      <c r="S715" s="86"/>
    </row>
    <row r="716" spans="1:19" ht="15">
      <c r="A716" s="70" t="s">
        <v>254</v>
      </c>
      <c r="B716" s="70"/>
      <c r="C716" s="72" t="s">
        <v>254</v>
      </c>
      <c r="D716" s="72" t="s">
        <v>254</v>
      </c>
      <c r="E716" s="85" t="s">
        <v>254</v>
      </c>
      <c r="F716" s="85" t="s">
        <v>254</v>
      </c>
      <c r="G716" s="85" t="s">
        <v>254</v>
      </c>
      <c r="H716" s="85" t="s">
        <v>254</v>
      </c>
      <c r="I716" s="85" t="s">
        <v>254</v>
      </c>
      <c r="J716" s="85" t="s">
        <v>254</v>
      </c>
      <c r="K716" s="85" t="s">
        <v>254</v>
      </c>
      <c r="L716" s="85" t="s">
        <v>254</v>
      </c>
      <c r="M716" s="85" t="s">
        <v>254</v>
      </c>
      <c r="N716" s="85" t="s">
        <v>254</v>
      </c>
      <c r="O716" s="85" t="s">
        <v>254</v>
      </c>
      <c r="P716" s="85" t="s">
        <v>254</v>
      </c>
      <c r="Q716" s="85" t="s">
        <v>254</v>
      </c>
      <c r="R716" s="85"/>
      <c r="S716" s="86"/>
    </row>
    <row r="717" spans="1:19" ht="15">
      <c r="A717" s="70" t="s">
        <v>254</v>
      </c>
      <c r="B717" s="70"/>
      <c r="C717" s="72" t="s">
        <v>254</v>
      </c>
      <c r="D717" s="72" t="s">
        <v>254</v>
      </c>
      <c r="E717" s="85" t="s">
        <v>254</v>
      </c>
      <c r="F717" s="85" t="s">
        <v>254</v>
      </c>
      <c r="G717" s="85" t="s">
        <v>254</v>
      </c>
      <c r="H717" s="85" t="s">
        <v>254</v>
      </c>
      <c r="I717" s="85" t="s">
        <v>254</v>
      </c>
      <c r="J717" s="85" t="s">
        <v>254</v>
      </c>
      <c r="K717" s="85" t="s">
        <v>254</v>
      </c>
      <c r="L717" s="85" t="s">
        <v>254</v>
      </c>
      <c r="M717" s="85" t="s">
        <v>254</v>
      </c>
      <c r="N717" s="85" t="s">
        <v>254</v>
      </c>
      <c r="O717" s="85" t="s">
        <v>254</v>
      </c>
      <c r="P717" s="85" t="s">
        <v>254</v>
      </c>
      <c r="Q717" s="85" t="s">
        <v>254</v>
      </c>
      <c r="R717" s="85"/>
      <c r="S717" s="86"/>
    </row>
    <row r="718" spans="1:19" ht="15">
      <c r="A718" s="70" t="s">
        <v>254</v>
      </c>
      <c r="B718" s="70"/>
      <c r="C718" s="72" t="s">
        <v>254</v>
      </c>
      <c r="D718" s="72" t="s">
        <v>254</v>
      </c>
      <c r="E718" s="85" t="s">
        <v>254</v>
      </c>
      <c r="F718" s="85" t="s">
        <v>254</v>
      </c>
      <c r="G718" s="85" t="s">
        <v>254</v>
      </c>
      <c r="H718" s="85" t="s">
        <v>254</v>
      </c>
      <c r="I718" s="85" t="s">
        <v>254</v>
      </c>
      <c r="J718" s="85" t="s">
        <v>254</v>
      </c>
      <c r="K718" s="85" t="s">
        <v>254</v>
      </c>
      <c r="L718" s="85" t="s">
        <v>254</v>
      </c>
      <c r="M718" s="85" t="s">
        <v>254</v>
      </c>
      <c r="N718" s="85" t="s">
        <v>254</v>
      </c>
      <c r="O718" s="85" t="s">
        <v>254</v>
      </c>
      <c r="P718" s="85" t="s">
        <v>254</v>
      </c>
      <c r="Q718" s="85" t="s">
        <v>254</v>
      </c>
      <c r="R718" s="85"/>
      <c r="S718" s="86"/>
    </row>
    <row r="719" spans="1:19" ht="15">
      <c r="A719" s="70" t="s">
        <v>254</v>
      </c>
      <c r="B719" s="70"/>
      <c r="C719" s="72" t="s">
        <v>254</v>
      </c>
      <c r="D719" s="72" t="s">
        <v>254</v>
      </c>
      <c r="E719" s="85" t="s">
        <v>254</v>
      </c>
      <c r="F719" s="85" t="s">
        <v>254</v>
      </c>
      <c r="G719" s="85" t="s">
        <v>254</v>
      </c>
      <c r="H719" s="85" t="s">
        <v>254</v>
      </c>
      <c r="I719" s="85" t="s">
        <v>254</v>
      </c>
      <c r="J719" s="85" t="s">
        <v>254</v>
      </c>
      <c r="K719" s="85" t="s">
        <v>254</v>
      </c>
      <c r="L719" s="85" t="s">
        <v>254</v>
      </c>
      <c r="M719" s="85" t="s">
        <v>254</v>
      </c>
      <c r="N719" s="85" t="s">
        <v>254</v>
      </c>
      <c r="O719" s="85" t="s">
        <v>254</v>
      </c>
      <c r="P719" s="85" t="s">
        <v>254</v>
      </c>
      <c r="Q719" s="85" t="s">
        <v>254</v>
      </c>
      <c r="R719" s="85"/>
      <c r="S719" s="86"/>
    </row>
    <row r="720" spans="1:19" ht="15">
      <c r="A720" s="70" t="s">
        <v>254</v>
      </c>
      <c r="B720" s="70"/>
      <c r="C720" s="72" t="s">
        <v>254</v>
      </c>
      <c r="D720" s="72" t="s">
        <v>254</v>
      </c>
      <c r="E720" s="85" t="s">
        <v>254</v>
      </c>
      <c r="F720" s="85" t="s">
        <v>254</v>
      </c>
      <c r="G720" s="85" t="s">
        <v>254</v>
      </c>
      <c r="H720" s="85" t="s">
        <v>254</v>
      </c>
      <c r="I720" s="85" t="s">
        <v>254</v>
      </c>
      <c r="J720" s="85" t="s">
        <v>254</v>
      </c>
      <c r="K720" s="85" t="s">
        <v>254</v>
      </c>
      <c r="L720" s="85" t="s">
        <v>254</v>
      </c>
      <c r="M720" s="85" t="s">
        <v>254</v>
      </c>
      <c r="N720" s="85" t="s">
        <v>254</v>
      </c>
      <c r="O720" s="85" t="s">
        <v>254</v>
      </c>
      <c r="P720" s="85" t="s">
        <v>254</v>
      </c>
      <c r="Q720" s="85" t="s">
        <v>254</v>
      </c>
      <c r="R720" s="85"/>
      <c r="S720" s="86"/>
    </row>
    <row r="721" spans="1:19" ht="15">
      <c r="A721" s="70" t="s">
        <v>254</v>
      </c>
      <c r="B721" s="70"/>
      <c r="C721" s="72" t="s">
        <v>254</v>
      </c>
      <c r="D721" s="72" t="s">
        <v>254</v>
      </c>
      <c r="E721" s="85" t="s">
        <v>254</v>
      </c>
      <c r="F721" s="85" t="s">
        <v>254</v>
      </c>
      <c r="G721" s="85" t="s">
        <v>254</v>
      </c>
      <c r="H721" s="85" t="s">
        <v>254</v>
      </c>
      <c r="I721" s="85" t="s">
        <v>254</v>
      </c>
      <c r="J721" s="85" t="s">
        <v>254</v>
      </c>
      <c r="K721" s="85" t="s">
        <v>254</v>
      </c>
      <c r="L721" s="85" t="s">
        <v>254</v>
      </c>
      <c r="M721" s="85" t="s">
        <v>254</v>
      </c>
      <c r="N721" s="85" t="s">
        <v>254</v>
      </c>
      <c r="O721" s="85" t="s">
        <v>254</v>
      </c>
      <c r="P721" s="85" t="s">
        <v>254</v>
      </c>
      <c r="Q721" s="85" t="s">
        <v>254</v>
      </c>
      <c r="R721" s="85"/>
      <c r="S721" s="86"/>
    </row>
    <row r="722" spans="1:19" ht="15">
      <c r="A722" s="70" t="s">
        <v>254</v>
      </c>
      <c r="B722" s="70"/>
      <c r="C722" s="72" t="s">
        <v>254</v>
      </c>
      <c r="D722" s="72" t="s">
        <v>254</v>
      </c>
      <c r="E722" s="85" t="s">
        <v>254</v>
      </c>
      <c r="F722" s="85" t="s">
        <v>254</v>
      </c>
      <c r="G722" s="85" t="s">
        <v>254</v>
      </c>
      <c r="H722" s="85" t="s">
        <v>254</v>
      </c>
      <c r="I722" s="85" t="s">
        <v>254</v>
      </c>
      <c r="J722" s="85" t="s">
        <v>254</v>
      </c>
      <c r="K722" s="85" t="s">
        <v>254</v>
      </c>
      <c r="L722" s="85" t="s">
        <v>254</v>
      </c>
      <c r="M722" s="85" t="s">
        <v>254</v>
      </c>
      <c r="N722" s="85" t="s">
        <v>254</v>
      </c>
      <c r="O722" s="85" t="s">
        <v>254</v>
      </c>
      <c r="P722" s="85" t="s">
        <v>254</v>
      </c>
      <c r="Q722" s="85" t="s">
        <v>254</v>
      </c>
      <c r="R722" s="85"/>
      <c r="S722" s="86"/>
    </row>
    <row r="723" spans="1:19" ht="15">
      <c r="A723" s="70" t="s">
        <v>254</v>
      </c>
      <c r="B723" s="70"/>
      <c r="C723" s="72" t="s">
        <v>254</v>
      </c>
      <c r="D723" s="72" t="s">
        <v>254</v>
      </c>
      <c r="E723" s="85" t="s">
        <v>254</v>
      </c>
      <c r="F723" s="85" t="s">
        <v>254</v>
      </c>
      <c r="G723" s="85" t="s">
        <v>254</v>
      </c>
      <c r="H723" s="85" t="s">
        <v>254</v>
      </c>
      <c r="I723" s="85" t="s">
        <v>254</v>
      </c>
      <c r="J723" s="85" t="s">
        <v>254</v>
      </c>
      <c r="K723" s="85" t="s">
        <v>254</v>
      </c>
      <c r="L723" s="85" t="s">
        <v>254</v>
      </c>
      <c r="M723" s="85" t="s">
        <v>254</v>
      </c>
      <c r="N723" s="85" t="s">
        <v>254</v>
      </c>
      <c r="O723" s="85" t="s">
        <v>254</v>
      </c>
      <c r="P723" s="85" t="s">
        <v>254</v>
      </c>
      <c r="Q723" s="85" t="s">
        <v>254</v>
      </c>
      <c r="R723" s="85"/>
      <c r="S723" s="86"/>
    </row>
    <row r="724" spans="1:19" ht="15">
      <c r="A724" s="70" t="s">
        <v>254</v>
      </c>
      <c r="B724" s="70"/>
      <c r="C724" s="72" t="s">
        <v>778</v>
      </c>
      <c r="D724" s="72" t="s">
        <v>254</v>
      </c>
      <c r="E724" s="85" t="s">
        <v>254</v>
      </c>
      <c r="F724" s="85" t="s">
        <v>254</v>
      </c>
      <c r="G724" s="85" t="s">
        <v>254</v>
      </c>
      <c r="H724" s="85" t="s">
        <v>254</v>
      </c>
      <c r="I724" s="85" t="s">
        <v>254</v>
      </c>
      <c r="J724" s="85" t="s">
        <v>254</v>
      </c>
      <c r="K724" s="85" t="s">
        <v>254</v>
      </c>
      <c r="L724" s="85" t="s">
        <v>254</v>
      </c>
      <c r="M724" s="85" t="s">
        <v>254</v>
      </c>
      <c r="N724" s="85" t="s">
        <v>254</v>
      </c>
      <c r="O724" s="85" t="s">
        <v>254</v>
      </c>
      <c r="P724" s="85" t="s">
        <v>254</v>
      </c>
      <c r="Q724" s="85" t="s">
        <v>254</v>
      </c>
      <c r="R724" s="85"/>
      <c r="S724" s="86"/>
    </row>
    <row r="725" spans="1:19" ht="15">
      <c r="A725" s="70" t="s">
        <v>254</v>
      </c>
      <c r="B725" s="70"/>
      <c r="C725" s="72" t="s">
        <v>254</v>
      </c>
      <c r="D725" s="72" t="s">
        <v>254</v>
      </c>
      <c r="E725" s="85" t="s">
        <v>254</v>
      </c>
      <c r="F725" s="85" t="s">
        <v>254</v>
      </c>
      <c r="G725" s="85" t="s">
        <v>254</v>
      </c>
      <c r="H725" s="85" t="s">
        <v>254</v>
      </c>
      <c r="I725" s="85" t="s">
        <v>254</v>
      </c>
      <c r="J725" s="85" t="s">
        <v>254</v>
      </c>
      <c r="K725" s="85" t="s">
        <v>254</v>
      </c>
      <c r="L725" s="85" t="s">
        <v>254</v>
      </c>
      <c r="M725" s="85" t="s">
        <v>254</v>
      </c>
      <c r="N725" s="85" t="s">
        <v>254</v>
      </c>
      <c r="O725" s="85" t="s">
        <v>254</v>
      </c>
      <c r="P725" s="85" t="s">
        <v>254</v>
      </c>
      <c r="Q725" s="85" t="s">
        <v>254</v>
      </c>
      <c r="R725" s="85"/>
      <c r="S725" s="86"/>
    </row>
    <row r="726" spans="1:19" ht="15">
      <c r="A726" s="70">
        <v>1</v>
      </c>
      <c r="B726" s="70"/>
      <c r="C726" s="72" t="s">
        <v>779</v>
      </c>
      <c r="D726" s="72" t="s">
        <v>254</v>
      </c>
      <c r="E726" s="85">
        <v>520301382</v>
      </c>
      <c r="F726" s="85" t="s">
        <v>254</v>
      </c>
      <c r="G726" s="85">
        <v>462907168.86200404</v>
      </c>
      <c r="H726" s="85" t="s">
        <v>254</v>
      </c>
      <c r="I726" s="85">
        <v>21076093.465014964</v>
      </c>
      <c r="J726" s="85">
        <v>36318119.47595685</v>
      </c>
      <c r="K726" s="85" t="s">
        <v>254</v>
      </c>
      <c r="L726" s="85" t="s">
        <v>254</v>
      </c>
      <c r="M726" s="85">
        <v>-15666.103976462118</v>
      </c>
      <c r="N726" s="85" t="s">
        <v>254</v>
      </c>
      <c r="O726" s="85">
        <v>36333785.579933316</v>
      </c>
      <c r="P726" s="85">
        <v>9182570.3052865602</v>
      </c>
      <c r="Q726" s="85">
        <v>27151215.274646752</v>
      </c>
      <c r="R726" s="85"/>
      <c r="S726" s="86"/>
    </row>
    <row r="727" spans="1:19" ht="15">
      <c r="A727" s="70" t="s">
        <v>254</v>
      </c>
      <c r="B727" s="70"/>
      <c r="C727" s="72" t="s">
        <v>254</v>
      </c>
      <c r="D727" s="72" t="s">
        <v>254</v>
      </c>
      <c r="E727" s="85" t="s">
        <v>254</v>
      </c>
      <c r="F727" s="85" t="s">
        <v>254</v>
      </c>
      <c r="G727" s="85" t="s">
        <v>254</v>
      </c>
      <c r="H727" s="85" t="s">
        <v>254</v>
      </c>
      <c r="I727" s="85" t="s">
        <v>254</v>
      </c>
      <c r="J727" s="85" t="s">
        <v>254</v>
      </c>
      <c r="K727" s="85" t="s">
        <v>254</v>
      </c>
      <c r="L727" s="85" t="s">
        <v>254</v>
      </c>
      <c r="M727" s="85" t="s">
        <v>254</v>
      </c>
      <c r="N727" s="85" t="s">
        <v>254</v>
      </c>
      <c r="O727" s="85" t="s">
        <v>254</v>
      </c>
      <c r="P727" s="85" t="s">
        <v>254</v>
      </c>
      <c r="Q727" s="85" t="s">
        <v>254</v>
      </c>
      <c r="R727" s="85"/>
      <c r="S727" s="86"/>
    </row>
    <row r="728" spans="1:19" ht="15">
      <c r="A728" s="70" t="s">
        <v>254</v>
      </c>
      <c r="B728" s="70"/>
      <c r="C728" s="72" t="s">
        <v>780</v>
      </c>
      <c r="D728" s="72" t="s">
        <v>254</v>
      </c>
      <c r="E728" s="85" t="s">
        <v>254</v>
      </c>
      <c r="F728" s="85" t="s">
        <v>254</v>
      </c>
      <c r="G728" s="85" t="s">
        <v>254</v>
      </c>
      <c r="H728" s="85" t="s">
        <v>254</v>
      </c>
      <c r="I728" s="85" t="s">
        <v>254</v>
      </c>
      <c r="J728" s="85" t="s">
        <v>254</v>
      </c>
      <c r="K728" s="85" t="s">
        <v>254</v>
      </c>
      <c r="L728" s="85" t="s">
        <v>254</v>
      </c>
      <c r="M728" s="85" t="s">
        <v>254</v>
      </c>
      <c r="N728" s="85" t="s">
        <v>254</v>
      </c>
      <c r="O728" s="85" t="s">
        <v>254</v>
      </c>
      <c r="P728" s="85" t="s">
        <v>254</v>
      </c>
      <c r="Q728" s="85" t="s">
        <v>254</v>
      </c>
      <c r="R728" s="85"/>
      <c r="S728" s="86"/>
    </row>
    <row r="729" spans="1:19" ht="15">
      <c r="A729" s="70" t="s">
        <v>254</v>
      </c>
      <c r="B729" s="70"/>
      <c r="C729" s="72" t="s">
        <v>781</v>
      </c>
      <c r="D729" s="72" t="s">
        <v>254</v>
      </c>
      <c r="E729" s="85" t="s">
        <v>254</v>
      </c>
      <c r="F729" s="85" t="s">
        <v>254</v>
      </c>
      <c r="G729" s="85" t="s">
        <v>254</v>
      </c>
      <c r="H729" s="85" t="s">
        <v>254</v>
      </c>
      <c r="I729" s="85" t="s">
        <v>254</v>
      </c>
      <c r="J729" s="85" t="s">
        <v>254</v>
      </c>
      <c r="K729" s="85" t="s">
        <v>254</v>
      </c>
      <c r="L729" s="85" t="s">
        <v>254</v>
      </c>
      <c r="M729" s="85" t="s">
        <v>254</v>
      </c>
      <c r="N729" s="85" t="s">
        <v>254</v>
      </c>
      <c r="O729" s="85" t="s">
        <v>254</v>
      </c>
      <c r="P729" s="85" t="s">
        <v>254</v>
      </c>
      <c r="Q729" s="85" t="s">
        <v>254</v>
      </c>
      <c r="R729" s="85"/>
      <c r="S729" s="86"/>
    </row>
    <row r="730" spans="1:19" ht="15">
      <c r="A730" s="70">
        <v>2</v>
      </c>
      <c r="B730" s="70"/>
      <c r="C730" s="72" t="s">
        <v>254</v>
      </c>
      <c r="D730" s="72" t="s">
        <v>254</v>
      </c>
      <c r="E730" s="85" t="s">
        <v>254</v>
      </c>
      <c r="F730" s="85" t="s">
        <v>254</v>
      </c>
      <c r="G730" s="85" t="s">
        <v>254</v>
      </c>
      <c r="H730" s="85" t="s">
        <v>254</v>
      </c>
      <c r="I730" s="85" t="s">
        <v>254</v>
      </c>
      <c r="J730" s="85" t="s">
        <v>254</v>
      </c>
      <c r="K730" s="85" t="s">
        <v>254</v>
      </c>
      <c r="L730" s="85" t="s">
        <v>254</v>
      </c>
      <c r="M730" s="85" t="s">
        <v>254</v>
      </c>
      <c r="N730" s="85" t="s">
        <v>254</v>
      </c>
      <c r="O730" s="85" t="s">
        <v>254</v>
      </c>
      <c r="P730" s="85" t="s">
        <v>254</v>
      </c>
      <c r="Q730" s="85" t="s">
        <v>254</v>
      </c>
      <c r="R730" s="85"/>
      <c r="S730" s="86"/>
    </row>
    <row r="731" spans="1:19" ht="15">
      <c r="A731" s="70">
        <v>3</v>
      </c>
      <c r="B731" s="70"/>
      <c r="C731" s="72" t="s">
        <v>254</v>
      </c>
      <c r="D731" s="72" t="s">
        <v>254</v>
      </c>
      <c r="E731" s="85" t="s">
        <v>254</v>
      </c>
      <c r="F731" s="85" t="s">
        <v>254</v>
      </c>
      <c r="G731" s="85" t="s">
        <v>254</v>
      </c>
      <c r="H731" s="85" t="s">
        <v>254</v>
      </c>
      <c r="I731" s="85" t="s">
        <v>254</v>
      </c>
      <c r="J731" s="85" t="s">
        <v>254</v>
      </c>
      <c r="K731" s="85" t="s">
        <v>254</v>
      </c>
      <c r="L731" s="85" t="s">
        <v>254</v>
      </c>
      <c r="M731" s="85" t="s">
        <v>254</v>
      </c>
      <c r="N731" s="85" t="s">
        <v>254</v>
      </c>
      <c r="O731" s="85" t="s">
        <v>254</v>
      </c>
      <c r="P731" s="85" t="s">
        <v>254</v>
      </c>
      <c r="Q731" s="85" t="s">
        <v>254</v>
      </c>
      <c r="R731" s="85"/>
      <c r="S731" s="86"/>
    </row>
    <row r="732" spans="1:19" ht="15">
      <c r="A732" s="70">
        <v>4</v>
      </c>
      <c r="B732" s="70"/>
      <c r="C732" s="72" t="s">
        <v>782</v>
      </c>
      <c r="D732" s="72" t="s">
        <v>254</v>
      </c>
      <c r="E732" s="85">
        <v>0</v>
      </c>
      <c r="F732" s="85" t="s">
        <v>254</v>
      </c>
      <c r="G732" s="85">
        <v>0</v>
      </c>
      <c r="H732" s="85" t="s">
        <v>254</v>
      </c>
      <c r="I732" s="85">
        <v>0</v>
      </c>
      <c r="J732" s="85">
        <v>0</v>
      </c>
      <c r="K732" s="85" t="s">
        <v>254</v>
      </c>
      <c r="L732" s="85" t="s">
        <v>254</v>
      </c>
      <c r="M732" s="85">
        <v>0</v>
      </c>
      <c r="N732" s="85" t="s">
        <v>254</v>
      </c>
      <c r="O732" s="85">
        <v>0</v>
      </c>
      <c r="P732" s="85">
        <v>0</v>
      </c>
      <c r="Q732" s="85">
        <v>0</v>
      </c>
      <c r="R732" s="85"/>
      <c r="S732" s="86"/>
    </row>
    <row r="733" spans="1:19" ht="15">
      <c r="A733" s="70" t="s">
        <v>254</v>
      </c>
      <c r="B733" s="70"/>
      <c r="C733" s="72" t="s">
        <v>254</v>
      </c>
      <c r="D733" s="72" t="s">
        <v>254</v>
      </c>
      <c r="E733" s="85" t="s">
        <v>254</v>
      </c>
      <c r="F733" s="85" t="s">
        <v>254</v>
      </c>
      <c r="G733" s="85" t="s">
        <v>254</v>
      </c>
      <c r="H733" s="85" t="s">
        <v>254</v>
      </c>
      <c r="I733" s="85" t="s">
        <v>254</v>
      </c>
      <c r="J733" s="85" t="s">
        <v>254</v>
      </c>
      <c r="K733" s="85" t="s">
        <v>254</v>
      </c>
      <c r="L733" s="85" t="s">
        <v>254</v>
      </c>
      <c r="M733" s="85" t="s">
        <v>254</v>
      </c>
      <c r="N733" s="85" t="s">
        <v>254</v>
      </c>
      <c r="O733" s="85" t="s">
        <v>254</v>
      </c>
      <c r="P733" s="85" t="s">
        <v>254</v>
      </c>
      <c r="Q733" s="85" t="s">
        <v>254</v>
      </c>
      <c r="R733" s="85"/>
      <c r="S733" s="86"/>
    </row>
    <row r="734" spans="1:19" ht="15">
      <c r="A734" s="70" t="s">
        <v>254</v>
      </c>
      <c r="B734" s="70"/>
      <c r="C734" s="72" t="s">
        <v>783</v>
      </c>
      <c r="D734" s="72" t="s">
        <v>254</v>
      </c>
      <c r="E734" s="85" t="s">
        <v>254</v>
      </c>
      <c r="F734" s="85" t="s">
        <v>254</v>
      </c>
      <c r="G734" s="85" t="s">
        <v>254</v>
      </c>
      <c r="H734" s="85" t="s">
        <v>254</v>
      </c>
      <c r="I734" s="85" t="s">
        <v>254</v>
      </c>
      <c r="J734" s="85" t="s">
        <v>254</v>
      </c>
      <c r="K734" s="85" t="s">
        <v>254</v>
      </c>
      <c r="L734" s="85" t="s">
        <v>254</v>
      </c>
      <c r="M734" s="85" t="s">
        <v>254</v>
      </c>
      <c r="N734" s="85" t="s">
        <v>254</v>
      </c>
      <c r="O734" s="85" t="s">
        <v>254</v>
      </c>
      <c r="P734" s="85" t="s">
        <v>254</v>
      </c>
      <c r="Q734" s="85" t="s">
        <v>254</v>
      </c>
      <c r="R734" s="85"/>
      <c r="S734" s="86"/>
    </row>
    <row r="735" spans="1:19" ht="15">
      <c r="A735" s="70" t="s">
        <v>254</v>
      </c>
      <c r="B735" s="70"/>
      <c r="C735" s="72" t="s">
        <v>784</v>
      </c>
      <c r="D735" s="72" t="s">
        <v>254</v>
      </c>
      <c r="E735" s="85" t="s">
        <v>254</v>
      </c>
      <c r="F735" s="85" t="s">
        <v>254</v>
      </c>
      <c r="G735" s="85" t="s">
        <v>254</v>
      </c>
      <c r="H735" s="85" t="s">
        <v>254</v>
      </c>
      <c r="I735" s="85" t="s">
        <v>254</v>
      </c>
      <c r="J735" s="85" t="s">
        <v>254</v>
      </c>
      <c r="K735" s="85" t="s">
        <v>254</v>
      </c>
      <c r="L735" s="85" t="s">
        <v>254</v>
      </c>
      <c r="M735" s="85" t="s">
        <v>254</v>
      </c>
      <c r="N735" s="85" t="s">
        <v>254</v>
      </c>
      <c r="O735" s="85" t="s">
        <v>254</v>
      </c>
      <c r="P735" s="85" t="s">
        <v>254</v>
      </c>
      <c r="Q735" s="85" t="s">
        <v>254</v>
      </c>
      <c r="R735" s="85"/>
      <c r="S735" s="86"/>
    </row>
    <row r="736" spans="1:19" ht="15">
      <c r="A736" s="70">
        <v>5</v>
      </c>
      <c r="B736" s="70"/>
      <c r="C736" s="72" t="s">
        <v>785</v>
      </c>
      <c r="D736" s="72" t="s">
        <v>786</v>
      </c>
      <c r="E736" s="85">
        <v>95609274.159999982</v>
      </c>
      <c r="F736" s="85" t="s">
        <v>254</v>
      </c>
      <c r="G736" s="85">
        <v>85298974.186050072</v>
      </c>
      <c r="H736" s="85" t="s">
        <v>254</v>
      </c>
      <c r="I736" s="85">
        <v>4221982.0711570559</v>
      </c>
      <c r="J736" s="85">
        <v>6088317.9027928505</v>
      </c>
      <c r="K736" s="85" t="s">
        <v>254</v>
      </c>
      <c r="L736" s="85" t="s">
        <v>254</v>
      </c>
      <c r="M736" s="85">
        <v>558.47657935802829</v>
      </c>
      <c r="N736" s="85" t="s">
        <v>254</v>
      </c>
      <c r="O736" s="85">
        <v>6087759.4262134926</v>
      </c>
      <c r="P736" s="85">
        <v>1917457.8201666612</v>
      </c>
      <c r="Q736" s="85">
        <v>4170301.6060468317</v>
      </c>
      <c r="R736" s="85"/>
      <c r="S736" s="86"/>
    </row>
    <row r="737" spans="1:19" ht="15">
      <c r="A737" s="70">
        <v>6</v>
      </c>
      <c r="B737" s="70"/>
      <c r="C737" s="72" t="s">
        <v>787</v>
      </c>
      <c r="D737" s="72" t="s">
        <v>788</v>
      </c>
      <c r="E737" s="85">
        <v>0</v>
      </c>
      <c r="F737" s="85" t="s">
        <v>254</v>
      </c>
      <c r="G737" s="85">
        <v>0</v>
      </c>
      <c r="H737" s="85" t="s">
        <v>254</v>
      </c>
      <c r="I737" s="85">
        <v>5510.4854841414872</v>
      </c>
      <c r="J737" s="85">
        <v>0</v>
      </c>
      <c r="K737" s="85" t="s">
        <v>254</v>
      </c>
      <c r="L737" s="85" t="s">
        <v>254</v>
      </c>
      <c r="M737" s="85">
        <v>0</v>
      </c>
      <c r="N737" s="85" t="s">
        <v>254</v>
      </c>
      <c r="O737" s="85">
        <v>0</v>
      </c>
      <c r="P737" s="85">
        <v>0</v>
      </c>
      <c r="Q737" s="85">
        <v>0</v>
      </c>
      <c r="R737" s="85"/>
      <c r="S737" s="86"/>
    </row>
    <row r="738" spans="1:19" ht="15">
      <c r="A738" s="70">
        <v>7</v>
      </c>
      <c r="B738" s="70"/>
      <c r="C738" s="72" t="s">
        <v>789</v>
      </c>
      <c r="D738" s="72" t="s">
        <v>790</v>
      </c>
      <c r="E738" s="85">
        <v>-93179.159999999989</v>
      </c>
      <c r="F738" s="85" t="s">
        <v>254</v>
      </c>
      <c r="G738" s="85">
        <v>0</v>
      </c>
      <c r="H738" s="85" t="s">
        <v>254</v>
      </c>
      <c r="I738" s="85">
        <v>0</v>
      </c>
      <c r="J738" s="85">
        <v>-93179.159999999989</v>
      </c>
      <c r="K738" s="85" t="s">
        <v>254</v>
      </c>
      <c r="L738" s="85" t="s">
        <v>254</v>
      </c>
      <c r="M738" s="85">
        <v>0</v>
      </c>
      <c r="N738" s="85" t="s">
        <v>254</v>
      </c>
      <c r="O738" s="85">
        <v>-93179.159999999989</v>
      </c>
      <c r="P738" s="85">
        <v>-28918.979845463622</v>
      </c>
      <c r="Q738" s="85">
        <v>-64260.180154536363</v>
      </c>
      <c r="R738" s="85"/>
      <c r="S738" s="86"/>
    </row>
    <row r="739" spans="1:19" ht="15">
      <c r="A739" s="70">
        <v>8</v>
      </c>
      <c r="B739" s="70"/>
      <c r="C739" s="72" t="s">
        <v>791</v>
      </c>
      <c r="D739" s="72" t="s">
        <v>254</v>
      </c>
      <c r="E739" s="85">
        <v>95516094.999999985</v>
      </c>
      <c r="F739" s="85" t="s">
        <v>254</v>
      </c>
      <c r="G739" s="85">
        <v>85298974.186050072</v>
      </c>
      <c r="H739" s="85" t="s">
        <v>254</v>
      </c>
      <c r="I739" s="85">
        <v>4227492.5566411978</v>
      </c>
      <c r="J739" s="85">
        <v>5995138.7427928513</v>
      </c>
      <c r="K739" s="85" t="s">
        <v>254</v>
      </c>
      <c r="L739" s="85" t="s">
        <v>254</v>
      </c>
      <c r="M739" s="85">
        <v>558.47657935802829</v>
      </c>
      <c r="N739" s="85" t="s">
        <v>254</v>
      </c>
      <c r="O739" s="85">
        <v>5994580.2662134934</v>
      </c>
      <c r="P739" s="85">
        <v>1888538.8403211976</v>
      </c>
      <c r="Q739" s="85">
        <v>4106041.4258922953</v>
      </c>
      <c r="R739" s="85"/>
      <c r="S739" s="86"/>
    </row>
    <row r="740" spans="1:19" ht="15">
      <c r="A740" s="70" t="s">
        <v>254</v>
      </c>
      <c r="B740" s="70"/>
      <c r="C740" s="72" t="s">
        <v>254</v>
      </c>
      <c r="D740" s="72" t="s">
        <v>254</v>
      </c>
      <c r="E740" s="85" t="s">
        <v>254</v>
      </c>
      <c r="F740" s="85" t="s">
        <v>254</v>
      </c>
      <c r="G740" s="85" t="s">
        <v>254</v>
      </c>
      <c r="H740" s="85" t="s">
        <v>254</v>
      </c>
      <c r="I740" s="85" t="s">
        <v>254</v>
      </c>
      <c r="J740" s="85" t="s">
        <v>254</v>
      </c>
      <c r="K740" s="85" t="s">
        <v>254</v>
      </c>
      <c r="L740" s="85" t="s">
        <v>254</v>
      </c>
      <c r="M740" s="85" t="s">
        <v>254</v>
      </c>
      <c r="N740" s="85" t="s">
        <v>254</v>
      </c>
      <c r="O740" s="85" t="s">
        <v>254</v>
      </c>
      <c r="P740" s="85" t="s">
        <v>254</v>
      </c>
      <c r="Q740" s="85" t="s">
        <v>254</v>
      </c>
      <c r="R740" s="85"/>
      <c r="S740" s="86"/>
    </row>
    <row r="741" spans="1:19" ht="15">
      <c r="A741" s="70" t="s">
        <v>254</v>
      </c>
      <c r="B741" s="70"/>
      <c r="C741" s="72" t="s">
        <v>792</v>
      </c>
      <c r="D741" s="72" t="s">
        <v>254</v>
      </c>
      <c r="E741" s="85" t="s">
        <v>254</v>
      </c>
      <c r="F741" s="85" t="s">
        <v>254</v>
      </c>
      <c r="G741" s="85" t="s">
        <v>254</v>
      </c>
      <c r="H741" s="85" t="s">
        <v>254</v>
      </c>
      <c r="I741" s="85" t="s">
        <v>254</v>
      </c>
      <c r="J741" s="85" t="s">
        <v>254</v>
      </c>
      <c r="K741" s="85" t="s">
        <v>254</v>
      </c>
      <c r="L741" s="85" t="s">
        <v>254</v>
      </c>
      <c r="M741" s="85" t="s">
        <v>254</v>
      </c>
      <c r="N741" s="85" t="s">
        <v>254</v>
      </c>
      <c r="O741" s="85" t="s">
        <v>254</v>
      </c>
      <c r="P741" s="85" t="s">
        <v>254</v>
      </c>
      <c r="Q741" s="85" t="s">
        <v>254</v>
      </c>
      <c r="R741" s="85"/>
      <c r="S741" s="86"/>
    </row>
    <row r="742" spans="1:19" ht="15">
      <c r="A742" s="70">
        <v>9</v>
      </c>
      <c r="B742" s="70"/>
      <c r="C742" s="72" t="s">
        <v>793</v>
      </c>
      <c r="D742" s="72" t="s">
        <v>933</v>
      </c>
      <c r="E742" s="85">
        <v>-5247214</v>
      </c>
      <c r="F742" s="85" t="s">
        <v>254</v>
      </c>
      <c r="G742" s="85">
        <v>-4789223.952124333</v>
      </c>
      <c r="H742" s="85" t="s">
        <v>254</v>
      </c>
      <c r="I742" s="85">
        <v>0</v>
      </c>
      <c r="J742" s="85">
        <v>-457990.04787566705</v>
      </c>
      <c r="K742" s="85" t="s">
        <v>254</v>
      </c>
      <c r="L742" s="85" t="s">
        <v>254</v>
      </c>
      <c r="M742" s="85">
        <v>-16.828982444539104</v>
      </c>
      <c r="N742" s="85" t="s">
        <v>254</v>
      </c>
      <c r="O742" s="85">
        <v>-457973.21889322251</v>
      </c>
      <c r="P742" s="85">
        <v>-142136.05581908234</v>
      </c>
      <c r="Q742" s="85">
        <v>-315837.1630741402</v>
      </c>
      <c r="R742" s="85"/>
      <c r="S742" s="86"/>
    </row>
    <row r="743" spans="1:19" ht="15">
      <c r="A743" s="70">
        <v>10</v>
      </c>
      <c r="B743" s="70"/>
      <c r="C743" s="72" t="s">
        <v>2449</v>
      </c>
      <c r="D743" s="72" t="s">
        <v>447</v>
      </c>
      <c r="E743" s="85">
        <v>0</v>
      </c>
      <c r="F743" s="85" t="s">
        <v>254</v>
      </c>
      <c r="G743" s="85">
        <v>0</v>
      </c>
      <c r="H743" s="85" t="s">
        <v>254</v>
      </c>
      <c r="I743" s="85">
        <v>0</v>
      </c>
      <c r="J743" s="85">
        <v>0</v>
      </c>
      <c r="K743" s="85" t="s">
        <v>254</v>
      </c>
      <c r="L743" s="85" t="s">
        <v>254</v>
      </c>
      <c r="M743" s="85">
        <v>0</v>
      </c>
      <c r="N743" s="85" t="s">
        <v>254</v>
      </c>
      <c r="O743" s="85">
        <v>0</v>
      </c>
      <c r="P743" s="85">
        <v>0</v>
      </c>
      <c r="Q743" s="85">
        <v>0</v>
      </c>
      <c r="R743" s="85"/>
      <c r="S743" s="86"/>
    </row>
    <row r="744" spans="1:19" ht="15">
      <c r="A744" s="70">
        <v>11</v>
      </c>
      <c r="B744" s="70"/>
      <c r="C744" s="72" t="s">
        <v>794</v>
      </c>
      <c r="D744" s="72" t="s">
        <v>315</v>
      </c>
      <c r="E744" s="85">
        <v>234744.32571230852</v>
      </c>
      <c r="F744" s="85" t="s">
        <v>254</v>
      </c>
      <c r="G744" s="85">
        <v>0</v>
      </c>
      <c r="H744" s="85" t="s">
        <v>254</v>
      </c>
      <c r="I744" s="85">
        <v>76483.528374831731</v>
      </c>
      <c r="J744" s="85">
        <v>158260.7973374768</v>
      </c>
      <c r="K744" s="85" t="s">
        <v>254</v>
      </c>
      <c r="L744" s="85" t="s">
        <v>254</v>
      </c>
      <c r="M744" s="85">
        <v>0</v>
      </c>
      <c r="N744" s="85" t="s">
        <v>254</v>
      </c>
      <c r="O744" s="85">
        <v>158260.7973374768</v>
      </c>
      <c r="P744" s="85">
        <v>49117.643993887628</v>
      </c>
      <c r="Q744" s="85">
        <v>109143.15334358916</v>
      </c>
      <c r="R744" s="85"/>
      <c r="S744" s="86"/>
    </row>
    <row r="745" spans="1:19" ht="15">
      <c r="A745" s="70">
        <v>12</v>
      </c>
      <c r="B745" s="70"/>
      <c r="C745" s="72" t="s">
        <v>795</v>
      </c>
      <c r="D745" s="72" t="s">
        <v>317</v>
      </c>
      <c r="E745" s="85">
        <v>665255.67428769148</v>
      </c>
      <c r="F745" s="85" t="s">
        <v>254</v>
      </c>
      <c r="G745" s="85">
        <v>0</v>
      </c>
      <c r="H745" s="85" t="s">
        <v>254</v>
      </c>
      <c r="I745" s="85">
        <v>0</v>
      </c>
      <c r="J745" s="85">
        <v>665255.67428769148</v>
      </c>
      <c r="K745" s="85" t="s">
        <v>254</v>
      </c>
      <c r="L745" s="85" t="s">
        <v>254</v>
      </c>
      <c r="M745" s="85">
        <v>0</v>
      </c>
      <c r="N745" s="85" t="s">
        <v>254</v>
      </c>
      <c r="O745" s="85">
        <v>665255.67428769148</v>
      </c>
      <c r="P745" s="85">
        <v>206468.00676037499</v>
      </c>
      <c r="Q745" s="85">
        <v>458787.66752731643</v>
      </c>
      <c r="R745" s="85"/>
      <c r="S745" s="86"/>
    </row>
    <row r="746" spans="1:19" ht="15">
      <c r="A746" s="70">
        <v>13</v>
      </c>
      <c r="B746" s="70"/>
      <c r="C746" s="72" t="s">
        <v>796</v>
      </c>
      <c r="D746" s="72" t="s">
        <v>786</v>
      </c>
      <c r="E746" s="85">
        <v>0</v>
      </c>
      <c r="F746" s="85" t="s">
        <v>254</v>
      </c>
      <c r="G746" s="85">
        <v>0</v>
      </c>
      <c r="H746" s="85" t="s">
        <v>254</v>
      </c>
      <c r="I746" s="85">
        <v>-98640.474952858509</v>
      </c>
      <c r="J746" s="85">
        <v>0</v>
      </c>
      <c r="K746" s="85" t="s">
        <v>254</v>
      </c>
      <c r="L746" s="85" t="s">
        <v>254</v>
      </c>
      <c r="M746" s="85">
        <v>0</v>
      </c>
      <c r="N746" s="85" t="s">
        <v>254</v>
      </c>
      <c r="O746" s="85">
        <v>0</v>
      </c>
      <c r="P746" s="85">
        <v>0</v>
      </c>
      <c r="Q746" s="85">
        <v>0</v>
      </c>
      <c r="R746" s="85"/>
      <c r="S746" s="86"/>
    </row>
    <row r="747" spans="1:19" ht="15">
      <c r="A747" s="70" t="s">
        <v>254</v>
      </c>
      <c r="B747" s="70"/>
      <c r="C747" s="72" t="s">
        <v>254</v>
      </c>
      <c r="D747" s="72" t="s">
        <v>254</v>
      </c>
      <c r="E747" s="85" t="s">
        <v>254</v>
      </c>
      <c r="F747" s="85" t="s">
        <v>254</v>
      </c>
      <c r="G747" s="85" t="s">
        <v>254</v>
      </c>
      <c r="H747" s="85" t="s">
        <v>254</v>
      </c>
      <c r="I747" s="85" t="s">
        <v>254</v>
      </c>
      <c r="J747" s="85" t="s">
        <v>254</v>
      </c>
      <c r="K747" s="85" t="s">
        <v>254</v>
      </c>
      <c r="L747" s="85" t="s">
        <v>254</v>
      </c>
      <c r="M747" s="85" t="s">
        <v>254</v>
      </c>
      <c r="N747" s="85" t="s">
        <v>254</v>
      </c>
      <c r="O747" s="85" t="s">
        <v>254</v>
      </c>
      <c r="P747" s="85" t="s">
        <v>254</v>
      </c>
      <c r="Q747" s="85" t="s">
        <v>254</v>
      </c>
      <c r="R747" s="85"/>
      <c r="S747" s="86"/>
    </row>
    <row r="748" spans="1:19" ht="15">
      <c r="A748" s="70">
        <v>14</v>
      </c>
      <c r="B748" s="70"/>
      <c r="C748" s="72" t="s">
        <v>797</v>
      </c>
      <c r="D748" s="72" t="s">
        <v>254</v>
      </c>
      <c r="E748" s="85">
        <v>420438073</v>
      </c>
      <c r="F748" s="85" t="s">
        <v>254</v>
      </c>
      <c r="G748" s="85">
        <v>372818971</v>
      </c>
      <c r="H748" s="85" t="s">
        <v>254</v>
      </c>
      <c r="I748" s="85">
        <v>16826444</v>
      </c>
      <c r="J748" s="85">
        <v>30688508</v>
      </c>
      <c r="K748" s="85" t="s">
        <v>254</v>
      </c>
      <c r="L748" s="85" t="s">
        <v>254</v>
      </c>
      <c r="M748" s="85">
        <v>-16241</v>
      </c>
      <c r="N748" s="85" t="s">
        <v>254</v>
      </c>
      <c r="O748" s="85">
        <v>30704749</v>
      </c>
      <c r="P748" s="85">
        <v>7407481</v>
      </c>
      <c r="Q748" s="85">
        <v>23297268</v>
      </c>
      <c r="R748" s="85"/>
      <c r="S748" s="86"/>
    </row>
    <row r="749" spans="1:19" ht="15">
      <c r="A749" s="70">
        <v>15</v>
      </c>
      <c r="B749" s="70"/>
      <c r="C749" s="72" t="s">
        <v>2450</v>
      </c>
      <c r="D749" s="72" t="s">
        <v>254</v>
      </c>
      <c r="E749" s="85">
        <v>425685287</v>
      </c>
      <c r="F749" s="85" t="s">
        <v>254</v>
      </c>
      <c r="G749" s="85">
        <v>377608195</v>
      </c>
      <c r="H749" s="85" t="s">
        <v>254</v>
      </c>
      <c r="I749" s="85">
        <v>14569965.258997397</v>
      </c>
      <c r="J749" s="85">
        <v>31146497</v>
      </c>
      <c r="K749" s="85" t="s">
        <v>254</v>
      </c>
      <c r="L749" s="85" t="s">
        <v>254</v>
      </c>
      <c r="M749" s="85">
        <v>-16225</v>
      </c>
      <c r="N749" s="85" t="s">
        <v>254</v>
      </c>
      <c r="O749" s="85">
        <v>31162722</v>
      </c>
      <c r="P749" s="85">
        <v>7549617</v>
      </c>
      <c r="Q749" s="85">
        <v>23613105</v>
      </c>
      <c r="R749" s="85"/>
      <c r="S749" s="86"/>
    </row>
    <row r="750" spans="1:19" ht="15">
      <c r="A750" s="70" t="s">
        <v>254</v>
      </c>
      <c r="B750" s="70"/>
      <c r="C750" s="72" t="s">
        <v>254</v>
      </c>
      <c r="D750" s="72" t="s">
        <v>254</v>
      </c>
      <c r="E750" s="85" t="s">
        <v>254</v>
      </c>
      <c r="F750" s="85" t="s">
        <v>254</v>
      </c>
      <c r="G750" s="85" t="s">
        <v>254</v>
      </c>
      <c r="H750" s="85" t="s">
        <v>254</v>
      </c>
      <c r="I750" s="85" t="s">
        <v>254</v>
      </c>
      <c r="J750" s="85" t="s">
        <v>254</v>
      </c>
      <c r="K750" s="85" t="s">
        <v>254</v>
      </c>
      <c r="L750" s="85" t="s">
        <v>254</v>
      </c>
      <c r="M750" s="85" t="s">
        <v>254</v>
      </c>
      <c r="N750" s="85" t="s">
        <v>254</v>
      </c>
      <c r="O750" s="85" t="s">
        <v>254</v>
      </c>
      <c r="P750" s="85" t="s">
        <v>254</v>
      </c>
      <c r="Q750" s="85" t="s">
        <v>254</v>
      </c>
      <c r="R750" s="85"/>
      <c r="S750" s="86"/>
    </row>
    <row r="751" spans="1:19" ht="15">
      <c r="A751" s="70">
        <v>16</v>
      </c>
      <c r="B751" s="70"/>
      <c r="C751" s="72" t="s">
        <v>798</v>
      </c>
      <c r="D751" s="72" t="s">
        <v>254</v>
      </c>
      <c r="E751" s="85">
        <v>25226284.379999999</v>
      </c>
      <c r="F751" s="85" t="s">
        <v>254</v>
      </c>
      <c r="G751" s="85">
        <v>22369138.259999998</v>
      </c>
      <c r="H751" s="85" t="s">
        <v>254</v>
      </c>
      <c r="I751" s="85">
        <v>874197.91553984385</v>
      </c>
      <c r="J751" s="85">
        <v>1841310.48</v>
      </c>
      <c r="K751" s="85" t="s">
        <v>254</v>
      </c>
      <c r="L751" s="85" t="s">
        <v>254</v>
      </c>
      <c r="M751" s="85">
        <v>-974.45999999999992</v>
      </c>
      <c r="N751" s="85" t="s">
        <v>254</v>
      </c>
      <c r="O751" s="85">
        <v>1842284.94</v>
      </c>
      <c r="P751" s="85">
        <v>444448.86</v>
      </c>
      <c r="Q751" s="85">
        <v>1397836.0799999998</v>
      </c>
      <c r="R751" s="85"/>
      <c r="S751" s="86"/>
    </row>
    <row r="752" spans="1:19" ht="15">
      <c r="A752" s="70">
        <v>17</v>
      </c>
      <c r="B752" s="70"/>
      <c r="C752" s="72" t="s">
        <v>799</v>
      </c>
      <c r="D752" s="72" t="s">
        <v>786</v>
      </c>
      <c r="E752" s="85">
        <v>122047</v>
      </c>
      <c r="F752" s="85" t="s">
        <v>254</v>
      </c>
      <c r="G752" s="85">
        <v>108886</v>
      </c>
      <c r="H752" s="85" t="s">
        <v>254</v>
      </c>
      <c r="I752" s="85">
        <v>5389</v>
      </c>
      <c r="J752" s="85">
        <v>7772</v>
      </c>
      <c r="K752" s="85" t="s">
        <v>254</v>
      </c>
      <c r="L752" s="85" t="s">
        <v>254</v>
      </c>
      <c r="M752" s="85">
        <v>1</v>
      </c>
      <c r="N752" s="85" t="s">
        <v>254</v>
      </c>
      <c r="O752" s="85">
        <v>7771</v>
      </c>
      <c r="P752" s="85">
        <v>2448</v>
      </c>
      <c r="Q752" s="85">
        <v>5323</v>
      </c>
      <c r="R752" s="85"/>
      <c r="S752" s="86"/>
    </row>
    <row r="753" spans="1:19" ht="15">
      <c r="A753" s="70">
        <v>18</v>
      </c>
      <c r="B753" s="70"/>
      <c r="C753" s="72" t="s">
        <v>800</v>
      </c>
      <c r="D753" s="72" t="s">
        <v>379</v>
      </c>
      <c r="E753" s="85">
        <v>-1559250</v>
      </c>
      <c r="F753" s="85" t="s">
        <v>254</v>
      </c>
      <c r="G753" s="85">
        <v>-1423159</v>
      </c>
      <c r="H753" s="85" t="s">
        <v>254</v>
      </c>
      <c r="I753" s="85">
        <v>0</v>
      </c>
      <c r="J753" s="85">
        <v>-136091</v>
      </c>
      <c r="K753" s="85" t="s">
        <v>254</v>
      </c>
      <c r="L753" s="85" t="s">
        <v>254</v>
      </c>
      <c r="M753" s="85">
        <v>0</v>
      </c>
      <c r="N753" s="85" t="s">
        <v>254</v>
      </c>
      <c r="O753" s="85">
        <v>-136091</v>
      </c>
      <c r="P753" s="85">
        <v>-42237</v>
      </c>
      <c r="Q753" s="85">
        <v>-93854</v>
      </c>
      <c r="R753" s="85"/>
      <c r="S753" s="86"/>
    </row>
    <row r="754" spans="1:19" ht="15">
      <c r="A754" s="70">
        <v>19</v>
      </c>
      <c r="B754" s="70"/>
      <c r="C754" s="72" t="s">
        <v>801</v>
      </c>
      <c r="D754" s="72" t="s">
        <v>802</v>
      </c>
      <c r="E754" s="85">
        <v>-466673</v>
      </c>
      <c r="F754" s="85" t="s">
        <v>254</v>
      </c>
      <c r="G754" s="85">
        <v>-435703</v>
      </c>
      <c r="H754" s="85" t="s">
        <v>254</v>
      </c>
      <c r="I754" s="85">
        <v>0</v>
      </c>
      <c r="J754" s="85">
        <v>-30970</v>
      </c>
      <c r="K754" s="85" t="s">
        <v>254</v>
      </c>
      <c r="L754" s="85" t="s">
        <v>254</v>
      </c>
      <c r="M754" s="85">
        <v>-11</v>
      </c>
      <c r="N754" s="85" t="s">
        <v>254</v>
      </c>
      <c r="O754" s="85">
        <v>-30959</v>
      </c>
      <c r="P754" s="85">
        <v>-9759</v>
      </c>
      <c r="Q754" s="85">
        <v>-21200</v>
      </c>
      <c r="R754" s="85"/>
      <c r="S754" s="86"/>
    </row>
    <row r="755" spans="1:19" ht="15">
      <c r="A755" s="70">
        <v>20</v>
      </c>
      <c r="B755" s="70"/>
      <c r="C755" s="72" t="s">
        <v>803</v>
      </c>
      <c r="D755" s="72" t="s">
        <v>254</v>
      </c>
      <c r="E755" s="85">
        <v>23322408.379999999</v>
      </c>
      <c r="F755" s="85" t="s">
        <v>254</v>
      </c>
      <c r="G755" s="85">
        <v>20619162.259999998</v>
      </c>
      <c r="H755" s="85" t="s">
        <v>254</v>
      </c>
      <c r="I755" s="85">
        <v>879586.91553984385</v>
      </c>
      <c r="J755" s="85">
        <v>1682021.48</v>
      </c>
      <c r="K755" s="85" t="s">
        <v>254</v>
      </c>
      <c r="L755" s="85" t="s">
        <v>254</v>
      </c>
      <c r="M755" s="85">
        <v>-984.45999999999992</v>
      </c>
      <c r="N755" s="85" t="s">
        <v>254</v>
      </c>
      <c r="O755" s="85">
        <v>1683005.94</v>
      </c>
      <c r="P755" s="85">
        <v>394900.86</v>
      </c>
      <c r="Q755" s="85">
        <v>1288105.0799999998</v>
      </c>
      <c r="R755" s="85"/>
      <c r="S755" s="86"/>
    </row>
    <row r="756" spans="1:19" ht="15">
      <c r="A756" s="70">
        <v>21</v>
      </c>
      <c r="B756" s="70"/>
      <c r="C756" s="72" t="s">
        <v>804</v>
      </c>
      <c r="D756" s="72" t="s">
        <v>933</v>
      </c>
      <c r="E756" s="85">
        <v>0</v>
      </c>
      <c r="F756" s="85" t="s">
        <v>254</v>
      </c>
      <c r="G756" s="85">
        <v>0</v>
      </c>
      <c r="H756" s="85" t="s">
        <v>254</v>
      </c>
      <c r="I756" s="85">
        <v>0</v>
      </c>
      <c r="J756" s="85">
        <v>0</v>
      </c>
      <c r="K756" s="85" t="s">
        <v>254</v>
      </c>
      <c r="L756" s="85" t="s">
        <v>254</v>
      </c>
      <c r="M756" s="85">
        <v>0</v>
      </c>
      <c r="N756" s="85" t="s">
        <v>254</v>
      </c>
      <c r="O756" s="85">
        <v>0</v>
      </c>
      <c r="P756" s="85">
        <v>0</v>
      </c>
      <c r="Q756" s="85">
        <v>0</v>
      </c>
      <c r="R756" s="85"/>
      <c r="S756" s="86"/>
    </row>
    <row r="757" spans="1:19" ht="15">
      <c r="A757" s="70">
        <v>22</v>
      </c>
      <c r="B757" s="70"/>
      <c r="C757" s="72" t="s">
        <v>805</v>
      </c>
      <c r="D757" s="72" t="s">
        <v>786</v>
      </c>
      <c r="E757" s="85">
        <v>0</v>
      </c>
      <c r="F757" s="85" t="s">
        <v>254</v>
      </c>
      <c r="G757" s="85">
        <v>0</v>
      </c>
      <c r="H757" s="85" t="s">
        <v>254</v>
      </c>
      <c r="I757" s="85">
        <v>98640.474952858509</v>
      </c>
      <c r="J757" s="85">
        <v>0</v>
      </c>
      <c r="K757" s="85" t="s">
        <v>254</v>
      </c>
      <c r="L757" s="85" t="s">
        <v>254</v>
      </c>
      <c r="M757" s="85">
        <v>0</v>
      </c>
      <c r="N757" s="85" t="s">
        <v>254</v>
      </c>
      <c r="O757" s="85">
        <v>0</v>
      </c>
      <c r="P757" s="85">
        <v>0</v>
      </c>
      <c r="Q757" s="85">
        <v>0</v>
      </c>
      <c r="R757" s="85"/>
      <c r="S757" s="86"/>
    </row>
    <row r="758" spans="1:19" ht="15">
      <c r="A758" s="70">
        <v>23</v>
      </c>
      <c r="B758" s="70"/>
      <c r="C758" s="72" t="s">
        <v>2451</v>
      </c>
      <c r="D758" s="72" t="s">
        <v>254</v>
      </c>
      <c r="E758" s="85">
        <v>402362878.62</v>
      </c>
      <c r="F758" s="85" t="s">
        <v>254</v>
      </c>
      <c r="G758" s="85">
        <v>356989032.74000001</v>
      </c>
      <c r="H758" s="85" t="s">
        <v>254</v>
      </c>
      <c r="I758" s="85">
        <v>16045497.559413014</v>
      </c>
      <c r="J758" s="85">
        <v>29464475.520000003</v>
      </c>
      <c r="K758" s="85" t="s">
        <v>254</v>
      </c>
      <c r="L758" s="85" t="s">
        <v>254</v>
      </c>
      <c r="M758" s="85">
        <v>-15240.54</v>
      </c>
      <c r="N758" s="85" t="s">
        <v>254</v>
      </c>
      <c r="O758" s="85">
        <v>29479716.060000002</v>
      </c>
      <c r="P758" s="85">
        <v>7154716.1399999997</v>
      </c>
      <c r="Q758" s="85">
        <v>22324999.920000002</v>
      </c>
      <c r="R758" s="85"/>
      <c r="S758" s="86"/>
    </row>
    <row r="759" spans="1:19" ht="15">
      <c r="A759" s="70" t="s">
        <v>254</v>
      </c>
      <c r="B759" s="70"/>
      <c r="C759" s="72" t="s">
        <v>254</v>
      </c>
      <c r="D759" s="72" t="s">
        <v>254</v>
      </c>
      <c r="E759" s="88" t="s">
        <v>254</v>
      </c>
      <c r="F759" s="88" t="s">
        <v>254</v>
      </c>
      <c r="G759" s="88" t="s">
        <v>254</v>
      </c>
      <c r="H759" s="88" t="s">
        <v>254</v>
      </c>
      <c r="I759" s="88" t="s">
        <v>254</v>
      </c>
      <c r="J759" s="88" t="s">
        <v>254</v>
      </c>
      <c r="K759" s="88" t="s">
        <v>254</v>
      </c>
      <c r="L759" s="88" t="s">
        <v>254</v>
      </c>
      <c r="M759" s="88" t="s">
        <v>254</v>
      </c>
      <c r="N759" s="88" t="s">
        <v>254</v>
      </c>
      <c r="O759" s="88" t="s">
        <v>254</v>
      </c>
      <c r="P759" s="88" t="s">
        <v>254</v>
      </c>
      <c r="Q759" s="88" t="s">
        <v>254</v>
      </c>
      <c r="R759" s="88"/>
      <c r="S759" s="86"/>
    </row>
    <row r="760" spans="1:19" ht="15">
      <c r="A760" s="70">
        <v>24</v>
      </c>
      <c r="B760" s="70"/>
      <c r="C760" s="72" t="s">
        <v>806</v>
      </c>
      <c r="D760" s="72" t="s">
        <v>254</v>
      </c>
      <c r="E760" s="85">
        <v>140827008</v>
      </c>
      <c r="F760" s="85" t="s">
        <v>254</v>
      </c>
      <c r="G760" s="85">
        <v>124946161</v>
      </c>
      <c r="H760" s="85" t="s">
        <v>254</v>
      </c>
      <c r="I760" s="85">
        <v>5615924</v>
      </c>
      <c r="J760" s="85">
        <v>10312567</v>
      </c>
      <c r="K760" s="85" t="s">
        <v>254</v>
      </c>
      <c r="L760" s="85" t="s">
        <v>254</v>
      </c>
      <c r="M760" s="85">
        <v>-5334</v>
      </c>
      <c r="N760" s="85" t="s">
        <v>254</v>
      </c>
      <c r="O760" s="85">
        <v>10317901</v>
      </c>
      <c r="P760" s="85">
        <v>2504151</v>
      </c>
      <c r="Q760" s="85">
        <v>7813750</v>
      </c>
      <c r="R760" s="85"/>
      <c r="S760" s="86"/>
    </row>
    <row r="761" spans="1:19" ht="15">
      <c r="A761" s="70">
        <v>25</v>
      </c>
      <c r="B761" s="70"/>
      <c r="C761" s="72" t="s">
        <v>807</v>
      </c>
      <c r="D761" s="72" t="s">
        <v>786</v>
      </c>
      <c r="E761" s="85">
        <v>0</v>
      </c>
      <c r="F761" s="85" t="s">
        <v>254</v>
      </c>
      <c r="G761" s="85">
        <v>0</v>
      </c>
      <c r="H761" s="85" t="s">
        <v>254</v>
      </c>
      <c r="I761" s="85">
        <v>0</v>
      </c>
      <c r="J761" s="85">
        <v>0</v>
      </c>
      <c r="K761" s="85" t="s">
        <v>254</v>
      </c>
      <c r="L761" s="85" t="s">
        <v>254</v>
      </c>
      <c r="M761" s="85">
        <v>0</v>
      </c>
      <c r="N761" s="85" t="s">
        <v>254</v>
      </c>
      <c r="O761" s="85">
        <v>0</v>
      </c>
      <c r="P761" s="85">
        <v>0</v>
      </c>
      <c r="Q761" s="85">
        <v>0</v>
      </c>
      <c r="R761" s="85"/>
      <c r="S761" s="86"/>
    </row>
    <row r="762" spans="1:19" ht="15">
      <c r="A762" s="70">
        <v>26</v>
      </c>
      <c r="B762" s="70"/>
      <c r="C762" s="72" t="s">
        <v>801</v>
      </c>
      <c r="D762" s="72" t="s">
        <v>721</v>
      </c>
      <c r="E762" s="89">
        <v>-848480</v>
      </c>
      <c r="F762" s="89" t="s">
        <v>254</v>
      </c>
      <c r="G762" s="89">
        <v>-752838</v>
      </c>
      <c r="H762" s="89" t="s">
        <v>254</v>
      </c>
      <c r="I762" s="89">
        <v>-42129</v>
      </c>
      <c r="J762" s="89">
        <v>-53513</v>
      </c>
      <c r="K762" s="89" t="s">
        <v>254</v>
      </c>
      <c r="L762" s="89" t="s">
        <v>254</v>
      </c>
      <c r="M762" s="89">
        <v>-19</v>
      </c>
      <c r="N762" s="89" t="s">
        <v>254</v>
      </c>
      <c r="O762" s="89">
        <v>-53494</v>
      </c>
      <c r="P762" s="89">
        <v>-16863</v>
      </c>
      <c r="Q762" s="89">
        <v>-36631</v>
      </c>
      <c r="R762" s="89"/>
      <c r="S762" s="86"/>
    </row>
    <row r="763" spans="1:19" ht="15">
      <c r="A763" s="70">
        <v>27</v>
      </c>
      <c r="B763" s="70"/>
      <c r="C763" s="72" t="s">
        <v>772</v>
      </c>
      <c r="D763" s="72" t="s">
        <v>254</v>
      </c>
      <c r="E763" s="89">
        <v>0</v>
      </c>
      <c r="F763" s="89" t="s">
        <v>254</v>
      </c>
      <c r="G763" s="89">
        <v>0</v>
      </c>
      <c r="H763" s="89" t="s">
        <v>254</v>
      </c>
      <c r="I763" s="89">
        <v>0</v>
      </c>
      <c r="J763" s="89">
        <v>0</v>
      </c>
      <c r="K763" s="89" t="s">
        <v>254</v>
      </c>
      <c r="L763" s="89" t="s">
        <v>254</v>
      </c>
      <c r="M763" s="89">
        <v>0</v>
      </c>
      <c r="N763" s="89" t="s">
        <v>254</v>
      </c>
      <c r="O763" s="89">
        <v>0</v>
      </c>
      <c r="P763" s="89">
        <v>0</v>
      </c>
      <c r="Q763" s="89">
        <v>0</v>
      </c>
      <c r="R763" s="89"/>
      <c r="S763" s="86"/>
    </row>
    <row r="764" spans="1:19" ht="15">
      <c r="A764" s="70">
        <v>28</v>
      </c>
      <c r="B764" s="70"/>
      <c r="C764" s="72" t="s">
        <v>808</v>
      </c>
      <c r="D764" s="72" t="s">
        <v>786</v>
      </c>
      <c r="E764" s="89">
        <v>590242</v>
      </c>
      <c r="F764" s="89" t="s">
        <v>254</v>
      </c>
      <c r="G764" s="89">
        <v>526593</v>
      </c>
      <c r="H764" s="89" t="s">
        <v>254</v>
      </c>
      <c r="I764" s="89">
        <v>26064</v>
      </c>
      <c r="J764" s="89">
        <v>37585</v>
      </c>
      <c r="K764" s="89" t="s">
        <v>254</v>
      </c>
      <c r="L764" s="89" t="s">
        <v>254</v>
      </c>
      <c r="M764" s="89">
        <v>3</v>
      </c>
      <c r="N764" s="89" t="s">
        <v>254</v>
      </c>
      <c r="O764" s="89">
        <v>37582</v>
      </c>
      <c r="P764" s="89">
        <v>11837</v>
      </c>
      <c r="Q764" s="89">
        <v>25745</v>
      </c>
      <c r="R764" s="89"/>
      <c r="S764" s="86"/>
    </row>
    <row r="765" spans="1:19" ht="15">
      <c r="A765" s="70">
        <v>29</v>
      </c>
      <c r="B765" s="70"/>
      <c r="C765" s="72" t="s">
        <v>809</v>
      </c>
      <c r="D765" s="72" t="s">
        <v>254</v>
      </c>
      <c r="E765" s="89">
        <v>140568770</v>
      </c>
      <c r="F765" s="89" t="s">
        <v>254</v>
      </c>
      <c r="G765" s="89">
        <v>124719916</v>
      </c>
      <c r="H765" s="89" t="s">
        <v>254</v>
      </c>
      <c r="I765" s="89">
        <v>5599859</v>
      </c>
      <c r="J765" s="89">
        <v>10296639</v>
      </c>
      <c r="K765" s="89" t="s">
        <v>254</v>
      </c>
      <c r="L765" s="89" t="s">
        <v>254</v>
      </c>
      <c r="M765" s="89">
        <v>-5350</v>
      </c>
      <c r="N765" s="89" t="s">
        <v>254</v>
      </c>
      <c r="O765" s="89">
        <v>10301989</v>
      </c>
      <c r="P765" s="89">
        <v>2499125</v>
      </c>
      <c r="Q765" s="89">
        <v>7802864</v>
      </c>
      <c r="R765" s="89"/>
      <c r="S765" s="86"/>
    </row>
    <row r="766" spans="1:19" ht="15">
      <c r="A766" s="70" t="s">
        <v>254</v>
      </c>
      <c r="B766" s="70"/>
      <c r="C766" s="72" t="s">
        <v>254</v>
      </c>
      <c r="D766" s="72" t="s">
        <v>254</v>
      </c>
      <c r="E766" s="89" t="s">
        <v>254</v>
      </c>
      <c r="F766" s="89" t="s">
        <v>254</v>
      </c>
      <c r="G766" s="89" t="s">
        <v>254</v>
      </c>
      <c r="H766" s="89" t="s">
        <v>254</v>
      </c>
      <c r="I766" s="89" t="s">
        <v>254</v>
      </c>
      <c r="J766" s="89" t="s">
        <v>254</v>
      </c>
      <c r="K766" s="89" t="s">
        <v>254</v>
      </c>
      <c r="L766" s="89" t="s">
        <v>254</v>
      </c>
      <c r="M766" s="89" t="s">
        <v>254</v>
      </c>
      <c r="N766" s="89" t="s">
        <v>254</v>
      </c>
      <c r="O766" s="89" t="s">
        <v>254</v>
      </c>
      <c r="P766" s="89" t="s">
        <v>254</v>
      </c>
      <c r="Q766" s="89" t="s">
        <v>254</v>
      </c>
      <c r="R766" s="89"/>
      <c r="S766" s="86"/>
    </row>
    <row r="767" spans="1:19" ht="15">
      <c r="A767" s="70">
        <v>30</v>
      </c>
      <c r="B767" s="70"/>
      <c r="C767" s="72" t="s">
        <v>294</v>
      </c>
      <c r="D767" s="72" t="s">
        <v>254</v>
      </c>
      <c r="E767" s="85">
        <v>356410203.4229759</v>
      </c>
      <c r="F767" s="85" t="s">
        <v>254</v>
      </c>
      <c r="G767" s="85">
        <v>317568090.60200405</v>
      </c>
      <c r="H767" s="85" t="s">
        <v>254</v>
      </c>
      <c r="I767" s="85">
        <v>14596647.549475122</v>
      </c>
      <c r="J767" s="85">
        <v>24339458.995956853</v>
      </c>
      <c r="K767" s="85" t="s">
        <v>254</v>
      </c>
      <c r="L767" s="85" t="s">
        <v>254</v>
      </c>
      <c r="M767" s="85">
        <v>-9331.6439764621191</v>
      </c>
      <c r="N767" s="85" t="s">
        <v>254</v>
      </c>
      <c r="O767" s="85">
        <v>24348790.639933314</v>
      </c>
      <c r="P767" s="85">
        <v>6288544.4452865608</v>
      </c>
      <c r="Q767" s="85">
        <v>18060246.194646753</v>
      </c>
      <c r="R767" s="85"/>
      <c r="S767" s="86"/>
    </row>
    <row r="768" spans="1:19" ht="15">
      <c r="A768" s="70">
        <v>31</v>
      </c>
      <c r="B768" s="70"/>
      <c r="C768" s="72" t="s">
        <v>295</v>
      </c>
      <c r="D768" s="72" t="s">
        <v>254</v>
      </c>
      <c r="E768" s="85">
        <v>6.8323871340958658E-2</v>
      </c>
      <c r="F768" s="85" t="s">
        <v>254</v>
      </c>
      <c r="G768" s="85">
        <v>6.6915693818559996E-2</v>
      </c>
      <c r="H768" s="85" t="s">
        <v>254</v>
      </c>
      <c r="I768" s="85">
        <v>6.2140060647828052E-2</v>
      </c>
      <c r="J768" s="85">
        <v>7.1853600572290566E-2</v>
      </c>
      <c r="K768" s="85" t="s">
        <v>254</v>
      </c>
      <c r="L768" s="85" t="s">
        <v>254</v>
      </c>
      <c r="M768" s="85">
        <v>-0.30032268079088059</v>
      </c>
      <c r="N768" s="85" t="s">
        <v>254</v>
      </c>
      <c r="O768" s="85">
        <v>7.1887743139692109E-2</v>
      </c>
      <c r="P768" s="85">
        <v>5.8946666641823041E-2</v>
      </c>
      <c r="Q768" s="85">
        <v>7.7837904705041344E-2</v>
      </c>
      <c r="R768" s="85"/>
      <c r="S768" s="86"/>
    </row>
    <row r="769" spans="1:19" ht="15">
      <c r="A769" s="70" t="s">
        <v>254</v>
      </c>
      <c r="B769" s="70"/>
      <c r="C769" s="72" t="s">
        <v>254</v>
      </c>
      <c r="D769" s="72" t="s">
        <v>254</v>
      </c>
      <c r="E769" s="85" t="s">
        <v>254</v>
      </c>
      <c r="F769" s="85" t="s">
        <v>254</v>
      </c>
      <c r="G769" s="85" t="s">
        <v>254</v>
      </c>
      <c r="H769" s="85" t="s">
        <v>254</v>
      </c>
      <c r="I769" s="85" t="s">
        <v>254</v>
      </c>
      <c r="J769" s="85" t="s">
        <v>254</v>
      </c>
      <c r="K769" s="85" t="s">
        <v>254</v>
      </c>
      <c r="L769" s="85" t="s">
        <v>254</v>
      </c>
      <c r="M769" s="85" t="s">
        <v>254</v>
      </c>
      <c r="N769" s="85" t="s">
        <v>254</v>
      </c>
      <c r="O769" s="85" t="s">
        <v>254</v>
      </c>
      <c r="P769" s="85" t="s">
        <v>254</v>
      </c>
      <c r="Q769" s="85" t="s">
        <v>254</v>
      </c>
      <c r="R769" s="85"/>
      <c r="S769" s="86"/>
    </row>
    <row r="770" spans="1:19" ht="15">
      <c r="A770" s="70" t="s">
        <v>254</v>
      </c>
      <c r="B770" s="70"/>
      <c r="C770" s="72" t="s">
        <v>254</v>
      </c>
      <c r="D770" s="72" t="s">
        <v>254</v>
      </c>
      <c r="E770" s="85" t="s">
        <v>254</v>
      </c>
      <c r="F770" s="85" t="s">
        <v>254</v>
      </c>
      <c r="G770" s="85" t="s">
        <v>254</v>
      </c>
      <c r="H770" s="85" t="s">
        <v>254</v>
      </c>
      <c r="I770" s="85" t="s">
        <v>254</v>
      </c>
      <c r="J770" s="85" t="s">
        <v>254</v>
      </c>
      <c r="K770" s="85" t="s">
        <v>254</v>
      </c>
      <c r="L770" s="85" t="s">
        <v>254</v>
      </c>
      <c r="M770" s="85" t="s">
        <v>254</v>
      </c>
      <c r="N770" s="85" t="s">
        <v>254</v>
      </c>
      <c r="O770" s="85" t="s">
        <v>254</v>
      </c>
      <c r="P770" s="85" t="s">
        <v>254</v>
      </c>
      <c r="Q770" s="85" t="s">
        <v>254</v>
      </c>
      <c r="R770" s="85"/>
      <c r="S770" s="86"/>
    </row>
    <row r="771" spans="1:19" ht="15">
      <c r="A771" s="70" t="s">
        <v>254</v>
      </c>
      <c r="B771" s="70"/>
      <c r="C771" s="72" t="s">
        <v>810</v>
      </c>
      <c r="D771" s="72" t="s">
        <v>254</v>
      </c>
      <c r="E771" s="85">
        <v>0.06</v>
      </c>
      <c r="F771" s="85" t="s">
        <v>254</v>
      </c>
      <c r="G771" s="85">
        <v>0.06</v>
      </c>
      <c r="H771" s="85" t="s">
        <v>254</v>
      </c>
      <c r="I771" s="85">
        <v>0.06</v>
      </c>
      <c r="J771" s="85">
        <v>0.06</v>
      </c>
      <c r="K771" s="85" t="s">
        <v>254</v>
      </c>
      <c r="L771" s="85" t="s">
        <v>254</v>
      </c>
      <c r="M771" s="85">
        <v>0.06</v>
      </c>
      <c r="N771" s="85" t="s">
        <v>254</v>
      </c>
      <c r="O771" s="85">
        <v>0.06</v>
      </c>
      <c r="P771" s="85">
        <v>0.06</v>
      </c>
      <c r="Q771" s="85">
        <v>0.06</v>
      </c>
      <c r="R771" s="85"/>
      <c r="S771" s="86"/>
    </row>
    <row r="772" spans="1:19" ht="15">
      <c r="A772" s="70" t="s">
        <v>254</v>
      </c>
      <c r="B772" s="70"/>
      <c r="C772" s="72" t="s">
        <v>811</v>
      </c>
      <c r="D772" s="72" t="s">
        <v>254</v>
      </c>
      <c r="E772" s="85">
        <v>0.35</v>
      </c>
      <c r="F772" s="85" t="s">
        <v>254</v>
      </c>
      <c r="G772" s="85">
        <v>0.35</v>
      </c>
      <c r="H772" s="85" t="s">
        <v>254</v>
      </c>
      <c r="I772" s="85">
        <v>0.35</v>
      </c>
      <c r="J772" s="85">
        <v>0.35</v>
      </c>
      <c r="K772" s="85" t="s">
        <v>254</v>
      </c>
      <c r="L772" s="85" t="s">
        <v>254</v>
      </c>
      <c r="M772" s="85">
        <v>0.35</v>
      </c>
      <c r="N772" s="85" t="s">
        <v>254</v>
      </c>
      <c r="O772" s="85">
        <v>0.35</v>
      </c>
      <c r="P772" s="85">
        <v>0.35</v>
      </c>
      <c r="Q772" s="85">
        <v>0.35</v>
      </c>
      <c r="R772" s="85"/>
      <c r="S772" s="86"/>
    </row>
    <row r="773" spans="1:19" ht="15">
      <c r="A773" s="70" t="s">
        <v>254</v>
      </c>
      <c r="B773" s="70"/>
      <c r="C773" s="72" t="s">
        <v>812</v>
      </c>
      <c r="D773" s="72" t="s">
        <v>254</v>
      </c>
      <c r="E773" s="85">
        <v>0.61099999999999999</v>
      </c>
      <c r="F773" s="85" t="s">
        <v>254</v>
      </c>
      <c r="G773" s="85">
        <v>0.61099999999999999</v>
      </c>
      <c r="H773" s="85" t="s">
        <v>254</v>
      </c>
      <c r="I773" s="85">
        <v>0.61099999999999999</v>
      </c>
      <c r="J773" s="85">
        <v>0.61099999999999999</v>
      </c>
      <c r="K773" s="85" t="s">
        <v>254</v>
      </c>
      <c r="L773" s="85" t="s">
        <v>254</v>
      </c>
      <c r="M773" s="85">
        <v>0.61099999999999999</v>
      </c>
      <c r="N773" s="85" t="s">
        <v>254</v>
      </c>
      <c r="O773" s="85">
        <v>0.61099999999999999</v>
      </c>
      <c r="P773" s="85">
        <v>0.61099999999999999</v>
      </c>
      <c r="Q773" s="85">
        <v>0.61099999999999999</v>
      </c>
      <c r="R773" s="85"/>
      <c r="S773" s="86"/>
    </row>
    <row r="774" spans="1:19" ht="15">
      <c r="A774" s="70" t="s">
        <v>254</v>
      </c>
      <c r="B774" s="70"/>
      <c r="C774" s="72" t="s">
        <v>813</v>
      </c>
      <c r="D774" s="72" t="s">
        <v>254</v>
      </c>
      <c r="E774" s="85">
        <v>0.38899999999999996</v>
      </c>
      <c r="F774" s="85" t="s">
        <v>254</v>
      </c>
      <c r="G774" s="85">
        <v>0.38899999999999996</v>
      </c>
      <c r="H774" s="85" t="s">
        <v>254</v>
      </c>
      <c r="I774" s="85">
        <v>0.38899999999999996</v>
      </c>
      <c r="J774" s="85">
        <v>0.38899999999999996</v>
      </c>
      <c r="K774" s="85" t="s">
        <v>254</v>
      </c>
      <c r="L774" s="85" t="s">
        <v>254</v>
      </c>
      <c r="M774" s="85">
        <v>0.38899999999999996</v>
      </c>
      <c r="N774" s="85" t="s">
        <v>254</v>
      </c>
      <c r="O774" s="85">
        <v>0.38899999999999996</v>
      </c>
      <c r="P774" s="85">
        <v>0.38899999999999996</v>
      </c>
      <c r="Q774" s="85">
        <v>0.38899999999999996</v>
      </c>
      <c r="R774" s="85"/>
      <c r="S774" s="86"/>
    </row>
    <row r="775" spans="1:19" ht="15">
      <c r="A775" s="70" t="s">
        <v>254</v>
      </c>
      <c r="B775" s="70"/>
      <c r="C775" s="72" t="s">
        <v>814</v>
      </c>
      <c r="D775" s="72" t="s">
        <v>254</v>
      </c>
      <c r="E775" s="85">
        <v>1.6366612111292962</v>
      </c>
      <c r="F775" s="85" t="s">
        <v>254</v>
      </c>
      <c r="G775" s="85">
        <v>1.6366612111292962</v>
      </c>
      <c r="H775" s="85" t="s">
        <v>254</v>
      </c>
      <c r="I775" s="85">
        <v>1.6366612111292962</v>
      </c>
      <c r="J775" s="85">
        <v>1.6366612111292962</v>
      </c>
      <c r="K775" s="85" t="s">
        <v>254</v>
      </c>
      <c r="L775" s="85" t="s">
        <v>254</v>
      </c>
      <c r="M775" s="85">
        <v>1.6366612111292962</v>
      </c>
      <c r="N775" s="85" t="s">
        <v>254</v>
      </c>
      <c r="O775" s="85">
        <v>1.6366612111292962</v>
      </c>
      <c r="P775" s="85">
        <v>1.6366612111292962</v>
      </c>
      <c r="Q775" s="85">
        <v>1.6366612111292962</v>
      </c>
      <c r="R775" s="85"/>
      <c r="S775" s="86"/>
    </row>
    <row r="776" spans="1:19" ht="15">
      <c r="A776" s="70" t="s">
        <v>254</v>
      </c>
      <c r="B776" s="70"/>
      <c r="C776" s="72" t="s">
        <v>254</v>
      </c>
      <c r="D776" s="72" t="s">
        <v>254</v>
      </c>
      <c r="E776" s="85" t="s">
        <v>254</v>
      </c>
      <c r="F776" s="85" t="s">
        <v>254</v>
      </c>
      <c r="G776" s="85" t="s">
        <v>254</v>
      </c>
      <c r="H776" s="85" t="s">
        <v>254</v>
      </c>
      <c r="I776" s="85" t="s">
        <v>254</v>
      </c>
      <c r="J776" s="85" t="s">
        <v>254</v>
      </c>
      <c r="K776" s="85" t="s">
        <v>254</v>
      </c>
      <c r="L776" s="85" t="s">
        <v>254</v>
      </c>
      <c r="M776" s="85" t="s">
        <v>254</v>
      </c>
      <c r="N776" s="85" t="s">
        <v>254</v>
      </c>
      <c r="O776" s="85" t="s">
        <v>254</v>
      </c>
      <c r="P776" s="85" t="s">
        <v>254</v>
      </c>
      <c r="Q776" s="85" t="s">
        <v>254</v>
      </c>
      <c r="R776" s="85"/>
      <c r="S776" s="86"/>
    </row>
    <row r="777" spans="1:19" ht="15">
      <c r="A777" s="70" t="s">
        <v>254</v>
      </c>
      <c r="B777" s="70"/>
      <c r="C777" s="72" t="s">
        <v>815</v>
      </c>
      <c r="D777" s="72" t="s">
        <v>254</v>
      </c>
      <c r="E777" s="85" t="s">
        <v>254</v>
      </c>
      <c r="F777" s="85" t="s">
        <v>254</v>
      </c>
      <c r="G777" s="85" t="s">
        <v>254</v>
      </c>
      <c r="H777" s="85" t="s">
        <v>254</v>
      </c>
      <c r="I777" s="85" t="s">
        <v>254</v>
      </c>
      <c r="J777" s="85" t="s">
        <v>254</v>
      </c>
      <c r="K777" s="85" t="s">
        <v>254</v>
      </c>
      <c r="L777" s="85" t="s">
        <v>254</v>
      </c>
      <c r="M777" s="85" t="s">
        <v>254</v>
      </c>
      <c r="N777" s="85" t="s">
        <v>254</v>
      </c>
      <c r="O777" s="85" t="s">
        <v>254</v>
      </c>
      <c r="P777" s="85" t="s">
        <v>254</v>
      </c>
      <c r="Q777" s="85" t="s">
        <v>254</v>
      </c>
      <c r="R777" s="85"/>
      <c r="S777" s="86"/>
    </row>
    <row r="778" spans="1:19" ht="15">
      <c r="A778" s="70" t="s">
        <v>254</v>
      </c>
      <c r="B778" s="70"/>
      <c r="C778" s="72" t="s">
        <v>254</v>
      </c>
      <c r="D778" s="72" t="s">
        <v>254</v>
      </c>
      <c r="E778" s="85" t="s">
        <v>254</v>
      </c>
      <c r="F778" s="85" t="s">
        <v>254</v>
      </c>
      <c r="G778" s="85" t="s">
        <v>254</v>
      </c>
      <c r="H778" s="85" t="s">
        <v>254</v>
      </c>
      <c r="I778" s="85" t="s">
        <v>254</v>
      </c>
      <c r="J778" s="85" t="s">
        <v>254</v>
      </c>
      <c r="K778" s="85" t="s">
        <v>254</v>
      </c>
      <c r="L778" s="85" t="s">
        <v>254</v>
      </c>
      <c r="M778" s="85" t="s">
        <v>254</v>
      </c>
      <c r="N778" s="85" t="s">
        <v>254</v>
      </c>
      <c r="O778" s="85" t="s">
        <v>254</v>
      </c>
      <c r="P778" s="85" t="s">
        <v>254</v>
      </c>
      <c r="Q778" s="85" t="s">
        <v>254</v>
      </c>
      <c r="R778" s="85"/>
      <c r="S778" s="86"/>
    </row>
    <row r="779" spans="1:19" ht="15">
      <c r="A779" s="70" t="s">
        <v>254</v>
      </c>
      <c r="B779" s="70"/>
      <c r="C779" s="72" t="s">
        <v>816</v>
      </c>
      <c r="D779" s="72" t="s">
        <v>254</v>
      </c>
      <c r="E779" s="85" t="s">
        <v>254</v>
      </c>
      <c r="F779" s="85" t="s">
        <v>254</v>
      </c>
      <c r="G779" s="85" t="s">
        <v>254</v>
      </c>
      <c r="H779" s="85" t="s">
        <v>254</v>
      </c>
      <c r="I779" s="85" t="s">
        <v>254</v>
      </c>
      <c r="J779" s="85" t="s">
        <v>254</v>
      </c>
      <c r="K779" s="85" t="s">
        <v>254</v>
      </c>
      <c r="L779" s="85" t="s">
        <v>254</v>
      </c>
      <c r="M779" s="85" t="s">
        <v>254</v>
      </c>
      <c r="N779" s="85" t="s">
        <v>254</v>
      </c>
      <c r="O779" s="85" t="s">
        <v>254</v>
      </c>
      <c r="P779" s="85" t="s">
        <v>254</v>
      </c>
      <c r="Q779" s="85" t="s">
        <v>254</v>
      </c>
      <c r="R779" s="85"/>
      <c r="S779" s="86"/>
    </row>
    <row r="780" spans="1:19" ht="15">
      <c r="A780" s="70" t="s">
        <v>254</v>
      </c>
      <c r="B780" s="70"/>
      <c r="C780" s="72" t="s">
        <v>817</v>
      </c>
      <c r="D780" s="72" t="s">
        <v>254</v>
      </c>
      <c r="E780" s="85" t="s">
        <v>254</v>
      </c>
      <c r="F780" s="85" t="s">
        <v>254</v>
      </c>
      <c r="G780" s="85" t="s">
        <v>254</v>
      </c>
      <c r="H780" s="85" t="s">
        <v>254</v>
      </c>
      <c r="I780" s="85" t="s">
        <v>254</v>
      </c>
      <c r="J780" s="85" t="s">
        <v>254</v>
      </c>
      <c r="K780" s="85" t="s">
        <v>254</v>
      </c>
      <c r="L780" s="85" t="s">
        <v>254</v>
      </c>
      <c r="M780" s="85" t="s">
        <v>254</v>
      </c>
      <c r="N780" s="85" t="s">
        <v>254</v>
      </c>
      <c r="O780" s="85" t="s">
        <v>254</v>
      </c>
      <c r="P780" s="85" t="s">
        <v>254</v>
      </c>
      <c r="Q780" s="85" t="s">
        <v>254</v>
      </c>
      <c r="R780" s="85"/>
      <c r="S780" s="86"/>
    </row>
    <row r="781" spans="1:19" ht="15">
      <c r="A781" s="70" t="s">
        <v>254</v>
      </c>
      <c r="B781" s="70"/>
      <c r="C781" s="72" t="s">
        <v>818</v>
      </c>
      <c r="D781" s="72" t="s">
        <v>254</v>
      </c>
      <c r="E781" s="85" t="s">
        <v>254</v>
      </c>
      <c r="F781" s="85" t="s">
        <v>254</v>
      </c>
      <c r="G781" s="85" t="s">
        <v>254</v>
      </c>
      <c r="H781" s="85" t="s">
        <v>254</v>
      </c>
      <c r="I781" s="85" t="s">
        <v>254</v>
      </c>
      <c r="J781" s="85" t="s">
        <v>254</v>
      </c>
      <c r="K781" s="85" t="s">
        <v>254</v>
      </c>
      <c r="L781" s="85" t="s">
        <v>254</v>
      </c>
      <c r="M781" s="85" t="s">
        <v>254</v>
      </c>
      <c r="N781" s="85" t="s">
        <v>254</v>
      </c>
      <c r="O781" s="85" t="s">
        <v>254</v>
      </c>
      <c r="P781" s="85" t="s">
        <v>254</v>
      </c>
      <c r="Q781" s="85" t="s">
        <v>254</v>
      </c>
      <c r="R781" s="85"/>
      <c r="S781" s="86"/>
    </row>
    <row r="782" spans="1:19" ht="15">
      <c r="A782" s="70">
        <v>1</v>
      </c>
      <c r="B782" s="70"/>
      <c r="C782" s="72" t="s">
        <v>819</v>
      </c>
      <c r="D782" s="72" t="s">
        <v>498</v>
      </c>
      <c r="E782" s="85">
        <v>3001648.5599999996</v>
      </c>
      <c r="F782" s="85" t="s">
        <v>254</v>
      </c>
      <c r="G782" s="85">
        <v>2639596.999412375</v>
      </c>
      <c r="H782" s="85" t="s">
        <v>254</v>
      </c>
      <c r="I782" s="85">
        <v>109425.75074402422</v>
      </c>
      <c r="J782" s="85">
        <v>252625.80984360044</v>
      </c>
      <c r="K782" s="85" t="s">
        <v>254</v>
      </c>
      <c r="L782" s="85" t="s">
        <v>254</v>
      </c>
      <c r="M782" s="85">
        <v>12.729695665350276</v>
      </c>
      <c r="N782" s="85" t="s">
        <v>254</v>
      </c>
      <c r="O782" s="85">
        <v>252613.08014793508</v>
      </c>
      <c r="P782" s="85">
        <v>79829.120979239393</v>
      </c>
      <c r="Q782" s="85">
        <v>172783.9591686957</v>
      </c>
      <c r="R782" s="85"/>
      <c r="S782" s="86"/>
    </row>
    <row r="783" spans="1:19" ht="15">
      <c r="A783" s="70">
        <v>2</v>
      </c>
      <c r="B783" s="70"/>
      <c r="C783" s="72" t="s">
        <v>820</v>
      </c>
      <c r="D783" s="72" t="s">
        <v>498</v>
      </c>
      <c r="E783" s="85">
        <v>8196639.3699999992</v>
      </c>
      <c r="F783" s="85" t="s">
        <v>254</v>
      </c>
      <c r="G783" s="85">
        <v>7207980.6325885598</v>
      </c>
      <c r="H783" s="85" t="s">
        <v>254</v>
      </c>
      <c r="I783" s="85">
        <v>298810.26999385824</v>
      </c>
      <c r="J783" s="85">
        <v>689848.46741758101</v>
      </c>
      <c r="K783" s="85" t="s">
        <v>254</v>
      </c>
      <c r="L783" s="85" t="s">
        <v>254</v>
      </c>
      <c r="M783" s="85">
        <v>34.761139611470178</v>
      </c>
      <c r="N783" s="85" t="s">
        <v>254</v>
      </c>
      <c r="O783" s="85">
        <v>689813.70627796953</v>
      </c>
      <c r="P783" s="85">
        <v>217990.38188898657</v>
      </c>
      <c r="Q783" s="85">
        <v>471823.32438898302</v>
      </c>
      <c r="R783" s="85"/>
      <c r="S783" s="86"/>
    </row>
    <row r="784" spans="1:19" ht="15">
      <c r="A784" s="70">
        <v>3</v>
      </c>
      <c r="B784" s="70"/>
      <c r="C784" s="72" t="s">
        <v>821</v>
      </c>
      <c r="D784" s="72" t="s">
        <v>498</v>
      </c>
      <c r="E784" s="85">
        <v>10059694.189999999</v>
      </c>
      <c r="F784" s="85" t="s">
        <v>254</v>
      </c>
      <c r="G784" s="85">
        <v>8846318.3041422088</v>
      </c>
      <c r="H784" s="85" t="s">
        <v>254</v>
      </c>
      <c r="I784" s="85">
        <v>366728.33844214224</v>
      </c>
      <c r="J784" s="85">
        <v>846647.54741564835</v>
      </c>
      <c r="K784" s="85" t="s">
        <v>254</v>
      </c>
      <c r="L784" s="85" t="s">
        <v>254</v>
      </c>
      <c r="M784" s="85">
        <v>42.662171458604185</v>
      </c>
      <c r="N784" s="85" t="s">
        <v>254</v>
      </c>
      <c r="O784" s="85">
        <v>846604.88524418976</v>
      </c>
      <c r="P784" s="85">
        <v>267538.49708097131</v>
      </c>
      <c r="Q784" s="85">
        <v>579066.38816321839</v>
      </c>
      <c r="R784" s="85"/>
      <c r="S784" s="86"/>
    </row>
    <row r="785" spans="1:19" ht="15">
      <c r="A785" s="70">
        <v>4</v>
      </c>
      <c r="B785" s="70"/>
      <c r="C785" s="72" t="s">
        <v>822</v>
      </c>
      <c r="D785" s="72" t="s">
        <v>498</v>
      </c>
      <c r="E785" s="85">
        <v>2408412.6299999994</v>
      </c>
      <c r="F785" s="85" t="s">
        <v>254</v>
      </c>
      <c r="G785" s="85">
        <v>2117915.7467704569</v>
      </c>
      <c r="H785" s="85" t="s">
        <v>254</v>
      </c>
      <c r="I785" s="85">
        <v>87799.205960054111</v>
      </c>
      <c r="J785" s="85">
        <v>202697.67726948875</v>
      </c>
      <c r="K785" s="85" t="s">
        <v>254</v>
      </c>
      <c r="L785" s="85" t="s">
        <v>254</v>
      </c>
      <c r="M785" s="85">
        <v>10.213840562496049</v>
      </c>
      <c r="N785" s="85" t="s">
        <v>254</v>
      </c>
      <c r="O785" s="85">
        <v>202687.46342892625</v>
      </c>
      <c r="P785" s="85">
        <v>64051.956571557501</v>
      </c>
      <c r="Q785" s="85">
        <v>138635.50685736875</v>
      </c>
      <c r="R785" s="85"/>
      <c r="S785" s="86"/>
    </row>
    <row r="786" spans="1:19" ht="15">
      <c r="A786" s="70">
        <v>5</v>
      </c>
      <c r="B786" s="70"/>
      <c r="C786" s="72" t="s">
        <v>823</v>
      </c>
      <c r="D786" s="72" t="s">
        <v>498</v>
      </c>
      <c r="E786" s="85">
        <v>0</v>
      </c>
      <c r="F786" s="85" t="s">
        <v>254</v>
      </c>
      <c r="G786" s="85">
        <v>0</v>
      </c>
      <c r="H786" s="85" t="s">
        <v>254</v>
      </c>
      <c r="I786" s="85">
        <v>0</v>
      </c>
      <c r="J786" s="85">
        <v>0</v>
      </c>
      <c r="K786" s="85" t="s">
        <v>254</v>
      </c>
      <c r="L786" s="85" t="s">
        <v>254</v>
      </c>
      <c r="M786" s="85">
        <v>0</v>
      </c>
      <c r="N786" s="85" t="s">
        <v>254</v>
      </c>
      <c r="O786" s="85">
        <v>0</v>
      </c>
      <c r="P786" s="85">
        <v>0</v>
      </c>
      <c r="Q786" s="85">
        <v>0</v>
      </c>
      <c r="R786" s="85"/>
      <c r="S786" s="86"/>
    </row>
    <row r="787" spans="1:19" ht="15">
      <c r="A787" s="70" t="s">
        <v>254</v>
      </c>
      <c r="B787" s="70"/>
      <c r="C787" s="72" t="s">
        <v>254</v>
      </c>
      <c r="D787" s="72" t="s">
        <v>254</v>
      </c>
      <c r="E787" s="85" t="s">
        <v>254</v>
      </c>
      <c r="F787" s="85" t="s">
        <v>254</v>
      </c>
      <c r="G787" s="85" t="s">
        <v>254</v>
      </c>
      <c r="H787" s="85" t="s">
        <v>254</v>
      </c>
      <c r="I787" s="85" t="s">
        <v>254</v>
      </c>
      <c r="J787" s="85" t="s">
        <v>254</v>
      </c>
      <c r="K787" s="85" t="s">
        <v>254</v>
      </c>
      <c r="L787" s="85" t="s">
        <v>254</v>
      </c>
      <c r="M787" s="85" t="s">
        <v>254</v>
      </c>
      <c r="N787" s="85" t="s">
        <v>254</v>
      </c>
      <c r="O787" s="85" t="s">
        <v>254</v>
      </c>
      <c r="P787" s="85" t="s">
        <v>254</v>
      </c>
      <c r="Q787" s="85" t="s">
        <v>254</v>
      </c>
      <c r="R787" s="85"/>
      <c r="S787" s="86"/>
    </row>
    <row r="788" spans="1:19" ht="15">
      <c r="A788" s="70">
        <v>6</v>
      </c>
      <c r="B788" s="70"/>
      <c r="C788" s="72" t="s">
        <v>824</v>
      </c>
      <c r="D788" s="72" t="s">
        <v>254</v>
      </c>
      <c r="E788" s="85">
        <v>23666394.75</v>
      </c>
      <c r="F788" s="85" t="s">
        <v>254</v>
      </c>
      <c r="G788" s="85">
        <v>20811811.682913601</v>
      </c>
      <c r="H788" s="85" t="s">
        <v>254</v>
      </c>
      <c r="I788" s="85">
        <v>862763.56514007878</v>
      </c>
      <c r="J788" s="85">
        <v>1991819.5019463187</v>
      </c>
      <c r="K788" s="85" t="s">
        <v>254</v>
      </c>
      <c r="L788" s="85" t="s">
        <v>254</v>
      </c>
      <c r="M788" s="85">
        <v>100.36684729792069</v>
      </c>
      <c r="N788" s="85" t="s">
        <v>254</v>
      </c>
      <c r="O788" s="85">
        <v>1991719.1350990206</v>
      </c>
      <c r="P788" s="85">
        <v>629409.95652075484</v>
      </c>
      <c r="Q788" s="85">
        <v>1362309.1785782659</v>
      </c>
      <c r="R788" s="85"/>
      <c r="S788" s="86"/>
    </row>
    <row r="789" spans="1:19" ht="15">
      <c r="A789" s="70" t="s">
        <v>254</v>
      </c>
      <c r="B789" s="70"/>
      <c r="C789" s="72" t="s">
        <v>254</v>
      </c>
      <c r="D789" s="72" t="s">
        <v>254</v>
      </c>
      <c r="E789" s="85" t="s">
        <v>254</v>
      </c>
      <c r="F789" s="85" t="s">
        <v>254</v>
      </c>
      <c r="G789" s="85" t="s">
        <v>254</v>
      </c>
      <c r="H789" s="85" t="s">
        <v>254</v>
      </c>
      <c r="I789" s="85" t="s">
        <v>254</v>
      </c>
      <c r="J789" s="85" t="s">
        <v>254</v>
      </c>
      <c r="K789" s="85" t="s">
        <v>254</v>
      </c>
      <c r="L789" s="85" t="s">
        <v>254</v>
      </c>
      <c r="M789" s="85" t="s">
        <v>254</v>
      </c>
      <c r="N789" s="85" t="s">
        <v>254</v>
      </c>
      <c r="O789" s="85" t="s">
        <v>254</v>
      </c>
      <c r="P789" s="85" t="s">
        <v>254</v>
      </c>
      <c r="Q789" s="85" t="s">
        <v>254</v>
      </c>
      <c r="R789" s="85"/>
      <c r="S789" s="86"/>
    </row>
    <row r="790" spans="1:19" ht="15">
      <c r="A790" s="70" t="s">
        <v>254</v>
      </c>
      <c r="B790" s="70"/>
      <c r="C790" s="72" t="s">
        <v>825</v>
      </c>
      <c r="D790" s="72" t="s">
        <v>254</v>
      </c>
      <c r="E790" s="85" t="s">
        <v>254</v>
      </c>
      <c r="F790" s="85" t="s">
        <v>254</v>
      </c>
      <c r="G790" s="85" t="s">
        <v>254</v>
      </c>
      <c r="H790" s="85" t="s">
        <v>254</v>
      </c>
      <c r="I790" s="85" t="s">
        <v>254</v>
      </c>
      <c r="J790" s="85" t="s">
        <v>254</v>
      </c>
      <c r="K790" s="85" t="s">
        <v>254</v>
      </c>
      <c r="L790" s="85" t="s">
        <v>254</v>
      </c>
      <c r="M790" s="85" t="s">
        <v>254</v>
      </c>
      <c r="N790" s="85" t="s">
        <v>254</v>
      </c>
      <c r="O790" s="85" t="s">
        <v>254</v>
      </c>
      <c r="P790" s="85" t="s">
        <v>254</v>
      </c>
      <c r="Q790" s="85" t="s">
        <v>254</v>
      </c>
      <c r="R790" s="85"/>
      <c r="S790" s="86"/>
    </row>
    <row r="791" spans="1:19" ht="15">
      <c r="A791" s="70">
        <v>7</v>
      </c>
      <c r="B791" s="70"/>
      <c r="C791" s="72" t="s">
        <v>826</v>
      </c>
      <c r="D791" s="72" t="s">
        <v>501</v>
      </c>
      <c r="E791" s="85">
        <v>7709506.1400000006</v>
      </c>
      <c r="F791" s="85" t="s">
        <v>254</v>
      </c>
      <c r="G791" s="85">
        <v>6707738.0945627103</v>
      </c>
      <c r="H791" s="85" t="s">
        <v>254</v>
      </c>
      <c r="I791" s="85">
        <v>316770.09060695814</v>
      </c>
      <c r="J791" s="85">
        <v>684997.95483033184</v>
      </c>
      <c r="K791" s="85" t="s">
        <v>254</v>
      </c>
      <c r="L791" s="85" t="s">
        <v>254</v>
      </c>
      <c r="M791" s="85">
        <v>23.570500725047619</v>
      </c>
      <c r="N791" s="85" t="s">
        <v>254</v>
      </c>
      <c r="O791" s="85">
        <v>684974.38432960678</v>
      </c>
      <c r="P791" s="85">
        <v>212587.88354699436</v>
      </c>
      <c r="Q791" s="85">
        <v>472386.50078261248</v>
      </c>
      <c r="R791" s="85"/>
      <c r="S791" s="86"/>
    </row>
    <row r="792" spans="1:19" ht="15">
      <c r="A792" s="70">
        <v>8</v>
      </c>
      <c r="B792" s="70"/>
      <c r="C792" s="72" t="s">
        <v>827</v>
      </c>
      <c r="D792" s="72" t="s">
        <v>501</v>
      </c>
      <c r="E792" s="85">
        <v>9176639.790000001</v>
      </c>
      <c r="F792" s="85" t="s">
        <v>254</v>
      </c>
      <c r="G792" s="85">
        <v>7984233.3843011837</v>
      </c>
      <c r="H792" s="85" t="s">
        <v>254</v>
      </c>
      <c r="I792" s="85">
        <v>377052.04003452777</v>
      </c>
      <c r="J792" s="85">
        <v>815354.3656642898</v>
      </c>
      <c r="K792" s="85" t="s">
        <v>254</v>
      </c>
      <c r="L792" s="85" t="s">
        <v>254</v>
      </c>
      <c r="M792" s="85">
        <v>28.056011746518418</v>
      </c>
      <c r="N792" s="85" t="s">
        <v>254</v>
      </c>
      <c r="O792" s="85">
        <v>815326.30965254328</v>
      </c>
      <c r="P792" s="85">
        <v>253043.76124788131</v>
      </c>
      <c r="Q792" s="85">
        <v>562282.54840466194</v>
      </c>
      <c r="R792" s="85"/>
      <c r="S792" s="86"/>
    </row>
    <row r="793" spans="1:19" ht="15">
      <c r="A793" s="70">
        <v>9</v>
      </c>
      <c r="B793" s="70"/>
      <c r="C793" s="72" t="s">
        <v>828</v>
      </c>
      <c r="D793" s="72" t="s">
        <v>501</v>
      </c>
      <c r="E793" s="85">
        <v>6583442.0200000005</v>
      </c>
      <c r="F793" s="85" t="s">
        <v>254</v>
      </c>
      <c r="G793" s="85">
        <v>5727993.9893658198</v>
      </c>
      <c r="H793" s="85" t="s">
        <v>254</v>
      </c>
      <c r="I793" s="85">
        <v>270502.09018720046</v>
      </c>
      <c r="J793" s="85">
        <v>584945.9404469803</v>
      </c>
      <c r="K793" s="85" t="s">
        <v>254</v>
      </c>
      <c r="L793" s="85" t="s">
        <v>254</v>
      </c>
      <c r="M793" s="85">
        <v>20.127751646841414</v>
      </c>
      <c r="N793" s="85" t="s">
        <v>254</v>
      </c>
      <c r="O793" s="85">
        <v>584925.8126953335</v>
      </c>
      <c r="P793" s="85">
        <v>181536.92079245811</v>
      </c>
      <c r="Q793" s="85">
        <v>403388.89190287539</v>
      </c>
      <c r="R793" s="85"/>
      <c r="S793" s="86"/>
    </row>
    <row r="794" spans="1:19" ht="15">
      <c r="A794" s="70">
        <v>10</v>
      </c>
      <c r="B794" s="70"/>
      <c r="C794" s="72" t="s">
        <v>829</v>
      </c>
      <c r="D794" s="72" t="s">
        <v>501</v>
      </c>
      <c r="E794" s="85">
        <v>2122525.14</v>
      </c>
      <c r="F794" s="85" t="s">
        <v>254</v>
      </c>
      <c r="G794" s="85">
        <v>1846725.6500874972</v>
      </c>
      <c r="H794" s="85" t="s">
        <v>254</v>
      </c>
      <c r="I794" s="85">
        <v>87210.836687049654</v>
      </c>
      <c r="J794" s="85">
        <v>188588.65322545342</v>
      </c>
      <c r="K794" s="85" t="s">
        <v>254</v>
      </c>
      <c r="L794" s="85" t="s">
        <v>254</v>
      </c>
      <c r="M794" s="85">
        <v>6.4892587725861528</v>
      </c>
      <c r="N794" s="85" t="s">
        <v>254</v>
      </c>
      <c r="O794" s="85">
        <v>188582.16396668085</v>
      </c>
      <c r="P794" s="85">
        <v>58528.149416311113</v>
      </c>
      <c r="Q794" s="85">
        <v>130054.01455036973</v>
      </c>
      <c r="R794" s="85"/>
      <c r="S794" s="86"/>
    </row>
    <row r="795" spans="1:19" ht="15">
      <c r="A795" s="70">
        <v>11</v>
      </c>
      <c r="B795" s="70"/>
      <c r="C795" s="72" t="s">
        <v>830</v>
      </c>
      <c r="D795" s="72" t="s">
        <v>501</v>
      </c>
      <c r="E795" s="85">
        <v>0</v>
      </c>
      <c r="F795" s="85" t="s">
        <v>254</v>
      </c>
      <c r="G795" s="85">
        <v>0</v>
      </c>
      <c r="H795" s="85" t="s">
        <v>254</v>
      </c>
      <c r="I795" s="85">
        <v>0</v>
      </c>
      <c r="J795" s="85">
        <v>0</v>
      </c>
      <c r="K795" s="85" t="s">
        <v>254</v>
      </c>
      <c r="L795" s="85" t="s">
        <v>254</v>
      </c>
      <c r="M795" s="85">
        <v>0</v>
      </c>
      <c r="N795" s="85" t="s">
        <v>254</v>
      </c>
      <c r="O795" s="85">
        <v>0</v>
      </c>
      <c r="P795" s="85">
        <v>0</v>
      </c>
      <c r="Q795" s="85">
        <v>0</v>
      </c>
      <c r="R795" s="85"/>
      <c r="S795" s="86"/>
    </row>
    <row r="796" spans="1:19" ht="15">
      <c r="A796" s="70">
        <v>12</v>
      </c>
      <c r="B796" s="70"/>
      <c r="C796" s="72" t="s">
        <v>831</v>
      </c>
      <c r="D796" s="72" t="s">
        <v>501</v>
      </c>
      <c r="E796" s="85">
        <v>1344868.0899999999</v>
      </c>
      <c r="F796" s="85" t="s">
        <v>254</v>
      </c>
      <c r="G796" s="85">
        <v>1170116.8344169436</v>
      </c>
      <c r="H796" s="85" t="s">
        <v>254</v>
      </c>
      <c r="I796" s="85">
        <v>55258.271929167524</v>
      </c>
      <c r="J796" s="85">
        <v>119492.9836538887</v>
      </c>
      <c r="K796" s="85" t="s">
        <v>254</v>
      </c>
      <c r="L796" s="85" t="s">
        <v>254</v>
      </c>
      <c r="M796" s="85">
        <v>4.1117049153084153</v>
      </c>
      <c r="N796" s="85" t="s">
        <v>254</v>
      </c>
      <c r="O796" s="85">
        <v>119488.87194897339</v>
      </c>
      <c r="P796" s="85">
        <v>37084.432609711715</v>
      </c>
      <c r="Q796" s="85">
        <v>82404.439339261677</v>
      </c>
      <c r="R796" s="85"/>
      <c r="S796" s="86"/>
    </row>
    <row r="797" spans="1:19" ht="15">
      <c r="A797" s="70">
        <v>13</v>
      </c>
      <c r="B797" s="70"/>
      <c r="C797" s="72" t="s">
        <v>832</v>
      </c>
      <c r="D797" s="72" t="s">
        <v>501</v>
      </c>
      <c r="E797" s="85">
        <v>390384.82</v>
      </c>
      <c r="F797" s="85" t="s">
        <v>254</v>
      </c>
      <c r="G797" s="85">
        <v>339658.47890913108</v>
      </c>
      <c r="H797" s="85" t="s">
        <v>254</v>
      </c>
      <c r="I797" s="85">
        <v>16040.227811918059</v>
      </c>
      <c r="J797" s="85">
        <v>34686.11327895087</v>
      </c>
      <c r="K797" s="85" t="s">
        <v>254</v>
      </c>
      <c r="L797" s="85" t="s">
        <v>254</v>
      </c>
      <c r="M797" s="85">
        <v>1.1935350352879524</v>
      </c>
      <c r="N797" s="85" t="s">
        <v>254</v>
      </c>
      <c r="O797" s="85">
        <v>34684.919743915583</v>
      </c>
      <c r="P797" s="85">
        <v>10764.772885007957</v>
      </c>
      <c r="Q797" s="85">
        <v>23920.146858907625</v>
      </c>
      <c r="R797" s="85"/>
      <c r="S797" s="86"/>
    </row>
    <row r="798" spans="1:19" ht="15">
      <c r="A798" s="70">
        <v>14</v>
      </c>
      <c r="B798" s="70"/>
      <c r="C798" s="72" t="s">
        <v>833</v>
      </c>
      <c r="D798" s="72" t="s">
        <v>501</v>
      </c>
      <c r="E798" s="85">
        <v>0</v>
      </c>
      <c r="F798" s="85" t="s">
        <v>254</v>
      </c>
      <c r="G798" s="85">
        <v>0</v>
      </c>
      <c r="H798" s="85" t="s">
        <v>254</v>
      </c>
      <c r="I798" s="85">
        <v>0</v>
      </c>
      <c r="J798" s="85">
        <v>0</v>
      </c>
      <c r="K798" s="85" t="s">
        <v>254</v>
      </c>
      <c r="L798" s="85" t="s">
        <v>254</v>
      </c>
      <c r="M798" s="85">
        <v>0</v>
      </c>
      <c r="N798" s="85" t="s">
        <v>254</v>
      </c>
      <c r="O798" s="85">
        <v>0</v>
      </c>
      <c r="P798" s="85">
        <v>0</v>
      </c>
      <c r="Q798" s="85">
        <v>0</v>
      </c>
      <c r="R798" s="85"/>
      <c r="S798" s="86"/>
    </row>
    <row r="799" spans="1:19" ht="15">
      <c r="A799" s="70">
        <v>15</v>
      </c>
      <c r="B799" s="70"/>
      <c r="C799" s="72" t="s">
        <v>834</v>
      </c>
      <c r="D799" s="72" t="s">
        <v>501</v>
      </c>
      <c r="E799" s="85">
        <v>0</v>
      </c>
      <c r="F799" s="85" t="s">
        <v>254</v>
      </c>
      <c r="G799" s="85">
        <v>0</v>
      </c>
      <c r="H799" s="85" t="s">
        <v>254</v>
      </c>
      <c r="I799" s="85">
        <v>0</v>
      </c>
      <c r="J799" s="85">
        <v>0</v>
      </c>
      <c r="K799" s="85" t="s">
        <v>254</v>
      </c>
      <c r="L799" s="85" t="s">
        <v>254</v>
      </c>
      <c r="M799" s="85">
        <v>0</v>
      </c>
      <c r="N799" s="85" t="s">
        <v>254</v>
      </c>
      <c r="O799" s="85">
        <v>0</v>
      </c>
      <c r="P799" s="85">
        <v>0</v>
      </c>
      <c r="Q799" s="85">
        <v>0</v>
      </c>
      <c r="R799" s="85"/>
      <c r="S799" s="86"/>
    </row>
    <row r="800" spans="1:19" ht="15">
      <c r="A800" s="70">
        <v>16</v>
      </c>
      <c r="B800" s="70"/>
      <c r="C800" s="72" t="s">
        <v>835</v>
      </c>
      <c r="D800" s="72" t="s">
        <v>501</v>
      </c>
      <c r="E800" s="85">
        <v>4753.4000000000015</v>
      </c>
      <c r="F800" s="85" t="s">
        <v>254</v>
      </c>
      <c r="G800" s="85">
        <v>4135.7463992751154</v>
      </c>
      <c r="H800" s="85" t="s">
        <v>254</v>
      </c>
      <c r="I800" s="85">
        <v>195.30887210514823</v>
      </c>
      <c r="J800" s="85">
        <v>422.34472861973751</v>
      </c>
      <c r="K800" s="85" t="s">
        <v>254</v>
      </c>
      <c r="L800" s="85" t="s">
        <v>254</v>
      </c>
      <c r="M800" s="85">
        <v>1.4532710151838777E-2</v>
      </c>
      <c r="N800" s="85" t="s">
        <v>254</v>
      </c>
      <c r="O800" s="85">
        <v>422.33019590958565</v>
      </c>
      <c r="P800" s="85">
        <v>131.07392708455424</v>
      </c>
      <c r="Q800" s="85">
        <v>291.25626882503144</v>
      </c>
      <c r="R800" s="85"/>
      <c r="S800" s="86"/>
    </row>
    <row r="801" spans="1:19" ht="15">
      <c r="A801" s="70">
        <v>17</v>
      </c>
      <c r="B801" s="70"/>
      <c r="C801" s="72" t="s">
        <v>836</v>
      </c>
      <c r="D801" s="72" t="s">
        <v>501</v>
      </c>
      <c r="E801" s="85">
        <v>161738.97999999998</v>
      </c>
      <c r="F801" s="85" t="s">
        <v>254</v>
      </c>
      <c r="G801" s="85">
        <v>140722.72566109095</v>
      </c>
      <c r="H801" s="85" t="s">
        <v>254</v>
      </c>
      <c r="I801" s="85">
        <v>6645.5711194591486</v>
      </c>
      <c r="J801" s="85">
        <v>14370.683219449897</v>
      </c>
      <c r="K801" s="85" t="s">
        <v>254</v>
      </c>
      <c r="L801" s="85" t="s">
        <v>254</v>
      </c>
      <c r="M801" s="85">
        <v>0.49448935847899361</v>
      </c>
      <c r="N801" s="85" t="s">
        <v>254</v>
      </c>
      <c r="O801" s="85">
        <v>14370.188730091417</v>
      </c>
      <c r="P801" s="85">
        <v>4459.9156963962996</v>
      </c>
      <c r="Q801" s="85">
        <v>9910.2730336951172</v>
      </c>
      <c r="R801" s="85"/>
      <c r="S801" s="86"/>
    </row>
    <row r="802" spans="1:19" ht="15">
      <c r="A802" s="70">
        <v>18</v>
      </c>
      <c r="B802" s="70"/>
      <c r="C802" s="72" t="s">
        <v>837</v>
      </c>
      <c r="D802" s="72" t="s">
        <v>501</v>
      </c>
      <c r="E802" s="85">
        <v>50486.789999999994</v>
      </c>
      <c r="F802" s="85" t="s">
        <v>254</v>
      </c>
      <c r="G802" s="85">
        <v>43926.570445041201</v>
      </c>
      <c r="H802" s="85" t="s">
        <v>254</v>
      </c>
      <c r="I802" s="85">
        <v>2074.4136851747116</v>
      </c>
      <c r="J802" s="85">
        <v>4485.8058697840852</v>
      </c>
      <c r="K802" s="85" t="s">
        <v>254</v>
      </c>
      <c r="L802" s="85" t="s">
        <v>254</v>
      </c>
      <c r="M802" s="85">
        <v>0.15435475355887412</v>
      </c>
      <c r="N802" s="85" t="s">
        <v>254</v>
      </c>
      <c r="O802" s="85">
        <v>4485.6515150305268</v>
      </c>
      <c r="P802" s="85">
        <v>1392.161785499474</v>
      </c>
      <c r="Q802" s="85">
        <v>3093.4897295310525</v>
      </c>
      <c r="R802" s="85"/>
      <c r="S802" s="86"/>
    </row>
    <row r="803" spans="1:19" ht="15">
      <c r="A803" s="70">
        <v>19</v>
      </c>
      <c r="B803" s="70"/>
      <c r="C803" s="72" t="s">
        <v>2452</v>
      </c>
      <c r="D803" s="72" t="s">
        <v>501</v>
      </c>
      <c r="E803" s="85">
        <v>0</v>
      </c>
      <c r="F803" s="85" t="s">
        <v>254</v>
      </c>
      <c r="G803" s="85">
        <v>0</v>
      </c>
      <c r="H803" s="85" t="s">
        <v>254</v>
      </c>
      <c r="I803" s="85">
        <v>0</v>
      </c>
      <c r="J803" s="85">
        <v>0</v>
      </c>
      <c r="K803" s="85" t="s">
        <v>254</v>
      </c>
      <c r="L803" s="85" t="s">
        <v>254</v>
      </c>
      <c r="M803" s="85">
        <v>0</v>
      </c>
      <c r="N803" s="85" t="s">
        <v>254</v>
      </c>
      <c r="O803" s="85">
        <v>0</v>
      </c>
      <c r="P803" s="85">
        <v>0</v>
      </c>
      <c r="Q803" s="85">
        <v>0</v>
      </c>
      <c r="R803" s="85"/>
      <c r="S803" s="86"/>
    </row>
    <row r="804" spans="1:19" ht="15">
      <c r="A804" s="70">
        <v>20</v>
      </c>
      <c r="B804" s="70"/>
      <c r="C804" s="72" t="s">
        <v>838</v>
      </c>
      <c r="D804" s="72" t="s">
        <v>501</v>
      </c>
      <c r="E804" s="85">
        <v>25315.850000000002</v>
      </c>
      <c r="F804" s="85" t="s">
        <v>254</v>
      </c>
      <c r="G804" s="85">
        <v>22026.325468525458</v>
      </c>
      <c r="H804" s="85" t="s">
        <v>254</v>
      </c>
      <c r="I804" s="85">
        <v>1040.1838915056835</v>
      </c>
      <c r="J804" s="85">
        <v>2249.3406399688602</v>
      </c>
      <c r="K804" s="85" t="s">
        <v>254</v>
      </c>
      <c r="L804" s="85" t="s">
        <v>254</v>
      </c>
      <c r="M804" s="85">
        <v>7.7398895589983516E-2</v>
      </c>
      <c r="N804" s="85" t="s">
        <v>254</v>
      </c>
      <c r="O804" s="85">
        <v>2249.2632410732704</v>
      </c>
      <c r="P804" s="85">
        <v>698.07882294431613</v>
      </c>
      <c r="Q804" s="85">
        <v>1551.1844181289543</v>
      </c>
      <c r="R804" s="85"/>
      <c r="S804" s="86"/>
    </row>
    <row r="805" spans="1:19" ht="15">
      <c r="A805" s="70">
        <v>21</v>
      </c>
      <c r="B805" s="70"/>
      <c r="C805" s="72" t="s">
        <v>839</v>
      </c>
      <c r="D805" s="72" t="s">
        <v>501</v>
      </c>
      <c r="E805" s="85">
        <v>1443.65</v>
      </c>
      <c r="F805" s="85" t="s">
        <v>254</v>
      </c>
      <c r="G805" s="85">
        <v>1256.0630894335675</v>
      </c>
      <c r="H805" s="85" t="s">
        <v>254</v>
      </c>
      <c r="I805" s="85">
        <v>59.317047421760677</v>
      </c>
      <c r="J805" s="85">
        <v>128.269863144672</v>
      </c>
      <c r="K805" s="85" t="s">
        <v>254</v>
      </c>
      <c r="L805" s="85" t="s">
        <v>254</v>
      </c>
      <c r="M805" s="85">
        <v>4.4137137650317772E-3</v>
      </c>
      <c r="N805" s="85" t="s">
        <v>254</v>
      </c>
      <c r="O805" s="85">
        <v>128.26544943090698</v>
      </c>
      <c r="P805" s="85">
        <v>39.808321377459649</v>
      </c>
      <c r="Q805" s="85">
        <v>88.457128053447349</v>
      </c>
      <c r="R805" s="85"/>
      <c r="S805" s="86"/>
    </row>
    <row r="806" spans="1:19" ht="15">
      <c r="A806" s="70">
        <v>22</v>
      </c>
      <c r="B806" s="70"/>
      <c r="C806" s="72" t="s">
        <v>840</v>
      </c>
      <c r="D806" s="72" t="s">
        <v>501</v>
      </c>
      <c r="E806" s="85">
        <v>1064676.98</v>
      </c>
      <c r="F806" s="85" t="s">
        <v>254</v>
      </c>
      <c r="G806" s="85">
        <v>926333.5689035434</v>
      </c>
      <c r="H806" s="85" t="s">
        <v>254</v>
      </c>
      <c r="I806" s="85">
        <v>43745.710464113145</v>
      </c>
      <c r="J806" s="85">
        <v>94597.70063234352</v>
      </c>
      <c r="K806" s="85" t="s">
        <v>254</v>
      </c>
      <c r="L806" s="85" t="s">
        <v>254</v>
      </c>
      <c r="M806" s="85">
        <v>3.2550683627876991</v>
      </c>
      <c r="N806" s="85" t="s">
        <v>254</v>
      </c>
      <c r="O806" s="85">
        <v>94594.445563980727</v>
      </c>
      <c r="P806" s="85">
        <v>29358.226289629187</v>
      </c>
      <c r="Q806" s="85">
        <v>65236.219274351533</v>
      </c>
      <c r="R806" s="85"/>
      <c r="S806" s="86"/>
    </row>
    <row r="807" spans="1:19" ht="15">
      <c r="A807" s="70">
        <v>23</v>
      </c>
      <c r="B807" s="70"/>
      <c r="C807" s="72" t="s">
        <v>841</v>
      </c>
      <c r="D807" s="72" t="s">
        <v>501</v>
      </c>
      <c r="E807" s="85">
        <v>214088.74</v>
      </c>
      <c r="F807" s="85" t="s">
        <v>254</v>
      </c>
      <c r="G807" s="85">
        <v>186270.19303663613</v>
      </c>
      <c r="H807" s="85" t="s">
        <v>254</v>
      </c>
      <c r="I807" s="85">
        <v>8796.5309756831575</v>
      </c>
      <c r="J807" s="85">
        <v>19022.015987680716</v>
      </c>
      <c r="K807" s="85" t="s">
        <v>254</v>
      </c>
      <c r="L807" s="85" t="s">
        <v>254</v>
      </c>
      <c r="M807" s="85">
        <v>0.65453982521823784</v>
      </c>
      <c r="N807" s="85" t="s">
        <v>254</v>
      </c>
      <c r="O807" s="85">
        <v>19021.361447855499</v>
      </c>
      <c r="P807" s="85">
        <v>5903.4484571851899</v>
      </c>
      <c r="Q807" s="85">
        <v>13117.912990670309</v>
      </c>
      <c r="R807" s="85"/>
      <c r="S807" s="86"/>
    </row>
    <row r="808" spans="1:19" ht="15">
      <c r="A808" s="70">
        <v>24</v>
      </c>
      <c r="B808" s="70"/>
      <c r="C808" s="72" t="s">
        <v>842</v>
      </c>
      <c r="D808" s="72" t="s">
        <v>501</v>
      </c>
      <c r="E808" s="85">
        <v>1941136.76</v>
      </c>
      <c r="F808" s="85" t="s">
        <v>254</v>
      </c>
      <c r="G808" s="85">
        <v>1688906.7542539155</v>
      </c>
      <c r="H808" s="85" t="s">
        <v>254</v>
      </c>
      <c r="I808" s="85">
        <v>79757.906171885756</v>
      </c>
      <c r="J808" s="85">
        <v>172472.09957419877</v>
      </c>
      <c r="K808" s="85" t="s">
        <v>254</v>
      </c>
      <c r="L808" s="85" t="s">
        <v>254</v>
      </c>
      <c r="M808" s="85">
        <v>5.9346947233894536</v>
      </c>
      <c r="N808" s="85" t="s">
        <v>254</v>
      </c>
      <c r="O808" s="85">
        <v>172466.16487947537</v>
      </c>
      <c r="P808" s="85">
        <v>53526.405970755208</v>
      </c>
      <c r="Q808" s="85">
        <v>118939.75890872018</v>
      </c>
      <c r="R808" s="85"/>
      <c r="S808" s="86"/>
    </row>
    <row r="809" spans="1:19" ht="15">
      <c r="A809" s="70">
        <v>25</v>
      </c>
      <c r="B809" s="70"/>
      <c r="C809" s="72" t="s">
        <v>843</v>
      </c>
      <c r="D809" s="72" t="s">
        <v>501</v>
      </c>
      <c r="E809" s="85">
        <v>0</v>
      </c>
      <c r="F809" s="85" t="s">
        <v>254</v>
      </c>
      <c r="G809" s="85">
        <v>0</v>
      </c>
      <c r="H809" s="85" t="s">
        <v>254</v>
      </c>
      <c r="I809" s="85">
        <v>0</v>
      </c>
      <c r="J809" s="85">
        <v>0</v>
      </c>
      <c r="K809" s="85" t="s">
        <v>254</v>
      </c>
      <c r="L809" s="85" t="s">
        <v>254</v>
      </c>
      <c r="M809" s="85">
        <v>0</v>
      </c>
      <c r="N809" s="85" t="s">
        <v>254</v>
      </c>
      <c r="O809" s="85">
        <v>0</v>
      </c>
      <c r="P809" s="85">
        <v>0</v>
      </c>
      <c r="Q809" s="85">
        <v>0</v>
      </c>
      <c r="R809" s="85"/>
      <c r="S809" s="86"/>
    </row>
    <row r="810" spans="1:19" ht="15">
      <c r="A810" s="70">
        <v>26</v>
      </c>
      <c r="B810" s="70"/>
      <c r="C810" s="72" t="s">
        <v>844</v>
      </c>
      <c r="D810" s="72" t="s">
        <v>501</v>
      </c>
      <c r="E810" s="85">
        <v>274112.81</v>
      </c>
      <c r="F810" s="85" t="s">
        <v>254</v>
      </c>
      <c r="G810" s="85">
        <v>238494.77572951646</v>
      </c>
      <c r="H810" s="85" t="s">
        <v>254</v>
      </c>
      <c r="I810" s="85">
        <v>11262.81477482913</v>
      </c>
      <c r="J810" s="85">
        <v>24355.219495654408</v>
      </c>
      <c r="K810" s="85" t="s">
        <v>254</v>
      </c>
      <c r="L810" s="85" t="s">
        <v>254</v>
      </c>
      <c r="M810" s="85">
        <v>0.83805318648463267</v>
      </c>
      <c r="N810" s="85" t="s">
        <v>254</v>
      </c>
      <c r="O810" s="85">
        <v>24354.381442467922</v>
      </c>
      <c r="P810" s="85">
        <v>7558.5985759419073</v>
      </c>
      <c r="Q810" s="85">
        <v>16795.782866526013</v>
      </c>
      <c r="R810" s="85"/>
      <c r="S810" s="86"/>
    </row>
    <row r="811" spans="1:19" ht="15">
      <c r="A811" s="70">
        <v>27</v>
      </c>
      <c r="B811" s="70"/>
      <c r="C811" s="72" t="s">
        <v>845</v>
      </c>
      <c r="D811" s="72" t="s">
        <v>501</v>
      </c>
      <c r="E811" s="85">
        <v>119214.85</v>
      </c>
      <c r="F811" s="85" t="s">
        <v>254</v>
      </c>
      <c r="G811" s="85">
        <v>103724.1525282162</v>
      </c>
      <c r="H811" s="85" t="s">
        <v>254</v>
      </c>
      <c r="I811" s="85">
        <v>4898.329173156988</v>
      </c>
      <c r="J811" s="85">
        <v>10592.368298626818</v>
      </c>
      <c r="K811" s="85" t="s">
        <v>254</v>
      </c>
      <c r="L811" s="85" t="s">
        <v>254</v>
      </c>
      <c r="M811" s="85">
        <v>0.36447908041505805</v>
      </c>
      <c r="N811" s="85" t="s">
        <v>254</v>
      </c>
      <c r="O811" s="85">
        <v>10592.003819546402</v>
      </c>
      <c r="P811" s="85">
        <v>3287.3224547263158</v>
      </c>
      <c r="Q811" s="85">
        <v>7304.6813648200859</v>
      </c>
      <c r="R811" s="85"/>
      <c r="S811" s="86"/>
    </row>
    <row r="812" spans="1:19" ht="15">
      <c r="A812" s="70">
        <v>28</v>
      </c>
      <c r="B812" s="70"/>
      <c r="C812" s="72" t="s">
        <v>846</v>
      </c>
      <c r="D812" s="72" t="s">
        <v>501</v>
      </c>
      <c r="E812" s="85">
        <v>1352052.8600000003</v>
      </c>
      <c r="F812" s="85" t="s">
        <v>254</v>
      </c>
      <c r="G812" s="85">
        <v>1176368.0202328064</v>
      </c>
      <c r="H812" s="85" t="s">
        <v>254</v>
      </c>
      <c r="I812" s="85">
        <v>55553.481531775134</v>
      </c>
      <c r="J812" s="85">
        <v>120131.35823541887</v>
      </c>
      <c r="K812" s="85" t="s">
        <v>254</v>
      </c>
      <c r="L812" s="85" t="s">
        <v>254</v>
      </c>
      <c r="M812" s="85">
        <v>4.1336711247411655</v>
      </c>
      <c r="N812" s="85" t="s">
        <v>254</v>
      </c>
      <c r="O812" s="85">
        <v>120127.22456429413</v>
      </c>
      <c r="P812" s="85">
        <v>37282.551013191194</v>
      </c>
      <c r="Q812" s="85">
        <v>82844.673551102926</v>
      </c>
      <c r="R812" s="85"/>
      <c r="S812" s="86"/>
    </row>
    <row r="813" spans="1:19" ht="15">
      <c r="A813" s="70">
        <v>29</v>
      </c>
      <c r="B813" s="70"/>
      <c r="C813" s="72" t="s">
        <v>847</v>
      </c>
      <c r="D813" s="72" t="s">
        <v>501</v>
      </c>
      <c r="E813" s="85">
        <v>1557272.7499999998</v>
      </c>
      <c r="F813" s="85" t="s">
        <v>254</v>
      </c>
      <c r="G813" s="85">
        <v>1354921.7756767271</v>
      </c>
      <c r="H813" s="85" t="s">
        <v>254</v>
      </c>
      <c r="I813" s="85">
        <v>63985.607010262625</v>
      </c>
      <c r="J813" s="85">
        <v>138365.36731301009</v>
      </c>
      <c r="K813" s="85" t="s">
        <v>254</v>
      </c>
      <c r="L813" s="85" t="s">
        <v>254</v>
      </c>
      <c r="M813" s="85">
        <v>4.7610959530245474</v>
      </c>
      <c r="N813" s="85" t="s">
        <v>254</v>
      </c>
      <c r="O813" s="85">
        <v>138360.60621705707</v>
      </c>
      <c r="P813" s="85">
        <v>42941.442942791095</v>
      </c>
      <c r="Q813" s="85">
        <v>95419.163274265971</v>
      </c>
      <c r="R813" s="85"/>
      <c r="S813" s="86"/>
    </row>
    <row r="814" spans="1:19" ht="15">
      <c r="A814" s="70">
        <v>30</v>
      </c>
      <c r="B814" s="70"/>
      <c r="C814" s="72" t="s">
        <v>848</v>
      </c>
      <c r="D814" s="72" t="s">
        <v>501</v>
      </c>
      <c r="E814" s="85">
        <v>0</v>
      </c>
      <c r="F814" s="85" t="s">
        <v>254</v>
      </c>
      <c r="G814" s="85">
        <v>0</v>
      </c>
      <c r="H814" s="85" t="s">
        <v>254</v>
      </c>
      <c r="I814" s="85">
        <v>0</v>
      </c>
      <c r="J814" s="85">
        <v>0</v>
      </c>
      <c r="K814" s="85" t="s">
        <v>254</v>
      </c>
      <c r="L814" s="85" t="s">
        <v>254</v>
      </c>
      <c r="M814" s="85">
        <v>0</v>
      </c>
      <c r="N814" s="85" t="s">
        <v>254</v>
      </c>
      <c r="O814" s="85">
        <v>0</v>
      </c>
      <c r="P814" s="85">
        <v>0</v>
      </c>
      <c r="Q814" s="85">
        <v>0</v>
      </c>
      <c r="R814" s="85"/>
      <c r="S814" s="86"/>
    </row>
    <row r="815" spans="1:19" ht="15">
      <c r="A815" s="70">
        <v>31</v>
      </c>
      <c r="B815" s="70"/>
      <c r="C815" s="72" t="s">
        <v>849</v>
      </c>
      <c r="D815" s="72" t="s">
        <v>501</v>
      </c>
      <c r="E815" s="85">
        <v>1853967.7700000003</v>
      </c>
      <c r="F815" s="85" t="s">
        <v>254</v>
      </c>
      <c r="G815" s="85">
        <v>1613064.4442187937</v>
      </c>
      <c r="H815" s="85" t="s">
        <v>254</v>
      </c>
      <c r="I815" s="85">
        <v>76176.285201749663</v>
      </c>
      <c r="J815" s="85">
        <v>164727.04057945678</v>
      </c>
      <c r="K815" s="85" t="s">
        <v>254</v>
      </c>
      <c r="L815" s="85" t="s">
        <v>254</v>
      </c>
      <c r="M815" s="85">
        <v>5.6681903968235146</v>
      </c>
      <c r="N815" s="85" t="s">
        <v>254</v>
      </c>
      <c r="O815" s="85">
        <v>164721.37238905995</v>
      </c>
      <c r="P815" s="85">
        <v>51122.740838577352</v>
      </c>
      <c r="Q815" s="85">
        <v>113598.63155048261</v>
      </c>
      <c r="R815" s="85"/>
      <c r="S815" s="86"/>
    </row>
    <row r="816" spans="1:19" ht="15">
      <c r="A816" s="70">
        <v>32</v>
      </c>
      <c r="B816" s="70"/>
      <c r="C816" s="72" t="s">
        <v>850</v>
      </c>
      <c r="D816" s="72" t="s">
        <v>501</v>
      </c>
      <c r="E816" s="85">
        <v>0</v>
      </c>
      <c r="F816" s="85" t="s">
        <v>254</v>
      </c>
      <c r="G816" s="85">
        <v>0</v>
      </c>
      <c r="H816" s="85" t="s">
        <v>254</v>
      </c>
      <c r="I816" s="85">
        <v>0</v>
      </c>
      <c r="J816" s="85">
        <v>0</v>
      </c>
      <c r="K816" s="85" t="s">
        <v>254</v>
      </c>
      <c r="L816" s="85" t="s">
        <v>254</v>
      </c>
      <c r="M816" s="85">
        <v>0</v>
      </c>
      <c r="N816" s="85" t="s">
        <v>254</v>
      </c>
      <c r="O816" s="85">
        <v>0</v>
      </c>
      <c r="P816" s="85">
        <v>0</v>
      </c>
      <c r="Q816" s="85">
        <v>0</v>
      </c>
      <c r="R816" s="85"/>
      <c r="S816" s="86"/>
    </row>
    <row r="817" spans="1:19" ht="15">
      <c r="A817" s="70" t="s">
        <v>254</v>
      </c>
      <c r="B817" s="70"/>
      <c r="C817" s="72" t="s">
        <v>254</v>
      </c>
      <c r="D817" s="72" t="s">
        <v>254</v>
      </c>
      <c r="E817" s="85" t="s">
        <v>254</v>
      </c>
      <c r="F817" s="85" t="s">
        <v>254</v>
      </c>
      <c r="G817" s="85" t="s">
        <v>254</v>
      </c>
      <c r="H817" s="85" t="s">
        <v>254</v>
      </c>
      <c r="I817" s="85" t="s">
        <v>254</v>
      </c>
      <c r="J817" s="85" t="s">
        <v>254</v>
      </c>
      <c r="K817" s="85" t="s">
        <v>254</v>
      </c>
      <c r="L817" s="85" t="s">
        <v>254</v>
      </c>
      <c r="M817" s="85" t="s">
        <v>254</v>
      </c>
      <c r="N817" s="85" t="s">
        <v>254</v>
      </c>
      <c r="O817" s="85" t="s">
        <v>254</v>
      </c>
      <c r="P817" s="85" t="s">
        <v>254</v>
      </c>
      <c r="Q817" s="85" t="s">
        <v>254</v>
      </c>
      <c r="R817" s="85"/>
      <c r="S817" s="86"/>
    </row>
    <row r="818" spans="1:19" ht="15">
      <c r="A818" s="70">
        <v>33</v>
      </c>
      <c r="B818" s="70"/>
      <c r="C818" s="72" t="s">
        <v>851</v>
      </c>
      <c r="D818" s="72" t="s">
        <v>254</v>
      </c>
      <c r="E818" s="85">
        <v>35947628.190000005</v>
      </c>
      <c r="F818" s="85" t="s">
        <v>254</v>
      </c>
      <c r="G818" s="85">
        <v>31276617.547286808</v>
      </c>
      <c r="H818" s="85" t="s">
        <v>254</v>
      </c>
      <c r="I818" s="85">
        <v>1477025.0171759436</v>
      </c>
      <c r="J818" s="85">
        <v>3193985.625537253</v>
      </c>
      <c r="K818" s="85">
        <v>0</v>
      </c>
      <c r="L818" s="85">
        <v>0</v>
      </c>
      <c r="M818" s="85">
        <v>109.903744926019</v>
      </c>
      <c r="N818" s="85" t="s">
        <v>254</v>
      </c>
      <c r="O818" s="85">
        <v>3193875.7217923263</v>
      </c>
      <c r="P818" s="85">
        <v>991247.69559446408</v>
      </c>
      <c r="Q818" s="85">
        <v>2202628.0261978623</v>
      </c>
      <c r="R818" s="85"/>
      <c r="S818" s="86"/>
    </row>
    <row r="819" spans="1:19" ht="15">
      <c r="A819" s="70" t="s">
        <v>254</v>
      </c>
      <c r="B819" s="70"/>
      <c r="C819" s="72" t="s">
        <v>254</v>
      </c>
      <c r="D819" s="72" t="s">
        <v>254</v>
      </c>
      <c r="E819" s="85" t="s">
        <v>254</v>
      </c>
      <c r="F819" s="85" t="s">
        <v>254</v>
      </c>
      <c r="G819" s="85" t="s">
        <v>254</v>
      </c>
      <c r="H819" s="85" t="s">
        <v>254</v>
      </c>
      <c r="I819" s="85" t="s">
        <v>254</v>
      </c>
      <c r="J819" s="85" t="s">
        <v>254</v>
      </c>
      <c r="K819" s="85" t="s">
        <v>254</v>
      </c>
      <c r="L819" s="85" t="s">
        <v>254</v>
      </c>
      <c r="M819" s="85" t="s">
        <v>254</v>
      </c>
      <c r="N819" s="85" t="s">
        <v>254</v>
      </c>
      <c r="O819" s="85" t="s">
        <v>254</v>
      </c>
      <c r="P819" s="85" t="s">
        <v>254</v>
      </c>
      <c r="Q819" s="85" t="s">
        <v>254</v>
      </c>
      <c r="R819" s="85"/>
      <c r="S819" s="86"/>
    </row>
    <row r="820" spans="1:19" ht="15">
      <c r="A820" s="70">
        <v>34</v>
      </c>
      <c r="B820" s="70"/>
      <c r="C820" s="72" t="s">
        <v>852</v>
      </c>
      <c r="D820" s="72" t="s">
        <v>254</v>
      </c>
      <c r="E820" s="85">
        <v>59614022.940000005</v>
      </c>
      <c r="F820" s="85" t="s">
        <v>254</v>
      </c>
      <c r="G820" s="85">
        <v>52088429.23020041</v>
      </c>
      <c r="H820" s="85" t="s">
        <v>254</v>
      </c>
      <c r="I820" s="85">
        <v>2339788.5823160224</v>
      </c>
      <c r="J820" s="85">
        <v>5185805.1274835719</v>
      </c>
      <c r="K820" s="85">
        <v>0</v>
      </c>
      <c r="L820" s="85">
        <v>0</v>
      </c>
      <c r="M820" s="85">
        <v>210.27059222393967</v>
      </c>
      <c r="N820" s="85" t="s">
        <v>254</v>
      </c>
      <c r="O820" s="85">
        <v>5185594.8568913471</v>
      </c>
      <c r="P820" s="85">
        <v>1620657.6521152188</v>
      </c>
      <c r="Q820" s="85">
        <v>3564937.2047761283</v>
      </c>
      <c r="R820" s="85"/>
      <c r="S820" s="86"/>
    </row>
    <row r="821" spans="1:19" ht="15">
      <c r="A821" s="70" t="s">
        <v>254</v>
      </c>
      <c r="B821" s="70"/>
      <c r="C821" s="72" t="s">
        <v>254</v>
      </c>
      <c r="D821" s="72" t="s">
        <v>254</v>
      </c>
      <c r="E821" s="85" t="s">
        <v>254</v>
      </c>
      <c r="F821" s="85" t="s">
        <v>254</v>
      </c>
      <c r="G821" s="85" t="s">
        <v>254</v>
      </c>
      <c r="H821" s="85" t="s">
        <v>254</v>
      </c>
      <c r="I821" s="85" t="s">
        <v>254</v>
      </c>
      <c r="J821" s="85" t="s">
        <v>254</v>
      </c>
      <c r="K821" s="85" t="s">
        <v>254</v>
      </c>
      <c r="L821" s="85" t="s">
        <v>254</v>
      </c>
      <c r="M821" s="85" t="s">
        <v>254</v>
      </c>
      <c r="N821" s="85" t="s">
        <v>254</v>
      </c>
      <c r="O821" s="85" t="s">
        <v>254</v>
      </c>
      <c r="P821" s="85" t="s">
        <v>254</v>
      </c>
      <c r="Q821" s="85" t="s">
        <v>254</v>
      </c>
      <c r="R821" s="85"/>
      <c r="S821" s="86"/>
    </row>
    <row r="822" spans="1:19" ht="15">
      <c r="A822" s="70" t="s">
        <v>254</v>
      </c>
      <c r="B822" s="70"/>
      <c r="C822" s="72" t="s">
        <v>254</v>
      </c>
      <c r="D822" s="72" t="s">
        <v>254</v>
      </c>
      <c r="E822" s="85" t="s">
        <v>254</v>
      </c>
      <c r="F822" s="85" t="s">
        <v>254</v>
      </c>
      <c r="G822" s="85" t="s">
        <v>254</v>
      </c>
      <c r="H822" s="85" t="s">
        <v>254</v>
      </c>
      <c r="I822" s="85" t="s">
        <v>254</v>
      </c>
      <c r="J822" s="85" t="s">
        <v>254</v>
      </c>
      <c r="K822" s="85" t="s">
        <v>254</v>
      </c>
      <c r="L822" s="85" t="s">
        <v>254</v>
      </c>
      <c r="M822" s="85" t="s">
        <v>254</v>
      </c>
      <c r="N822" s="85" t="s">
        <v>254</v>
      </c>
      <c r="O822" s="85" t="s">
        <v>254</v>
      </c>
      <c r="P822" s="85" t="s">
        <v>254</v>
      </c>
      <c r="Q822" s="85" t="s">
        <v>254</v>
      </c>
      <c r="R822" s="85"/>
      <c r="S822" s="86"/>
    </row>
    <row r="823" spans="1:19" ht="15">
      <c r="A823" s="70" t="s">
        <v>254</v>
      </c>
      <c r="B823" s="70"/>
      <c r="C823" s="72" t="s">
        <v>254</v>
      </c>
      <c r="D823" s="72" t="s">
        <v>254</v>
      </c>
      <c r="E823" s="85" t="s">
        <v>254</v>
      </c>
      <c r="F823" s="85" t="s">
        <v>254</v>
      </c>
      <c r="G823" s="85" t="s">
        <v>254</v>
      </c>
      <c r="H823" s="85" t="s">
        <v>254</v>
      </c>
      <c r="I823" s="85" t="s">
        <v>254</v>
      </c>
      <c r="J823" s="85" t="s">
        <v>254</v>
      </c>
      <c r="K823" s="85" t="s">
        <v>254</v>
      </c>
      <c r="L823" s="85" t="s">
        <v>254</v>
      </c>
      <c r="M823" s="85" t="s">
        <v>254</v>
      </c>
      <c r="N823" s="85" t="s">
        <v>254</v>
      </c>
      <c r="O823" s="85" t="s">
        <v>254</v>
      </c>
      <c r="P823" s="85" t="s">
        <v>254</v>
      </c>
      <c r="Q823" s="85" t="s">
        <v>254</v>
      </c>
      <c r="R823" s="85"/>
      <c r="S823" s="86"/>
    </row>
    <row r="824" spans="1:19" ht="15">
      <c r="A824" s="70" t="s">
        <v>254</v>
      </c>
      <c r="B824" s="70"/>
      <c r="C824" s="72" t="s">
        <v>254</v>
      </c>
      <c r="D824" s="72" t="s">
        <v>254</v>
      </c>
      <c r="E824" s="85" t="s">
        <v>254</v>
      </c>
      <c r="F824" s="85" t="s">
        <v>254</v>
      </c>
      <c r="G824" s="85" t="s">
        <v>254</v>
      </c>
      <c r="H824" s="85" t="s">
        <v>254</v>
      </c>
      <c r="I824" s="85" t="s">
        <v>254</v>
      </c>
      <c r="J824" s="85" t="s">
        <v>254</v>
      </c>
      <c r="K824" s="85" t="s">
        <v>254</v>
      </c>
      <c r="L824" s="85" t="s">
        <v>254</v>
      </c>
      <c r="M824" s="85" t="s">
        <v>254</v>
      </c>
      <c r="N824" s="85" t="s">
        <v>254</v>
      </c>
      <c r="O824" s="85" t="s">
        <v>254</v>
      </c>
      <c r="P824" s="85" t="s">
        <v>254</v>
      </c>
      <c r="Q824" s="85" t="s">
        <v>254</v>
      </c>
      <c r="R824" s="85"/>
      <c r="S824" s="86"/>
    </row>
    <row r="825" spans="1:19" ht="15">
      <c r="A825" s="70" t="s">
        <v>254</v>
      </c>
      <c r="B825" s="70"/>
      <c r="C825" s="72" t="s">
        <v>853</v>
      </c>
      <c r="D825" s="72" t="s">
        <v>254</v>
      </c>
      <c r="E825" s="85" t="s">
        <v>254</v>
      </c>
      <c r="F825" s="85" t="s">
        <v>254</v>
      </c>
      <c r="G825" s="85" t="s">
        <v>254</v>
      </c>
      <c r="H825" s="85" t="s">
        <v>254</v>
      </c>
      <c r="I825" s="85" t="s">
        <v>254</v>
      </c>
      <c r="J825" s="85" t="s">
        <v>254</v>
      </c>
      <c r="K825" s="85" t="s">
        <v>254</v>
      </c>
      <c r="L825" s="85" t="s">
        <v>254</v>
      </c>
      <c r="M825" s="85" t="s">
        <v>254</v>
      </c>
      <c r="N825" s="85" t="s">
        <v>254</v>
      </c>
      <c r="O825" s="85" t="s">
        <v>254</v>
      </c>
      <c r="P825" s="85" t="s">
        <v>254</v>
      </c>
      <c r="Q825" s="85" t="s">
        <v>254</v>
      </c>
      <c r="R825" s="85"/>
      <c r="S825" s="86"/>
    </row>
    <row r="826" spans="1:19" ht="15">
      <c r="A826" s="70">
        <v>1</v>
      </c>
      <c r="B826" s="70"/>
      <c r="C826" s="72" t="s">
        <v>854</v>
      </c>
      <c r="D826" s="72" t="s">
        <v>503</v>
      </c>
      <c r="E826" s="85">
        <v>1470923.66</v>
      </c>
      <c r="F826" s="85" t="s">
        <v>254</v>
      </c>
      <c r="G826" s="85">
        <v>1319920.9181477067</v>
      </c>
      <c r="H826" s="85" t="s">
        <v>254</v>
      </c>
      <c r="I826" s="85">
        <v>150998.10374679175</v>
      </c>
      <c r="J826" s="85">
        <v>4.6381055013797834</v>
      </c>
      <c r="K826" s="85" t="s">
        <v>254</v>
      </c>
      <c r="L826" s="85" t="s">
        <v>254</v>
      </c>
      <c r="M826" s="85">
        <v>4.6381055013797834</v>
      </c>
      <c r="N826" s="85" t="s">
        <v>254</v>
      </c>
      <c r="O826" s="85">
        <v>0</v>
      </c>
      <c r="P826" s="85">
        <v>0</v>
      </c>
      <c r="Q826" s="85">
        <v>0</v>
      </c>
      <c r="R826" s="85"/>
      <c r="S826" s="86"/>
    </row>
    <row r="827" spans="1:19" ht="15">
      <c r="A827" s="70">
        <v>2</v>
      </c>
      <c r="B827" s="70"/>
      <c r="C827" s="72" t="s">
        <v>855</v>
      </c>
      <c r="D827" s="72" t="s">
        <v>503</v>
      </c>
      <c r="E827" s="85">
        <v>3423690.4699999997</v>
      </c>
      <c r="F827" s="85" t="s">
        <v>254</v>
      </c>
      <c r="G827" s="85">
        <v>3072219.7157505467</v>
      </c>
      <c r="H827" s="85" t="s">
        <v>254</v>
      </c>
      <c r="I827" s="85">
        <v>351459.95869422768</v>
      </c>
      <c r="J827" s="85">
        <v>10.7955552254347</v>
      </c>
      <c r="K827" s="85" t="s">
        <v>254</v>
      </c>
      <c r="L827" s="85" t="s">
        <v>254</v>
      </c>
      <c r="M827" s="85">
        <v>10.7955552254347</v>
      </c>
      <c r="N827" s="85" t="s">
        <v>254</v>
      </c>
      <c r="O827" s="85">
        <v>0</v>
      </c>
      <c r="P827" s="85">
        <v>0</v>
      </c>
      <c r="Q827" s="85">
        <v>0</v>
      </c>
      <c r="R827" s="85"/>
      <c r="S827" s="86"/>
    </row>
    <row r="828" spans="1:19" ht="15">
      <c r="A828" s="70">
        <v>3</v>
      </c>
      <c r="B828" s="70"/>
      <c r="C828" s="72" t="s">
        <v>856</v>
      </c>
      <c r="D828" s="72" t="s">
        <v>503</v>
      </c>
      <c r="E828" s="85">
        <v>629107.68000000005</v>
      </c>
      <c r="F828" s="85" t="s">
        <v>254</v>
      </c>
      <c r="G828" s="85">
        <v>564524.46118065284</v>
      </c>
      <c r="H828" s="85" t="s">
        <v>254</v>
      </c>
      <c r="I828" s="85">
        <v>64581.235121708138</v>
      </c>
      <c r="J828" s="85">
        <v>1.9836976390523711</v>
      </c>
      <c r="K828" s="85" t="s">
        <v>254</v>
      </c>
      <c r="L828" s="85" t="s">
        <v>254</v>
      </c>
      <c r="M828" s="85">
        <v>1.9836976390523711</v>
      </c>
      <c r="N828" s="85" t="s">
        <v>254</v>
      </c>
      <c r="O828" s="85">
        <v>0</v>
      </c>
      <c r="P828" s="85">
        <v>0</v>
      </c>
      <c r="Q828" s="85">
        <v>0</v>
      </c>
      <c r="R828" s="85"/>
      <c r="S828" s="86"/>
    </row>
    <row r="829" spans="1:19" ht="15">
      <c r="A829" s="70">
        <v>4</v>
      </c>
      <c r="B829" s="70"/>
      <c r="C829" s="72" t="s">
        <v>857</v>
      </c>
      <c r="D829" s="72" t="s">
        <v>503</v>
      </c>
      <c r="E829" s="85">
        <v>30029.84</v>
      </c>
      <c r="F829" s="85" t="s">
        <v>254</v>
      </c>
      <c r="G829" s="85">
        <v>26947.023195363337</v>
      </c>
      <c r="H829" s="85" t="s">
        <v>254</v>
      </c>
      <c r="I829" s="85">
        <v>3082.7221147694077</v>
      </c>
      <c r="J829" s="85">
        <v>9.4689867256302532E-2</v>
      </c>
      <c r="K829" s="85" t="s">
        <v>254</v>
      </c>
      <c r="L829" s="85" t="s">
        <v>254</v>
      </c>
      <c r="M829" s="85">
        <v>9.4689867256302532E-2</v>
      </c>
      <c r="N829" s="85" t="s">
        <v>254</v>
      </c>
      <c r="O829" s="85">
        <v>0</v>
      </c>
      <c r="P829" s="85">
        <v>0</v>
      </c>
      <c r="Q829" s="85">
        <v>0</v>
      </c>
      <c r="R829" s="85"/>
      <c r="S829" s="86"/>
    </row>
    <row r="830" spans="1:19" ht="15">
      <c r="A830" s="70">
        <v>5</v>
      </c>
      <c r="B830" s="70"/>
      <c r="C830" s="72" t="s">
        <v>858</v>
      </c>
      <c r="D830" s="72" t="s">
        <v>503</v>
      </c>
      <c r="E830" s="85">
        <v>0</v>
      </c>
      <c r="F830" s="85" t="s">
        <v>254</v>
      </c>
      <c r="G830" s="85">
        <v>0</v>
      </c>
      <c r="H830" s="85" t="s">
        <v>254</v>
      </c>
      <c r="I830" s="85">
        <v>0</v>
      </c>
      <c r="J830" s="85">
        <v>0</v>
      </c>
      <c r="K830" s="85" t="s">
        <v>254</v>
      </c>
      <c r="L830" s="85" t="s">
        <v>254</v>
      </c>
      <c r="M830" s="85">
        <v>0</v>
      </c>
      <c r="N830" s="85" t="s">
        <v>254</v>
      </c>
      <c r="O830" s="85">
        <v>0</v>
      </c>
      <c r="P830" s="85">
        <v>0</v>
      </c>
      <c r="Q830" s="85">
        <v>0</v>
      </c>
      <c r="R830" s="85"/>
      <c r="S830" s="86"/>
    </row>
    <row r="831" spans="1:19" ht="15">
      <c r="A831" s="70">
        <v>6</v>
      </c>
      <c r="B831" s="70"/>
      <c r="C831" s="72" t="s">
        <v>859</v>
      </c>
      <c r="D831" s="72" t="s">
        <v>503</v>
      </c>
      <c r="E831" s="85">
        <v>256631.30000000005</v>
      </c>
      <c r="F831" s="85" t="s">
        <v>254</v>
      </c>
      <c r="G831" s="85">
        <v>230285.92872144</v>
      </c>
      <c r="H831" s="85" t="s">
        <v>254</v>
      </c>
      <c r="I831" s="85">
        <v>26344.562070661126</v>
      </c>
      <c r="J831" s="85">
        <v>0.80920789890363565</v>
      </c>
      <c r="K831" s="85" t="s">
        <v>254</v>
      </c>
      <c r="L831" s="85" t="s">
        <v>254</v>
      </c>
      <c r="M831" s="85">
        <v>0.80920789890363565</v>
      </c>
      <c r="N831" s="85" t="s">
        <v>254</v>
      </c>
      <c r="O831" s="85">
        <v>0</v>
      </c>
      <c r="P831" s="85">
        <v>0</v>
      </c>
      <c r="Q831" s="85">
        <v>0</v>
      </c>
      <c r="R831" s="85"/>
      <c r="S831" s="86"/>
    </row>
    <row r="832" spans="1:19" ht="15">
      <c r="A832" s="70">
        <v>7</v>
      </c>
      <c r="B832" s="70"/>
      <c r="C832" s="72" t="s">
        <v>860</v>
      </c>
      <c r="D832" s="72" t="s">
        <v>503</v>
      </c>
      <c r="E832" s="85">
        <v>0</v>
      </c>
      <c r="F832" s="85" t="s">
        <v>254</v>
      </c>
      <c r="G832" s="85">
        <v>0</v>
      </c>
      <c r="H832" s="85" t="s">
        <v>254</v>
      </c>
      <c r="I832" s="85">
        <v>0</v>
      </c>
      <c r="J832" s="85">
        <v>0</v>
      </c>
      <c r="K832" s="85" t="s">
        <v>254</v>
      </c>
      <c r="L832" s="85" t="s">
        <v>254</v>
      </c>
      <c r="M832" s="85">
        <v>0</v>
      </c>
      <c r="N832" s="85" t="s">
        <v>254</v>
      </c>
      <c r="O832" s="85">
        <v>0</v>
      </c>
      <c r="P832" s="85">
        <v>0</v>
      </c>
      <c r="Q832" s="85">
        <v>0</v>
      </c>
      <c r="R832" s="85"/>
      <c r="S832" s="86"/>
    </row>
    <row r="833" spans="1:19" ht="15">
      <c r="A833" s="70">
        <v>8</v>
      </c>
      <c r="B833" s="70"/>
      <c r="C833" s="72" t="s">
        <v>861</v>
      </c>
      <c r="D833" s="72" t="s">
        <v>503</v>
      </c>
      <c r="E833" s="85">
        <v>0</v>
      </c>
      <c r="F833" s="85" t="s">
        <v>254</v>
      </c>
      <c r="G833" s="85">
        <v>0</v>
      </c>
      <c r="H833" s="85" t="s">
        <v>254</v>
      </c>
      <c r="I833" s="85">
        <v>0</v>
      </c>
      <c r="J833" s="85">
        <v>0</v>
      </c>
      <c r="K833" s="85" t="s">
        <v>254</v>
      </c>
      <c r="L833" s="85" t="s">
        <v>254</v>
      </c>
      <c r="M833" s="85">
        <v>0</v>
      </c>
      <c r="N833" s="85" t="s">
        <v>254</v>
      </c>
      <c r="O833" s="85">
        <v>0</v>
      </c>
      <c r="P833" s="85">
        <v>0</v>
      </c>
      <c r="Q833" s="85">
        <v>0</v>
      </c>
      <c r="R833" s="85"/>
      <c r="S833" s="86"/>
    </row>
    <row r="834" spans="1:19" ht="15">
      <c r="A834" s="70">
        <v>9</v>
      </c>
      <c r="B834" s="70"/>
      <c r="C834" s="72" t="s">
        <v>862</v>
      </c>
      <c r="D834" s="72" t="s">
        <v>503</v>
      </c>
      <c r="E834" s="85">
        <v>1217614.26</v>
      </c>
      <c r="F834" s="85" t="s">
        <v>254</v>
      </c>
      <c r="G834" s="85">
        <v>1092615.8683238127</v>
      </c>
      <c r="H834" s="85" t="s">
        <v>254</v>
      </c>
      <c r="I834" s="85">
        <v>124994.55230399454</v>
      </c>
      <c r="J834" s="85">
        <v>3.8393721927516444</v>
      </c>
      <c r="K834" s="85" t="s">
        <v>254</v>
      </c>
      <c r="L834" s="85" t="s">
        <v>254</v>
      </c>
      <c r="M834" s="85">
        <v>3.8393721927516444</v>
      </c>
      <c r="N834" s="85" t="s">
        <v>254</v>
      </c>
      <c r="O834" s="85">
        <v>0</v>
      </c>
      <c r="P834" s="85">
        <v>0</v>
      </c>
      <c r="Q834" s="85">
        <v>0</v>
      </c>
      <c r="R834" s="85"/>
      <c r="S834" s="86"/>
    </row>
    <row r="835" spans="1:19" ht="15">
      <c r="A835" s="70">
        <v>10</v>
      </c>
      <c r="B835" s="70"/>
      <c r="C835" s="72" t="s">
        <v>863</v>
      </c>
      <c r="D835" s="72" t="s">
        <v>503</v>
      </c>
      <c r="E835" s="85">
        <v>320188.04000000004</v>
      </c>
      <c r="F835" s="85" t="s">
        <v>254</v>
      </c>
      <c r="G835" s="85">
        <v>287318.03235574765</v>
      </c>
      <c r="H835" s="85" t="s">
        <v>254</v>
      </c>
      <c r="I835" s="85">
        <v>32868.998029715505</v>
      </c>
      <c r="J835" s="85">
        <v>1.0096145368958238</v>
      </c>
      <c r="K835" s="85" t="s">
        <v>254</v>
      </c>
      <c r="L835" s="85" t="s">
        <v>254</v>
      </c>
      <c r="M835" s="85">
        <v>1.0096145368958238</v>
      </c>
      <c r="N835" s="85" t="s">
        <v>254</v>
      </c>
      <c r="O835" s="85">
        <v>0</v>
      </c>
      <c r="P835" s="85">
        <v>0</v>
      </c>
      <c r="Q835" s="85">
        <v>0</v>
      </c>
      <c r="R835" s="85"/>
      <c r="S835" s="86"/>
    </row>
    <row r="836" spans="1:19" ht="15">
      <c r="A836" s="70">
        <v>11</v>
      </c>
      <c r="B836" s="70"/>
      <c r="C836" s="72" t="s">
        <v>864</v>
      </c>
      <c r="D836" s="72" t="s">
        <v>503</v>
      </c>
      <c r="E836" s="85">
        <v>0</v>
      </c>
      <c r="F836" s="85" t="s">
        <v>254</v>
      </c>
      <c r="G836" s="85">
        <v>0</v>
      </c>
      <c r="H836" s="85" t="s">
        <v>254</v>
      </c>
      <c r="I836" s="85">
        <v>0</v>
      </c>
      <c r="J836" s="85">
        <v>0</v>
      </c>
      <c r="K836" s="85" t="s">
        <v>254</v>
      </c>
      <c r="L836" s="85" t="s">
        <v>254</v>
      </c>
      <c r="M836" s="85">
        <v>0</v>
      </c>
      <c r="N836" s="85" t="s">
        <v>254</v>
      </c>
      <c r="O836" s="85">
        <v>0</v>
      </c>
      <c r="P836" s="85">
        <v>0</v>
      </c>
      <c r="Q836" s="85">
        <v>0</v>
      </c>
      <c r="R836" s="85"/>
      <c r="S836" s="86"/>
    </row>
    <row r="837" spans="1:19" ht="15">
      <c r="A837" s="70">
        <v>12</v>
      </c>
      <c r="B837" s="70"/>
      <c r="C837" s="72" t="s">
        <v>865</v>
      </c>
      <c r="D837" s="72" t="s">
        <v>503</v>
      </c>
      <c r="E837" s="85">
        <v>22363.229999999992</v>
      </c>
      <c r="F837" s="85" t="s">
        <v>254</v>
      </c>
      <c r="G837" s="85">
        <v>20067.455488715394</v>
      </c>
      <c r="H837" s="85" t="s">
        <v>254</v>
      </c>
      <c r="I837" s="85">
        <v>2295.7039957147508</v>
      </c>
      <c r="J837" s="85">
        <v>7.0515569850594012E-2</v>
      </c>
      <c r="K837" s="85" t="s">
        <v>254</v>
      </c>
      <c r="L837" s="85" t="s">
        <v>254</v>
      </c>
      <c r="M837" s="85">
        <v>7.0515569850594012E-2</v>
      </c>
      <c r="N837" s="85" t="s">
        <v>254</v>
      </c>
      <c r="O837" s="85">
        <v>0</v>
      </c>
      <c r="P837" s="85">
        <v>0</v>
      </c>
      <c r="Q837" s="85">
        <v>0</v>
      </c>
      <c r="R837" s="85"/>
      <c r="S837" s="86"/>
    </row>
    <row r="838" spans="1:19" ht="15">
      <c r="A838" s="70" t="s">
        <v>254</v>
      </c>
      <c r="B838" s="70"/>
      <c r="C838" s="72" t="s">
        <v>254</v>
      </c>
      <c r="D838" s="72" t="s">
        <v>254</v>
      </c>
      <c r="E838" s="85" t="s">
        <v>254</v>
      </c>
      <c r="F838" s="85" t="s">
        <v>254</v>
      </c>
      <c r="G838" s="85" t="s">
        <v>254</v>
      </c>
      <c r="H838" s="85" t="s">
        <v>254</v>
      </c>
      <c r="I838" s="85" t="s">
        <v>254</v>
      </c>
      <c r="J838" s="85" t="s">
        <v>254</v>
      </c>
      <c r="K838" s="85" t="s">
        <v>254</v>
      </c>
      <c r="L838" s="85" t="s">
        <v>254</v>
      </c>
      <c r="M838" s="85" t="s">
        <v>254</v>
      </c>
      <c r="N838" s="85" t="s">
        <v>254</v>
      </c>
      <c r="O838" s="85" t="s">
        <v>254</v>
      </c>
      <c r="P838" s="85" t="s">
        <v>254</v>
      </c>
      <c r="Q838" s="85" t="s">
        <v>254</v>
      </c>
      <c r="R838" s="85"/>
      <c r="S838" s="86"/>
    </row>
    <row r="839" spans="1:19" ht="15">
      <c r="A839" s="70">
        <v>13</v>
      </c>
      <c r="B839" s="70"/>
      <c r="C839" s="72" t="s">
        <v>866</v>
      </c>
      <c r="D839" s="72" t="s">
        <v>503</v>
      </c>
      <c r="E839" s="85">
        <v>7370548.4800000004</v>
      </c>
      <c r="F839" s="85" t="s">
        <v>254</v>
      </c>
      <c r="G839" s="85">
        <v>6613899.4031639863</v>
      </c>
      <c r="H839" s="85" t="s">
        <v>254</v>
      </c>
      <c r="I839" s="85">
        <v>756625.83607758291</v>
      </c>
      <c r="J839" s="85">
        <v>23.240758431524856</v>
      </c>
      <c r="K839" s="85">
        <v>0</v>
      </c>
      <c r="L839" s="85">
        <v>0</v>
      </c>
      <c r="M839" s="85">
        <v>23.240758431524856</v>
      </c>
      <c r="N839" s="85" t="s">
        <v>254</v>
      </c>
      <c r="O839" s="85">
        <v>0</v>
      </c>
      <c r="P839" s="85">
        <v>0</v>
      </c>
      <c r="Q839" s="85">
        <v>0</v>
      </c>
      <c r="R839" s="85"/>
      <c r="S839" s="86"/>
    </row>
    <row r="840" spans="1:19" ht="15">
      <c r="A840" s="70" t="s">
        <v>254</v>
      </c>
      <c r="B840" s="70"/>
      <c r="C840" s="72" t="s">
        <v>254</v>
      </c>
      <c r="D840" s="72" t="s">
        <v>254</v>
      </c>
      <c r="E840" s="85" t="s">
        <v>254</v>
      </c>
      <c r="F840" s="85" t="s">
        <v>254</v>
      </c>
      <c r="G840" s="85" t="s">
        <v>254</v>
      </c>
      <c r="H840" s="85" t="s">
        <v>254</v>
      </c>
      <c r="I840" s="85" t="s">
        <v>254</v>
      </c>
      <c r="J840" s="85" t="s">
        <v>254</v>
      </c>
      <c r="K840" s="85" t="s">
        <v>254</v>
      </c>
      <c r="L840" s="85" t="s">
        <v>254</v>
      </c>
      <c r="M840" s="85" t="s">
        <v>254</v>
      </c>
      <c r="N840" s="85" t="s">
        <v>254</v>
      </c>
      <c r="O840" s="85" t="s">
        <v>254</v>
      </c>
      <c r="P840" s="85" t="s">
        <v>254</v>
      </c>
      <c r="Q840" s="85" t="s">
        <v>254</v>
      </c>
      <c r="R840" s="85"/>
      <c r="S840" s="86"/>
    </row>
    <row r="841" spans="1:19" ht="15">
      <c r="A841" s="70" t="s">
        <v>254</v>
      </c>
      <c r="B841" s="70"/>
      <c r="C841" s="72" t="s">
        <v>867</v>
      </c>
      <c r="D841" s="72" t="s">
        <v>254</v>
      </c>
      <c r="E841" s="85" t="s">
        <v>254</v>
      </c>
      <c r="F841" s="85" t="s">
        <v>254</v>
      </c>
      <c r="G841" s="85" t="s">
        <v>254</v>
      </c>
      <c r="H841" s="85" t="s">
        <v>254</v>
      </c>
      <c r="I841" s="85" t="s">
        <v>254</v>
      </c>
      <c r="J841" s="85" t="s">
        <v>254</v>
      </c>
      <c r="K841" s="85" t="s">
        <v>254</v>
      </c>
      <c r="L841" s="85" t="s">
        <v>254</v>
      </c>
      <c r="M841" s="85" t="s">
        <v>254</v>
      </c>
      <c r="N841" s="85" t="s">
        <v>254</v>
      </c>
      <c r="O841" s="85" t="s">
        <v>254</v>
      </c>
      <c r="P841" s="85" t="s">
        <v>254</v>
      </c>
      <c r="Q841" s="85" t="s">
        <v>254</v>
      </c>
      <c r="R841" s="85"/>
      <c r="S841" s="86"/>
    </row>
    <row r="842" spans="1:19" ht="15">
      <c r="A842" s="70">
        <v>1</v>
      </c>
      <c r="B842" s="70"/>
      <c r="C842" s="72" t="s">
        <v>868</v>
      </c>
      <c r="D842" s="72" t="s">
        <v>505</v>
      </c>
      <c r="E842" s="85">
        <v>1088329.6400000001</v>
      </c>
      <c r="F842" s="85" t="s">
        <v>254</v>
      </c>
      <c r="G842" s="85">
        <v>1026836.9457096537</v>
      </c>
      <c r="H842" s="85" t="s">
        <v>254</v>
      </c>
      <c r="I842" s="85">
        <v>58353.445553725804</v>
      </c>
      <c r="J842" s="85">
        <v>3139.2487366207092</v>
      </c>
      <c r="K842" s="85" t="s">
        <v>254</v>
      </c>
      <c r="L842" s="85" t="s">
        <v>254</v>
      </c>
      <c r="M842" s="85">
        <v>108.79441253762954</v>
      </c>
      <c r="N842" s="85" t="s">
        <v>254</v>
      </c>
      <c r="O842" s="85">
        <v>3030.4543240830799</v>
      </c>
      <c r="P842" s="85">
        <v>2626.7784069064433</v>
      </c>
      <c r="Q842" s="85">
        <v>403.67591717663674</v>
      </c>
      <c r="R842" s="85"/>
      <c r="S842" s="86"/>
    </row>
    <row r="843" spans="1:19" ht="15">
      <c r="A843" s="70">
        <v>2</v>
      </c>
      <c r="B843" s="70"/>
      <c r="C843" s="72" t="s">
        <v>869</v>
      </c>
      <c r="D843" s="72" t="s">
        <v>505</v>
      </c>
      <c r="E843" s="85">
        <v>360729.66000000003</v>
      </c>
      <c r="F843" s="85" t="s">
        <v>254</v>
      </c>
      <c r="G843" s="85">
        <v>340347.74822569545</v>
      </c>
      <c r="H843" s="85" t="s">
        <v>254</v>
      </c>
      <c r="I843" s="85">
        <v>19341.399701678638</v>
      </c>
      <c r="J843" s="85">
        <v>1040.512072625917</v>
      </c>
      <c r="K843" s="85" t="s">
        <v>254</v>
      </c>
      <c r="L843" s="85" t="s">
        <v>254</v>
      </c>
      <c r="M843" s="85">
        <v>36.060188018584924</v>
      </c>
      <c r="N843" s="85" t="s">
        <v>254</v>
      </c>
      <c r="O843" s="85">
        <v>1004.451884607332</v>
      </c>
      <c r="P843" s="85">
        <v>870.65246299705927</v>
      </c>
      <c r="Q843" s="85">
        <v>133.79942161027273</v>
      </c>
      <c r="R843" s="85"/>
      <c r="S843" s="86"/>
    </row>
    <row r="844" spans="1:19" ht="15">
      <c r="A844" s="70">
        <v>3</v>
      </c>
      <c r="B844" s="70"/>
      <c r="C844" s="72" t="s">
        <v>870</v>
      </c>
      <c r="D844" s="72" t="s">
        <v>505</v>
      </c>
      <c r="E844" s="85">
        <v>969130.28</v>
      </c>
      <c r="F844" s="85" t="s">
        <v>254</v>
      </c>
      <c r="G844" s="85">
        <v>914372.57622602407</v>
      </c>
      <c r="H844" s="85" t="s">
        <v>254</v>
      </c>
      <c r="I844" s="85">
        <v>51962.281417280006</v>
      </c>
      <c r="J844" s="85">
        <v>2795.4223566959677</v>
      </c>
      <c r="K844" s="85" t="s">
        <v>254</v>
      </c>
      <c r="L844" s="85" t="s">
        <v>254</v>
      </c>
      <c r="M844" s="85">
        <v>96.878698888535666</v>
      </c>
      <c r="N844" s="85" t="s">
        <v>254</v>
      </c>
      <c r="O844" s="85">
        <v>2698.5436578074318</v>
      </c>
      <c r="P844" s="85">
        <v>2339.0803662971034</v>
      </c>
      <c r="Q844" s="85">
        <v>359.46329151032836</v>
      </c>
      <c r="R844" s="85"/>
      <c r="S844" s="86"/>
    </row>
    <row r="845" spans="1:19" ht="15">
      <c r="A845" s="70">
        <v>4</v>
      </c>
      <c r="B845" s="70"/>
      <c r="C845" s="72" t="s">
        <v>871</v>
      </c>
      <c r="D845" s="72" t="s">
        <v>505</v>
      </c>
      <c r="E845" s="85">
        <v>2413053.34</v>
      </c>
      <c r="F845" s="85" t="s">
        <v>254</v>
      </c>
      <c r="G845" s="85">
        <v>2276711.2374887429</v>
      </c>
      <c r="H845" s="85" t="s">
        <v>254</v>
      </c>
      <c r="I845" s="85">
        <v>129381.73464973918</v>
      </c>
      <c r="J845" s="85">
        <v>6960.3678615179324</v>
      </c>
      <c r="K845" s="85" t="s">
        <v>254</v>
      </c>
      <c r="L845" s="85" t="s">
        <v>254</v>
      </c>
      <c r="M845" s="85">
        <v>241.21985738371032</v>
      </c>
      <c r="N845" s="85" t="s">
        <v>254</v>
      </c>
      <c r="O845" s="85">
        <v>6719.148004134222</v>
      </c>
      <c r="P845" s="85">
        <v>5824.1144734654754</v>
      </c>
      <c r="Q845" s="85">
        <v>895.03353066874706</v>
      </c>
      <c r="R845" s="85"/>
      <c r="S845" s="86"/>
    </row>
    <row r="846" spans="1:19" ht="15">
      <c r="A846" s="70">
        <v>5</v>
      </c>
      <c r="B846" s="70"/>
      <c r="C846" s="72" t="s">
        <v>872</v>
      </c>
      <c r="D846" s="72" t="s">
        <v>505</v>
      </c>
      <c r="E846" s="85">
        <v>0</v>
      </c>
      <c r="F846" s="85" t="s">
        <v>254</v>
      </c>
      <c r="G846" s="85">
        <v>0</v>
      </c>
      <c r="H846" s="85" t="s">
        <v>254</v>
      </c>
      <c r="I846" s="85">
        <v>0</v>
      </c>
      <c r="J846" s="85">
        <v>0</v>
      </c>
      <c r="K846" s="85" t="s">
        <v>254</v>
      </c>
      <c r="L846" s="85" t="s">
        <v>254</v>
      </c>
      <c r="M846" s="85">
        <v>0</v>
      </c>
      <c r="N846" s="85" t="s">
        <v>254</v>
      </c>
      <c r="O846" s="85">
        <v>0</v>
      </c>
      <c r="P846" s="85">
        <v>0</v>
      </c>
      <c r="Q846" s="85">
        <v>0</v>
      </c>
      <c r="R846" s="85"/>
      <c r="S846" s="86"/>
    </row>
    <row r="847" spans="1:19" ht="15">
      <c r="A847" s="70">
        <v>6</v>
      </c>
      <c r="B847" s="70"/>
      <c r="C847" s="72" t="s">
        <v>873</v>
      </c>
      <c r="D847" s="72" t="s">
        <v>505</v>
      </c>
      <c r="E847" s="85">
        <v>0</v>
      </c>
      <c r="F847" s="85" t="s">
        <v>254</v>
      </c>
      <c r="G847" s="85">
        <v>0</v>
      </c>
      <c r="H847" s="85" t="s">
        <v>254</v>
      </c>
      <c r="I847" s="85">
        <v>0</v>
      </c>
      <c r="J847" s="85">
        <v>0</v>
      </c>
      <c r="K847" s="85" t="s">
        <v>254</v>
      </c>
      <c r="L847" s="85" t="s">
        <v>254</v>
      </c>
      <c r="M847" s="85">
        <v>0</v>
      </c>
      <c r="N847" s="85" t="s">
        <v>254</v>
      </c>
      <c r="O847" s="85">
        <v>0</v>
      </c>
      <c r="P847" s="85">
        <v>0</v>
      </c>
      <c r="Q847" s="85">
        <v>0</v>
      </c>
      <c r="R847" s="85"/>
      <c r="S847" s="86"/>
    </row>
    <row r="848" spans="1:19" ht="15">
      <c r="A848" s="70">
        <v>7</v>
      </c>
      <c r="B848" s="70"/>
      <c r="C848" s="72" t="s">
        <v>874</v>
      </c>
      <c r="D848" s="72" t="s">
        <v>505</v>
      </c>
      <c r="E848" s="85">
        <v>4693064.4900000012</v>
      </c>
      <c r="F848" s="85" t="s">
        <v>254</v>
      </c>
      <c r="G848" s="85">
        <v>4427897.4217131799</v>
      </c>
      <c r="H848" s="85" t="s">
        <v>254</v>
      </c>
      <c r="I848" s="85">
        <v>251630.08810211119</v>
      </c>
      <c r="J848" s="85">
        <v>13536.980184709491</v>
      </c>
      <c r="K848" s="85" t="s">
        <v>254</v>
      </c>
      <c r="L848" s="85" t="s">
        <v>254</v>
      </c>
      <c r="M848" s="85">
        <v>469.14020846731694</v>
      </c>
      <c r="N848" s="85" t="s">
        <v>254</v>
      </c>
      <c r="O848" s="85">
        <v>13067.839976242174</v>
      </c>
      <c r="P848" s="85">
        <v>11327.120030059457</v>
      </c>
      <c r="Q848" s="85">
        <v>1740.7199461827161</v>
      </c>
      <c r="R848" s="85"/>
      <c r="S848" s="86"/>
    </row>
    <row r="849" spans="1:19" ht="15">
      <c r="A849" s="70">
        <v>8</v>
      </c>
      <c r="B849" s="70"/>
      <c r="C849" s="72" t="s">
        <v>875</v>
      </c>
      <c r="D849" s="72" t="s">
        <v>505</v>
      </c>
      <c r="E849" s="85">
        <v>0</v>
      </c>
      <c r="F849" s="85" t="s">
        <v>254</v>
      </c>
      <c r="G849" s="85">
        <v>0</v>
      </c>
      <c r="H849" s="85" t="s">
        <v>254</v>
      </c>
      <c r="I849" s="85">
        <v>0</v>
      </c>
      <c r="J849" s="85">
        <v>0</v>
      </c>
      <c r="K849" s="85" t="s">
        <v>254</v>
      </c>
      <c r="L849" s="85" t="s">
        <v>254</v>
      </c>
      <c r="M849" s="85">
        <v>0</v>
      </c>
      <c r="N849" s="85" t="s">
        <v>254</v>
      </c>
      <c r="O849" s="85">
        <v>0</v>
      </c>
      <c r="P849" s="85">
        <v>0</v>
      </c>
      <c r="Q849" s="85">
        <v>0</v>
      </c>
      <c r="R849" s="85"/>
      <c r="S849" s="86"/>
    </row>
    <row r="850" spans="1:19" ht="15">
      <c r="A850" s="70">
        <v>9</v>
      </c>
      <c r="B850" s="70"/>
      <c r="C850" s="72" t="s">
        <v>876</v>
      </c>
      <c r="D850" s="72" t="s">
        <v>505</v>
      </c>
      <c r="E850" s="85">
        <v>2741388.94</v>
      </c>
      <c r="F850" s="85" t="s">
        <v>254</v>
      </c>
      <c r="G850" s="85">
        <v>2586495.2517068493</v>
      </c>
      <c r="H850" s="85" t="s">
        <v>254</v>
      </c>
      <c r="I850" s="85">
        <v>146986.24789073656</v>
      </c>
      <c r="J850" s="85">
        <v>7907.4404024142759</v>
      </c>
      <c r="K850" s="85" t="s">
        <v>254</v>
      </c>
      <c r="L850" s="85" t="s">
        <v>254</v>
      </c>
      <c r="M850" s="85">
        <v>274.04178688403169</v>
      </c>
      <c r="N850" s="85" t="s">
        <v>254</v>
      </c>
      <c r="O850" s="85">
        <v>7633.3986155302446</v>
      </c>
      <c r="P850" s="85">
        <v>6616.5810503186713</v>
      </c>
      <c r="Q850" s="85">
        <v>1016.8175652115731</v>
      </c>
      <c r="R850" s="85"/>
      <c r="S850" s="86"/>
    </row>
    <row r="851" spans="1:19" ht="15">
      <c r="A851" s="70">
        <v>10</v>
      </c>
      <c r="B851" s="70"/>
      <c r="C851" s="72" t="s">
        <v>877</v>
      </c>
      <c r="D851" s="72" t="s">
        <v>505</v>
      </c>
      <c r="E851" s="85">
        <v>0</v>
      </c>
      <c r="F851" s="85" t="s">
        <v>254</v>
      </c>
      <c r="G851" s="85">
        <v>0</v>
      </c>
      <c r="H851" s="85" t="s">
        <v>254</v>
      </c>
      <c r="I851" s="85">
        <v>0</v>
      </c>
      <c r="J851" s="85">
        <v>0</v>
      </c>
      <c r="K851" s="85" t="s">
        <v>254</v>
      </c>
      <c r="L851" s="85" t="s">
        <v>254</v>
      </c>
      <c r="M851" s="85">
        <v>0</v>
      </c>
      <c r="N851" s="85" t="s">
        <v>254</v>
      </c>
      <c r="O851" s="85">
        <v>0</v>
      </c>
      <c r="P851" s="85">
        <v>0</v>
      </c>
      <c r="Q851" s="85">
        <v>0</v>
      </c>
      <c r="R851" s="85"/>
      <c r="S851" s="86"/>
    </row>
    <row r="852" spans="1:19" ht="15">
      <c r="A852" s="70">
        <v>11</v>
      </c>
      <c r="B852" s="70"/>
      <c r="C852" s="72" t="s">
        <v>878</v>
      </c>
      <c r="D852" s="72" t="s">
        <v>505</v>
      </c>
      <c r="E852" s="85">
        <v>9385.81</v>
      </c>
      <c r="F852" s="85" t="s">
        <v>254</v>
      </c>
      <c r="G852" s="85">
        <v>8855.4938864029482</v>
      </c>
      <c r="H852" s="85" t="s">
        <v>254</v>
      </c>
      <c r="I852" s="85">
        <v>503.24307331427184</v>
      </c>
      <c r="J852" s="85">
        <v>27.073040282778674</v>
      </c>
      <c r="K852" s="85" t="s">
        <v>254</v>
      </c>
      <c r="L852" s="85" t="s">
        <v>254</v>
      </c>
      <c r="M852" s="85">
        <v>0.93824853023373378</v>
      </c>
      <c r="N852" s="85" t="s">
        <v>254</v>
      </c>
      <c r="O852" s="85">
        <v>26.134791752544942</v>
      </c>
      <c r="P852" s="85">
        <v>22.653470174097766</v>
      </c>
      <c r="Q852" s="85">
        <v>3.4813215784471776</v>
      </c>
      <c r="R852" s="85"/>
      <c r="S852" s="86"/>
    </row>
    <row r="853" spans="1:19" ht="15">
      <c r="A853" s="70">
        <v>13</v>
      </c>
      <c r="B853" s="70"/>
      <c r="C853" s="72" t="s">
        <v>879</v>
      </c>
      <c r="D853" s="72" t="s">
        <v>505</v>
      </c>
      <c r="E853" s="85">
        <v>584164.06000000006</v>
      </c>
      <c r="F853" s="85" t="s">
        <v>254</v>
      </c>
      <c r="G853" s="85">
        <v>551157.67972996749</v>
      </c>
      <c r="H853" s="85" t="s">
        <v>254</v>
      </c>
      <c r="I853" s="85">
        <v>31321.37949459266</v>
      </c>
      <c r="J853" s="85">
        <v>1685.0007754398971</v>
      </c>
      <c r="K853" s="85" t="s">
        <v>254</v>
      </c>
      <c r="L853" s="85" t="s">
        <v>254</v>
      </c>
      <c r="M853" s="85">
        <v>58.395713391851181</v>
      </c>
      <c r="N853" s="85" t="s">
        <v>254</v>
      </c>
      <c r="O853" s="85">
        <v>1626.605062048046</v>
      </c>
      <c r="P853" s="85">
        <v>1409.9308541287176</v>
      </c>
      <c r="Q853" s="85">
        <v>216.67420791932844</v>
      </c>
      <c r="R853" s="85"/>
      <c r="S853" s="86"/>
    </row>
    <row r="854" spans="1:19" ht="15">
      <c r="A854" s="70">
        <v>14</v>
      </c>
      <c r="B854" s="70"/>
      <c r="C854" s="72" t="s">
        <v>880</v>
      </c>
      <c r="D854" s="72" t="s">
        <v>505</v>
      </c>
      <c r="E854" s="85">
        <v>7137511.0099999998</v>
      </c>
      <c r="F854" s="85" t="s">
        <v>254</v>
      </c>
      <c r="G854" s="85">
        <v>6734228.064832842</v>
      </c>
      <c r="H854" s="85" t="s">
        <v>254</v>
      </c>
      <c r="I854" s="85">
        <v>382695.04459251283</v>
      </c>
      <c r="J854" s="85">
        <v>20587.90057464474</v>
      </c>
      <c r="K854" s="85" t="s">
        <v>254</v>
      </c>
      <c r="L854" s="85" t="s">
        <v>254</v>
      </c>
      <c r="M854" s="85">
        <v>713.49827182305978</v>
      </c>
      <c r="N854" s="85" t="s">
        <v>254</v>
      </c>
      <c r="O854" s="85">
        <v>19874.40230282168</v>
      </c>
      <c r="P854" s="85">
        <v>17227.004678587084</v>
      </c>
      <c r="Q854" s="85">
        <v>2647.3976242345952</v>
      </c>
      <c r="R854" s="85"/>
      <c r="S854" s="86"/>
    </row>
    <row r="855" spans="1:19" ht="15">
      <c r="A855" s="70">
        <v>15</v>
      </c>
      <c r="B855" s="70"/>
      <c r="C855" s="72" t="s">
        <v>881</v>
      </c>
      <c r="D855" s="72" t="s">
        <v>505</v>
      </c>
      <c r="E855" s="85">
        <v>319943.93000000005</v>
      </c>
      <c r="F855" s="85" t="s">
        <v>254</v>
      </c>
      <c r="G855" s="85">
        <v>301866.48953118949</v>
      </c>
      <c r="H855" s="85" t="s">
        <v>254</v>
      </c>
      <c r="I855" s="85">
        <v>17154.573406178719</v>
      </c>
      <c r="J855" s="85">
        <v>922.86706263183714</v>
      </c>
      <c r="K855" s="85" t="s">
        <v>254</v>
      </c>
      <c r="L855" s="85" t="s">
        <v>254</v>
      </c>
      <c r="M855" s="85">
        <v>31.983059755066922</v>
      </c>
      <c r="N855" s="85" t="s">
        <v>254</v>
      </c>
      <c r="O855" s="85">
        <v>890.88400287677018</v>
      </c>
      <c r="P855" s="85">
        <v>772.21255018358829</v>
      </c>
      <c r="Q855" s="85">
        <v>118.67145269318189</v>
      </c>
      <c r="R855" s="85"/>
      <c r="S855" s="86"/>
    </row>
    <row r="856" spans="1:19" ht="15">
      <c r="A856" s="70">
        <v>16</v>
      </c>
      <c r="B856" s="70"/>
      <c r="C856" s="72" t="s">
        <v>882</v>
      </c>
      <c r="D856" s="72" t="s">
        <v>505</v>
      </c>
      <c r="E856" s="85">
        <v>80695.550000000017</v>
      </c>
      <c r="F856" s="85" t="s">
        <v>254</v>
      </c>
      <c r="G856" s="85">
        <v>76136.097969692928</v>
      </c>
      <c r="H856" s="85" t="s">
        <v>254</v>
      </c>
      <c r="I856" s="85">
        <v>4326.6885420422414</v>
      </c>
      <c r="J856" s="85">
        <v>232.76348826483604</v>
      </c>
      <c r="K856" s="85" t="s">
        <v>254</v>
      </c>
      <c r="L856" s="85" t="s">
        <v>254</v>
      </c>
      <c r="M856" s="85">
        <v>8.0666965540430482</v>
      </c>
      <c r="N856" s="85" t="s">
        <v>254</v>
      </c>
      <c r="O856" s="85">
        <v>224.69679171079301</v>
      </c>
      <c r="P856" s="85">
        <v>194.76574052824583</v>
      </c>
      <c r="Q856" s="85">
        <v>29.931051182547179</v>
      </c>
      <c r="R856" s="85"/>
      <c r="S856" s="86"/>
    </row>
    <row r="857" spans="1:19" ht="15">
      <c r="A857" s="70">
        <v>17</v>
      </c>
      <c r="B857" s="70"/>
      <c r="C857" s="72" t="s">
        <v>883</v>
      </c>
      <c r="D857" s="72" t="s">
        <v>505</v>
      </c>
      <c r="E857" s="85">
        <v>0</v>
      </c>
      <c r="F857" s="85" t="s">
        <v>254</v>
      </c>
      <c r="G857" s="85">
        <v>0</v>
      </c>
      <c r="H857" s="85" t="s">
        <v>254</v>
      </c>
      <c r="I857" s="85">
        <v>0</v>
      </c>
      <c r="J857" s="85">
        <v>0</v>
      </c>
      <c r="K857" s="85" t="s">
        <v>254</v>
      </c>
      <c r="L857" s="85" t="s">
        <v>254</v>
      </c>
      <c r="M857" s="85">
        <v>0</v>
      </c>
      <c r="N857" s="85" t="s">
        <v>254</v>
      </c>
      <c r="O857" s="85">
        <v>0</v>
      </c>
      <c r="P857" s="85">
        <v>0</v>
      </c>
      <c r="Q857" s="85">
        <v>0</v>
      </c>
      <c r="R857" s="85"/>
      <c r="S857" s="86"/>
    </row>
    <row r="858" spans="1:19" ht="15">
      <c r="A858" s="70">
        <v>18</v>
      </c>
      <c r="B858" s="70"/>
      <c r="C858" s="72" t="s">
        <v>884</v>
      </c>
      <c r="D858" s="72" t="s">
        <v>505</v>
      </c>
      <c r="E858" s="85">
        <v>0</v>
      </c>
      <c r="F858" s="85" t="s">
        <v>254</v>
      </c>
      <c r="G858" s="85">
        <v>0</v>
      </c>
      <c r="H858" s="85" t="s">
        <v>254</v>
      </c>
      <c r="I858" s="85">
        <v>0</v>
      </c>
      <c r="J858" s="85">
        <v>0</v>
      </c>
      <c r="K858" s="85" t="s">
        <v>254</v>
      </c>
      <c r="L858" s="85" t="s">
        <v>254</v>
      </c>
      <c r="M858" s="85">
        <v>0</v>
      </c>
      <c r="N858" s="85" t="s">
        <v>254</v>
      </c>
      <c r="O858" s="85">
        <v>0</v>
      </c>
      <c r="P858" s="85">
        <v>0</v>
      </c>
      <c r="Q858" s="85">
        <v>0</v>
      </c>
      <c r="R858" s="85"/>
      <c r="S858" s="86"/>
    </row>
    <row r="859" spans="1:19" ht="15">
      <c r="A859" s="70">
        <v>19</v>
      </c>
      <c r="B859" s="70"/>
      <c r="C859" s="72" t="s">
        <v>885</v>
      </c>
      <c r="D859" s="72" t="s">
        <v>505</v>
      </c>
      <c r="E859" s="85">
        <v>10183.610000000002</v>
      </c>
      <c r="F859" s="85" t="s">
        <v>254</v>
      </c>
      <c r="G859" s="85">
        <v>9608.216669260506</v>
      </c>
      <c r="H859" s="85" t="s">
        <v>254</v>
      </c>
      <c r="I859" s="85">
        <v>546.01906429322059</v>
      </c>
      <c r="J859" s="85">
        <v>29.374266446274515</v>
      </c>
      <c r="K859" s="85" t="s">
        <v>254</v>
      </c>
      <c r="L859" s="85" t="s">
        <v>254</v>
      </c>
      <c r="M859" s="85">
        <v>1.0180002700857522</v>
      </c>
      <c r="N859" s="85" t="s">
        <v>254</v>
      </c>
      <c r="O859" s="85">
        <v>28.356266176188761</v>
      </c>
      <c r="P859" s="85">
        <v>24.579029982456898</v>
      </c>
      <c r="Q859" s="85">
        <v>3.7772361937318637</v>
      </c>
      <c r="R859" s="85"/>
      <c r="S859" s="86"/>
    </row>
    <row r="860" spans="1:19" ht="15">
      <c r="A860" s="70" t="s">
        <v>254</v>
      </c>
      <c r="B860" s="70"/>
      <c r="C860" s="72" t="s">
        <v>254</v>
      </c>
      <c r="D860" s="72" t="s">
        <v>254</v>
      </c>
      <c r="E860" s="85" t="s">
        <v>254</v>
      </c>
      <c r="F860" s="85" t="s">
        <v>254</v>
      </c>
      <c r="G860" s="85" t="s">
        <v>254</v>
      </c>
      <c r="H860" s="85" t="s">
        <v>254</v>
      </c>
      <c r="I860" s="85" t="s">
        <v>254</v>
      </c>
      <c r="J860" s="85" t="s">
        <v>254</v>
      </c>
      <c r="K860" s="85" t="s">
        <v>254</v>
      </c>
      <c r="L860" s="85" t="s">
        <v>254</v>
      </c>
      <c r="M860" s="85" t="s">
        <v>254</v>
      </c>
      <c r="N860" s="85" t="s">
        <v>254</v>
      </c>
      <c r="O860" s="85" t="s">
        <v>254</v>
      </c>
      <c r="P860" s="85" t="s">
        <v>254</v>
      </c>
      <c r="Q860" s="85" t="s">
        <v>254</v>
      </c>
      <c r="R860" s="85"/>
      <c r="S860" s="86"/>
    </row>
    <row r="861" spans="1:19" ht="15">
      <c r="A861" s="70">
        <v>20</v>
      </c>
      <c r="B861" s="70"/>
      <c r="C861" s="72" t="s">
        <v>886</v>
      </c>
      <c r="D861" s="72" t="s">
        <v>505</v>
      </c>
      <c r="E861" s="85">
        <v>20407580.32</v>
      </c>
      <c r="F861" s="85" t="s">
        <v>254</v>
      </c>
      <c r="G861" s="85">
        <v>19254513.2236895</v>
      </c>
      <c r="H861" s="85" t="s">
        <v>254</v>
      </c>
      <c r="I861" s="85">
        <v>1094202.1454882054</v>
      </c>
      <c r="J861" s="85">
        <v>58864.950822294653</v>
      </c>
      <c r="K861" s="85" t="s">
        <v>254</v>
      </c>
      <c r="L861" s="85" t="s">
        <v>254</v>
      </c>
      <c r="M861" s="85">
        <v>2040.0351425041497</v>
      </c>
      <c r="N861" s="85" t="s">
        <v>254</v>
      </c>
      <c r="O861" s="85">
        <v>56824.915679790502</v>
      </c>
      <c r="P861" s="85">
        <v>49255.473113628395</v>
      </c>
      <c r="Q861" s="85">
        <v>7569.4425661621053</v>
      </c>
      <c r="R861" s="85"/>
      <c r="S861" s="86"/>
    </row>
    <row r="862" spans="1:19" ht="15">
      <c r="A862" s="70" t="s">
        <v>254</v>
      </c>
      <c r="B862" s="70"/>
      <c r="C862" s="72" t="s">
        <v>254</v>
      </c>
      <c r="D862" s="72" t="s">
        <v>254</v>
      </c>
      <c r="E862" s="85" t="s">
        <v>254</v>
      </c>
      <c r="F862" s="85" t="s">
        <v>254</v>
      </c>
      <c r="G862" s="85" t="s">
        <v>254</v>
      </c>
      <c r="H862" s="85" t="s">
        <v>254</v>
      </c>
      <c r="I862" s="85" t="s">
        <v>254</v>
      </c>
      <c r="J862" s="85" t="s">
        <v>254</v>
      </c>
      <c r="K862" s="85" t="s">
        <v>254</v>
      </c>
      <c r="L862" s="85" t="s">
        <v>254</v>
      </c>
      <c r="M862" s="85" t="s">
        <v>254</v>
      </c>
      <c r="N862" s="85" t="s">
        <v>254</v>
      </c>
      <c r="O862" s="85" t="s">
        <v>254</v>
      </c>
      <c r="P862" s="85" t="s">
        <v>254</v>
      </c>
      <c r="Q862" s="85" t="s">
        <v>254</v>
      </c>
      <c r="R862" s="85"/>
      <c r="S862" s="86"/>
    </row>
    <row r="863" spans="1:19" ht="15">
      <c r="A863" s="70">
        <v>21</v>
      </c>
      <c r="B863" s="70"/>
      <c r="C863" s="72" t="s">
        <v>887</v>
      </c>
      <c r="D863" s="72" t="s">
        <v>254</v>
      </c>
      <c r="E863" s="85">
        <v>87392151.74000001</v>
      </c>
      <c r="F863" s="85" t="s">
        <v>254</v>
      </c>
      <c r="G863" s="85">
        <v>77956841.857053891</v>
      </c>
      <c r="H863" s="85" t="s">
        <v>254</v>
      </c>
      <c r="I863" s="85">
        <v>4190616.5638818108</v>
      </c>
      <c r="J863" s="85">
        <v>5244693.3190642968</v>
      </c>
      <c r="K863" s="85" t="s">
        <v>254</v>
      </c>
      <c r="L863" s="85" t="s">
        <v>254</v>
      </c>
      <c r="M863" s="85">
        <v>2273.5464931596143</v>
      </c>
      <c r="N863" s="85" t="s">
        <v>254</v>
      </c>
      <c r="O863" s="85">
        <v>5242419.7725711372</v>
      </c>
      <c r="P863" s="85">
        <v>1669913.1252288471</v>
      </c>
      <c r="Q863" s="85">
        <v>3572506.6473422903</v>
      </c>
      <c r="R863" s="85"/>
      <c r="S863" s="86"/>
    </row>
    <row r="864" spans="1:19" ht="15">
      <c r="A864" s="70" t="s">
        <v>254</v>
      </c>
      <c r="B864" s="70"/>
      <c r="C864" s="72" t="s">
        <v>254</v>
      </c>
      <c r="D864" s="72" t="s">
        <v>254</v>
      </c>
      <c r="E864" s="85" t="s">
        <v>254</v>
      </c>
      <c r="F864" s="85" t="s">
        <v>254</v>
      </c>
      <c r="G864" s="85" t="s">
        <v>254</v>
      </c>
      <c r="H864" s="85" t="s">
        <v>254</v>
      </c>
      <c r="I864" s="85" t="s">
        <v>254</v>
      </c>
      <c r="J864" s="85" t="s">
        <v>254</v>
      </c>
      <c r="K864" s="85" t="s">
        <v>254</v>
      </c>
      <c r="L864" s="85" t="s">
        <v>254</v>
      </c>
      <c r="M864" s="85" t="s">
        <v>254</v>
      </c>
      <c r="N864" s="85" t="s">
        <v>254</v>
      </c>
      <c r="O864" s="85" t="s">
        <v>254</v>
      </c>
      <c r="P864" s="85" t="s">
        <v>254</v>
      </c>
      <c r="Q864" s="85" t="s">
        <v>254</v>
      </c>
      <c r="R864" s="85"/>
      <c r="S864" s="86"/>
    </row>
    <row r="865" spans="1:19" ht="15">
      <c r="A865" s="70" t="s">
        <v>254</v>
      </c>
      <c r="B865" s="70"/>
      <c r="C865" s="72" t="s">
        <v>254</v>
      </c>
      <c r="D865" s="72" t="s">
        <v>254</v>
      </c>
      <c r="E865" s="85" t="s">
        <v>254</v>
      </c>
      <c r="F865" s="85" t="s">
        <v>254</v>
      </c>
      <c r="G865" s="85" t="s">
        <v>254</v>
      </c>
      <c r="H865" s="85" t="s">
        <v>254</v>
      </c>
      <c r="I865" s="85" t="s">
        <v>254</v>
      </c>
      <c r="J865" s="85" t="s">
        <v>254</v>
      </c>
      <c r="K865" s="85" t="s">
        <v>254</v>
      </c>
      <c r="L865" s="85" t="s">
        <v>254</v>
      </c>
      <c r="M865" s="85" t="s">
        <v>254</v>
      </c>
      <c r="N865" s="85" t="s">
        <v>254</v>
      </c>
      <c r="O865" s="85" t="s">
        <v>254</v>
      </c>
      <c r="P865" s="85" t="s">
        <v>254</v>
      </c>
      <c r="Q865" s="85" t="s">
        <v>254</v>
      </c>
      <c r="R865" s="85"/>
      <c r="S865" s="86"/>
    </row>
    <row r="866" spans="1:19" ht="15">
      <c r="A866" s="70" t="s">
        <v>254</v>
      </c>
      <c r="B866" s="70"/>
      <c r="C866" s="72" t="s">
        <v>254</v>
      </c>
      <c r="D866" s="72" t="s">
        <v>254</v>
      </c>
      <c r="E866" s="85" t="s">
        <v>254</v>
      </c>
      <c r="F866" s="85" t="s">
        <v>254</v>
      </c>
      <c r="G866" s="85" t="s">
        <v>254</v>
      </c>
      <c r="H866" s="85" t="s">
        <v>254</v>
      </c>
      <c r="I866" s="85" t="s">
        <v>254</v>
      </c>
      <c r="J866" s="85" t="s">
        <v>254</v>
      </c>
      <c r="K866" s="85" t="s">
        <v>254</v>
      </c>
      <c r="L866" s="85" t="s">
        <v>254</v>
      </c>
      <c r="M866" s="85" t="s">
        <v>254</v>
      </c>
      <c r="N866" s="85" t="s">
        <v>254</v>
      </c>
      <c r="O866" s="85" t="s">
        <v>254</v>
      </c>
      <c r="P866" s="85" t="s">
        <v>254</v>
      </c>
      <c r="Q866" s="85" t="s">
        <v>254</v>
      </c>
      <c r="R866" s="85"/>
      <c r="S866" s="86"/>
    </row>
    <row r="867" spans="1:19" ht="15">
      <c r="A867" s="70" t="s">
        <v>254</v>
      </c>
      <c r="B867" s="70"/>
      <c r="C867" s="72" t="s">
        <v>254</v>
      </c>
      <c r="D867" s="72" t="s">
        <v>254</v>
      </c>
      <c r="E867" s="85" t="s">
        <v>254</v>
      </c>
      <c r="F867" s="85" t="s">
        <v>254</v>
      </c>
      <c r="G867" s="85" t="s">
        <v>254</v>
      </c>
      <c r="H867" s="85" t="s">
        <v>254</v>
      </c>
      <c r="I867" s="85" t="s">
        <v>254</v>
      </c>
      <c r="J867" s="85" t="s">
        <v>254</v>
      </c>
      <c r="K867" s="85" t="s">
        <v>254</v>
      </c>
      <c r="L867" s="85" t="s">
        <v>254</v>
      </c>
      <c r="M867" s="85" t="s">
        <v>254</v>
      </c>
      <c r="N867" s="85" t="s">
        <v>254</v>
      </c>
      <c r="O867" s="85" t="s">
        <v>254</v>
      </c>
      <c r="P867" s="85" t="s">
        <v>254</v>
      </c>
      <c r="Q867" s="85" t="s">
        <v>254</v>
      </c>
      <c r="R867" s="85"/>
      <c r="S867" s="86"/>
    </row>
    <row r="868" spans="1:19" ht="15">
      <c r="A868" s="70" t="s">
        <v>254</v>
      </c>
      <c r="B868" s="70"/>
      <c r="C868" s="72" t="s">
        <v>888</v>
      </c>
      <c r="D868" s="72" t="s">
        <v>254</v>
      </c>
      <c r="E868" s="85" t="s">
        <v>254</v>
      </c>
      <c r="F868" s="85" t="s">
        <v>254</v>
      </c>
      <c r="G868" s="85" t="s">
        <v>254</v>
      </c>
      <c r="H868" s="85" t="s">
        <v>254</v>
      </c>
      <c r="I868" s="85" t="s">
        <v>254</v>
      </c>
      <c r="J868" s="85" t="s">
        <v>254</v>
      </c>
      <c r="K868" s="85" t="s">
        <v>254</v>
      </c>
      <c r="L868" s="85" t="s">
        <v>254</v>
      </c>
      <c r="M868" s="85" t="s">
        <v>254</v>
      </c>
      <c r="N868" s="85" t="s">
        <v>254</v>
      </c>
      <c r="O868" s="85" t="s">
        <v>254</v>
      </c>
      <c r="P868" s="85" t="s">
        <v>254</v>
      </c>
      <c r="Q868" s="85" t="s">
        <v>254</v>
      </c>
      <c r="R868" s="85"/>
      <c r="S868" s="86"/>
    </row>
    <row r="869" spans="1:19" ht="15">
      <c r="A869" s="70">
        <v>1</v>
      </c>
      <c r="B869" s="70"/>
      <c r="C869" s="72" t="s">
        <v>889</v>
      </c>
      <c r="D869" s="72" t="s">
        <v>890</v>
      </c>
      <c r="E869" s="85">
        <v>2961971.8000000003</v>
      </c>
      <c r="F869" s="85" t="s">
        <v>254</v>
      </c>
      <c r="G869" s="85">
        <v>2810268.7825870719</v>
      </c>
      <c r="H869" s="85" t="s">
        <v>254</v>
      </c>
      <c r="I869" s="85">
        <v>148219.59116972733</v>
      </c>
      <c r="J869" s="85">
        <v>3483.4262432007563</v>
      </c>
      <c r="K869" s="85" t="s">
        <v>254</v>
      </c>
      <c r="L869" s="85" t="s">
        <v>254</v>
      </c>
      <c r="M869" s="85">
        <v>23.457415779129668</v>
      </c>
      <c r="N869" s="85" t="s">
        <v>254</v>
      </c>
      <c r="O869" s="85">
        <v>3459.9688274216264</v>
      </c>
      <c r="P869" s="85">
        <v>1794.4923071034198</v>
      </c>
      <c r="Q869" s="85">
        <v>1665.4765203182067</v>
      </c>
      <c r="R869" s="85"/>
      <c r="S869" s="86"/>
    </row>
    <row r="870" spans="1:19" ht="15">
      <c r="A870" s="70">
        <v>2</v>
      </c>
      <c r="B870" s="70"/>
      <c r="C870" s="72" t="s">
        <v>891</v>
      </c>
      <c r="D870" s="72" t="s">
        <v>890</v>
      </c>
      <c r="E870" s="85">
        <v>727358.00999999989</v>
      </c>
      <c r="F870" s="85" t="s">
        <v>254</v>
      </c>
      <c r="G870" s="85">
        <v>690104.98657267948</v>
      </c>
      <c r="H870" s="85" t="s">
        <v>254</v>
      </c>
      <c r="I870" s="85">
        <v>36397.614209637788</v>
      </c>
      <c r="J870" s="85">
        <v>855.40921768271994</v>
      </c>
      <c r="K870" s="85" t="s">
        <v>254</v>
      </c>
      <c r="L870" s="85" t="s">
        <v>254</v>
      </c>
      <c r="M870" s="85">
        <v>5.7603314322068684</v>
      </c>
      <c r="N870" s="85" t="s">
        <v>254</v>
      </c>
      <c r="O870" s="85">
        <v>849.6488862505131</v>
      </c>
      <c r="P870" s="85">
        <v>440.66535456382542</v>
      </c>
      <c r="Q870" s="85">
        <v>408.98353168668768</v>
      </c>
      <c r="R870" s="85"/>
      <c r="S870" s="86"/>
    </row>
    <row r="871" spans="1:19" ht="15">
      <c r="A871" s="70">
        <v>3</v>
      </c>
      <c r="B871" s="70"/>
      <c r="C871" s="72" t="s">
        <v>892</v>
      </c>
      <c r="D871" s="72" t="s">
        <v>890</v>
      </c>
      <c r="E871" s="85">
        <v>11611275.9</v>
      </c>
      <c r="F871" s="85" t="s">
        <v>254</v>
      </c>
      <c r="G871" s="85">
        <v>11016582.327953158</v>
      </c>
      <c r="H871" s="85" t="s">
        <v>254</v>
      </c>
      <c r="I871" s="85">
        <v>581038.13373810903</v>
      </c>
      <c r="J871" s="85">
        <v>13655.438308732202</v>
      </c>
      <c r="K871" s="85" t="s">
        <v>254</v>
      </c>
      <c r="L871" s="85" t="s">
        <v>254</v>
      </c>
      <c r="M871" s="85">
        <v>91.955813526816172</v>
      </c>
      <c r="N871" s="85" t="s">
        <v>254</v>
      </c>
      <c r="O871" s="85">
        <v>13563.482495205386</v>
      </c>
      <c r="P871" s="85">
        <v>7034.6197348014375</v>
      </c>
      <c r="Q871" s="85">
        <v>6528.8627604039484</v>
      </c>
      <c r="R871" s="85"/>
      <c r="S871" s="86"/>
    </row>
    <row r="872" spans="1:19" ht="15">
      <c r="A872" s="70">
        <v>4</v>
      </c>
      <c r="B872" s="70"/>
      <c r="C872" s="72" t="s">
        <v>893</v>
      </c>
      <c r="D872" s="72" t="s">
        <v>890</v>
      </c>
      <c r="E872" s="85">
        <v>0</v>
      </c>
      <c r="F872" s="85" t="s">
        <v>254</v>
      </c>
      <c r="G872" s="85">
        <v>0</v>
      </c>
      <c r="H872" s="85" t="s">
        <v>254</v>
      </c>
      <c r="I872" s="85">
        <v>0</v>
      </c>
      <c r="J872" s="85">
        <v>0</v>
      </c>
      <c r="K872" s="85" t="s">
        <v>254</v>
      </c>
      <c r="L872" s="85" t="s">
        <v>254</v>
      </c>
      <c r="M872" s="85">
        <v>0</v>
      </c>
      <c r="N872" s="85" t="s">
        <v>254</v>
      </c>
      <c r="O872" s="85">
        <v>0</v>
      </c>
      <c r="P872" s="85">
        <v>0</v>
      </c>
      <c r="Q872" s="85">
        <v>0</v>
      </c>
      <c r="R872" s="85"/>
      <c r="S872" s="86"/>
    </row>
    <row r="873" spans="1:19" ht="15">
      <c r="A873" s="70">
        <v>5</v>
      </c>
      <c r="B873" s="70"/>
      <c r="C873" s="72" t="s">
        <v>894</v>
      </c>
      <c r="D873" s="72" t="s">
        <v>890</v>
      </c>
      <c r="E873" s="85">
        <v>1040.2399999999998</v>
      </c>
      <c r="F873" s="85" t="s">
        <v>254</v>
      </c>
      <c r="G873" s="85">
        <v>986.96213056396266</v>
      </c>
      <c r="H873" s="85" t="s">
        <v>254</v>
      </c>
      <c r="I873" s="85">
        <v>52.054495427133077</v>
      </c>
      <c r="J873" s="85">
        <v>1.2233740089041882</v>
      </c>
      <c r="K873" s="85" t="s">
        <v>254</v>
      </c>
      <c r="L873" s="85" t="s">
        <v>254</v>
      </c>
      <c r="M873" s="85">
        <v>8.2382088141696175E-3</v>
      </c>
      <c r="N873" s="85" t="s">
        <v>254</v>
      </c>
      <c r="O873" s="85">
        <v>1.2151358000900185</v>
      </c>
      <c r="P873" s="85">
        <v>0.63022297428397567</v>
      </c>
      <c r="Q873" s="85">
        <v>0.58491282580604287</v>
      </c>
      <c r="R873" s="85"/>
      <c r="S873" s="86"/>
    </row>
    <row r="874" spans="1:19" ht="15">
      <c r="A874" s="70" t="s">
        <v>254</v>
      </c>
      <c r="B874" s="70"/>
      <c r="C874" s="72" t="s">
        <v>254</v>
      </c>
      <c r="D874" s="72" t="s">
        <v>254</v>
      </c>
      <c r="E874" s="85" t="s">
        <v>254</v>
      </c>
      <c r="F874" s="85" t="s">
        <v>254</v>
      </c>
      <c r="G874" s="85" t="s">
        <v>254</v>
      </c>
      <c r="H874" s="85" t="s">
        <v>254</v>
      </c>
      <c r="I874" s="85" t="s">
        <v>254</v>
      </c>
      <c r="J874" s="85" t="s">
        <v>254</v>
      </c>
      <c r="K874" s="85" t="s">
        <v>254</v>
      </c>
      <c r="L874" s="85" t="s">
        <v>254</v>
      </c>
      <c r="M874" s="85" t="s">
        <v>254</v>
      </c>
      <c r="N874" s="85" t="s">
        <v>254</v>
      </c>
      <c r="O874" s="85" t="s">
        <v>254</v>
      </c>
      <c r="P874" s="85" t="s">
        <v>254</v>
      </c>
      <c r="Q874" s="85" t="s">
        <v>254</v>
      </c>
      <c r="R874" s="85"/>
      <c r="S874" s="86"/>
    </row>
    <row r="875" spans="1:19" ht="15">
      <c r="A875" s="70">
        <v>6</v>
      </c>
      <c r="B875" s="70"/>
      <c r="C875" s="72" t="s">
        <v>895</v>
      </c>
      <c r="D875" s="72" t="s">
        <v>254</v>
      </c>
      <c r="E875" s="85">
        <v>15301645.949999997</v>
      </c>
      <c r="F875" s="85" t="s">
        <v>254</v>
      </c>
      <c r="G875" s="85">
        <v>14517943.059243472</v>
      </c>
      <c r="H875" s="85" t="s">
        <v>254</v>
      </c>
      <c r="I875" s="85">
        <v>765707.39361290133</v>
      </c>
      <c r="J875" s="85">
        <v>17995.49714362458</v>
      </c>
      <c r="K875" s="85" t="s">
        <v>254</v>
      </c>
      <c r="L875" s="85" t="s">
        <v>254</v>
      </c>
      <c r="M875" s="85">
        <v>121.18179894696686</v>
      </c>
      <c r="N875" s="85" t="s">
        <v>254</v>
      </c>
      <c r="O875" s="85">
        <v>17874.315344677612</v>
      </c>
      <c r="P875" s="85">
        <v>9270.4076194429654</v>
      </c>
      <c r="Q875" s="85">
        <v>8603.9077252346488</v>
      </c>
      <c r="R875" s="85"/>
      <c r="S875" s="86"/>
    </row>
    <row r="876" spans="1:19" ht="15">
      <c r="A876" s="70" t="s">
        <v>254</v>
      </c>
      <c r="B876" s="70"/>
      <c r="C876" s="72" t="s">
        <v>254</v>
      </c>
      <c r="D876" s="72" t="s">
        <v>254</v>
      </c>
      <c r="E876" s="85" t="s">
        <v>254</v>
      </c>
      <c r="F876" s="85" t="s">
        <v>254</v>
      </c>
      <c r="G876" s="85" t="s">
        <v>254</v>
      </c>
      <c r="H876" s="85" t="s">
        <v>254</v>
      </c>
      <c r="I876" s="85" t="s">
        <v>254</v>
      </c>
      <c r="J876" s="85" t="s">
        <v>254</v>
      </c>
      <c r="K876" s="85" t="s">
        <v>254</v>
      </c>
      <c r="L876" s="85" t="s">
        <v>254</v>
      </c>
      <c r="M876" s="85" t="s">
        <v>254</v>
      </c>
      <c r="N876" s="85" t="s">
        <v>254</v>
      </c>
      <c r="O876" s="85" t="s">
        <v>254</v>
      </c>
      <c r="P876" s="85" t="s">
        <v>254</v>
      </c>
      <c r="Q876" s="85" t="s">
        <v>254</v>
      </c>
      <c r="R876" s="85"/>
      <c r="S876" s="86"/>
    </row>
    <row r="877" spans="1:19" ht="15">
      <c r="A877" s="70" t="s">
        <v>254</v>
      </c>
      <c r="B877" s="70"/>
      <c r="C877" s="72" t="s">
        <v>896</v>
      </c>
      <c r="D877" s="72" t="s">
        <v>254</v>
      </c>
      <c r="E877" s="85" t="s">
        <v>254</v>
      </c>
      <c r="F877" s="85" t="s">
        <v>254</v>
      </c>
      <c r="G877" s="85" t="s">
        <v>254</v>
      </c>
      <c r="H877" s="85" t="s">
        <v>254</v>
      </c>
      <c r="I877" s="85" t="s">
        <v>254</v>
      </c>
      <c r="J877" s="85" t="s">
        <v>254</v>
      </c>
      <c r="K877" s="85" t="s">
        <v>254</v>
      </c>
      <c r="L877" s="85" t="s">
        <v>254</v>
      </c>
      <c r="M877" s="85" t="s">
        <v>254</v>
      </c>
      <c r="N877" s="85" t="s">
        <v>254</v>
      </c>
      <c r="O877" s="85" t="s">
        <v>254</v>
      </c>
      <c r="P877" s="85" t="s">
        <v>254</v>
      </c>
      <c r="Q877" s="85" t="s">
        <v>254</v>
      </c>
      <c r="R877" s="85"/>
      <c r="S877" s="86"/>
    </row>
    <row r="878" spans="1:19" ht="15">
      <c r="A878" s="70">
        <v>7</v>
      </c>
      <c r="B878" s="70"/>
      <c r="C878" s="72" t="s">
        <v>897</v>
      </c>
      <c r="D878" s="72" t="s">
        <v>898</v>
      </c>
      <c r="E878" s="85">
        <v>466516.86999999994</v>
      </c>
      <c r="F878" s="85" t="s">
        <v>254</v>
      </c>
      <c r="G878" s="85">
        <v>465141.33089949429</v>
      </c>
      <c r="H878" s="85" t="s">
        <v>254</v>
      </c>
      <c r="I878" s="85">
        <v>1375.3445955423579</v>
      </c>
      <c r="J878" s="85">
        <v>0.19450496330679651</v>
      </c>
      <c r="K878" s="85" t="s">
        <v>254</v>
      </c>
      <c r="L878" s="85" t="s">
        <v>254</v>
      </c>
      <c r="M878" s="85">
        <v>0.19450496330679651</v>
      </c>
      <c r="N878" s="85" t="s">
        <v>254</v>
      </c>
      <c r="O878" s="85">
        <v>0</v>
      </c>
      <c r="P878" s="85">
        <v>0</v>
      </c>
      <c r="Q878" s="85">
        <v>0</v>
      </c>
      <c r="R878" s="85"/>
      <c r="S878" s="86"/>
    </row>
    <row r="879" spans="1:19" ht="15">
      <c r="A879" s="70">
        <v>8</v>
      </c>
      <c r="B879" s="70"/>
      <c r="C879" s="72" t="s">
        <v>899</v>
      </c>
      <c r="D879" s="72" t="s">
        <v>898</v>
      </c>
      <c r="E879" s="85">
        <v>1619663.9</v>
      </c>
      <c r="F879" s="85" t="s">
        <v>254</v>
      </c>
      <c r="G879" s="85">
        <v>1614888.2720058237</v>
      </c>
      <c r="H879" s="85" t="s">
        <v>254</v>
      </c>
      <c r="I879" s="85">
        <v>4774.952707412398</v>
      </c>
      <c r="J879" s="85">
        <v>0.67528676388239273</v>
      </c>
      <c r="K879" s="85" t="s">
        <v>254</v>
      </c>
      <c r="L879" s="85" t="s">
        <v>254</v>
      </c>
      <c r="M879" s="85">
        <v>0.67528676388239273</v>
      </c>
      <c r="N879" s="85" t="s">
        <v>254</v>
      </c>
      <c r="O879" s="85">
        <v>0</v>
      </c>
      <c r="P879" s="85">
        <v>0</v>
      </c>
      <c r="Q879" s="85">
        <v>0</v>
      </c>
      <c r="R879" s="85"/>
      <c r="S879" s="86"/>
    </row>
    <row r="880" spans="1:19" ht="15">
      <c r="A880" s="70">
        <v>9</v>
      </c>
      <c r="B880" s="70"/>
      <c r="C880" s="72" t="s">
        <v>900</v>
      </c>
      <c r="D880" s="72" t="s">
        <v>898</v>
      </c>
      <c r="E880" s="85">
        <v>0</v>
      </c>
      <c r="F880" s="85" t="s">
        <v>254</v>
      </c>
      <c r="G880" s="85">
        <v>0</v>
      </c>
      <c r="H880" s="85" t="s">
        <v>254</v>
      </c>
      <c r="I880" s="85">
        <v>0</v>
      </c>
      <c r="J880" s="85">
        <v>0</v>
      </c>
      <c r="K880" s="85" t="s">
        <v>254</v>
      </c>
      <c r="L880" s="85" t="s">
        <v>254</v>
      </c>
      <c r="M880" s="85">
        <v>0</v>
      </c>
      <c r="N880" s="85" t="s">
        <v>254</v>
      </c>
      <c r="O880" s="85">
        <v>0</v>
      </c>
      <c r="P880" s="85">
        <v>0</v>
      </c>
      <c r="Q880" s="85">
        <v>0</v>
      </c>
      <c r="R880" s="85"/>
      <c r="S880" s="86"/>
    </row>
    <row r="881" spans="1:19" ht="15">
      <c r="A881" s="70">
        <v>10</v>
      </c>
      <c r="B881" s="70"/>
      <c r="C881" s="72" t="s">
        <v>901</v>
      </c>
      <c r="D881" s="72" t="s">
        <v>898</v>
      </c>
      <c r="E881" s="85">
        <v>0</v>
      </c>
      <c r="F881" s="85" t="s">
        <v>254</v>
      </c>
      <c r="G881" s="85">
        <v>0</v>
      </c>
      <c r="H881" s="85" t="s">
        <v>254</v>
      </c>
      <c r="I881" s="85">
        <v>0</v>
      </c>
      <c r="J881" s="85">
        <v>0</v>
      </c>
      <c r="K881" s="85" t="s">
        <v>254</v>
      </c>
      <c r="L881" s="85" t="s">
        <v>254</v>
      </c>
      <c r="M881" s="85">
        <v>0</v>
      </c>
      <c r="N881" s="85" t="s">
        <v>254</v>
      </c>
      <c r="O881" s="85">
        <v>0</v>
      </c>
      <c r="P881" s="85">
        <v>0</v>
      </c>
      <c r="Q881" s="85">
        <v>0</v>
      </c>
      <c r="R881" s="85"/>
      <c r="S881" s="86"/>
    </row>
    <row r="882" spans="1:19" ht="15">
      <c r="A882" s="70">
        <v>11</v>
      </c>
      <c r="B882" s="70"/>
      <c r="C882" s="72" t="s">
        <v>902</v>
      </c>
      <c r="D882" s="72" t="s">
        <v>898</v>
      </c>
      <c r="E882" s="85">
        <v>0</v>
      </c>
      <c r="F882" s="85" t="s">
        <v>254</v>
      </c>
      <c r="G882" s="85">
        <v>0</v>
      </c>
      <c r="H882" s="85" t="s">
        <v>254</v>
      </c>
      <c r="I882" s="85">
        <v>0</v>
      </c>
      <c r="J882" s="85">
        <v>0</v>
      </c>
      <c r="K882" s="85" t="s">
        <v>254</v>
      </c>
      <c r="L882" s="85" t="s">
        <v>254</v>
      </c>
      <c r="M882" s="85">
        <v>0</v>
      </c>
      <c r="N882" s="85" t="s">
        <v>254</v>
      </c>
      <c r="O882" s="85">
        <v>0</v>
      </c>
      <c r="P882" s="85">
        <v>0</v>
      </c>
      <c r="Q882" s="85">
        <v>0</v>
      </c>
      <c r="R882" s="85"/>
      <c r="S882" s="86"/>
    </row>
    <row r="883" spans="1:19" ht="15">
      <c r="A883" s="70">
        <v>12</v>
      </c>
      <c r="B883" s="70"/>
      <c r="C883" s="72" t="s">
        <v>903</v>
      </c>
      <c r="D883" s="72" t="s">
        <v>898</v>
      </c>
      <c r="E883" s="85">
        <v>0</v>
      </c>
      <c r="F883" s="85" t="s">
        <v>254</v>
      </c>
      <c r="G883" s="85">
        <v>0</v>
      </c>
      <c r="H883" s="85" t="s">
        <v>254</v>
      </c>
      <c r="I883" s="85">
        <v>0</v>
      </c>
      <c r="J883" s="85">
        <v>0</v>
      </c>
      <c r="K883" s="85" t="s">
        <v>254</v>
      </c>
      <c r="L883" s="85" t="s">
        <v>254</v>
      </c>
      <c r="M883" s="85">
        <v>0</v>
      </c>
      <c r="N883" s="85" t="s">
        <v>254</v>
      </c>
      <c r="O883" s="85">
        <v>0</v>
      </c>
      <c r="P883" s="85">
        <v>0</v>
      </c>
      <c r="Q883" s="85">
        <v>0</v>
      </c>
      <c r="R883" s="85"/>
      <c r="S883" s="86"/>
    </row>
    <row r="884" spans="1:19" ht="15">
      <c r="A884" s="70">
        <v>13</v>
      </c>
      <c r="B884" s="70"/>
      <c r="C884" s="72" t="s">
        <v>904</v>
      </c>
      <c r="D884" s="72" t="s">
        <v>898</v>
      </c>
      <c r="E884" s="85">
        <v>0</v>
      </c>
      <c r="F884" s="85" t="s">
        <v>254</v>
      </c>
      <c r="G884" s="85">
        <v>0</v>
      </c>
      <c r="H884" s="85" t="s">
        <v>254</v>
      </c>
      <c r="I884" s="85">
        <v>0</v>
      </c>
      <c r="J884" s="85">
        <v>0</v>
      </c>
      <c r="K884" s="85" t="s">
        <v>254</v>
      </c>
      <c r="L884" s="85" t="s">
        <v>254</v>
      </c>
      <c r="M884" s="85">
        <v>0</v>
      </c>
      <c r="N884" s="85" t="s">
        <v>254</v>
      </c>
      <c r="O884" s="85">
        <v>0</v>
      </c>
      <c r="P884" s="85">
        <v>0</v>
      </c>
      <c r="Q884" s="85">
        <v>0</v>
      </c>
      <c r="R884" s="85"/>
      <c r="S884" s="86"/>
    </row>
    <row r="885" spans="1:19" ht="15">
      <c r="A885" s="70" t="s">
        <v>254</v>
      </c>
      <c r="B885" s="70"/>
      <c r="C885" s="72" t="s">
        <v>254</v>
      </c>
      <c r="D885" s="72" t="s">
        <v>254</v>
      </c>
      <c r="E885" s="85" t="s">
        <v>254</v>
      </c>
      <c r="F885" s="85" t="s">
        <v>254</v>
      </c>
      <c r="G885" s="85" t="s">
        <v>254</v>
      </c>
      <c r="H885" s="85" t="s">
        <v>254</v>
      </c>
      <c r="I885" s="85" t="s">
        <v>254</v>
      </c>
      <c r="J885" s="85" t="s">
        <v>254</v>
      </c>
      <c r="K885" s="85" t="s">
        <v>254</v>
      </c>
      <c r="L885" s="85" t="s">
        <v>254</v>
      </c>
      <c r="M885" s="85" t="s">
        <v>254</v>
      </c>
      <c r="N885" s="85" t="s">
        <v>254</v>
      </c>
      <c r="O885" s="85" t="s">
        <v>254</v>
      </c>
      <c r="P885" s="85" t="s">
        <v>254</v>
      </c>
      <c r="Q885" s="85" t="s">
        <v>254</v>
      </c>
      <c r="R885" s="85"/>
      <c r="S885" s="86"/>
    </row>
    <row r="886" spans="1:19" ht="15">
      <c r="A886" s="70">
        <v>14</v>
      </c>
      <c r="B886" s="70"/>
      <c r="C886" s="72" t="s">
        <v>905</v>
      </c>
      <c r="D886" s="72" t="s">
        <v>254</v>
      </c>
      <c r="E886" s="85">
        <v>2086180.77</v>
      </c>
      <c r="F886" s="85" t="s">
        <v>254</v>
      </c>
      <c r="G886" s="85">
        <v>2080029.6029053179</v>
      </c>
      <c r="H886" s="85" t="s">
        <v>254</v>
      </c>
      <c r="I886" s="85">
        <v>6150.2973029547557</v>
      </c>
      <c r="J886" s="85">
        <v>0.86979172718918929</v>
      </c>
      <c r="K886" s="85" t="s">
        <v>254</v>
      </c>
      <c r="L886" s="85" t="s">
        <v>254</v>
      </c>
      <c r="M886" s="85">
        <v>0.86979172718918929</v>
      </c>
      <c r="N886" s="85" t="s">
        <v>254</v>
      </c>
      <c r="O886" s="85">
        <v>0</v>
      </c>
      <c r="P886" s="85">
        <v>0</v>
      </c>
      <c r="Q886" s="85">
        <v>0</v>
      </c>
      <c r="R886" s="85"/>
      <c r="S886" s="86"/>
    </row>
    <row r="887" spans="1:19" ht="15">
      <c r="A887" s="70" t="s">
        <v>254</v>
      </c>
      <c r="B887" s="70"/>
      <c r="C887" s="72" t="s">
        <v>254</v>
      </c>
      <c r="D887" s="72" t="s">
        <v>254</v>
      </c>
      <c r="E887" s="85" t="s">
        <v>254</v>
      </c>
      <c r="F887" s="85" t="s">
        <v>254</v>
      </c>
      <c r="G887" s="85" t="s">
        <v>254</v>
      </c>
      <c r="H887" s="85" t="s">
        <v>254</v>
      </c>
      <c r="I887" s="85" t="s">
        <v>254</v>
      </c>
      <c r="J887" s="85" t="s">
        <v>254</v>
      </c>
      <c r="K887" s="85" t="s">
        <v>254</v>
      </c>
      <c r="L887" s="85" t="s">
        <v>254</v>
      </c>
      <c r="M887" s="85" t="s">
        <v>254</v>
      </c>
      <c r="N887" s="85" t="s">
        <v>254</v>
      </c>
      <c r="O887" s="85" t="s">
        <v>254</v>
      </c>
      <c r="P887" s="85" t="s">
        <v>254</v>
      </c>
      <c r="Q887" s="85" t="s">
        <v>254</v>
      </c>
      <c r="R887" s="85"/>
      <c r="S887" s="86"/>
    </row>
    <row r="888" spans="1:19" ht="15">
      <c r="A888" s="70">
        <v>15</v>
      </c>
      <c r="B888" s="70"/>
      <c r="C888" s="72" t="s">
        <v>906</v>
      </c>
      <c r="D888" s="72" t="s">
        <v>254</v>
      </c>
      <c r="E888" s="85">
        <v>104779978.45999999</v>
      </c>
      <c r="F888" s="85" t="s">
        <v>254</v>
      </c>
      <c r="G888" s="85">
        <v>94554814.519202679</v>
      </c>
      <c r="H888" s="85" t="s">
        <v>254</v>
      </c>
      <c r="I888" s="85">
        <v>4962474.2547976673</v>
      </c>
      <c r="J888" s="85">
        <v>5262689.6859996496</v>
      </c>
      <c r="K888" s="85" t="s">
        <v>254</v>
      </c>
      <c r="L888" s="85" t="s">
        <v>254</v>
      </c>
      <c r="M888" s="85">
        <v>2395.5980838337705</v>
      </c>
      <c r="N888" s="85" t="s">
        <v>254</v>
      </c>
      <c r="O888" s="85">
        <v>5260294.0879158154</v>
      </c>
      <c r="P888" s="85">
        <v>1679183.5328482902</v>
      </c>
      <c r="Q888" s="85">
        <v>3581110.5550675248</v>
      </c>
      <c r="R888" s="85"/>
      <c r="S888" s="86"/>
    </row>
    <row r="889" spans="1:19" ht="15">
      <c r="A889" s="70" t="s">
        <v>254</v>
      </c>
      <c r="B889" s="70"/>
      <c r="C889" s="72" t="s">
        <v>254</v>
      </c>
      <c r="D889" s="72" t="s">
        <v>254</v>
      </c>
      <c r="E889" s="85" t="s">
        <v>254</v>
      </c>
      <c r="F889" s="85" t="s">
        <v>254</v>
      </c>
      <c r="G889" s="85" t="s">
        <v>254</v>
      </c>
      <c r="H889" s="85" t="s">
        <v>254</v>
      </c>
      <c r="I889" s="85" t="s">
        <v>254</v>
      </c>
      <c r="J889" s="85" t="s">
        <v>254</v>
      </c>
      <c r="K889" s="85" t="s">
        <v>254</v>
      </c>
      <c r="L889" s="85" t="s">
        <v>254</v>
      </c>
      <c r="M889" s="85" t="s">
        <v>254</v>
      </c>
      <c r="N889" s="85" t="s">
        <v>254</v>
      </c>
      <c r="O889" s="85" t="s">
        <v>254</v>
      </c>
      <c r="P889" s="85" t="s">
        <v>254</v>
      </c>
      <c r="Q889" s="85" t="s">
        <v>254</v>
      </c>
      <c r="R889" s="85"/>
      <c r="S889" s="86"/>
    </row>
    <row r="890" spans="1:19" ht="15">
      <c r="A890" s="70" t="s">
        <v>254</v>
      </c>
      <c r="B890" s="70"/>
      <c r="C890" s="72" t="s">
        <v>907</v>
      </c>
      <c r="D890" s="72" t="s">
        <v>254</v>
      </c>
      <c r="E890" s="85" t="s">
        <v>254</v>
      </c>
      <c r="F890" s="85" t="s">
        <v>254</v>
      </c>
      <c r="G890" s="85" t="s">
        <v>254</v>
      </c>
      <c r="H890" s="85" t="s">
        <v>254</v>
      </c>
      <c r="I890" s="85" t="s">
        <v>254</v>
      </c>
      <c r="J890" s="85" t="s">
        <v>254</v>
      </c>
      <c r="K890" s="85" t="s">
        <v>254</v>
      </c>
      <c r="L890" s="85" t="s">
        <v>254</v>
      </c>
      <c r="M890" s="85" t="s">
        <v>254</v>
      </c>
      <c r="N890" s="85" t="s">
        <v>254</v>
      </c>
      <c r="O890" s="85" t="s">
        <v>254</v>
      </c>
      <c r="P890" s="85" t="s">
        <v>254</v>
      </c>
      <c r="Q890" s="85" t="s">
        <v>254</v>
      </c>
      <c r="R890" s="85"/>
      <c r="S890" s="86"/>
    </row>
    <row r="891" spans="1:19" ht="15">
      <c r="A891" s="70">
        <v>16</v>
      </c>
      <c r="B891" s="70"/>
      <c r="C891" s="72" t="s">
        <v>908</v>
      </c>
      <c r="D891" s="72" t="s">
        <v>909</v>
      </c>
      <c r="E891" s="85">
        <v>34866170.599999994</v>
      </c>
      <c r="F891" s="85" t="s">
        <v>254</v>
      </c>
      <c r="G891" s="85">
        <v>31463685.548822902</v>
      </c>
      <c r="H891" s="85" t="s">
        <v>254</v>
      </c>
      <c r="I891" s="85">
        <v>1651293.2767201804</v>
      </c>
      <c r="J891" s="85">
        <v>1751191.7744569094</v>
      </c>
      <c r="K891" s="85" t="s">
        <v>254</v>
      </c>
      <c r="L891" s="85" t="s">
        <v>254</v>
      </c>
      <c r="M891" s="85">
        <v>797.14972943869543</v>
      </c>
      <c r="N891" s="85" t="s">
        <v>254</v>
      </c>
      <c r="O891" s="85">
        <v>1750394.6247274708</v>
      </c>
      <c r="P891" s="85">
        <v>558758.46116297413</v>
      </c>
      <c r="Q891" s="85">
        <v>1191636.1635644967</v>
      </c>
      <c r="R891" s="85"/>
      <c r="S891" s="86"/>
    </row>
    <row r="892" spans="1:19" ht="15">
      <c r="A892" s="70">
        <v>17</v>
      </c>
      <c r="B892" s="70"/>
      <c r="C892" s="72" t="s">
        <v>910</v>
      </c>
      <c r="D892" s="72" t="s">
        <v>909</v>
      </c>
      <c r="E892" s="85">
        <v>1887.0200000000002</v>
      </c>
      <c r="F892" s="85" t="s">
        <v>254</v>
      </c>
      <c r="G892" s="85">
        <v>1702.8713759675061</v>
      </c>
      <c r="H892" s="85" t="s">
        <v>254</v>
      </c>
      <c r="I892" s="85">
        <v>89.370968632744408</v>
      </c>
      <c r="J892" s="85">
        <v>94.777655399749534</v>
      </c>
      <c r="K892" s="85" t="s">
        <v>254</v>
      </c>
      <c r="L892" s="85" t="s">
        <v>254</v>
      </c>
      <c r="M892" s="85">
        <v>4.3143180239168778E-2</v>
      </c>
      <c r="N892" s="85" t="s">
        <v>254</v>
      </c>
      <c r="O892" s="85">
        <v>94.734512219510364</v>
      </c>
      <c r="P892" s="85">
        <v>30.241015093976387</v>
      </c>
      <c r="Q892" s="85">
        <v>64.493497125533978</v>
      </c>
      <c r="R892" s="85"/>
      <c r="S892" s="86"/>
    </row>
    <row r="893" spans="1:19" ht="15">
      <c r="A893" s="70">
        <v>18</v>
      </c>
      <c r="B893" s="70"/>
      <c r="C893" s="72" t="s">
        <v>911</v>
      </c>
      <c r="D893" s="72" t="s">
        <v>909</v>
      </c>
      <c r="E893" s="85">
        <v>-3181367.2400000007</v>
      </c>
      <c r="F893" s="85" t="s">
        <v>254</v>
      </c>
      <c r="G893" s="85">
        <v>-2870907.1495992346</v>
      </c>
      <c r="H893" s="85" t="s">
        <v>254</v>
      </c>
      <c r="I893" s="85">
        <v>-150672.42096813</v>
      </c>
      <c r="J893" s="85">
        <v>-159787.66943263571</v>
      </c>
      <c r="K893" s="85" t="s">
        <v>254</v>
      </c>
      <c r="L893" s="85" t="s">
        <v>254</v>
      </c>
      <c r="M893" s="85">
        <v>-72.736007165958455</v>
      </c>
      <c r="N893" s="85" t="s">
        <v>254</v>
      </c>
      <c r="O893" s="85">
        <v>-159714.93342546976</v>
      </c>
      <c r="P893" s="85">
        <v>-50983.971936875074</v>
      </c>
      <c r="Q893" s="85">
        <v>-108730.96148859469</v>
      </c>
      <c r="R893" s="85"/>
      <c r="S893" s="86"/>
    </row>
    <row r="894" spans="1:19" ht="15">
      <c r="A894" s="70">
        <v>19</v>
      </c>
      <c r="B894" s="70"/>
      <c r="C894" s="72" t="s">
        <v>912</v>
      </c>
      <c r="D894" s="72" t="s">
        <v>909</v>
      </c>
      <c r="E894" s="85">
        <v>0</v>
      </c>
      <c r="F894" s="85" t="s">
        <v>254</v>
      </c>
      <c r="G894" s="85">
        <v>0</v>
      </c>
      <c r="H894" s="85" t="s">
        <v>254</v>
      </c>
      <c r="I894" s="85">
        <v>0</v>
      </c>
      <c r="J894" s="85">
        <v>0</v>
      </c>
      <c r="K894" s="85" t="s">
        <v>254</v>
      </c>
      <c r="L894" s="85" t="s">
        <v>254</v>
      </c>
      <c r="M894" s="85">
        <v>0</v>
      </c>
      <c r="N894" s="85" t="s">
        <v>254</v>
      </c>
      <c r="O894" s="85">
        <v>0</v>
      </c>
      <c r="P894" s="85">
        <v>0</v>
      </c>
      <c r="Q894" s="85">
        <v>0</v>
      </c>
      <c r="R894" s="85"/>
      <c r="S894" s="86"/>
    </row>
    <row r="895" spans="1:19" ht="15">
      <c r="A895" s="70">
        <v>20</v>
      </c>
      <c r="B895" s="70"/>
      <c r="C895" s="72" t="s">
        <v>913</v>
      </c>
      <c r="D895" s="72" t="s">
        <v>909</v>
      </c>
      <c r="E895" s="85">
        <v>0</v>
      </c>
      <c r="F895" s="85" t="s">
        <v>254</v>
      </c>
      <c r="G895" s="85">
        <v>0</v>
      </c>
      <c r="H895" s="85" t="s">
        <v>254</v>
      </c>
      <c r="I895" s="85">
        <v>0</v>
      </c>
      <c r="J895" s="85">
        <v>0</v>
      </c>
      <c r="K895" s="85" t="s">
        <v>254</v>
      </c>
      <c r="L895" s="85" t="s">
        <v>254</v>
      </c>
      <c r="M895" s="85">
        <v>0</v>
      </c>
      <c r="N895" s="85" t="s">
        <v>254</v>
      </c>
      <c r="O895" s="85">
        <v>0</v>
      </c>
      <c r="P895" s="85">
        <v>0</v>
      </c>
      <c r="Q895" s="85">
        <v>0</v>
      </c>
      <c r="R895" s="85"/>
      <c r="S895" s="86"/>
    </row>
    <row r="896" spans="1:19" ht="15">
      <c r="A896" s="70">
        <v>21</v>
      </c>
      <c r="B896" s="70"/>
      <c r="C896" s="72" t="s">
        <v>914</v>
      </c>
      <c r="D896" s="72" t="s">
        <v>909</v>
      </c>
      <c r="E896" s="85">
        <v>626586.63000000024</v>
      </c>
      <c r="F896" s="85" t="s">
        <v>254</v>
      </c>
      <c r="G896" s="85">
        <v>565439.91944491467</v>
      </c>
      <c r="H896" s="85" t="s">
        <v>254</v>
      </c>
      <c r="I896" s="85">
        <v>29675.707759020595</v>
      </c>
      <c r="J896" s="85">
        <v>31471.002796064891</v>
      </c>
      <c r="K896" s="85" t="s">
        <v>254</v>
      </c>
      <c r="L896" s="85" t="s">
        <v>254</v>
      </c>
      <c r="M896" s="85">
        <v>14.325730471083171</v>
      </c>
      <c r="N896" s="85" t="s">
        <v>254</v>
      </c>
      <c r="O896" s="85">
        <v>31456.677065593809</v>
      </c>
      <c r="P896" s="85">
        <v>10041.555328249728</v>
      </c>
      <c r="Q896" s="85">
        <v>21415.121737344081</v>
      </c>
      <c r="R896" s="85"/>
      <c r="S896" s="86"/>
    </row>
    <row r="897" spans="1:19" ht="15">
      <c r="A897" s="70">
        <v>22</v>
      </c>
      <c r="B897" s="70"/>
      <c r="C897" s="72" t="s">
        <v>915</v>
      </c>
      <c r="D897" s="72" t="s">
        <v>909</v>
      </c>
      <c r="E897" s="85">
        <v>38333116.940000013</v>
      </c>
      <c r="F897" s="85" t="s">
        <v>254</v>
      </c>
      <c r="G897" s="85">
        <v>34592302.990292177</v>
      </c>
      <c r="H897" s="85" t="s">
        <v>254</v>
      </c>
      <c r="I897" s="85">
        <v>1815490.981356883</v>
      </c>
      <c r="J897" s="85">
        <v>1925322.9683509571</v>
      </c>
      <c r="K897" s="85" t="s">
        <v>254</v>
      </c>
      <c r="L897" s="85" t="s">
        <v>254</v>
      </c>
      <c r="M897" s="85">
        <v>876.41496818876044</v>
      </c>
      <c r="N897" s="85" t="s">
        <v>254</v>
      </c>
      <c r="O897" s="85">
        <v>1924446.5533827683</v>
      </c>
      <c r="P897" s="85">
        <v>614319.06815068331</v>
      </c>
      <c r="Q897" s="85">
        <v>1310127.485232085</v>
      </c>
      <c r="R897" s="85"/>
      <c r="S897" s="86"/>
    </row>
    <row r="898" spans="1:19" ht="15">
      <c r="A898" s="70">
        <v>23</v>
      </c>
      <c r="B898" s="70"/>
      <c r="C898" s="72" t="s">
        <v>916</v>
      </c>
      <c r="D898" s="72" t="s">
        <v>909</v>
      </c>
      <c r="E898" s="85">
        <v>0</v>
      </c>
      <c r="F898" s="85" t="s">
        <v>254</v>
      </c>
      <c r="G898" s="85">
        <v>0</v>
      </c>
      <c r="H898" s="85" t="s">
        <v>254</v>
      </c>
      <c r="I898" s="85">
        <v>0</v>
      </c>
      <c r="J898" s="85">
        <v>0</v>
      </c>
      <c r="K898" s="85" t="s">
        <v>254</v>
      </c>
      <c r="L898" s="85" t="s">
        <v>254</v>
      </c>
      <c r="M898" s="85">
        <v>0</v>
      </c>
      <c r="N898" s="85" t="s">
        <v>254</v>
      </c>
      <c r="O898" s="85">
        <v>0</v>
      </c>
      <c r="P898" s="85">
        <v>0</v>
      </c>
      <c r="Q898" s="85">
        <v>0</v>
      </c>
      <c r="R898" s="85"/>
      <c r="S898" s="86"/>
    </row>
    <row r="899" spans="1:19" ht="15">
      <c r="A899" s="70">
        <v>24</v>
      </c>
      <c r="B899" s="70"/>
      <c r="C899" s="72" t="s">
        <v>917</v>
      </c>
      <c r="D899" s="72" t="s">
        <v>909</v>
      </c>
      <c r="E899" s="85">
        <v>0</v>
      </c>
      <c r="F899" s="85" t="s">
        <v>254</v>
      </c>
      <c r="G899" s="85">
        <v>0</v>
      </c>
      <c r="H899" s="85" t="s">
        <v>254</v>
      </c>
      <c r="I899" s="85">
        <v>0</v>
      </c>
      <c r="J899" s="85">
        <v>0</v>
      </c>
      <c r="K899" s="85" t="s">
        <v>254</v>
      </c>
      <c r="L899" s="85" t="s">
        <v>254</v>
      </c>
      <c r="M899" s="85">
        <v>0</v>
      </c>
      <c r="N899" s="85" t="s">
        <v>254</v>
      </c>
      <c r="O899" s="85">
        <v>0</v>
      </c>
      <c r="P899" s="85">
        <v>0</v>
      </c>
      <c r="Q899" s="85">
        <v>0</v>
      </c>
      <c r="R899" s="85"/>
      <c r="S899" s="86"/>
    </row>
    <row r="900" spans="1:19" ht="15">
      <c r="A900" s="70">
        <v>25</v>
      </c>
      <c r="B900" s="70"/>
      <c r="C900" s="72" t="s">
        <v>918</v>
      </c>
      <c r="D900" s="72" t="s">
        <v>909</v>
      </c>
      <c r="E900" s="85">
        <v>181137.99000000002</v>
      </c>
      <c r="F900" s="85" t="s">
        <v>254</v>
      </c>
      <c r="G900" s="85">
        <v>163461.27665381838</v>
      </c>
      <c r="H900" s="85" t="s">
        <v>254</v>
      </c>
      <c r="I900" s="85">
        <v>8578.8585295801695</v>
      </c>
      <c r="J900" s="85">
        <v>9097.8548166014571</v>
      </c>
      <c r="K900" s="85" t="s">
        <v>254</v>
      </c>
      <c r="L900" s="85" t="s">
        <v>254</v>
      </c>
      <c r="M900" s="85">
        <v>4.1413810933274435</v>
      </c>
      <c r="N900" s="85" t="s">
        <v>254</v>
      </c>
      <c r="O900" s="85">
        <v>9093.7134355081289</v>
      </c>
      <c r="P900" s="85">
        <v>2902.8821579435007</v>
      </c>
      <c r="Q900" s="85">
        <v>6190.8312775646273</v>
      </c>
      <c r="R900" s="85"/>
      <c r="S900" s="86"/>
    </row>
    <row r="901" spans="1:19" ht="15">
      <c r="A901" s="70">
        <v>26</v>
      </c>
      <c r="B901" s="70"/>
      <c r="C901" s="72" t="s">
        <v>919</v>
      </c>
      <c r="D901" s="72" t="s">
        <v>909</v>
      </c>
      <c r="E901" s="85">
        <v>0</v>
      </c>
      <c r="F901" s="85" t="s">
        <v>254</v>
      </c>
      <c r="G901" s="85">
        <v>0</v>
      </c>
      <c r="H901" s="85" t="s">
        <v>254</v>
      </c>
      <c r="I901" s="85">
        <v>0</v>
      </c>
      <c r="J901" s="85">
        <v>0</v>
      </c>
      <c r="K901" s="85" t="s">
        <v>254</v>
      </c>
      <c r="L901" s="85" t="s">
        <v>254</v>
      </c>
      <c r="M901" s="85">
        <v>0</v>
      </c>
      <c r="N901" s="85" t="s">
        <v>254</v>
      </c>
      <c r="O901" s="85">
        <v>0</v>
      </c>
      <c r="P901" s="85">
        <v>0</v>
      </c>
      <c r="Q901" s="85">
        <v>0</v>
      </c>
      <c r="R901" s="85"/>
      <c r="S901" s="86"/>
    </row>
    <row r="902" spans="1:19" ht="15">
      <c r="A902" s="70">
        <v>27</v>
      </c>
      <c r="B902" s="70"/>
      <c r="C902" s="72" t="s">
        <v>920</v>
      </c>
      <c r="D902" s="72" t="s">
        <v>909</v>
      </c>
      <c r="E902" s="85">
        <v>749960.75000000012</v>
      </c>
      <c r="F902" s="85" t="s">
        <v>254</v>
      </c>
      <c r="G902" s="85">
        <v>676774.32898121001</v>
      </c>
      <c r="H902" s="85" t="s">
        <v>254</v>
      </c>
      <c r="I902" s="85">
        <v>35518.817322571827</v>
      </c>
      <c r="J902" s="85">
        <v>37667.603696218226</v>
      </c>
      <c r="K902" s="85" t="s">
        <v>254</v>
      </c>
      <c r="L902" s="85" t="s">
        <v>254</v>
      </c>
      <c r="M902" s="85">
        <v>17.146448797337708</v>
      </c>
      <c r="N902" s="85" t="s">
        <v>254</v>
      </c>
      <c r="O902" s="85">
        <v>37650.457247420891</v>
      </c>
      <c r="P902" s="85">
        <v>12018.724952909803</v>
      </c>
      <c r="Q902" s="85">
        <v>25631.732294511086</v>
      </c>
      <c r="R902" s="85"/>
      <c r="S902" s="86"/>
    </row>
    <row r="903" spans="1:19" ht="15">
      <c r="A903" s="70" t="s">
        <v>254</v>
      </c>
      <c r="B903" s="70"/>
      <c r="C903" s="72" t="s">
        <v>254</v>
      </c>
      <c r="D903" s="72" t="s">
        <v>254</v>
      </c>
      <c r="E903" s="85" t="s">
        <v>254</v>
      </c>
      <c r="F903" s="85" t="s">
        <v>254</v>
      </c>
      <c r="G903" s="85" t="s">
        <v>254</v>
      </c>
      <c r="H903" s="85" t="s">
        <v>254</v>
      </c>
      <c r="I903" s="85" t="s">
        <v>254</v>
      </c>
      <c r="J903" s="85" t="s">
        <v>254</v>
      </c>
      <c r="K903" s="85" t="s">
        <v>254</v>
      </c>
      <c r="L903" s="85" t="s">
        <v>254</v>
      </c>
      <c r="M903" s="85" t="s">
        <v>254</v>
      </c>
      <c r="N903" s="85" t="s">
        <v>254</v>
      </c>
      <c r="O903" s="85" t="s">
        <v>254</v>
      </c>
      <c r="P903" s="85" t="s">
        <v>254</v>
      </c>
      <c r="Q903" s="85" t="s">
        <v>254</v>
      </c>
      <c r="R903" s="85"/>
      <c r="S903" s="86"/>
    </row>
    <row r="904" spans="1:19" ht="15">
      <c r="A904" s="70">
        <v>28</v>
      </c>
      <c r="B904" s="70"/>
      <c r="C904" s="72" t="s">
        <v>921</v>
      </c>
      <c r="D904" s="72" t="s">
        <v>254</v>
      </c>
      <c r="E904" s="85">
        <v>71577492.690000013</v>
      </c>
      <c r="F904" s="85" t="s">
        <v>254</v>
      </c>
      <c r="G904" s="85">
        <v>64592459.785971761</v>
      </c>
      <c r="H904" s="85" t="s">
        <v>254</v>
      </c>
      <c r="I904" s="85">
        <v>3389974.5916887387</v>
      </c>
      <c r="J904" s="85">
        <v>3595058.312339515</v>
      </c>
      <c r="K904" s="85" t="s">
        <v>254</v>
      </c>
      <c r="L904" s="85" t="s">
        <v>254</v>
      </c>
      <c r="M904" s="85">
        <v>1636.4853940034848</v>
      </c>
      <c r="N904" s="85" t="s">
        <v>254</v>
      </c>
      <c r="O904" s="85">
        <v>3593421.8269455116</v>
      </c>
      <c r="P904" s="85">
        <v>1147086.9608309795</v>
      </c>
      <c r="Q904" s="85">
        <v>2446334.8661145321</v>
      </c>
      <c r="R904" s="85"/>
      <c r="S904" s="86"/>
    </row>
    <row r="905" spans="1:19" ht="15">
      <c r="A905" s="70" t="s">
        <v>254</v>
      </c>
      <c r="B905" s="70"/>
      <c r="C905" s="72" t="s">
        <v>254</v>
      </c>
      <c r="D905" s="72" t="s">
        <v>254</v>
      </c>
      <c r="E905" s="85" t="s">
        <v>254</v>
      </c>
      <c r="F905" s="85" t="s">
        <v>254</v>
      </c>
      <c r="G905" s="85" t="s">
        <v>254</v>
      </c>
      <c r="H905" s="85" t="s">
        <v>254</v>
      </c>
      <c r="I905" s="85" t="s">
        <v>254</v>
      </c>
      <c r="J905" s="85" t="s">
        <v>254</v>
      </c>
      <c r="K905" s="85" t="s">
        <v>254</v>
      </c>
      <c r="L905" s="85" t="s">
        <v>254</v>
      </c>
      <c r="M905" s="85" t="s">
        <v>254</v>
      </c>
      <c r="N905" s="85" t="s">
        <v>254</v>
      </c>
      <c r="O905" s="85" t="s">
        <v>254</v>
      </c>
      <c r="P905" s="85" t="s">
        <v>254</v>
      </c>
      <c r="Q905" s="85" t="s">
        <v>254</v>
      </c>
      <c r="R905" s="85"/>
      <c r="S905" s="86"/>
    </row>
    <row r="906" spans="1:19" ht="15">
      <c r="A906" s="70">
        <v>29</v>
      </c>
      <c r="B906" s="70"/>
      <c r="C906" s="72" t="s">
        <v>922</v>
      </c>
      <c r="D906" s="72" t="s">
        <v>254</v>
      </c>
      <c r="E906" s="85">
        <v>176357471.15000004</v>
      </c>
      <c r="F906" s="85" t="s">
        <v>254</v>
      </c>
      <c r="G906" s="85">
        <v>159147274.30517444</v>
      </c>
      <c r="H906" s="85" t="s">
        <v>254</v>
      </c>
      <c r="I906" s="85">
        <v>8352448.8464864055</v>
      </c>
      <c r="J906" s="85">
        <v>8857747.998339165</v>
      </c>
      <c r="K906" s="85" t="s">
        <v>254</v>
      </c>
      <c r="L906" s="85" t="s">
        <v>254</v>
      </c>
      <c r="M906" s="85">
        <v>4032.0834778372555</v>
      </c>
      <c r="N906" s="85" t="s">
        <v>254</v>
      </c>
      <c r="O906" s="85">
        <v>8853715.914861327</v>
      </c>
      <c r="P906" s="85">
        <v>2826270.4936792697</v>
      </c>
      <c r="Q906" s="85">
        <v>6027445.4211820569</v>
      </c>
      <c r="R906" s="85"/>
      <c r="S906" s="86"/>
    </row>
    <row r="907" spans="1:19" ht="15">
      <c r="A907" s="70" t="s">
        <v>254</v>
      </c>
      <c r="B907" s="70"/>
      <c r="C907" s="72" t="s">
        <v>254</v>
      </c>
      <c r="D907" s="72" t="s">
        <v>254</v>
      </c>
      <c r="E907" s="85" t="s">
        <v>254</v>
      </c>
      <c r="F907" s="85" t="s">
        <v>254</v>
      </c>
      <c r="G907" s="85" t="s">
        <v>254</v>
      </c>
      <c r="H907" s="85" t="s">
        <v>254</v>
      </c>
      <c r="I907" s="85" t="s">
        <v>254</v>
      </c>
      <c r="J907" s="85" t="s">
        <v>254</v>
      </c>
      <c r="K907" s="85" t="s">
        <v>254</v>
      </c>
      <c r="L907" s="85" t="s">
        <v>254</v>
      </c>
      <c r="M907" s="85" t="s">
        <v>254</v>
      </c>
      <c r="N907" s="85" t="s">
        <v>254</v>
      </c>
      <c r="O907" s="85" t="s">
        <v>254</v>
      </c>
      <c r="P907" s="85" t="s">
        <v>254</v>
      </c>
      <c r="Q907" s="85" t="s">
        <v>254</v>
      </c>
      <c r="R907" s="85"/>
      <c r="S907" s="86"/>
    </row>
    <row r="908" spans="1:19" ht="15">
      <c r="A908" s="70" t="s">
        <v>254</v>
      </c>
      <c r="B908" s="70"/>
      <c r="C908" s="72" t="s">
        <v>923</v>
      </c>
      <c r="D908" s="72" t="s">
        <v>254</v>
      </c>
      <c r="E908" s="85" t="s">
        <v>254</v>
      </c>
      <c r="F908" s="85" t="s">
        <v>254</v>
      </c>
      <c r="G908" s="85" t="s">
        <v>254</v>
      </c>
      <c r="H908" s="85" t="s">
        <v>254</v>
      </c>
      <c r="I908" s="85" t="s">
        <v>254</v>
      </c>
      <c r="J908" s="85" t="s">
        <v>254</v>
      </c>
      <c r="K908" s="85" t="s">
        <v>254</v>
      </c>
      <c r="L908" s="85" t="s">
        <v>254</v>
      </c>
      <c r="M908" s="85" t="s">
        <v>254</v>
      </c>
      <c r="N908" s="85" t="s">
        <v>254</v>
      </c>
      <c r="O908" s="85" t="s">
        <v>254</v>
      </c>
      <c r="P908" s="85" t="s">
        <v>254</v>
      </c>
      <c r="Q908" s="85" t="s">
        <v>254</v>
      </c>
      <c r="R908" s="85"/>
      <c r="S908" s="86"/>
    </row>
    <row r="909" spans="1:19" ht="15">
      <c r="A909" s="70" t="s">
        <v>254</v>
      </c>
      <c r="B909" s="70"/>
      <c r="C909" s="72" t="s">
        <v>254</v>
      </c>
      <c r="D909" s="72" t="s">
        <v>254</v>
      </c>
      <c r="E909" s="85" t="s">
        <v>254</v>
      </c>
      <c r="F909" s="85" t="s">
        <v>254</v>
      </c>
      <c r="G909" s="85" t="s">
        <v>254</v>
      </c>
      <c r="H909" s="85" t="s">
        <v>254</v>
      </c>
      <c r="I909" s="85" t="s">
        <v>254</v>
      </c>
      <c r="J909" s="85" t="s">
        <v>254</v>
      </c>
      <c r="K909" s="85" t="s">
        <v>254</v>
      </c>
      <c r="L909" s="85" t="s">
        <v>254</v>
      </c>
      <c r="M909" s="85" t="s">
        <v>254</v>
      </c>
      <c r="N909" s="85" t="s">
        <v>254</v>
      </c>
      <c r="O909" s="85" t="s">
        <v>254</v>
      </c>
      <c r="P909" s="85" t="s">
        <v>254</v>
      </c>
      <c r="Q909" s="85" t="s">
        <v>254</v>
      </c>
      <c r="R909" s="85"/>
      <c r="S909" s="86"/>
    </row>
    <row r="910" spans="1:19" ht="15">
      <c r="A910" s="70" t="s">
        <v>254</v>
      </c>
      <c r="B910" s="70"/>
      <c r="C910" s="72" t="s">
        <v>924</v>
      </c>
      <c r="D910" s="72" t="s">
        <v>254</v>
      </c>
      <c r="E910" s="85" t="s">
        <v>254</v>
      </c>
      <c r="F910" s="85" t="s">
        <v>254</v>
      </c>
      <c r="G910" s="85" t="s">
        <v>254</v>
      </c>
      <c r="H910" s="85" t="s">
        <v>254</v>
      </c>
      <c r="I910" s="85" t="s">
        <v>254</v>
      </c>
      <c r="J910" s="85" t="s">
        <v>254</v>
      </c>
      <c r="K910" s="85" t="s">
        <v>254</v>
      </c>
      <c r="L910" s="85" t="s">
        <v>254</v>
      </c>
      <c r="M910" s="85" t="s">
        <v>254</v>
      </c>
      <c r="N910" s="85" t="s">
        <v>254</v>
      </c>
      <c r="O910" s="85" t="s">
        <v>254</v>
      </c>
      <c r="P910" s="85" t="s">
        <v>254</v>
      </c>
      <c r="Q910" s="85" t="s">
        <v>254</v>
      </c>
      <c r="R910" s="85"/>
      <c r="S910" s="86"/>
    </row>
    <row r="911" spans="1:19" ht="15">
      <c r="A911" s="70" t="s">
        <v>254</v>
      </c>
      <c r="B911" s="70"/>
      <c r="C911" s="72" t="s">
        <v>925</v>
      </c>
      <c r="D911" s="72" t="s">
        <v>254</v>
      </c>
      <c r="E911" s="85" t="s">
        <v>254</v>
      </c>
      <c r="F911" s="85" t="s">
        <v>254</v>
      </c>
      <c r="G911" s="85" t="s">
        <v>254</v>
      </c>
      <c r="H911" s="85" t="s">
        <v>254</v>
      </c>
      <c r="I911" s="85" t="s">
        <v>254</v>
      </c>
      <c r="J911" s="85" t="s">
        <v>254</v>
      </c>
      <c r="K911" s="85" t="s">
        <v>254</v>
      </c>
      <c r="L911" s="85" t="s">
        <v>254</v>
      </c>
      <c r="M911" s="85" t="s">
        <v>254</v>
      </c>
      <c r="N911" s="85" t="s">
        <v>254</v>
      </c>
      <c r="O911" s="85" t="s">
        <v>254</v>
      </c>
      <c r="P911" s="85" t="s">
        <v>254</v>
      </c>
      <c r="Q911" s="85" t="s">
        <v>254</v>
      </c>
      <c r="R911" s="85"/>
      <c r="S911" s="86"/>
    </row>
    <row r="912" spans="1:19" ht="15">
      <c r="A912" s="70" t="s">
        <v>254</v>
      </c>
      <c r="B912" s="70"/>
      <c r="C912" s="72" t="s">
        <v>926</v>
      </c>
      <c r="D912" s="72" t="s">
        <v>254</v>
      </c>
      <c r="E912" s="85" t="s">
        <v>254</v>
      </c>
      <c r="F912" s="85" t="s">
        <v>254</v>
      </c>
      <c r="G912" s="85" t="s">
        <v>254</v>
      </c>
      <c r="H912" s="85" t="s">
        <v>254</v>
      </c>
      <c r="I912" s="85" t="s">
        <v>254</v>
      </c>
      <c r="J912" s="85" t="s">
        <v>254</v>
      </c>
      <c r="K912" s="85" t="s">
        <v>254</v>
      </c>
      <c r="L912" s="85" t="s">
        <v>254</v>
      </c>
      <c r="M912" s="85" t="s">
        <v>254</v>
      </c>
      <c r="N912" s="85" t="s">
        <v>254</v>
      </c>
      <c r="O912" s="85" t="s">
        <v>254</v>
      </c>
      <c r="P912" s="85" t="s">
        <v>254</v>
      </c>
      <c r="Q912" s="85" t="s">
        <v>254</v>
      </c>
      <c r="R912" s="85"/>
      <c r="S912" s="86"/>
    </row>
    <row r="913" spans="1:19" ht="15">
      <c r="A913" s="70">
        <v>1</v>
      </c>
      <c r="B913" s="70"/>
      <c r="C913" s="72" t="s">
        <v>927</v>
      </c>
      <c r="D913" s="72" t="s">
        <v>307</v>
      </c>
      <c r="E913" s="85">
        <v>3574426</v>
      </c>
      <c r="F913" s="85" t="s">
        <v>254</v>
      </c>
      <c r="G913" s="85">
        <v>3130401</v>
      </c>
      <c r="H913" s="85" t="s">
        <v>254</v>
      </c>
      <c r="I913" s="85">
        <v>144667</v>
      </c>
      <c r="J913" s="85">
        <v>299358</v>
      </c>
      <c r="K913" s="85" t="s">
        <v>254</v>
      </c>
      <c r="L913" s="85" t="s">
        <v>254</v>
      </c>
      <c r="M913" s="85">
        <v>11</v>
      </c>
      <c r="N913" s="85" t="s">
        <v>254</v>
      </c>
      <c r="O913" s="85">
        <v>299347</v>
      </c>
      <c r="P913" s="85">
        <v>92905</v>
      </c>
      <c r="Q913" s="85">
        <v>206442</v>
      </c>
      <c r="R913" s="85"/>
      <c r="S913" s="86"/>
    </row>
    <row r="914" spans="1:19" ht="15">
      <c r="A914" s="70">
        <v>2</v>
      </c>
      <c r="B914" s="70"/>
      <c r="C914" s="72" t="s">
        <v>928</v>
      </c>
      <c r="D914" s="72" t="s">
        <v>315</v>
      </c>
      <c r="E914" s="85">
        <v>444014</v>
      </c>
      <c r="F914" s="85" t="s">
        <v>254</v>
      </c>
      <c r="G914" s="85">
        <v>0</v>
      </c>
      <c r="H914" s="85" t="s">
        <v>254</v>
      </c>
      <c r="I914" s="85">
        <v>144667</v>
      </c>
      <c r="J914" s="85">
        <v>299347</v>
      </c>
      <c r="K914" s="85" t="s">
        <v>254</v>
      </c>
      <c r="L914" s="85" t="s">
        <v>254</v>
      </c>
      <c r="M914" s="85">
        <v>0</v>
      </c>
      <c r="N914" s="85" t="s">
        <v>254</v>
      </c>
      <c r="O914" s="85">
        <v>299347</v>
      </c>
      <c r="P914" s="85">
        <v>92905</v>
      </c>
      <c r="Q914" s="85">
        <v>206442</v>
      </c>
      <c r="R914" s="85"/>
      <c r="S914" s="86"/>
    </row>
    <row r="915" spans="1:19" ht="15">
      <c r="A915" s="70">
        <v>3</v>
      </c>
      <c r="B915" s="70"/>
      <c r="C915" s="72" t="s">
        <v>929</v>
      </c>
      <c r="D915" s="72" t="s">
        <v>401</v>
      </c>
      <c r="E915" s="85">
        <v>144667</v>
      </c>
      <c r="F915" s="85" t="s">
        <v>254</v>
      </c>
      <c r="G915" s="85">
        <v>0</v>
      </c>
      <c r="H915" s="85" t="s">
        <v>254</v>
      </c>
      <c r="I915" s="85">
        <v>144667</v>
      </c>
      <c r="J915" s="85">
        <v>0</v>
      </c>
      <c r="K915" s="85" t="s">
        <v>254</v>
      </c>
      <c r="L915" s="85" t="s">
        <v>254</v>
      </c>
      <c r="M915" s="85">
        <v>0</v>
      </c>
      <c r="N915" s="85" t="s">
        <v>254</v>
      </c>
      <c r="O915" s="85">
        <v>0</v>
      </c>
      <c r="P915" s="85">
        <v>0</v>
      </c>
      <c r="Q915" s="85">
        <v>0</v>
      </c>
      <c r="R915" s="85"/>
      <c r="S915" s="86"/>
    </row>
    <row r="916" spans="1:19" ht="15">
      <c r="A916" s="70">
        <v>4</v>
      </c>
      <c r="B916" s="70"/>
      <c r="C916" s="72" t="s">
        <v>930</v>
      </c>
      <c r="D916" s="72" t="s">
        <v>379</v>
      </c>
      <c r="E916" s="85">
        <v>3429748</v>
      </c>
      <c r="F916" s="85" t="s">
        <v>254</v>
      </c>
      <c r="G916" s="85">
        <v>3130401</v>
      </c>
      <c r="H916" s="85" t="s">
        <v>254</v>
      </c>
      <c r="I916" s="85">
        <v>0</v>
      </c>
      <c r="J916" s="85">
        <v>299347</v>
      </c>
      <c r="K916" s="85" t="s">
        <v>254</v>
      </c>
      <c r="L916" s="85" t="s">
        <v>254</v>
      </c>
      <c r="M916" s="85">
        <v>0</v>
      </c>
      <c r="N916" s="85" t="s">
        <v>254</v>
      </c>
      <c r="O916" s="85">
        <v>299347</v>
      </c>
      <c r="P916" s="85">
        <v>92905</v>
      </c>
      <c r="Q916" s="85">
        <v>206442</v>
      </c>
      <c r="R916" s="85"/>
      <c r="S916" s="86"/>
    </row>
    <row r="917" spans="1:19" ht="15">
      <c r="A917" s="70">
        <v>5</v>
      </c>
      <c r="B917" s="70"/>
      <c r="C917" s="72" t="s">
        <v>931</v>
      </c>
      <c r="D917" s="72" t="s">
        <v>317</v>
      </c>
      <c r="E917" s="85">
        <v>299347</v>
      </c>
      <c r="F917" s="85" t="s">
        <v>254</v>
      </c>
      <c r="G917" s="85">
        <v>0</v>
      </c>
      <c r="H917" s="85" t="s">
        <v>254</v>
      </c>
      <c r="I917" s="85">
        <v>0</v>
      </c>
      <c r="J917" s="85">
        <v>299347</v>
      </c>
      <c r="K917" s="85" t="s">
        <v>254</v>
      </c>
      <c r="L917" s="85" t="s">
        <v>254</v>
      </c>
      <c r="M917" s="85">
        <v>0</v>
      </c>
      <c r="N917" s="85" t="s">
        <v>254</v>
      </c>
      <c r="O917" s="85">
        <v>299347</v>
      </c>
      <c r="P917" s="85">
        <v>92905</v>
      </c>
      <c r="Q917" s="85">
        <v>206442</v>
      </c>
      <c r="R917" s="85"/>
      <c r="S917" s="86"/>
    </row>
    <row r="918" spans="1:19" ht="15">
      <c r="A918" s="70">
        <v>6</v>
      </c>
      <c r="B918" s="70"/>
      <c r="C918" s="72" t="s">
        <v>932</v>
      </c>
      <c r="D918" s="72" t="s">
        <v>933</v>
      </c>
      <c r="E918" s="85">
        <v>3429759</v>
      </c>
      <c r="F918" s="85" t="s">
        <v>254</v>
      </c>
      <c r="G918" s="85">
        <v>3130401</v>
      </c>
      <c r="H918" s="85" t="s">
        <v>254</v>
      </c>
      <c r="I918" s="85">
        <v>0</v>
      </c>
      <c r="J918" s="85">
        <v>299358</v>
      </c>
      <c r="K918" s="85" t="s">
        <v>254</v>
      </c>
      <c r="L918" s="85" t="s">
        <v>254</v>
      </c>
      <c r="M918" s="85">
        <v>11</v>
      </c>
      <c r="N918" s="85" t="s">
        <v>254</v>
      </c>
      <c r="O918" s="85">
        <v>299347</v>
      </c>
      <c r="P918" s="85">
        <v>92905</v>
      </c>
      <c r="Q918" s="85">
        <v>206442</v>
      </c>
      <c r="R918" s="85"/>
      <c r="S918" s="86"/>
    </row>
    <row r="919" spans="1:19" ht="15">
      <c r="A919" s="70" t="s">
        <v>254</v>
      </c>
      <c r="B919" s="70"/>
      <c r="C919" s="72" t="s">
        <v>934</v>
      </c>
      <c r="D919" s="72" t="s">
        <v>254</v>
      </c>
      <c r="E919" s="85" t="s">
        <v>254</v>
      </c>
      <c r="F919" s="85" t="s">
        <v>254</v>
      </c>
      <c r="G919" s="85" t="s">
        <v>254</v>
      </c>
      <c r="H919" s="85" t="s">
        <v>254</v>
      </c>
      <c r="I919" s="85" t="s">
        <v>254</v>
      </c>
      <c r="J919" s="85" t="s">
        <v>254</v>
      </c>
      <c r="K919" s="85" t="s">
        <v>254</v>
      </c>
      <c r="L919" s="85" t="s">
        <v>254</v>
      </c>
      <c r="M919" s="85" t="s">
        <v>254</v>
      </c>
      <c r="N919" s="85" t="s">
        <v>254</v>
      </c>
      <c r="O919" s="85" t="s">
        <v>254</v>
      </c>
      <c r="P919" s="85" t="s">
        <v>254</v>
      </c>
      <c r="Q919" s="85" t="s">
        <v>254</v>
      </c>
      <c r="R919" s="85"/>
      <c r="S919" s="86"/>
    </row>
    <row r="920" spans="1:19" ht="15">
      <c r="A920" s="70">
        <v>7</v>
      </c>
      <c r="B920" s="70"/>
      <c r="C920" s="72" t="s">
        <v>935</v>
      </c>
      <c r="D920" s="72" t="s">
        <v>575</v>
      </c>
      <c r="E920" s="85">
        <v>3574426</v>
      </c>
      <c r="F920" s="85" t="s">
        <v>254</v>
      </c>
      <c r="G920" s="85">
        <v>3130401</v>
      </c>
      <c r="H920" s="85" t="s">
        <v>254</v>
      </c>
      <c r="I920" s="85">
        <v>144667</v>
      </c>
      <c r="J920" s="85">
        <v>299358</v>
      </c>
      <c r="K920" s="85" t="s">
        <v>254</v>
      </c>
      <c r="L920" s="85" t="s">
        <v>254</v>
      </c>
      <c r="M920" s="85">
        <v>11</v>
      </c>
      <c r="N920" s="85" t="s">
        <v>254</v>
      </c>
      <c r="O920" s="85">
        <v>299347</v>
      </c>
      <c r="P920" s="85">
        <v>92905</v>
      </c>
      <c r="Q920" s="85">
        <v>206442</v>
      </c>
      <c r="R920" s="85"/>
      <c r="S920" s="86"/>
    </row>
    <row r="921" spans="1:19" ht="15">
      <c r="A921" s="70">
        <v>8</v>
      </c>
      <c r="B921" s="70"/>
      <c r="C921" s="72" t="s">
        <v>936</v>
      </c>
      <c r="D921" s="72" t="s">
        <v>355</v>
      </c>
      <c r="E921" s="85">
        <v>144667</v>
      </c>
      <c r="F921" s="85" t="s">
        <v>254</v>
      </c>
      <c r="G921" s="85">
        <v>0</v>
      </c>
      <c r="H921" s="85" t="s">
        <v>254</v>
      </c>
      <c r="I921" s="85">
        <v>144667</v>
      </c>
      <c r="J921" s="85">
        <v>0</v>
      </c>
      <c r="K921" s="85" t="s">
        <v>254</v>
      </c>
      <c r="L921" s="85" t="s">
        <v>254</v>
      </c>
      <c r="M921" s="85">
        <v>0</v>
      </c>
      <c r="N921" s="85" t="s">
        <v>254</v>
      </c>
      <c r="O921" s="85">
        <v>0</v>
      </c>
      <c r="P921" s="85">
        <v>0</v>
      </c>
      <c r="Q921" s="85">
        <v>0</v>
      </c>
      <c r="R921" s="85"/>
      <c r="S921" s="86"/>
    </row>
    <row r="922" spans="1:19" ht="15">
      <c r="A922" s="70">
        <v>9</v>
      </c>
      <c r="B922" s="70"/>
      <c r="C922" s="72" t="s">
        <v>937</v>
      </c>
      <c r="D922" s="72" t="s">
        <v>344</v>
      </c>
      <c r="E922" s="85">
        <v>3275079</v>
      </c>
      <c r="F922" s="85" t="s">
        <v>254</v>
      </c>
      <c r="G922" s="85">
        <v>3130401</v>
      </c>
      <c r="H922" s="85" t="s">
        <v>254</v>
      </c>
      <c r="I922" s="85">
        <v>144667</v>
      </c>
      <c r="J922" s="85">
        <v>11</v>
      </c>
      <c r="K922" s="85" t="s">
        <v>254</v>
      </c>
      <c r="L922" s="85" t="s">
        <v>254</v>
      </c>
      <c r="M922" s="85">
        <v>11</v>
      </c>
      <c r="N922" s="85" t="s">
        <v>254</v>
      </c>
      <c r="O922" s="85">
        <v>0</v>
      </c>
      <c r="P922" s="85">
        <v>0</v>
      </c>
      <c r="Q922" s="85">
        <v>0</v>
      </c>
      <c r="R922" s="85"/>
      <c r="S922" s="86"/>
    </row>
    <row r="923" spans="1:19" ht="15">
      <c r="A923" s="70">
        <v>10</v>
      </c>
      <c r="B923" s="70"/>
      <c r="C923" s="72" t="s">
        <v>938</v>
      </c>
      <c r="D923" s="72" t="s">
        <v>939</v>
      </c>
      <c r="E923" s="85">
        <v>444014</v>
      </c>
      <c r="F923" s="85" t="s">
        <v>254</v>
      </c>
      <c r="G923" s="85">
        <v>0</v>
      </c>
      <c r="H923" s="85" t="s">
        <v>254</v>
      </c>
      <c r="I923" s="85">
        <v>144667</v>
      </c>
      <c r="J923" s="85">
        <v>299347</v>
      </c>
      <c r="K923" s="85" t="s">
        <v>254</v>
      </c>
      <c r="L923" s="85" t="s">
        <v>254</v>
      </c>
      <c r="M923" s="85">
        <v>0</v>
      </c>
      <c r="N923" s="85" t="s">
        <v>254</v>
      </c>
      <c r="O923" s="85">
        <v>299347</v>
      </c>
      <c r="P923" s="85">
        <v>92905</v>
      </c>
      <c r="Q923" s="85">
        <v>206442</v>
      </c>
      <c r="R923" s="85"/>
      <c r="S923" s="86"/>
    </row>
    <row r="924" spans="1:19" ht="15">
      <c r="A924" s="70">
        <v>11</v>
      </c>
      <c r="B924" s="70"/>
      <c r="C924" s="72" t="s">
        <v>940</v>
      </c>
      <c r="D924" s="72" t="s">
        <v>358</v>
      </c>
      <c r="E924" s="85">
        <v>3130412</v>
      </c>
      <c r="F924" s="85" t="s">
        <v>254</v>
      </c>
      <c r="G924" s="85">
        <v>3130401</v>
      </c>
      <c r="H924" s="85" t="s">
        <v>254</v>
      </c>
      <c r="I924" s="85">
        <v>0</v>
      </c>
      <c r="J924" s="85">
        <v>11</v>
      </c>
      <c r="K924" s="85" t="s">
        <v>254</v>
      </c>
      <c r="L924" s="85" t="s">
        <v>254</v>
      </c>
      <c r="M924" s="85">
        <v>11</v>
      </c>
      <c r="N924" s="85" t="s">
        <v>254</v>
      </c>
      <c r="O924" s="85">
        <v>0</v>
      </c>
      <c r="P924" s="85">
        <v>0</v>
      </c>
      <c r="Q924" s="85">
        <v>0</v>
      </c>
      <c r="R924" s="85"/>
      <c r="S924" s="86"/>
    </row>
    <row r="925" spans="1:19" ht="15">
      <c r="A925" s="70" t="s">
        <v>254</v>
      </c>
      <c r="B925" s="70"/>
      <c r="C925" s="72" t="s">
        <v>254</v>
      </c>
      <c r="D925" s="72" t="s">
        <v>254</v>
      </c>
      <c r="E925" s="85" t="s">
        <v>254</v>
      </c>
      <c r="F925" s="85" t="s">
        <v>254</v>
      </c>
      <c r="G925" s="85" t="s">
        <v>254</v>
      </c>
      <c r="H925" s="85" t="s">
        <v>254</v>
      </c>
      <c r="I925" s="85" t="s">
        <v>254</v>
      </c>
      <c r="J925" s="85" t="s">
        <v>254</v>
      </c>
      <c r="K925" s="85" t="s">
        <v>254</v>
      </c>
      <c r="L925" s="85" t="s">
        <v>254</v>
      </c>
      <c r="M925" s="85" t="s">
        <v>254</v>
      </c>
      <c r="N925" s="85" t="s">
        <v>254</v>
      </c>
      <c r="O925" s="85" t="s">
        <v>254</v>
      </c>
      <c r="P925" s="85" t="s">
        <v>254</v>
      </c>
      <c r="Q925" s="85" t="s">
        <v>254</v>
      </c>
      <c r="R925" s="85"/>
      <c r="S925" s="86"/>
    </row>
    <row r="926" spans="1:19" ht="15">
      <c r="A926" s="70" t="s">
        <v>254</v>
      </c>
      <c r="B926" s="70"/>
      <c r="C926" s="72" t="s">
        <v>941</v>
      </c>
      <c r="D926" s="72" t="s">
        <v>254</v>
      </c>
      <c r="E926" s="85" t="s">
        <v>254</v>
      </c>
      <c r="F926" s="85" t="s">
        <v>254</v>
      </c>
      <c r="G926" s="85" t="s">
        <v>254</v>
      </c>
      <c r="H926" s="85" t="s">
        <v>254</v>
      </c>
      <c r="I926" s="85" t="s">
        <v>254</v>
      </c>
      <c r="J926" s="85" t="s">
        <v>254</v>
      </c>
      <c r="K926" s="85" t="s">
        <v>254</v>
      </c>
      <c r="L926" s="85" t="s">
        <v>254</v>
      </c>
      <c r="M926" s="85" t="s">
        <v>254</v>
      </c>
      <c r="N926" s="85" t="s">
        <v>254</v>
      </c>
      <c r="O926" s="85" t="s">
        <v>254</v>
      </c>
      <c r="P926" s="85" t="s">
        <v>254</v>
      </c>
      <c r="Q926" s="85" t="s">
        <v>254</v>
      </c>
      <c r="R926" s="85"/>
      <c r="S926" s="86"/>
    </row>
    <row r="927" spans="1:19" ht="15">
      <c r="A927" s="70">
        <v>12</v>
      </c>
      <c r="B927" s="70"/>
      <c r="C927" s="72" t="s">
        <v>942</v>
      </c>
      <c r="D927" s="72" t="s">
        <v>364</v>
      </c>
      <c r="E927" s="85">
        <v>8277755.1899999902</v>
      </c>
      <c r="F927" s="85" t="s">
        <v>254</v>
      </c>
      <c r="G927" s="85">
        <v>8268598.1899999902</v>
      </c>
      <c r="H927" s="85" t="s">
        <v>254</v>
      </c>
      <c r="I927" s="85">
        <v>0</v>
      </c>
      <c r="J927" s="85">
        <v>9157</v>
      </c>
      <c r="K927" s="85" t="s">
        <v>254</v>
      </c>
      <c r="L927" s="85" t="s">
        <v>254</v>
      </c>
      <c r="M927" s="85">
        <v>0</v>
      </c>
      <c r="N927" s="85" t="s">
        <v>254</v>
      </c>
      <c r="O927" s="85">
        <v>9157</v>
      </c>
      <c r="P927" s="85">
        <v>9157</v>
      </c>
      <c r="Q927" s="85">
        <v>0</v>
      </c>
      <c r="R927" s="85"/>
      <c r="S927" s="86"/>
    </row>
    <row r="928" spans="1:19" ht="15">
      <c r="A928" s="70">
        <v>13</v>
      </c>
      <c r="B928" s="70"/>
      <c r="C928" s="72" t="s">
        <v>943</v>
      </c>
      <c r="D928" s="72" t="s">
        <v>366</v>
      </c>
      <c r="E928" s="85">
        <v>12013416.15</v>
      </c>
      <c r="F928" s="85" t="s">
        <v>254</v>
      </c>
      <c r="G928" s="85">
        <v>11661225.15</v>
      </c>
      <c r="H928" s="85" t="s">
        <v>254</v>
      </c>
      <c r="I928" s="85">
        <v>0</v>
      </c>
      <c r="J928" s="85">
        <v>352191</v>
      </c>
      <c r="K928" s="85" t="s">
        <v>254</v>
      </c>
      <c r="L928" s="85" t="s">
        <v>254</v>
      </c>
      <c r="M928" s="85">
        <v>0</v>
      </c>
      <c r="N928" s="85" t="s">
        <v>254</v>
      </c>
      <c r="O928" s="85">
        <v>352191</v>
      </c>
      <c r="P928" s="85">
        <v>352191</v>
      </c>
      <c r="Q928" s="85">
        <v>0</v>
      </c>
      <c r="R928" s="85"/>
      <c r="S928" s="86"/>
    </row>
    <row r="929" spans="1:19" ht="15">
      <c r="A929" s="70">
        <v>14</v>
      </c>
      <c r="B929" s="70"/>
      <c r="C929" s="72" t="s">
        <v>944</v>
      </c>
      <c r="D929" s="72" t="s">
        <v>368</v>
      </c>
      <c r="E929" s="85">
        <v>182667901.31</v>
      </c>
      <c r="F929" s="85" t="s">
        <v>254</v>
      </c>
      <c r="G929" s="85">
        <v>178988612.31</v>
      </c>
      <c r="H929" s="85" t="s">
        <v>254</v>
      </c>
      <c r="I929" s="85">
        <v>0</v>
      </c>
      <c r="J929" s="85">
        <v>3679289</v>
      </c>
      <c r="K929" s="85" t="s">
        <v>254</v>
      </c>
      <c r="L929" s="85" t="s">
        <v>254</v>
      </c>
      <c r="M929" s="85">
        <v>0</v>
      </c>
      <c r="N929" s="85" t="s">
        <v>254</v>
      </c>
      <c r="O929" s="85">
        <v>3679289</v>
      </c>
      <c r="P929" s="85">
        <v>3679289</v>
      </c>
      <c r="Q929" s="85">
        <v>0</v>
      </c>
      <c r="R929" s="85"/>
      <c r="S929" s="86"/>
    </row>
    <row r="930" spans="1:19" ht="15">
      <c r="A930" s="70">
        <v>15</v>
      </c>
      <c r="B930" s="70"/>
      <c r="C930" s="72" t="s">
        <v>945</v>
      </c>
      <c r="D930" s="72" t="s">
        <v>370</v>
      </c>
      <c r="E930" s="85">
        <v>348365724.37</v>
      </c>
      <c r="F930" s="85" t="s">
        <v>254</v>
      </c>
      <c r="G930" s="85">
        <v>348365724.37</v>
      </c>
      <c r="H930" s="85" t="s">
        <v>254</v>
      </c>
      <c r="I930" s="85">
        <v>0</v>
      </c>
      <c r="J930" s="85">
        <v>0</v>
      </c>
      <c r="K930" s="85" t="s">
        <v>254</v>
      </c>
      <c r="L930" s="85" t="s">
        <v>254</v>
      </c>
      <c r="M930" s="85">
        <v>0</v>
      </c>
      <c r="N930" s="85" t="s">
        <v>254</v>
      </c>
      <c r="O930" s="85">
        <v>0</v>
      </c>
      <c r="P930" s="85">
        <v>0</v>
      </c>
      <c r="Q930" s="85">
        <v>0</v>
      </c>
      <c r="R930" s="85"/>
      <c r="S930" s="86"/>
    </row>
    <row r="931" spans="1:19" ht="15">
      <c r="A931" s="70">
        <v>16</v>
      </c>
      <c r="B931" s="70"/>
      <c r="C931" s="72" t="s">
        <v>946</v>
      </c>
      <c r="D931" s="72" t="s">
        <v>372</v>
      </c>
      <c r="E931" s="85">
        <v>343386372.43999994</v>
      </c>
      <c r="F931" s="85" t="s">
        <v>254</v>
      </c>
      <c r="G931" s="85">
        <v>343386372.43999994</v>
      </c>
      <c r="H931" s="85" t="s">
        <v>254</v>
      </c>
      <c r="I931" s="85">
        <v>0</v>
      </c>
      <c r="J931" s="85">
        <v>0</v>
      </c>
      <c r="K931" s="85" t="s">
        <v>254</v>
      </c>
      <c r="L931" s="85" t="s">
        <v>254</v>
      </c>
      <c r="M931" s="85">
        <v>0</v>
      </c>
      <c r="N931" s="85" t="s">
        <v>254</v>
      </c>
      <c r="O931" s="85">
        <v>0</v>
      </c>
      <c r="P931" s="85">
        <v>0</v>
      </c>
      <c r="Q931" s="85">
        <v>0</v>
      </c>
      <c r="R931" s="85"/>
      <c r="S931" s="86"/>
    </row>
    <row r="932" spans="1:19" ht="15">
      <c r="A932" s="70">
        <v>17</v>
      </c>
      <c r="B932" s="70"/>
      <c r="C932" s="72" t="s">
        <v>947</v>
      </c>
      <c r="D932" s="72" t="s">
        <v>374</v>
      </c>
      <c r="E932" s="85">
        <v>2381227.67</v>
      </c>
      <c r="F932" s="85" t="s">
        <v>254</v>
      </c>
      <c r="G932" s="85">
        <v>2381227.67</v>
      </c>
      <c r="H932" s="85" t="s">
        <v>254</v>
      </c>
      <c r="I932" s="85">
        <v>0</v>
      </c>
      <c r="J932" s="85">
        <v>0</v>
      </c>
      <c r="K932" s="85" t="s">
        <v>254</v>
      </c>
      <c r="L932" s="85" t="s">
        <v>254</v>
      </c>
      <c r="M932" s="85">
        <v>0</v>
      </c>
      <c r="N932" s="85" t="s">
        <v>254</v>
      </c>
      <c r="O932" s="85">
        <v>0</v>
      </c>
      <c r="P932" s="85">
        <v>0</v>
      </c>
      <c r="Q932" s="85">
        <v>0</v>
      </c>
      <c r="R932" s="85"/>
      <c r="S932" s="86"/>
    </row>
    <row r="933" spans="1:19" ht="15">
      <c r="A933" s="70">
        <v>18</v>
      </c>
      <c r="B933" s="70"/>
      <c r="C933" s="72" t="s">
        <v>948</v>
      </c>
      <c r="D933" s="72" t="s">
        <v>376</v>
      </c>
      <c r="E933" s="85">
        <v>187754075.88</v>
      </c>
      <c r="F933" s="85" t="s">
        <v>254</v>
      </c>
      <c r="G933" s="85">
        <v>187754075.88</v>
      </c>
      <c r="H933" s="85" t="s">
        <v>254</v>
      </c>
      <c r="I933" s="85">
        <v>0</v>
      </c>
      <c r="J933" s="85">
        <v>0</v>
      </c>
      <c r="K933" s="85" t="s">
        <v>254</v>
      </c>
      <c r="L933" s="85" t="s">
        <v>254</v>
      </c>
      <c r="M933" s="85">
        <v>0</v>
      </c>
      <c r="N933" s="85" t="s">
        <v>254</v>
      </c>
      <c r="O933" s="85">
        <v>0</v>
      </c>
      <c r="P933" s="85">
        <v>0</v>
      </c>
      <c r="Q933" s="85">
        <v>0</v>
      </c>
      <c r="R933" s="85"/>
      <c r="S933" s="86"/>
    </row>
    <row r="934" spans="1:19" ht="15">
      <c r="A934" s="70">
        <v>19</v>
      </c>
      <c r="B934" s="70"/>
      <c r="C934" s="72" t="s">
        <v>949</v>
      </c>
      <c r="D934" s="72" t="s">
        <v>381</v>
      </c>
      <c r="E934" s="85">
        <v>302543335.56999999</v>
      </c>
      <c r="F934" s="85" t="s">
        <v>254</v>
      </c>
      <c r="G934" s="85">
        <v>302543335.56999999</v>
      </c>
      <c r="H934" s="85" t="s">
        <v>254</v>
      </c>
      <c r="I934" s="85">
        <v>0</v>
      </c>
      <c r="J934" s="85">
        <v>0</v>
      </c>
      <c r="K934" s="85" t="s">
        <v>254</v>
      </c>
      <c r="L934" s="85" t="s">
        <v>254</v>
      </c>
      <c r="M934" s="85">
        <v>0</v>
      </c>
      <c r="N934" s="85" t="s">
        <v>254</v>
      </c>
      <c r="O934" s="85">
        <v>0</v>
      </c>
      <c r="P934" s="85">
        <v>0</v>
      </c>
      <c r="Q934" s="85">
        <v>0</v>
      </c>
      <c r="R934" s="85"/>
      <c r="S934" s="86"/>
    </row>
    <row r="935" spans="1:19" ht="15">
      <c r="A935" s="70">
        <v>20</v>
      </c>
      <c r="B935" s="70"/>
      <c r="C935" s="72" t="s">
        <v>950</v>
      </c>
      <c r="D935" s="72" t="s">
        <v>392</v>
      </c>
      <c r="E935" s="85">
        <v>904896.85999999894</v>
      </c>
      <c r="F935" s="85" t="s">
        <v>254</v>
      </c>
      <c r="G935" s="85">
        <v>904896.85999999894</v>
      </c>
      <c r="H935" s="85" t="s">
        <v>254</v>
      </c>
      <c r="I935" s="85">
        <v>0</v>
      </c>
      <c r="J935" s="85">
        <v>0</v>
      </c>
      <c r="K935" s="85" t="s">
        <v>254</v>
      </c>
      <c r="L935" s="85" t="s">
        <v>254</v>
      </c>
      <c r="M935" s="85">
        <v>0</v>
      </c>
      <c r="N935" s="85" t="s">
        <v>254</v>
      </c>
      <c r="O935" s="85">
        <v>0</v>
      </c>
      <c r="P935" s="85">
        <v>0</v>
      </c>
      <c r="Q935" s="85">
        <v>0</v>
      </c>
      <c r="R935" s="85"/>
      <c r="S935" s="86"/>
    </row>
    <row r="936" spans="1:19" ht="15">
      <c r="A936" s="70">
        <v>21</v>
      </c>
      <c r="B936" s="70"/>
      <c r="C936" s="72" t="s">
        <v>951</v>
      </c>
      <c r="D936" s="72" t="s">
        <v>395</v>
      </c>
      <c r="E936" s="85">
        <v>343250.44</v>
      </c>
      <c r="F936" s="85" t="s">
        <v>254</v>
      </c>
      <c r="G936" s="85">
        <v>0</v>
      </c>
      <c r="H936" s="85" t="s">
        <v>254</v>
      </c>
      <c r="I936" s="85">
        <v>343250.44</v>
      </c>
      <c r="J936" s="85">
        <v>0</v>
      </c>
      <c r="K936" s="85" t="s">
        <v>254</v>
      </c>
      <c r="L936" s="85" t="s">
        <v>254</v>
      </c>
      <c r="M936" s="85">
        <v>0</v>
      </c>
      <c r="N936" s="85" t="s">
        <v>254</v>
      </c>
      <c r="O936" s="85">
        <v>0</v>
      </c>
      <c r="P936" s="85">
        <v>0</v>
      </c>
      <c r="Q936" s="85">
        <v>0</v>
      </c>
      <c r="R936" s="85"/>
      <c r="S936" s="86"/>
    </row>
    <row r="937" spans="1:19" ht="15">
      <c r="A937" s="70">
        <v>22</v>
      </c>
      <c r="B937" s="70"/>
      <c r="C937" s="72" t="s">
        <v>952</v>
      </c>
      <c r="D937" s="72" t="s">
        <v>396</v>
      </c>
      <c r="E937" s="85">
        <v>493671.51999999996</v>
      </c>
      <c r="F937" s="85" t="s">
        <v>254</v>
      </c>
      <c r="G937" s="85">
        <v>0</v>
      </c>
      <c r="H937" s="85" t="s">
        <v>254</v>
      </c>
      <c r="I937" s="85">
        <v>493671.51999999996</v>
      </c>
      <c r="J937" s="85">
        <v>0</v>
      </c>
      <c r="K937" s="85" t="s">
        <v>254</v>
      </c>
      <c r="L937" s="85" t="s">
        <v>254</v>
      </c>
      <c r="M937" s="85">
        <v>0</v>
      </c>
      <c r="N937" s="85" t="s">
        <v>254</v>
      </c>
      <c r="O937" s="85">
        <v>0</v>
      </c>
      <c r="P937" s="85">
        <v>0</v>
      </c>
      <c r="Q937" s="85">
        <v>0</v>
      </c>
      <c r="R937" s="85"/>
      <c r="S937" s="86"/>
    </row>
    <row r="938" spans="1:19" ht="15">
      <c r="A938" s="70">
        <v>23</v>
      </c>
      <c r="B938" s="70"/>
      <c r="C938" s="72" t="s">
        <v>953</v>
      </c>
      <c r="D938" s="72" t="s">
        <v>397</v>
      </c>
      <c r="E938" s="85">
        <v>8233190.0100000007</v>
      </c>
      <c r="F938" s="85" t="s">
        <v>254</v>
      </c>
      <c r="G938" s="85">
        <v>0</v>
      </c>
      <c r="H938" s="85" t="s">
        <v>254</v>
      </c>
      <c r="I938" s="85">
        <v>8233190.0100000007</v>
      </c>
      <c r="J938" s="85">
        <v>0</v>
      </c>
      <c r="K938" s="85" t="s">
        <v>254</v>
      </c>
      <c r="L938" s="85" t="s">
        <v>254</v>
      </c>
      <c r="M938" s="85">
        <v>0</v>
      </c>
      <c r="N938" s="85" t="s">
        <v>254</v>
      </c>
      <c r="O938" s="85">
        <v>0</v>
      </c>
      <c r="P938" s="85">
        <v>0</v>
      </c>
      <c r="Q938" s="85">
        <v>0</v>
      </c>
      <c r="R938" s="85"/>
      <c r="S938" s="86"/>
    </row>
    <row r="939" spans="1:19" ht="15">
      <c r="A939" s="70">
        <v>24</v>
      </c>
      <c r="B939" s="70"/>
      <c r="C939" s="72" t="s">
        <v>2453</v>
      </c>
      <c r="D939" s="72" t="s">
        <v>2426</v>
      </c>
      <c r="E939" s="85">
        <v>437970.09</v>
      </c>
      <c r="F939" s="85" t="s">
        <v>254</v>
      </c>
      <c r="G939" s="85">
        <v>113882.25</v>
      </c>
      <c r="H939" s="85" t="s">
        <v>254</v>
      </c>
      <c r="I939" s="85">
        <v>324087.84000000003</v>
      </c>
      <c r="J939" s="85">
        <v>0</v>
      </c>
      <c r="K939" s="85" t="s">
        <v>254</v>
      </c>
      <c r="L939" s="85" t="s">
        <v>254</v>
      </c>
      <c r="M939" s="85">
        <v>0</v>
      </c>
      <c r="N939" s="85" t="s">
        <v>254</v>
      </c>
      <c r="O939" s="85">
        <v>0</v>
      </c>
      <c r="P939" s="85">
        <v>0</v>
      </c>
      <c r="Q939" s="85">
        <v>0</v>
      </c>
      <c r="R939" s="85"/>
      <c r="S939" s="86"/>
    </row>
    <row r="940" spans="1:19" ht="15">
      <c r="A940" s="70">
        <v>25</v>
      </c>
      <c r="B940" s="70"/>
      <c r="C940" s="72" t="s">
        <v>954</v>
      </c>
      <c r="D940" s="72" t="s">
        <v>398</v>
      </c>
      <c r="E940" s="85">
        <v>28632977.59</v>
      </c>
      <c r="F940" s="85" t="s">
        <v>254</v>
      </c>
      <c r="G940" s="85">
        <v>0</v>
      </c>
      <c r="H940" s="85" t="s">
        <v>254</v>
      </c>
      <c r="I940" s="85">
        <v>28632977.59</v>
      </c>
      <c r="J940" s="85">
        <v>0</v>
      </c>
      <c r="K940" s="85" t="s">
        <v>254</v>
      </c>
      <c r="L940" s="85" t="s">
        <v>254</v>
      </c>
      <c r="M940" s="85">
        <v>0</v>
      </c>
      <c r="N940" s="85" t="s">
        <v>254</v>
      </c>
      <c r="O940" s="85">
        <v>0</v>
      </c>
      <c r="P940" s="85">
        <v>0</v>
      </c>
      <c r="Q940" s="85">
        <v>0</v>
      </c>
      <c r="R940" s="85"/>
      <c r="S940" s="86"/>
    </row>
    <row r="941" spans="1:19" ht="15">
      <c r="A941" s="70">
        <v>26</v>
      </c>
      <c r="B941" s="70"/>
      <c r="C941" s="72" t="s">
        <v>955</v>
      </c>
      <c r="D941" s="72" t="s">
        <v>399</v>
      </c>
      <c r="E941" s="85">
        <v>25952712.310000002</v>
      </c>
      <c r="F941" s="85" t="s">
        <v>254</v>
      </c>
      <c r="G941" s="85">
        <v>0</v>
      </c>
      <c r="H941" s="85" t="s">
        <v>254</v>
      </c>
      <c r="I941" s="85">
        <v>25952712.310000002</v>
      </c>
      <c r="J941" s="85">
        <v>0</v>
      </c>
      <c r="K941" s="85" t="s">
        <v>254</v>
      </c>
      <c r="L941" s="85" t="s">
        <v>254</v>
      </c>
      <c r="M941" s="85">
        <v>0</v>
      </c>
      <c r="N941" s="85" t="s">
        <v>254</v>
      </c>
      <c r="O941" s="85">
        <v>0</v>
      </c>
      <c r="P941" s="85">
        <v>0</v>
      </c>
      <c r="Q941" s="85">
        <v>0</v>
      </c>
      <c r="R941" s="85"/>
      <c r="S941" s="86"/>
    </row>
    <row r="942" spans="1:19" ht="15">
      <c r="A942" s="70">
        <v>27</v>
      </c>
      <c r="B942" s="70"/>
      <c r="C942" s="72" t="s">
        <v>956</v>
      </c>
      <c r="D942" s="72" t="s">
        <v>400</v>
      </c>
      <c r="E942" s="85">
        <v>5200688.1099999994</v>
      </c>
      <c r="F942" s="85" t="s">
        <v>254</v>
      </c>
      <c r="G942" s="85">
        <v>0</v>
      </c>
      <c r="H942" s="85" t="s">
        <v>254</v>
      </c>
      <c r="I942" s="85">
        <v>5200688.1099999994</v>
      </c>
      <c r="J942" s="85">
        <v>0</v>
      </c>
      <c r="K942" s="85" t="s">
        <v>254</v>
      </c>
      <c r="L942" s="85" t="s">
        <v>254</v>
      </c>
      <c r="M942" s="85">
        <v>0</v>
      </c>
      <c r="N942" s="85" t="s">
        <v>254</v>
      </c>
      <c r="O942" s="85">
        <v>0</v>
      </c>
      <c r="P942" s="85">
        <v>0</v>
      </c>
      <c r="Q942" s="85">
        <v>0</v>
      </c>
      <c r="R942" s="85"/>
      <c r="S942" s="86"/>
    </row>
    <row r="943" spans="1:19" ht="15">
      <c r="A943" s="70">
        <v>28</v>
      </c>
      <c r="B943" s="70"/>
      <c r="C943" s="72" t="s">
        <v>957</v>
      </c>
      <c r="D943" s="72" t="s">
        <v>402</v>
      </c>
      <c r="E943" s="85">
        <v>12723148.67</v>
      </c>
      <c r="F943" s="85" t="s">
        <v>254</v>
      </c>
      <c r="G943" s="85">
        <v>0</v>
      </c>
      <c r="H943" s="85" t="s">
        <v>254</v>
      </c>
      <c r="I943" s="85">
        <v>12723148.67</v>
      </c>
      <c r="J943" s="85">
        <v>0</v>
      </c>
      <c r="K943" s="85" t="s">
        <v>254</v>
      </c>
      <c r="L943" s="85" t="s">
        <v>254</v>
      </c>
      <c r="M943" s="85">
        <v>0</v>
      </c>
      <c r="N943" s="85" t="s">
        <v>254</v>
      </c>
      <c r="O943" s="85">
        <v>0</v>
      </c>
      <c r="P943" s="85">
        <v>0</v>
      </c>
      <c r="Q943" s="85">
        <v>0</v>
      </c>
      <c r="R943" s="85"/>
    </row>
    <row r="944" spans="1:19" ht="15">
      <c r="A944" s="70">
        <v>29</v>
      </c>
      <c r="B944" s="70"/>
      <c r="C944" s="72" t="s">
        <v>958</v>
      </c>
      <c r="D944" s="72" t="s">
        <v>409</v>
      </c>
      <c r="E944" s="85">
        <v>5040.2300000000005</v>
      </c>
      <c r="F944" s="85" t="s">
        <v>254</v>
      </c>
      <c r="G944" s="85">
        <v>0</v>
      </c>
      <c r="H944" s="85" t="s">
        <v>254</v>
      </c>
      <c r="I944" s="85">
        <v>0</v>
      </c>
      <c r="J944" s="85">
        <v>5040.2300000000005</v>
      </c>
      <c r="K944" s="85" t="s">
        <v>254</v>
      </c>
      <c r="L944" s="85" t="s">
        <v>254</v>
      </c>
      <c r="M944" s="85">
        <v>5040.2300000000005</v>
      </c>
      <c r="N944" s="85" t="s">
        <v>254</v>
      </c>
      <c r="O944" s="85">
        <v>0</v>
      </c>
      <c r="P944" s="85">
        <v>0</v>
      </c>
      <c r="Q944" s="85">
        <v>0</v>
      </c>
      <c r="R944" s="85"/>
    </row>
    <row r="945" spans="1:18" ht="15">
      <c r="A945" s="70">
        <v>30</v>
      </c>
      <c r="B945" s="70"/>
      <c r="C945" s="72" t="s">
        <v>959</v>
      </c>
      <c r="D945" s="72" t="s">
        <v>410</v>
      </c>
      <c r="E945" s="85">
        <v>2575.89</v>
      </c>
      <c r="F945" s="85" t="s">
        <v>254</v>
      </c>
      <c r="G945" s="85">
        <v>0</v>
      </c>
      <c r="H945" s="85" t="s">
        <v>254</v>
      </c>
      <c r="I945" s="85">
        <v>0</v>
      </c>
      <c r="J945" s="85">
        <v>2575.89</v>
      </c>
      <c r="K945" s="85" t="s">
        <v>254</v>
      </c>
      <c r="L945" s="85" t="s">
        <v>254</v>
      </c>
      <c r="M945" s="85">
        <v>2575.89</v>
      </c>
      <c r="N945" s="85" t="s">
        <v>254</v>
      </c>
      <c r="O945" s="85">
        <v>0</v>
      </c>
      <c r="P945" s="85">
        <v>0</v>
      </c>
      <c r="Q945" s="85">
        <v>0</v>
      </c>
      <c r="R945" s="85"/>
    </row>
    <row r="946" spans="1:18" ht="15">
      <c r="A946" s="70">
        <v>31</v>
      </c>
      <c r="B946" s="70"/>
      <c r="C946" s="72" t="s">
        <v>960</v>
      </c>
      <c r="D946" s="72" t="s">
        <v>411</v>
      </c>
      <c r="E946" s="85">
        <v>66887.25</v>
      </c>
      <c r="F946" s="85" t="s">
        <v>254</v>
      </c>
      <c r="G946" s="85">
        <v>0</v>
      </c>
      <c r="H946" s="85" t="s">
        <v>254</v>
      </c>
      <c r="I946" s="85">
        <v>0</v>
      </c>
      <c r="J946" s="85">
        <v>66887.25</v>
      </c>
      <c r="K946" s="85" t="s">
        <v>254</v>
      </c>
      <c r="L946" s="85" t="s">
        <v>254</v>
      </c>
      <c r="M946" s="85">
        <v>66887.25</v>
      </c>
      <c r="N946" s="85" t="s">
        <v>254</v>
      </c>
      <c r="O946" s="85">
        <v>0</v>
      </c>
      <c r="P946" s="85">
        <v>0</v>
      </c>
      <c r="Q946" s="85">
        <v>0</v>
      </c>
      <c r="R946" s="85"/>
    </row>
    <row r="947" spans="1:18" ht="15">
      <c r="A947" s="70">
        <v>32</v>
      </c>
      <c r="B947" s="70"/>
      <c r="C947" s="72" t="s">
        <v>961</v>
      </c>
      <c r="D947" s="72" t="s">
        <v>412</v>
      </c>
      <c r="E947" s="85">
        <v>47785.56</v>
      </c>
      <c r="F947" s="85" t="s">
        <v>254</v>
      </c>
      <c r="G947" s="85">
        <v>0</v>
      </c>
      <c r="H947" s="85" t="s">
        <v>254</v>
      </c>
      <c r="I947" s="85">
        <v>0</v>
      </c>
      <c r="J947" s="85">
        <v>47785.56</v>
      </c>
      <c r="K947" s="85" t="s">
        <v>254</v>
      </c>
      <c r="L947" s="85" t="s">
        <v>254</v>
      </c>
      <c r="M947" s="85">
        <v>47785.56</v>
      </c>
      <c r="N947" s="85" t="s">
        <v>254</v>
      </c>
      <c r="O947" s="85">
        <v>0</v>
      </c>
      <c r="P947" s="85">
        <v>0</v>
      </c>
      <c r="Q947" s="85">
        <v>0</v>
      </c>
      <c r="R947" s="85"/>
    </row>
    <row r="948" spans="1:18" ht="15">
      <c r="A948" s="70">
        <v>33</v>
      </c>
      <c r="B948" s="70"/>
      <c r="C948" s="72" t="s">
        <v>962</v>
      </c>
      <c r="D948" s="72" t="s">
        <v>413</v>
      </c>
      <c r="E948" s="85">
        <v>46763.219999999994</v>
      </c>
      <c r="F948" s="85" t="s">
        <v>254</v>
      </c>
      <c r="G948" s="85">
        <v>0</v>
      </c>
      <c r="H948" s="85" t="s">
        <v>254</v>
      </c>
      <c r="I948" s="85">
        <v>0</v>
      </c>
      <c r="J948" s="85">
        <v>46763.219999999994</v>
      </c>
      <c r="K948" s="85" t="s">
        <v>254</v>
      </c>
      <c r="L948" s="85" t="s">
        <v>254</v>
      </c>
      <c r="M948" s="85">
        <v>46763.219999999994</v>
      </c>
      <c r="N948" s="85" t="s">
        <v>254</v>
      </c>
      <c r="O948" s="85">
        <v>0</v>
      </c>
      <c r="P948" s="85">
        <v>0</v>
      </c>
      <c r="Q948" s="85">
        <v>0</v>
      </c>
      <c r="R948" s="85"/>
    </row>
    <row r="949" spans="1:18" ht="15">
      <c r="A949" s="70">
        <v>34</v>
      </c>
      <c r="B949" s="70"/>
      <c r="C949" s="72" t="s">
        <v>963</v>
      </c>
      <c r="D949" s="72" t="s">
        <v>414</v>
      </c>
      <c r="E949" s="85">
        <v>3118.2799999999997</v>
      </c>
      <c r="F949" s="85" t="s">
        <v>254</v>
      </c>
      <c r="G949" s="85">
        <v>0</v>
      </c>
      <c r="H949" s="85" t="s">
        <v>254</v>
      </c>
      <c r="I949" s="85">
        <v>0</v>
      </c>
      <c r="J949" s="85">
        <v>3118.2799999999997</v>
      </c>
      <c r="K949" s="85" t="s">
        <v>254</v>
      </c>
      <c r="L949" s="85" t="s">
        <v>254</v>
      </c>
      <c r="M949" s="85">
        <v>3118.2799999999997</v>
      </c>
      <c r="N949" s="85" t="s">
        <v>254</v>
      </c>
      <c r="O949" s="85">
        <v>0</v>
      </c>
      <c r="P949" s="85">
        <v>0</v>
      </c>
      <c r="Q949" s="85">
        <v>0</v>
      </c>
      <c r="R949" s="85"/>
    </row>
    <row r="950" spans="1:18" ht="15">
      <c r="A950" s="70">
        <v>35</v>
      </c>
      <c r="B950" s="70"/>
      <c r="C950" s="72" t="s">
        <v>964</v>
      </c>
      <c r="D950" s="72" t="s">
        <v>415</v>
      </c>
      <c r="E950" s="85">
        <v>254.62</v>
      </c>
      <c r="F950" s="85" t="s">
        <v>254</v>
      </c>
      <c r="G950" s="85">
        <v>0</v>
      </c>
      <c r="H950" s="85" t="s">
        <v>254</v>
      </c>
      <c r="I950" s="85">
        <v>0</v>
      </c>
      <c r="J950" s="85">
        <v>254.62</v>
      </c>
      <c r="K950" s="85" t="s">
        <v>254</v>
      </c>
      <c r="L950" s="85" t="s">
        <v>254</v>
      </c>
      <c r="M950" s="85">
        <v>254.62</v>
      </c>
      <c r="N950" s="85" t="s">
        <v>254</v>
      </c>
      <c r="O950" s="85">
        <v>0</v>
      </c>
      <c r="P950" s="85">
        <v>0</v>
      </c>
      <c r="Q950" s="85">
        <v>0</v>
      </c>
      <c r="R950" s="85"/>
    </row>
    <row r="951" spans="1:18" ht="15">
      <c r="A951" s="70">
        <v>36</v>
      </c>
      <c r="B951" s="70"/>
      <c r="C951" s="72" t="s">
        <v>965</v>
      </c>
      <c r="D951" s="72" t="s">
        <v>416</v>
      </c>
      <c r="E951" s="85">
        <v>4199.21</v>
      </c>
      <c r="F951" s="85" t="s">
        <v>254</v>
      </c>
      <c r="G951" s="85">
        <v>0</v>
      </c>
      <c r="H951" s="85" t="s">
        <v>254</v>
      </c>
      <c r="I951" s="85">
        <v>0</v>
      </c>
      <c r="J951" s="85">
        <v>4199.21</v>
      </c>
      <c r="K951" s="85" t="s">
        <v>254</v>
      </c>
      <c r="L951" s="85" t="s">
        <v>254</v>
      </c>
      <c r="M951" s="85">
        <v>4199.21</v>
      </c>
      <c r="N951" s="85" t="s">
        <v>254</v>
      </c>
      <c r="O951" s="85">
        <v>0</v>
      </c>
      <c r="P951" s="85">
        <v>0</v>
      </c>
      <c r="Q951" s="85">
        <v>0</v>
      </c>
      <c r="R951" s="85"/>
    </row>
    <row r="952" spans="1:18" ht="15">
      <c r="A952" s="70">
        <v>37</v>
      </c>
      <c r="B952" s="70"/>
      <c r="C952" s="72" t="s">
        <v>966</v>
      </c>
      <c r="D952" s="72" t="s">
        <v>417</v>
      </c>
      <c r="E952" s="85">
        <v>0</v>
      </c>
      <c r="F952" s="85" t="s">
        <v>254</v>
      </c>
      <c r="G952" s="85">
        <v>0</v>
      </c>
      <c r="H952" s="85" t="s">
        <v>254</v>
      </c>
      <c r="I952" s="85">
        <v>0</v>
      </c>
      <c r="J952" s="85">
        <v>0</v>
      </c>
      <c r="K952" s="85" t="s">
        <v>254</v>
      </c>
      <c r="L952" s="85" t="s">
        <v>254</v>
      </c>
      <c r="M952" s="85">
        <v>0</v>
      </c>
      <c r="N952" s="85" t="s">
        <v>254</v>
      </c>
      <c r="O952" s="85">
        <v>0</v>
      </c>
      <c r="P952" s="85">
        <v>0</v>
      </c>
      <c r="Q952" s="85">
        <v>0</v>
      </c>
      <c r="R952" s="85"/>
    </row>
    <row r="953" spans="1:18" ht="15">
      <c r="A953" s="70">
        <v>38</v>
      </c>
      <c r="B953" s="70"/>
      <c r="C953" s="72" t="s">
        <v>967</v>
      </c>
      <c r="D953" s="72" t="s">
        <v>467</v>
      </c>
      <c r="E953" s="85">
        <v>40748724.382609449</v>
      </c>
      <c r="F953" s="85" t="s">
        <v>254</v>
      </c>
      <c r="G953" s="85">
        <v>0</v>
      </c>
      <c r="H953" s="85" t="s">
        <v>254</v>
      </c>
      <c r="I953" s="85">
        <v>40605603.641878448</v>
      </c>
      <c r="J953" s="85">
        <v>143120.74073099965</v>
      </c>
      <c r="K953" s="85" t="s">
        <v>254</v>
      </c>
      <c r="L953" s="85" t="s">
        <v>254</v>
      </c>
      <c r="M953" s="85">
        <v>143120.74073099965</v>
      </c>
      <c r="N953" s="85" t="s">
        <v>254</v>
      </c>
      <c r="O953" s="85">
        <v>0</v>
      </c>
      <c r="P953" s="85">
        <v>0</v>
      </c>
      <c r="Q953" s="85">
        <v>0</v>
      </c>
      <c r="R953" s="85"/>
    </row>
    <row r="954" spans="1:18" ht="15">
      <c r="A954" s="70">
        <v>39</v>
      </c>
      <c r="B954" s="70"/>
      <c r="C954" s="72" t="s">
        <v>968</v>
      </c>
      <c r="D954" s="72" t="s">
        <v>490</v>
      </c>
      <c r="E954" s="85">
        <v>0</v>
      </c>
      <c r="F954" s="85" t="s">
        <v>254</v>
      </c>
      <c r="G954" s="85">
        <v>0</v>
      </c>
      <c r="H954" s="85" t="s">
        <v>254</v>
      </c>
      <c r="I954" s="85">
        <v>0</v>
      </c>
      <c r="J954" s="85">
        <v>0</v>
      </c>
      <c r="K954" s="85" t="s">
        <v>254</v>
      </c>
      <c r="L954" s="85" t="s">
        <v>254</v>
      </c>
      <c r="M954" s="85">
        <v>0</v>
      </c>
      <c r="N954" s="85" t="s">
        <v>254</v>
      </c>
      <c r="O954" s="85">
        <v>0</v>
      </c>
      <c r="P954" s="85">
        <v>0</v>
      </c>
      <c r="Q954" s="85">
        <v>0</v>
      </c>
      <c r="R954" s="85"/>
    </row>
    <row r="955" spans="1:18" ht="15">
      <c r="A955" s="70">
        <v>40</v>
      </c>
      <c r="B955" s="70"/>
      <c r="C955" s="72" t="s">
        <v>2454</v>
      </c>
      <c r="D955" s="72" t="s">
        <v>526</v>
      </c>
      <c r="E955" s="85">
        <v>8770086</v>
      </c>
      <c r="F955" s="85" t="s">
        <v>254</v>
      </c>
      <c r="G955" s="85">
        <v>0</v>
      </c>
      <c r="H955" s="85" t="s">
        <v>254</v>
      </c>
      <c r="I955" s="85">
        <v>8770086</v>
      </c>
      <c r="J955" s="85">
        <v>0</v>
      </c>
      <c r="K955" s="85" t="s">
        <v>254</v>
      </c>
      <c r="L955" s="85" t="s">
        <v>254</v>
      </c>
      <c r="M955" s="85">
        <v>0</v>
      </c>
      <c r="N955" s="85" t="s">
        <v>254</v>
      </c>
      <c r="O955" s="85">
        <v>0</v>
      </c>
      <c r="P955" s="85">
        <v>0</v>
      </c>
      <c r="Q955" s="85">
        <v>0</v>
      </c>
      <c r="R955" s="85"/>
    </row>
    <row r="956" spans="1:18" ht="15">
      <c r="A956" s="70">
        <v>41</v>
      </c>
      <c r="B956" s="70"/>
      <c r="C956" s="72" t="s">
        <v>2455</v>
      </c>
      <c r="D956" s="72" t="s">
        <v>535</v>
      </c>
      <c r="E956" s="85">
        <v>0</v>
      </c>
      <c r="F956" s="85" t="s">
        <v>254</v>
      </c>
      <c r="G956" s="85">
        <v>0</v>
      </c>
      <c r="H956" s="85" t="s">
        <v>254</v>
      </c>
      <c r="I956" s="85">
        <v>0</v>
      </c>
      <c r="J956" s="85">
        <v>0</v>
      </c>
      <c r="K956" s="85" t="s">
        <v>254</v>
      </c>
      <c r="L956" s="85" t="s">
        <v>254</v>
      </c>
      <c r="M956" s="85">
        <v>0</v>
      </c>
      <c r="N956" s="85" t="s">
        <v>254</v>
      </c>
      <c r="O956" s="85">
        <v>0</v>
      </c>
      <c r="P956" s="85">
        <v>0</v>
      </c>
      <c r="Q956" s="85">
        <v>0</v>
      </c>
      <c r="R956" s="85"/>
    </row>
    <row r="957" spans="1:18" ht="15">
      <c r="A957" s="70">
        <v>42</v>
      </c>
      <c r="B957" s="70"/>
      <c r="C957" s="72" t="s">
        <v>969</v>
      </c>
      <c r="D957" s="72" t="s">
        <v>572</v>
      </c>
      <c r="E957" s="85">
        <v>3545605.71</v>
      </c>
      <c r="F957" s="85" t="s">
        <v>254</v>
      </c>
      <c r="G957" s="85">
        <v>3308819.11</v>
      </c>
      <c r="H957" s="85" t="s">
        <v>254</v>
      </c>
      <c r="I957" s="85">
        <v>236728.6</v>
      </c>
      <c r="J957" s="85">
        <v>58</v>
      </c>
      <c r="K957" s="85" t="s">
        <v>254</v>
      </c>
      <c r="L957" s="85" t="s">
        <v>254</v>
      </c>
      <c r="M957" s="85">
        <v>58</v>
      </c>
      <c r="N957" s="85" t="s">
        <v>254</v>
      </c>
      <c r="O957" s="85">
        <v>0</v>
      </c>
      <c r="P957" s="85">
        <v>0</v>
      </c>
      <c r="Q957" s="85">
        <v>0</v>
      </c>
      <c r="R957" s="85"/>
    </row>
    <row r="958" spans="1:18" ht="15">
      <c r="A958" s="70">
        <v>43</v>
      </c>
      <c r="B958" s="70"/>
      <c r="C958" s="72" t="s">
        <v>970</v>
      </c>
      <c r="D958" s="72" t="s">
        <v>582</v>
      </c>
      <c r="E958" s="85">
        <v>33204.551366666674</v>
      </c>
      <c r="F958" s="85" t="s">
        <v>254</v>
      </c>
      <c r="G958" s="85">
        <v>28402.941366666673</v>
      </c>
      <c r="H958" s="85" t="s">
        <v>254</v>
      </c>
      <c r="I958" s="85">
        <v>2038.25</v>
      </c>
      <c r="J958" s="85">
        <v>2763.36</v>
      </c>
      <c r="K958" s="85" t="s">
        <v>254</v>
      </c>
      <c r="L958" s="85" t="s">
        <v>254</v>
      </c>
      <c r="M958" s="85">
        <v>0</v>
      </c>
      <c r="N958" s="85" t="s">
        <v>254</v>
      </c>
      <c r="O958" s="85">
        <v>2763.36</v>
      </c>
      <c r="P958" s="85">
        <v>2763.36</v>
      </c>
      <c r="Q958" s="85">
        <v>0</v>
      </c>
      <c r="R958" s="85"/>
    </row>
    <row r="959" spans="1:18" ht="15">
      <c r="A959" s="70">
        <v>44</v>
      </c>
      <c r="B959" s="70"/>
      <c r="C959" s="72" t="s">
        <v>971</v>
      </c>
      <c r="D959" s="72" t="s">
        <v>580</v>
      </c>
      <c r="E959" s="85">
        <v>46761.230299999981</v>
      </c>
      <c r="F959" s="85" t="s">
        <v>254</v>
      </c>
      <c r="G959" s="85">
        <v>-17684.029700000006</v>
      </c>
      <c r="H959" s="85" t="s">
        <v>254</v>
      </c>
      <c r="I959" s="85">
        <v>0</v>
      </c>
      <c r="J959" s="85">
        <v>64445.259999999987</v>
      </c>
      <c r="K959" s="85" t="s">
        <v>254</v>
      </c>
      <c r="L959" s="85" t="s">
        <v>254</v>
      </c>
      <c r="M959" s="85">
        <v>0</v>
      </c>
      <c r="N959" s="85" t="s">
        <v>254</v>
      </c>
      <c r="O959" s="85">
        <v>64445.259999999987</v>
      </c>
      <c r="P959" s="85">
        <v>19127.12073309176</v>
      </c>
      <c r="Q959" s="85">
        <v>45318.139266908227</v>
      </c>
      <c r="R959" s="85"/>
    </row>
    <row r="960" spans="1:18" ht="15">
      <c r="A960" s="70">
        <v>45</v>
      </c>
      <c r="B960" s="70"/>
      <c r="C960" s="72" t="s">
        <v>972</v>
      </c>
      <c r="D960" s="72" t="s">
        <v>568</v>
      </c>
      <c r="E960" s="85">
        <v>2176006</v>
      </c>
      <c r="F960" s="85" t="s">
        <v>254</v>
      </c>
      <c r="G960" s="85">
        <v>2059708</v>
      </c>
      <c r="H960" s="85" t="s">
        <v>254</v>
      </c>
      <c r="I960" s="85">
        <v>116298</v>
      </c>
      <c r="J960" s="85">
        <v>0</v>
      </c>
      <c r="K960" s="85" t="s">
        <v>254</v>
      </c>
      <c r="L960" s="85" t="s">
        <v>254</v>
      </c>
      <c r="M960" s="85">
        <v>0</v>
      </c>
      <c r="N960" s="85" t="s">
        <v>254</v>
      </c>
      <c r="O960" s="85">
        <v>0</v>
      </c>
      <c r="P960" s="85">
        <v>0</v>
      </c>
      <c r="Q960" s="85">
        <v>0</v>
      </c>
      <c r="R960" s="85"/>
    </row>
    <row r="961" spans="1:18" ht="15">
      <c r="A961" s="70">
        <v>46</v>
      </c>
      <c r="B961" s="70"/>
      <c r="C961" s="72" t="s">
        <v>973</v>
      </c>
      <c r="D961" s="72" t="s">
        <v>570</v>
      </c>
      <c r="E961" s="85">
        <v>58860.92</v>
      </c>
      <c r="F961" s="85" t="s">
        <v>254</v>
      </c>
      <c r="G961" s="85">
        <v>58590.92</v>
      </c>
      <c r="H961" s="85" t="s">
        <v>254</v>
      </c>
      <c r="I961" s="85">
        <v>270</v>
      </c>
      <c r="J961" s="85">
        <v>0</v>
      </c>
      <c r="K961" s="85" t="s">
        <v>254</v>
      </c>
      <c r="L961" s="85" t="s">
        <v>254</v>
      </c>
      <c r="M961" s="85">
        <v>0</v>
      </c>
      <c r="N961" s="85" t="s">
        <v>254</v>
      </c>
      <c r="O961" s="85">
        <v>0</v>
      </c>
      <c r="P961" s="85">
        <v>0</v>
      </c>
      <c r="Q961" s="85">
        <v>0</v>
      </c>
      <c r="R961" s="85"/>
    </row>
    <row r="962" spans="1:18" ht="15">
      <c r="A962" s="70">
        <v>47</v>
      </c>
      <c r="B962" s="70"/>
      <c r="C962" s="72" t="s">
        <v>974</v>
      </c>
      <c r="D962" s="72" t="s">
        <v>578</v>
      </c>
      <c r="E962" s="85">
        <v>149400</v>
      </c>
      <c r="F962" s="85" t="s">
        <v>254</v>
      </c>
      <c r="G962" s="85">
        <v>149530</v>
      </c>
      <c r="H962" s="85" t="s">
        <v>254</v>
      </c>
      <c r="I962" s="85">
        <v>-130</v>
      </c>
      <c r="J962" s="85">
        <v>0</v>
      </c>
      <c r="K962" s="85" t="s">
        <v>254</v>
      </c>
      <c r="L962" s="85" t="s">
        <v>254</v>
      </c>
      <c r="M962" s="85">
        <v>0</v>
      </c>
      <c r="N962" s="85" t="s">
        <v>254</v>
      </c>
      <c r="O962" s="85">
        <v>0</v>
      </c>
      <c r="P962" s="85">
        <v>0</v>
      </c>
      <c r="Q962" s="85">
        <v>0</v>
      </c>
      <c r="R962" s="85"/>
    </row>
    <row r="963" spans="1:18" ht="15">
      <c r="A963" s="70">
        <v>48</v>
      </c>
      <c r="B963" s="70"/>
      <c r="C963" s="72" t="s">
        <v>975</v>
      </c>
      <c r="D963" s="72" t="s">
        <v>976</v>
      </c>
      <c r="E963" s="85">
        <v>17604</v>
      </c>
      <c r="F963" s="85" t="s">
        <v>254</v>
      </c>
      <c r="G963" s="85">
        <v>0</v>
      </c>
      <c r="H963" s="85" t="s">
        <v>254</v>
      </c>
      <c r="I963" s="85">
        <v>17604</v>
      </c>
      <c r="J963" s="85">
        <v>0</v>
      </c>
      <c r="K963" s="85" t="s">
        <v>254</v>
      </c>
      <c r="L963" s="85" t="s">
        <v>254</v>
      </c>
      <c r="M963" s="85">
        <v>0</v>
      </c>
      <c r="N963" s="85" t="s">
        <v>254</v>
      </c>
      <c r="O963" s="85">
        <v>0</v>
      </c>
      <c r="P963" s="85">
        <v>0</v>
      </c>
      <c r="Q963" s="85">
        <v>0</v>
      </c>
      <c r="R963" s="85"/>
    </row>
    <row r="964" spans="1:18" ht="15">
      <c r="A964" s="70">
        <v>49</v>
      </c>
      <c r="B964" s="70"/>
      <c r="C964" s="72" t="s">
        <v>977</v>
      </c>
      <c r="D964" s="72" t="s">
        <v>775</v>
      </c>
      <c r="E964" s="85">
        <v>0</v>
      </c>
      <c r="F964" s="85" t="s">
        <v>254</v>
      </c>
      <c r="G964" s="85">
        <v>0</v>
      </c>
      <c r="H964" s="85" t="s">
        <v>254</v>
      </c>
      <c r="I964" s="85">
        <v>0</v>
      </c>
      <c r="J964" s="85">
        <v>0</v>
      </c>
      <c r="K964" s="85" t="s">
        <v>254</v>
      </c>
      <c r="L964" s="85" t="s">
        <v>254</v>
      </c>
      <c r="M964" s="85">
        <v>0</v>
      </c>
      <c r="N964" s="85" t="s">
        <v>254</v>
      </c>
      <c r="O964" s="85">
        <v>0</v>
      </c>
      <c r="P964" s="85">
        <v>0</v>
      </c>
      <c r="Q964" s="85">
        <v>0</v>
      </c>
      <c r="R964" s="85"/>
    </row>
    <row r="965" spans="1:18" ht="15">
      <c r="A965" s="70">
        <v>50</v>
      </c>
      <c r="B965" s="70"/>
      <c r="C965" s="72" t="s">
        <v>978</v>
      </c>
      <c r="D965" s="72" t="s">
        <v>544</v>
      </c>
      <c r="E965" s="85">
        <v>1750692.31</v>
      </c>
      <c r="F965" s="85" t="s">
        <v>254</v>
      </c>
      <c r="G965" s="85">
        <v>0</v>
      </c>
      <c r="H965" s="85" t="s">
        <v>254</v>
      </c>
      <c r="I965" s="85">
        <v>1750692.31</v>
      </c>
      <c r="J965" s="85">
        <v>0</v>
      </c>
      <c r="K965" s="85" t="s">
        <v>254</v>
      </c>
      <c r="L965" s="85" t="s">
        <v>254</v>
      </c>
      <c r="M965" s="85">
        <v>0</v>
      </c>
      <c r="N965" s="85" t="s">
        <v>254</v>
      </c>
      <c r="O965" s="85">
        <v>0</v>
      </c>
      <c r="P965" s="85">
        <v>0</v>
      </c>
      <c r="Q965" s="85">
        <v>0</v>
      </c>
      <c r="R965" s="85"/>
    </row>
    <row r="966" spans="1:18" ht="15">
      <c r="A966" s="70" t="s">
        <v>254</v>
      </c>
      <c r="B966" s="70"/>
      <c r="C966" s="72" t="s">
        <v>254</v>
      </c>
      <c r="D966" s="72" t="s">
        <v>254</v>
      </c>
      <c r="E966" s="85" t="s">
        <v>254</v>
      </c>
      <c r="F966" s="85" t="s">
        <v>254</v>
      </c>
      <c r="G966" s="85" t="s">
        <v>254</v>
      </c>
      <c r="H966" s="85" t="s">
        <v>254</v>
      </c>
      <c r="I966" s="85" t="s">
        <v>254</v>
      </c>
      <c r="J966" s="85" t="s">
        <v>254</v>
      </c>
      <c r="K966" s="85" t="s">
        <v>254</v>
      </c>
      <c r="L966" s="85" t="s">
        <v>254</v>
      </c>
      <c r="M966" s="85" t="s">
        <v>254</v>
      </c>
      <c r="N966" s="85" t="s">
        <v>254</v>
      </c>
      <c r="O966" s="85" t="s">
        <v>254</v>
      </c>
      <c r="P966" s="85" t="s">
        <v>254</v>
      </c>
      <c r="Q966" s="85" t="s">
        <v>254</v>
      </c>
      <c r="R966" s="85"/>
    </row>
    <row r="967" spans="1:18" ht="15">
      <c r="A967" s="70" t="s">
        <v>254</v>
      </c>
      <c r="B967" s="70"/>
      <c r="C967" s="72" t="s">
        <v>254</v>
      </c>
      <c r="D967" s="72" t="s">
        <v>254</v>
      </c>
      <c r="E967" s="85" t="s">
        <v>254</v>
      </c>
      <c r="F967" s="85" t="s">
        <v>254</v>
      </c>
      <c r="G967" s="85" t="s">
        <v>254</v>
      </c>
      <c r="H967" s="85" t="s">
        <v>254</v>
      </c>
      <c r="I967" s="85" t="s">
        <v>254</v>
      </c>
      <c r="J967" s="85" t="s">
        <v>254</v>
      </c>
      <c r="K967" s="85" t="s">
        <v>254</v>
      </c>
      <c r="L967" s="85" t="s">
        <v>254</v>
      </c>
      <c r="M967" s="85" t="s">
        <v>254</v>
      </c>
      <c r="N967" s="85" t="s">
        <v>254</v>
      </c>
      <c r="O967" s="85" t="s">
        <v>254</v>
      </c>
      <c r="P967" s="85" t="s">
        <v>254</v>
      </c>
      <c r="Q967" s="85" t="s">
        <v>254</v>
      </c>
      <c r="R967" s="85"/>
    </row>
    <row r="968" spans="1:18" ht="15">
      <c r="A968" s="70" t="s">
        <v>254</v>
      </c>
      <c r="B968" s="70"/>
      <c r="C968" s="72" t="s">
        <v>498</v>
      </c>
      <c r="D968" s="72" t="s">
        <v>254</v>
      </c>
      <c r="E968" s="85" t="s">
        <v>254</v>
      </c>
      <c r="F968" s="85" t="s">
        <v>254</v>
      </c>
      <c r="G968" s="85" t="s">
        <v>254</v>
      </c>
      <c r="H968" s="85" t="s">
        <v>254</v>
      </c>
      <c r="I968" s="85" t="s">
        <v>254</v>
      </c>
      <c r="J968" s="85" t="s">
        <v>254</v>
      </c>
      <c r="K968" s="85" t="s">
        <v>254</v>
      </c>
      <c r="L968" s="85" t="s">
        <v>254</v>
      </c>
      <c r="M968" s="85" t="s">
        <v>254</v>
      </c>
      <c r="N968" s="85" t="s">
        <v>254</v>
      </c>
      <c r="O968" s="85" t="s">
        <v>254</v>
      </c>
      <c r="P968" s="85" t="s">
        <v>254</v>
      </c>
      <c r="Q968" s="85" t="s">
        <v>254</v>
      </c>
      <c r="R968" s="85"/>
    </row>
    <row r="969" spans="1:18" ht="15">
      <c r="A969" s="70" t="s">
        <v>254</v>
      </c>
      <c r="B969" s="70"/>
      <c r="C969" s="72" t="s">
        <v>925</v>
      </c>
      <c r="D969" s="72" t="s">
        <v>254</v>
      </c>
      <c r="E969" s="85" t="s">
        <v>254</v>
      </c>
      <c r="F969" s="85" t="s">
        <v>254</v>
      </c>
      <c r="G969" s="85" t="s">
        <v>254</v>
      </c>
      <c r="H969" s="85" t="s">
        <v>254</v>
      </c>
      <c r="I969" s="85" t="s">
        <v>254</v>
      </c>
      <c r="J969" s="85" t="s">
        <v>254</v>
      </c>
      <c r="K969" s="85" t="s">
        <v>254</v>
      </c>
      <c r="L969" s="85" t="s">
        <v>254</v>
      </c>
      <c r="M969" s="85" t="s">
        <v>254</v>
      </c>
      <c r="N969" s="85" t="s">
        <v>254</v>
      </c>
      <c r="O969" s="85" t="s">
        <v>254</v>
      </c>
      <c r="P969" s="85" t="s">
        <v>254</v>
      </c>
      <c r="Q969" s="85" t="s">
        <v>254</v>
      </c>
      <c r="R969" s="85"/>
    </row>
    <row r="970" spans="1:18" ht="15">
      <c r="A970" s="70">
        <v>1</v>
      </c>
      <c r="B970" s="70"/>
      <c r="C970" s="72" t="s">
        <v>979</v>
      </c>
      <c r="D970" s="72" t="s">
        <v>498</v>
      </c>
      <c r="E970" s="85">
        <v>21478924.125000004</v>
      </c>
      <c r="F970" s="85" t="s">
        <v>254</v>
      </c>
      <c r="G970" s="85">
        <v>18888188.453000002</v>
      </c>
      <c r="H970" s="85" t="s">
        <v>254</v>
      </c>
      <c r="I970" s="85">
        <v>783018.848</v>
      </c>
      <c r="J970" s="85">
        <v>1807716.824</v>
      </c>
      <c r="K970" s="85" t="s">
        <v>254</v>
      </c>
      <c r="L970" s="85" t="s">
        <v>254</v>
      </c>
      <c r="M970" s="85">
        <v>91.09</v>
      </c>
      <c r="N970" s="85" t="s">
        <v>254</v>
      </c>
      <c r="O970" s="85">
        <v>1807625.7339999999</v>
      </c>
      <c r="P970" s="85">
        <v>571233.973</v>
      </c>
      <c r="Q970" s="85">
        <v>1236391.7609999999</v>
      </c>
      <c r="R970" s="85"/>
    </row>
    <row r="971" spans="1:18" ht="15">
      <c r="A971" s="70">
        <v>2</v>
      </c>
      <c r="B971" s="70"/>
      <c r="C971" s="72" t="s">
        <v>980</v>
      </c>
      <c r="D971" s="72" t="s">
        <v>744</v>
      </c>
      <c r="E971" s="85">
        <v>19671298.391000003</v>
      </c>
      <c r="F971" s="85" t="s">
        <v>254</v>
      </c>
      <c r="G971" s="85">
        <v>18888188.453000002</v>
      </c>
      <c r="H971" s="85" t="s">
        <v>254</v>
      </c>
      <c r="I971" s="85">
        <v>783018.848</v>
      </c>
      <c r="J971" s="85">
        <v>91.09</v>
      </c>
      <c r="K971" s="85" t="s">
        <v>254</v>
      </c>
      <c r="L971" s="85" t="s">
        <v>254</v>
      </c>
      <c r="M971" s="85">
        <v>91.09</v>
      </c>
      <c r="N971" s="85" t="s">
        <v>254</v>
      </c>
      <c r="O971" s="85">
        <v>0</v>
      </c>
      <c r="P971" s="85">
        <v>0</v>
      </c>
      <c r="Q971" s="85">
        <v>0</v>
      </c>
      <c r="R971" s="85"/>
    </row>
    <row r="972" spans="1:18" ht="15">
      <c r="A972" s="70">
        <v>3</v>
      </c>
      <c r="B972" s="70"/>
      <c r="C972" s="72" t="s">
        <v>254</v>
      </c>
      <c r="D972" s="72" t="s">
        <v>254</v>
      </c>
      <c r="E972" s="85" t="s">
        <v>254</v>
      </c>
      <c r="F972" s="85" t="s">
        <v>254</v>
      </c>
      <c r="G972" s="85" t="s">
        <v>254</v>
      </c>
      <c r="H972" s="85" t="s">
        <v>254</v>
      </c>
      <c r="I972" s="85" t="s">
        <v>254</v>
      </c>
      <c r="J972" s="85" t="s">
        <v>254</v>
      </c>
      <c r="K972" s="85" t="s">
        <v>254</v>
      </c>
      <c r="L972" s="85" t="s">
        <v>254</v>
      </c>
      <c r="M972" s="85" t="s">
        <v>254</v>
      </c>
      <c r="N972" s="85" t="s">
        <v>254</v>
      </c>
      <c r="O972" s="85" t="s">
        <v>254</v>
      </c>
      <c r="P972" s="85" t="s">
        <v>254</v>
      </c>
      <c r="Q972" s="85" t="s">
        <v>254</v>
      </c>
      <c r="R972" s="85"/>
    </row>
    <row r="973" spans="1:18" ht="15">
      <c r="A973" s="70">
        <v>4</v>
      </c>
      <c r="B973" s="70"/>
      <c r="C973" s="72" t="s">
        <v>254</v>
      </c>
      <c r="D973" s="72" t="s">
        <v>254</v>
      </c>
      <c r="E973" s="85" t="s">
        <v>254</v>
      </c>
      <c r="F973" s="85" t="s">
        <v>254</v>
      </c>
      <c r="G973" s="85" t="s">
        <v>254</v>
      </c>
      <c r="H973" s="85" t="s">
        <v>254</v>
      </c>
      <c r="I973" s="85" t="s">
        <v>254</v>
      </c>
      <c r="J973" s="85" t="s">
        <v>254</v>
      </c>
      <c r="K973" s="85" t="s">
        <v>254</v>
      </c>
      <c r="L973" s="85" t="s">
        <v>254</v>
      </c>
      <c r="M973" s="85" t="s">
        <v>254</v>
      </c>
      <c r="N973" s="85" t="s">
        <v>254</v>
      </c>
      <c r="O973" s="85" t="s">
        <v>254</v>
      </c>
      <c r="P973" s="85" t="s">
        <v>254</v>
      </c>
      <c r="Q973" s="85" t="s">
        <v>254</v>
      </c>
      <c r="R973" s="85"/>
    </row>
    <row r="974" spans="1:18" ht="15">
      <c r="A974" s="70" t="s">
        <v>254</v>
      </c>
      <c r="B974" s="70"/>
      <c r="C974" s="72" t="s">
        <v>254</v>
      </c>
      <c r="D974" s="72" t="s">
        <v>254</v>
      </c>
      <c r="E974" s="85" t="s">
        <v>254</v>
      </c>
      <c r="F974" s="85" t="s">
        <v>254</v>
      </c>
      <c r="G974" s="85" t="s">
        <v>254</v>
      </c>
      <c r="H974" s="85" t="s">
        <v>254</v>
      </c>
      <c r="I974" s="85" t="s">
        <v>254</v>
      </c>
      <c r="J974" s="85" t="s">
        <v>254</v>
      </c>
      <c r="K974" s="85" t="s">
        <v>254</v>
      </c>
      <c r="L974" s="85" t="s">
        <v>254</v>
      </c>
      <c r="M974" s="85" t="s">
        <v>254</v>
      </c>
      <c r="N974" s="85" t="s">
        <v>254</v>
      </c>
      <c r="O974" s="85" t="s">
        <v>254</v>
      </c>
      <c r="P974" s="85" t="s">
        <v>254</v>
      </c>
      <c r="Q974" s="85" t="s">
        <v>254</v>
      </c>
      <c r="R974" s="85"/>
    </row>
    <row r="975" spans="1:18" ht="15">
      <c r="A975" s="70" t="s">
        <v>254</v>
      </c>
      <c r="B975" s="70"/>
      <c r="C975" s="72" t="s">
        <v>981</v>
      </c>
      <c r="D975" s="72" t="s">
        <v>254</v>
      </c>
      <c r="E975" s="85" t="s">
        <v>254</v>
      </c>
      <c r="F975" s="85" t="s">
        <v>254</v>
      </c>
      <c r="G975" s="85" t="s">
        <v>254</v>
      </c>
      <c r="H975" s="85" t="s">
        <v>254</v>
      </c>
      <c r="I975" s="85" t="s">
        <v>254</v>
      </c>
      <c r="J975" s="85" t="s">
        <v>254</v>
      </c>
      <c r="K975" s="85" t="s">
        <v>254</v>
      </c>
      <c r="L975" s="85" t="s">
        <v>254</v>
      </c>
      <c r="M975" s="85" t="s">
        <v>254</v>
      </c>
      <c r="N975" s="85" t="s">
        <v>254</v>
      </c>
      <c r="O975" s="85" t="s">
        <v>254</v>
      </c>
      <c r="P975" s="85" t="s">
        <v>254</v>
      </c>
      <c r="Q975" s="85" t="s">
        <v>254</v>
      </c>
      <c r="R975" s="85"/>
    </row>
    <row r="976" spans="1:18" ht="15">
      <c r="A976" s="70" t="s">
        <v>254</v>
      </c>
      <c r="B976" s="70"/>
      <c r="C976" s="72" t="s">
        <v>925</v>
      </c>
      <c r="D976" s="72" t="s">
        <v>254</v>
      </c>
      <c r="E976" s="85" t="s">
        <v>254</v>
      </c>
      <c r="F976" s="85" t="s">
        <v>254</v>
      </c>
      <c r="G976" s="85" t="s">
        <v>254</v>
      </c>
      <c r="H976" s="85" t="s">
        <v>254</v>
      </c>
      <c r="I976" s="85" t="s">
        <v>254</v>
      </c>
      <c r="J976" s="85" t="s">
        <v>254</v>
      </c>
      <c r="K976" s="85" t="s">
        <v>254</v>
      </c>
      <c r="L976" s="85" t="s">
        <v>254</v>
      </c>
      <c r="M976" s="85" t="s">
        <v>254</v>
      </c>
      <c r="N976" s="85" t="s">
        <v>254</v>
      </c>
      <c r="O976" s="85" t="s">
        <v>254</v>
      </c>
      <c r="P976" s="85" t="s">
        <v>254</v>
      </c>
      <c r="Q976" s="85" t="s">
        <v>254</v>
      </c>
      <c r="R976" s="85"/>
    </row>
    <row r="977" spans="1:18" ht="15">
      <c r="A977" s="70">
        <v>1</v>
      </c>
      <c r="B977" s="70"/>
      <c r="C977" s="72" t="s">
        <v>982</v>
      </c>
      <c r="D977" s="72" t="s">
        <v>384</v>
      </c>
      <c r="E977" s="85">
        <v>97262576.700000003</v>
      </c>
      <c r="F977" s="85" t="s">
        <v>254</v>
      </c>
      <c r="G977" s="85">
        <v>97262576.700000003</v>
      </c>
      <c r="H977" s="85" t="s">
        <v>254</v>
      </c>
      <c r="I977" s="85">
        <v>0</v>
      </c>
      <c r="J977" s="85">
        <v>0</v>
      </c>
      <c r="K977" s="85" t="s">
        <v>254</v>
      </c>
      <c r="L977" s="85" t="s">
        <v>254</v>
      </c>
      <c r="M977" s="85">
        <v>0</v>
      </c>
      <c r="N977" s="85" t="s">
        <v>254</v>
      </c>
      <c r="O977" s="85">
        <v>0</v>
      </c>
      <c r="P977" s="85">
        <v>0</v>
      </c>
      <c r="Q977" s="85">
        <v>0</v>
      </c>
      <c r="R977" s="85"/>
    </row>
    <row r="978" spans="1:18" ht="15">
      <c r="A978" s="70">
        <v>2</v>
      </c>
      <c r="B978" s="70"/>
      <c r="C978" s="72" t="s">
        <v>983</v>
      </c>
      <c r="D978" s="72" t="s">
        <v>386</v>
      </c>
      <c r="E978" s="85">
        <v>74503497.170000002</v>
      </c>
      <c r="F978" s="85" t="s">
        <v>254</v>
      </c>
      <c r="G978" s="85">
        <v>74142066.170000002</v>
      </c>
      <c r="H978" s="85" t="s">
        <v>254</v>
      </c>
      <c r="I978" s="85">
        <v>0</v>
      </c>
      <c r="J978" s="85">
        <v>361431</v>
      </c>
      <c r="K978" s="85" t="s">
        <v>254</v>
      </c>
      <c r="L978" s="85" t="s">
        <v>254</v>
      </c>
      <c r="M978" s="85">
        <v>0</v>
      </c>
      <c r="N978" s="85" t="s">
        <v>254</v>
      </c>
      <c r="O978" s="85">
        <v>361431</v>
      </c>
      <c r="P978" s="85">
        <v>63157</v>
      </c>
      <c r="Q978" s="85">
        <v>298274</v>
      </c>
      <c r="R978" s="85"/>
    </row>
    <row r="979" spans="1:18" ht="15">
      <c r="A979" s="70">
        <v>3</v>
      </c>
      <c r="B979" s="70"/>
      <c r="C979" s="72" t="s">
        <v>984</v>
      </c>
      <c r="D979" s="72" t="s">
        <v>388</v>
      </c>
      <c r="E979" s="85">
        <v>205375.54999999888</v>
      </c>
      <c r="F979" s="85" t="s">
        <v>254</v>
      </c>
      <c r="G979" s="85">
        <v>205375.54999999888</v>
      </c>
      <c r="H979" s="85" t="s">
        <v>254</v>
      </c>
      <c r="I979" s="85">
        <v>0</v>
      </c>
      <c r="J979" s="85">
        <v>0</v>
      </c>
      <c r="K979" s="85" t="s">
        <v>254</v>
      </c>
      <c r="L979" s="85" t="s">
        <v>254</v>
      </c>
      <c r="M979" s="85">
        <v>0</v>
      </c>
      <c r="N979" s="85" t="s">
        <v>254</v>
      </c>
      <c r="O979" s="85">
        <v>0</v>
      </c>
      <c r="P979" s="85">
        <v>0</v>
      </c>
      <c r="Q979" s="85">
        <v>0</v>
      </c>
      <c r="R979" s="85"/>
    </row>
    <row r="980" spans="1:18" ht="15">
      <c r="A980" s="70">
        <v>4</v>
      </c>
      <c r="B980" s="70"/>
      <c r="C980" s="72" t="s">
        <v>985</v>
      </c>
      <c r="D980" s="72" t="s">
        <v>390</v>
      </c>
      <c r="E980" s="85">
        <v>111690733.23999991</v>
      </c>
      <c r="F980" s="85" t="s">
        <v>254</v>
      </c>
      <c r="G980" s="85">
        <v>111690733.23999991</v>
      </c>
      <c r="H980" s="85" t="s">
        <v>254</v>
      </c>
      <c r="I980" s="85">
        <v>0</v>
      </c>
      <c r="J980" s="85">
        <v>0</v>
      </c>
      <c r="K980" s="85" t="s">
        <v>254</v>
      </c>
      <c r="L980" s="85" t="s">
        <v>254</v>
      </c>
      <c r="M980" s="85">
        <v>0</v>
      </c>
      <c r="N980" s="85" t="s">
        <v>254</v>
      </c>
      <c r="O980" s="85">
        <v>0</v>
      </c>
      <c r="P980" s="85">
        <v>0</v>
      </c>
      <c r="Q980" s="85">
        <v>0</v>
      </c>
      <c r="R980" s="85"/>
    </row>
    <row r="981" spans="1:18" ht="15">
      <c r="A981" s="70">
        <v>5</v>
      </c>
      <c r="B981" s="70"/>
      <c r="C981" s="72" t="s">
        <v>539</v>
      </c>
      <c r="D981" s="72" t="s">
        <v>540</v>
      </c>
      <c r="E981" s="85">
        <v>1575372.0999999999</v>
      </c>
      <c r="F981" s="85" t="s">
        <v>254</v>
      </c>
      <c r="G981" s="85">
        <v>1548687.19</v>
      </c>
      <c r="H981" s="85" t="s">
        <v>254</v>
      </c>
      <c r="I981" s="85">
        <v>26684.91</v>
      </c>
      <c r="J981" s="85">
        <v>0</v>
      </c>
      <c r="K981" s="85" t="s">
        <v>254</v>
      </c>
      <c r="L981" s="85" t="s">
        <v>254</v>
      </c>
      <c r="M981" s="85">
        <v>0</v>
      </c>
      <c r="N981" s="85" t="s">
        <v>254</v>
      </c>
      <c r="O981" s="85">
        <v>0</v>
      </c>
      <c r="P981" s="85">
        <v>0</v>
      </c>
      <c r="Q981" s="85">
        <v>0</v>
      </c>
      <c r="R981" s="85"/>
    </row>
    <row r="982" spans="1:18" ht="15">
      <c r="A982" s="70">
        <v>6</v>
      </c>
      <c r="B982" s="70"/>
      <c r="C982" s="72" t="s">
        <v>986</v>
      </c>
      <c r="D982" s="72" t="s">
        <v>542</v>
      </c>
      <c r="E982" s="85">
        <v>27610573.629999999</v>
      </c>
      <c r="F982" s="85" t="s">
        <v>254</v>
      </c>
      <c r="G982" s="85">
        <v>26251787.18</v>
      </c>
      <c r="H982" s="85" t="s">
        <v>254</v>
      </c>
      <c r="I982" s="85">
        <v>1359505.3</v>
      </c>
      <c r="J982" s="85">
        <v>-718.85</v>
      </c>
      <c r="K982" s="85" t="s">
        <v>254</v>
      </c>
      <c r="L982" s="85" t="s">
        <v>254</v>
      </c>
      <c r="M982" s="85">
        <v>0</v>
      </c>
      <c r="N982" s="85" t="s">
        <v>254</v>
      </c>
      <c r="O982" s="85">
        <v>-718.85</v>
      </c>
      <c r="P982" s="85">
        <v>-718.85</v>
      </c>
      <c r="Q982" s="85">
        <v>0</v>
      </c>
      <c r="R982" s="85"/>
    </row>
    <row r="983" spans="1:18" ht="15">
      <c r="A983" s="70">
        <v>7</v>
      </c>
      <c r="B983" s="70"/>
      <c r="C983" s="72" t="s">
        <v>987</v>
      </c>
      <c r="D983" s="72" t="s">
        <v>691</v>
      </c>
      <c r="E983" s="85">
        <v>757621</v>
      </c>
      <c r="F983" s="85" t="s">
        <v>254</v>
      </c>
      <c r="G983" s="85">
        <v>718818</v>
      </c>
      <c r="H983" s="85" t="s">
        <v>254</v>
      </c>
      <c r="I983" s="85">
        <v>37912</v>
      </c>
      <c r="J983" s="85">
        <v>891</v>
      </c>
      <c r="K983" s="85" t="s">
        <v>254</v>
      </c>
      <c r="L983" s="85" t="s">
        <v>254</v>
      </c>
      <c r="M983" s="85">
        <v>6</v>
      </c>
      <c r="N983" s="85" t="s">
        <v>254</v>
      </c>
      <c r="O983" s="85">
        <v>885</v>
      </c>
      <c r="P983" s="85">
        <v>459</v>
      </c>
      <c r="Q983" s="85">
        <v>426</v>
      </c>
      <c r="R983" s="85"/>
    </row>
    <row r="984" spans="1:18" ht="15">
      <c r="A984" s="70">
        <v>8</v>
      </c>
      <c r="B984" s="70"/>
      <c r="C984" s="72" t="s">
        <v>988</v>
      </c>
      <c r="D984" s="72" t="s">
        <v>693</v>
      </c>
      <c r="E984" s="85">
        <v>757621</v>
      </c>
      <c r="F984" s="85" t="s">
        <v>254</v>
      </c>
      <c r="G984" s="85">
        <v>718818</v>
      </c>
      <c r="H984" s="85" t="s">
        <v>254</v>
      </c>
      <c r="I984" s="85">
        <v>37912</v>
      </c>
      <c r="J984" s="85">
        <v>891</v>
      </c>
      <c r="K984" s="85" t="s">
        <v>254</v>
      </c>
      <c r="L984" s="85" t="s">
        <v>254</v>
      </c>
      <c r="M984" s="85">
        <v>6</v>
      </c>
      <c r="N984" s="85" t="s">
        <v>254</v>
      </c>
      <c r="O984" s="85">
        <v>885</v>
      </c>
      <c r="P984" s="85">
        <v>459</v>
      </c>
      <c r="Q984" s="85">
        <v>426</v>
      </c>
      <c r="R984" s="85"/>
    </row>
    <row r="985" spans="1:18" ht="15">
      <c r="A985" s="70">
        <v>9</v>
      </c>
      <c r="B985" s="70"/>
      <c r="C985" s="72" t="s">
        <v>989</v>
      </c>
      <c r="D985" s="72" t="s">
        <v>695</v>
      </c>
      <c r="E985" s="85">
        <v>757621</v>
      </c>
      <c r="F985" s="85" t="s">
        <v>254</v>
      </c>
      <c r="G985" s="85">
        <v>718818</v>
      </c>
      <c r="H985" s="85" t="s">
        <v>254</v>
      </c>
      <c r="I985" s="85">
        <v>37912</v>
      </c>
      <c r="J985" s="85">
        <v>891</v>
      </c>
      <c r="K985" s="85" t="s">
        <v>254</v>
      </c>
      <c r="L985" s="85" t="s">
        <v>254</v>
      </c>
      <c r="M985" s="85">
        <v>6</v>
      </c>
      <c r="N985" s="85" t="s">
        <v>254</v>
      </c>
      <c r="O985" s="85">
        <v>885</v>
      </c>
      <c r="P985" s="85">
        <v>459</v>
      </c>
      <c r="Q985" s="85">
        <v>426</v>
      </c>
      <c r="R985" s="85"/>
    </row>
    <row r="986" spans="1:18" ht="15">
      <c r="A986" s="70">
        <v>10</v>
      </c>
      <c r="B986" s="70"/>
      <c r="C986" s="72" t="s">
        <v>990</v>
      </c>
      <c r="D986" s="72" t="s">
        <v>403</v>
      </c>
      <c r="E986" s="85">
        <v>5498987.4100000011</v>
      </c>
      <c r="F986" s="85" t="s">
        <v>254</v>
      </c>
      <c r="G986" s="85">
        <v>0</v>
      </c>
      <c r="H986" s="85" t="s">
        <v>254</v>
      </c>
      <c r="I986" s="85">
        <v>5498987.4100000011</v>
      </c>
      <c r="J986" s="85">
        <v>0</v>
      </c>
      <c r="K986" s="85" t="s">
        <v>254</v>
      </c>
      <c r="L986" s="85" t="s">
        <v>254</v>
      </c>
      <c r="M986" s="85">
        <v>0</v>
      </c>
      <c r="N986" s="85" t="s">
        <v>254</v>
      </c>
      <c r="O986" s="85">
        <v>0</v>
      </c>
      <c r="P986" s="85">
        <v>0</v>
      </c>
      <c r="Q986" s="85">
        <v>0</v>
      </c>
      <c r="R986" s="85"/>
    </row>
    <row r="987" spans="1:18" ht="15">
      <c r="A987" s="70">
        <v>11</v>
      </c>
      <c r="B987" s="70"/>
      <c r="C987" s="72" t="s">
        <v>991</v>
      </c>
      <c r="D987" s="72" t="s">
        <v>404</v>
      </c>
      <c r="E987" s="85">
        <v>3938073.8000000007</v>
      </c>
      <c r="F987" s="85" t="s">
        <v>254</v>
      </c>
      <c r="G987" s="85">
        <v>0</v>
      </c>
      <c r="H987" s="85" t="s">
        <v>254</v>
      </c>
      <c r="I987" s="85">
        <v>3938073.8000000007</v>
      </c>
      <c r="J987" s="85">
        <v>0</v>
      </c>
      <c r="K987" s="85" t="s">
        <v>254</v>
      </c>
      <c r="L987" s="85" t="s">
        <v>254</v>
      </c>
      <c r="M987" s="85">
        <v>0</v>
      </c>
      <c r="N987" s="85" t="s">
        <v>254</v>
      </c>
      <c r="O987" s="85">
        <v>0</v>
      </c>
      <c r="P987" s="85">
        <v>0</v>
      </c>
      <c r="Q987" s="85">
        <v>0</v>
      </c>
      <c r="R987" s="85"/>
    </row>
    <row r="988" spans="1:18" ht="15">
      <c r="A988" s="70">
        <v>12</v>
      </c>
      <c r="B988" s="70"/>
      <c r="C988" s="72" t="s">
        <v>992</v>
      </c>
      <c r="D988" s="72" t="s">
        <v>405</v>
      </c>
      <c r="E988" s="85">
        <v>0</v>
      </c>
      <c r="F988" s="85" t="s">
        <v>254</v>
      </c>
      <c r="G988" s="85">
        <v>0</v>
      </c>
      <c r="H988" s="85" t="s">
        <v>254</v>
      </c>
      <c r="I988" s="85">
        <v>0</v>
      </c>
      <c r="J988" s="85">
        <v>0</v>
      </c>
      <c r="K988" s="85" t="s">
        <v>254</v>
      </c>
      <c r="L988" s="85" t="s">
        <v>254</v>
      </c>
      <c r="M988" s="85">
        <v>0</v>
      </c>
      <c r="N988" s="85" t="s">
        <v>254</v>
      </c>
      <c r="O988" s="85">
        <v>0</v>
      </c>
      <c r="P988" s="85">
        <v>0</v>
      </c>
      <c r="Q988" s="85">
        <v>0</v>
      </c>
      <c r="R988" s="85"/>
    </row>
    <row r="989" spans="1:18" ht="15">
      <c r="A989" s="70">
        <v>13</v>
      </c>
      <c r="B989" s="70"/>
      <c r="C989" s="72" t="s">
        <v>993</v>
      </c>
      <c r="D989" s="72" t="s">
        <v>406</v>
      </c>
      <c r="E989" s="85">
        <v>3718258.4799999995</v>
      </c>
      <c r="F989" s="85" t="s">
        <v>254</v>
      </c>
      <c r="G989" s="85">
        <v>0</v>
      </c>
      <c r="H989" s="85" t="s">
        <v>254</v>
      </c>
      <c r="I989" s="85">
        <v>3718258.4799999995</v>
      </c>
      <c r="J989" s="85">
        <v>0</v>
      </c>
      <c r="K989" s="85" t="s">
        <v>254</v>
      </c>
      <c r="L989" s="85" t="s">
        <v>254</v>
      </c>
      <c r="M989" s="85">
        <v>0</v>
      </c>
      <c r="N989" s="85" t="s">
        <v>254</v>
      </c>
      <c r="O989" s="85">
        <v>0</v>
      </c>
      <c r="P989" s="85">
        <v>0</v>
      </c>
      <c r="Q989" s="85">
        <v>0</v>
      </c>
      <c r="R989" s="85"/>
    </row>
    <row r="990" spans="1:18" ht="15">
      <c r="A990" s="70">
        <v>14</v>
      </c>
      <c r="B990" s="70"/>
      <c r="C990" s="72" t="s">
        <v>994</v>
      </c>
      <c r="D990" s="72" t="s">
        <v>703</v>
      </c>
      <c r="E990" s="85">
        <v>517331</v>
      </c>
      <c r="F990" s="85" t="s">
        <v>254</v>
      </c>
      <c r="G990" s="85">
        <v>517331</v>
      </c>
      <c r="H990" s="85" t="s">
        <v>254</v>
      </c>
      <c r="I990" s="85">
        <v>0</v>
      </c>
      <c r="J990" s="85">
        <v>0</v>
      </c>
      <c r="K990" s="85" t="s">
        <v>254</v>
      </c>
      <c r="L990" s="85" t="s">
        <v>254</v>
      </c>
      <c r="M990" s="85">
        <v>0</v>
      </c>
      <c r="N990" s="85" t="s">
        <v>254</v>
      </c>
      <c r="O990" s="85">
        <v>0</v>
      </c>
      <c r="P990" s="85">
        <v>0</v>
      </c>
      <c r="Q990" s="85">
        <v>0</v>
      </c>
      <c r="R990" s="85"/>
    </row>
    <row r="991" spans="1:18" ht="15">
      <c r="A991" s="70">
        <v>15</v>
      </c>
      <c r="B991" s="70"/>
      <c r="C991" s="72" t="s">
        <v>995</v>
      </c>
      <c r="D991" s="72" t="s">
        <v>705</v>
      </c>
      <c r="E991" s="85">
        <v>545615</v>
      </c>
      <c r="F991" s="85" t="s">
        <v>254</v>
      </c>
      <c r="G991" s="85">
        <v>517327</v>
      </c>
      <c r="H991" s="85" t="s">
        <v>254</v>
      </c>
      <c r="I991" s="85">
        <v>28284</v>
      </c>
      <c r="J991" s="85">
        <v>4</v>
      </c>
      <c r="K991" s="85" t="s">
        <v>254</v>
      </c>
      <c r="L991" s="85" t="s">
        <v>254</v>
      </c>
      <c r="M991" s="85">
        <v>4</v>
      </c>
      <c r="N991" s="85" t="s">
        <v>254</v>
      </c>
      <c r="O991" s="85">
        <v>0</v>
      </c>
      <c r="P991" s="85">
        <v>0</v>
      </c>
      <c r="Q991" s="85">
        <v>0</v>
      </c>
      <c r="R991" s="85"/>
    </row>
    <row r="992" spans="1:18" ht="15">
      <c r="A992" s="70">
        <v>16</v>
      </c>
      <c r="B992" s="70"/>
      <c r="C992" s="72" t="s">
        <v>996</v>
      </c>
      <c r="D992" s="72" t="s">
        <v>712</v>
      </c>
      <c r="E992" s="85">
        <v>545615</v>
      </c>
      <c r="F992" s="85" t="s">
        <v>254</v>
      </c>
      <c r="G992" s="85">
        <v>517327</v>
      </c>
      <c r="H992" s="85" t="s">
        <v>254</v>
      </c>
      <c r="I992" s="85">
        <v>28284</v>
      </c>
      <c r="J992" s="85">
        <v>4</v>
      </c>
      <c r="K992" s="85" t="s">
        <v>254</v>
      </c>
      <c r="L992" s="85" t="s">
        <v>254</v>
      </c>
      <c r="M992" s="85">
        <v>4</v>
      </c>
      <c r="N992" s="85" t="s">
        <v>254</v>
      </c>
      <c r="O992" s="85">
        <v>0</v>
      </c>
      <c r="P992" s="85">
        <v>0</v>
      </c>
      <c r="Q992" s="85">
        <v>0</v>
      </c>
      <c r="R992" s="85"/>
    </row>
    <row r="993" spans="1:18" ht="15">
      <c r="A993" s="70">
        <v>17</v>
      </c>
      <c r="B993" s="70"/>
      <c r="C993" s="72" t="s">
        <v>997</v>
      </c>
      <c r="D993" s="72" t="s">
        <v>714</v>
      </c>
      <c r="E993" s="85">
        <v>545615</v>
      </c>
      <c r="F993" s="85" t="s">
        <v>254</v>
      </c>
      <c r="G993" s="85">
        <v>517327</v>
      </c>
      <c r="H993" s="85" t="s">
        <v>254</v>
      </c>
      <c r="I993" s="85">
        <v>28284</v>
      </c>
      <c r="J993" s="85">
        <v>4</v>
      </c>
      <c r="K993" s="85" t="s">
        <v>254</v>
      </c>
      <c r="L993" s="85" t="s">
        <v>254</v>
      </c>
      <c r="M993" s="85">
        <v>4</v>
      </c>
      <c r="N993" s="85" t="s">
        <v>254</v>
      </c>
      <c r="O993" s="85">
        <v>0</v>
      </c>
      <c r="P993" s="85">
        <v>0</v>
      </c>
      <c r="Q993" s="85">
        <v>0</v>
      </c>
      <c r="R993" s="85"/>
    </row>
    <row r="994" spans="1:18" ht="15">
      <c r="A994" s="70">
        <v>18</v>
      </c>
      <c r="B994" s="70"/>
      <c r="C994" s="72" t="s">
        <v>998</v>
      </c>
      <c r="D994" s="72" t="s">
        <v>999</v>
      </c>
      <c r="E994" s="85">
        <v>0</v>
      </c>
      <c r="F994" s="85" t="s">
        <v>254</v>
      </c>
      <c r="G994" s="85">
        <v>0</v>
      </c>
      <c r="H994" s="85" t="s">
        <v>254</v>
      </c>
      <c r="I994" s="85">
        <v>0</v>
      </c>
      <c r="J994" s="85">
        <v>0</v>
      </c>
      <c r="K994" s="85" t="s">
        <v>254</v>
      </c>
      <c r="L994" s="85" t="s">
        <v>254</v>
      </c>
      <c r="M994" s="85">
        <v>0</v>
      </c>
      <c r="N994" s="85" t="s">
        <v>254</v>
      </c>
      <c r="O994" s="85">
        <v>0</v>
      </c>
      <c r="P994" s="85">
        <v>0</v>
      </c>
      <c r="Q994" s="85">
        <v>0</v>
      </c>
      <c r="R994" s="85"/>
    </row>
    <row r="995" spans="1:18" ht="15">
      <c r="A995" s="70">
        <v>19</v>
      </c>
      <c r="B995" s="70"/>
      <c r="C995" s="72" t="s">
        <v>1000</v>
      </c>
      <c r="D995" s="72" t="s">
        <v>788</v>
      </c>
      <c r="E995" s="85">
        <v>66010.960000000006</v>
      </c>
      <c r="F995" s="85" t="s">
        <v>254</v>
      </c>
      <c r="G995" s="85">
        <v>62518.41</v>
      </c>
      <c r="H995" s="85" t="s">
        <v>254</v>
      </c>
      <c r="I995" s="85">
        <v>3492.55</v>
      </c>
      <c r="J995" s="85">
        <v>0</v>
      </c>
      <c r="K995" s="85" t="s">
        <v>254</v>
      </c>
      <c r="L995" s="85" t="s">
        <v>254</v>
      </c>
      <c r="M995" s="85">
        <v>0</v>
      </c>
      <c r="N995" s="85" t="s">
        <v>254</v>
      </c>
      <c r="O995" s="85">
        <v>0</v>
      </c>
      <c r="P995" s="85">
        <v>0</v>
      </c>
      <c r="Q995" s="85">
        <v>0</v>
      </c>
      <c r="R995" s="85"/>
    </row>
    <row r="996" spans="1:18" ht="15">
      <c r="A996" s="70">
        <v>20</v>
      </c>
      <c r="B996" s="70"/>
      <c r="C996" s="72" t="s">
        <v>1001</v>
      </c>
      <c r="D996" s="72" t="s">
        <v>566</v>
      </c>
      <c r="E996" s="85">
        <v>3813250.77</v>
      </c>
      <c r="F996" s="85" t="s">
        <v>254</v>
      </c>
      <c r="G996" s="85">
        <v>3676663.1</v>
      </c>
      <c r="H996" s="85" t="s">
        <v>254</v>
      </c>
      <c r="I996" s="85">
        <v>136549.35999999999</v>
      </c>
      <c r="J996" s="85">
        <v>38.31</v>
      </c>
      <c r="K996" s="85" t="s">
        <v>254</v>
      </c>
      <c r="L996" s="85" t="s">
        <v>254</v>
      </c>
      <c r="M996" s="85">
        <v>0</v>
      </c>
      <c r="N996" s="85" t="s">
        <v>254</v>
      </c>
      <c r="O996" s="85">
        <v>38.31</v>
      </c>
      <c r="P996" s="85">
        <v>38.31</v>
      </c>
      <c r="Q996" s="85">
        <v>0</v>
      </c>
      <c r="R996" s="85"/>
    </row>
    <row r="997" spans="1:18" ht="15">
      <c r="A997" s="70">
        <v>21</v>
      </c>
      <c r="B997" s="70"/>
      <c r="C997" s="72" t="s">
        <v>254</v>
      </c>
      <c r="D997" s="72" t="s">
        <v>254</v>
      </c>
      <c r="E997" s="85" t="s">
        <v>254</v>
      </c>
      <c r="F997" s="85" t="s">
        <v>254</v>
      </c>
      <c r="G997" s="85" t="s">
        <v>254</v>
      </c>
      <c r="H997" s="85" t="s">
        <v>254</v>
      </c>
      <c r="I997" s="85" t="s">
        <v>254</v>
      </c>
      <c r="J997" s="85" t="s">
        <v>254</v>
      </c>
      <c r="K997" s="85" t="s">
        <v>254</v>
      </c>
      <c r="L997" s="85" t="s">
        <v>254</v>
      </c>
      <c r="M997" s="85" t="s">
        <v>254</v>
      </c>
      <c r="N997" s="85" t="s">
        <v>254</v>
      </c>
      <c r="O997" s="85" t="s">
        <v>254</v>
      </c>
      <c r="P997" s="85" t="s">
        <v>254</v>
      </c>
      <c r="Q997" s="85" t="s">
        <v>254</v>
      </c>
      <c r="R997" s="85"/>
    </row>
    <row r="998" spans="1:18" ht="15">
      <c r="A998" s="70">
        <v>22</v>
      </c>
      <c r="B998" s="70"/>
      <c r="C998" s="72" t="s">
        <v>254</v>
      </c>
      <c r="D998" s="72" t="s">
        <v>254</v>
      </c>
      <c r="E998" s="85" t="s">
        <v>254</v>
      </c>
      <c r="F998" s="85" t="s">
        <v>254</v>
      </c>
      <c r="G998" s="85" t="s">
        <v>254</v>
      </c>
      <c r="H998" s="85" t="s">
        <v>254</v>
      </c>
      <c r="I998" s="85" t="s">
        <v>254</v>
      </c>
      <c r="J998" s="85" t="s">
        <v>254</v>
      </c>
      <c r="K998" s="85" t="s">
        <v>254</v>
      </c>
      <c r="L998" s="85" t="s">
        <v>254</v>
      </c>
      <c r="M998" s="85" t="s">
        <v>254</v>
      </c>
      <c r="N998" s="85" t="s">
        <v>254</v>
      </c>
      <c r="O998" s="85" t="s">
        <v>254</v>
      </c>
      <c r="P998" s="85" t="s">
        <v>254</v>
      </c>
      <c r="Q998" s="85" t="s">
        <v>254</v>
      </c>
      <c r="R998" s="85"/>
    </row>
    <row r="999" spans="1:18" ht="15">
      <c r="A999" s="70">
        <v>23</v>
      </c>
      <c r="B999" s="70"/>
      <c r="C999" s="72" t="s">
        <v>254</v>
      </c>
      <c r="D999" s="72" t="s">
        <v>254</v>
      </c>
      <c r="E999" s="85" t="s">
        <v>254</v>
      </c>
      <c r="F999" s="85" t="s">
        <v>254</v>
      </c>
      <c r="G999" s="85" t="s">
        <v>254</v>
      </c>
      <c r="H999" s="85" t="s">
        <v>254</v>
      </c>
      <c r="I999" s="85" t="s">
        <v>254</v>
      </c>
      <c r="J999" s="85" t="s">
        <v>254</v>
      </c>
      <c r="K999" s="85" t="s">
        <v>254</v>
      </c>
      <c r="L999" s="85" t="s">
        <v>254</v>
      </c>
      <c r="M999" s="85" t="s">
        <v>254</v>
      </c>
      <c r="N999" s="85" t="s">
        <v>254</v>
      </c>
      <c r="O999" s="85" t="s">
        <v>254</v>
      </c>
      <c r="P999" s="85" t="s">
        <v>254</v>
      </c>
      <c r="Q999" s="85" t="s">
        <v>254</v>
      </c>
      <c r="R999" s="85"/>
    </row>
    <row r="1000" spans="1:18" ht="15">
      <c r="A1000" s="70">
        <v>24</v>
      </c>
      <c r="B1000" s="70"/>
      <c r="C1000" s="72" t="s">
        <v>254</v>
      </c>
      <c r="D1000" s="72" t="s">
        <v>254</v>
      </c>
      <c r="E1000" s="85" t="s">
        <v>254</v>
      </c>
      <c r="F1000" s="85" t="s">
        <v>254</v>
      </c>
      <c r="G1000" s="85" t="s">
        <v>254</v>
      </c>
      <c r="H1000" s="85" t="s">
        <v>254</v>
      </c>
      <c r="I1000" s="85" t="s">
        <v>254</v>
      </c>
      <c r="J1000" s="85" t="s">
        <v>254</v>
      </c>
      <c r="K1000" s="85" t="s">
        <v>254</v>
      </c>
      <c r="L1000" s="85" t="s">
        <v>254</v>
      </c>
      <c r="M1000" s="85" t="s">
        <v>254</v>
      </c>
      <c r="N1000" s="85" t="s">
        <v>254</v>
      </c>
      <c r="O1000" s="85" t="s">
        <v>254</v>
      </c>
      <c r="P1000" s="85" t="s">
        <v>254</v>
      </c>
      <c r="Q1000" s="85" t="s">
        <v>254</v>
      </c>
      <c r="R1000" s="85"/>
    </row>
    <row r="1001" spans="1:18" ht="15">
      <c r="A1001" s="70">
        <v>25</v>
      </c>
      <c r="B1001" s="70"/>
      <c r="C1001" s="72" t="s">
        <v>254</v>
      </c>
      <c r="D1001" s="72" t="s">
        <v>254</v>
      </c>
      <c r="E1001" s="85" t="s">
        <v>254</v>
      </c>
      <c r="F1001" s="85" t="s">
        <v>254</v>
      </c>
      <c r="G1001" s="85" t="s">
        <v>254</v>
      </c>
      <c r="H1001" s="85" t="s">
        <v>254</v>
      </c>
      <c r="I1001" s="85" t="s">
        <v>254</v>
      </c>
      <c r="J1001" s="85" t="s">
        <v>254</v>
      </c>
      <c r="K1001" s="85" t="s">
        <v>254</v>
      </c>
      <c r="L1001" s="85" t="s">
        <v>254</v>
      </c>
      <c r="M1001" s="85" t="s">
        <v>254</v>
      </c>
      <c r="N1001" s="85" t="s">
        <v>254</v>
      </c>
      <c r="O1001" s="85" t="s">
        <v>254</v>
      </c>
      <c r="P1001" s="85" t="s">
        <v>254</v>
      </c>
      <c r="Q1001" s="85" t="s">
        <v>254</v>
      </c>
      <c r="R1001" s="85"/>
    </row>
    <row r="1002" spans="1:18" ht="15">
      <c r="A1002" s="70" t="s">
        <v>254</v>
      </c>
      <c r="B1002" s="70"/>
      <c r="C1002" s="72" t="s">
        <v>254</v>
      </c>
      <c r="D1002" s="72" t="s">
        <v>254</v>
      </c>
      <c r="E1002" s="85" t="s">
        <v>254</v>
      </c>
      <c r="F1002" s="85" t="s">
        <v>254</v>
      </c>
      <c r="G1002" s="85" t="s">
        <v>254</v>
      </c>
      <c r="H1002" s="85" t="s">
        <v>254</v>
      </c>
      <c r="I1002" s="85" t="s">
        <v>254</v>
      </c>
      <c r="J1002" s="85" t="s">
        <v>254</v>
      </c>
      <c r="K1002" s="85" t="s">
        <v>254</v>
      </c>
      <c r="L1002" s="85" t="s">
        <v>254</v>
      </c>
      <c r="M1002" s="85" t="s">
        <v>254</v>
      </c>
      <c r="N1002" s="85" t="s">
        <v>254</v>
      </c>
      <c r="O1002" s="85" t="s">
        <v>254</v>
      </c>
      <c r="P1002" s="85" t="s">
        <v>254</v>
      </c>
      <c r="Q1002" s="85" t="s">
        <v>254</v>
      </c>
      <c r="R1002" s="85"/>
    </row>
    <row r="1003" spans="1:18" ht="15">
      <c r="A1003" s="70" t="s">
        <v>254</v>
      </c>
      <c r="B1003" s="70"/>
      <c r="C1003" s="72" t="s">
        <v>1002</v>
      </c>
      <c r="D1003" s="72" t="s">
        <v>254</v>
      </c>
      <c r="E1003" s="85" t="s">
        <v>254</v>
      </c>
      <c r="F1003" s="85" t="s">
        <v>254</v>
      </c>
      <c r="G1003" s="85" t="s">
        <v>254</v>
      </c>
      <c r="H1003" s="85" t="s">
        <v>254</v>
      </c>
      <c r="I1003" s="85" t="s">
        <v>254</v>
      </c>
      <c r="J1003" s="85" t="s">
        <v>254</v>
      </c>
      <c r="K1003" s="85" t="s">
        <v>254</v>
      </c>
      <c r="L1003" s="85" t="s">
        <v>254</v>
      </c>
      <c r="M1003" s="85" t="s">
        <v>254</v>
      </c>
      <c r="N1003" s="85" t="s">
        <v>254</v>
      </c>
      <c r="O1003" s="85" t="s">
        <v>254</v>
      </c>
      <c r="P1003" s="85" t="s">
        <v>254</v>
      </c>
      <c r="Q1003" s="85" t="s">
        <v>254</v>
      </c>
      <c r="R1003" s="85"/>
    </row>
    <row r="1004" spans="1:18" ht="15">
      <c r="A1004" s="70" t="s">
        <v>254</v>
      </c>
      <c r="B1004" s="70"/>
      <c r="C1004" s="72" t="s">
        <v>925</v>
      </c>
      <c r="D1004" s="72" t="s">
        <v>254</v>
      </c>
      <c r="E1004" s="85" t="s">
        <v>254</v>
      </c>
      <c r="F1004" s="85" t="s">
        <v>254</v>
      </c>
      <c r="G1004" s="85" t="s">
        <v>254</v>
      </c>
      <c r="H1004" s="85" t="s">
        <v>254</v>
      </c>
      <c r="I1004" s="85" t="s">
        <v>254</v>
      </c>
      <c r="J1004" s="85" t="s">
        <v>254</v>
      </c>
      <c r="K1004" s="85" t="s">
        <v>254</v>
      </c>
      <c r="L1004" s="85" t="s">
        <v>254</v>
      </c>
      <c r="M1004" s="85" t="s">
        <v>254</v>
      </c>
      <c r="N1004" s="85" t="s">
        <v>254</v>
      </c>
      <c r="O1004" s="85" t="s">
        <v>254</v>
      </c>
      <c r="P1004" s="85" t="s">
        <v>254</v>
      </c>
      <c r="Q1004" s="85" t="s">
        <v>254</v>
      </c>
      <c r="R1004" s="85"/>
    </row>
    <row r="1005" spans="1:18" ht="15">
      <c r="A1005" s="70">
        <v>1</v>
      </c>
      <c r="B1005" s="70"/>
      <c r="C1005" s="72" t="s">
        <v>1003</v>
      </c>
      <c r="D1005" s="72" t="s">
        <v>299</v>
      </c>
      <c r="E1005" s="85">
        <v>9182029386.4999981</v>
      </c>
      <c r="F1005" s="85" t="s">
        <v>254</v>
      </c>
      <c r="G1005" s="85">
        <v>8147017017.1214523</v>
      </c>
      <c r="H1005" s="85" t="s">
        <v>254</v>
      </c>
      <c r="I1005" s="85">
        <v>455907066.29724622</v>
      </c>
      <c r="J1005" s="85">
        <v>579105303.08129799</v>
      </c>
      <c r="K1005" s="85" t="s">
        <v>254</v>
      </c>
      <c r="L1005" s="85" t="s">
        <v>254</v>
      </c>
      <c r="M1005" s="85">
        <v>202934.51205090756</v>
      </c>
      <c r="N1005" s="85" t="s">
        <v>254</v>
      </c>
      <c r="O1005" s="85">
        <v>578902368.56924713</v>
      </c>
      <c r="P1005" s="85">
        <v>182485765.82400092</v>
      </c>
      <c r="Q1005" s="85">
        <v>396416602.74524623</v>
      </c>
      <c r="R1005" s="85"/>
    </row>
    <row r="1006" spans="1:18" ht="15">
      <c r="A1006" s="70">
        <v>2</v>
      </c>
      <c r="B1006" s="70"/>
      <c r="C1006" s="72" t="s">
        <v>1004</v>
      </c>
      <c r="D1006" s="72" t="s">
        <v>301</v>
      </c>
      <c r="E1006" s="85">
        <v>8147017017.1214523</v>
      </c>
      <c r="F1006" s="85" t="s">
        <v>254</v>
      </c>
      <c r="G1006" s="85">
        <v>8147017017.1214523</v>
      </c>
      <c r="H1006" s="85" t="s">
        <v>254</v>
      </c>
      <c r="I1006" s="85">
        <v>0</v>
      </c>
      <c r="J1006" s="85">
        <v>0</v>
      </c>
      <c r="K1006" s="85" t="s">
        <v>254</v>
      </c>
      <c r="L1006" s="85" t="s">
        <v>254</v>
      </c>
      <c r="M1006" s="85">
        <v>0</v>
      </c>
      <c r="N1006" s="85" t="s">
        <v>254</v>
      </c>
      <c r="O1006" s="85">
        <v>0</v>
      </c>
      <c r="P1006" s="85">
        <v>0</v>
      </c>
      <c r="Q1006" s="85">
        <v>0</v>
      </c>
      <c r="R1006" s="85"/>
    </row>
    <row r="1007" spans="1:18" ht="15">
      <c r="A1007" s="70">
        <v>3</v>
      </c>
      <c r="B1007" s="70"/>
      <c r="C1007" s="72" t="s">
        <v>1005</v>
      </c>
      <c r="D1007" s="72" t="s">
        <v>422</v>
      </c>
      <c r="E1007" s="85">
        <v>176357471.15000004</v>
      </c>
      <c r="F1007" s="85" t="s">
        <v>254</v>
      </c>
      <c r="G1007" s="85">
        <v>159147274.30517444</v>
      </c>
      <c r="H1007" s="85" t="s">
        <v>254</v>
      </c>
      <c r="I1007" s="85">
        <v>8352448.8464864055</v>
      </c>
      <c r="J1007" s="85">
        <v>8857747.998339165</v>
      </c>
      <c r="K1007" s="85" t="s">
        <v>254</v>
      </c>
      <c r="L1007" s="85" t="s">
        <v>254</v>
      </c>
      <c r="M1007" s="85">
        <v>4032.0834778372555</v>
      </c>
      <c r="N1007" s="85" t="s">
        <v>254</v>
      </c>
      <c r="O1007" s="85">
        <v>8853715.914861327</v>
      </c>
      <c r="P1007" s="85">
        <v>2826270.4936792697</v>
      </c>
      <c r="Q1007" s="85">
        <v>6027445.4211820569</v>
      </c>
      <c r="R1007" s="85"/>
    </row>
    <row r="1008" spans="1:18" ht="15">
      <c r="A1008" s="70">
        <v>4</v>
      </c>
      <c r="B1008" s="70"/>
      <c r="C1008" s="72" t="s">
        <v>1006</v>
      </c>
      <c r="D1008" s="72" t="s">
        <v>447</v>
      </c>
      <c r="E1008" s="85">
        <v>5234314136.25</v>
      </c>
      <c r="F1008" s="85" t="s">
        <v>254</v>
      </c>
      <c r="G1008" s="85">
        <v>4584093279.9926853</v>
      </c>
      <c r="H1008" s="85" t="s">
        <v>254</v>
      </c>
      <c r="I1008" s="85">
        <v>211847307.27363741</v>
      </c>
      <c r="J1008" s="85">
        <v>438373548.98367655</v>
      </c>
      <c r="K1008" s="85" t="s">
        <v>254</v>
      </c>
      <c r="L1008" s="85" t="s">
        <v>254</v>
      </c>
      <c r="M1008" s="85">
        <v>16108.168276179165</v>
      </c>
      <c r="N1008" s="85" t="s">
        <v>254</v>
      </c>
      <c r="O1008" s="85">
        <v>438357440.81540036</v>
      </c>
      <c r="P1008" s="85">
        <v>136048124.881675</v>
      </c>
      <c r="Q1008" s="85">
        <v>302309315.93372536</v>
      </c>
      <c r="R1008" s="85"/>
    </row>
    <row r="1009" spans="1:18" ht="15">
      <c r="A1009" s="70">
        <v>5</v>
      </c>
      <c r="B1009" s="70"/>
      <c r="C1009" s="72" t="s">
        <v>1007</v>
      </c>
      <c r="D1009" s="72" t="s">
        <v>909</v>
      </c>
      <c r="E1009" s="85">
        <v>104779978.45999999</v>
      </c>
      <c r="F1009" s="85" t="s">
        <v>254</v>
      </c>
      <c r="G1009" s="85">
        <v>94554814.519202679</v>
      </c>
      <c r="H1009" s="85" t="s">
        <v>254</v>
      </c>
      <c r="I1009" s="85">
        <v>4962474.2547976673</v>
      </c>
      <c r="J1009" s="85">
        <v>5262689.6859996496</v>
      </c>
      <c r="K1009" s="85" t="s">
        <v>254</v>
      </c>
      <c r="L1009" s="85" t="s">
        <v>254</v>
      </c>
      <c r="M1009" s="85">
        <v>2395.5980838337705</v>
      </c>
      <c r="N1009" s="85" t="s">
        <v>254</v>
      </c>
      <c r="O1009" s="85">
        <v>5260294.0879158154</v>
      </c>
      <c r="P1009" s="85">
        <v>1679183.5328482902</v>
      </c>
      <c r="Q1009" s="85">
        <v>3581110.5550675248</v>
      </c>
      <c r="R1009" s="85"/>
    </row>
    <row r="1010" spans="1:18" ht="15">
      <c r="A1010" s="70">
        <v>6</v>
      </c>
      <c r="B1010" s="70"/>
      <c r="C1010" s="72" t="s">
        <v>1008</v>
      </c>
      <c r="D1010" s="72" t="s">
        <v>452</v>
      </c>
      <c r="E1010" s="85">
        <v>41824057.850000009</v>
      </c>
      <c r="F1010" s="85" t="s">
        <v>254</v>
      </c>
      <c r="G1010" s="85">
        <v>36628558.688219555</v>
      </c>
      <c r="H1010" s="85" t="s">
        <v>254</v>
      </c>
      <c r="I1010" s="85">
        <v>1692736.3937555146</v>
      </c>
      <c r="J1010" s="85">
        <v>3502762.7680249359</v>
      </c>
      <c r="K1010" s="85" t="s">
        <v>254</v>
      </c>
      <c r="L1010" s="85" t="s">
        <v>254</v>
      </c>
      <c r="M1010" s="85">
        <v>128.71007438676867</v>
      </c>
      <c r="N1010" s="85" t="s">
        <v>254</v>
      </c>
      <c r="O1010" s="85">
        <v>3502634.0579505493</v>
      </c>
      <c r="P1010" s="85">
        <v>1087073.5873547946</v>
      </c>
      <c r="Q1010" s="85">
        <v>2415560.4705957547</v>
      </c>
      <c r="R1010" s="85"/>
    </row>
    <row r="1011" spans="1:18" ht="15">
      <c r="A1011" s="70">
        <v>7</v>
      </c>
      <c r="B1011" s="70"/>
      <c r="C1011" s="72" t="s">
        <v>1009</v>
      </c>
      <c r="D1011" s="72" t="s">
        <v>455</v>
      </c>
      <c r="E1011" s="85">
        <v>1000105441.4199982</v>
      </c>
      <c r="F1011" s="85" t="s">
        <v>254</v>
      </c>
      <c r="G1011" s="85">
        <v>875869600.86083853</v>
      </c>
      <c r="H1011" s="85" t="s">
        <v>254</v>
      </c>
      <c r="I1011" s="85">
        <v>40477059.503793575</v>
      </c>
      <c r="J1011" s="85">
        <v>83758781.055366009</v>
      </c>
      <c r="K1011" s="85" t="s">
        <v>254</v>
      </c>
      <c r="L1011" s="85" t="s">
        <v>254</v>
      </c>
      <c r="M1011" s="85">
        <v>3077.7416725426615</v>
      </c>
      <c r="N1011" s="85" t="s">
        <v>254</v>
      </c>
      <c r="O1011" s="85">
        <v>83755703.313693464</v>
      </c>
      <c r="P1011" s="85">
        <v>25994326.371597819</v>
      </c>
      <c r="Q1011" s="85">
        <v>57761376.942095652</v>
      </c>
      <c r="R1011" s="85"/>
    </row>
    <row r="1012" spans="1:18" ht="15">
      <c r="A1012" s="70">
        <v>8</v>
      </c>
      <c r="B1012" s="70"/>
      <c r="C1012" s="72" t="s">
        <v>1010</v>
      </c>
      <c r="D1012" s="72" t="s">
        <v>1011</v>
      </c>
      <c r="E1012" s="85">
        <v>843440181.91999888</v>
      </c>
      <c r="F1012" s="85" t="s">
        <v>254</v>
      </c>
      <c r="G1012" s="85">
        <v>801808256.41087091</v>
      </c>
      <c r="H1012" s="85" t="s">
        <v>254</v>
      </c>
      <c r="I1012" s="85">
        <v>38078761.198443159</v>
      </c>
      <c r="J1012" s="85">
        <v>3553164.3106847475</v>
      </c>
      <c r="K1012" s="85" t="s">
        <v>254</v>
      </c>
      <c r="L1012" s="85" t="s">
        <v>254</v>
      </c>
      <c r="M1012" s="85">
        <v>2817.4955286941126</v>
      </c>
      <c r="N1012" s="85" t="s">
        <v>254</v>
      </c>
      <c r="O1012" s="85">
        <v>3550346.8151560533</v>
      </c>
      <c r="P1012" s="85">
        <v>1101881.6652983767</v>
      </c>
      <c r="Q1012" s="85">
        <v>2448465.1498576766</v>
      </c>
      <c r="R1012" s="85"/>
    </row>
    <row r="1013" spans="1:18" ht="15">
      <c r="A1013" s="70">
        <v>9</v>
      </c>
      <c r="B1013" s="70"/>
      <c r="C1013" s="72" t="s">
        <v>1012</v>
      </c>
      <c r="D1013" s="72" t="s">
        <v>487</v>
      </c>
      <c r="E1013" s="85">
        <v>54589139.93999999</v>
      </c>
      <c r="F1013" s="85" t="s">
        <v>254</v>
      </c>
      <c r="G1013" s="85">
        <v>0</v>
      </c>
      <c r="H1013" s="85" t="s">
        <v>254</v>
      </c>
      <c r="I1013" s="85">
        <v>54589139.93999999</v>
      </c>
      <c r="J1013" s="85">
        <v>0</v>
      </c>
      <c r="K1013" s="85" t="s">
        <v>254</v>
      </c>
      <c r="L1013" s="85" t="s">
        <v>254</v>
      </c>
      <c r="M1013" s="85">
        <v>0</v>
      </c>
      <c r="N1013" s="85" t="s">
        <v>254</v>
      </c>
      <c r="O1013" s="85">
        <v>0</v>
      </c>
      <c r="P1013" s="85">
        <v>0</v>
      </c>
      <c r="Q1013" s="85">
        <v>0</v>
      </c>
      <c r="R1013" s="85"/>
    </row>
    <row r="1014" spans="1:18" ht="15">
      <c r="A1014" s="70">
        <v>10</v>
      </c>
      <c r="B1014" s="70"/>
      <c r="C1014" s="72" t="s">
        <v>1013</v>
      </c>
      <c r="D1014" s="72" t="s">
        <v>1014</v>
      </c>
      <c r="E1014" s="85">
        <v>62819569.349999987</v>
      </c>
      <c r="F1014" s="85" t="s">
        <v>254</v>
      </c>
      <c r="G1014" s="85">
        <v>8230400.4889750648</v>
      </c>
      <c r="H1014" s="85" t="s">
        <v>254</v>
      </c>
      <c r="I1014" s="85">
        <v>54589139.93999999</v>
      </c>
      <c r="J1014" s="85">
        <v>28.921024935375918</v>
      </c>
      <c r="K1014" s="85" t="s">
        <v>254</v>
      </c>
      <c r="L1014" s="85" t="s">
        <v>254</v>
      </c>
      <c r="M1014" s="85">
        <v>28.921024935375918</v>
      </c>
      <c r="N1014" s="85" t="s">
        <v>254</v>
      </c>
      <c r="O1014" s="85">
        <v>0</v>
      </c>
      <c r="P1014" s="85">
        <v>0</v>
      </c>
      <c r="Q1014" s="85">
        <v>0</v>
      </c>
      <c r="R1014" s="85"/>
    </row>
    <row r="1015" spans="1:18" ht="15">
      <c r="A1015" s="70">
        <v>11</v>
      </c>
      <c r="B1015" s="70"/>
      <c r="C1015" s="72" t="s">
        <v>419</v>
      </c>
      <c r="D1015" s="72" t="s">
        <v>505</v>
      </c>
      <c r="E1015" s="85">
        <v>1766868470.6999998</v>
      </c>
      <c r="F1015" s="85" t="s">
        <v>254</v>
      </c>
      <c r="G1015" s="85">
        <v>1667037042.1265695</v>
      </c>
      <c r="H1015" s="85" t="s">
        <v>254</v>
      </c>
      <c r="I1015" s="85">
        <v>94734958.340000004</v>
      </c>
      <c r="J1015" s="85">
        <v>5096470.2334303223</v>
      </c>
      <c r="K1015" s="85" t="s">
        <v>254</v>
      </c>
      <c r="L1015" s="85" t="s">
        <v>254</v>
      </c>
      <c r="M1015" s="85">
        <v>176624.25999999998</v>
      </c>
      <c r="N1015" s="85" t="s">
        <v>254</v>
      </c>
      <c r="O1015" s="85">
        <v>4919845.9734303225</v>
      </c>
      <c r="P1015" s="85">
        <v>4264490.992525544</v>
      </c>
      <c r="Q1015" s="85">
        <v>655354.980904778</v>
      </c>
      <c r="R1015" s="85"/>
    </row>
    <row r="1016" spans="1:18" ht="15">
      <c r="A1016" s="70">
        <v>12</v>
      </c>
      <c r="B1016" s="70"/>
      <c r="C1016" s="72" t="s">
        <v>1015</v>
      </c>
      <c r="D1016" s="72" t="s">
        <v>469</v>
      </c>
      <c r="E1016" s="85">
        <v>1671956888.0999999</v>
      </c>
      <c r="F1016" s="85" t="s">
        <v>254</v>
      </c>
      <c r="G1016" s="85">
        <v>1667037042.1265695</v>
      </c>
      <c r="H1016" s="85" t="s">
        <v>254</v>
      </c>
      <c r="I1016" s="85">
        <v>0</v>
      </c>
      <c r="J1016" s="85">
        <v>4919845.9734303225</v>
      </c>
      <c r="K1016" s="85" t="s">
        <v>254</v>
      </c>
      <c r="L1016" s="85" t="s">
        <v>254</v>
      </c>
      <c r="M1016" s="85">
        <v>0</v>
      </c>
      <c r="N1016" s="85" t="s">
        <v>254</v>
      </c>
      <c r="O1016" s="85">
        <v>4919845.9734303225</v>
      </c>
      <c r="P1016" s="85">
        <v>4264490.992525544</v>
      </c>
      <c r="Q1016" s="85">
        <v>655354.980904778</v>
      </c>
      <c r="R1016" s="85"/>
    </row>
    <row r="1017" spans="1:18" ht="15">
      <c r="A1017" s="70">
        <v>13</v>
      </c>
      <c r="B1017" s="70"/>
      <c r="C1017" s="72" t="s">
        <v>1016</v>
      </c>
      <c r="D1017" s="72" t="s">
        <v>471</v>
      </c>
      <c r="E1017" s="85">
        <v>190670994.46999994</v>
      </c>
      <c r="F1017" s="85" t="s">
        <v>254</v>
      </c>
      <c r="G1017" s="85">
        <v>172964907.4665451</v>
      </c>
      <c r="H1017" s="85" t="s">
        <v>254</v>
      </c>
      <c r="I1017" s="85">
        <v>8593114.1462951209</v>
      </c>
      <c r="J1017" s="85">
        <v>9112972.8571597114</v>
      </c>
      <c r="K1017" s="85" t="s">
        <v>254</v>
      </c>
      <c r="L1017" s="85" t="s">
        <v>254</v>
      </c>
      <c r="M1017" s="85">
        <v>4148.2628878381529</v>
      </c>
      <c r="N1017" s="85" t="s">
        <v>254</v>
      </c>
      <c r="O1017" s="85">
        <v>9108824.5942718741</v>
      </c>
      <c r="P1017" s="85">
        <v>2907705.9203670938</v>
      </c>
      <c r="Q1017" s="85">
        <v>6201118.6739047803</v>
      </c>
      <c r="R1017" s="85"/>
    </row>
    <row r="1018" spans="1:18" ht="15">
      <c r="A1018" s="70">
        <v>14</v>
      </c>
      <c r="B1018" s="70"/>
      <c r="C1018" s="72" t="s">
        <v>1017</v>
      </c>
      <c r="D1018" s="72" t="s">
        <v>473</v>
      </c>
      <c r="E1018" s="85">
        <v>55918.83</v>
      </c>
      <c r="F1018" s="85" t="s">
        <v>254</v>
      </c>
      <c r="G1018" s="85">
        <v>55918.83</v>
      </c>
      <c r="H1018" s="85" t="s">
        <v>254</v>
      </c>
      <c r="I1018" s="85">
        <v>0</v>
      </c>
      <c r="J1018" s="85">
        <v>0</v>
      </c>
      <c r="K1018" s="85" t="s">
        <v>254</v>
      </c>
      <c r="L1018" s="85" t="s">
        <v>254</v>
      </c>
      <c r="M1018" s="85">
        <v>0</v>
      </c>
      <c r="N1018" s="85" t="s">
        <v>254</v>
      </c>
      <c r="O1018" s="85">
        <v>0</v>
      </c>
      <c r="P1018" s="85">
        <v>0</v>
      </c>
      <c r="Q1018" s="85">
        <v>0</v>
      </c>
      <c r="R1018" s="85"/>
    </row>
    <row r="1019" spans="1:18" ht="15">
      <c r="A1019" s="70">
        <v>15</v>
      </c>
      <c r="B1019" s="70"/>
      <c r="C1019" s="72" t="s">
        <v>1018</v>
      </c>
      <c r="D1019" s="72" t="s">
        <v>475</v>
      </c>
      <c r="E1019" s="85">
        <v>101257411.75999998</v>
      </c>
      <c r="F1019" s="85" t="s">
        <v>254</v>
      </c>
      <c r="G1019" s="85">
        <v>89843521.730749577</v>
      </c>
      <c r="H1019" s="85" t="s">
        <v>254</v>
      </c>
      <c r="I1019" s="85">
        <v>5027643.4100970179</v>
      </c>
      <c r="J1019" s="85">
        <v>6386246.6191533795</v>
      </c>
      <c r="K1019" s="85" t="s">
        <v>254</v>
      </c>
      <c r="L1019" s="85" t="s">
        <v>254</v>
      </c>
      <c r="M1019" s="85">
        <v>2237.9174126000203</v>
      </c>
      <c r="N1019" s="85" t="s">
        <v>254</v>
      </c>
      <c r="O1019" s="85">
        <v>6384008.701740779</v>
      </c>
      <c r="P1019" s="85">
        <v>2012413.1118059126</v>
      </c>
      <c r="Q1019" s="85">
        <v>4371595.5899348669</v>
      </c>
      <c r="R1019" s="85"/>
    </row>
    <row r="1020" spans="1:18" ht="15">
      <c r="A1020" s="70">
        <v>16</v>
      </c>
      <c r="B1020" s="70"/>
      <c r="C1020" s="72" t="s">
        <v>1019</v>
      </c>
      <c r="D1020" s="72" t="s">
        <v>481</v>
      </c>
      <c r="E1020" s="85">
        <v>6276243635.5199966</v>
      </c>
      <c r="F1020" s="85" t="s">
        <v>254</v>
      </c>
      <c r="G1020" s="85">
        <v>5496591439.5417423</v>
      </c>
      <c r="H1020" s="85" t="s">
        <v>254</v>
      </c>
      <c r="I1020" s="85">
        <v>254017103.17118651</v>
      </c>
      <c r="J1020" s="85">
        <v>525635092.80706751</v>
      </c>
      <c r="K1020" s="85" t="s">
        <v>254</v>
      </c>
      <c r="L1020" s="85" t="s">
        <v>254</v>
      </c>
      <c r="M1020" s="85">
        <v>19314.620023108597</v>
      </c>
      <c r="N1020" s="85" t="s">
        <v>254</v>
      </c>
      <c r="O1020" s="85">
        <v>525615778.18704438</v>
      </c>
      <c r="P1020" s="85">
        <v>163129524.8406277</v>
      </c>
      <c r="Q1020" s="85">
        <v>362486253.34641665</v>
      </c>
      <c r="R1020" s="85"/>
    </row>
    <row r="1021" spans="1:18" ht="15">
      <c r="A1021" s="70">
        <v>17</v>
      </c>
      <c r="B1021" s="70"/>
      <c r="C1021" s="72" t="s">
        <v>339</v>
      </c>
      <c r="D1021" s="72" t="s">
        <v>501</v>
      </c>
      <c r="E1021" s="85">
        <v>6317792199.9699974</v>
      </c>
      <c r="F1021" s="85" t="s">
        <v>254</v>
      </c>
      <c r="G1021" s="85">
        <v>5496862528.3784914</v>
      </c>
      <c r="H1021" s="85" t="s">
        <v>254</v>
      </c>
      <c r="I1021" s="85">
        <v>259587004.83250791</v>
      </c>
      <c r="J1021" s="85">
        <v>561342666.75899839</v>
      </c>
      <c r="K1021" s="85" t="s">
        <v>254</v>
      </c>
      <c r="L1021" s="85" t="s">
        <v>254</v>
      </c>
      <c r="M1021" s="85">
        <v>19315.57260943994</v>
      </c>
      <c r="N1021" s="85" t="s">
        <v>254</v>
      </c>
      <c r="O1021" s="85">
        <v>561323351.18638897</v>
      </c>
      <c r="P1021" s="85">
        <v>174211687.24580991</v>
      </c>
      <c r="Q1021" s="85">
        <v>387111663.940579</v>
      </c>
      <c r="R1021" s="85"/>
    </row>
    <row r="1022" spans="1:18" ht="15">
      <c r="A1022" s="70">
        <v>18</v>
      </c>
      <c r="B1022" s="70"/>
      <c r="C1022" s="72" t="s">
        <v>360</v>
      </c>
      <c r="D1022" s="72" t="s">
        <v>1020</v>
      </c>
      <c r="E1022" s="85">
        <v>906259751.26999879</v>
      </c>
      <c r="F1022" s="85" t="s">
        <v>254</v>
      </c>
      <c r="G1022" s="85">
        <v>810038656.89984596</v>
      </c>
      <c r="H1022" s="85" t="s">
        <v>254</v>
      </c>
      <c r="I1022" s="85">
        <v>92667901.138443142</v>
      </c>
      <c r="J1022" s="85">
        <v>3553193.2317096828</v>
      </c>
      <c r="K1022" s="85" t="s">
        <v>254</v>
      </c>
      <c r="L1022" s="85" t="s">
        <v>254</v>
      </c>
      <c r="M1022" s="85">
        <v>2846.4165536294886</v>
      </c>
      <c r="N1022" s="85" t="s">
        <v>254</v>
      </c>
      <c r="O1022" s="85">
        <v>3550346.8151560533</v>
      </c>
      <c r="P1022" s="85">
        <v>1101881.6652983767</v>
      </c>
      <c r="Q1022" s="85">
        <v>2448465.1498576766</v>
      </c>
      <c r="R1022" s="85"/>
    </row>
    <row r="1023" spans="1:18" ht="15">
      <c r="A1023" s="70">
        <v>19</v>
      </c>
      <c r="B1023" s="70"/>
      <c r="C1023" s="72" t="s">
        <v>1021</v>
      </c>
      <c r="D1023" s="72" t="s">
        <v>503</v>
      </c>
      <c r="E1023" s="85">
        <v>902709404.45484269</v>
      </c>
      <c r="F1023" s="85" t="s">
        <v>254</v>
      </c>
      <c r="G1023" s="85">
        <v>810038656.89984596</v>
      </c>
      <c r="H1023" s="85" t="s">
        <v>254</v>
      </c>
      <c r="I1023" s="85">
        <v>92667901.138443142</v>
      </c>
      <c r="J1023" s="85">
        <v>2846.4165536294886</v>
      </c>
      <c r="K1023" s="85" t="s">
        <v>254</v>
      </c>
      <c r="L1023" s="85" t="s">
        <v>254</v>
      </c>
      <c r="M1023" s="85">
        <v>2846.4165536294886</v>
      </c>
      <c r="N1023" s="85" t="s">
        <v>254</v>
      </c>
      <c r="O1023" s="85">
        <v>0</v>
      </c>
      <c r="P1023" s="85">
        <v>0</v>
      </c>
      <c r="Q1023" s="85">
        <v>0</v>
      </c>
      <c r="R1023" s="85"/>
    </row>
    <row r="1024" spans="1:18" ht="15">
      <c r="A1024" s="70">
        <v>20</v>
      </c>
      <c r="B1024" s="70"/>
      <c r="C1024" s="72" t="s">
        <v>1022</v>
      </c>
      <c r="D1024" s="72" t="s">
        <v>508</v>
      </c>
      <c r="E1024" s="85">
        <v>43797410</v>
      </c>
      <c r="F1024" s="85" t="s">
        <v>254</v>
      </c>
      <c r="G1024" s="85">
        <v>38745288.164303407</v>
      </c>
      <c r="H1024" s="85" t="s">
        <v>254</v>
      </c>
      <c r="I1024" s="85">
        <v>2343597.1961187543</v>
      </c>
      <c r="J1024" s="85">
        <v>2708524.6395778363</v>
      </c>
      <c r="K1024" s="85" t="s">
        <v>254</v>
      </c>
      <c r="L1024" s="85" t="s">
        <v>254</v>
      </c>
      <c r="M1024" s="85">
        <v>702.52141714262837</v>
      </c>
      <c r="N1024" s="85" t="s">
        <v>254</v>
      </c>
      <c r="O1024" s="85">
        <v>2707822.1181606934</v>
      </c>
      <c r="P1024" s="85">
        <v>849476.22897842096</v>
      </c>
      <c r="Q1024" s="85">
        <v>1858345.8891822726</v>
      </c>
      <c r="R1024" s="85"/>
    </row>
    <row r="1025" spans="1:18" ht="15">
      <c r="A1025" s="70">
        <v>21</v>
      </c>
      <c r="B1025" s="70"/>
      <c r="C1025" s="72" t="s">
        <v>1023</v>
      </c>
      <c r="D1025" s="72" t="s">
        <v>513</v>
      </c>
      <c r="E1025" s="85">
        <v>10626894.32</v>
      </c>
      <c r="F1025" s="85" t="s">
        <v>254</v>
      </c>
      <c r="G1025" s="85">
        <v>9495469.121258622</v>
      </c>
      <c r="H1025" s="85" t="s">
        <v>254</v>
      </c>
      <c r="I1025" s="85">
        <v>517515.26503579458</v>
      </c>
      <c r="J1025" s="85">
        <v>613909.9337055838</v>
      </c>
      <c r="K1025" s="85" t="s">
        <v>254</v>
      </c>
      <c r="L1025" s="85" t="s">
        <v>254</v>
      </c>
      <c r="M1025" s="85">
        <v>238.15184578786995</v>
      </c>
      <c r="N1025" s="85" t="s">
        <v>254</v>
      </c>
      <c r="O1025" s="85">
        <v>613671.78185979591</v>
      </c>
      <c r="P1025" s="85">
        <v>194322.59135020405</v>
      </c>
      <c r="Q1025" s="85">
        <v>419349.19050959183</v>
      </c>
      <c r="R1025" s="85"/>
    </row>
    <row r="1026" spans="1:18" ht="15">
      <c r="A1026" s="70">
        <v>22</v>
      </c>
      <c r="B1026" s="70"/>
      <c r="C1026" s="72" t="s">
        <v>1024</v>
      </c>
      <c r="D1026" s="72" t="s">
        <v>515</v>
      </c>
      <c r="E1026" s="85">
        <v>1552133792.7142167</v>
      </c>
      <c r="F1026" s="85" t="s">
        <v>254</v>
      </c>
      <c r="G1026" s="85">
        <v>1552133792.7142167</v>
      </c>
      <c r="H1026" s="85" t="s">
        <v>254</v>
      </c>
      <c r="I1026" s="85">
        <v>0</v>
      </c>
      <c r="J1026" s="85">
        <v>0</v>
      </c>
      <c r="K1026" s="85" t="s">
        <v>254</v>
      </c>
      <c r="L1026" s="85" t="s">
        <v>254</v>
      </c>
      <c r="M1026" s="85">
        <v>0</v>
      </c>
      <c r="N1026" s="85" t="s">
        <v>254</v>
      </c>
      <c r="O1026" s="85">
        <v>0</v>
      </c>
      <c r="P1026" s="85">
        <v>0</v>
      </c>
      <c r="Q1026" s="85">
        <v>0</v>
      </c>
      <c r="R1026" s="85"/>
    </row>
    <row r="1027" spans="1:18" ht="15">
      <c r="A1027" s="70">
        <v>23</v>
      </c>
      <c r="B1027" s="70"/>
      <c r="C1027" s="72" t="s">
        <v>1025</v>
      </c>
      <c r="D1027" s="72" t="s">
        <v>1026</v>
      </c>
      <c r="E1027" s="85">
        <v>7196253.9365901873</v>
      </c>
      <c r="F1027" s="85" t="s">
        <v>254</v>
      </c>
      <c r="G1027" s="85">
        <v>0</v>
      </c>
      <c r="H1027" s="85" t="s">
        <v>254</v>
      </c>
      <c r="I1027" s="85">
        <v>0</v>
      </c>
      <c r="J1027" s="85">
        <v>7196253.9365901873</v>
      </c>
      <c r="K1027" s="85" t="s">
        <v>254</v>
      </c>
      <c r="L1027" s="85" t="s">
        <v>254</v>
      </c>
      <c r="M1027" s="85">
        <v>0</v>
      </c>
      <c r="N1027" s="85" t="s">
        <v>254</v>
      </c>
      <c r="O1027" s="85">
        <v>7196253.9365901873</v>
      </c>
      <c r="P1027" s="85">
        <v>2233421.3203369724</v>
      </c>
      <c r="Q1027" s="85">
        <v>4962832.6162532149</v>
      </c>
      <c r="R1027" s="85"/>
    </row>
    <row r="1028" spans="1:18" ht="15">
      <c r="A1028" s="70">
        <v>24</v>
      </c>
      <c r="B1028" s="70"/>
      <c r="C1028" s="72" t="s">
        <v>1027</v>
      </c>
      <c r="D1028" s="72" t="s">
        <v>1028</v>
      </c>
      <c r="E1028" s="85">
        <v>0</v>
      </c>
      <c r="F1028" s="85" t="s">
        <v>254</v>
      </c>
      <c r="G1028" s="85">
        <v>0</v>
      </c>
      <c r="H1028" s="85" t="s">
        <v>254</v>
      </c>
      <c r="I1028" s="85">
        <v>0</v>
      </c>
      <c r="J1028" s="85">
        <v>0</v>
      </c>
      <c r="K1028" s="85" t="s">
        <v>254</v>
      </c>
      <c r="L1028" s="85" t="s">
        <v>254</v>
      </c>
      <c r="M1028" s="85">
        <v>0</v>
      </c>
      <c r="N1028" s="85" t="s">
        <v>254</v>
      </c>
      <c r="O1028" s="85">
        <v>0</v>
      </c>
      <c r="P1028" s="85">
        <v>0</v>
      </c>
      <c r="Q1028" s="85">
        <v>0</v>
      </c>
      <c r="R1028" s="85"/>
    </row>
    <row r="1029" spans="1:18" ht="15">
      <c r="A1029" s="70">
        <v>25</v>
      </c>
      <c r="B1029" s="70"/>
      <c r="C1029" s="72" t="s">
        <v>1029</v>
      </c>
      <c r="D1029" s="72" t="s">
        <v>1030</v>
      </c>
      <c r="E1029" s="85">
        <v>1751142.8223997441</v>
      </c>
      <c r="F1029" s="85" t="s">
        <v>254</v>
      </c>
      <c r="G1029" s="85">
        <v>0</v>
      </c>
      <c r="H1029" s="85" t="s">
        <v>254</v>
      </c>
      <c r="I1029" s="85">
        <v>0</v>
      </c>
      <c r="J1029" s="85">
        <v>1751142.8223997441</v>
      </c>
      <c r="K1029" s="85" t="s">
        <v>254</v>
      </c>
      <c r="L1029" s="85" t="s">
        <v>254</v>
      </c>
      <c r="M1029" s="85">
        <v>0</v>
      </c>
      <c r="N1029" s="85" t="s">
        <v>254</v>
      </c>
      <c r="O1029" s="85">
        <v>1751142.8223997441</v>
      </c>
      <c r="P1029" s="85">
        <v>543482.72711952426</v>
      </c>
      <c r="Q1029" s="85">
        <v>1207660.0952802198</v>
      </c>
      <c r="R1029" s="85"/>
    </row>
    <row r="1030" spans="1:18" ht="15">
      <c r="A1030" s="70">
        <v>26</v>
      </c>
      <c r="B1030" s="70"/>
      <c r="C1030" s="72" t="s">
        <v>1031</v>
      </c>
      <c r="D1030" s="72" t="s">
        <v>1032</v>
      </c>
      <c r="E1030" s="85">
        <v>2339.4174282792883</v>
      </c>
      <c r="F1030" s="85" t="s">
        <v>254</v>
      </c>
      <c r="G1030" s="85">
        <v>0</v>
      </c>
      <c r="H1030" s="85" t="s">
        <v>254</v>
      </c>
      <c r="I1030" s="85">
        <v>0</v>
      </c>
      <c r="J1030" s="85">
        <v>2339.4174282792883</v>
      </c>
      <c r="K1030" s="85" t="s">
        <v>254</v>
      </c>
      <c r="L1030" s="85" t="s">
        <v>254</v>
      </c>
      <c r="M1030" s="85">
        <v>0</v>
      </c>
      <c r="N1030" s="85" t="s">
        <v>254</v>
      </c>
      <c r="O1030" s="85">
        <v>2339.4174282792883</v>
      </c>
      <c r="P1030" s="85">
        <v>726.05897561788584</v>
      </c>
      <c r="Q1030" s="85">
        <v>1613.3584526614025</v>
      </c>
      <c r="R1030" s="85"/>
    </row>
    <row r="1031" spans="1:18" ht="15">
      <c r="A1031" s="70">
        <v>27</v>
      </c>
      <c r="B1031" s="70"/>
      <c r="C1031" s="72" t="s">
        <v>1033</v>
      </c>
      <c r="D1031" s="72" t="s">
        <v>1034</v>
      </c>
      <c r="E1031" s="85">
        <v>843440181.91999888</v>
      </c>
      <c r="F1031" s="85" t="s">
        <v>254</v>
      </c>
      <c r="G1031" s="85">
        <v>801808256.41087091</v>
      </c>
      <c r="H1031" s="85" t="s">
        <v>254</v>
      </c>
      <c r="I1031" s="85">
        <v>38078761.198443159</v>
      </c>
      <c r="J1031" s="85">
        <v>3553164.3106847475</v>
      </c>
      <c r="K1031" s="85" t="s">
        <v>254</v>
      </c>
      <c r="L1031" s="85" t="s">
        <v>254</v>
      </c>
      <c r="M1031" s="85">
        <v>2817.4955286941126</v>
      </c>
      <c r="N1031" s="85" t="s">
        <v>254</v>
      </c>
      <c r="O1031" s="85">
        <v>3550346.8151560533</v>
      </c>
      <c r="P1031" s="85">
        <v>1101881.6652983767</v>
      </c>
      <c r="Q1031" s="85">
        <v>2448465.1498576766</v>
      </c>
      <c r="R1031" s="85"/>
    </row>
    <row r="1032" spans="1:18" ht="15">
      <c r="A1032" s="70">
        <v>28</v>
      </c>
      <c r="B1032" s="70"/>
      <c r="C1032" s="72" t="s">
        <v>1035</v>
      </c>
      <c r="D1032" s="72" t="s">
        <v>462</v>
      </c>
      <c r="E1032" s="85">
        <v>62819569.349999987</v>
      </c>
      <c r="F1032" s="85" t="s">
        <v>254</v>
      </c>
      <c r="G1032" s="85">
        <v>8230400.4889750648</v>
      </c>
      <c r="H1032" s="85" t="s">
        <v>254</v>
      </c>
      <c r="I1032" s="85">
        <v>54589139.93999999</v>
      </c>
      <c r="J1032" s="85">
        <v>28.921024935375918</v>
      </c>
      <c r="K1032" s="85" t="s">
        <v>254</v>
      </c>
      <c r="L1032" s="85" t="s">
        <v>254</v>
      </c>
      <c r="M1032" s="85">
        <v>28.921024935375918</v>
      </c>
      <c r="N1032" s="85" t="s">
        <v>254</v>
      </c>
      <c r="O1032" s="85">
        <v>0</v>
      </c>
      <c r="P1032" s="85">
        <v>0</v>
      </c>
      <c r="Q1032" s="85">
        <v>0</v>
      </c>
      <c r="R1032" s="85"/>
    </row>
    <row r="1033" spans="1:18" ht="15">
      <c r="A1033" s="70">
        <v>29</v>
      </c>
      <c r="B1033" s="70"/>
      <c r="C1033" s="72" t="s">
        <v>1036</v>
      </c>
      <c r="D1033" s="72" t="s">
        <v>663</v>
      </c>
      <c r="E1033" s="85">
        <v>746432335.48999989</v>
      </c>
      <c r="F1033" s="85" t="s">
        <v>254</v>
      </c>
      <c r="G1033" s="85">
        <v>691752096.80999994</v>
      </c>
      <c r="H1033" s="85" t="s">
        <v>254</v>
      </c>
      <c r="I1033" s="85">
        <v>54585689.900000006</v>
      </c>
      <c r="J1033" s="85">
        <v>94548.78</v>
      </c>
      <c r="K1033" s="85" t="s">
        <v>254</v>
      </c>
      <c r="L1033" s="85" t="s">
        <v>254</v>
      </c>
      <c r="M1033" s="85">
        <v>94548.78</v>
      </c>
      <c r="N1033" s="85" t="s">
        <v>254</v>
      </c>
      <c r="O1033" s="85">
        <v>0</v>
      </c>
      <c r="P1033" s="85">
        <v>0</v>
      </c>
      <c r="Q1033" s="85">
        <v>0</v>
      </c>
      <c r="R1033" s="85"/>
    </row>
    <row r="1034" spans="1:18" ht="15">
      <c r="A1034" s="70">
        <v>30</v>
      </c>
      <c r="B1034" s="70"/>
      <c r="C1034" s="72" t="s">
        <v>442</v>
      </c>
      <c r="D1034" s="72" t="s">
        <v>721</v>
      </c>
      <c r="E1034" s="85">
        <v>9283387172.6699963</v>
      </c>
      <c r="F1034" s="85" t="s">
        <v>254</v>
      </c>
      <c r="G1034" s="85">
        <v>8236955902.1613598</v>
      </c>
      <c r="H1034" s="85" t="s">
        <v>254</v>
      </c>
      <c r="I1034" s="85">
        <v>460936917.02036798</v>
      </c>
      <c r="J1034" s="85">
        <v>585494353.48826849</v>
      </c>
      <c r="K1034" s="85" t="s">
        <v>254</v>
      </c>
      <c r="L1034" s="85" t="s">
        <v>254</v>
      </c>
      <c r="M1034" s="85">
        <v>205173.4119882911</v>
      </c>
      <c r="N1034" s="85" t="s">
        <v>254</v>
      </c>
      <c r="O1034" s="85">
        <v>585289180.07628024</v>
      </c>
      <c r="P1034" s="85">
        <v>184499062.45623788</v>
      </c>
      <c r="Q1034" s="85">
        <v>400790117.62004232</v>
      </c>
      <c r="R1034" s="85"/>
    </row>
    <row r="1035" spans="1:18" ht="15">
      <c r="A1035" s="70">
        <v>31</v>
      </c>
      <c r="B1035" s="70"/>
      <c r="C1035" s="72" t="s">
        <v>1037</v>
      </c>
      <c r="D1035" s="72" t="s">
        <v>492</v>
      </c>
      <c r="E1035" s="85">
        <v>8236955902.1613598</v>
      </c>
      <c r="F1035" s="85" t="s">
        <v>254</v>
      </c>
      <c r="G1035" s="85">
        <v>8236955902.1613598</v>
      </c>
      <c r="H1035" s="85" t="s">
        <v>254</v>
      </c>
      <c r="I1035" s="85">
        <v>0</v>
      </c>
      <c r="J1035" s="85">
        <v>0</v>
      </c>
      <c r="K1035" s="85" t="s">
        <v>254</v>
      </c>
      <c r="L1035" s="85" t="s">
        <v>254</v>
      </c>
      <c r="M1035" s="85">
        <v>0</v>
      </c>
      <c r="N1035" s="85" t="s">
        <v>254</v>
      </c>
      <c r="O1035" s="85">
        <v>0</v>
      </c>
      <c r="P1035" s="85">
        <v>0</v>
      </c>
      <c r="Q1035" s="85">
        <v>0</v>
      </c>
      <c r="R1035" s="85"/>
    </row>
    <row r="1036" spans="1:18" ht="15">
      <c r="A1036" s="70">
        <v>32</v>
      </c>
      <c r="B1036" s="70"/>
      <c r="C1036" s="72" t="s">
        <v>1038</v>
      </c>
      <c r="D1036" s="72" t="s">
        <v>802</v>
      </c>
      <c r="E1036" s="85">
        <v>8822450255.6496277</v>
      </c>
      <c r="F1036" s="85" t="s">
        <v>254</v>
      </c>
      <c r="G1036" s="85">
        <v>8236955902.1613598</v>
      </c>
      <c r="H1036" s="85" t="s">
        <v>254</v>
      </c>
      <c r="I1036" s="85">
        <v>0</v>
      </c>
      <c r="J1036" s="85">
        <v>585494353.48826849</v>
      </c>
      <c r="K1036" s="85" t="s">
        <v>254</v>
      </c>
      <c r="L1036" s="85" t="s">
        <v>254</v>
      </c>
      <c r="M1036" s="85">
        <v>205173.4119882911</v>
      </c>
      <c r="N1036" s="85" t="s">
        <v>254</v>
      </c>
      <c r="O1036" s="85">
        <v>585289180.07628024</v>
      </c>
      <c r="P1036" s="85">
        <v>184499062.45623788</v>
      </c>
      <c r="Q1036" s="85">
        <v>400790117.62004232</v>
      </c>
      <c r="R1036" s="85"/>
    </row>
    <row r="1037" spans="1:18" ht="15">
      <c r="A1037" s="70">
        <v>33</v>
      </c>
      <c r="B1037" s="70"/>
      <c r="C1037" s="72" t="s">
        <v>1039</v>
      </c>
      <c r="D1037" s="72" t="s">
        <v>1040</v>
      </c>
      <c r="E1037" s="85">
        <v>460936917.02036798</v>
      </c>
      <c r="F1037" s="85" t="s">
        <v>254</v>
      </c>
      <c r="G1037" s="85">
        <v>0</v>
      </c>
      <c r="H1037" s="85" t="s">
        <v>254</v>
      </c>
      <c r="I1037" s="85">
        <v>460936917.02036798</v>
      </c>
      <c r="J1037" s="85">
        <v>0</v>
      </c>
      <c r="K1037" s="85" t="s">
        <v>254</v>
      </c>
      <c r="L1037" s="85" t="s">
        <v>254</v>
      </c>
      <c r="M1037" s="85">
        <v>0</v>
      </c>
      <c r="N1037" s="85" t="s">
        <v>254</v>
      </c>
      <c r="O1037" s="85">
        <v>0</v>
      </c>
      <c r="P1037" s="85">
        <v>0</v>
      </c>
      <c r="Q1037" s="85">
        <v>0</v>
      </c>
      <c r="R1037" s="85"/>
    </row>
    <row r="1038" spans="1:18" ht="15">
      <c r="A1038" s="70">
        <v>34</v>
      </c>
      <c r="B1038" s="70"/>
      <c r="C1038" s="72" t="s">
        <v>318</v>
      </c>
      <c r="D1038" s="72" t="s">
        <v>589</v>
      </c>
      <c r="E1038" s="85">
        <v>5273396929.3499994</v>
      </c>
      <c r="F1038" s="85" t="s">
        <v>254</v>
      </c>
      <c r="G1038" s="85">
        <v>4584093279.9926853</v>
      </c>
      <c r="H1038" s="85" t="s">
        <v>254</v>
      </c>
      <c r="I1038" s="85">
        <v>217403766.2884151</v>
      </c>
      <c r="J1038" s="85">
        <v>471899883.06889886</v>
      </c>
      <c r="K1038" s="85" t="s">
        <v>254</v>
      </c>
      <c r="L1038" s="85" t="s">
        <v>254</v>
      </c>
      <c r="M1038" s="85">
        <v>16108.168276179165</v>
      </c>
      <c r="N1038" s="85" t="s">
        <v>254</v>
      </c>
      <c r="O1038" s="85">
        <v>471883774.90062267</v>
      </c>
      <c r="P1038" s="85">
        <v>146453320.41791749</v>
      </c>
      <c r="Q1038" s="85">
        <v>325430454.48270518</v>
      </c>
      <c r="R1038" s="85"/>
    </row>
    <row r="1039" spans="1:18" ht="15">
      <c r="A1039" s="70">
        <v>35</v>
      </c>
      <c r="B1039" s="70"/>
      <c r="C1039" s="72" t="s">
        <v>1041</v>
      </c>
      <c r="D1039" s="72" t="s">
        <v>604</v>
      </c>
      <c r="E1039" s="85">
        <v>41930214.550000004</v>
      </c>
      <c r="F1039" s="85" t="s">
        <v>254</v>
      </c>
      <c r="G1039" s="85">
        <v>36628558.688219555</v>
      </c>
      <c r="H1039" s="85" t="s">
        <v>254</v>
      </c>
      <c r="I1039" s="85">
        <v>1693003.5631240481</v>
      </c>
      <c r="J1039" s="85">
        <v>3608652.2986564022</v>
      </c>
      <c r="K1039" s="85" t="s">
        <v>254</v>
      </c>
      <c r="L1039" s="85" t="s">
        <v>254</v>
      </c>
      <c r="M1039" s="85">
        <v>128.71007438676867</v>
      </c>
      <c r="N1039" s="85" t="s">
        <v>254</v>
      </c>
      <c r="O1039" s="85">
        <v>3608523.5885820156</v>
      </c>
      <c r="P1039" s="85">
        <v>1119937.3436086285</v>
      </c>
      <c r="Q1039" s="85">
        <v>2488586.2449733871</v>
      </c>
      <c r="R1039" s="85"/>
    </row>
    <row r="1040" spans="1:18" ht="15">
      <c r="A1040" s="70">
        <v>36</v>
      </c>
      <c r="B1040" s="70"/>
      <c r="C1040" s="72" t="s">
        <v>1042</v>
      </c>
      <c r="D1040" s="72" t="s">
        <v>619</v>
      </c>
      <c r="E1040" s="85">
        <v>1002155515.2199981</v>
      </c>
      <c r="F1040" s="85" t="s">
        <v>254</v>
      </c>
      <c r="G1040" s="85">
        <v>875869600.86083853</v>
      </c>
      <c r="H1040" s="85" t="s">
        <v>254</v>
      </c>
      <c r="I1040" s="85">
        <v>40477706.998532705</v>
      </c>
      <c r="J1040" s="85">
        <v>85808207.360626876</v>
      </c>
      <c r="K1040" s="85" t="s">
        <v>254</v>
      </c>
      <c r="L1040" s="85" t="s">
        <v>254</v>
      </c>
      <c r="M1040" s="85">
        <v>3077.7416725426615</v>
      </c>
      <c r="N1040" s="85" t="s">
        <v>254</v>
      </c>
      <c r="O1040" s="85">
        <v>85805129.618954331</v>
      </c>
      <c r="P1040" s="85">
        <v>26630384.026728023</v>
      </c>
      <c r="Q1040" s="85">
        <v>59174745.592226312</v>
      </c>
      <c r="R1040" s="85"/>
    </row>
    <row r="1041" spans="1:18" ht="15">
      <c r="A1041" s="70">
        <v>37</v>
      </c>
      <c r="B1041" s="70"/>
      <c r="C1041" s="72" t="s">
        <v>1043</v>
      </c>
      <c r="D1041" s="72" t="s">
        <v>660</v>
      </c>
      <c r="E1041" s="85">
        <v>212103687.98999998</v>
      </c>
      <c r="F1041" s="85" t="s">
        <v>254</v>
      </c>
      <c r="G1041" s="85">
        <v>198918435.64999998</v>
      </c>
      <c r="H1041" s="85" t="s">
        <v>254</v>
      </c>
      <c r="I1041" s="85">
        <v>9070111.9700000007</v>
      </c>
      <c r="J1041" s="85">
        <v>4115140.37</v>
      </c>
      <c r="K1041" s="85" t="s">
        <v>254</v>
      </c>
      <c r="L1041" s="85" t="s">
        <v>254</v>
      </c>
      <c r="M1041" s="85">
        <v>74503.37</v>
      </c>
      <c r="N1041" s="85" t="s">
        <v>254</v>
      </c>
      <c r="O1041" s="85">
        <v>4040637</v>
      </c>
      <c r="P1041" s="85">
        <v>4040637</v>
      </c>
      <c r="Q1041" s="85">
        <v>0</v>
      </c>
      <c r="R1041" s="85"/>
    </row>
    <row r="1042" spans="1:18" ht="15">
      <c r="A1042" s="70">
        <v>38</v>
      </c>
      <c r="B1042" s="70"/>
      <c r="C1042" s="72" t="s">
        <v>1044</v>
      </c>
      <c r="D1042" s="72" t="s">
        <v>665</v>
      </c>
      <c r="E1042" s="85">
        <v>195335991.65999997</v>
      </c>
      <c r="F1042" s="85" t="s">
        <v>254</v>
      </c>
      <c r="G1042" s="85">
        <v>190135303.54999998</v>
      </c>
      <c r="H1042" s="85" t="s">
        <v>254</v>
      </c>
      <c r="I1042" s="85">
        <v>5200688.1099999994</v>
      </c>
      <c r="J1042" s="85">
        <v>0</v>
      </c>
      <c r="K1042" s="85" t="s">
        <v>254</v>
      </c>
      <c r="L1042" s="85" t="s">
        <v>254</v>
      </c>
      <c r="M1042" s="85">
        <v>0</v>
      </c>
      <c r="N1042" s="85" t="s">
        <v>254</v>
      </c>
      <c r="O1042" s="85">
        <v>0</v>
      </c>
      <c r="P1042" s="85">
        <v>0</v>
      </c>
      <c r="Q1042" s="85">
        <v>0</v>
      </c>
      <c r="R1042" s="85"/>
    </row>
    <row r="1043" spans="1:18" ht="15">
      <c r="A1043" s="70">
        <v>39</v>
      </c>
      <c r="B1043" s="70"/>
      <c r="C1043" s="72" t="s">
        <v>1045</v>
      </c>
      <c r="D1043" s="72" t="s">
        <v>667</v>
      </c>
      <c r="E1043" s="85">
        <v>115408991.71999991</v>
      </c>
      <c r="F1043" s="85" t="s">
        <v>254</v>
      </c>
      <c r="G1043" s="85">
        <v>111690733.23999991</v>
      </c>
      <c r="H1043" s="85" t="s">
        <v>254</v>
      </c>
      <c r="I1043" s="85">
        <v>3718258.4799999995</v>
      </c>
      <c r="J1043" s="85">
        <v>0</v>
      </c>
      <c r="K1043" s="85" t="s">
        <v>254</v>
      </c>
      <c r="L1043" s="85" t="s">
        <v>254</v>
      </c>
      <c r="M1043" s="85">
        <v>0</v>
      </c>
      <c r="N1043" s="85" t="s">
        <v>254</v>
      </c>
      <c r="O1043" s="85">
        <v>0</v>
      </c>
      <c r="P1043" s="85">
        <v>0</v>
      </c>
      <c r="Q1043" s="85">
        <v>0</v>
      </c>
      <c r="R1043" s="85"/>
    </row>
    <row r="1044" spans="1:18" ht="15">
      <c r="A1044" s="70">
        <v>40</v>
      </c>
      <c r="B1044" s="70"/>
      <c r="C1044" s="72" t="s">
        <v>1046</v>
      </c>
      <c r="D1044" s="72" t="s">
        <v>669</v>
      </c>
      <c r="E1044" s="85">
        <v>78445770.179999992</v>
      </c>
      <c r="F1044" s="85" t="s">
        <v>254</v>
      </c>
      <c r="G1044" s="85">
        <v>74142066.170000002</v>
      </c>
      <c r="H1044" s="85" t="s">
        <v>254</v>
      </c>
      <c r="I1044" s="85">
        <v>3938073.8000000007</v>
      </c>
      <c r="J1044" s="85">
        <v>365630.20999999996</v>
      </c>
      <c r="K1044" s="85" t="s">
        <v>254</v>
      </c>
      <c r="L1044" s="85" t="s">
        <v>254</v>
      </c>
      <c r="M1044" s="85">
        <v>4199.21</v>
      </c>
      <c r="N1044" s="85" t="s">
        <v>254</v>
      </c>
      <c r="O1044" s="85">
        <v>361430.99999999994</v>
      </c>
      <c r="P1044" s="85">
        <v>63157</v>
      </c>
      <c r="Q1044" s="85">
        <v>298273.99999999994</v>
      </c>
      <c r="R1044" s="85"/>
    </row>
    <row r="1045" spans="1:18" ht="15">
      <c r="A1045" s="70">
        <v>41</v>
      </c>
      <c r="B1045" s="70"/>
      <c r="C1045" s="72" t="s">
        <v>1047</v>
      </c>
      <c r="D1045" s="72" t="s">
        <v>671</v>
      </c>
      <c r="E1045" s="85">
        <v>205375.54999999888</v>
      </c>
      <c r="F1045" s="85" t="s">
        <v>254</v>
      </c>
      <c r="G1045" s="85">
        <v>205375.54999999888</v>
      </c>
      <c r="H1045" s="85" t="s">
        <v>254</v>
      </c>
      <c r="I1045" s="85">
        <v>0</v>
      </c>
      <c r="J1045" s="85">
        <v>0</v>
      </c>
      <c r="K1045" s="85" t="s">
        <v>254</v>
      </c>
      <c r="L1045" s="85" t="s">
        <v>254</v>
      </c>
      <c r="M1045" s="85">
        <v>0</v>
      </c>
      <c r="N1045" s="85" t="s">
        <v>254</v>
      </c>
      <c r="O1045" s="85">
        <v>0</v>
      </c>
      <c r="P1045" s="85">
        <v>0</v>
      </c>
      <c r="Q1045" s="85">
        <v>0</v>
      </c>
      <c r="R1045" s="85"/>
    </row>
    <row r="1046" spans="1:18" ht="15">
      <c r="A1046" s="70">
        <v>42</v>
      </c>
      <c r="B1046" s="70"/>
      <c r="C1046" s="72" t="s">
        <v>1048</v>
      </c>
      <c r="D1046" s="72" t="s">
        <v>681</v>
      </c>
      <c r="E1046" s="85">
        <v>315269602.51999998</v>
      </c>
      <c r="F1046" s="85" t="s">
        <v>254</v>
      </c>
      <c r="G1046" s="85">
        <v>302025557.59656966</v>
      </c>
      <c r="H1046" s="85" t="s">
        <v>254</v>
      </c>
      <c r="I1046" s="85">
        <v>12723148.67</v>
      </c>
      <c r="J1046" s="85">
        <v>520896.25343032228</v>
      </c>
      <c r="K1046" s="85" t="s">
        <v>254</v>
      </c>
      <c r="L1046" s="85" t="s">
        <v>254</v>
      </c>
      <c r="M1046" s="85">
        <v>3118.2799999999997</v>
      </c>
      <c r="N1046" s="85" t="s">
        <v>254</v>
      </c>
      <c r="O1046" s="85">
        <v>517777.97343032225</v>
      </c>
      <c r="P1046" s="85">
        <v>160696.99252554422</v>
      </c>
      <c r="Q1046" s="85">
        <v>357080.980904778</v>
      </c>
      <c r="R1046" s="85"/>
    </row>
    <row r="1047" spans="1:18" ht="15">
      <c r="A1047" s="70">
        <v>43</v>
      </c>
      <c r="B1047" s="70"/>
      <c r="C1047" s="72" t="s">
        <v>1049</v>
      </c>
      <c r="D1047" s="72" t="s">
        <v>697</v>
      </c>
      <c r="E1047" s="85">
        <v>29639575.749048043</v>
      </c>
      <c r="F1047" s="85" t="s">
        <v>254</v>
      </c>
      <c r="G1047" s="85">
        <v>28121528.5225452</v>
      </c>
      <c r="H1047" s="85" t="s">
        <v>254</v>
      </c>
      <c r="I1047" s="85">
        <v>1483189.6103697091</v>
      </c>
      <c r="J1047" s="85">
        <v>34857.616133134914</v>
      </c>
      <c r="K1047" s="85" t="s">
        <v>254</v>
      </c>
      <c r="L1047" s="85" t="s">
        <v>254</v>
      </c>
      <c r="M1047" s="85">
        <v>234.73142177195228</v>
      </c>
      <c r="N1047" s="85" t="s">
        <v>254</v>
      </c>
      <c r="O1047" s="85">
        <v>34622.88471136296</v>
      </c>
      <c r="P1047" s="85">
        <v>17956.95376555435</v>
      </c>
      <c r="Q1047" s="85">
        <v>16665.93094580861</v>
      </c>
      <c r="R1047" s="85"/>
    </row>
    <row r="1048" spans="1:18" ht="15">
      <c r="A1048" s="70">
        <v>44</v>
      </c>
      <c r="B1048" s="70"/>
      <c r="C1048" s="72" t="s">
        <v>1050</v>
      </c>
      <c r="D1048" s="72" t="s">
        <v>707</v>
      </c>
      <c r="E1048" s="85">
        <v>20064504.329999898</v>
      </c>
      <c r="F1048" s="85" t="s">
        <v>254</v>
      </c>
      <c r="G1048" s="85">
        <v>20040206.920334842</v>
      </c>
      <c r="H1048" s="85" t="s">
        <v>254</v>
      </c>
      <c r="I1048" s="85">
        <v>24293.973945364407</v>
      </c>
      <c r="J1048" s="85">
        <v>3.4357196924571358</v>
      </c>
      <c r="K1048" s="85" t="s">
        <v>254</v>
      </c>
      <c r="L1048" s="85" t="s">
        <v>254</v>
      </c>
      <c r="M1048" s="85">
        <v>3.4357196924571358</v>
      </c>
      <c r="N1048" s="85" t="s">
        <v>254</v>
      </c>
      <c r="O1048" s="85">
        <v>0</v>
      </c>
      <c r="P1048" s="85">
        <v>0</v>
      </c>
      <c r="Q1048" s="85">
        <v>0</v>
      </c>
      <c r="R1048" s="85"/>
    </row>
    <row r="1049" spans="1:18" ht="15">
      <c r="A1049" s="70">
        <v>45</v>
      </c>
      <c r="B1049" s="70"/>
      <c r="C1049" s="72" t="s">
        <v>1051</v>
      </c>
      <c r="D1049" s="72" t="s">
        <v>1052</v>
      </c>
      <c r="E1049" s="85">
        <v>2673128221.9699984</v>
      </c>
      <c r="F1049" s="85" t="s">
        <v>254</v>
      </c>
      <c r="G1049" s="85">
        <v>2477075699.0264153</v>
      </c>
      <c r="H1049" s="85" t="s">
        <v>254</v>
      </c>
      <c r="I1049" s="85">
        <v>187402859.47844315</v>
      </c>
      <c r="J1049" s="85">
        <v>8649663.4651400037</v>
      </c>
      <c r="K1049" s="85" t="s">
        <v>254</v>
      </c>
      <c r="L1049" s="85" t="s">
        <v>254</v>
      </c>
      <c r="M1049" s="85">
        <v>179470.67655362946</v>
      </c>
      <c r="N1049" s="85" t="s">
        <v>254</v>
      </c>
      <c r="O1049" s="85">
        <v>8470192.7885863744</v>
      </c>
      <c r="P1049" s="85">
        <v>5366372.6578239202</v>
      </c>
      <c r="Q1049" s="85">
        <v>3103820.1307624546</v>
      </c>
      <c r="R1049" s="85"/>
    </row>
    <row r="1050" spans="1:18" ht="15">
      <c r="A1050" s="70" t="s">
        <v>254</v>
      </c>
      <c r="B1050" s="70"/>
      <c r="C1050" s="72" t="s">
        <v>254</v>
      </c>
      <c r="D1050" s="72" t="s">
        <v>254</v>
      </c>
      <c r="E1050" s="85" t="s">
        <v>254</v>
      </c>
      <c r="F1050" s="85" t="s">
        <v>254</v>
      </c>
      <c r="G1050" s="85" t="s">
        <v>254</v>
      </c>
      <c r="H1050" s="85" t="s">
        <v>254</v>
      </c>
      <c r="I1050" s="85" t="s">
        <v>254</v>
      </c>
      <c r="J1050" s="85" t="s">
        <v>254</v>
      </c>
      <c r="K1050" s="85" t="s">
        <v>254</v>
      </c>
      <c r="L1050" s="85" t="s">
        <v>254</v>
      </c>
      <c r="M1050" s="85" t="s">
        <v>254</v>
      </c>
      <c r="N1050" s="85" t="s">
        <v>254</v>
      </c>
      <c r="O1050" s="85" t="s">
        <v>254</v>
      </c>
      <c r="P1050" s="85" t="s">
        <v>254</v>
      </c>
      <c r="Q1050" s="85" t="s">
        <v>254</v>
      </c>
      <c r="R1050" s="85"/>
    </row>
    <row r="1051" spans="1:18" ht="15">
      <c r="A1051" s="70" t="s">
        <v>254</v>
      </c>
      <c r="B1051" s="70"/>
      <c r="C1051" s="72" t="s">
        <v>1053</v>
      </c>
      <c r="D1051" s="72" t="s">
        <v>254</v>
      </c>
      <c r="E1051" s="85" t="s">
        <v>254</v>
      </c>
      <c r="F1051" s="85" t="s">
        <v>254</v>
      </c>
      <c r="G1051" s="85" t="s">
        <v>254</v>
      </c>
      <c r="H1051" s="85" t="s">
        <v>254</v>
      </c>
      <c r="I1051" s="85" t="s">
        <v>254</v>
      </c>
      <c r="J1051" s="85" t="s">
        <v>254</v>
      </c>
      <c r="K1051" s="85" t="s">
        <v>254</v>
      </c>
      <c r="L1051" s="85" t="s">
        <v>254</v>
      </c>
      <c r="M1051" s="85" t="s">
        <v>254</v>
      </c>
      <c r="N1051" s="85" t="s">
        <v>254</v>
      </c>
      <c r="O1051" s="85" t="s">
        <v>254</v>
      </c>
      <c r="P1051" s="85" t="s">
        <v>254</v>
      </c>
      <c r="Q1051" s="85" t="s">
        <v>254</v>
      </c>
      <c r="R1051" s="85"/>
    </row>
    <row r="1052" spans="1:18" ht="15">
      <c r="A1052" s="70" t="s">
        <v>254</v>
      </c>
      <c r="B1052" s="70"/>
      <c r="C1052" s="72" t="s">
        <v>925</v>
      </c>
      <c r="D1052" s="72" t="s">
        <v>254</v>
      </c>
      <c r="E1052" s="85" t="s">
        <v>254</v>
      </c>
      <c r="F1052" s="85" t="s">
        <v>254</v>
      </c>
      <c r="G1052" s="85" t="s">
        <v>254</v>
      </c>
      <c r="H1052" s="85" t="s">
        <v>254</v>
      </c>
      <c r="I1052" s="85" t="s">
        <v>254</v>
      </c>
      <c r="J1052" s="85" t="s">
        <v>254</v>
      </c>
      <c r="K1052" s="85" t="s">
        <v>254</v>
      </c>
      <c r="L1052" s="85" t="s">
        <v>254</v>
      </c>
      <c r="M1052" s="85" t="s">
        <v>254</v>
      </c>
      <c r="N1052" s="85" t="s">
        <v>254</v>
      </c>
      <c r="O1052" s="85" t="s">
        <v>254</v>
      </c>
      <c r="P1052" s="85" t="s">
        <v>254</v>
      </c>
      <c r="Q1052" s="85" t="s">
        <v>254</v>
      </c>
      <c r="R1052" s="85"/>
    </row>
    <row r="1053" spans="1:18" ht="15">
      <c r="A1053" s="70">
        <v>1</v>
      </c>
      <c r="B1053" s="70"/>
      <c r="C1053" s="72" t="s">
        <v>1054</v>
      </c>
      <c r="D1053" s="72" t="s">
        <v>716</v>
      </c>
      <c r="E1053" s="85">
        <v>756763.28</v>
      </c>
      <c r="F1053" s="85" t="s">
        <v>254</v>
      </c>
      <c r="G1053" s="85">
        <v>717528.06897273718</v>
      </c>
      <c r="H1053" s="85" t="s">
        <v>254</v>
      </c>
      <c r="I1053" s="85">
        <v>39229.663061902618</v>
      </c>
      <c r="J1053" s="85">
        <v>5.5479653601898766</v>
      </c>
      <c r="K1053" s="85" t="s">
        <v>254</v>
      </c>
      <c r="L1053" s="85" t="s">
        <v>254</v>
      </c>
      <c r="M1053" s="85">
        <v>5.5479653601898766</v>
      </c>
      <c r="N1053" s="85" t="s">
        <v>254</v>
      </c>
      <c r="O1053" s="85">
        <v>0</v>
      </c>
      <c r="P1053" s="85">
        <v>0</v>
      </c>
      <c r="Q1053" s="85">
        <v>0</v>
      </c>
      <c r="R1053" s="85"/>
    </row>
    <row r="1054" spans="1:18" ht="15">
      <c r="A1054" s="70">
        <v>2</v>
      </c>
      <c r="B1054" s="70"/>
      <c r="C1054" s="72" t="s">
        <v>1055</v>
      </c>
      <c r="D1054" s="72" t="s">
        <v>591</v>
      </c>
      <c r="E1054" s="85">
        <v>120370029.32353768</v>
      </c>
      <c r="F1054" s="85" t="s">
        <v>254</v>
      </c>
      <c r="G1054" s="85">
        <v>0</v>
      </c>
      <c r="H1054" s="85" t="s">
        <v>254</v>
      </c>
      <c r="I1054" s="85">
        <v>0</v>
      </c>
      <c r="J1054" s="85">
        <v>120370029.32353768</v>
      </c>
      <c r="K1054" s="85" t="s">
        <v>254</v>
      </c>
      <c r="L1054" s="85" t="s">
        <v>254</v>
      </c>
      <c r="M1054" s="85">
        <v>0</v>
      </c>
      <c r="N1054" s="85" t="s">
        <v>254</v>
      </c>
      <c r="O1054" s="85">
        <v>120370029.32353768</v>
      </c>
      <c r="P1054" s="85">
        <v>35751579.755548321</v>
      </c>
      <c r="Q1054" s="85">
        <v>84618449.567989364</v>
      </c>
      <c r="R1054" s="85"/>
    </row>
    <row r="1055" spans="1:18" ht="15">
      <c r="A1055" s="70">
        <v>3</v>
      </c>
      <c r="B1055" s="70"/>
      <c r="C1055" s="72" t="s">
        <v>1056</v>
      </c>
      <c r="D1055" s="72" t="s">
        <v>740</v>
      </c>
      <c r="E1055" s="85">
        <v>73896151.640477002</v>
      </c>
      <c r="F1055" s="85" t="s">
        <v>254</v>
      </c>
      <c r="G1055" s="85">
        <v>0</v>
      </c>
      <c r="H1055" s="85" t="s">
        <v>254</v>
      </c>
      <c r="I1055" s="85">
        <v>73896151.640477002</v>
      </c>
      <c r="J1055" s="85">
        <v>0</v>
      </c>
      <c r="K1055" s="85" t="s">
        <v>254</v>
      </c>
      <c r="L1055" s="85" t="s">
        <v>254</v>
      </c>
      <c r="M1055" s="85">
        <v>0</v>
      </c>
      <c r="N1055" s="85" t="s">
        <v>254</v>
      </c>
      <c r="O1055" s="85">
        <v>0</v>
      </c>
      <c r="P1055" s="85">
        <v>0</v>
      </c>
      <c r="Q1055" s="85">
        <v>0</v>
      </c>
      <c r="R1055" s="85"/>
    </row>
    <row r="1056" spans="1:18" ht="15">
      <c r="A1056" s="70">
        <v>4</v>
      </c>
      <c r="B1056" s="70"/>
      <c r="C1056" s="72" t="s">
        <v>1057</v>
      </c>
      <c r="D1056" s="72" t="s">
        <v>1058</v>
      </c>
      <c r="E1056" s="85">
        <v>1746402459.9131725</v>
      </c>
      <c r="F1056" s="85" t="s">
        <v>254</v>
      </c>
      <c r="G1056" s="85">
        <v>1552133792.7142167</v>
      </c>
      <c r="H1056" s="85" t="s">
        <v>254</v>
      </c>
      <c r="I1056" s="85">
        <v>73896151.640477002</v>
      </c>
      <c r="J1056" s="85">
        <v>120372515.55847889</v>
      </c>
      <c r="K1056" s="85" t="s">
        <v>254</v>
      </c>
      <c r="L1056" s="85" t="s">
        <v>254</v>
      </c>
      <c r="M1056" s="85">
        <v>2486.2349412195922</v>
      </c>
      <c r="N1056" s="85" t="s">
        <v>254</v>
      </c>
      <c r="O1056" s="85">
        <v>120370029.32353768</v>
      </c>
      <c r="P1056" s="85">
        <v>35751579.755548321</v>
      </c>
      <c r="Q1056" s="85">
        <v>84618449.567989364</v>
      </c>
      <c r="R1056" s="85"/>
    </row>
    <row r="1057" spans="1:18" ht="15">
      <c r="A1057" s="70">
        <v>5</v>
      </c>
      <c r="B1057" s="70"/>
      <c r="C1057" s="72" t="s">
        <v>1059</v>
      </c>
      <c r="D1057" s="72" t="s">
        <v>731</v>
      </c>
      <c r="E1057" s="85">
        <v>1</v>
      </c>
      <c r="F1057" s="85" t="s">
        <v>254</v>
      </c>
      <c r="G1057" s="85">
        <v>0</v>
      </c>
      <c r="H1057" s="85" t="s">
        <v>254</v>
      </c>
      <c r="I1057" s="85">
        <v>1</v>
      </c>
      <c r="J1057" s="85">
        <v>0</v>
      </c>
      <c r="K1057" s="85" t="s">
        <v>254</v>
      </c>
      <c r="L1057" s="85" t="s">
        <v>254</v>
      </c>
      <c r="M1057" s="85">
        <v>0</v>
      </c>
      <c r="N1057" s="85" t="s">
        <v>254</v>
      </c>
      <c r="O1057" s="85">
        <v>0</v>
      </c>
      <c r="P1057" s="85">
        <v>0</v>
      </c>
      <c r="Q1057" s="85">
        <v>0</v>
      </c>
      <c r="R1057" s="85"/>
    </row>
    <row r="1058" spans="1:18" ht="15">
      <c r="A1058" s="70">
        <v>6</v>
      </c>
      <c r="B1058" s="70"/>
      <c r="C1058" s="72" t="s">
        <v>1060</v>
      </c>
      <c r="D1058" s="72" t="s">
        <v>1061</v>
      </c>
      <c r="E1058" s="85">
        <v>1626032430.5896349</v>
      </c>
      <c r="F1058" s="85" t="s">
        <v>254</v>
      </c>
      <c r="G1058" s="85">
        <v>1552133792.7142167</v>
      </c>
      <c r="H1058" s="85" t="s">
        <v>254</v>
      </c>
      <c r="I1058" s="85">
        <v>73896151.640477002</v>
      </c>
      <c r="J1058" s="85">
        <v>2486.2349412195922</v>
      </c>
      <c r="K1058" s="85" t="s">
        <v>254</v>
      </c>
      <c r="L1058" s="85" t="s">
        <v>254</v>
      </c>
      <c r="M1058" s="85">
        <v>2486.2349412195922</v>
      </c>
      <c r="N1058" s="85" t="s">
        <v>254</v>
      </c>
      <c r="O1058" s="85">
        <v>0</v>
      </c>
      <c r="P1058" s="85">
        <v>0</v>
      </c>
      <c r="Q1058" s="85">
        <v>0</v>
      </c>
      <c r="R1058" s="85"/>
    </row>
    <row r="1059" spans="1:18" ht="15">
      <c r="A1059" s="70">
        <v>7</v>
      </c>
      <c r="B1059" s="70"/>
      <c r="C1059" s="72" t="s">
        <v>1062</v>
      </c>
      <c r="D1059" s="72" t="s">
        <v>751</v>
      </c>
      <c r="E1059" s="85">
        <v>1671956888.0999999</v>
      </c>
      <c r="F1059" s="85" t="s">
        <v>254</v>
      </c>
      <c r="G1059" s="85">
        <v>1667037042.1265695</v>
      </c>
      <c r="H1059" s="85" t="s">
        <v>254</v>
      </c>
      <c r="I1059" s="85">
        <v>0</v>
      </c>
      <c r="J1059" s="85">
        <v>4919845.9734303225</v>
      </c>
      <c r="K1059" s="85" t="s">
        <v>254</v>
      </c>
      <c r="L1059" s="85" t="s">
        <v>254</v>
      </c>
      <c r="M1059" s="85">
        <v>0</v>
      </c>
      <c r="N1059" s="85" t="s">
        <v>254</v>
      </c>
      <c r="O1059" s="85">
        <v>4919845.9734303225</v>
      </c>
      <c r="P1059" s="85">
        <v>4264490.992525544</v>
      </c>
      <c r="Q1059" s="85">
        <v>655354.980904778</v>
      </c>
      <c r="R1059" s="85"/>
    </row>
    <row r="1060" spans="1:18" ht="15">
      <c r="A1060" s="70">
        <v>8</v>
      </c>
      <c r="B1060" s="70"/>
      <c r="C1060" s="72" t="s">
        <v>1063</v>
      </c>
      <c r="D1060" s="72" t="s">
        <v>753</v>
      </c>
      <c r="E1060" s="85">
        <v>94734958.340000004</v>
      </c>
      <c r="F1060" s="85" t="s">
        <v>254</v>
      </c>
      <c r="G1060" s="85">
        <v>0</v>
      </c>
      <c r="H1060" s="85" t="s">
        <v>254</v>
      </c>
      <c r="I1060" s="85">
        <v>94734958.340000004</v>
      </c>
      <c r="J1060" s="85">
        <v>0</v>
      </c>
      <c r="K1060" s="85" t="s">
        <v>254</v>
      </c>
      <c r="L1060" s="85" t="s">
        <v>254</v>
      </c>
      <c r="M1060" s="85">
        <v>0</v>
      </c>
      <c r="N1060" s="85" t="s">
        <v>254</v>
      </c>
      <c r="O1060" s="85">
        <v>0</v>
      </c>
      <c r="P1060" s="85">
        <v>0</v>
      </c>
      <c r="Q1060" s="85">
        <v>0</v>
      </c>
      <c r="R1060" s="85"/>
    </row>
    <row r="1061" spans="1:18" ht="15">
      <c r="A1061" s="70">
        <v>9</v>
      </c>
      <c r="B1061" s="70"/>
      <c r="C1061" s="72" t="s">
        <v>1064</v>
      </c>
      <c r="D1061" s="72" t="s">
        <v>755</v>
      </c>
      <c r="E1061" s="85">
        <v>176624.25999999998</v>
      </c>
      <c r="F1061" s="85" t="s">
        <v>254</v>
      </c>
      <c r="G1061" s="85">
        <v>0</v>
      </c>
      <c r="H1061" s="85" t="s">
        <v>254</v>
      </c>
      <c r="I1061" s="85">
        <v>0</v>
      </c>
      <c r="J1061" s="85">
        <v>176624.25999999998</v>
      </c>
      <c r="K1061" s="85" t="s">
        <v>254</v>
      </c>
      <c r="L1061" s="85" t="s">
        <v>254</v>
      </c>
      <c r="M1061" s="85">
        <v>176624.25999999998</v>
      </c>
      <c r="N1061" s="85" t="s">
        <v>254</v>
      </c>
      <c r="O1061" s="85">
        <v>0</v>
      </c>
      <c r="P1061" s="85">
        <v>0</v>
      </c>
      <c r="Q1061" s="85">
        <v>0</v>
      </c>
      <c r="R1061" s="85"/>
    </row>
    <row r="1062" spans="1:18" ht="15">
      <c r="A1062" s="70">
        <v>10</v>
      </c>
      <c r="B1062" s="70"/>
      <c r="C1062" s="72" t="s">
        <v>477</v>
      </c>
      <c r="D1062" s="72" t="s">
        <v>764</v>
      </c>
      <c r="E1062" s="85">
        <v>6200374678.5225954</v>
      </c>
      <c r="F1062" s="85" t="s">
        <v>254</v>
      </c>
      <c r="G1062" s="85">
        <v>5516788365.6256924</v>
      </c>
      <c r="H1062" s="85" t="s">
        <v>254</v>
      </c>
      <c r="I1062" s="85">
        <v>289990504.83237052</v>
      </c>
      <c r="J1062" s="85">
        <v>393595808.06453186</v>
      </c>
      <c r="K1062" s="85" t="s">
        <v>254</v>
      </c>
      <c r="L1062" s="85" t="s">
        <v>254</v>
      </c>
      <c r="M1062" s="85">
        <v>52485.715533620445</v>
      </c>
      <c r="N1062" s="85" t="s">
        <v>254</v>
      </c>
      <c r="O1062" s="85">
        <v>393543322.34899825</v>
      </c>
      <c r="P1062" s="85">
        <v>123929927.38090874</v>
      </c>
      <c r="Q1062" s="85">
        <v>269613394.96808952</v>
      </c>
      <c r="R1062" s="85"/>
    </row>
    <row r="1063" spans="1:18" ht="15">
      <c r="A1063" s="70">
        <v>11</v>
      </c>
      <c r="B1063" s="70"/>
      <c r="C1063" s="72" t="s">
        <v>550</v>
      </c>
      <c r="D1063" s="72" t="s">
        <v>786</v>
      </c>
      <c r="E1063" s="85">
        <v>5319429841.7278214</v>
      </c>
      <c r="F1063" s="85" t="s">
        <v>254</v>
      </c>
      <c r="G1063" s="85">
        <v>4745793886.0064859</v>
      </c>
      <c r="H1063" s="85" t="s">
        <v>254</v>
      </c>
      <c r="I1063" s="85">
        <v>234899151.96896917</v>
      </c>
      <c r="J1063" s="85">
        <v>338736803.75236559</v>
      </c>
      <c r="K1063" s="85" t="s">
        <v>254</v>
      </c>
      <c r="L1063" s="85" t="s">
        <v>254</v>
      </c>
      <c r="M1063" s="85">
        <v>31072.058733252616</v>
      </c>
      <c r="N1063" s="85" t="s">
        <v>254</v>
      </c>
      <c r="O1063" s="85">
        <v>338705731.69363236</v>
      </c>
      <c r="P1063" s="85">
        <v>106681934.76482007</v>
      </c>
      <c r="Q1063" s="85">
        <v>232023796.92881227</v>
      </c>
      <c r="R1063" s="85"/>
    </row>
    <row r="1064" spans="1:18" ht="15">
      <c r="A1064" s="70">
        <v>12</v>
      </c>
      <c r="B1064" s="70"/>
      <c r="C1064" s="72" t="s">
        <v>1065</v>
      </c>
      <c r="D1064" s="72" t="s">
        <v>790</v>
      </c>
      <c r="E1064" s="85">
        <v>462.87</v>
      </c>
      <c r="F1064" s="85" t="s">
        <v>254</v>
      </c>
      <c r="G1064" s="85">
        <v>0</v>
      </c>
      <c r="H1064" s="85" t="s">
        <v>254</v>
      </c>
      <c r="I1064" s="85">
        <v>0</v>
      </c>
      <c r="J1064" s="85">
        <v>462.87</v>
      </c>
      <c r="K1064" s="85" t="s">
        <v>254</v>
      </c>
      <c r="L1064" s="85" t="s">
        <v>254</v>
      </c>
      <c r="M1064" s="85">
        <v>0</v>
      </c>
      <c r="N1064" s="85" t="s">
        <v>254</v>
      </c>
      <c r="O1064" s="85">
        <v>462.87</v>
      </c>
      <c r="P1064" s="85">
        <v>143.65581532469008</v>
      </c>
      <c r="Q1064" s="85">
        <v>319.21418467530992</v>
      </c>
      <c r="R1064" s="85"/>
    </row>
    <row r="1065" spans="1:18" ht="15">
      <c r="A1065" s="70">
        <v>13</v>
      </c>
      <c r="B1065" s="70"/>
      <c r="C1065" s="72" t="s">
        <v>1066</v>
      </c>
      <c r="D1065" s="72" t="s">
        <v>1067</v>
      </c>
      <c r="E1065" s="85">
        <v>-1315153</v>
      </c>
      <c r="F1065" s="85" t="s">
        <v>254</v>
      </c>
      <c r="G1065" s="85">
        <v>-1188541</v>
      </c>
      <c r="H1065" s="85" t="s">
        <v>254</v>
      </c>
      <c r="I1065" s="85">
        <v>-42129</v>
      </c>
      <c r="J1065" s="85">
        <v>-84483</v>
      </c>
      <c r="K1065" s="85" t="s">
        <v>254</v>
      </c>
      <c r="L1065" s="85" t="s">
        <v>254</v>
      </c>
      <c r="M1065" s="85">
        <v>-30</v>
      </c>
      <c r="N1065" s="85" t="s">
        <v>254</v>
      </c>
      <c r="O1065" s="85">
        <v>-84453</v>
      </c>
      <c r="P1065" s="85">
        <v>-26622</v>
      </c>
      <c r="Q1065" s="85">
        <v>-57831</v>
      </c>
      <c r="R1065" s="85"/>
    </row>
    <row r="1066" spans="1:18" ht="15">
      <c r="A1066" s="70">
        <v>14</v>
      </c>
      <c r="B1066" s="70"/>
      <c r="C1066" s="72" t="s">
        <v>1068</v>
      </c>
      <c r="D1066" s="72" t="s">
        <v>1069</v>
      </c>
      <c r="E1066" s="85">
        <v>436833085.52079511</v>
      </c>
      <c r="F1066" s="85" t="s">
        <v>254</v>
      </c>
      <c r="G1066" s="85">
        <v>383576876.37900853</v>
      </c>
      <c r="H1066" s="85" t="s">
        <v>254</v>
      </c>
      <c r="I1066" s="85">
        <v>16200111.653160609</v>
      </c>
      <c r="J1066" s="85">
        <v>37056097.488625944</v>
      </c>
      <c r="K1066" s="85" t="s">
        <v>254</v>
      </c>
      <c r="L1066" s="85" t="s">
        <v>254</v>
      </c>
      <c r="M1066" s="85">
        <v>1779.2340977904464</v>
      </c>
      <c r="N1066" s="85" t="s">
        <v>254</v>
      </c>
      <c r="O1066" s="85">
        <v>37054318.25452815</v>
      </c>
      <c r="P1066" s="85">
        <v>11679048.331618967</v>
      </c>
      <c r="Q1066" s="85">
        <v>25375269.922909182</v>
      </c>
      <c r="R1066" s="85"/>
    </row>
    <row r="1067" spans="1:18" ht="15">
      <c r="A1067" s="70">
        <v>15</v>
      </c>
      <c r="B1067" s="70"/>
      <c r="C1067" s="72" t="s">
        <v>1070</v>
      </c>
      <c r="D1067" s="72" t="s">
        <v>1071</v>
      </c>
      <c r="E1067" s="85">
        <v>64038615.010000005</v>
      </c>
      <c r="F1067" s="85" t="s">
        <v>254</v>
      </c>
      <c r="G1067" s="85">
        <v>56294665.640665151</v>
      </c>
      <c r="H1067" s="85" t="s">
        <v>254</v>
      </c>
      <c r="I1067" s="85">
        <v>2359147.342522712</v>
      </c>
      <c r="J1067" s="85">
        <v>5384802.0268121436</v>
      </c>
      <c r="K1067" s="85" t="s">
        <v>254</v>
      </c>
      <c r="L1067" s="85" t="s">
        <v>254</v>
      </c>
      <c r="M1067" s="85">
        <v>255.58080160534291</v>
      </c>
      <c r="N1067" s="85" t="s">
        <v>254</v>
      </c>
      <c r="O1067" s="85">
        <v>5384546.4460105384</v>
      </c>
      <c r="P1067" s="85">
        <v>1696107.7736463982</v>
      </c>
      <c r="Q1067" s="85">
        <v>3688438.6723641404</v>
      </c>
      <c r="R1067" s="85"/>
    </row>
    <row r="1068" spans="1:18" ht="15">
      <c r="A1068" s="70">
        <v>16</v>
      </c>
      <c r="B1068" s="70"/>
      <c r="C1068" s="72" t="s">
        <v>1072</v>
      </c>
      <c r="D1068" s="72" t="s">
        <v>1073</v>
      </c>
      <c r="E1068" s="85">
        <v>39921.319999999898</v>
      </c>
      <c r="F1068" s="85" t="s">
        <v>254</v>
      </c>
      <c r="G1068" s="85">
        <v>34873.66874279896</v>
      </c>
      <c r="H1068" s="85" t="s">
        <v>254</v>
      </c>
      <c r="I1068" s="85">
        <v>1611.891036808805</v>
      </c>
      <c r="J1068" s="85">
        <v>3435.7602203921329</v>
      </c>
      <c r="K1068" s="85" t="s">
        <v>254</v>
      </c>
      <c r="L1068" s="85" t="s">
        <v>254</v>
      </c>
      <c r="M1068" s="85">
        <v>0.12254351955892824</v>
      </c>
      <c r="N1068" s="85" t="s">
        <v>254</v>
      </c>
      <c r="O1068" s="85">
        <v>3435.637676872574</v>
      </c>
      <c r="P1068" s="85">
        <v>1066.2806654813526</v>
      </c>
      <c r="Q1068" s="85">
        <v>2369.3570113912215</v>
      </c>
      <c r="R1068" s="85"/>
    </row>
    <row r="1069" spans="1:18" ht="15">
      <c r="A1069" s="70">
        <v>17</v>
      </c>
      <c r="B1069" s="70"/>
      <c r="C1069" s="72" t="s">
        <v>1074</v>
      </c>
      <c r="D1069" s="72" t="s">
        <v>1075</v>
      </c>
      <c r="E1069" s="85">
        <v>297122.65999999997</v>
      </c>
      <c r="F1069" s="85" t="s">
        <v>254</v>
      </c>
      <c r="G1069" s="85">
        <v>259955.3383909518</v>
      </c>
      <c r="H1069" s="85" t="s">
        <v>254</v>
      </c>
      <c r="I1069" s="85">
        <v>11726.843911834601</v>
      </c>
      <c r="J1069" s="85">
        <v>25440.47769721357</v>
      </c>
      <c r="K1069" s="85" t="s">
        <v>254</v>
      </c>
      <c r="L1069" s="85" t="s">
        <v>254</v>
      </c>
      <c r="M1069" s="85">
        <v>0.99269589198306751</v>
      </c>
      <c r="N1069" s="85" t="s">
        <v>254</v>
      </c>
      <c r="O1069" s="85">
        <v>25439.485001321587</v>
      </c>
      <c r="P1069" s="85">
        <v>7928.1333109896032</v>
      </c>
      <c r="Q1069" s="85">
        <v>17511.351690331983</v>
      </c>
      <c r="R1069" s="85"/>
    </row>
    <row r="1070" spans="1:18" ht="15">
      <c r="A1070" s="70">
        <v>18</v>
      </c>
      <c r="B1070" s="70"/>
      <c r="C1070" s="72" t="s">
        <v>1076</v>
      </c>
      <c r="D1070" s="72" t="s">
        <v>1077</v>
      </c>
      <c r="E1070" s="85">
        <v>131463355.30899999</v>
      </c>
      <c r="F1070" s="85" t="s">
        <v>254</v>
      </c>
      <c r="G1070" s="85">
        <v>115604203.75204113</v>
      </c>
      <c r="H1070" s="85" t="s">
        <v>254</v>
      </c>
      <c r="I1070" s="85">
        <v>4794246.7986226948</v>
      </c>
      <c r="J1070" s="85">
        <v>11064904.75833616</v>
      </c>
      <c r="K1070" s="85" t="s">
        <v>254</v>
      </c>
      <c r="L1070" s="85" t="s">
        <v>254</v>
      </c>
      <c r="M1070" s="85">
        <v>557.01139599138605</v>
      </c>
      <c r="N1070" s="85" t="s">
        <v>254</v>
      </c>
      <c r="O1070" s="85">
        <v>11064347.746940169</v>
      </c>
      <c r="P1070" s="85">
        <v>3496270.4706940134</v>
      </c>
      <c r="Q1070" s="85">
        <v>7568077.2762461556</v>
      </c>
      <c r="R1070" s="85"/>
    </row>
    <row r="1071" spans="1:18" ht="15">
      <c r="A1071" s="70">
        <v>19</v>
      </c>
      <c r="B1071" s="70"/>
      <c r="C1071" s="72" t="s">
        <v>1078</v>
      </c>
      <c r="D1071" s="72" t="s">
        <v>1079</v>
      </c>
      <c r="E1071" s="85">
        <v>9814602.4900000002</v>
      </c>
      <c r="F1071" s="85" t="s">
        <v>254</v>
      </c>
      <c r="G1071" s="85">
        <v>8577822.3389181141</v>
      </c>
      <c r="H1071" s="85" t="s">
        <v>254</v>
      </c>
      <c r="I1071" s="85">
        <v>396418.11860914447</v>
      </c>
      <c r="J1071" s="85">
        <v>840362.03247274121</v>
      </c>
      <c r="K1071" s="85" t="s">
        <v>254</v>
      </c>
      <c r="L1071" s="85" t="s">
        <v>254</v>
      </c>
      <c r="M1071" s="85">
        <v>30.141839888276046</v>
      </c>
      <c r="N1071" s="85" t="s">
        <v>254</v>
      </c>
      <c r="O1071" s="85">
        <v>840331.89063285291</v>
      </c>
      <c r="P1071" s="85">
        <v>260804.46538380283</v>
      </c>
      <c r="Q1071" s="85">
        <v>579527.42524905014</v>
      </c>
      <c r="R1071" s="85"/>
    </row>
    <row r="1072" spans="1:18" ht="15">
      <c r="A1072" s="70">
        <v>20</v>
      </c>
      <c r="B1072" s="70"/>
      <c r="C1072" s="72" t="s">
        <v>1080</v>
      </c>
      <c r="D1072" s="72" t="s">
        <v>1081</v>
      </c>
      <c r="E1072" s="85">
        <v>0</v>
      </c>
      <c r="F1072" s="85" t="s">
        <v>254</v>
      </c>
      <c r="G1072" s="85">
        <v>0</v>
      </c>
      <c r="H1072" s="85" t="s">
        <v>254</v>
      </c>
      <c r="I1072" s="85">
        <v>0</v>
      </c>
      <c r="J1072" s="85">
        <v>0</v>
      </c>
      <c r="K1072" s="85" t="s">
        <v>254</v>
      </c>
      <c r="L1072" s="85" t="s">
        <v>254</v>
      </c>
      <c r="M1072" s="85">
        <v>0</v>
      </c>
      <c r="N1072" s="85" t="s">
        <v>254</v>
      </c>
      <c r="O1072" s="85">
        <v>0</v>
      </c>
      <c r="P1072" s="85">
        <v>0</v>
      </c>
      <c r="Q1072" s="85">
        <v>0</v>
      </c>
      <c r="R1072" s="85"/>
    </row>
    <row r="1073" spans="1:18" ht="15">
      <c r="A1073" s="70">
        <v>21</v>
      </c>
      <c r="B1073" s="70"/>
      <c r="C1073" s="72" t="s">
        <v>1082</v>
      </c>
      <c r="D1073" s="72" t="s">
        <v>1083</v>
      </c>
      <c r="E1073" s="85">
        <v>0</v>
      </c>
      <c r="F1073" s="85" t="s">
        <v>254</v>
      </c>
      <c r="G1073" s="85">
        <v>0</v>
      </c>
      <c r="H1073" s="85" t="s">
        <v>254</v>
      </c>
      <c r="I1073" s="85">
        <v>0</v>
      </c>
      <c r="J1073" s="85">
        <v>0</v>
      </c>
      <c r="K1073" s="85" t="s">
        <v>254</v>
      </c>
      <c r="L1073" s="85" t="s">
        <v>254</v>
      </c>
      <c r="M1073" s="85">
        <v>0</v>
      </c>
      <c r="N1073" s="85" t="s">
        <v>254</v>
      </c>
      <c r="O1073" s="85">
        <v>0</v>
      </c>
      <c r="P1073" s="85">
        <v>0</v>
      </c>
      <c r="Q1073" s="85">
        <v>0</v>
      </c>
      <c r="R1073" s="85"/>
    </row>
    <row r="1074" spans="1:18" ht="15">
      <c r="A1074" s="70">
        <v>22</v>
      </c>
      <c r="B1074" s="70"/>
      <c r="C1074" s="72" t="s">
        <v>1084</v>
      </c>
      <c r="D1074" s="72" t="s">
        <v>1085</v>
      </c>
      <c r="E1074" s="85">
        <v>0</v>
      </c>
      <c r="F1074" s="85" t="s">
        <v>254</v>
      </c>
      <c r="G1074" s="85">
        <v>0</v>
      </c>
      <c r="H1074" s="85" t="s">
        <v>254</v>
      </c>
      <c r="I1074" s="85">
        <v>0</v>
      </c>
      <c r="J1074" s="85">
        <v>0</v>
      </c>
      <c r="K1074" s="85" t="s">
        <v>254</v>
      </c>
      <c r="L1074" s="85" t="s">
        <v>254</v>
      </c>
      <c r="M1074" s="85">
        <v>0</v>
      </c>
      <c r="N1074" s="85" t="s">
        <v>254</v>
      </c>
      <c r="O1074" s="85">
        <v>0</v>
      </c>
      <c r="P1074" s="85">
        <v>0</v>
      </c>
      <c r="Q1074" s="85">
        <v>0</v>
      </c>
      <c r="R1074" s="85"/>
    </row>
    <row r="1075" spans="1:18" ht="15">
      <c r="A1075" s="70">
        <v>23</v>
      </c>
      <c r="B1075" s="70"/>
      <c r="C1075" s="72" t="s">
        <v>1086</v>
      </c>
      <c r="D1075" s="72" t="s">
        <v>1087</v>
      </c>
      <c r="E1075" s="85">
        <v>0</v>
      </c>
      <c r="F1075" s="85" t="s">
        <v>254</v>
      </c>
      <c r="G1075" s="85">
        <v>0</v>
      </c>
      <c r="H1075" s="85" t="s">
        <v>254</v>
      </c>
      <c r="I1075" s="85">
        <v>0</v>
      </c>
      <c r="J1075" s="85">
        <v>0</v>
      </c>
      <c r="K1075" s="85" t="s">
        <v>254</v>
      </c>
      <c r="L1075" s="85" t="s">
        <v>254</v>
      </c>
      <c r="M1075" s="85">
        <v>0</v>
      </c>
      <c r="N1075" s="85" t="s">
        <v>254</v>
      </c>
      <c r="O1075" s="85">
        <v>0</v>
      </c>
      <c r="P1075" s="85">
        <v>0</v>
      </c>
      <c r="Q1075" s="85">
        <v>0</v>
      </c>
      <c r="R1075" s="85"/>
    </row>
    <row r="1076" spans="1:18" ht="15">
      <c r="A1076" s="70">
        <v>24</v>
      </c>
      <c r="B1076" s="70"/>
      <c r="C1076" s="72" t="s">
        <v>1088</v>
      </c>
      <c r="D1076" s="72" t="s">
        <v>1089</v>
      </c>
      <c r="E1076" s="85">
        <v>0</v>
      </c>
      <c r="F1076" s="85" t="s">
        <v>254</v>
      </c>
      <c r="G1076" s="85">
        <v>0</v>
      </c>
      <c r="H1076" s="85" t="s">
        <v>254</v>
      </c>
      <c r="I1076" s="85">
        <v>0</v>
      </c>
      <c r="J1076" s="85">
        <v>0</v>
      </c>
      <c r="K1076" s="85" t="s">
        <v>254</v>
      </c>
      <c r="L1076" s="85" t="s">
        <v>254</v>
      </c>
      <c r="M1076" s="85">
        <v>0</v>
      </c>
      <c r="N1076" s="85" t="s">
        <v>254</v>
      </c>
      <c r="O1076" s="85">
        <v>0</v>
      </c>
      <c r="P1076" s="85">
        <v>0</v>
      </c>
      <c r="Q1076" s="85">
        <v>0</v>
      </c>
      <c r="R1076" s="85"/>
    </row>
    <row r="1077" spans="1:18" ht="15">
      <c r="A1077" s="70">
        <v>25</v>
      </c>
      <c r="B1077" s="70"/>
      <c r="C1077" s="72" t="s">
        <v>1090</v>
      </c>
      <c r="D1077" s="72" t="s">
        <v>1091</v>
      </c>
      <c r="E1077" s="85">
        <v>0</v>
      </c>
      <c r="F1077" s="85" t="s">
        <v>254</v>
      </c>
      <c r="G1077" s="85">
        <v>0</v>
      </c>
      <c r="H1077" s="85" t="s">
        <v>254</v>
      </c>
      <c r="I1077" s="85">
        <v>0</v>
      </c>
      <c r="J1077" s="85">
        <v>0</v>
      </c>
      <c r="K1077" s="85" t="s">
        <v>254</v>
      </c>
      <c r="L1077" s="85" t="s">
        <v>254</v>
      </c>
      <c r="M1077" s="85">
        <v>0</v>
      </c>
      <c r="N1077" s="85" t="s">
        <v>254</v>
      </c>
      <c r="O1077" s="85">
        <v>0</v>
      </c>
      <c r="P1077" s="85">
        <v>0</v>
      </c>
      <c r="Q1077" s="85">
        <v>0</v>
      </c>
      <c r="R1077" s="85"/>
    </row>
    <row r="1078" spans="1:18" ht="15">
      <c r="A1078" s="70">
        <v>26</v>
      </c>
      <c r="B1078" s="70"/>
      <c r="C1078" s="72" t="s">
        <v>1092</v>
      </c>
      <c r="D1078" s="72" t="s">
        <v>1093</v>
      </c>
      <c r="E1078" s="85">
        <v>17621118.549999986</v>
      </c>
      <c r="F1078" s="85" t="s">
        <v>254</v>
      </c>
      <c r="G1078" s="85">
        <v>15812161.846186886</v>
      </c>
      <c r="H1078" s="85" t="s">
        <v>254</v>
      </c>
      <c r="I1078" s="85">
        <v>1808901.1410336653</v>
      </c>
      <c r="J1078" s="85">
        <v>55.562779435623668</v>
      </c>
      <c r="K1078" s="85" t="s">
        <v>254</v>
      </c>
      <c r="L1078" s="85" t="s">
        <v>254</v>
      </c>
      <c r="M1078" s="85">
        <v>55.562779435623668</v>
      </c>
      <c r="N1078" s="85" t="s">
        <v>254</v>
      </c>
      <c r="O1078" s="85">
        <v>0</v>
      </c>
      <c r="P1078" s="85">
        <v>0</v>
      </c>
      <c r="Q1078" s="85">
        <v>0</v>
      </c>
      <c r="R1078" s="85"/>
    </row>
    <row r="1079" spans="1:18" ht="15">
      <c r="A1079" s="70">
        <v>27</v>
      </c>
      <c r="B1079" s="70"/>
      <c r="C1079" s="72" t="s">
        <v>1094</v>
      </c>
      <c r="D1079" s="72" t="s">
        <v>1095</v>
      </c>
      <c r="E1079" s="85">
        <v>8952220.6499999873</v>
      </c>
      <c r="F1079" s="85" t="s">
        <v>254</v>
      </c>
      <c r="G1079" s="85">
        <v>8041041.7959985146</v>
      </c>
      <c r="H1079" s="85" t="s">
        <v>254</v>
      </c>
      <c r="I1079" s="85">
        <v>911150.86680333561</v>
      </c>
      <c r="J1079" s="85">
        <v>27.987198137230241</v>
      </c>
      <c r="K1079" s="85" t="s">
        <v>254</v>
      </c>
      <c r="L1079" s="85" t="s">
        <v>254</v>
      </c>
      <c r="M1079" s="85">
        <v>27.987198137230241</v>
      </c>
      <c r="N1079" s="85" t="s">
        <v>254</v>
      </c>
      <c r="O1079" s="85">
        <v>0</v>
      </c>
      <c r="P1079" s="85">
        <v>0</v>
      </c>
      <c r="Q1079" s="85">
        <v>0</v>
      </c>
      <c r="R1079" s="85"/>
    </row>
    <row r="1080" spans="1:18" ht="15">
      <c r="A1080" s="70">
        <v>28</v>
      </c>
      <c r="B1080" s="70"/>
      <c r="C1080" s="72" t="s">
        <v>1096</v>
      </c>
      <c r="D1080" s="72" t="s">
        <v>639</v>
      </c>
      <c r="E1080" s="85">
        <v>7370548.4800000004</v>
      </c>
      <c r="F1080" s="85" t="s">
        <v>254</v>
      </c>
      <c r="G1080" s="85">
        <v>6613899.4031639863</v>
      </c>
      <c r="H1080" s="85" t="s">
        <v>254</v>
      </c>
      <c r="I1080" s="85">
        <v>756625.83607758291</v>
      </c>
      <c r="J1080" s="85">
        <v>23.240758431524856</v>
      </c>
      <c r="K1080" s="85" t="s">
        <v>254</v>
      </c>
      <c r="L1080" s="85" t="s">
        <v>254</v>
      </c>
      <c r="M1080" s="85">
        <v>23.240758431524856</v>
      </c>
      <c r="N1080" s="85" t="s">
        <v>254</v>
      </c>
      <c r="O1080" s="85">
        <v>0</v>
      </c>
      <c r="P1080" s="85">
        <v>0</v>
      </c>
      <c r="Q1080" s="85">
        <v>0</v>
      </c>
      <c r="R1080" s="85"/>
    </row>
    <row r="1081" spans="1:18" ht="15">
      <c r="A1081" s="70">
        <v>29</v>
      </c>
      <c r="B1081" s="70"/>
      <c r="C1081" s="72" t="s">
        <v>1097</v>
      </c>
      <c r="D1081" s="72" t="s">
        <v>1098</v>
      </c>
      <c r="E1081" s="85">
        <v>0</v>
      </c>
      <c r="F1081" s="85" t="s">
        <v>254</v>
      </c>
      <c r="G1081" s="85">
        <v>0</v>
      </c>
      <c r="H1081" s="85" t="s">
        <v>254</v>
      </c>
      <c r="I1081" s="85">
        <v>0</v>
      </c>
      <c r="J1081" s="85">
        <v>0</v>
      </c>
      <c r="K1081" s="85" t="s">
        <v>254</v>
      </c>
      <c r="L1081" s="85" t="s">
        <v>254</v>
      </c>
      <c r="M1081" s="85">
        <v>0</v>
      </c>
      <c r="N1081" s="85" t="s">
        <v>254</v>
      </c>
      <c r="O1081" s="85">
        <v>0</v>
      </c>
      <c r="P1081" s="85">
        <v>0</v>
      </c>
      <c r="Q1081" s="85">
        <v>0</v>
      </c>
      <c r="R1081" s="85"/>
    </row>
    <row r="1082" spans="1:18" ht="15">
      <c r="A1082" s="70">
        <v>30</v>
      </c>
      <c r="B1082" s="70"/>
      <c r="C1082" s="72" t="s">
        <v>1099</v>
      </c>
      <c r="D1082" s="72" t="s">
        <v>1100</v>
      </c>
      <c r="E1082" s="85">
        <v>20552956.639999989</v>
      </c>
      <c r="F1082" s="85" t="s">
        <v>254</v>
      </c>
      <c r="G1082" s="85">
        <v>19299125.082247373</v>
      </c>
      <c r="H1082" s="85" t="s">
        <v>254</v>
      </c>
      <c r="I1082" s="85">
        <v>1163030.5565896272</v>
      </c>
      <c r="J1082" s="85">
        <v>90801.001162989822</v>
      </c>
      <c r="K1082" s="85" t="s">
        <v>254</v>
      </c>
      <c r="L1082" s="85" t="s">
        <v>254</v>
      </c>
      <c r="M1082" s="85">
        <v>2326.585605703413</v>
      </c>
      <c r="N1082" s="85" t="s">
        <v>254</v>
      </c>
      <c r="O1082" s="85">
        <v>88474.415557286411</v>
      </c>
      <c r="P1082" s="85">
        <v>56596.938188524204</v>
      </c>
      <c r="Q1082" s="85">
        <v>31877.477368762207</v>
      </c>
      <c r="R1082" s="85"/>
    </row>
    <row r="1083" spans="1:18" ht="15">
      <c r="A1083" s="70">
        <v>31</v>
      </c>
      <c r="B1083" s="70"/>
      <c r="C1083" s="72" t="s">
        <v>1101</v>
      </c>
      <c r="D1083" s="72" t="s">
        <v>1102</v>
      </c>
      <c r="E1083" s="85">
        <v>34726488.849999994</v>
      </c>
      <c r="F1083" s="85" t="s">
        <v>254</v>
      </c>
      <c r="G1083" s="85">
        <v>32225518.442735475</v>
      </c>
      <c r="H1083" s="85" t="s">
        <v>254</v>
      </c>
      <c r="I1083" s="85">
        <v>2472736.3546746448</v>
      </c>
      <c r="J1083" s="85">
        <v>28234.052589880273</v>
      </c>
      <c r="K1083" s="85" t="s">
        <v>254</v>
      </c>
      <c r="L1083" s="85" t="s">
        <v>254</v>
      </c>
      <c r="M1083" s="85">
        <v>3771.0391271886779</v>
      </c>
      <c r="N1083" s="85" t="s">
        <v>254</v>
      </c>
      <c r="O1083" s="85">
        <v>24463.013462691597</v>
      </c>
      <c r="P1083" s="85">
        <v>24210.475019970181</v>
      </c>
      <c r="Q1083" s="85">
        <v>252.53844272141401</v>
      </c>
      <c r="R1083" s="85"/>
    </row>
    <row r="1084" spans="1:18" ht="15">
      <c r="A1084" s="70">
        <v>32</v>
      </c>
      <c r="B1084" s="70"/>
      <c r="C1084" s="72" t="s">
        <v>1103</v>
      </c>
      <c r="D1084" s="72" t="s">
        <v>1104</v>
      </c>
      <c r="E1084" s="85">
        <v>20407580.32</v>
      </c>
      <c r="F1084" s="85" t="s">
        <v>254</v>
      </c>
      <c r="G1084" s="85">
        <v>19254513.2236895</v>
      </c>
      <c r="H1084" s="85" t="s">
        <v>254</v>
      </c>
      <c r="I1084" s="85">
        <v>1094202.1454882054</v>
      </c>
      <c r="J1084" s="85">
        <v>58864.950822294653</v>
      </c>
      <c r="K1084" s="85" t="s">
        <v>254</v>
      </c>
      <c r="L1084" s="85" t="s">
        <v>254</v>
      </c>
      <c r="M1084" s="85">
        <v>2040.0351425041497</v>
      </c>
      <c r="N1084" s="85" t="s">
        <v>254</v>
      </c>
      <c r="O1084" s="85">
        <v>56824.915679790502</v>
      </c>
      <c r="P1084" s="85">
        <v>49255.473113628395</v>
      </c>
      <c r="Q1084" s="85">
        <v>7569.4425661621053</v>
      </c>
      <c r="R1084" s="85"/>
    </row>
    <row r="1085" spans="1:18" ht="15">
      <c r="A1085" s="70">
        <v>33</v>
      </c>
      <c r="B1085" s="70"/>
      <c r="C1085" s="72" t="s">
        <v>1105</v>
      </c>
      <c r="D1085" s="72" t="s">
        <v>1106</v>
      </c>
      <c r="E1085" s="85">
        <v>0</v>
      </c>
      <c r="F1085" s="85" t="s">
        <v>254</v>
      </c>
      <c r="G1085" s="85">
        <v>0</v>
      </c>
      <c r="H1085" s="85" t="s">
        <v>254</v>
      </c>
      <c r="I1085" s="85">
        <v>0</v>
      </c>
      <c r="J1085" s="85">
        <v>0</v>
      </c>
      <c r="K1085" s="85" t="s">
        <v>254</v>
      </c>
      <c r="L1085" s="85" t="s">
        <v>254</v>
      </c>
      <c r="M1085" s="85">
        <v>0</v>
      </c>
      <c r="N1085" s="85" t="s">
        <v>254</v>
      </c>
      <c r="O1085" s="85">
        <v>0</v>
      </c>
      <c r="P1085" s="85">
        <v>0</v>
      </c>
      <c r="Q1085" s="85">
        <v>0</v>
      </c>
      <c r="R1085" s="85"/>
    </row>
    <row r="1086" spans="1:18" ht="15">
      <c r="A1086" s="70">
        <v>34</v>
      </c>
      <c r="B1086" s="70"/>
      <c r="C1086" s="72" t="s">
        <v>1107</v>
      </c>
      <c r="D1086" s="72" t="s">
        <v>890</v>
      </c>
      <c r="E1086" s="85">
        <v>24485485.069999993</v>
      </c>
      <c r="F1086" s="85" t="s">
        <v>254</v>
      </c>
      <c r="G1086" s="85">
        <v>23231414.397234574</v>
      </c>
      <c r="H1086" s="85" t="s">
        <v>254</v>
      </c>
      <c r="I1086" s="85">
        <v>1225274.5237709086</v>
      </c>
      <c r="J1086" s="85">
        <v>28796.148994510437</v>
      </c>
      <c r="K1086" s="85" t="s">
        <v>254</v>
      </c>
      <c r="L1086" s="85" t="s">
        <v>254</v>
      </c>
      <c r="M1086" s="85">
        <v>193.91346124249452</v>
      </c>
      <c r="N1086" s="85" t="s">
        <v>254</v>
      </c>
      <c r="O1086" s="85">
        <v>28602.235533267944</v>
      </c>
      <c r="P1086" s="85">
        <v>14834.379785050831</v>
      </c>
      <c r="Q1086" s="85">
        <v>13767.855748217111</v>
      </c>
      <c r="R1086" s="85"/>
    </row>
    <row r="1087" spans="1:18" ht="15">
      <c r="A1087" s="70">
        <v>35</v>
      </c>
      <c r="B1087" s="70"/>
      <c r="C1087" s="72" t="s">
        <v>1108</v>
      </c>
      <c r="D1087" s="72" t="s">
        <v>689</v>
      </c>
      <c r="E1087" s="85">
        <v>2961971.8000000003</v>
      </c>
      <c r="F1087" s="85" t="s">
        <v>254</v>
      </c>
      <c r="G1087" s="85">
        <v>2810268.7825870719</v>
      </c>
      <c r="H1087" s="85" t="s">
        <v>254</v>
      </c>
      <c r="I1087" s="85">
        <v>148219.59116972733</v>
      </c>
      <c r="J1087" s="85">
        <v>3483.4262432007563</v>
      </c>
      <c r="K1087" s="85" t="s">
        <v>254</v>
      </c>
      <c r="L1087" s="85" t="s">
        <v>254</v>
      </c>
      <c r="M1087" s="85">
        <v>23.457415779129668</v>
      </c>
      <c r="N1087" s="85" t="s">
        <v>254</v>
      </c>
      <c r="O1087" s="85">
        <v>3459.9688274216264</v>
      </c>
      <c r="P1087" s="85">
        <v>1794.4923071034198</v>
      </c>
      <c r="Q1087" s="85">
        <v>1665.4765203182067</v>
      </c>
      <c r="R1087" s="85"/>
    </row>
    <row r="1088" spans="1:18" ht="15">
      <c r="A1088" s="70">
        <v>36</v>
      </c>
      <c r="B1088" s="70"/>
      <c r="C1088" s="72" t="s">
        <v>1109</v>
      </c>
      <c r="D1088" s="72" t="s">
        <v>898</v>
      </c>
      <c r="E1088" s="85">
        <v>22053154.1599999</v>
      </c>
      <c r="F1088" s="85" t="s">
        <v>254</v>
      </c>
      <c r="G1088" s="85">
        <v>21988129.767984752</v>
      </c>
      <c r="H1088" s="85" t="s">
        <v>254</v>
      </c>
      <c r="I1088" s="85">
        <v>65015.197389578498</v>
      </c>
      <c r="J1088" s="85">
        <v>9.1946255677525812</v>
      </c>
      <c r="K1088" s="85" t="s">
        <v>254</v>
      </c>
      <c r="L1088" s="85" t="s">
        <v>254</v>
      </c>
      <c r="M1088" s="85">
        <v>9.1946255677525812</v>
      </c>
      <c r="N1088" s="85" t="s">
        <v>254</v>
      </c>
      <c r="O1088" s="85">
        <v>0</v>
      </c>
      <c r="P1088" s="85">
        <v>0</v>
      </c>
      <c r="Q1088" s="85">
        <v>0</v>
      </c>
      <c r="R1088" s="85"/>
    </row>
    <row r="1089" spans="1:18" ht="15">
      <c r="A1089" s="70">
        <v>37</v>
      </c>
      <c r="B1089" s="70"/>
      <c r="C1089" s="72" t="s">
        <v>1110</v>
      </c>
      <c r="D1089" s="72" t="s">
        <v>1111</v>
      </c>
      <c r="E1089" s="85">
        <v>2961971.8000000003</v>
      </c>
      <c r="F1089" s="85" t="s">
        <v>254</v>
      </c>
      <c r="G1089" s="85">
        <v>2810268.7825870719</v>
      </c>
      <c r="H1089" s="85" t="s">
        <v>254</v>
      </c>
      <c r="I1089" s="85">
        <v>148219.59116972733</v>
      </c>
      <c r="J1089" s="85">
        <v>3483.4262432007563</v>
      </c>
      <c r="K1089" s="85" t="s">
        <v>254</v>
      </c>
      <c r="L1089" s="85" t="s">
        <v>254</v>
      </c>
      <c r="M1089" s="85">
        <v>23.457415779129668</v>
      </c>
      <c r="N1089" s="85" t="s">
        <v>254</v>
      </c>
      <c r="O1089" s="85">
        <v>3459.9688274216264</v>
      </c>
      <c r="P1089" s="85">
        <v>1794.4923071034198</v>
      </c>
      <c r="Q1089" s="85">
        <v>1665.4765203182067</v>
      </c>
      <c r="R1089" s="85"/>
    </row>
    <row r="1090" spans="1:18" ht="15">
      <c r="A1090" s="70">
        <v>38</v>
      </c>
      <c r="B1090" s="70"/>
      <c r="C1090" s="72" t="s">
        <v>1112</v>
      </c>
      <c r="D1090" s="72" t="s">
        <v>1113</v>
      </c>
      <c r="E1090" s="85">
        <v>756763.28</v>
      </c>
      <c r="F1090" s="85" t="s">
        <v>254</v>
      </c>
      <c r="G1090" s="85">
        <v>717528.06897273718</v>
      </c>
      <c r="H1090" s="85" t="s">
        <v>254</v>
      </c>
      <c r="I1090" s="85">
        <v>39229.663061902618</v>
      </c>
      <c r="J1090" s="85">
        <v>5.5479653601898766</v>
      </c>
      <c r="K1090" s="85" t="s">
        <v>254</v>
      </c>
      <c r="L1090" s="85" t="s">
        <v>254</v>
      </c>
      <c r="M1090" s="85">
        <v>5.5479653601898766</v>
      </c>
      <c r="N1090" s="85" t="s">
        <v>254</v>
      </c>
      <c r="O1090" s="85">
        <v>0</v>
      </c>
      <c r="P1090" s="85">
        <v>0</v>
      </c>
      <c r="Q1090" s="85">
        <v>0</v>
      </c>
      <c r="R1090" s="85"/>
    </row>
    <row r="1091" spans="1:18" ht="15">
      <c r="A1091" s="70">
        <v>39</v>
      </c>
      <c r="B1091" s="70"/>
      <c r="C1091" s="72" t="s">
        <v>1114</v>
      </c>
      <c r="D1091" s="72" t="s">
        <v>701</v>
      </c>
      <c r="E1091" s="85">
        <v>2086180.77</v>
      </c>
      <c r="F1091" s="85" t="s">
        <v>254</v>
      </c>
      <c r="G1091" s="85">
        <v>2080029.6029053179</v>
      </c>
      <c r="H1091" s="85" t="s">
        <v>254</v>
      </c>
      <c r="I1091" s="85">
        <v>6150.2973029547557</v>
      </c>
      <c r="J1091" s="85">
        <v>0.86979172718918929</v>
      </c>
      <c r="K1091" s="85" t="s">
        <v>254</v>
      </c>
      <c r="L1091" s="85" t="s">
        <v>254</v>
      </c>
      <c r="M1091" s="85">
        <v>0.86979172718918929</v>
      </c>
      <c r="N1091" s="85" t="s">
        <v>254</v>
      </c>
      <c r="O1091" s="85">
        <v>0</v>
      </c>
      <c r="P1091" s="85">
        <v>0</v>
      </c>
      <c r="Q1091" s="85">
        <v>0</v>
      </c>
      <c r="R1091" s="85"/>
    </row>
    <row r="1092" spans="1:18" ht="15">
      <c r="A1092" s="70">
        <v>40</v>
      </c>
      <c r="B1092" s="70"/>
      <c r="C1092" s="72" t="s">
        <v>1115</v>
      </c>
      <c r="D1092" s="72" t="s">
        <v>1116</v>
      </c>
      <c r="E1092" s="85">
        <v>117143722.14</v>
      </c>
      <c r="F1092" s="85" t="s">
        <v>254</v>
      </c>
      <c r="G1092" s="85">
        <v>105351176.32974608</v>
      </c>
      <c r="H1092" s="85" t="s">
        <v>254</v>
      </c>
      <c r="I1092" s="85">
        <v>5692214.179381201</v>
      </c>
      <c r="J1092" s="85">
        <v>6100331.6308727115</v>
      </c>
      <c r="K1092" s="85" t="s">
        <v>254</v>
      </c>
      <c r="L1092" s="85" t="s">
        <v>254</v>
      </c>
      <c r="M1092" s="85">
        <v>2715.6110717066263</v>
      </c>
      <c r="N1092" s="85" t="s">
        <v>254</v>
      </c>
      <c r="O1092" s="85">
        <v>6097616.0198010048</v>
      </c>
      <c r="P1092" s="85">
        <v>1944807.2271664373</v>
      </c>
      <c r="Q1092" s="85">
        <v>4152808.7926345677</v>
      </c>
      <c r="R1092" s="85"/>
    </row>
    <row r="1093" spans="1:18" ht="15">
      <c r="A1093" s="70" t="s">
        <v>254</v>
      </c>
      <c r="B1093" s="70"/>
      <c r="C1093" s="72" t="s">
        <v>254</v>
      </c>
      <c r="D1093" s="72" t="s">
        <v>254</v>
      </c>
      <c r="E1093" s="85" t="s">
        <v>254</v>
      </c>
      <c r="F1093" s="85" t="s">
        <v>254</v>
      </c>
      <c r="G1093" s="85" t="s">
        <v>254</v>
      </c>
      <c r="H1093" s="85" t="s">
        <v>254</v>
      </c>
      <c r="I1093" s="85" t="s">
        <v>254</v>
      </c>
      <c r="J1093" s="85" t="s">
        <v>254</v>
      </c>
      <c r="K1093" s="85" t="s">
        <v>254</v>
      </c>
      <c r="L1093" s="85" t="s">
        <v>254</v>
      </c>
      <c r="M1093" s="85" t="s">
        <v>254</v>
      </c>
      <c r="N1093" s="85" t="s">
        <v>254</v>
      </c>
      <c r="O1093" s="85" t="s">
        <v>254</v>
      </c>
      <c r="P1093" s="85" t="s">
        <v>254</v>
      </c>
      <c r="Q1093" s="85" t="s">
        <v>254</v>
      </c>
      <c r="R1093" s="85"/>
    </row>
    <row r="1094" spans="1:18" ht="15">
      <c r="A1094" s="70" t="s">
        <v>254</v>
      </c>
      <c r="B1094" s="70"/>
      <c r="C1094" s="72" t="s">
        <v>1053</v>
      </c>
      <c r="D1094" s="72" t="s">
        <v>254</v>
      </c>
      <c r="E1094" s="85" t="s">
        <v>254</v>
      </c>
      <c r="F1094" s="85" t="s">
        <v>254</v>
      </c>
      <c r="G1094" s="85" t="s">
        <v>254</v>
      </c>
      <c r="H1094" s="85" t="s">
        <v>254</v>
      </c>
      <c r="I1094" s="85" t="s">
        <v>254</v>
      </c>
      <c r="J1094" s="85" t="s">
        <v>254</v>
      </c>
      <c r="K1094" s="85" t="s">
        <v>254</v>
      </c>
      <c r="L1094" s="85" t="s">
        <v>254</v>
      </c>
      <c r="M1094" s="85" t="s">
        <v>254</v>
      </c>
      <c r="N1094" s="85" t="s">
        <v>254</v>
      </c>
      <c r="O1094" s="85" t="s">
        <v>254</v>
      </c>
      <c r="P1094" s="85" t="s">
        <v>254</v>
      </c>
      <c r="Q1094" s="85" t="s">
        <v>254</v>
      </c>
      <c r="R1094" s="85"/>
    </row>
    <row r="1095" spans="1:18" ht="15">
      <c r="A1095" s="70" t="s">
        <v>254</v>
      </c>
      <c r="B1095" s="70"/>
      <c r="C1095" s="72" t="s">
        <v>925</v>
      </c>
      <c r="D1095" s="72" t="s">
        <v>254</v>
      </c>
      <c r="E1095" s="85" t="s">
        <v>254</v>
      </c>
      <c r="F1095" s="85" t="s">
        <v>254</v>
      </c>
      <c r="G1095" s="85" t="s">
        <v>254</v>
      </c>
      <c r="H1095" s="85" t="s">
        <v>254</v>
      </c>
      <c r="I1095" s="85" t="s">
        <v>254</v>
      </c>
      <c r="J1095" s="85" t="s">
        <v>254</v>
      </c>
      <c r="K1095" s="85" t="s">
        <v>254</v>
      </c>
      <c r="L1095" s="85" t="s">
        <v>254</v>
      </c>
      <c r="M1095" s="85" t="s">
        <v>254</v>
      </c>
      <c r="N1095" s="85" t="s">
        <v>254</v>
      </c>
      <c r="O1095" s="85" t="s">
        <v>254</v>
      </c>
      <c r="P1095" s="85" t="s">
        <v>254</v>
      </c>
      <c r="Q1095" s="85" t="s">
        <v>254</v>
      </c>
      <c r="R1095" s="85"/>
    </row>
    <row r="1096" spans="1:18" ht="15">
      <c r="A1096" s="70">
        <v>1</v>
      </c>
      <c r="B1096" s="70"/>
      <c r="C1096" s="72" t="s">
        <v>2456</v>
      </c>
      <c r="D1096" s="72" t="s">
        <v>1118</v>
      </c>
      <c r="E1096" s="85">
        <v>6411837.629999999</v>
      </c>
      <c r="F1096" s="85" t="s">
        <v>254</v>
      </c>
      <c r="G1096" s="85">
        <v>5798895.2761809025</v>
      </c>
      <c r="H1096" s="85" t="s">
        <v>254</v>
      </c>
      <c r="I1096" s="85">
        <v>298964.28433492593</v>
      </c>
      <c r="J1096" s="85">
        <v>313978.06948417058</v>
      </c>
      <c r="K1096" s="85" t="s">
        <v>254</v>
      </c>
      <c r="L1096" s="85" t="s">
        <v>254</v>
      </c>
      <c r="M1096" s="85">
        <v>144.32281759347572</v>
      </c>
      <c r="N1096" s="85" t="s">
        <v>254</v>
      </c>
      <c r="O1096" s="85">
        <v>313833.74666657712</v>
      </c>
      <c r="P1096" s="85">
        <v>100181.55841613699</v>
      </c>
      <c r="Q1096" s="85">
        <v>213652.18825044014</v>
      </c>
      <c r="R1096" s="85"/>
    </row>
    <row r="1097" spans="1:18" ht="15">
      <c r="A1097" s="70">
        <v>2</v>
      </c>
      <c r="B1097" s="70"/>
      <c r="C1097" s="72" t="s">
        <v>1119</v>
      </c>
      <c r="D1097" s="72" t="s">
        <v>1120</v>
      </c>
      <c r="E1097" s="85">
        <v>21818338.689999901</v>
      </c>
      <c r="F1097" s="85" t="s">
        <v>254</v>
      </c>
      <c r="G1097" s="85">
        <v>21791010.53010847</v>
      </c>
      <c r="H1097" s="85" t="s">
        <v>254</v>
      </c>
      <c r="I1097" s="85">
        <v>27324.295615426672</v>
      </c>
      <c r="J1097" s="85">
        <v>3.8642760027473728</v>
      </c>
      <c r="K1097" s="85" t="s">
        <v>254</v>
      </c>
      <c r="L1097" s="85" t="s">
        <v>254</v>
      </c>
      <c r="M1097" s="85">
        <v>3.8642760027473728</v>
      </c>
      <c r="N1097" s="85" t="s">
        <v>254</v>
      </c>
      <c r="O1097" s="85">
        <v>0</v>
      </c>
      <c r="P1097" s="85">
        <v>0</v>
      </c>
      <c r="Q1097" s="85">
        <v>0</v>
      </c>
      <c r="R1097" s="85"/>
    </row>
    <row r="1098" spans="1:18" ht="15">
      <c r="A1098" s="70">
        <v>3</v>
      </c>
      <c r="B1098" s="70"/>
      <c r="C1098" s="72" t="s">
        <v>1121</v>
      </c>
      <c r="D1098" s="72" t="s">
        <v>528</v>
      </c>
      <c r="E1098" s="85">
        <v>1672133512.3599999</v>
      </c>
      <c r="F1098" s="85" t="s">
        <v>254</v>
      </c>
      <c r="G1098" s="85">
        <v>1667037042.1265695</v>
      </c>
      <c r="H1098" s="85" t="s">
        <v>254</v>
      </c>
      <c r="I1098" s="85">
        <v>0</v>
      </c>
      <c r="J1098" s="85">
        <v>5096470.2334303223</v>
      </c>
      <c r="K1098" s="85" t="s">
        <v>254</v>
      </c>
      <c r="L1098" s="85" t="s">
        <v>254</v>
      </c>
      <c r="M1098" s="85">
        <v>176624.25999999998</v>
      </c>
      <c r="N1098" s="85" t="s">
        <v>254</v>
      </c>
      <c r="O1098" s="85">
        <v>4919845.9734303225</v>
      </c>
      <c r="P1098" s="85">
        <v>4264490.992525544</v>
      </c>
      <c r="Q1098" s="85">
        <v>655354.980904778</v>
      </c>
      <c r="R1098" s="85"/>
    </row>
    <row r="1099" spans="1:18" ht="15">
      <c r="A1099" s="70">
        <v>4</v>
      </c>
      <c r="B1099" s="70"/>
      <c r="C1099" s="72" t="s">
        <v>1122</v>
      </c>
      <c r="D1099" s="72" t="s">
        <v>432</v>
      </c>
      <c r="E1099" s="85">
        <v>77956841.857053891</v>
      </c>
      <c r="F1099" s="85" t="s">
        <v>254</v>
      </c>
      <c r="G1099" s="85">
        <v>77956841.857053891</v>
      </c>
      <c r="H1099" s="85" t="s">
        <v>254</v>
      </c>
      <c r="I1099" s="85">
        <v>0</v>
      </c>
      <c r="J1099" s="85">
        <v>0</v>
      </c>
      <c r="K1099" s="85" t="s">
        <v>254</v>
      </c>
      <c r="L1099" s="85" t="s">
        <v>254</v>
      </c>
      <c r="M1099" s="85">
        <v>0</v>
      </c>
      <c r="N1099" s="85" t="s">
        <v>254</v>
      </c>
      <c r="O1099" s="85">
        <v>0</v>
      </c>
      <c r="P1099" s="85">
        <v>0</v>
      </c>
      <c r="Q1099" s="85">
        <v>0</v>
      </c>
      <c r="R1099" s="85"/>
    </row>
    <row r="1100" spans="1:18" ht="15">
      <c r="A1100" s="70">
        <v>5</v>
      </c>
      <c r="B1100" s="70"/>
      <c r="C1100" s="72" t="s">
        <v>1123</v>
      </c>
      <c r="D1100" s="72" t="s">
        <v>1124</v>
      </c>
      <c r="E1100" s="85">
        <v>4190616.5638818108</v>
      </c>
      <c r="F1100" s="85" t="s">
        <v>254</v>
      </c>
      <c r="G1100" s="85">
        <v>0</v>
      </c>
      <c r="H1100" s="85" t="s">
        <v>254</v>
      </c>
      <c r="I1100" s="85">
        <v>4190616.5638818108</v>
      </c>
      <c r="J1100" s="85">
        <v>0</v>
      </c>
      <c r="K1100" s="85" t="s">
        <v>254</v>
      </c>
      <c r="L1100" s="85" t="s">
        <v>254</v>
      </c>
      <c r="M1100" s="85">
        <v>0</v>
      </c>
      <c r="N1100" s="85" t="s">
        <v>254</v>
      </c>
      <c r="O1100" s="85">
        <v>0</v>
      </c>
      <c r="P1100" s="85">
        <v>0</v>
      </c>
      <c r="Q1100" s="85">
        <v>0</v>
      </c>
      <c r="R1100" s="85"/>
    </row>
    <row r="1101" spans="1:18" ht="15">
      <c r="A1101" s="70">
        <v>6</v>
      </c>
      <c r="B1101" s="70"/>
      <c r="C1101" s="72" t="s">
        <v>1125</v>
      </c>
      <c r="D1101" s="72" t="s">
        <v>1126</v>
      </c>
      <c r="E1101" s="85">
        <v>0</v>
      </c>
      <c r="F1101" s="85" t="s">
        <v>254</v>
      </c>
      <c r="G1101" s="85">
        <v>0</v>
      </c>
      <c r="H1101" s="85" t="s">
        <v>254</v>
      </c>
      <c r="I1101" s="85">
        <v>0</v>
      </c>
      <c r="J1101" s="85">
        <v>0</v>
      </c>
      <c r="K1101" s="85" t="s">
        <v>254</v>
      </c>
      <c r="L1101" s="85" t="s">
        <v>254</v>
      </c>
      <c r="M1101" s="85">
        <v>0</v>
      </c>
      <c r="N1101" s="85" t="s">
        <v>254</v>
      </c>
      <c r="O1101" s="85">
        <v>0</v>
      </c>
      <c r="P1101" s="85">
        <v>0</v>
      </c>
      <c r="Q1101" s="85">
        <v>0</v>
      </c>
      <c r="R1101" s="85"/>
    </row>
    <row r="1102" spans="1:18" ht="15">
      <c r="A1102" s="70">
        <v>7</v>
      </c>
      <c r="B1102" s="70"/>
      <c r="C1102" s="72" t="s">
        <v>1127</v>
      </c>
      <c r="D1102" s="72" t="s">
        <v>1128</v>
      </c>
      <c r="E1102" s="85">
        <v>5242419.7725711372</v>
      </c>
      <c r="F1102" s="85" t="s">
        <v>254</v>
      </c>
      <c r="G1102" s="85">
        <v>0</v>
      </c>
      <c r="H1102" s="85" t="s">
        <v>254</v>
      </c>
      <c r="I1102" s="85">
        <v>0</v>
      </c>
      <c r="J1102" s="85">
        <v>5242419.7725711372</v>
      </c>
      <c r="K1102" s="85" t="s">
        <v>254</v>
      </c>
      <c r="L1102" s="85" t="s">
        <v>254</v>
      </c>
      <c r="M1102" s="85">
        <v>0</v>
      </c>
      <c r="N1102" s="85" t="s">
        <v>254</v>
      </c>
      <c r="O1102" s="85">
        <v>5242419.7725711372</v>
      </c>
      <c r="P1102" s="85">
        <v>1669913.1252288471</v>
      </c>
      <c r="Q1102" s="85">
        <v>3572506.6473422903</v>
      </c>
      <c r="R1102" s="85"/>
    </row>
    <row r="1103" spans="1:18" ht="15">
      <c r="A1103" s="70">
        <v>8</v>
      </c>
      <c r="B1103" s="70"/>
      <c r="C1103" s="72" t="s">
        <v>1129</v>
      </c>
      <c r="D1103" s="72" t="s">
        <v>1130</v>
      </c>
      <c r="E1103" s="85">
        <v>-466673</v>
      </c>
      <c r="F1103" s="85" t="s">
        <v>254</v>
      </c>
      <c r="G1103" s="85">
        <v>-435703</v>
      </c>
      <c r="H1103" s="85" t="s">
        <v>254</v>
      </c>
      <c r="I1103" s="85">
        <v>0</v>
      </c>
      <c r="J1103" s="85">
        <v>-30970</v>
      </c>
      <c r="K1103" s="85" t="s">
        <v>254</v>
      </c>
      <c r="L1103" s="85" t="s">
        <v>254</v>
      </c>
      <c r="M1103" s="85">
        <v>-11</v>
      </c>
      <c r="N1103" s="85" t="s">
        <v>254</v>
      </c>
      <c r="O1103" s="85">
        <v>-30959</v>
      </c>
      <c r="P1103" s="85">
        <v>-9759</v>
      </c>
      <c r="Q1103" s="85">
        <v>-21200</v>
      </c>
      <c r="R1103" s="85"/>
    </row>
    <row r="1104" spans="1:18" ht="15">
      <c r="A1104" s="70">
        <v>9</v>
      </c>
      <c r="B1104" s="70"/>
      <c r="C1104" s="72" t="s">
        <v>1131</v>
      </c>
      <c r="D1104" s="72" t="s">
        <v>732</v>
      </c>
      <c r="E1104" s="85">
        <v>167503755.23513868</v>
      </c>
      <c r="F1104" s="85" t="s">
        <v>254</v>
      </c>
      <c r="G1104" s="85">
        <v>159147274.30517444</v>
      </c>
      <c r="H1104" s="85" t="s">
        <v>254</v>
      </c>
      <c r="I1104" s="85">
        <v>8352448.8464864055</v>
      </c>
      <c r="J1104" s="85">
        <v>4032.0834778372555</v>
      </c>
      <c r="K1104" s="85" t="s">
        <v>254</v>
      </c>
      <c r="L1104" s="85" t="s">
        <v>254</v>
      </c>
      <c r="M1104" s="85">
        <v>4032.0834778372555</v>
      </c>
      <c r="N1104" s="85" t="s">
        <v>254</v>
      </c>
      <c r="O1104" s="85">
        <v>0</v>
      </c>
      <c r="P1104" s="85">
        <v>0</v>
      </c>
      <c r="Q1104" s="85">
        <v>0</v>
      </c>
      <c r="R1104" s="85"/>
    </row>
    <row r="1105" spans="1:18" ht="15">
      <c r="A1105" s="70">
        <v>10</v>
      </c>
      <c r="B1105" s="70"/>
      <c r="C1105" s="72" t="s">
        <v>1132</v>
      </c>
      <c r="D1105" s="72" t="s">
        <v>460</v>
      </c>
      <c r="E1105" s="85">
        <v>839889835.10484278</v>
      </c>
      <c r="F1105" s="85" t="s">
        <v>254</v>
      </c>
      <c r="G1105" s="85">
        <v>801808256.41087091</v>
      </c>
      <c r="H1105" s="85" t="s">
        <v>254</v>
      </c>
      <c r="I1105" s="85">
        <v>38078761.198443159</v>
      </c>
      <c r="J1105" s="85">
        <v>2817.4955286941126</v>
      </c>
      <c r="K1105" s="85" t="s">
        <v>254</v>
      </c>
      <c r="L1105" s="85" t="s">
        <v>254</v>
      </c>
      <c r="M1105" s="85">
        <v>2817.4955286941126</v>
      </c>
      <c r="N1105" s="85" t="s">
        <v>254</v>
      </c>
      <c r="O1105" s="85">
        <v>0</v>
      </c>
      <c r="P1105" s="85">
        <v>0</v>
      </c>
      <c r="Q1105" s="85">
        <v>0</v>
      </c>
      <c r="R1105" s="85"/>
    </row>
    <row r="1106" spans="1:18" ht="15">
      <c r="A1106" s="70">
        <v>11</v>
      </c>
      <c r="B1106" s="70"/>
      <c r="C1106" s="72" t="s">
        <v>254</v>
      </c>
      <c r="D1106" s="72" t="s">
        <v>254</v>
      </c>
      <c r="E1106" s="85" t="s">
        <v>254</v>
      </c>
      <c r="F1106" s="85" t="s">
        <v>254</v>
      </c>
      <c r="G1106" s="85" t="s">
        <v>254</v>
      </c>
      <c r="H1106" s="85" t="s">
        <v>254</v>
      </c>
      <c r="I1106" s="85" t="s">
        <v>254</v>
      </c>
      <c r="J1106" s="85" t="s">
        <v>254</v>
      </c>
      <c r="K1106" s="85" t="s">
        <v>254</v>
      </c>
      <c r="L1106" s="85" t="s">
        <v>254</v>
      </c>
      <c r="M1106" s="85" t="s">
        <v>254</v>
      </c>
      <c r="N1106" s="85" t="s">
        <v>254</v>
      </c>
      <c r="O1106" s="85" t="s">
        <v>254</v>
      </c>
      <c r="P1106" s="85" t="s">
        <v>254</v>
      </c>
      <c r="Q1106" s="85" t="s">
        <v>254</v>
      </c>
      <c r="R1106" s="85"/>
    </row>
    <row r="1107" spans="1:18" ht="15">
      <c r="A1107" s="70">
        <v>12</v>
      </c>
      <c r="B1107" s="70"/>
      <c r="C1107" s="72" t="s">
        <v>254</v>
      </c>
      <c r="D1107" s="72" t="s">
        <v>254</v>
      </c>
      <c r="E1107" s="85" t="s">
        <v>254</v>
      </c>
      <c r="F1107" s="85" t="s">
        <v>254</v>
      </c>
      <c r="G1107" s="85" t="s">
        <v>254</v>
      </c>
      <c r="H1107" s="85" t="s">
        <v>254</v>
      </c>
      <c r="I1107" s="85" t="s">
        <v>254</v>
      </c>
      <c r="J1107" s="85" t="s">
        <v>254</v>
      </c>
      <c r="K1107" s="85" t="s">
        <v>254</v>
      </c>
      <c r="L1107" s="85" t="s">
        <v>254</v>
      </c>
      <c r="M1107" s="85" t="s">
        <v>254</v>
      </c>
      <c r="N1107" s="85" t="s">
        <v>254</v>
      </c>
      <c r="O1107" s="85" t="s">
        <v>254</v>
      </c>
      <c r="P1107" s="85" t="s">
        <v>254</v>
      </c>
      <c r="Q1107" s="85" t="s">
        <v>254</v>
      </c>
      <c r="R1107" s="85"/>
    </row>
    <row r="1108" spans="1:18" ht="15">
      <c r="A1108" s="70">
        <v>13</v>
      </c>
      <c r="B1108" s="70"/>
      <c r="C1108" s="72" t="s">
        <v>254</v>
      </c>
      <c r="D1108" s="72" t="s">
        <v>254</v>
      </c>
      <c r="E1108" s="85" t="s">
        <v>254</v>
      </c>
      <c r="F1108" s="85" t="s">
        <v>254</v>
      </c>
      <c r="G1108" s="85" t="s">
        <v>254</v>
      </c>
      <c r="H1108" s="85" t="s">
        <v>254</v>
      </c>
      <c r="I1108" s="85" t="s">
        <v>254</v>
      </c>
      <c r="J1108" s="85" t="s">
        <v>254</v>
      </c>
      <c r="K1108" s="85" t="s">
        <v>254</v>
      </c>
      <c r="L1108" s="85" t="s">
        <v>254</v>
      </c>
      <c r="M1108" s="85" t="s">
        <v>254</v>
      </c>
      <c r="N1108" s="85" t="s">
        <v>254</v>
      </c>
      <c r="O1108" s="85" t="s">
        <v>254</v>
      </c>
      <c r="P1108" s="85" t="s">
        <v>254</v>
      </c>
      <c r="Q1108" s="85" t="s">
        <v>254</v>
      </c>
      <c r="R1108" s="85"/>
    </row>
    <row r="1109" spans="1:18" ht="15">
      <c r="A1109" s="70">
        <v>14</v>
      </c>
      <c r="B1109" s="70"/>
      <c r="C1109" s="72" t="s">
        <v>254</v>
      </c>
      <c r="D1109" s="72" t="s">
        <v>254</v>
      </c>
      <c r="E1109" s="85" t="s">
        <v>254</v>
      </c>
      <c r="F1109" s="85" t="s">
        <v>254</v>
      </c>
      <c r="G1109" s="85" t="s">
        <v>254</v>
      </c>
      <c r="H1109" s="85" t="s">
        <v>254</v>
      </c>
      <c r="I1109" s="85" t="s">
        <v>254</v>
      </c>
      <c r="J1109" s="85" t="s">
        <v>254</v>
      </c>
      <c r="K1109" s="85" t="s">
        <v>254</v>
      </c>
      <c r="L1109" s="85" t="s">
        <v>254</v>
      </c>
      <c r="M1109" s="85" t="s">
        <v>254</v>
      </c>
      <c r="N1109" s="85" t="s">
        <v>254</v>
      </c>
      <c r="O1109" s="85" t="s">
        <v>254</v>
      </c>
      <c r="P1109" s="85" t="s">
        <v>254</v>
      </c>
      <c r="Q1109" s="85" t="s">
        <v>254</v>
      </c>
      <c r="R1109" s="85"/>
    </row>
    <row r="1110" spans="1:18" ht="15">
      <c r="A1110" s="70">
        <v>15</v>
      </c>
      <c r="B1110" s="70"/>
      <c r="C1110" s="72" t="s">
        <v>254</v>
      </c>
      <c r="D1110" s="72" t="s">
        <v>254</v>
      </c>
      <c r="E1110" s="85" t="s">
        <v>254</v>
      </c>
      <c r="F1110" s="85" t="s">
        <v>254</v>
      </c>
      <c r="G1110" s="85" t="s">
        <v>254</v>
      </c>
      <c r="H1110" s="85" t="s">
        <v>254</v>
      </c>
      <c r="I1110" s="85" t="s">
        <v>254</v>
      </c>
      <c r="J1110" s="85" t="s">
        <v>254</v>
      </c>
      <c r="K1110" s="85" t="s">
        <v>254</v>
      </c>
      <c r="L1110" s="85" t="s">
        <v>254</v>
      </c>
      <c r="M1110" s="85" t="s">
        <v>254</v>
      </c>
      <c r="N1110" s="85" t="s">
        <v>254</v>
      </c>
      <c r="O1110" s="85" t="s">
        <v>254</v>
      </c>
      <c r="P1110" s="85" t="s">
        <v>254</v>
      </c>
      <c r="Q1110" s="85" t="s">
        <v>254</v>
      </c>
      <c r="R1110" s="85"/>
    </row>
    <row r="1111" spans="1:18" ht="15">
      <c r="A1111" s="70">
        <v>16</v>
      </c>
      <c r="B1111" s="70"/>
      <c r="C1111" s="72" t="s">
        <v>254</v>
      </c>
      <c r="D1111" s="72" t="s">
        <v>254</v>
      </c>
      <c r="E1111" s="85" t="s">
        <v>254</v>
      </c>
      <c r="F1111" s="85" t="s">
        <v>254</v>
      </c>
      <c r="G1111" s="85" t="s">
        <v>254</v>
      </c>
      <c r="H1111" s="85" t="s">
        <v>254</v>
      </c>
      <c r="I1111" s="85" t="s">
        <v>254</v>
      </c>
      <c r="J1111" s="85" t="s">
        <v>254</v>
      </c>
      <c r="K1111" s="85" t="s">
        <v>254</v>
      </c>
      <c r="L1111" s="85" t="s">
        <v>254</v>
      </c>
      <c r="M1111" s="85" t="s">
        <v>254</v>
      </c>
      <c r="N1111" s="85" t="s">
        <v>254</v>
      </c>
      <c r="O1111" s="85" t="s">
        <v>254</v>
      </c>
      <c r="P1111" s="85" t="s">
        <v>254</v>
      </c>
      <c r="Q1111" s="85" t="s">
        <v>254</v>
      </c>
      <c r="R1111" s="85"/>
    </row>
    <row r="1112" spans="1:18" ht="15">
      <c r="A1112" s="70">
        <v>17</v>
      </c>
      <c r="B1112" s="70"/>
      <c r="C1112" s="72" t="s">
        <v>254</v>
      </c>
      <c r="D1112" s="72" t="s">
        <v>254</v>
      </c>
      <c r="E1112" s="85" t="s">
        <v>254</v>
      </c>
      <c r="F1112" s="85" t="s">
        <v>254</v>
      </c>
      <c r="G1112" s="85" t="s">
        <v>254</v>
      </c>
      <c r="H1112" s="85" t="s">
        <v>254</v>
      </c>
      <c r="I1112" s="85" t="s">
        <v>254</v>
      </c>
      <c r="J1112" s="85" t="s">
        <v>254</v>
      </c>
      <c r="K1112" s="85" t="s">
        <v>254</v>
      </c>
      <c r="L1112" s="85" t="s">
        <v>254</v>
      </c>
      <c r="M1112" s="85" t="s">
        <v>254</v>
      </c>
      <c r="N1112" s="85" t="s">
        <v>254</v>
      </c>
      <c r="O1112" s="85" t="s">
        <v>254</v>
      </c>
      <c r="P1112" s="85" t="s">
        <v>254</v>
      </c>
      <c r="Q1112" s="85" t="s">
        <v>254</v>
      </c>
      <c r="R1112" s="85"/>
    </row>
    <row r="1113" spans="1:18" ht="15">
      <c r="A1113" s="70">
        <v>18</v>
      </c>
      <c r="B1113" s="70"/>
      <c r="C1113" s="72" t="s">
        <v>254</v>
      </c>
      <c r="D1113" s="72" t="s">
        <v>254</v>
      </c>
      <c r="E1113" s="85" t="s">
        <v>254</v>
      </c>
      <c r="F1113" s="85" t="s">
        <v>254</v>
      </c>
      <c r="G1113" s="85" t="s">
        <v>254</v>
      </c>
      <c r="H1113" s="85" t="s">
        <v>254</v>
      </c>
      <c r="I1113" s="85" t="s">
        <v>254</v>
      </c>
      <c r="J1113" s="85" t="s">
        <v>254</v>
      </c>
      <c r="K1113" s="85" t="s">
        <v>254</v>
      </c>
      <c r="L1113" s="85" t="s">
        <v>254</v>
      </c>
      <c r="M1113" s="85" t="s">
        <v>254</v>
      </c>
      <c r="N1113" s="85" t="s">
        <v>254</v>
      </c>
      <c r="O1113" s="85" t="s">
        <v>254</v>
      </c>
      <c r="P1113" s="85" t="s">
        <v>254</v>
      </c>
      <c r="Q1113" s="85" t="s">
        <v>254</v>
      </c>
      <c r="R1113" s="85"/>
    </row>
    <row r="1114" spans="1:18" ht="15">
      <c r="A1114" s="70">
        <v>19</v>
      </c>
      <c r="B1114" s="70"/>
      <c r="C1114" s="72" t="s">
        <v>254</v>
      </c>
      <c r="D1114" s="72" t="s">
        <v>254</v>
      </c>
      <c r="E1114" s="85" t="s">
        <v>254</v>
      </c>
      <c r="F1114" s="85" t="s">
        <v>254</v>
      </c>
      <c r="G1114" s="85" t="s">
        <v>254</v>
      </c>
      <c r="H1114" s="85" t="s">
        <v>254</v>
      </c>
      <c r="I1114" s="85" t="s">
        <v>254</v>
      </c>
      <c r="J1114" s="85" t="s">
        <v>254</v>
      </c>
      <c r="K1114" s="85" t="s">
        <v>254</v>
      </c>
      <c r="L1114" s="85" t="s">
        <v>254</v>
      </c>
      <c r="M1114" s="85" t="s">
        <v>254</v>
      </c>
      <c r="N1114" s="85" t="s">
        <v>254</v>
      </c>
      <c r="O1114" s="85" t="s">
        <v>254</v>
      </c>
      <c r="P1114" s="85" t="s">
        <v>254</v>
      </c>
      <c r="Q1114" s="85" t="s">
        <v>254</v>
      </c>
      <c r="R1114" s="85"/>
    </row>
    <row r="1115" spans="1:18" ht="15">
      <c r="A1115" s="70">
        <v>20</v>
      </c>
      <c r="B1115" s="70"/>
      <c r="C1115" s="72" t="s">
        <v>254</v>
      </c>
      <c r="D1115" s="72" t="s">
        <v>254</v>
      </c>
      <c r="E1115" s="85" t="s">
        <v>254</v>
      </c>
      <c r="F1115" s="85" t="s">
        <v>254</v>
      </c>
      <c r="G1115" s="85" t="s">
        <v>254</v>
      </c>
      <c r="H1115" s="85" t="s">
        <v>254</v>
      </c>
      <c r="I1115" s="85" t="s">
        <v>254</v>
      </c>
      <c r="J1115" s="85" t="s">
        <v>254</v>
      </c>
      <c r="K1115" s="85" t="s">
        <v>254</v>
      </c>
      <c r="L1115" s="85" t="s">
        <v>254</v>
      </c>
      <c r="M1115" s="85" t="s">
        <v>254</v>
      </c>
      <c r="N1115" s="85" t="s">
        <v>254</v>
      </c>
      <c r="O1115" s="85" t="s">
        <v>254</v>
      </c>
      <c r="P1115" s="85" t="s">
        <v>254</v>
      </c>
      <c r="Q1115" s="85" t="s">
        <v>254</v>
      </c>
      <c r="R1115" s="85"/>
    </row>
    <row r="1116" spans="1:18" ht="15">
      <c r="A1116" s="70">
        <v>21</v>
      </c>
      <c r="B1116" s="70"/>
      <c r="C1116" s="72" t="s">
        <v>254</v>
      </c>
      <c r="D1116" s="72" t="s">
        <v>254</v>
      </c>
      <c r="E1116" s="85" t="s">
        <v>254</v>
      </c>
      <c r="F1116" s="85" t="s">
        <v>254</v>
      </c>
      <c r="G1116" s="85" t="s">
        <v>254</v>
      </c>
      <c r="H1116" s="85" t="s">
        <v>254</v>
      </c>
      <c r="I1116" s="85" t="s">
        <v>254</v>
      </c>
      <c r="J1116" s="85" t="s">
        <v>254</v>
      </c>
      <c r="K1116" s="85" t="s">
        <v>254</v>
      </c>
      <c r="L1116" s="85" t="s">
        <v>254</v>
      </c>
      <c r="M1116" s="85" t="s">
        <v>254</v>
      </c>
      <c r="N1116" s="85" t="s">
        <v>254</v>
      </c>
      <c r="O1116" s="85" t="s">
        <v>254</v>
      </c>
      <c r="P1116" s="85" t="s">
        <v>254</v>
      </c>
      <c r="Q1116" s="85" t="s">
        <v>254</v>
      </c>
      <c r="R1116" s="85"/>
    </row>
    <row r="1117" spans="1:18" ht="15">
      <c r="A1117" s="70">
        <v>22</v>
      </c>
      <c r="B1117" s="70"/>
      <c r="C1117" s="72" t="s">
        <v>254</v>
      </c>
      <c r="D1117" s="72" t="s">
        <v>254</v>
      </c>
      <c r="E1117" s="85" t="s">
        <v>254</v>
      </c>
      <c r="F1117" s="85" t="s">
        <v>254</v>
      </c>
      <c r="G1117" s="85" t="s">
        <v>254</v>
      </c>
      <c r="H1117" s="85" t="s">
        <v>254</v>
      </c>
      <c r="I1117" s="85" t="s">
        <v>254</v>
      </c>
      <c r="J1117" s="85" t="s">
        <v>254</v>
      </c>
      <c r="K1117" s="85" t="s">
        <v>254</v>
      </c>
      <c r="L1117" s="85" t="s">
        <v>254</v>
      </c>
      <c r="M1117" s="85" t="s">
        <v>254</v>
      </c>
      <c r="N1117" s="85" t="s">
        <v>254</v>
      </c>
      <c r="O1117" s="85" t="s">
        <v>254</v>
      </c>
      <c r="P1117" s="85" t="s">
        <v>254</v>
      </c>
      <c r="Q1117" s="85" t="s">
        <v>254</v>
      </c>
      <c r="R1117" s="85"/>
    </row>
    <row r="1118" spans="1:18" ht="15">
      <c r="A1118" s="70">
        <v>23</v>
      </c>
      <c r="B1118" s="70"/>
      <c r="C1118" s="72" t="s">
        <v>254</v>
      </c>
      <c r="D1118" s="72" t="s">
        <v>254</v>
      </c>
      <c r="E1118" s="85" t="s">
        <v>254</v>
      </c>
      <c r="F1118" s="85" t="s">
        <v>254</v>
      </c>
      <c r="G1118" s="85" t="s">
        <v>254</v>
      </c>
      <c r="H1118" s="85" t="s">
        <v>254</v>
      </c>
      <c r="I1118" s="85" t="s">
        <v>254</v>
      </c>
      <c r="J1118" s="85" t="s">
        <v>254</v>
      </c>
      <c r="K1118" s="85" t="s">
        <v>254</v>
      </c>
      <c r="L1118" s="85" t="s">
        <v>254</v>
      </c>
      <c r="M1118" s="85" t="s">
        <v>254</v>
      </c>
      <c r="N1118" s="85" t="s">
        <v>254</v>
      </c>
      <c r="O1118" s="85" t="s">
        <v>254</v>
      </c>
      <c r="P1118" s="85" t="s">
        <v>254</v>
      </c>
      <c r="Q1118" s="85" t="s">
        <v>254</v>
      </c>
      <c r="R1118" s="85"/>
    </row>
    <row r="1119" spans="1:18" ht="15">
      <c r="A1119" s="70">
        <v>24</v>
      </c>
      <c r="B1119" s="70"/>
      <c r="C1119" s="72" t="s">
        <v>254</v>
      </c>
      <c r="D1119" s="72" t="s">
        <v>254</v>
      </c>
      <c r="E1119" s="85" t="s">
        <v>254</v>
      </c>
      <c r="F1119" s="85" t="s">
        <v>254</v>
      </c>
      <c r="G1119" s="85" t="s">
        <v>254</v>
      </c>
      <c r="H1119" s="85" t="s">
        <v>254</v>
      </c>
      <c r="I1119" s="85" t="s">
        <v>254</v>
      </c>
      <c r="J1119" s="85" t="s">
        <v>254</v>
      </c>
      <c r="K1119" s="85" t="s">
        <v>254</v>
      </c>
      <c r="L1119" s="85" t="s">
        <v>254</v>
      </c>
      <c r="M1119" s="85" t="s">
        <v>254</v>
      </c>
      <c r="N1119" s="85" t="s">
        <v>254</v>
      </c>
      <c r="O1119" s="85" t="s">
        <v>254</v>
      </c>
      <c r="P1119" s="85" t="s">
        <v>254</v>
      </c>
      <c r="Q1119" s="85" t="s">
        <v>254</v>
      </c>
      <c r="R1119" s="85"/>
    </row>
    <row r="1120" spans="1:18" ht="15">
      <c r="A1120" s="70">
        <v>25</v>
      </c>
      <c r="B1120" s="70"/>
      <c r="C1120" s="72" t="s">
        <v>254</v>
      </c>
      <c r="D1120" s="72" t="s">
        <v>254</v>
      </c>
      <c r="E1120" s="85" t="s">
        <v>254</v>
      </c>
      <c r="F1120" s="85" t="s">
        <v>254</v>
      </c>
      <c r="G1120" s="85" t="s">
        <v>254</v>
      </c>
      <c r="H1120" s="85" t="s">
        <v>254</v>
      </c>
      <c r="I1120" s="85" t="s">
        <v>254</v>
      </c>
      <c r="J1120" s="85" t="s">
        <v>254</v>
      </c>
      <c r="K1120" s="85" t="s">
        <v>254</v>
      </c>
      <c r="L1120" s="85" t="s">
        <v>254</v>
      </c>
      <c r="M1120" s="85" t="s">
        <v>254</v>
      </c>
      <c r="N1120" s="85" t="s">
        <v>254</v>
      </c>
      <c r="O1120" s="85" t="s">
        <v>254</v>
      </c>
      <c r="P1120" s="85" t="s">
        <v>254</v>
      </c>
      <c r="Q1120" s="85" t="s">
        <v>254</v>
      </c>
      <c r="R1120" s="85"/>
    </row>
    <row r="1121" spans="1:18" ht="15">
      <c r="A1121" s="70">
        <v>26</v>
      </c>
      <c r="B1121" s="70"/>
      <c r="C1121" s="72" t="s">
        <v>254</v>
      </c>
      <c r="D1121" s="72" t="s">
        <v>254</v>
      </c>
      <c r="E1121" s="85" t="s">
        <v>254</v>
      </c>
      <c r="F1121" s="85" t="s">
        <v>254</v>
      </c>
      <c r="G1121" s="85" t="s">
        <v>254</v>
      </c>
      <c r="H1121" s="85" t="s">
        <v>254</v>
      </c>
      <c r="I1121" s="85" t="s">
        <v>254</v>
      </c>
      <c r="J1121" s="85" t="s">
        <v>254</v>
      </c>
      <c r="K1121" s="85" t="s">
        <v>254</v>
      </c>
      <c r="L1121" s="85" t="s">
        <v>254</v>
      </c>
      <c r="M1121" s="85" t="s">
        <v>254</v>
      </c>
      <c r="N1121" s="85" t="s">
        <v>254</v>
      </c>
      <c r="O1121" s="85" t="s">
        <v>254</v>
      </c>
      <c r="P1121" s="85" t="s">
        <v>254</v>
      </c>
      <c r="Q1121" s="85" t="s">
        <v>254</v>
      </c>
      <c r="R1121" s="85"/>
    </row>
    <row r="1122" spans="1:18" ht="15">
      <c r="A1122" s="70">
        <v>27</v>
      </c>
      <c r="B1122" s="70"/>
      <c r="C1122" s="72" t="s">
        <v>254</v>
      </c>
      <c r="D1122" s="72" t="s">
        <v>254</v>
      </c>
      <c r="E1122" s="85" t="s">
        <v>254</v>
      </c>
      <c r="F1122" s="85" t="s">
        <v>254</v>
      </c>
      <c r="G1122" s="85" t="s">
        <v>254</v>
      </c>
      <c r="H1122" s="85" t="s">
        <v>254</v>
      </c>
      <c r="I1122" s="85" t="s">
        <v>254</v>
      </c>
      <c r="J1122" s="85" t="s">
        <v>254</v>
      </c>
      <c r="K1122" s="85" t="s">
        <v>254</v>
      </c>
      <c r="L1122" s="85" t="s">
        <v>254</v>
      </c>
      <c r="M1122" s="85" t="s">
        <v>254</v>
      </c>
      <c r="N1122" s="85" t="s">
        <v>254</v>
      </c>
      <c r="O1122" s="85" t="s">
        <v>254</v>
      </c>
      <c r="P1122" s="85" t="s">
        <v>254</v>
      </c>
      <c r="Q1122" s="85" t="s">
        <v>254</v>
      </c>
      <c r="R1122" s="85"/>
    </row>
    <row r="1123" spans="1:18" ht="15">
      <c r="A1123" s="70">
        <v>28</v>
      </c>
      <c r="B1123" s="70"/>
      <c r="C1123" s="72" t="s">
        <v>254</v>
      </c>
      <c r="D1123" s="72" t="s">
        <v>254</v>
      </c>
      <c r="E1123" s="85" t="s">
        <v>254</v>
      </c>
      <c r="F1123" s="85" t="s">
        <v>254</v>
      </c>
      <c r="G1123" s="85" t="s">
        <v>254</v>
      </c>
      <c r="H1123" s="85" t="s">
        <v>254</v>
      </c>
      <c r="I1123" s="85" t="s">
        <v>254</v>
      </c>
      <c r="J1123" s="85" t="s">
        <v>254</v>
      </c>
      <c r="K1123" s="85" t="s">
        <v>254</v>
      </c>
      <c r="L1123" s="85" t="s">
        <v>254</v>
      </c>
      <c r="M1123" s="85" t="s">
        <v>254</v>
      </c>
      <c r="N1123" s="85" t="s">
        <v>254</v>
      </c>
      <c r="O1123" s="85" t="s">
        <v>254</v>
      </c>
      <c r="P1123" s="85" t="s">
        <v>254</v>
      </c>
      <c r="Q1123" s="85" t="s">
        <v>254</v>
      </c>
      <c r="R1123" s="85"/>
    </row>
    <row r="1124" spans="1:18" ht="15">
      <c r="A1124" s="70">
        <v>29</v>
      </c>
      <c r="B1124" s="70"/>
      <c r="C1124" s="72" t="s">
        <v>254</v>
      </c>
      <c r="D1124" s="72" t="s">
        <v>254</v>
      </c>
      <c r="E1124" s="85" t="s">
        <v>254</v>
      </c>
      <c r="F1124" s="85" t="s">
        <v>254</v>
      </c>
      <c r="G1124" s="85" t="s">
        <v>254</v>
      </c>
      <c r="H1124" s="85" t="s">
        <v>254</v>
      </c>
      <c r="I1124" s="85" t="s">
        <v>254</v>
      </c>
      <c r="J1124" s="85" t="s">
        <v>254</v>
      </c>
      <c r="K1124" s="85" t="s">
        <v>254</v>
      </c>
      <c r="L1124" s="85" t="s">
        <v>254</v>
      </c>
      <c r="M1124" s="85" t="s">
        <v>254</v>
      </c>
      <c r="N1124" s="85" t="s">
        <v>254</v>
      </c>
      <c r="O1124" s="85" t="s">
        <v>254</v>
      </c>
      <c r="P1124" s="85" t="s">
        <v>254</v>
      </c>
      <c r="Q1124" s="85" t="s">
        <v>254</v>
      </c>
      <c r="R1124" s="85"/>
    </row>
    <row r="1125" spans="1:18" ht="15">
      <c r="A1125" s="70">
        <v>30</v>
      </c>
      <c r="B1125" s="70"/>
      <c r="C1125" s="72" t="s">
        <v>254</v>
      </c>
      <c r="D1125" s="72" t="s">
        <v>254</v>
      </c>
      <c r="E1125" s="85" t="s">
        <v>254</v>
      </c>
      <c r="F1125" s="85" t="s">
        <v>254</v>
      </c>
      <c r="G1125" s="85" t="s">
        <v>254</v>
      </c>
      <c r="H1125" s="85" t="s">
        <v>254</v>
      </c>
      <c r="I1125" s="85" t="s">
        <v>254</v>
      </c>
      <c r="J1125" s="85" t="s">
        <v>254</v>
      </c>
      <c r="K1125" s="85" t="s">
        <v>254</v>
      </c>
      <c r="L1125" s="85" t="s">
        <v>254</v>
      </c>
      <c r="M1125" s="85" t="s">
        <v>254</v>
      </c>
      <c r="N1125" s="85" t="s">
        <v>254</v>
      </c>
      <c r="O1125" s="85" t="s">
        <v>254</v>
      </c>
      <c r="P1125" s="85" t="s">
        <v>254</v>
      </c>
      <c r="Q1125" s="85" t="s">
        <v>254</v>
      </c>
      <c r="R1125" s="85"/>
    </row>
    <row r="1126" spans="1:18" ht="15">
      <c r="A1126" s="70" t="s">
        <v>254</v>
      </c>
      <c r="B1126" s="70"/>
      <c r="C1126" s="72" t="s">
        <v>254</v>
      </c>
      <c r="D1126" s="72" t="s">
        <v>254</v>
      </c>
      <c r="E1126" s="85" t="s">
        <v>254</v>
      </c>
      <c r="F1126" s="85" t="s">
        <v>254</v>
      </c>
      <c r="G1126" s="85" t="s">
        <v>254</v>
      </c>
      <c r="H1126" s="85" t="s">
        <v>254</v>
      </c>
      <c r="I1126" s="85" t="s">
        <v>254</v>
      </c>
      <c r="J1126" s="85" t="s">
        <v>254</v>
      </c>
      <c r="K1126" s="85" t="s">
        <v>254</v>
      </c>
      <c r="L1126" s="85" t="s">
        <v>254</v>
      </c>
      <c r="M1126" s="85" t="s">
        <v>254</v>
      </c>
      <c r="N1126" s="85" t="s">
        <v>254</v>
      </c>
      <c r="O1126" s="85" t="s">
        <v>254</v>
      </c>
      <c r="P1126" s="85" t="s">
        <v>254</v>
      </c>
      <c r="Q1126" s="85" t="s">
        <v>254</v>
      </c>
      <c r="R1126" s="85"/>
    </row>
    <row r="1127" spans="1:18" ht="15">
      <c r="A1127" s="70" t="s">
        <v>254</v>
      </c>
      <c r="B1127" s="70"/>
      <c r="C1127" s="72" t="s">
        <v>1133</v>
      </c>
      <c r="D1127" s="72" t="s">
        <v>254</v>
      </c>
      <c r="E1127" s="85" t="s">
        <v>254</v>
      </c>
      <c r="F1127" s="85" t="s">
        <v>254</v>
      </c>
      <c r="G1127" s="85" t="s">
        <v>254</v>
      </c>
      <c r="H1127" s="85" t="s">
        <v>254</v>
      </c>
      <c r="I1127" s="85" t="s">
        <v>254</v>
      </c>
      <c r="J1127" s="85" t="s">
        <v>254</v>
      </c>
      <c r="K1127" s="85" t="s">
        <v>254</v>
      </c>
      <c r="L1127" s="85" t="s">
        <v>254</v>
      </c>
      <c r="M1127" s="85" t="s">
        <v>254</v>
      </c>
      <c r="N1127" s="85" t="s">
        <v>254</v>
      </c>
      <c r="O1127" s="85" t="s">
        <v>254</v>
      </c>
      <c r="P1127" s="85" t="s">
        <v>254</v>
      </c>
      <c r="Q1127" s="85" t="s">
        <v>254</v>
      </c>
      <c r="R1127" s="85"/>
    </row>
    <row r="1128" spans="1:18" ht="15">
      <c r="A1128" s="70" t="s">
        <v>254</v>
      </c>
      <c r="B1128" s="70"/>
      <c r="C1128" s="72" t="s">
        <v>925</v>
      </c>
      <c r="D1128" s="72" t="s">
        <v>254</v>
      </c>
      <c r="E1128" s="85" t="s">
        <v>254</v>
      </c>
      <c r="F1128" s="85" t="s">
        <v>254</v>
      </c>
      <c r="G1128" s="85" t="s">
        <v>254</v>
      </c>
      <c r="H1128" s="85" t="s">
        <v>254</v>
      </c>
      <c r="I1128" s="85" t="s">
        <v>254</v>
      </c>
      <c r="J1128" s="85" t="s">
        <v>254</v>
      </c>
      <c r="K1128" s="85" t="s">
        <v>254</v>
      </c>
      <c r="L1128" s="85" t="s">
        <v>254</v>
      </c>
      <c r="M1128" s="85" t="s">
        <v>254</v>
      </c>
      <c r="N1128" s="85" t="s">
        <v>254</v>
      </c>
      <c r="O1128" s="85" t="s">
        <v>254</v>
      </c>
      <c r="P1128" s="85" t="s">
        <v>254</v>
      </c>
      <c r="Q1128" s="85" t="s">
        <v>254</v>
      </c>
      <c r="R1128" s="85"/>
    </row>
    <row r="1129" spans="1:18" ht="15">
      <c r="A1129" s="70">
        <v>1</v>
      </c>
      <c r="B1129" s="70"/>
      <c r="C1129" s="72" t="s">
        <v>1134</v>
      </c>
      <c r="D1129" s="72" t="s">
        <v>254</v>
      </c>
      <c r="E1129" s="85">
        <v>641320773.6304127</v>
      </c>
      <c r="F1129" s="85" t="s">
        <v>254</v>
      </c>
      <c r="G1129" s="85">
        <v>603089687.40214503</v>
      </c>
      <c r="H1129" s="85" t="s">
        <v>254</v>
      </c>
      <c r="I1129" s="85">
        <v>38228668.668267749</v>
      </c>
      <c r="J1129" s="85">
        <v>2417.56</v>
      </c>
      <c r="K1129" s="85" t="s">
        <v>254</v>
      </c>
      <c r="L1129" s="85" t="s">
        <v>254</v>
      </c>
      <c r="M1129" s="85">
        <v>2417.56</v>
      </c>
      <c r="N1129" s="85" t="s">
        <v>254</v>
      </c>
      <c r="O1129" s="85">
        <v>0</v>
      </c>
      <c r="P1129" s="85">
        <v>0</v>
      </c>
      <c r="Q1129" s="85">
        <v>0</v>
      </c>
      <c r="R1129" s="85"/>
    </row>
    <row r="1130" spans="1:18" ht="15">
      <c r="A1130" s="70">
        <v>2</v>
      </c>
      <c r="B1130" s="70"/>
      <c r="C1130" s="72" t="s">
        <v>1135</v>
      </c>
      <c r="D1130" s="72" t="s">
        <v>254</v>
      </c>
      <c r="E1130" s="85">
        <v>400071762.12383687</v>
      </c>
      <c r="F1130" s="85" t="s">
        <v>254</v>
      </c>
      <c r="G1130" s="85">
        <v>382448127.15668082</v>
      </c>
      <c r="H1130" s="85" t="s">
        <v>254</v>
      </c>
      <c r="I1130" s="85">
        <v>17623634.967156082</v>
      </c>
      <c r="J1130" s="85">
        <v>0</v>
      </c>
      <c r="K1130" s="85" t="s">
        <v>254</v>
      </c>
      <c r="L1130" s="85" t="s">
        <v>254</v>
      </c>
      <c r="M1130" s="85">
        <v>0</v>
      </c>
      <c r="N1130" s="85" t="s">
        <v>254</v>
      </c>
      <c r="O1130" s="85">
        <v>0</v>
      </c>
      <c r="P1130" s="85">
        <v>0</v>
      </c>
      <c r="Q1130" s="85">
        <v>0</v>
      </c>
      <c r="R1130" s="85"/>
    </row>
    <row r="1131" spans="1:18" ht="15">
      <c r="A1131" s="70">
        <v>3</v>
      </c>
      <c r="B1131" s="70"/>
      <c r="C1131" s="72" t="s">
        <v>1136</v>
      </c>
      <c r="D1131" s="72" t="s">
        <v>254</v>
      </c>
      <c r="E1131" s="85">
        <v>0</v>
      </c>
      <c r="F1131" s="85" t="s">
        <v>254</v>
      </c>
      <c r="G1131" s="85">
        <v>0</v>
      </c>
      <c r="H1131" s="85" t="s">
        <v>254</v>
      </c>
      <c r="I1131" s="85">
        <v>0</v>
      </c>
      <c r="J1131" s="85">
        <v>0</v>
      </c>
      <c r="K1131" s="85" t="s">
        <v>254</v>
      </c>
      <c r="L1131" s="85" t="s">
        <v>254</v>
      </c>
      <c r="M1131" s="85">
        <v>0</v>
      </c>
      <c r="N1131" s="85" t="s">
        <v>254</v>
      </c>
      <c r="O1131" s="85">
        <v>0</v>
      </c>
      <c r="P1131" s="85">
        <v>0</v>
      </c>
      <c r="Q1131" s="85">
        <v>0</v>
      </c>
      <c r="R1131" s="85"/>
    </row>
    <row r="1132" spans="1:18" ht="15">
      <c r="A1132" s="70">
        <v>4</v>
      </c>
      <c r="B1132" s="70"/>
      <c r="C1132" s="72" t="s">
        <v>1137</v>
      </c>
      <c r="D1132" s="72" t="s">
        <v>254</v>
      </c>
      <c r="E1132" s="85">
        <v>424927105.30201465</v>
      </c>
      <c r="F1132" s="85" t="s">
        <v>254</v>
      </c>
      <c r="G1132" s="85">
        <v>414548825.781766</v>
      </c>
      <c r="H1132" s="85" t="s">
        <v>254</v>
      </c>
      <c r="I1132" s="85">
        <v>10378279.520248644</v>
      </c>
      <c r="J1132" s="85">
        <v>0</v>
      </c>
      <c r="K1132" s="85" t="s">
        <v>254</v>
      </c>
      <c r="L1132" s="85" t="s">
        <v>254</v>
      </c>
      <c r="M1132" s="85">
        <v>0</v>
      </c>
      <c r="N1132" s="85" t="s">
        <v>254</v>
      </c>
      <c r="O1132" s="85">
        <v>0</v>
      </c>
      <c r="P1132" s="85">
        <v>0</v>
      </c>
      <c r="Q1132" s="85">
        <v>0</v>
      </c>
      <c r="R1132" s="85"/>
    </row>
    <row r="1133" spans="1:18" ht="15">
      <c r="A1133" s="70">
        <v>5</v>
      </c>
      <c r="B1133" s="70"/>
      <c r="C1133" s="72" t="s">
        <v>1138</v>
      </c>
      <c r="D1133" s="72" t="s">
        <v>254</v>
      </c>
      <c r="E1133" s="85">
        <v>0</v>
      </c>
      <c r="F1133" s="85" t="s">
        <v>254</v>
      </c>
      <c r="G1133" s="85">
        <v>0</v>
      </c>
      <c r="H1133" s="85" t="s">
        <v>254</v>
      </c>
      <c r="I1133" s="85">
        <v>0</v>
      </c>
      <c r="J1133" s="85">
        <v>0</v>
      </c>
      <c r="K1133" s="85" t="s">
        <v>254</v>
      </c>
      <c r="L1133" s="85" t="s">
        <v>254</v>
      </c>
      <c r="M1133" s="85">
        <v>0</v>
      </c>
      <c r="N1133" s="85" t="s">
        <v>254</v>
      </c>
      <c r="O1133" s="85">
        <v>0</v>
      </c>
      <c r="P1133" s="85">
        <v>0</v>
      </c>
      <c r="Q1133" s="85">
        <v>0</v>
      </c>
      <c r="R1133" s="72"/>
    </row>
    <row r="1134" spans="1:18" ht="15">
      <c r="A1134" s="70">
        <v>6</v>
      </c>
      <c r="B1134" s="70"/>
      <c r="C1134" s="72" t="s">
        <v>1139</v>
      </c>
      <c r="D1134" s="72" t="s">
        <v>254</v>
      </c>
      <c r="E1134" s="85">
        <v>12222216.654964283</v>
      </c>
      <c r="F1134" s="85" t="s">
        <v>254</v>
      </c>
      <c r="G1134" s="85">
        <v>11813863.892054604</v>
      </c>
      <c r="H1134" s="85" t="s">
        <v>254</v>
      </c>
      <c r="I1134" s="85">
        <v>408352.76290967927</v>
      </c>
      <c r="J1134" s="85">
        <v>0</v>
      </c>
      <c r="K1134" s="85" t="s">
        <v>254</v>
      </c>
      <c r="L1134" s="85" t="s">
        <v>254</v>
      </c>
      <c r="M1134" s="85">
        <v>0</v>
      </c>
      <c r="N1134" s="85" t="s">
        <v>254</v>
      </c>
      <c r="O1134" s="85">
        <v>0</v>
      </c>
      <c r="P1134" s="85">
        <v>0</v>
      </c>
      <c r="Q1134" s="85">
        <v>0</v>
      </c>
      <c r="R1134" s="72"/>
    </row>
    <row r="1135" spans="1:18" ht="15">
      <c r="A1135" s="70">
        <v>7</v>
      </c>
      <c r="B1135" s="70"/>
      <c r="C1135" s="72" t="s">
        <v>1140</v>
      </c>
      <c r="D1135" s="72" t="s">
        <v>254</v>
      </c>
      <c r="E1135" s="85">
        <v>132659788.20358272</v>
      </c>
      <c r="F1135" s="85" t="s">
        <v>254</v>
      </c>
      <c r="G1135" s="85">
        <v>125993029.04854409</v>
      </c>
      <c r="H1135" s="85" t="s">
        <v>254</v>
      </c>
      <c r="I1135" s="85">
        <v>6666759.1550386222</v>
      </c>
      <c r="J1135" s="85">
        <v>0</v>
      </c>
      <c r="K1135" s="85" t="s">
        <v>254</v>
      </c>
      <c r="L1135" s="85" t="s">
        <v>254</v>
      </c>
      <c r="M1135" s="85">
        <v>0</v>
      </c>
      <c r="N1135" s="85" t="s">
        <v>254</v>
      </c>
      <c r="O1135" s="85">
        <v>0</v>
      </c>
      <c r="P1135" s="85">
        <v>0</v>
      </c>
      <c r="Q1135" s="85">
        <v>0</v>
      </c>
      <c r="R1135" s="72"/>
    </row>
    <row r="1136" spans="1:18" ht="15">
      <c r="A1136" s="70">
        <v>8</v>
      </c>
      <c r="B1136" s="70"/>
      <c r="C1136" s="72" t="s">
        <v>1141</v>
      </c>
      <c r="D1136" s="72" t="s">
        <v>254</v>
      </c>
      <c r="E1136" s="85">
        <v>0</v>
      </c>
      <c r="F1136" s="85" t="s">
        <v>254</v>
      </c>
      <c r="G1136" s="85">
        <v>0</v>
      </c>
      <c r="H1136" s="85" t="s">
        <v>254</v>
      </c>
      <c r="I1136" s="85">
        <v>0</v>
      </c>
      <c r="J1136" s="85">
        <v>0</v>
      </c>
      <c r="K1136" s="85" t="s">
        <v>254</v>
      </c>
      <c r="L1136" s="85" t="s">
        <v>254</v>
      </c>
      <c r="M1136" s="85">
        <v>0</v>
      </c>
      <c r="N1136" s="85" t="s">
        <v>254</v>
      </c>
      <c r="O1136" s="85">
        <v>0</v>
      </c>
      <c r="P1136" s="85">
        <v>0</v>
      </c>
      <c r="Q1136" s="85">
        <v>0</v>
      </c>
      <c r="R1136" s="72"/>
    </row>
    <row r="1137" spans="1:18" ht="15">
      <c r="A1137" s="70">
        <v>9</v>
      </c>
      <c r="B1137" s="70"/>
      <c r="C1137" s="72" t="s">
        <v>1142</v>
      </c>
      <c r="D1137" s="72" t="s">
        <v>254</v>
      </c>
      <c r="E1137" s="85">
        <v>119007216.81909734</v>
      </c>
      <c r="F1137" s="85" t="s">
        <v>254</v>
      </c>
      <c r="G1137" s="85">
        <v>0</v>
      </c>
      <c r="H1137" s="85" t="s">
        <v>254</v>
      </c>
      <c r="I1137" s="85">
        <v>0</v>
      </c>
      <c r="J1137" s="85">
        <v>119007216.81909734</v>
      </c>
      <c r="K1137" s="85" t="s">
        <v>254</v>
      </c>
      <c r="L1137" s="85" t="s">
        <v>254</v>
      </c>
      <c r="M1137" s="85">
        <v>0</v>
      </c>
      <c r="N1137" s="85" t="s">
        <v>254</v>
      </c>
      <c r="O1137" s="85">
        <v>119007216.81909734</v>
      </c>
      <c r="P1137" s="85">
        <v>35320912.728230186</v>
      </c>
      <c r="Q1137" s="85">
        <v>83686304.090867147</v>
      </c>
      <c r="R1137" s="72"/>
    </row>
    <row r="1138" spans="1:18" ht="15">
      <c r="A1138" s="70">
        <v>10</v>
      </c>
      <c r="B1138" s="70"/>
      <c r="C1138" s="72" t="s">
        <v>1143</v>
      </c>
      <c r="D1138" s="72" t="s">
        <v>254</v>
      </c>
      <c r="E1138" s="85">
        <v>0</v>
      </c>
      <c r="F1138" s="85" t="s">
        <v>254</v>
      </c>
      <c r="G1138" s="85">
        <v>0</v>
      </c>
      <c r="H1138" s="85" t="s">
        <v>254</v>
      </c>
      <c r="I1138" s="85">
        <v>0</v>
      </c>
      <c r="J1138" s="85">
        <v>0</v>
      </c>
      <c r="K1138" s="85" t="s">
        <v>254</v>
      </c>
      <c r="L1138" s="85" t="s">
        <v>254</v>
      </c>
      <c r="M1138" s="85">
        <v>0</v>
      </c>
      <c r="N1138" s="85" t="s">
        <v>254</v>
      </c>
      <c r="O1138" s="85">
        <v>0</v>
      </c>
      <c r="P1138" s="85">
        <v>0</v>
      </c>
      <c r="Q1138" s="85">
        <v>0</v>
      </c>
      <c r="R1138" s="72"/>
    </row>
    <row r="1139" spans="1:18" ht="15">
      <c r="A1139" s="70">
        <v>11</v>
      </c>
      <c r="B1139" s="70"/>
      <c r="C1139" s="72" t="s">
        <v>1144</v>
      </c>
      <c r="D1139" s="72" t="s">
        <v>254</v>
      </c>
      <c r="E1139" s="85">
        <v>0</v>
      </c>
      <c r="F1139" s="85" t="s">
        <v>254</v>
      </c>
      <c r="G1139" s="85">
        <v>0</v>
      </c>
      <c r="H1139" s="85" t="s">
        <v>254</v>
      </c>
      <c r="I1139" s="85">
        <v>0</v>
      </c>
      <c r="J1139" s="85">
        <v>0</v>
      </c>
      <c r="K1139" s="85" t="s">
        <v>254</v>
      </c>
      <c r="L1139" s="85" t="s">
        <v>254</v>
      </c>
      <c r="M1139" s="85">
        <v>0</v>
      </c>
      <c r="N1139" s="85" t="s">
        <v>254</v>
      </c>
      <c r="O1139" s="85">
        <v>0</v>
      </c>
      <c r="P1139" s="85">
        <v>0</v>
      </c>
      <c r="Q1139" s="85">
        <v>0</v>
      </c>
      <c r="R1139" s="72"/>
    </row>
    <row r="1140" spans="1:18" ht="15">
      <c r="A1140" s="70">
        <v>12</v>
      </c>
      <c r="B1140" s="70"/>
      <c r="C1140" s="72" t="s">
        <v>254</v>
      </c>
      <c r="D1140" s="72" t="s">
        <v>254</v>
      </c>
      <c r="E1140" s="72" t="s">
        <v>254</v>
      </c>
      <c r="F1140" s="72" t="s">
        <v>254</v>
      </c>
      <c r="G1140" s="72" t="s">
        <v>254</v>
      </c>
      <c r="H1140" s="72" t="s">
        <v>254</v>
      </c>
      <c r="I1140" s="72" t="s">
        <v>254</v>
      </c>
      <c r="J1140" s="72" t="s">
        <v>254</v>
      </c>
      <c r="K1140" s="72" t="s">
        <v>254</v>
      </c>
      <c r="L1140" s="72" t="s">
        <v>254</v>
      </c>
      <c r="M1140" s="72" t="s">
        <v>254</v>
      </c>
      <c r="N1140" s="72" t="s">
        <v>254</v>
      </c>
      <c r="O1140" s="72" t="s">
        <v>254</v>
      </c>
      <c r="P1140" s="72" t="s">
        <v>254</v>
      </c>
      <c r="Q1140" s="72" t="s">
        <v>254</v>
      </c>
      <c r="R1140" s="72"/>
    </row>
    <row r="1141" spans="1:18" ht="15">
      <c r="A1141" s="70">
        <v>13</v>
      </c>
      <c r="B1141" s="70"/>
      <c r="C1141" s="72" t="s">
        <v>254</v>
      </c>
      <c r="D1141" s="72" t="s">
        <v>254</v>
      </c>
      <c r="E1141" s="72" t="s">
        <v>254</v>
      </c>
      <c r="F1141" s="72" t="s">
        <v>254</v>
      </c>
      <c r="G1141" s="72" t="s">
        <v>254</v>
      </c>
      <c r="H1141" s="72" t="s">
        <v>254</v>
      </c>
      <c r="I1141" s="72" t="s">
        <v>254</v>
      </c>
      <c r="J1141" s="72" t="s">
        <v>254</v>
      </c>
      <c r="K1141" s="72" t="s">
        <v>254</v>
      </c>
      <c r="L1141" s="72" t="s">
        <v>254</v>
      </c>
      <c r="M1141" s="72" t="s">
        <v>254</v>
      </c>
      <c r="N1141" s="72" t="s">
        <v>254</v>
      </c>
      <c r="O1141" s="72" t="s">
        <v>254</v>
      </c>
      <c r="P1141" s="72" t="s">
        <v>254</v>
      </c>
      <c r="Q1141" s="72" t="s">
        <v>254</v>
      </c>
      <c r="R1141" s="72"/>
    </row>
    <row r="1142" spans="1:18" ht="15">
      <c r="A1142" s="70" t="s">
        <v>254</v>
      </c>
      <c r="B1142" s="70"/>
      <c r="C1142" s="72" t="s">
        <v>254</v>
      </c>
      <c r="D1142" s="72" t="s">
        <v>254</v>
      </c>
      <c r="E1142" s="89" t="s">
        <v>254</v>
      </c>
      <c r="F1142" s="89" t="s">
        <v>254</v>
      </c>
      <c r="G1142" s="89" t="s">
        <v>254</v>
      </c>
      <c r="H1142" s="89" t="s">
        <v>254</v>
      </c>
      <c r="I1142" s="89" t="s">
        <v>254</v>
      </c>
      <c r="J1142" s="89" t="s">
        <v>254</v>
      </c>
      <c r="K1142" s="89" t="s">
        <v>254</v>
      </c>
      <c r="L1142" s="89" t="s">
        <v>254</v>
      </c>
      <c r="M1142" s="89" t="s">
        <v>254</v>
      </c>
      <c r="N1142" s="89" t="s">
        <v>254</v>
      </c>
      <c r="O1142" s="89" t="s">
        <v>254</v>
      </c>
      <c r="P1142" s="89" t="s">
        <v>254</v>
      </c>
      <c r="Q1142" s="89" t="s">
        <v>254</v>
      </c>
      <c r="R1142" s="89"/>
    </row>
    <row r="1143" spans="1:18" ht="15">
      <c r="A1143" s="70" t="s">
        <v>254</v>
      </c>
      <c r="B1143" s="70"/>
      <c r="C1143" s="72" t="s">
        <v>254</v>
      </c>
      <c r="D1143" s="72" t="s">
        <v>254</v>
      </c>
      <c r="E1143" s="89" t="s">
        <v>254</v>
      </c>
      <c r="F1143" s="89" t="s">
        <v>254</v>
      </c>
      <c r="G1143" s="89" t="s">
        <v>254</v>
      </c>
      <c r="H1143" s="89" t="s">
        <v>254</v>
      </c>
      <c r="I1143" s="89" t="s">
        <v>254</v>
      </c>
      <c r="J1143" s="89" t="s">
        <v>254</v>
      </c>
      <c r="K1143" s="89" t="s">
        <v>254</v>
      </c>
      <c r="L1143" s="89" t="s">
        <v>254</v>
      </c>
      <c r="M1143" s="89" t="s">
        <v>254</v>
      </c>
      <c r="N1143" s="89" t="s">
        <v>254</v>
      </c>
      <c r="O1143" s="89" t="s">
        <v>254</v>
      </c>
      <c r="P1143" s="89" t="s">
        <v>254</v>
      </c>
      <c r="Q1143" s="89" t="s">
        <v>254</v>
      </c>
      <c r="R1143" s="89"/>
    </row>
    <row r="1144" spans="1:18" ht="15">
      <c r="A1144" s="70" t="s">
        <v>254</v>
      </c>
      <c r="B1144" s="70"/>
      <c r="C1144" s="72" t="s">
        <v>254</v>
      </c>
      <c r="D1144" s="72" t="s">
        <v>254</v>
      </c>
      <c r="E1144" s="89" t="s">
        <v>254</v>
      </c>
      <c r="F1144" s="89" t="s">
        <v>254</v>
      </c>
      <c r="G1144" s="89" t="s">
        <v>254</v>
      </c>
      <c r="H1144" s="89" t="s">
        <v>254</v>
      </c>
      <c r="I1144" s="89" t="s">
        <v>254</v>
      </c>
      <c r="J1144" s="89" t="s">
        <v>254</v>
      </c>
      <c r="K1144" s="89" t="s">
        <v>254</v>
      </c>
      <c r="L1144" s="89" t="s">
        <v>254</v>
      </c>
      <c r="M1144" s="89" t="s">
        <v>254</v>
      </c>
      <c r="N1144" s="89" t="s">
        <v>254</v>
      </c>
      <c r="O1144" s="89" t="s">
        <v>254</v>
      </c>
      <c r="P1144" s="89" t="s">
        <v>254</v>
      </c>
      <c r="Q1144" s="89" t="s">
        <v>254</v>
      </c>
      <c r="R1144" s="89"/>
    </row>
    <row r="1145" spans="1:18" ht="15">
      <c r="A1145" s="70" t="s">
        <v>254</v>
      </c>
      <c r="B1145" s="70"/>
      <c r="C1145" s="72" t="s">
        <v>254</v>
      </c>
      <c r="D1145" s="72" t="s">
        <v>254</v>
      </c>
      <c r="E1145" s="89" t="s">
        <v>254</v>
      </c>
      <c r="F1145" s="89" t="s">
        <v>254</v>
      </c>
      <c r="G1145" s="89" t="s">
        <v>254</v>
      </c>
      <c r="H1145" s="89" t="s">
        <v>254</v>
      </c>
      <c r="I1145" s="89" t="s">
        <v>254</v>
      </c>
      <c r="J1145" s="89" t="s">
        <v>254</v>
      </c>
      <c r="K1145" s="89" t="s">
        <v>254</v>
      </c>
      <c r="L1145" s="89" t="s">
        <v>254</v>
      </c>
      <c r="M1145" s="89" t="s">
        <v>254</v>
      </c>
      <c r="N1145" s="89" t="s">
        <v>254</v>
      </c>
      <c r="O1145" s="89" t="s">
        <v>254</v>
      </c>
      <c r="P1145" s="89" t="s">
        <v>254</v>
      </c>
      <c r="Q1145" s="89" t="s">
        <v>254</v>
      </c>
      <c r="R1145" s="89"/>
    </row>
    <row r="1146" spans="1:18" ht="15">
      <c r="A1146" s="70" t="s">
        <v>254</v>
      </c>
      <c r="B1146" s="70"/>
      <c r="C1146" s="72" t="s">
        <v>254</v>
      </c>
      <c r="D1146" s="72" t="s">
        <v>254</v>
      </c>
      <c r="E1146" s="89" t="s">
        <v>254</v>
      </c>
      <c r="F1146" s="89" t="s">
        <v>254</v>
      </c>
      <c r="G1146" s="89" t="s">
        <v>254</v>
      </c>
      <c r="H1146" s="89" t="s">
        <v>254</v>
      </c>
      <c r="I1146" s="89" t="s">
        <v>254</v>
      </c>
      <c r="J1146" s="89" t="s">
        <v>254</v>
      </c>
      <c r="K1146" s="89" t="s">
        <v>254</v>
      </c>
      <c r="L1146" s="89" t="s">
        <v>254</v>
      </c>
      <c r="M1146" s="89" t="s">
        <v>254</v>
      </c>
      <c r="N1146" s="89" t="s">
        <v>254</v>
      </c>
      <c r="O1146" s="89" t="s">
        <v>254</v>
      </c>
      <c r="P1146" s="89" t="s">
        <v>254</v>
      </c>
      <c r="Q1146" s="89" t="s">
        <v>254</v>
      </c>
      <c r="R1146" s="89"/>
    </row>
    <row r="1147" spans="1:18" ht="15">
      <c r="A1147" s="70" t="s">
        <v>254</v>
      </c>
      <c r="B1147" s="70"/>
      <c r="C1147" s="72" t="s">
        <v>1145</v>
      </c>
      <c r="D1147" s="72" t="s">
        <v>254</v>
      </c>
      <c r="E1147" s="89" t="s">
        <v>254</v>
      </c>
      <c r="F1147" s="89" t="s">
        <v>254</v>
      </c>
      <c r="G1147" s="89" t="s">
        <v>254</v>
      </c>
      <c r="H1147" s="89" t="s">
        <v>254</v>
      </c>
      <c r="I1147" s="89" t="s">
        <v>254</v>
      </c>
      <c r="J1147" s="89" t="s">
        <v>254</v>
      </c>
      <c r="K1147" s="89" t="s">
        <v>254</v>
      </c>
      <c r="L1147" s="89" t="s">
        <v>254</v>
      </c>
      <c r="M1147" s="89" t="s">
        <v>254</v>
      </c>
      <c r="N1147" s="89" t="s">
        <v>254</v>
      </c>
      <c r="O1147" s="89" t="s">
        <v>254</v>
      </c>
      <c r="P1147" s="89" t="s">
        <v>254</v>
      </c>
      <c r="Q1147" s="89" t="s">
        <v>254</v>
      </c>
      <c r="R1147" s="89"/>
    </row>
    <row r="1148" spans="1:18" ht="15">
      <c r="A1148" s="70" t="s">
        <v>254</v>
      </c>
      <c r="B1148" s="70"/>
      <c r="C1148" s="72" t="s">
        <v>254</v>
      </c>
      <c r="D1148" s="72" t="s">
        <v>254</v>
      </c>
      <c r="E1148" s="89" t="s">
        <v>254</v>
      </c>
      <c r="F1148" s="89" t="s">
        <v>254</v>
      </c>
      <c r="G1148" s="89" t="s">
        <v>254</v>
      </c>
      <c r="H1148" s="89" t="s">
        <v>254</v>
      </c>
      <c r="I1148" s="89" t="s">
        <v>254</v>
      </c>
      <c r="J1148" s="89" t="s">
        <v>254</v>
      </c>
      <c r="K1148" s="89" t="s">
        <v>254</v>
      </c>
      <c r="L1148" s="89" t="s">
        <v>254</v>
      </c>
      <c r="M1148" s="89" t="s">
        <v>254</v>
      </c>
      <c r="N1148" s="89" t="s">
        <v>254</v>
      </c>
      <c r="O1148" s="89" t="s">
        <v>254</v>
      </c>
      <c r="P1148" s="89" t="s">
        <v>254</v>
      </c>
      <c r="Q1148" s="89" t="s">
        <v>254</v>
      </c>
      <c r="R1148" s="89"/>
    </row>
    <row r="1149" spans="1:18" ht="15">
      <c r="A1149" s="70" t="s">
        <v>254</v>
      </c>
      <c r="B1149" s="70"/>
      <c r="C1149" s="72" t="s">
        <v>1146</v>
      </c>
      <c r="D1149" s="72" t="s">
        <v>254</v>
      </c>
      <c r="E1149" s="89" t="s">
        <v>254</v>
      </c>
      <c r="F1149" s="89" t="s">
        <v>254</v>
      </c>
      <c r="G1149" s="89" t="s">
        <v>254</v>
      </c>
      <c r="H1149" s="89" t="s">
        <v>254</v>
      </c>
      <c r="I1149" s="89" t="s">
        <v>254</v>
      </c>
      <c r="J1149" s="89" t="s">
        <v>254</v>
      </c>
      <c r="K1149" s="89" t="s">
        <v>254</v>
      </c>
      <c r="L1149" s="89" t="s">
        <v>254</v>
      </c>
      <c r="M1149" s="89" t="s">
        <v>254</v>
      </c>
      <c r="N1149" s="89" t="s">
        <v>254</v>
      </c>
      <c r="O1149" s="89" t="s">
        <v>254</v>
      </c>
      <c r="P1149" s="89" t="s">
        <v>254</v>
      </c>
      <c r="Q1149" s="89" t="s">
        <v>254</v>
      </c>
      <c r="R1149" s="89"/>
    </row>
    <row r="1150" spans="1:18" ht="15">
      <c r="A1150" s="70" t="s">
        <v>254</v>
      </c>
      <c r="B1150" s="70"/>
      <c r="C1150" s="72" t="s">
        <v>925</v>
      </c>
      <c r="D1150" s="72" t="s">
        <v>254</v>
      </c>
      <c r="E1150" s="89" t="s">
        <v>254</v>
      </c>
      <c r="F1150" s="89" t="s">
        <v>254</v>
      </c>
      <c r="G1150" s="89" t="s">
        <v>254</v>
      </c>
      <c r="H1150" s="89" t="s">
        <v>254</v>
      </c>
      <c r="I1150" s="89" t="s">
        <v>254</v>
      </c>
      <c r="J1150" s="89" t="s">
        <v>254</v>
      </c>
      <c r="K1150" s="89" t="s">
        <v>254</v>
      </c>
      <c r="L1150" s="89" t="s">
        <v>254</v>
      </c>
      <c r="M1150" s="89" t="s">
        <v>254</v>
      </c>
      <c r="N1150" s="89" t="s">
        <v>254</v>
      </c>
      <c r="O1150" s="89" t="s">
        <v>254</v>
      </c>
      <c r="P1150" s="89" t="s">
        <v>254</v>
      </c>
      <c r="Q1150" s="89" t="s">
        <v>254</v>
      </c>
      <c r="R1150" s="89"/>
    </row>
    <row r="1151" spans="1:18" ht="15">
      <c r="A1151" s="70" t="s">
        <v>254</v>
      </c>
      <c r="B1151" s="70"/>
      <c r="C1151" s="72" t="s">
        <v>926</v>
      </c>
      <c r="D1151" s="72" t="s">
        <v>254</v>
      </c>
      <c r="E1151" s="89" t="s">
        <v>254</v>
      </c>
      <c r="F1151" s="89" t="s">
        <v>254</v>
      </c>
      <c r="G1151" s="89" t="s">
        <v>254</v>
      </c>
      <c r="H1151" s="89" t="s">
        <v>254</v>
      </c>
      <c r="I1151" s="89" t="s">
        <v>254</v>
      </c>
      <c r="J1151" s="89" t="s">
        <v>254</v>
      </c>
      <c r="K1151" s="89" t="s">
        <v>254</v>
      </c>
      <c r="L1151" s="89" t="s">
        <v>254</v>
      </c>
      <c r="M1151" s="89" t="s">
        <v>254</v>
      </c>
      <c r="N1151" s="89" t="s">
        <v>254</v>
      </c>
      <c r="O1151" s="89" t="s">
        <v>254</v>
      </c>
      <c r="P1151" s="89" t="s">
        <v>254</v>
      </c>
      <c r="Q1151" s="89" t="s">
        <v>254</v>
      </c>
      <c r="R1151" s="89"/>
    </row>
    <row r="1152" spans="1:18" ht="15">
      <c r="A1152" s="70">
        <v>1</v>
      </c>
      <c r="B1152" s="70"/>
      <c r="C1152" s="72" t="s">
        <v>927</v>
      </c>
      <c r="D1152" s="72" t="s">
        <v>307</v>
      </c>
      <c r="E1152" s="89">
        <v>1</v>
      </c>
      <c r="F1152" s="89" t="s">
        <v>254</v>
      </c>
      <c r="G1152" s="89">
        <v>0.87577725766318848</v>
      </c>
      <c r="H1152" s="89" t="s">
        <v>254</v>
      </c>
      <c r="I1152" s="89">
        <v>4.0472791995134323E-2</v>
      </c>
      <c r="J1152" s="89">
        <v>8.3749950341677232E-2</v>
      </c>
      <c r="K1152" s="89" t="s">
        <v>254</v>
      </c>
      <c r="L1152" s="89" t="s">
        <v>254</v>
      </c>
      <c r="M1152" s="89">
        <v>3.0774171853047175E-6</v>
      </c>
      <c r="N1152" s="89" t="s">
        <v>254</v>
      </c>
      <c r="O1152" s="89">
        <v>8.3746872924491927E-2</v>
      </c>
      <c r="P1152" s="89">
        <v>2.5991585781884978E-2</v>
      </c>
      <c r="Q1152" s="89">
        <v>5.7755287142606949E-2</v>
      </c>
      <c r="R1152" s="89"/>
    </row>
    <row r="1153" spans="1:18" ht="15">
      <c r="A1153" s="70">
        <v>2</v>
      </c>
      <c r="B1153" s="70"/>
      <c r="C1153" s="72" t="s">
        <v>928</v>
      </c>
      <c r="D1153" s="72" t="s">
        <v>315</v>
      </c>
      <c r="E1153" s="89">
        <v>1</v>
      </c>
      <c r="F1153" s="89" t="s">
        <v>254</v>
      </c>
      <c r="G1153" s="89">
        <v>0</v>
      </c>
      <c r="H1153" s="89" t="s">
        <v>254</v>
      </c>
      <c r="I1153" s="89">
        <v>0.32581630308954224</v>
      </c>
      <c r="J1153" s="89">
        <v>0.67418369691045776</v>
      </c>
      <c r="K1153" s="89" t="s">
        <v>254</v>
      </c>
      <c r="L1153" s="89" t="s">
        <v>254</v>
      </c>
      <c r="M1153" s="89">
        <v>0</v>
      </c>
      <c r="N1153" s="89" t="s">
        <v>254</v>
      </c>
      <c r="O1153" s="89">
        <v>0.67418369691045776</v>
      </c>
      <c r="P1153" s="89">
        <v>0.20923889787258959</v>
      </c>
      <c r="Q1153" s="89">
        <v>0.46494479903786817</v>
      </c>
      <c r="R1153" s="89"/>
    </row>
    <row r="1154" spans="1:18" ht="15">
      <c r="A1154" s="70">
        <v>3</v>
      </c>
      <c r="B1154" s="70"/>
      <c r="C1154" s="72" t="s">
        <v>929</v>
      </c>
      <c r="D1154" s="72" t="s">
        <v>401</v>
      </c>
      <c r="E1154" s="89">
        <v>1</v>
      </c>
      <c r="F1154" s="89" t="s">
        <v>254</v>
      </c>
      <c r="G1154" s="89">
        <v>0</v>
      </c>
      <c r="H1154" s="89" t="s">
        <v>254</v>
      </c>
      <c r="I1154" s="89">
        <v>1</v>
      </c>
      <c r="J1154" s="89">
        <v>0</v>
      </c>
      <c r="K1154" s="89" t="s">
        <v>254</v>
      </c>
      <c r="L1154" s="89" t="s">
        <v>254</v>
      </c>
      <c r="M1154" s="89">
        <v>0</v>
      </c>
      <c r="N1154" s="89" t="s">
        <v>254</v>
      </c>
      <c r="O1154" s="89">
        <v>0</v>
      </c>
      <c r="P1154" s="89">
        <v>0</v>
      </c>
      <c r="Q1154" s="89">
        <v>0</v>
      </c>
      <c r="R1154" s="89"/>
    </row>
    <row r="1155" spans="1:18" ht="15">
      <c r="A1155" s="70">
        <v>4</v>
      </c>
      <c r="B1155" s="70"/>
      <c r="C1155" s="72" t="s">
        <v>930</v>
      </c>
      <c r="D1155" s="72" t="s">
        <v>379</v>
      </c>
      <c r="E1155" s="89">
        <v>1</v>
      </c>
      <c r="F1155" s="89" t="s">
        <v>254</v>
      </c>
      <c r="G1155" s="89">
        <v>0.91272040977937741</v>
      </c>
      <c r="H1155" s="89" t="s">
        <v>254</v>
      </c>
      <c r="I1155" s="89">
        <v>0</v>
      </c>
      <c r="J1155" s="89">
        <v>8.7279590220622622E-2</v>
      </c>
      <c r="K1155" s="89" t="s">
        <v>254</v>
      </c>
      <c r="L1155" s="89" t="s">
        <v>254</v>
      </c>
      <c r="M1155" s="89">
        <v>0</v>
      </c>
      <c r="N1155" s="89" t="s">
        <v>254</v>
      </c>
      <c r="O1155" s="89">
        <v>8.7279590220622622E-2</v>
      </c>
      <c r="P1155" s="89">
        <v>2.7087995969383175E-2</v>
      </c>
      <c r="Q1155" s="89">
        <v>6.0191594251239447E-2</v>
      </c>
      <c r="R1155" s="89"/>
    </row>
    <row r="1156" spans="1:18" ht="15">
      <c r="A1156" s="70">
        <v>5</v>
      </c>
      <c r="B1156" s="70"/>
      <c r="C1156" s="72" t="s">
        <v>931</v>
      </c>
      <c r="D1156" s="72" t="s">
        <v>317</v>
      </c>
      <c r="E1156" s="89">
        <v>1</v>
      </c>
      <c r="F1156" s="89" t="s">
        <v>254</v>
      </c>
      <c r="G1156" s="89">
        <v>0</v>
      </c>
      <c r="H1156" s="89" t="s">
        <v>254</v>
      </c>
      <c r="I1156" s="89">
        <v>0</v>
      </c>
      <c r="J1156" s="89">
        <v>1</v>
      </c>
      <c r="K1156" s="89" t="s">
        <v>254</v>
      </c>
      <c r="L1156" s="89" t="s">
        <v>254</v>
      </c>
      <c r="M1156" s="89">
        <v>0</v>
      </c>
      <c r="N1156" s="89" t="s">
        <v>254</v>
      </c>
      <c r="O1156" s="89">
        <v>1</v>
      </c>
      <c r="P1156" s="89">
        <v>0.31035888116466842</v>
      </c>
      <c r="Q1156" s="89">
        <v>0.68964111883533152</v>
      </c>
      <c r="R1156" s="89"/>
    </row>
    <row r="1157" spans="1:18" ht="15">
      <c r="A1157" s="70">
        <v>6</v>
      </c>
      <c r="B1157" s="70"/>
      <c r="C1157" s="72" t="s">
        <v>932</v>
      </c>
      <c r="D1157" s="72" t="s">
        <v>933</v>
      </c>
      <c r="E1157" s="89">
        <v>1</v>
      </c>
      <c r="F1157" s="89" t="s">
        <v>254</v>
      </c>
      <c r="G1157" s="89">
        <v>0.91271748248200535</v>
      </c>
      <c r="H1157" s="89" t="s">
        <v>254</v>
      </c>
      <c r="I1157" s="89">
        <v>0</v>
      </c>
      <c r="J1157" s="89">
        <v>8.7282517517994707E-2</v>
      </c>
      <c r="K1157" s="89" t="s">
        <v>254</v>
      </c>
      <c r="L1157" s="89" t="s">
        <v>254</v>
      </c>
      <c r="M1157" s="89">
        <v>3.2072224316635657E-6</v>
      </c>
      <c r="N1157" s="89" t="s">
        <v>254</v>
      </c>
      <c r="O1157" s="89">
        <v>8.7279310295563045E-2</v>
      </c>
      <c r="P1157" s="89">
        <v>2.7087909092154871E-2</v>
      </c>
      <c r="Q1157" s="89">
        <v>6.0191401203408171E-2</v>
      </c>
      <c r="R1157" s="89"/>
    </row>
    <row r="1158" spans="1:18" ht="15">
      <c r="A1158" s="70" t="s">
        <v>254</v>
      </c>
      <c r="B1158" s="70"/>
      <c r="C1158" s="72" t="s">
        <v>934</v>
      </c>
      <c r="D1158" s="72" t="s">
        <v>254</v>
      </c>
      <c r="E1158" s="89" t="s">
        <v>254</v>
      </c>
      <c r="F1158" s="89" t="s">
        <v>254</v>
      </c>
      <c r="G1158" s="89" t="s">
        <v>254</v>
      </c>
      <c r="H1158" s="89" t="s">
        <v>254</v>
      </c>
      <c r="I1158" s="89" t="s">
        <v>254</v>
      </c>
      <c r="J1158" s="89" t="s">
        <v>254</v>
      </c>
      <c r="K1158" s="89" t="s">
        <v>254</v>
      </c>
      <c r="L1158" s="89" t="s">
        <v>254</v>
      </c>
      <c r="M1158" s="89" t="s">
        <v>254</v>
      </c>
      <c r="N1158" s="89" t="s">
        <v>254</v>
      </c>
      <c r="O1158" s="89" t="s">
        <v>254</v>
      </c>
      <c r="P1158" s="89" t="s">
        <v>254</v>
      </c>
      <c r="Q1158" s="89" t="s">
        <v>254</v>
      </c>
      <c r="R1158" s="89"/>
    </row>
    <row r="1159" spans="1:18" ht="15">
      <c r="A1159" s="70">
        <v>7</v>
      </c>
      <c r="B1159" s="70"/>
      <c r="C1159" s="72" t="s">
        <v>935</v>
      </c>
      <c r="D1159" s="72" t="s">
        <v>575</v>
      </c>
      <c r="E1159" s="89">
        <v>1</v>
      </c>
      <c r="F1159" s="89" t="s">
        <v>254</v>
      </c>
      <c r="G1159" s="89">
        <v>0.87577725766318848</v>
      </c>
      <c r="H1159" s="89" t="s">
        <v>254</v>
      </c>
      <c r="I1159" s="89">
        <v>4.0472791995134323E-2</v>
      </c>
      <c r="J1159" s="89">
        <v>8.3749950341677232E-2</v>
      </c>
      <c r="K1159" s="89" t="s">
        <v>254</v>
      </c>
      <c r="L1159" s="89" t="s">
        <v>254</v>
      </c>
      <c r="M1159" s="89">
        <v>3.0774171853047175E-6</v>
      </c>
      <c r="N1159" s="89" t="s">
        <v>254</v>
      </c>
      <c r="O1159" s="89">
        <v>8.3746872924491927E-2</v>
      </c>
      <c r="P1159" s="89">
        <v>2.5991585781884978E-2</v>
      </c>
      <c r="Q1159" s="89">
        <v>5.7755287142606949E-2</v>
      </c>
      <c r="R1159" s="89"/>
    </row>
    <row r="1160" spans="1:18" ht="15">
      <c r="A1160" s="70">
        <v>8</v>
      </c>
      <c r="B1160" s="70"/>
      <c r="C1160" s="72" t="s">
        <v>936</v>
      </c>
      <c r="D1160" s="72" t="s">
        <v>355</v>
      </c>
      <c r="E1160" s="89">
        <v>1</v>
      </c>
      <c r="F1160" s="89" t="s">
        <v>254</v>
      </c>
      <c r="G1160" s="89">
        <v>0</v>
      </c>
      <c r="H1160" s="89" t="s">
        <v>254</v>
      </c>
      <c r="I1160" s="89">
        <v>1</v>
      </c>
      <c r="J1160" s="89">
        <v>0</v>
      </c>
      <c r="K1160" s="89" t="s">
        <v>254</v>
      </c>
      <c r="L1160" s="89" t="s">
        <v>254</v>
      </c>
      <c r="M1160" s="89">
        <v>0</v>
      </c>
      <c r="N1160" s="89" t="s">
        <v>254</v>
      </c>
      <c r="O1160" s="89">
        <v>0</v>
      </c>
      <c r="P1160" s="89">
        <v>0</v>
      </c>
      <c r="Q1160" s="89">
        <v>0</v>
      </c>
      <c r="R1160" s="89"/>
    </row>
    <row r="1161" spans="1:18" ht="15">
      <c r="A1161" s="70">
        <v>9</v>
      </c>
      <c r="B1161" s="70"/>
      <c r="C1161" s="72" t="s">
        <v>937</v>
      </c>
      <c r="D1161" s="72" t="s">
        <v>344</v>
      </c>
      <c r="E1161" s="89">
        <v>1</v>
      </c>
      <c r="F1161" s="89" t="s">
        <v>254</v>
      </c>
      <c r="G1161" s="89">
        <v>0.95582457705600388</v>
      </c>
      <c r="H1161" s="89" t="s">
        <v>254</v>
      </c>
      <c r="I1161" s="89">
        <v>4.417206424638917E-2</v>
      </c>
      <c r="J1161" s="89">
        <v>3.3586976069890221E-6</v>
      </c>
      <c r="K1161" s="89" t="s">
        <v>254</v>
      </c>
      <c r="L1161" s="89" t="s">
        <v>254</v>
      </c>
      <c r="M1161" s="89">
        <v>3.3586976069890221E-6</v>
      </c>
      <c r="N1161" s="89" t="s">
        <v>254</v>
      </c>
      <c r="O1161" s="89">
        <v>0</v>
      </c>
      <c r="P1161" s="89">
        <v>0</v>
      </c>
      <c r="Q1161" s="89">
        <v>0</v>
      </c>
      <c r="R1161" s="89"/>
    </row>
    <row r="1162" spans="1:18" ht="15">
      <c r="A1162" s="70">
        <v>10</v>
      </c>
      <c r="B1162" s="70"/>
      <c r="C1162" s="72" t="s">
        <v>938</v>
      </c>
      <c r="D1162" s="72" t="s">
        <v>939</v>
      </c>
      <c r="E1162" s="89">
        <v>1</v>
      </c>
      <c r="F1162" s="89" t="s">
        <v>254</v>
      </c>
      <c r="G1162" s="89">
        <v>0</v>
      </c>
      <c r="H1162" s="89" t="s">
        <v>254</v>
      </c>
      <c r="I1162" s="89">
        <v>0.32581630308954224</v>
      </c>
      <c r="J1162" s="89">
        <v>0.67418369691045776</v>
      </c>
      <c r="K1162" s="89" t="s">
        <v>254</v>
      </c>
      <c r="L1162" s="89" t="s">
        <v>254</v>
      </c>
      <c r="M1162" s="89">
        <v>0</v>
      </c>
      <c r="N1162" s="89" t="s">
        <v>254</v>
      </c>
      <c r="O1162" s="89">
        <v>0.67418369691045776</v>
      </c>
      <c r="P1162" s="89">
        <v>0.20923889787258959</v>
      </c>
      <c r="Q1162" s="89">
        <v>0.46494479903786817</v>
      </c>
      <c r="R1162" s="89"/>
    </row>
    <row r="1163" spans="1:18" ht="15">
      <c r="A1163" s="70">
        <v>11</v>
      </c>
      <c r="B1163" s="70"/>
      <c r="C1163" s="72" t="s">
        <v>940</v>
      </c>
      <c r="D1163" s="72" t="s">
        <v>358</v>
      </c>
      <c r="E1163" s="89">
        <v>1</v>
      </c>
      <c r="F1163" s="89" t="s">
        <v>254</v>
      </c>
      <c r="G1163" s="89">
        <v>0.99999648608553759</v>
      </c>
      <c r="H1163" s="89" t="s">
        <v>254</v>
      </c>
      <c r="I1163" s="89">
        <v>0</v>
      </c>
      <c r="J1163" s="89">
        <v>3.5139144623774761E-6</v>
      </c>
      <c r="K1163" s="89" t="s">
        <v>254</v>
      </c>
      <c r="L1163" s="89" t="s">
        <v>254</v>
      </c>
      <c r="M1163" s="89">
        <v>3.5139144623774761E-6</v>
      </c>
      <c r="N1163" s="89" t="s">
        <v>254</v>
      </c>
      <c r="O1163" s="89">
        <v>0</v>
      </c>
      <c r="P1163" s="89">
        <v>0</v>
      </c>
      <c r="Q1163" s="89">
        <v>0</v>
      </c>
      <c r="R1163" s="89"/>
    </row>
    <row r="1164" spans="1:18" ht="15">
      <c r="A1164" s="70" t="s">
        <v>254</v>
      </c>
      <c r="B1164" s="70"/>
      <c r="C1164" s="72" t="s">
        <v>254</v>
      </c>
      <c r="D1164" s="72" t="s">
        <v>254</v>
      </c>
      <c r="E1164" s="89" t="s">
        <v>254</v>
      </c>
      <c r="F1164" s="89" t="s">
        <v>254</v>
      </c>
      <c r="G1164" s="89" t="s">
        <v>254</v>
      </c>
      <c r="H1164" s="89" t="s">
        <v>254</v>
      </c>
      <c r="I1164" s="89" t="s">
        <v>254</v>
      </c>
      <c r="J1164" s="89" t="s">
        <v>254</v>
      </c>
      <c r="K1164" s="89" t="s">
        <v>254</v>
      </c>
      <c r="L1164" s="89" t="s">
        <v>254</v>
      </c>
      <c r="M1164" s="89" t="s">
        <v>254</v>
      </c>
      <c r="N1164" s="89" t="s">
        <v>254</v>
      </c>
      <c r="O1164" s="89" t="s">
        <v>254</v>
      </c>
      <c r="P1164" s="89" t="s">
        <v>254</v>
      </c>
      <c r="Q1164" s="89" t="s">
        <v>254</v>
      </c>
      <c r="R1164" s="89"/>
    </row>
    <row r="1165" spans="1:18" ht="15">
      <c r="A1165" s="70" t="s">
        <v>254</v>
      </c>
      <c r="B1165" s="70"/>
      <c r="C1165" s="72" t="s">
        <v>941</v>
      </c>
      <c r="D1165" s="72" t="s">
        <v>254</v>
      </c>
      <c r="E1165" s="89" t="s">
        <v>254</v>
      </c>
      <c r="F1165" s="89" t="s">
        <v>254</v>
      </c>
      <c r="G1165" s="89" t="s">
        <v>254</v>
      </c>
      <c r="H1165" s="89" t="s">
        <v>254</v>
      </c>
      <c r="I1165" s="89" t="s">
        <v>254</v>
      </c>
      <c r="J1165" s="89" t="s">
        <v>254</v>
      </c>
      <c r="K1165" s="89" t="s">
        <v>254</v>
      </c>
      <c r="L1165" s="89" t="s">
        <v>254</v>
      </c>
      <c r="M1165" s="89" t="s">
        <v>254</v>
      </c>
      <c r="N1165" s="89" t="s">
        <v>254</v>
      </c>
      <c r="O1165" s="89" t="s">
        <v>254</v>
      </c>
      <c r="P1165" s="89" t="s">
        <v>254</v>
      </c>
      <c r="Q1165" s="89" t="s">
        <v>254</v>
      </c>
      <c r="R1165" s="89"/>
    </row>
    <row r="1166" spans="1:18" ht="15">
      <c r="A1166" s="70">
        <v>12</v>
      </c>
      <c r="B1166" s="70"/>
      <c r="C1166" s="72" t="s">
        <v>942</v>
      </c>
      <c r="D1166" s="72" t="s">
        <v>364</v>
      </c>
      <c r="E1166" s="89">
        <v>1</v>
      </c>
      <c r="F1166" s="89" t="s">
        <v>254</v>
      </c>
      <c r="G1166" s="89">
        <v>0.9988937822163354</v>
      </c>
      <c r="H1166" s="89" t="s">
        <v>254</v>
      </c>
      <c r="I1166" s="89">
        <v>0</v>
      </c>
      <c r="J1166" s="89">
        <v>1.1062177836646085E-3</v>
      </c>
      <c r="K1166" s="89" t="s">
        <v>254</v>
      </c>
      <c r="L1166" s="89" t="s">
        <v>254</v>
      </c>
      <c r="M1166" s="89">
        <v>0</v>
      </c>
      <c r="N1166" s="89" t="s">
        <v>254</v>
      </c>
      <c r="O1166" s="89">
        <v>1.1062177836646085E-3</v>
      </c>
      <c r="P1166" s="89">
        <v>1.1062177836646085E-3</v>
      </c>
      <c r="Q1166" s="89">
        <v>0</v>
      </c>
      <c r="R1166" s="89"/>
    </row>
    <row r="1167" spans="1:18" ht="15">
      <c r="A1167" s="70">
        <v>13</v>
      </c>
      <c r="B1167" s="70"/>
      <c r="C1167" s="72" t="s">
        <v>943</v>
      </c>
      <c r="D1167" s="72" t="s">
        <v>366</v>
      </c>
      <c r="E1167" s="89">
        <v>1</v>
      </c>
      <c r="F1167" s="89" t="s">
        <v>254</v>
      </c>
      <c r="G1167" s="89">
        <v>0.97068352618418197</v>
      </c>
      <c r="H1167" s="89" t="s">
        <v>254</v>
      </c>
      <c r="I1167" s="89">
        <v>0</v>
      </c>
      <c r="J1167" s="89">
        <v>2.9316473815817992E-2</v>
      </c>
      <c r="K1167" s="89" t="s">
        <v>254</v>
      </c>
      <c r="L1167" s="89" t="s">
        <v>254</v>
      </c>
      <c r="M1167" s="89">
        <v>0</v>
      </c>
      <c r="N1167" s="89" t="s">
        <v>254</v>
      </c>
      <c r="O1167" s="89">
        <v>2.9316473815817992E-2</v>
      </c>
      <c r="P1167" s="89">
        <v>2.9316473815817992E-2</v>
      </c>
      <c r="Q1167" s="89">
        <v>0</v>
      </c>
      <c r="R1167" s="89"/>
    </row>
    <row r="1168" spans="1:18" ht="15">
      <c r="A1168" s="70">
        <v>14</v>
      </c>
      <c r="B1168" s="70"/>
      <c r="C1168" s="72" t="s">
        <v>944</v>
      </c>
      <c r="D1168" s="72" t="s">
        <v>368</v>
      </c>
      <c r="E1168" s="89">
        <v>1</v>
      </c>
      <c r="F1168" s="89" t="s">
        <v>254</v>
      </c>
      <c r="G1168" s="89">
        <v>0.97985804307371993</v>
      </c>
      <c r="H1168" s="89" t="s">
        <v>254</v>
      </c>
      <c r="I1168" s="89">
        <v>0</v>
      </c>
      <c r="J1168" s="89">
        <v>2.0141956926280076E-2</v>
      </c>
      <c r="K1168" s="89" t="s">
        <v>254</v>
      </c>
      <c r="L1168" s="89" t="s">
        <v>254</v>
      </c>
      <c r="M1168" s="89">
        <v>0</v>
      </c>
      <c r="N1168" s="89" t="s">
        <v>254</v>
      </c>
      <c r="O1168" s="89">
        <v>2.0141956926280076E-2</v>
      </c>
      <c r="P1168" s="89">
        <v>2.0141956926280076E-2</v>
      </c>
      <c r="Q1168" s="89">
        <v>0</v>
      </c>
      <c r="R1168" s="89"/>
    </row>
    <row r="1169" spans="1:18" ht="15">
      <c r="A1169" s="70">
        <v>15</v>
      </c>
      <c r="B1169" s="70"/>
      <c r="C1169" s="72" t="s">
        <v>945</v>
      </c>
      <c r="D1169" s="72" t="s">
        <v>370</v>
      </c>
      <c r="E1169" s="89">
        <v>1</v>
      </c>
      <c r="F1169" s="89" t="s">
        <v>254</v>
      </c>
      <c r="G1169" s="89">
        <v>1</v>
      </c>
      <c r="H1169" s="89" t="s">
        <v>254</v>
      </c>
      <c r="I1169" s="89">
        <v>0</v>
      </c>
      <c r="J1169" s="89">
        <v>0</v>
      </c>
      <c r="K1169" s="89" t="s">
        <v>254</v>
      </c>
      <c r="L1169" s="89" t="s">
        <v>254</v>
      </c>
      <c r="M1169" s="89">
        <v>0</v>
      </c>
      <c r="N1169" s="89" t="s">
        <v>254</v>
      </c>
      <c r="O1169" s="89">
        <v>0</v>
      </c>
      <c r="P1169" s="89">
        <v>0</v>
      </c>
      <c r="Q1169" s="89">
        <v>0</v>
      </c>
      <c r="R1169" s="89"/>
    </row>
    <row r="1170" spans="1:18" ht="15">
      <c r="A1170" s="70">
        <v>16</v>
      </c>
      <c r="B1170" s="70"/>
      <c r="C1170" s="72" t="s">
        <v>946</v>
      </c>
      <c r="D1170" s="72" t="s">
        <v>372</v>
      </c>
      <c r="E1170" s="89">
        <v>1</v>
      </c>
      <c r="F1170" s="89" t="s">
        <v>254</v>
      </c>
      <c r="G1170" s="89">
        <v>1</v>
      </c>
      <c r="H1170" s="89" t="s">
        <v>254</v>
      </c>
      <c r="I1170" s="89">
        <v>0</v>
      </c>
      <c r="J1170" s="89">
        <v>0</v>
      </c>
      <c r="K1170" s="89" t="s">
        <v>254</v>
      </c>
      <c r="L1170" s="89" t="s">
        <v>254</v>
      </c>
      <c r="M1170" s="89">
        <v>0</v>
      </c>
      <c r="N1170" s="89" t="s">
        <v>254</v>
      </c>
      <c r="O1170" s="89">
        <v>0</v>
      </c>
      <c r="P1170" s="89">
        <v>0</v>
      </c>
      <c r="Q1170" s="89">
        <v>0</v>
      </c>
      <c r="R1170" s="89"/>
    </row>
    <row r="1171" spans="1:18" ht="15">
      <c r="A1171" s="70">
        <v>17</v>
      </c>
      <c r="B1171" s="70"/>
      <c r="C1171" s="72" t="s">
        <v>947</v>
      </c>
      <c r="D1171" s="72" t="s">
        <v>374</v>
      </c>
      <c r="E1171" s="89">
        <v>1</v>
      </c>
      <c r="F1171" s="89" t="s">
        <v>254</v>
      </c>
      <c r="G1171" s="89">
        <v>1</v>
      </c>
      <c r="H1171" s="89" t="s">
        <v>254</v>
      </c>
      <c r="I1171" s="89">
        <v>0</v>
      </c>
      <c r="J1171" s="89">
        <v>0</v>
      </c>
      <c r="K1171" s="89" t="s">
        <v>254</v>
      </c>
      <c r="L1171" s="89" t="s">
        <v>254</v>
      </c>
      <c r="M1171" s="89">
        <v>0</v>
      </c>
      <c r="N1171" s="89" t="s">
        <v>254</v>
      </c>
      <c r="O1171" s="89">
        <v>0</v>
      </c>
      <c r="P1171" s="89">
        <v>0</v>
      </c>
      <c r="Q1171" s="89">
        <v>0</v>
      </c>
      <c r="R1171" s="89"/>
    </row>
    <row r="1172" spans="1:18" ht="15">
      <c r="A1172" s="70">
        <v>18</v>
      </c>
      <c r="B1172" s="70"/>
      <c r="C1172" s="72" t="s">
        <v>948</v>
      </c>
      <c r="D1172" s="72" t="s">
        <v>376</v>
      </c>
      <c r="E1172" s="89">
        <v>1</v>
      </c>
      <c r="F1172" s="89" t="s">
        <v>254</v>
      </c>
      <c r="G1172" s="89">
        <v>1</v>
      </c>
      <c r="H1172" s="89" t="s">
        <v>254</v>
      </c>
      <c r="I1172" s="89">
        <v>0</v>
      </c>
      <c r="J1172" s="89">
        <v>0</v>
      </c>
      <c r="K1172" s="89" t="s">
        <v>254</v>
      </c>
      <c r="L1172" s="89" t="s">
        <v>254</v>
      </c>
      <c r="M1172" s="89">
        <v>0</v>
      </c>
      <c r="N1172" s="89" t="s">
        <v>254</v>
      </c>
      <c r="O1172" s="89">
        <v>0</v>
      </c>
      <c r="P1172" s="89">
        <v>0</v>
      </c>
      <c r="Q1172" s="89">
        <v>0</v>
      </c>
      <c r="R1172" s="89"/>
    </row>
    <row r="1173" spans="1:18" ht="15">
      <c r="A1173" s="70">
        <v>19</v>
      </c>
      <c r="B1173" s="70"/>
      <c r="C1173" s="72" t="s">
        <v>949</v>
      </c>
      <c r="D1173" s="72" t="s">
        <v>381</v>
      </c>
      <c r="E1173" s="89">
        <v>1</v>
      </c>
      <c r="F1173" s="89" t="s">
        <v>254</v>
      </c>
      <c r="G1173" s="89">
        <v>1</v>
      </c>
      <c r="H1173" s="89" t="s">
        <v>254</v>
      </c>
      <c r="I1173" s="89">
        <v>0</v>
      </c>
      <c r="J1173" s="89">
        <v>0</v>
      </c>
      <c r="K1173" s="89" t="s">
        <v>254</v>
      </c>
      <c r="L1173" s="89" t="s">
        <v>254</v>
      </c>
      <c r="M1173" s="89">
        <v>0</v>
      </c>
      <c r="N1173" s="89" t="s">
        <v>254</v>
      </c>
      <c r="O1173" s="89">
        <v>0</v>
      </c>
      <c r="P1173" s="89">
        <v>0</v>
      </c>
      <c r="Q1173" s="89">
        <v>0</v>
      </c>
      <c r="R1173" s="89"/>
    </row>
    <row r="1174" spans="1:18" ht="15">
      <c r="A1174" s="70">
        <v>20</v>
      </c>
      <c r="B1174" s="70"/>
      <c r="C1174" s="72" t="s">
        <v>950</v>
      </c>
      <c r="D1174" s="72" t="s">
        <v>392</v>
      </c>
      <c r="E1174" s="89">
        <v>1</v>
      </c>
      <c r="F1174" s="89" t="s">
        <v>254</v>
      </c>
      <c r="G1174" s="89">
        <v>1</v>
      </c>
      <c r="H1174" s="89" t="s">
        <v>254</v>
      </c>
      <c r="I1174" s="89">
        <v>0</v>
      </c>
      <c r="J1174" s="89">
        <v>0</v>
      </c>
      <c r="K1174" s="89" t="s">
        <v>254</v>
      </c>
      <c r="L1174" s="89" t="s">
        <v>254</v>
      </c>
      <c r="M1174" s="89">
        <v>0</v>
      </c>
      <c r="N1174" s="89" t="s">
        <v>254</v>
      </c>
      <c r="O1174" s="89">
        <v>0</v>
      </c>
      <c r="P1174" s="89">
        <v>0</v>
      </c>
      <c r="Q1174" s="89">
        <v>0</v>
      </c>
      <c r="R1174" s="89"/>
    </row>
    <row r="1175" spans="1:18" ht="15">
      <c r="A1175" s="70">
        <v>21</v>
      </c>
      <c r="B1175" s="70"/>
      <c r="C1175" s="72" t="s">
        <v>951</v>
      </c>
      <c r="D1175" s="72" t="s">
        <v>395</v>
      </c>
      <c r="E1175" s="89">
        <v>1</v>
      </c>
      <c r="F1175" s="89" t="s">
        <v>254</v>
      </c>
      <c r="G1175" s="89">
        <v>0</v>
      </c>
      <c r="H1175" s="89" t="s">
        <v>254</v>
      </c>
      <c r="I1175" s="89">
        <v>1</v>
      </c>
      <c r="J1175" s="89">
        <v>0</v>
      </c>
      <c r="K1175" s="89" t="s">
        <v>254</v>
      </c>
      <c r="L1175" s="89" t="s">
        <v>254</v>
      </c>
      <c r="M1175" s="89">
        <v>0</v>
      </c>
      <c r="N1175" s="89" t="s">
        <v>254</v>
      </c>
      <c r="O1175" s="89">
        <v>0</v>
      </c>
      <c r="P1175" s="89">
        <v>0</v>
      </c>
      <c r="Q1175" s="89">
        <v>0</v>
      </c>
      <c r="R1175" s="89"/>
    </row>
    <row r="1176" spans="1:18" ht="15">
      <c r="A1176" s="70">
        <v>22</v>
      </c>
      <c r="B1176" s="70"/>
      <c r="C1176" s="72" t="s">
        <v>952</v>
      </c>
      <c r="D1176" s="72" t="s">
        <v>396</v>
      </c>
      <c r="E1176" s="89">
        <v>1</v>
      </c>
      <c r="F1176" s="89" t="s">
        <v>254</v>
      </c>
      <c r="G1176" s="89">
        <v>0</v>
      </c>
      <c r="H1176" s="89" t="s">
        <v>254</v>
      </c>
      <c r="I1176" s="89">
        <v>1</v>
      </c>
      <c r="J1176" s="89">
        <v>0</v>
      </c>
      <c r="K1176" s="89" t="s">
        <v>254</v>
      </c>
      <c r="L1176" s="89" t="s">
        <v>254</v>
      </c>
      <c r="M1176" s="89">
        <v>0</v>
      </c>
      <c r="N1176" s="89" t="s">
        <v>254</v>
      </c>
      <c r="O1176" s="89">
        <v>0</v>
      </c>
      <c r="P1176" s="89">
        <v>0</v>
      </c>
      <c r="Q1176" s="89">
        <v>0</v>
      </c>
      <c r="R1176" s="89"/>
    </row>
    <row r="1177" spans="1:18" ht="15">
      <c r="A1177" s="70">
        <v>23</v>
      </c>
      <c r="B1177" s="70"/>
      <c r="C1177" s="72" t="s">
        <v>953</v>
      </c>
      <c r="D1177" s="72" t="s">
        <v>397</v>
      </c>
      <c r="E1177" s="89">
        <v>1</v>
      </c>
      <c r="F1177" s="89" t="s">
        <v>254</v>
      </c>
      <c r="G1177" s="89">
        <v>0</v>
      </c>
      <c r="H1177" s="89" t="s">
        <v>254</v>
      </c>
      <c r="I1177" s="89">
        <v>1</v>
      </c>
      <c r="J1177" s="89">
        <v>0</v>
      </c>
      <c r="K1177" s="89" t="s">
        <v>254</v>
      </c>
      <c r="L1177" s="89" t="s">
        <v>254</v>
      </c>
      <c r="M1177" s="89">
        <v>0</v>
      </c>
      <c r="N1177" s="89" t="s">
        <v>254</v>
      </c>
      <c r="O1177" s="89">
        <v>0</v>
      </c>
      <c r="P1177" s="89">
        <v>0</v>
      </c>
      <c r="Q1177" s="89">
        <v>0</v>
      </c>
      <c r="R1177" s="89"/>
    </row>
    <row r="1178" spans="1:18" ht="15">
      <c r="A1178" s="70">
        <v>24</v>
      </c>
      <c r="B1178" s="70"/>
      <c r="C1178" s="72" t="s">
        <v>2453</v>
      </c>
      <c r="D1178" s="72" t="s">
        <v>2426</v>
      </c>
      <c r="E1178" s="89">
        <v>1</v>
      </c>
      <c r="F1178" s="89" t="s">
        <v>254</v>
      </c>
      <c r="G1178" s="89">
        <v>0.26002289334415507</v>
      </c>
      <c r="H1178" s="89" t="s">
        <v>254</v>
      </c>
      <c r="I1178" s="89">
        <v>0.73997710665584493</v>
      </c>
      <c r="J1178" s="89">
        <v>0</v>
      </c>
      <c r="K1178" s="89" t="s">
        <v>254</v>
      </c>
      <c r="L1178" s="89" t="s">
        <v>254</v>
      </c>
      <c r="M1178" s="89">
        <v>0</v>
      </c>
      <c r="N1178" s="89" t="s">
        <v>254</v>
      </c>
      <c r="O1178" s="89">
        <v>0</v>
      </c>
      <c r="P1178" s="89">
        <v>0</v>
      </c>
      <c r="Q1178" s="89">
        <v>0</v>
      </c>
      <c r="R1178" s="89"/>
    </row>
    <row r="1179" spans="1:18" ht="15">
      <c r="A1179" s="70">
        <v>25</v>
      </c>
      <c r="B1179" s="70"/>
      <c r="C1179" s="72" t="s">
        <v>954</v>
      </c>
      <c r="D1179" s="72" t="s">
        <v>398</v>
      </c>
      <c r="E1179" s="89">
        <v>1</v>
      </c>
      <c r="F1179" s="89" t="s">
        <v>254</v>
      </c>
      <c r="G1179" s="89">
        <v>0</v>
      </c>
      <c r="H1179" s="89" t="s">
        <v>254</v>
      </c>
      <c r="I1179" s="89">
        <v>1</v>
      </c>
      <c r="J1179" s="89">
        <v>0</v>
      </c>
      <c r="K1179" s="89" t="s">
        <v>254</v>
      </c>
      <c r="L1179" s="89" t="s">
        <v>254</v>
      </c>
      <c r="M1179" s="89">
        <v>0</v>
      </c>
      <c r="N1179" s="89" t="s">
        <v>254</v>
      </c>
      <c r="O1179" s="89">
        <v>0</v>
      </c>
      <c r="P1179" s="89">
        <v>0</v>
      </c>
      <c r="Q1179" s="89">
        <v>0</v>
      </c>
      <c r="R1179" s="89"/>
    </row>
    <row r="1180" spans="1:18" ht="15">
      <c r="A1180" s="70">
        <v>26</v>
      </c>
      <c r="B1180" s="70"/>
      <c r="C1180" s="72" t="s">
        <v>955</v>
      </c>
      <c r="D1180" s="72" t="s">
        <v>399</v>
      </c>
      <c r="E1180" s="89">
        <v>1</v>
      </c>
      <c r="F1180" s="89" t="s">
        <v>254</v>
      </c>
      <c r="G1180" s="89">
        <v>0</v>
      </c>
      <c r="H1180" s="89" t="s">
        <v>254</v>
      </c>
      <c r="I1180" s="89">
        <v>1</v>
      </c>
      <c r="J1180" s="89">
        <v>0</v>
      </c>
      <c r="K1180" s="89" t="s">
        <v>254</v>
      </c>
      <c r="L1180" s="89" t="s">
        <v>254</v>
      </c>
      <c r="M1180" s="89">
        <v>0</v>
      </c>
      <c r="N1180" s="89" t="s">
        <v>254</v>
      </c>
      <c r="O1180" s="89">
        <v>0</v>
      </c>
      <c r="P1180" s="89">
        <v>0</v>
      </c>
      <c r="Q1180" s="89">
        <v>0</v>
      </c>
      <c r="R1180" s="89"/>
    </row>
    <row r="1181" spans="1:18" ht="15">
      <c r="A1181" s="70">
        <v>27</v>
      </c>
      <c r="B1181" s="70"/>
      <c r="C1181" s="72" t="s">
        <v>956</v>
      </c>
      <c r="D1181" s="72" t="s">
        <v>400</v>
      </c>
      <c r="E1181" s="89">
        <v>1</v>
      </c>
      <c r="F1181" s="89" t="s">
        <v>254</v>
      </c>
      <c r="G1181" s="89">
        <v>0</v>
      </c>
      <c r="H1181" s="89" t="s">
        <v>254</v>
      </c>
      <c r="I1181" s="89">
        <v>1</v>
      </c>
      <c r="J1181" s="89">
        <v>0</v>
      </c>
      <c r="K1181" s="89" t="s">
        <v>254</v>
      </c>
      <c r="L1181" s="89" t="s">
        <v>254</v>
      </c>
      <c r="M1181" s="89">
        <v>0</v>
      </c>
      <c r="N1181" s="89" t="s">
        <v>254</v>
      </c>
      <c r="O1181" s="89">
        <v>0</v>
      </c>
      <c r="P1181" s="89">
        <v>0</v>
      </c>
      <c r="Q1181" s="89">
        <v>0</v>
      </c>
      <c r="R1181" s="89"/>
    </row>
    <row r="1182" spans="1:18" ht="15">
      <c r="A1182" s="70">
        <v>28</v>
      </c>
      <c r="B1182" s="70"/>
      <c r="C1182" s="72" t="s">
        <v>957</v>
      </c>
      <c r="D1182" s="72" t="s">
        <v>402</v>
      </c>
      <c r="E1182" s="89">
        <v>1</v>
      </c>
      <c r="F1182" s="89" t="s">
        <v>254</v>
      </c>
      <c r="G1182" s="89">
        <v>0</v>
      </c>
      <c r="H1182" s="89" t="s">
        <v>254</v>
      </c>
      <c r="I1182" s="89">
        <v>1</v>
      </c>
      <c r="J1182" s="89">
        <v>0</v>
      </c>
      <c r="K1182" s="89" t="s">
        <v>254</v>
      </c>
      <c r="L1182" s="89" t="s">
        <v>254</v>
      </c>
      <c r="M1182" s="89">
        <v>0</v>
      </c>
      <c r="N1182" s="89" t="s">
        <v>254</v>
      </c>
      <c r="O1182" s="89">
        <v>0</v>
      </c>
      <c r="P1182" s="89">
        <v>0</v>
      </c>
      <c r="Q1182" s="89">
        <v>0</v>
      </c>
      <c r="R1182" s="89"/>
    </row>
    <row r="1183" spans="1:18" ht="15">
      <c r="A1183" s="70">
        <v>29</v>
      </c>
      <c r="B1183" s="70"/>
      <c r="C1183" s="72" t="s">
        <v>958</v>
      </c>
      <c r="D1183" s="72" t="s">
        <v>409</v>
      </c>
      <c r="E1183" s="89">
        <v>1</v>
      </c>
      <c r="F1183" s="89" t="s">
        <v>254</v>
      </c>
      <c r="G1183" s="89">
        <v>0</v>
      </c>
      <c r="H1183" s="89" t="s">
        <v>254</v>
      </c>
      <c r="I1183" s="89">
        <v>0</v>
      </c>
      <c r="J1183" s="89">
        <v>1</v>
      </c>
      <c r="K1183" s="89" t="s">
        <v>254</v>
      </c>
      <c r="L1183" s="89" t="s">
        <v>254</v>
      </c>
      <c r="M1183" s="89">
        <v>1</v>
      </c>
      <c r="N1183" s="89" t="s">
        <v>254</v>
      </c>
      <c r="O1183" s="89">
        <v>0</v>
      </c>
      <c r="P1183" s="89">
        <v>0</v>
      </c>
      <c r="Q1183" s="89">
        <v>0</v>
      </c>
      <c r="R1183" s="89"/>
    </row>
    <row r="1184" spans="1:18" ht="15">
      <c r="A1184" s="70">
        <v>30</v>
      </c>
      <c r="B1184" s="70"/>
      <c r="C1184" s="72" t="s">
        <v>959</v>
      </c>
      <c r="D1184" s="72" t="s">
        <v>410</v>
      </c>
      <c r="E1184" s="89">
        <v>1</v>
      </c>
      <c r="F1184" s="89" t="s">
        <v>254</v>
      </c>
      <c r="G1184" s="89">
        <v>0</v>
      </c>
      <c r="H1184" s="89" t="s">
        <v>254</v>
      </c>
      <c r="I1184" s="89">
        <v>0</v>
      </c>
      <c r="J1184" s="89">
        <v>1</v>
      </c>
      <c r="K1184" s="89" t="s">
        <v>254</v>
      </c>
      <c r="L1184" s="89" t="s">
        <v>254</v>
      </c>
      <c r="M1184" s="89">
        <v>1</v>
      </c>
      <c r="N1184" s="89" t="s">
        <v>254</v>
      </c>
      <c r="O1184" s="89">
        <v>0</v>
      </c>
      <c r="P1184" s="89">
        <v>0</v>
      </c>
      <c r="Q1184" s="89">
        <v>0</v>
      </c>
      <c r="R1184" s="89"/>
    </row>
    <row r="1185" spans="1:18" ht="15">
      <c r="A1185" s="70">
        <v>31</v>
      </c>
      <c r="B1185" s="70"/>
      <c r="C1185" s="72" t="s">
        <v>960</v>
      </c>
      <c r="D1185" s="72" t="s">
        <v>411</v>
      </c>
      <c r="E1185" s="89">
        <v>1</v>
      </c>
      <c r="F1185" s="89" t="s">
        <v>254</v>
      </c>
      <c r="G1185" s="89">
        <v>0</v>
      </c>
      <c r="H1185" s="89" t="s">
        <v>254</v>
      </c>
      <c r="I1185" s="89">
        <v>0</v>
      </c>
      <c r="J1185" s="89">
        <v>1</v>
      </c>
      <c r="K1185" s="89" t="s">
        <v>254</v>
      </c>
      <c r="L1185" s="89" t="s">
        <v>254</v>
      </c>
      <c r="M1185" s="89">
        <v>1</v>
      </c>
      <c r="N1185" s="89" t="s">
        <v>254</v>
      </c>
      <c r="O1185" s="89">
        <v>0</v>
      </c>
      <c r="P1185" s="89">
        <v>0</v>
      </c>
      <c r="Q1185" s="89">
        <v>0</v>
      </c>
      <c r="R1185" s="89"/>
    </row>
    <row r="1186" spans="1:18" ht="15">
      <c r="A1186" s="70">
        <v>32</v>
      </c>
      <c r="B1186" s="70"/>
      <c r="C1186" s="72" t="s">
        <v>961</v>
      </c>
      <c r="D1186" s="72" t="s">
        <v>412</v>
      </c>
      <c r="E1186" s="89">
        <v>1</v>
      </c>
      <c r="F1186" s="89" t="s">
        <v>254</v>
      </c>
      <c r="G1186" s="89">
        <v>0</v>
      </c>
      <c r="H1186" s="89" t="s">
        <v>254</v>
      </c>
      <c r="I1186" s="89">
        <v>0</v>
      </c>
      <c r="J1186" s="89">
        <v>1</v>
      </c>
      <c r="K1186" s="89" t="s">
        <v>254</v>
      </c>
      <c r="L1186" s="89" t="s">
        <v>254</v>
      </c>
      <c r="M1186" s="89">
        <v>1</v>
      </c>
      <c r="N1186" s="89" t="s">
        <v>254</v>
      </c>
      <c r="O1186" s="89">
        <v>0</v>
      </c>
      <c r="P1186" s="89">
        <v>0</v>
      </c>
      <c r="Q1186" s="89">
        <v>0</v>
      </c>
      <c r="R1186" s="89"/>
    </row>
    <row r="1187" spans="1:18" ht="15">
      <c r="A1187" s="70">
        <v>33</v>
      </c>
      <c r="B1187" s="70"/>
      <c r="C1187" s="72" t="s">
        <v>962</v>
      </c>
      <c r="D1187" s="72" t="s">
        <v>413</v>
      </c>
      <c r="E1187" s="89">
        <v>1</v>
      </c>
      <c r="F1187" s="89" t="s">
        <v>254</v>
      </c>
      <c r="G1187" s="89">
        <v>0</v>
      </c>
      <c r="H1187" s="89" t="s">
        <v>254</v>
      </c>
      <c r="I1187" s="89">
        <v>0</v>
      </c>
      <c r="J1187" s="89">
        <v>1</v>
      </c>
      <c r="K1187" s="89" t="s">
        <v>254</v>
      </c>
      <c r="L1187" s="89" t="s">
        <v>254</v>
      </c>
      <c r="M1187" s="89">
        <v>1</v>
      </c>
      <c r="N1187" s="89" t="s">
        <v>254</v>
      </c>
      <c r="O1187" s="89">
        <v>0</v>
      </c>
      <c r="P1187" s="89">
        <v>0</v>
      </c>
      <c r="Q1187" s="89">
        <v>0</v>
      </c>
      <c r="R1187" s="89"/>
    </row>
    <row r="1188" spans="1:18" ht="15">
      <c r="A1188" s="70">
        <v>34</v>
      </c>
      <c r="B1188" s="70"/>
      <c r="C1188" s="72" t="s">
        <v>963</v>
      </c>
      <c r="D1188" s="72" t="s">
        <v>414</v>
      </c>
      <c r="E1188" s="89">
        <v>1</v>
      </c>
      <c r="F1188" s="89" t="s">
        <v>254</v>
      </c>
      <c r="G1188" s="89">
        <v>0</v>
      </c>
      <c r="H1188" s="89" t="s">
        <v>254</v>
      </c>
      <c r="I1188" s="89">
        <v>0</v>
      </c>
      <c r="J1188" s="89">
        <v>1</v>
      </c>
      <c r="K1188" s="89" t="s">
        <v>254</v>
      </c>
      <c r="L1188" s="89" t="s">
        <v>254</v>
      </c>
      <c r="M1188" s="89">
        <v>1</v>
      </c>
      <c r="N1188" s="89" t="s">
        <v>254</v>
      </c>
      <c r="O1188" s="89">
        <v>0</v>
      </c>
      <c r="P1188" s="89">
        <v>0</v>
      </c>
      <c r="Q1188" s="89">
        <v>0</v>
      </c>
      <c r="R1188" s="89"/>
    </row>
    <row r="1189" spans="1:18" ht="15">
      <c r="A1189" s="70">
        <v>35</v>
      </c>
      <c r="B1189" s="70"/>
      <c r="C1189" s="72" t="s">
        <v>964</v>
      </c>
      <c r="D1189" s="72" t="s">
        <v>415</v>
      </c>
      <c r="E1189" s="89">
        <v>1</v>
      </c>
      <c r="F1189" s="89" t="s">
        <v>254</v>
      </c>
      <c r="G1189" s="89">
        <v>0</v>
      </c>
      <c r="H1189" s="89" t="s">
        <v>254</v>
      </c>
      <c r="I1189" s="89">
        <v>0</v>
      </c>
      <c r="J1189" s="89">
        <v>1</v>
      </c>
      <c r="K1189" s="89" t="s">
        <v>254</v>
      </c>
      <c r="L1189" s="89" t="s">
        <v>254</v>
      </c>
      <c r="M1189" s="89">
        <v>1</v>
      </c>
      <c r="N1189" s="89" t="s">
        <v>254</v>
      </c>
      <c r="O1189" s="89">
        <v>0</v>
      </c>
      <c r="P1189" s="89">
        <v>0</v>
      </c>
      <c r="Q1189" s="89">
        <v>0</v>
      </c>
      <c r="R1189" s="89"/>
    </row>
    <row r="1190" spans="1:18" ht="15">
      <c r="A1190" s="70">
        <v>36</v>
      </c>
      <c r="B1190" s="70"/>
      <c r="C1190" s="72" t="s">
        <v>965</v>
      </c>
      <c r="D1190" s="72" t="s">
        <v>416</v>
      </c>
      <c r="E1190" s="89">
        <v>1</v>
      </c>
      <c r="F1190" s="89" t="s">
        <v>254</v>
      </c>
      <c r="G1190" s="89">
        <v>0</v>
      </c>
      <c r="H1190" s="89" t="s">
        <v>254</v>
      </c>
      <c r="I1190" s="89">
        <v>0</v>
      </c>
      <c r="J1190" s="89">
        <v>1</v>
      </c>
      <c r="K1190" s="89" t="s">
        <v>254</v>
      </c>
      <c r="L1190" s="89" t="s">
        <v>254</v>
      </c>
      <c r="M1190" s="89">
        <v>1</v>
      </c>
      <c r="N1190" s="89" t="s">
        <v>254</v>
      </c>
      <c r="O1190" s="89">
        <v>0</v>
      </c>
      <c r="P1190" s="89">
        <v>0</v>
      </c>
      <c r="Q1190" s="89">
        <v>0</v>
      </c>
      <c r="R1190" s="89"/>
    </row>
    <row r="1191" spans="1:18" ht="15">
      <c r="A1191" s="70">
        <v>37</v>
      </c>
      <c r="B1191" s="70"/>
      <c r="C1191" s="72" t="s">
        <v>966</v>
      </c>
      <c r="D1191" s="72" t="s">
        <v>417</v>
      </c>
      <c r="E1191" s="89">
        <v>0</v>
      </c>
      <c r="F1191" s="89" t="s">
        <v>254</v>
      </c>
      <c r="G1191" s="89">
        <v>0</v>
      </c>
      <c r="H1191" s="89" t="s">
        <v>254</v>
      </c>
      <c r="I1191" s="89">
        <v>0</v>
      </c>
      <c r="J1191" s="89">
        <v>0</v>
      </c>
      <c r="K1191" s="89" t="s">
        <v>254</v>
      </c>
      <c r="L1191" s="89" t="s">
        <v>254</v>
      </c>
      <c r="M1191" s="89">
        <v>0</v>
      </c>
      <c r="N1191" s="89" t="s">
        <v>254</v>
      </c>
      <c r="O1191" s="89">
        <v>0</v>
      </c>
      <c r="P1191" s="89">
        <v>0</v>
      </c>
      <c r="Q1191" s="89">
        <v>0</v>
      </c>
      <c r="R1191" s="89"/>
    </row>
    <row r="1192" spans="1:18" ht="15">
      <c r="A1192" s="70">
        <v>38</v>
      </c>
      <c r="B1192" s="70"/>
      <c r="C1192" s="72" t="s">
        <v>1147</v>
      </c>
      <c r="D1192" s="72" t="s">
        <v>467</v>
      </c>
      <c r="E1192" s="89">
        <v>1</v>
      </c>
      <c r="F1192" s="89" t="s">
        <v>254</v>
      </c>
      <c r="G1192" s="89">
        <v>0</v>
      </c>
      <c r="H1192" s="89" t="s">
        <v>254</v>
      </c>
      <c r="I1192" s="89">
        <v>0.99648772463679669</v>
      </c>
      <c r="J1192" s="89">
        <v>3.5122753632032726E-3</v>
      </c>
      <c r="K1192" s="89" t="s">
        <v>254</v>
      </c>
      <c r="L1192" s="89" t="s">
        <v>254</v>
      </c>
      <c r="M1192" s="89">
        <v>3.5122753632032726E-3</v>
      </c>
      <c r="N1192" s="89" t="s">
        <v>254</v>
      </c>
      <c r="O1192" s="89">
        <v>0</v>
      </c>
      <c r="P1192" s="89">
        <v>0</v>
      </c>
      <c r="Q1192" s="89">
        <v>0</v>
      </c>
      <c r="R1192" s="89"/>
    </row>
    <row r="1193" spans="1:18" ht="15">
      <c r="A1193" s="70">
        <v>39</v>
      </c>
      <c r="B1193" s="70"/>
      <c r="C1193" s="72" t="s">
        <v>1148</v>
      </c>
      <c r="D1193" s="72" t="s">
        <v>490</v>
      </c>
      <c r="E1193" s="89">
        <v>0</v>
      </c>
      <c r="F1193" s="89" t="s">
        <v>254</v>
      </c>
      <c r="G1193" s="89">
        <v>0</v>
      </c>
      <c r="H1193" s="89" t="s">
        <v>254</v>
      </c>
      <c r="I1193" s="89">
        <v>0</v>
      </c>
      <c r="J1193" s="89">
        <v>0</v>
      </c>
      <c r="K1193" s="89" t="s">
        <v>254</v>
      </c>
      <c r="L1193" s="89" t="s">
        <v>254</v>
      </c>
      <c r="M1193" s="89">
        <v>0</v>
      </c>
      <c r="N1193" s="89" t="s">
        <v>254</v>
      </c>
      <c r="O1193" s="89">
        <v>0</v>
      </c>
      <c r="P1193" s="89">
        <v>0</v>
      </c>
      <c r="Q1193" s="89">
        <v>0</v>
      </c>
      <c r="R1193" s="89"/>
    </row>
    <row r="1194" spans="1:18" ht="15">
      <c r="A1194" s="70">
        <v>40</v>
      </c>
      <c r="B1194" s="70"/>
      <c r="C1194" s="72" t="s">
        <v>1149</v>
      </c>
      <c r="D1194" s="72" t="s">
        <v>526</v>
      </c>
      <c r="E1194" s="89">
        <v>1</v>
      </c>
      <c r="F1194" s="89" t="s">
        <v>254</v>
      </c>
      <c r="G1194" s="89">
        <v>0</v>
      </c>
      <c r="H1194" s="89" t="s">
        <v>254</v>
      </c>
      <c r="I1194" s="89">
        <v>1</v>
      </c>
      <c r="J1194" s="89">
        <v>0</v>
      </c>
      <c r="K1194" s="89" t="s">
        <v>254</v>
      </c>
      <c r="L1194" s="89" t="s">
        <v>254</v>
      </c>
      <c r="M1194" s="89">
        <v>0</v>
      </c>
      <c r="N1194" s="89" t="s">
        <v>254</v>
      </c>
      <c r="O1194" s="89">
        <v>0</v>
      </c>
      <c r="P1194" s="89">
        <v>0</v>
      </c>
      <c r="Q1194" s="89">
        <v>0</v>
      </c>
      <c r="R1194" s="89"/>
    </row>
    <row r="1195" spans="1:18" ht="15">
      <c r="A1195" s="70">
        <v>41</v>
      </c>
      <c r="B1195" s="70"/>
      <c r="C1195" s="72" t="s">
        <v>1150</v>
      </c>
      <c r="D1195" s="72" t="s">
        <v>535</v>
      </c>
      <c r="E1195" s="89">
        <v>0</v>
      </c>
      <c r="F1195" s="89" t="s">
        <v>254</v>
      </c>
      <c r="G1195" s="89">
        <v>0</v>
      </c>
      <c r="H1195" s="89" t="s">
        <v>254</v>
      </c>
      <c r="I1195" s="89">
        <v>0</v>
      </c>
      <c r="J1195" s="89">
        <v>0</v>
      </c>
      <c r="K1195" s="89" t="s">
        <v>254</v>
      </c>
      <c r="L1195" s="89" t="s">
        <v>254</v>
      </c>
      <c r="M1195" s="89">
        <v>0</v>
      </c>
      <c r="N1195" s="89" t="s">
        <v>254</v>
      </c>
      <c r="O1195" s="89">
        <v>0</v>
      </c>
      <c r="P1195" s="89">
        <v>0</v>
      </c>
      <c r="Q1195" s="89">
        <v>0</v>
      </c>
      <c r="R1195" s="89"/>
    </row>
    <row r="1196" spans="1:18" ht="15">
      <c r="A1196" s="70">
        <v>42</v>
      </c>
      <c r="B1196" s="70"/>
      <c r="C1196" s="72" t="s">
        <v>969</v>
      </c>
      <c r="D1196" s="72" t="s">
        <v>572</v>
      </c>
      <c r="E1196" s="89">
        <v>0.99999999999999989</v>
      </c>
      <c r="F1196" s="89" t="s">
        <v>254</v>
      </c>
      <c r="G1196" s="89">
        <v>0.93321688327267494</v>
      </c>
      <c r="H1196" s="89" t="s">
        <v>254</v>
      </c>
      <c r="I1196" s="89">
        <v>6.676675845042003E-2</v>
      </c>
      <c r="J1196" s="89">
        <v>1.635827690496358E-5</v>
      </c>
      <c r="K1196" s="89" t="s">
        <v>254</v>
      </c>
      <c r="L1196" s="89" t="s">
        <v>254</v>
      </c>
      <c r="M1196" s="89">
        <v>1.635827690496358E-5</v>
      </c>
      <c r="N1196" s="89" t="s">
        <v>254</v>
      </c>
      <c r="O1196" s="89">
        <v>0</v>
      </c>
      <c r="P1196" s="89">
        <v>0</v>
      </c>
      <c r="Q1196" s="89">
        <v>0</v>
      </c>
      <c r="R1196" s="89"/>
    </row>
    <row r="1197" spans="1:18" ht="15">
      <c r="A1197" s="70">
        <v>43</v>
      </c>
      <c r="B1197" s="70"/>
      <c r="C1197" s="72" t="s">
        <v>970</v>
      </c>
      <c r="D1197" s="72" t="s">
        <v>582</v>
      </c>
      <c r="E1197" s="89">
        <v>1</v>
      </c>
      <c r="F1197" s="89" t="s">
        <v>254</v>
      </c>
      <c r="G1197" s="89">
        <v>0.85539301684948432</v>
      </c>
      <c r="H1197" s="89" t="s">
        <v>254</v>
      </c>
      <c r="I1197" s="89">
        <v>6.1384657105957911E-2</v>
      </c>
      <c r="J1197" s="89">
        <v>8.3222326044557773E-2</v>
      </c>
      <c r="K1197" s="89" t="s">
        <v>254</v>
      </c>
      <c r="L1197" s="89" t="s">
        <v>254</v>
      </c>
      <c r="M1197" s="89">
        <v>0</v>
      </c>
      <c r="N1197" s="89" t="s">
        <v>254</v>
      </c>
      <c r="O1197" s="89">
        <v>8.3222326044557773E-2</v>
      </c>
      <c r="P1197" s="89">
        <v>8.3222326044557773E-2</v>
      </c>
      <c r="Q1197" s="89">
        <v>0</v>
      </c>
      <c r="R1197" s="89"/>
    </row>
    <row r="1198" spans="1:18" ht="15">
      <c r="A1198" s="70">
        <v>44</v>
      </c>
      <c r="B1198" s="70"/>
      <c r="C1198" s="72" t="s">
        <v>971</v>
      </c>
      <c r="D1198" s="72" t="s">
        <v>580</v>
      </c>
      <c r="E1198" s="89">
        <v>1</v>
      </c>
      <c r="F1198" s="89" t="s">
        <v>254</v>
      </c>
      <c r="G1198" s="89">
        <v>-0.37817716913235305</v>
      </c>
      <c r="H1198" s="89" t="s">
        <v>254</v>
      </c>
      <c r="I1198" s="89">
        <v>0</v>
      </c>
      <c r="J1198" s="89">
        <v>1.378177169132353</v>
      </c>
      <c r="K1198" s="89" t="s">
        <v>254</v>
      </c>
      <c r="L1198" s="89" t="s">
        <v>254</v>
      </c>
      <c r="M1198" s="89">
        <v>0</v>
      </c>
      <c r="N1198" s="89" t="s">
        <v>254</v>
      </c>
      <c r="O1198" s="89">
        <v>1.378177169132353</v>
      </c>
      <c r="P1198" s="89">
        <v>0.40903801312284482</v>
      </c>
      <c r="Q1198" s="89">
        <v>0.96913915600950828</v>
      </c>
      <c r="R1198" s="89"/>
    </row>
    <row r="1199" spans="1:18" ht="15">
      <c r="A1199" s="70">
        <v>45</v>
      </c>
      <c r="B1199" s="70"/>
      <c r="C1199" s="72" t="s">
        <v>1151</v>
      </c>
      <c r="D1199" s="72" t="s">
        <v>568</v>
      </c>
      <c r="E1199" s="89">
        <v>1</v>
      </c>
      <c r="F1199" s="89" t="s">
        <v>254</v>
      </c>
      <c r="G1199" s="89">
        <v>0.94655437530962694</v>
      </c>
      <c r="H1199" s="89" t="s">
        <v>254</v>
      </c>
      <c r="I1199" s="89">
        <v>5.3445624690373096E-2</v>
      </c>
      <c r="J1199" s="89">
        <v>0</v>
      </c>
      <c r="K1199" s="89" t="s">
        <v>254</v>
      </c>
      <c r="L1199" s="89" t="s">
        <v>254</v>
      </c>
      <c r="M1199" s="89">
        <v>0</v>
      </c>
      <c r="N1199" s="89" t="s">
        <v>254</v>
      </c>
      <c r="O1199" s="89">
        <v>0</v>
      </c>
      <c r="P1199" s="89">
        <v>0</v>
      </c>
      <c r="Q1199" s="89">
        <v>0</v>
      </c>
      <c r="R1199" s="89"/>
    </row>
    <row r="1200" spans="1:18" ht="15">
      <c r="A1200" s="70">
        <v>46</v>
      </c>
      <c r="B1200" s="70"/>
      <c r="C1200" s="72" t="s">
        <v>1152</v>
      </c>
      <c r="D1200" s="72" t="s">
        <v>570</v>
      </c>
      <c r="E1200" s="89">
        <v>1</v>
      </c>
      <c r="F1200" s="89" t="s">
        <v>254</v>
      </c>
      <c r="G1200" s="89">
        <v>0.99541291573424273</v>
      </c>
      <c r="H1200" s="89" t="s">
        <v>254</v>
      </c>
      <c r="I1200" s="89">
        <v>4.5870842657573145E-3</v>
      </c>
      <c r="J1200" s="89">
        <v>0</v>
      </c>
      <c r="K1200" s="89" t="s">
        <v>254</v>
      </c>
      <c r="L1200" s="89" t="s">
        <v>254</v>
      </c>
      <c r="M1200" s="89">
        <v>0</v>
      </c>
      <c r="N1200" s="89" t="s">
        <v>254</v>
      </c>
      <c r="O1200" s="89">
        <v>0</v>
      </c>
      <c r="P1200" s="89">
        <v>0</v>
      </c>
      <c r="Q1200" s="89">
        <v>0</v>
      </c>
      <c r="R1200" s="89"/>
    </row>
    <row r="1201" spans="1:18" ht="15">
      <c r="A1201" s="70">
        <v>47</v>
      </c>
      <c r="B1201" s="70"/>
      <c r="C1201" s="72" t="s">
        <v>1153</v>
      </c>
      <c r="D1201" s="72" t="s">
        <v>578</v>
      </c>
      <c r="E1201" s="89">
        <v>0.99999999999999989</v>
      </c>
      <c r="F1201" s="89" t="s">
        <v>254</v>
      </c>
      <c r="G1201" s="89">
        <v>1.0008701472556893</v>
      </c>
      <c r="H1201" s="89" t="s">
        <v>254</v>
      </c>
      <c r="I1201" s="89">
        <v>-8.7014725568942432E-4</v>
      </c>
      <c r="J1201" s="89">
        <v>0</v>
      </c>
      <c r="K1201" s="89" t="s">
        <v>254</v>
      </c>
      <c r="L1201" s="89" t="s">
        <v>254</v>
      </c>
      <c r="M1201" s="89">
        <v>0</v>
      </c>
      <c r="N1201" s="89" t="s">
        <v>254</v>
      </c>
      <c r="O1201" s="89">
        <v>0</v>
      </c>
      <c r="P1201" s="89">
        <v>0</v>
      </c>
      <c r="Q1201" s="89">
        <v>0</v>
      </c>
      <c r="R1201" s="89"/>
    </row>
    <row r="1202" spans="1:18" ht="15">
      <c r="A1202" s="70">
        <v>48</v>
      </c>
      <c r="B1202" s="70"/>
      <c r="C1202" s="72" t="s">
        <v>975</v>
      </c>
      <c r="D1202" s="72" t="s">
        <v>976</v>
      </c>
      <c r="E1202" s="89">
        <v>1</v>
      </c>
      <c r="F1202" s="89" t="s">
        <v>254</v>
      </c>
      <c r="G1202" s="89">
        <v>0</v>
      </c>
      <c r="H1202" s="89" t="s">
        <v>254</v>
      </c>
      <c r="I1202" s="89">
        <v>1</v>
      </c>
      <c r="J1202" s="89">
        <v>0</v>
      </c>
      <c r="K1202" s="89" t="s">
        <v>254</v>
      </c>
      <c r="L1202" s="89" t="s">
        <v>254</v>
      </c>
      <c r="M1202" s="89">
        <v>0</v>
      </c>
      <c r="N1202" s="89" t="s">
        <v>254</v>
      </c>
      <c r="O1202" s="89">
        <v>0</v>
      </c>
      <c r="P1202" s="89">
        <v>0</v>
      </c>
      <c r="Q1202" s="89">
        <v>0</v>
      </c>
      <c r="R1202" s="89"/>
    </row>
    <row r="1203" spans="1:18" ht="15">
      <c r="A1203" s="70">
        <v>49</v>
      </c>
      <c r="B1203" s="70"/>
      <c r="C1203" s="72" t="s">
        <v>977</v>
      </c>
      <c r="D1203" s="72" t="s">
        <v>775</v>
      </c>
      <c r="E1203" s="89">
        <v>0</v>
      </c>
      <c r="F1203" s="89" t="s">
        <v>254</v>
      </c>
      <c r="G1203" s="89">
        <v>0</v>
      </c>
      <c r="H1203" s="89" t="s">
        <v>254</v>
      </c>
      <c r="I1203" s="89">
        <v>0</v>
      </c>
      <c r="J1203" s="89">
        <v>0</v>
      </c>
      <c r="K1203" s="89" t="s">
        <v>254</v>
      </c>
      <c r="L1203" s="89" t="s">
        <v>254</v>
      </c>
      <c r="M1203" s="89">
        <v>0</v>
      </c>
      <c r="N1203" s="89" t="s">
        <v>254</v>
      </c>
      <c r="O1203" s="89">
        <v>0</v>
      </c>
      <c r="P1203" s="89">
        <v>0</v>
      </c>
      <c r="Q1203" s="89">
        <v>0</v>
      </c>
      <c r="R1203" s="89"/>
    </row>
    <row r="1204" spans="1:18" ht="15">
      <c r="A1204" s="70">
        <v>50</v>
      </c>
      <c r="B1204" s="70"/>
      <c r="C1204" s="72" t="s">
        <v>978</v>
      </c>
      <c r="D1204" s="72" t="s">
        <v>544</v>
      </c>
      <c r="E1204" s="89">
        <v>1</v>
      </c>
      <c r="F1204" s="89" t="s">
        <v>254</v>
      </c>
      <c r="G1204" s="89">
        <v>0</v>
      </c>
      <c r="H1204" s="89" t="s">
        <v>254</v>
      </c>
      <c r="I1204" s="89">
        <v>1</v>
      </c>
      <c r="J1204" s="89">
        <v>0</v>
      </c>
      <c r="K1204" s="89" t="s">
        <v>254</v>
      </c>
      <c r="L1204" s="89" t="s">
        <v>254</v>
      </c>
      <c r="M1204" s="89">
        <v>0</v>
      </c>
      <c r="N1204" s="89" t="s">
        <v>254</v>
      </c>
      <c r="O1204" s="89">
        <v>0</v>
      </c>
      <c r="P1204" s="89">
        <v>0</v>
      </c>
      <c r="Q1204" s="89">
        <v>0</v>
      </c>
      <c r="R1204" s="89"/>
    </row>
    <row r="1205" spans="1:18" ht="15">
      <c r="A1205" s="70" t="s">
        <v>254</v>
      </c>
      <c r="B1205" s="70"/>
      <c r="C1205" s="72" t="s">
        <v>254</v>
      </c>
      <c r="D1205" s="72" t="s">
        <v>254</v>
      </c>
      <c r="E1205" s="89" t="s">
        <v>254</v>
      </c>
      <c r="F1205" s="89" t="s">
        <v>254</v>
      </c>
      <c r="G1205" s="89" t="s">
        <v>254</v>
      </c>
      <c r="H1205" s="89" t="s">
        <v>254</v>
      </c>
      <c r="I1205" s="89" t="s">
        <v>254</v>
      </c>
      <c r="J1205" s="89" t="s">
        <v>254</v>
      </c>
      <c r="K1205" s="89" t="s">
        <v>254</v>
      </c>
      <c r="L1205" s="89" t="s">
        <v>254</v>
      </c>
      <c r="M1205" s="89" t="s">
        <v>254</v>
      </c>
      <c r="N1205" s="89" t="s">
        <v>254</v>
      </c>
      <c r="O1205" s="89" t="s">
        <v>254</v>
      </c>
      <c r="P1205" s="89" t="s">
        <v>254</v>
      </c>
      <c r="Q1205" s="89" t="s">
        <v>254</v>
      </c>
      <c r="R1205" s="89"/>
    </row>
    <row r="1206" spans="1:18" ht="15">
      <c r="A1206" s="70" t="s">
        <v>254</v>
      </c>
      <c r="B1206" s="70"/>
      <c r="C1206" s="72" t="s">
        <v>254</v>
      </c>
      <c r="D1206" s="72" t="s">
        <v>254</v>
      </c>
      <c r="E1206" s="89" t="s">
        <v>254</v>
      </c>
      <c r="F1206" s="89" t="s">
        <v>254</v>
      </c>
      <c r="G1206" s="89" t="s">
        <v>254</v>
      </c>
      <c r="H1206" s="89" t="s">
        <v>254</v>
      </c>
      <c r="I1206" s="89" t="s">
        <v>254</v>
      </c>
      <c r="J1206" s="89" t="s">
        <v>254</v>
      </c>
      <c r="K1206" s="89" t="s">
        <v>254</v>
      </c>
      <c r="L1206" s="89" t="s">
        <v>254</v>
      </c>
      <c r="M1206" s="89" t="s">
        <v>254</v>
      </c>
      <c r="N1206" s="89" t="s">
        <v>254</v>
      </c>
      <c r="O1206" s="89" t="s">
        <v>254</v>
      </c>
      <c r="P1206" s="89" t="s">
        <v>254</v>
      </c>
      <c r="Q1206" s="89" t="s">
        <v>254</v>
      </c>
      <c r="R1206" s="89"/>
    </row>
    <row r="1207" spans="1:18" ht="15">
      <c r="A1207" s="70" t="s">
        <v>254</v>
      </c>
      <c r="B1207" s="70"/>
      <c r="C1207" s="72" t="s">
        <v>498</v>
      </c>
      <c r="D1207" s="72" t="s">
        <v>254</v>
      </c>
      <c r="E1207" s="89" t="s">
        <v>254</v>
      </c>
      <c r="F1207" s="89" t="s">
        <v>254</v>
      </c>
      <c r="G1207" s="89" t="s">
        <v>254</v>
      </c>
      <c r="H1207" s="89" t="s">
        <v>254</v>
      </c>
      <c r="I1207" s="89" t="s">
        <v>254</v>
      </c>
      <c r="J1207" s="89" t="s">
        <v>254</v>
      </c>
      <c r="K1207" s="89" t="s">
        <v>254</v>
      </c>
      <c r="L1207" s="89" t="s">
        <v>254</v>
      </c>
      <c r="M1207" s="89" t="s">
        <v>254</v>
      </c>
      <c r="N1207" s="89" t="s">
        <v>254</v>
      </c>
      <c r="O1207" s="89" t="s">
        <v>254</v>
      </c>
      <c r="P1207" s="89" t="s">
        <v>254</v>
      </c>
      <c r="Q1207" s="89" t="s">
        <v>254</v>
      </c>
      <c r="R1207" s="89"/>
    </row>
    <row r="1208" spans="1:18" ht="15">
      <c r="A1208" s="70" t="s">
        <v>254</v>
      </c>
      <c r="B1208" s="70"/>
      <c r="C1208" s="72" t="s">
        <v>925</v>
      </c>
      <c r="D1208" s="72" t="s">
        <v>254</v>
      </c>
      <c r="E1208" s="89" t="s">
        <v>254</v>
      </c>
      <c r="F1208" s="89" t="s">
        <v>254</v>
      </c>
      <c r="G1208" s="89" t="s">
        <v>254</v>
      </c>
      <c r="H1208" s="89" t="s">
        <v>254</v>
      </c>
      <c r="I1208" s="89" t="s">
        <v>254</v>
      </c>
      <c r="J1208" s="89" t="s">
        <v>254</v>
      </c>
      <c r="K1208" s="89" t="s">
        <v>254</v>
      </c>
      <c r="L1208" s="89" t="s">
        <v>254</v>
      </c>
      <c r="M1208" s="89" t="s">
        <v>254</v>
      </c>
      <c r="N1208" s="89" t="s">
        <v>254</v>
      </c>
      <c r="O1208" s="89" t="s">
        <v>254</v>
      </c>
      <c r="P1208" s="89" t="s">
        <v>254</v>
      </c>
      <c r="Q1208" s="89" t="s">
        <v>254</v>
      </c>
      <c r="R1208" s="89"/>
    </row>
    <row r="1209" spans="1:18" ht="15">
      <c r="A1209" s="70">
        <v>1</v>
      </c>
      <c r="B1209" s="70"/>
      <c r="C1209" s="72" t="s">
        <v>979</v>
      </c>
      <c r="D1209" s="72" t="s">
        <v>498</v>
      </c>
      <c r="E1209" s="89">
        <v>0.99999999999999989</v>
      </c>
      <c r="F1209" s="89" t="s">
        <v>254</v>
      </c>
      <c r="G1209" s="89">
        <v>0.87938242823882584</v>
      </c>
      <c r="H1209" s="89" t="s">
        <v>254</v>
      </c>
      <c r="I1209" s="89">
        <v>3.645521737695509E-2</v>
      </c>
      <c r="J1209" s="89">
        <v>8.4162354384218929E-2</v>
      </c>
      <c r="K1209" s="89" t="s">
        <v>254</v>
      </c>
      <c r="L1209" s="89" t="s">
        <v>254</v>
      </c>
      <c r="M1209" s="89">
        <v>4.2409014282972137E-6</v>
      </c>
      <c r="N1209" s="89" t="s">
        <v>254</v>
      </c>
      <c r="O1209" s="89">
        <v>8.4158113482790634E-2</v>
      </c>
      <c r="P1209" s="89">
        <v>2.6595092457872348E-2</v>
      </c>
      <c r="Q1209" s="89">
        <v>5.7563021024918289E-2</v>
      </c>
      <c r="R1209" s="89"/>
    </row>
    <row r="1210" spans="1:18" ht="15">
      <c r="A1210" s="70">
        <v>2</v>
      </c>
      <c r="B1210" s="70"/>
      <c r="C1210" s="72" t="s">
        <v>980</v>
      </c>
      <c r="D1210" s="72" t="s">
        <v>744</v>
      </c>
      <c r="E1210" s="89">
        <v>1</v>
      </c>
      <c r="F1210" s="89" t="s">
        <v>254</v>
      </c>
      <c r="G1210" s="89">
        <v>0.96019022626598516</v>
      </c>
      <c r="H1210" s="89" t="s">
        <v>254</v>
      </c>
      <c r="I1210" s="89">
        <v>3.9805143129659715E-2</v>
      </c>
      <c r="J1210" s="89">
        <v>4.6306043551083253E-6</v>
      </c>
      <c r="K1210" s="89" t="s">
        <v>254</v>
      </c>
      <c r="L1210" s="89" t="s">
        <v>254</v>
      </c>
      <c r="M1210" s="89">
        <v>4.6306043551083253E-6</v>
      </c>
      <c r="N1210" s="89" t="s">
        <v>254</v>
      </c>
      <c r="O1210" s="89">
        <v>0</v>
      </c>
      <c r="P1210" s="89">
        <v>0</v>
      </c>
      <c r="Q1210" s="89">
        <v>0</v>
      </c>
      <c r="R1210" s="89"/>
    </row>
    <row r="1211" spans="1:18" ht="15">
      <c r="A1211" s="70">
        <v>3</v>
      </c>
      <c r="B1211" s="70"/>
      <c r="C1211" s="72" t="s">
        <v>254</v>
      </c>
      <c r="D1211" s="72" t="s">
        <v>254</v>
      </c>
      <c r="E1211" s="89" t="s">
        <v>254</v>
      </c>
      <c r="F1211" s="89" t="s">
        <v>254</v>
      </c>
      <c r="G1211" s="89" t="s">
        <v>254</v>
      </c>
      <c r="H1211" s="89" t="s">
        <v>254</v>
      </c>
      <c r="I1211" s="89" t="s">
        <v>254</v>
      </c>
      <c r="J1211" s="89" t="s">
        <v>254</v>
      </c>
      <c r="K1211" s="89" t="s">
        <v>254</v>
      </c>
      <c r="L1211" s="89" t="s">
        <v>254</v>
      </c>
      <c r="M1211" s="89" t="s">
        <v>254</v>
      </c>
      <c r="N1211" s="89" t="s">
        <v>254</v>
      </c>
      <c r="O1211" s="89" t="s">
        <v>254</v>
      </c>
      <c r="P1211" s="89" t="s">
        <v>254</v>
      </c>
      <c r="Q1211" s="89" t="s">
        <v>254</v>
      </c>
      <c r="R1211" s="89"/>
    </row>
    <row r="1212" spans="1:18" ht="15">
      <c r="A1212" s="70">
        <v>4</v>
      </c>
      <c r="B1212" s="70"/>
      <c r="C1212" s="72" t="s">
        <v>254</v>
      </c>
      <c r="D1212" s="72" t="s">
        <v>254</v>
      </c>
      <c r="E1212" s="89" t="s">
        <v>254</v>
      </c>
      <c r="F1212" s="89" t="s">
        <v>254</v>
      </c>
      <c r="G1212" s="89" t="s">
        <v>254</v>
      </c>
      <c r="H1212" s="89" t="s">
        <v>254</v>
      </c>
      <c r="I1212" s="89" t="s">
        <v>254</v>
      </c>
      <c r="J1212" s="89" t="s">
        <v>254</v>
      </c>
      <c r="K1212" s="89" t="s">
        <v>254</v>
      </c>
      <c r="L1212" s="89" t="s">
        <v>254</v>
      </c>
      <c r="M1212" s="89" t="s">
        <v>254</v>
      </c>
      <c r="N1212" s="89" t="s">
        <v>254</v>
      </c>
      <c r="O1212" s="89" t="s">
        <v>254</v>
      </c>
      <c r="P1212" s="89" t="s">
        <v>254</v>
      </c>
      <c r="Q1212" s="89" t="s">
        <v>254</v>
      </c>
      <c r="R1212" s="89"/>
    </row>
    <row r="1213" spans="1:18" ht="15">
      <c r="A1213" s="70" t="s">
        <v>254</v>
      </c>
      <c r="B1213" s="70"/>
      <c r="C1213" s="72" t="s">
        <v>254</v>
      </c>
      <c r="D1213" s="72" t="s">
        <v>254</v>
      </c>
      <c r="E1213" s="89" t="s">
        <v>254</v>
      </c>
      <c r="F1213" s="89" t="s">
        <v>254</v>
      </c>
      <c r="G1213" s="89" t="s">
        <v>254</v>
      </c>
      <c r="H1213" s="89" t="s">
        <v>254</v>
      </c>
      <c r="I1213" s="89" t="s">
        <v>254</v>
      </c>
      <c r="J1213" s="89" t="s">
        <v>254</v>
      </c>
      <c r="K1213" s="89" t="s">
        <v>254</v>
      </c>
      <c r="L1213" s="89" t="s">
        <v>254</v>
      </c>
      <c r="M1213" s="89" t="s">
        <v>254</v>
      </c>
      <c r="N1213" s="89" t="s">
        <v>254</v>
      </c>
      <c r="O1213" s="89" t="s">
        <v>254</v>
      </c>
      <c r="P1213" s="89" t="s">
        <v>254</v>
      </c>
      <c r="Q1213" s="89" t="s">
        <v>254</v>
      </c>
      <c r="R1213" s="89"/>
    </row>
    <row r="1214" spans="1:18" ht="15">
      <c r="A1214" s="70" t="s">
        <v>254</v>
      </c>
      <c r="B1214" s="70"/>
      <c r="C1214" s="72" t="s">
        <v>981</v>
      </c>
      <c r="D1214" s="72" t="s">
        <v>254</v>
      </c>
      <c r="E1214" s="89" t="s">
        <v>254</v>
      </c>
      <c r="F1214" s="89" t="s">
        <v>254</v>
      </c>
      <c r="G1214" s="89" t="s">
        <v>254</v>
      </c>
      <c r="H1214" s="89" t="s">
        <v>254</v>
      </c>
      <c r="I1214" s="89" t="s">
        <v>254</v>
      </c>
      <c r="J1214" s="89" t="s">
        <v>254</v>
      </c>
      <c r="K1214" s="89" t="s">
        <v>254</v>
      </c>
      <c r="L1214" s="89" t="s">
        <v>254</v>
      </c>
      <c r="M1214" s="89" t="s">
        <v>254</v>
      </c>
      <c r="N1214" s="89" t="s">
        <v>254</v>
      </c>
      <c r="O1214" s="89" t="s">
        <v>254</v>
      </c>
      <c r="P1214" s="89" t="s">
        <v>254</v>
      </c>
      <c r="Q1214" s="89" t="s">
        <v>254</v>
      </c>
      <c r="R1214" s="89"/>
    </row>
    <row r="1215" spans="1:18" ht="15">
      <c r="A1215" s="70" t="s">
        <v>254</v>
      </c>
      <c r="B1215" s="70"/>
      <c r="C1215" s="72" t="s">
        <v>925</v>
      </c>
      <c r="D1215" s="72" t="s">
        <v>254</v>
      </c>
      <c r="E1215" s="89" t="s">
        <v>254</v>
      </c>
      <c r="F1215" s="89" t="s">
        <v>254</v>
      </c>
      <c r="G1215" s="89" t="s">
        <v>254</v>
      </c>
      <c r="H1215" s="89" t="s">
        <v>254</v>
      </c>
      <c r="I1215" s="89" t="s">
        <v>254</v>
      </c>
      <c r="J1215" s="89" t="s">
        <v>254</v>
      </c>
      <c r="K1215" s="89" t="s">
        <v>254</v>
      </c>
      <c r="L1215" s="89" t="s">
        <v>254</v>
      </c>
      <c r="M1215" s="89" t="s">
        <v>254</v>
      </c>
      <c r="N1215" s="89" t="s">
        <v>254</v>
      </c>
      <c r="O1215" s="89" t="s">
        <v>254</v>
      </c>
      <c r="P1215" s="89" t="s">
        <v>254</v>
      </c>
      <c r="Q1215" s="89" t="s">
        <v>254</v>
      </c>
      <c r="R1215" s="89"/>
    </row>
    <row r="1216" spans="1:18" ht="15">
      <c r="A1216" s="70">
        <v>1</v>
      </c>
      <c r="B1216" s="70"/>
      <c r="C1216" s="72" t="s">
        <v>1154</v>
      </c>
      <c r="D1216" s="72" t="s">
        <v>384</v>
      </c>
      <c r="E1216" s="89">
        <v>1</v>
      </c>
      <c r="F1216" s="89" t="s">
        <v>254</v>
      </c>
      <c r="G1216" s="89">
        <v>1</v>
      </c>
      <c r="H1216" s="89" t="s">
        <v>254</v>
      </c>
      <c r="I1216" s="89">
        <v>0</v>
      </c>
      <c r="J1216" s="89">
        <v>0</v>
      </c>
      <c r="K1216" s="89" t="s">
        <v>254</v>
      </c>
      <c r="L1216" s="89" t="s">
        <v>254</v>
      </c>
      <c r="M1216" s="89">
        <v>0</v>
      </c>
      <c r="N1216" s="89" t="s">
        <v>254</v>
      </c>
      <c r="O1216" s="89">
        <v>0</v>
      </c>
      <c r="P1216" s="89">
        <v>0</v>
      </c>
      <c r="Q1216" s="89">
        <v>0</v>
      </c>
      <c r="R1216" s="89"/>
    </row>
    <row r="1217" spans="1:18" ht="15">
      <c r="A1217" s="70">
        <v>2</v>
      </c>
      <c r="B1217" s="70"/>
      <c r="C1217" s="72" t="s">
        <v>1155</v>
      </c>
      <c r="D1217" s="72" t="s">
        <v>386</v>
      </c>
      <c r="E1217" s="89">
        <v>1</v>
      </c>
      <c r="F1217" s="89" t="s">
        <v>254</v>
      </c>
      <c r="G1217" s="89">
        <v>0.99514880490542212</v>
      </c>
      <c r="H1217" s="89" t="s">
        <v>254</v>
      </c>
      <c r="I1217" s="89">
        <v>0</v>
      </c>
      <c r="J1217" s="89">
        <v>4.8511950945778664E-3</v>
      </c>
      <c r="K1217" s="89" t="s">
        <v>254</v>
      </c>
      <c r="L1217" s="89" t="s">
        <v>254</v>
      </c>
      <c r="M1217" s="89">
        <v>0</v>
      </c>
      <c r="N1217" s="89" t="s">
        <v>254</v>
      </c>
      <c r="O1217" s="89">
        <v>4.8511950945778664E-3</v>
      </c>
      <c r="P1217" s="89">
        <v>8.477051735691027E-4</v>
      </c>
      <c r="Q1217" s="89">
        <v>4.0034899210087639E-3</v>
      </c>
      <c r="R1217" s="89"/>
    </row>
    <row r="1218" spans="1:18" ht="15">
      <c r="A1218" s="70">
        <v>3</v>
      </c>
      <c r="B1218" s="70"/>
      <c r="C1218" s="72" t="s">
        <v>1156</v>
      </c>
      <c r="D1218" s="72" t="s">
        <v>388</v>
      </c>
      <c r="E1218" s="89">
        <v>1</v>
      </c>
      <c r="F1218" s="89" t="s">
        <v>254</v>
      </c>
      <c r="G1218" s="89">
        <v>1</v>
      </c>
      <c r="H1218" s="89" t="s">
        <v>254</v>
      </c>
      <c r="I1218" s="89">
        <v>0</v>
      </c>
      <c r="J1218" s="89">
        <v>0</v>
      </c>
      <c r="K1218" s="89" t="s">
        <v>254</v>
      </c>
      <c r="L1218" s="89" t="s">
        <v>254</v>
      </c>
      <c r="M1218" s="89">
        <v>0</v>
      </c>
      <c r="N1218" s="89" t="s">
        <v>254</v>
      </c>
      <c r="O1218" s="89">
        <v>0</v>
      </c>
      <c r="P1218" s="89">
        <v>0</v>
      </c>
      <c r="Q1218" s="89">
        <v>0</v>
      </c>
      <c r="R1218" s="89"/>
    </row>
    <row r="1219" spans="1:18" ht="15">
      <c r="A1219" s="70">
        <v>4</v>
      </c>
      <c r="B1219" s="70"/>
      <c r="C1219" s="72" t="s">
        <v>1157</v>
      </c>
      <c r="D1219" s="72" t="s">
        <v>390</v>
      </c>
      <c r="E1219" s="89">
        <v>1</v>
      </c>
      <c r="F1219" s="89" t="s">
        <v>254</v>
      </c>
      <c r="G1219" s="89">
        <v>1</v>
      </c>
      <c r="H1219" s="89" t="s">
        <v>254</v>
      </c>
      <c r="I1219" s="89">
        <v>0</v>
      </c>
      <c r="J1219" s="89">
        <v>0</v>
      </c>
      <c r="K1219" s="89" t="s">
        <v>254</v>
      </c>
      <c r="L1219" s="89" t="s">
        <v>254</v>
      </c>
      <c r="M1219" s="89">
        <v>0</v>
      </c>
      <c r="N1219" s="89" t="s">
        <v>254</v>
      </c>
      <c r="O1219" s="89">
        <v>0</v>
      </c>
      <c r="P1219" s="89">
        <v>0</v>
      </c>
      <c r="Q1219" s="89">
        <v>0</v>
      </c>
      <c r="R1219" s="89"/>
    </row>
    <row r="1220" spans="1:18" ht="15">
      <c r="A1220" s="70">
        <v>5</v>
      </c>
      <c r="B1220" s="70"/>
      <c r="C1220" s="72" t="s">
        <v>539</v>
      </c>
      <c r="D1220" s="72" t="s">
        <v>540</v>
      </c>
      <c r="E1220" s="89">
        <v>1</v>
      </c>
      <c r="F1220" s="89" t="s">
        <v>254</v>
      </c>
      <c r="G1220" s="89">
        <v>0.9830612018582785</v>
      </c>
      <c r="H1220" s="89" t="s">
        <v>254</v>
      </c>
      <c r="I1220" s="89">
        <v>1.6938798141721566E-2</v>
      </c>
      <c r="J1220" s="89">
        <v>0</v>
      </c>
      <c r="K1220" s="89" t="s">
        <v>254</v>
      </c>
      <c r="L1220" s="89" t="s">
        <v>254</v>
      </c>
      <c r="M1220" s="89">
        <v>0</v>
      </c>
      <c r="N1220" s="89" t="s">
        <v>254</v>
      </c>
      <c r="O1220" s="89">
        <v>0</v>
      </c>
      <c r="P1220" s="89">
        <v>0</v>
      </c>
      <c r="Q1220" s="89">
        <v>0</v>
      </c>
      <c r="R1220" s="89"/>
    </row>
    <row r="1221" spans="1:18" ht="15">
      <c r="A1221" s="70">
        <v>6</v>
      </c>
      <c r="B1221" s="70"/>
      <c r="C1221" s="72" t="s">
        <v>986</v>
      </c>
      <c r="D1221" s="72" t="s">
        <v>542</v>
      </c>
      <c r="E1221" s="89">
        <v>1</v>
      </c>
      <c r="F1221" s="89" t="s">
        <v>254</v>
      </c>
      <c r="G1221" s="89">
        <v>0.95078746033281891</v>
      </c>
      <c r="H1221" s="89" t="s">
        <v>254</v>
      </c>
      <c r="I1221" s="89">
        <v>4.9238574982840733E-2</v>
      </c>
      <c r="J1221" s="89">
        <v>-2.603531565961167E-5</v>
      </c>
      <c r="K1221" s="89" t="s">
        <v>254</v>
      </c>
      <c r="L1221" s="89" t="s">
        <v>254</v>
      </c>
      <c r="M1221" s="89">
        <v>0</v>
      </c>
      <c r="N1221" s="89" t="s">
        <v>254</v>
      </c>
      <c r="O1221" s="89">
        <v>-2.603531565961167E-5</v>
      </c>
      <c r="P1221" s="89">
        <v>-2.603531565961167E-5</v>
      </c>
      <c r="Q1221" s="89">
        <v>0</v>
      </c>
      <c r="R1221" s="89"/>
    </row>
    <row r="1222" spans="1:18" ht="15">
      <c r="A1222" s="70">
        <v>7</v>
      </c>
      <c r="B1222" s="70"/>
      <c r="C1222" s="72" t="s">
        <v>987</v>
      </c>
      <c r="D1222" s="72" t="s">
        <v>691</v>
      </c>
      <c r="E1222" s="89">
        <v>0.99999999999999989</v>
      </c>
      <c r="F1222" s="89" t="s">
        <v>254</v>
      </c>
      <c r="G1222" s="89">
        <v>0.9487830986733472</v>
      </c>
      <c r="H1222" s="89" t="s">
        <v>254</v>
      </c>
      <c r="I1222" s="89">
        <v>5.0040851560344816E-2</v>
      </c>
      <c r="J1222" s="89">
        <v>1.1760497663079561E-3</v>
      </c>
      <c r="K1222" s="89" t="s">
        <v>254</v>
      </c>
      <c r="L1222" s="89" t="s">
        <v>254</v>
      </c>
      <c r="M1222" s="89">
        <v>7.9195270458448229E-6</v>
      </c>
      <c r="N1222" s="89" t="s">
        <v>254</v>
      </c>
      <c r="O1222" s="89">
        <v>1.1681302392621113E-3</v>
      </c>
      <c r="P1222" s="89">
        <v>6.0584381900712894E-4</v>
      </c>
      <c r="Q1222" s="89">
        <v>5.6228642025498235E-4</v>
      </c>
      <c r="R1222" s="89"/>
    </row>
    <row r="1223" spans="1:18" ht="15">
      <c r="A1223" s="70">
        <v>8</v>
      </c>
      <c r="B1223" s="70"/>
      <c r="C1223" s="72" t="s">
        <v>988</v>
      </c>
      <c r="D1223" s="72" t="s">
        <v>693</v>
      </c>
      <c r="E1223" s="89">
        <v>0.99999999999999989</v>
      </c>
      <c r="F1223" s="89" t="s">
        <v>254</v>
      </c>
      <c r="G1223" s="89">
        <v>0.9487830986733472</v>
      </c>
      <c r="H1223" s="89" t="s">
        <v>254</v>
      </c>
      <c r="I1223" s="89">
        <v>5.0040851560344816E-2</v>
      </c>
      <c r="J1223" s="89">
        <v>1.1760497663079561E-3</v>
      </c>
      <c r="K1223" s="89" t="s">
        <v>254</v>
      </c>
      <c r="L1223" s="89" t="s">
        <v>254</v>
      </c>
      <c r="M1223" s="89">
        <v>7.9195270458448229E-6</v>
      </c>
      <c r="N1223" s="89" t="s">
        <v>254</v>
      </c>
      <c r="O1223" s="89">
        <v>1.1681302392621113E-3</v>
      </c>
      <c r="P1223" s="89">
        <v>6.0584381900712894E-4</v>
      </c>
      <c r="Q1223" s="89">
        <v>5.6228642025498235E-4</v>
      </c>
      <c r="R1223" s="89"/>
    </row>
    <row r="1224" spans="1:18" ht="15">
      <c r="A1224" s="70">
        <v>9</v>
      </c>
      <c r="B1224" s="70"/>
      <c r="C1224" s="72" t="s">
        <v>989</v>
      </c>
      <c r="D1224" s="72" t="s">
        <v>695</v>
      </c>
      <c r="E1224" s="89">
        <v>0.99999999999999989</v>
      </c>
      <c r="F1224" s="89" t="s">
        <v>254</v>
      </c>
      <c r="G1224" s="89">
        <v>0.9487830986733472</v>
      </c>
      <c r="H1224" s="89" t="s">
        <v>254</v>
      </c>
      <c r="I1224" s="89">
        <v>5.0040851560344816E-2</v>
      </c>
      <c r="J1224" s="89">
        <v>1.1760497663079561E-3</v>
      </c>
      <c r="K1224" s="89" t="s">
        <v>254</v>
      </c>
      <c r="L1224" s="89" t="s">
        <v>254</v>
      </c>
      <c r="M1224" s="89">
        <v>7.9195270458448229E-6</v>
      </c>
      <c r="N1224" s="89" t="s">
        <v>254</v>
      </c>
      <c r="O1224" s="89">
        <v>1.1681302392621113E-3</v>
      </c>
      <c r="P1224" s="89">
        <v>6.0584381900712894E-4</v>
      </c>
      <c r="Q1224" s="89">
        <v>5.6228642025498235E-4</v>
      </c>
      <c r="R1224" s="89"/>
    </row>
    <row r="1225" spans="1:18" ht="15">
      <c r="A1225" s="70">
        <v>10</v>
      </c>
      <c r="B1225" s="70"/>
      <c r="C1225" s="72" t="s">
        <v>990</v>
      </c>
      <c r="D1225" s="72" t="s">
        <v>403</v>
      </c>
      <c r="E1225" s="89">
        <v>1</v>
      </c>
      <c r="F1225" s="89" t="s">
        <v>254</v>
      </c>
      <c r="G1225" s="89">
        <v>0</v>
      </c>
      <c r="H1225" s="89" t="s">
        <v>254</v>
      </c>
      <c r="I1225" s="89">
        <v>1</v>
      </c>
      <c r="J1225" s="89">
        <v>0</v>
      </c>
      <c r="K1225" s="89" t="s">
        <v>254</v>
      </c>
      <c r="L1225" s="89" t="s">
        <v>254</v>
      </c>
      <c r="M1225" s="89">
        <v>0</v>
      </c>
      <c r="N1225" s="89" t="s">
        <v>254</v>
      </c>
      <c r="O1225" s="89">
        <v>0</v>
      </c>
      <c r="P1225" s="89">
        <v>0</v>
      </c>
      <c r="Q1225" s="89">
        <v>0</v>
      </c>
      <c r="R1225" s="89"/>
    </row>
    <row r="1226" spans="1:18" ht="15">
      <c r="A1226" s="70">
        <v>11</v>
      </c>
      <c r="B1226" s="70"/>
      <c r="C1226" s="72" t="s">
        <v>991</v>
      </c>
      <c r="D1226" s="72" t="s">
        <v>404</v>
      </c>
      <c r="E1226" s="89">
        <v>1</v>
      </c>
      <c r="F1226" s="89" t="s">
        <v>254</v>
      </c>
      <c r="G1226" s="89">
        <v>0</v>
      </c>
      <c r="H1226" s="89" t="s">
        <v>254</v>
      </c>
      <c r="I1226" s="89">
        <v>1</v>
      </c>
      <c r="J1226" s="89">
        <v>0</v>
      </c>
      <c r="K1226" s="89" t="s">
        <v>254</v>
      </c>
      <c r="L1226" s="89" t="s">
        <v>254</v>
      </c>
      <c r="M1226" s="89">
        <v>0</v>
      </c>
      <c r="N1226" s="89" t="s">
        <v>254</v>
      </c>
      <c r="O1226" s="89">
        <v>0</v>
      </c>
      <c r="P1226" s="89">
        <v>0</v>
      </c>
      <c r="Q1226" s="89">
        <v>0</v>
      </c>
      <c r="R1226" s="89"/>
    </row>
    <row r="1227" spans="1:18" ht="15">
      <c r="A1227" s="70">
        <v>12</v>
      </c>
      <c r="B1227" s="70"/>
      <c r="C1227" s="72" t="s">
        <v>1158</v>
      </c>
      <c r="D1227" s="72" t="s">
        <v>405</v>
      </c>
      <c r="E1227" s="89">
        <v>0</v>
      </c>
      <c r="F1227" s="89" t="s">
        <v>254</v>
      </c>
      <c r="G1227" s="89">
        <v>0</v>
      </c>
      <c r="H1227" s="89" t="s">
        <v>254</v>
      </c>
      <c r="I1227" s="89">
        <v>0</v>
      </c>
      <c r="J1227" s="89">
        <v>0</v>
      </c>
      <c r="K1227" s="89" t="s">
        <v>254</v>
      </c>
      <c r="L1227" s="89" t="s">
        <v>254</v>
      </c>
      <c r="M1227" s="89">
        <v>0</v>
      </c>
      <c r="N1227" s="89" t="s">
        <v>254</v>
      </c>
      <c r="O1227" s="89">
        <v>0</v>
      </c>
      <c r="P1227" s="89">
        <v>0</v>
      </c>
      <c r="Q1227" s="89">
        <v>0</v>
      </c>
      <c r="R1227" s="89"/>
    </row>
    <row r="1228" spans="1:18" ht="15">
      <c r="A1228" s="70">
        <v>13</v>
      </c>
      <c r="B1228" s="70"/>
      <c r="C1228" s="72" t="s">
        <v>993</v>
      </c>
      <c r="D1228" s="72" t="s">
        <v>406</v>
      </c>
      <c r="E1228" s="89">
        <v>1</v>
      </c>
      <c r="F1228" s="89" t="s">
        <v>254</v>
      </c>
      <c r="G1228" s="89">
        <v>0</v>
      </c>
      <c r="H1228" s="89" t="s">
        <v>254</v>
      </c>
      <c r="I1228" s="89">
        <v>1</v>
      </c>
      <c r="J1228" s="89">
        <v>0</v>
      </c>
      <c r="K1228" s="89" t="s">
        <v>254</v>
      </c>
      <c r="L1228" s="89" t="s">
        <v>254</v>
      </c>
      <c r="M1228" s="89">
        <v>0</v>
      </c>
      <c r="N1228" s="89" t="s">
        <v>254</v>
      </c>
      <c r="O1228" s="89">
        <v>0</v>
      </c>
      <c r="P1228" s="89">
        <v>0</v>
      </c>
      <c r="Q1228" s="89">
        <v>0</v>
      </c>
      <c r="R1228" s="89"/>
    </row>
    <row r="1229" spans="1:18" ht="15">
      <c r="A1229" s="70">
        <v>14</v>
      </c>
      <c r="B1229" s="70"/>
      <c r="C1229" s="72" t="s">
        <v>994</v>
      </c>
      <c r="D1229" s="72" t="s">
        <v>703</v>
      </c>
      <c r="E1229" s="89">
        <v>1</v>
      </c>
      <c r="F1229" s="89" t="s">
        <v>254</v>
      </c>
      <c r="G1229" s="89">
        <v>1</v>
      </c>
      <c r="H1229" s="89" t="s">
        <v>254</v>
      </c>
      <c r="I1229" s="89">
        <v>0</v>
      </c>
      <c r="J1229" s="89">
        <v>0</v>
      </c>
      <c r="K1229" s="89" t="s">
        <v>254</v>
      </c>
      <c r="L1229" s="89" t="s">
        <v>254</v>
      </c>
      <c r="M1229" s="89">
        <v>0</v>
      </c>
      <c r="N1229" s="89" t="s">
        <v>254</v>
      </c>
      <c r="O1229" s="89">
        <v>0</v>
      </c>
      <c r="P1229" s="89">
        <v>0</v>
      </c>
      <c r="Q1229" s="89">
        <v>0</v>
      </c>
      <c r="R1229" s="89"/>
    </row>
    <row r="1230" spans="1:18" ht="15">
      <c r="A1230" s="70">
        <v>15</v>
      </c>
      <c r="B1230" s="70"/>
      <c r="C1230" s="72" t="s">
        <v>995</v>
      </c>
      <c r="D1230" s="72" t="s">
        <v>705</v>
      </c>
      <c r="E1230" s="89">
        <v>1</v>
      </c>
      <c r="F1230" s="89" t="s">
        <v>254</v>
      </c>
      <c r="G1230" s="89">
        <v>0.94815391805577198</v>
      </c>
      <c r="H1230" s="89" t="s">
        <v>254</v>
      </c>
      <c r="I1230" s="89">
        <v>5.1838750767482566E-2</v>
      </c>
      <c r="J1230" s="89">
        <v>7.3311767455073634E-6</v>
      </c>
      <c r="K1230" s="89" t="s">
        <v>254</v>
      </c>
      <c r="L1230" s="89" t="s">
        <v>254</v>
      </c>
      <c r="M1230" s="89">
        <v>7.3311767455073634E-6</v>
      </c>
      <c r="N1230" s="89" t="s">
        <v>254</v>
      </c>
      <c r="O1230" s="89">
        <v>0</v>
      </c>
      <c r="P1230" s="89">
        <v>0</v>
      </c>
      <c r="Q1230" s="89">
        <v>0</v>
      </c>
      <c r="R1230" s="89"/>
    </row>
    <row r="1231" spans="1:18" ht="15">
      <c r="A1231" s="70">
        <v>16</v>
      </c>
      <c r="B1231" s="70"/>
      <c r="C1231" s="72" t="s">
        <v>996</v>
      </c>
      <c r="D1231" s="72" t="s">
        <v>712</v>
      </c>
      <c r="E1231" s="89">
        <v>1</v>
      </c>
      <c r="F1231" s="89" t="s">
        <v>254</v>
      </c>
      <c r="G1231" s="89">
        <v>0.94815391805577198</v>
      </c>
      <c r="H1231" s="89" t="s">
        <v>254</v>
      </c>
      <c r="I1231" s="89">
        <v>5.1838750767482566E-2</v>
      </c>
      <c r="J1231" s="89">
        <v>7.3311767455073634E-6</v>
      </c>
      <c r="K1231" s="89" t="s">
        <v>254</v>
      </c>
      <c r="L1231" s="89" t="s">
        <v>254</v>
      </c>
      <c r="M1231" s="89">
        <v>7.3311767455073634E-6</v>
      </c>
      <c r="N1231" s="89" t="s">
        <v>254</v>
      </c>
      <c r="O1231" s="89">
        <v>0</v>
      </c>
      <c r="P1231" s="89">
        <v>0</v>
      </c>
      <c r="Q1231" s="89">
        <v>0</v>
      </c>
      <c r="R1231" s="89"/>
    </row>
    <row r="1232" spans="1:18" ht="15">
      <c r="A1232" s="70">
        <v>17</v>
      </c>
      <c r="B1232" s="70"/>
      <c r="C1232" s="72" t="s">
        <v>997</v>
      </c>
      <c r="D1232" s="72" t="s">
        <v>714</v>
      </c>
      <c r="E1232" s="89">
        <v>1</v>
      </c>
      <c r="F1232" s="89" t="s">
        <v>254</v>
      </c>
      <c r="G1232" s="89">
        <v>0.94815391805577198</v>
      </c>
      <c r="H1232" s="89" t="s">
        <v>254</v>
      </c>
      <c r="I1232" s="89">
        <v>5.1838750767482566E-2</v>
      </c>
      <c r="J1232" s="89">
        <v>7.3311767455073634E-6</v>
      </c>
      <c r="K1232" s="89" t="s">
        <v>254</v>
      </c>
      <c r="L1232" s="89" t="s">
        <v>254</v>
      </c>
      <c r="M1232" s="89">
        <v>7.3311767455073634E-6</v>
      </c>
      <c r="N1232" s="89" t="s">
        <v>254</v>
      </c>
      <c r="O1232" s="89">
        <v>0</v>
      </c>
      <c r="P1232" s="89">
        <v>0</v>
      </c>
      <c r="Q1232" s="89">
        <v>0</v>
      </c>
      <c r="R1232" s="89"/>
    </row>
    <row r="1233" spans="1:18" ht="15">
      <c r="A1233" s="70">
        <v>18</v>
      </c>
      <c r="B1233" s="70"/>
      <c r="C1233" s="72" t="s">
        <v>998</v>
      </c>
      <c r="D1233" s="72" t="s">
        <v>999</v>
      </c>
      <c r="E1233" s="89">
        <v>0</v>
      </c>
      <c r="F1233" s="89" t="s">
        <v>254</v>
      </c>
      <c r="G1233" s="89">
        <v>0</v>
      </c>
      <c r="H1233" s="89" t="s">
        <v>254</v>
      </c>
      <c r="I1233" s="89">
        <v>0</v>
      </c>
      <c r="J1233" s="89">
        <v>0</v>
      </c>
      <c r="K1233" s="89" t="s">
        <v>254</v>
      </c>
      <c r="L1233" s="89" t="s">
        <v>254</v>
      </c>
      <c r="M1233" s="89">
        <v>0</v>
      </c>
      <c r="N1233" s="89" t="s">
        <v>254</v>
      </c>
      <c r="O1233" s="89">
        <v>0</v>
      </c>
      <c r="P1233" s="89">
        <v>0</v>
      </c>
      <c r="Q1233" s="89">
        <v>0</v>
      </c>
      <c r="R1233" s="89"/>
    </row>
    <row r="1234" spans="1:18" ht="15">
      <c r="A1234" s="70">
        <v>19</v>
      </c>
      <c r="B1234" s="70"/>
      <c r="C1234" s="72" t="s">
        <v>1000</v>
      </c>
      <c r="D1234" s="72" t="s">
        <v>788</v>
      </c>
      <c r="E1234" s="89">
        <v>1</v>
      </c>
      <c r="F1234" s="89" t="s">
        <v>254</v>
      </c>
      <c r="G1234" s="89">
        <v>0.94709136179810138</v>
      </c>
      <c r="H1234" s="89" t="s">
        <v>254</v>
      </c>
      <c r="I1234" s="89">
        <v>5.2908638201898589E-2</v>
      </c>
      <c r="J1234" s="89">
        <v>0</v>
      </c>
      <c r="K1234" s="89" t="s">
        <v>254</v>
      </c>
      <c r="L1234" s="89" t="s">
        <v>254</v>
      </c>
      <c r="M1234" s="89">
        <v>0</v>
      </c>
      <c r="N1234" s="89" t="s">
        <v>254</v>
      </c>
      <c r="O1234" s="89">
        <v>0</v>
      </c>
      <c r="P1234" s="89">
        <v>0</v>
      </c>
      <c r="Q1234" s="89">
        <v>0</v>
      </c>
      <c r="R1234" s="89"/>
    </row>
    <row r="1235" spans="1:18" ht="15">
      <c r="A1235" s="70">
        <v>20</v>
      </c>
      <c r="B1235" s="70"/>
      <c r="C1235" s="72" t="s">
        <v>1159</v>
      </c>
      <c r="D1235" s="72" t="s">
        <v>566</v>
      </c>
      <c r="E1235" s="89">
        <v>0.99999999999999989</v>
      </c>
      <c r="F1235" s="89" t="s">
        <v>254</v>
      </c>
      <c r="G1235" s="89">
        <v>0.96418077953997239</v>
      </c>
      <c r="H1235" s="89" t="s">
        <v>254</v>
      </c>
      <c r="I1235" s="89">
        <v>3.5809173913836249E-2</v>
      </c>
      <c r="J1235" s="89">
        <v>1.004654619134844E-5</v>
      </c>
      <c r="K1235" s="89" t="s">
        <v>254</v>
      </c>
      <c r="L1235" s="89" t="s">
        <v>254</v>
      </c>
      <c r="M1235" s="89">
        <v>0</v>
      </c>
      <c r="N1235" s="89" t="s">
        <v>254</v>
      </c>
      <c r="O1235" s="89">
        <v>1.004654619134844E-5</v>
      </c>
      <c r="P1235" s="89">
        <v>1.004654619134844E-5</v>
      </c>
      <c r="Q1235" s="89">
        <v>0</v>
      </c>
      <c r="R1235" s="89"/>
    </row>
    <row r="1236" spans="1:18" ht="15">
      <c r="A1236" s="70">
        <v>21</v>
      </c>
      <c r="B1236" s="70"/>
      <c r="C1236" s="72" t="s">
        <v>254</v>
      </c>
      <c r="D1236" s="72" t="s">
        <v>254</v>
      </c>
      <c r="E1236" s="89" t="s">
        <v>254</v>
      </c>
      <c r="F1236" s="89" t="s">
        <v>254</v>
      </c>
      <c r="G1236" s="89" t="s">
        <v>254</v>
      </c>
      <c r="H1236" s="89" t="s">
        <v>254</v>
      </c>
      <c r="I1236" s="89" t="s">
        <v>254</v>
      </c>
      <c r="J1236" s="89" t="s">
        <v>254</v>
      </c>
      <c r="K1236" s="89" t="s">
        <v>254</v>
      </c>
      <c r="L1236" s="89" t="s">
        <v>254</v>
      </c>
      <c r="M1236" s="89" t="s">
        <v>254</v>
      </c>
      <c r="N1236" s="89" t="s">
        <v>254</v>
      </c>
      <c r="O1236" s="89" t="s">
        <v>254</v>
      </c>
      <c r="P1236" s="89" t="s">
        <v>254</v>
      </c>
      <c r="Q1236" s="89" t="s">
        <v>254</v>
      </c>
      <c r="R1236" s="89"/>
    </row>
    <row r="1237" spans="1:18" ht="15">
      <c r="A1237" s="70">
        <v>22</v>
      </c>
      <c r="B1237" s="70"/>
      <c r="C1237" s="72" t="s">
        <v>254</v>
      </c>
      <c r="D1237" s="72" t="s">
        <v>254</v>
      </c>
      <c r="E1237" s="89" t="s">
        <v>254</v>
      </c>
      <c r="F1237" s="89" t="s">
        <v>254</v>
      </c>
      <c r="G1237" s="89" t="s">
        <v>254</v>
      </c>
      <c r="H1237" s="89" t="s">
        <v>254</v>
      </c>
      <c r="I1237" s="89" t="s">
        <v>254</v>
      </c>
      <c r="J1237" s="89" t="s">
        <v>254</v>
      </c>
      <c r="K1237" s="89" t="s">
        <v>254</v>
      </c>
      <c r="L1237" s="89" t="s">
        <v>254</v>
      </c>
      <c r="M1237" s="89" t="s">
        <v>254</v>
      </c>
      <c r="N1237" s="89" t="s">
        <v>254</v>
      </c>
      <c r="O1237" s="89" t="s">
        <v>254</v>
      </c>
      <c r="P1237" s="89" t="s">
        <v>254</v>
      </c>
      <c r="Q1237" s="89" t="s">
        <v>254</v>
      </c>
      <c r="R1237" s="89"/>
    </row>
    <row r="1238" spans="1:18" ht="15">
      <c r="A1238" s="70">
        <v>23</v>
      </c>
      <c r="B1238" s="70"/>
      <c r="C1238" s="72" t="s">
        <v>254</v>
      </c>
      <c r="D1238" s="72" t="s">
        <v>254</v>
      </c>
      <c r="E1238" s="89" t="s">
        <v>254</v>
      </c>
      <c r="F1238" s="89" t="s">
        <v>254</v>
      </c>
      <c r="G1238" s="89" t="s">
        <v>254</v>
      </c>
      <c r="H1238" s="89" t="s">
        <v>254</v>
      </c>
      <c r="I1238" s="89" t="s">
        <v>254</v>
      </c>
      <c r="J1238" s="89" t="s">
        <v>254</v>
      </c>
      <c r="K1238" s="89" t="s">
        <v>254</v>
      </c>
      <c r="L1238" s="89" t="s">
        <v>254</v>
      </c>
      <c r="M1238" s="89" t="s">
        <v>254</v>
      </c>
      <c r="N1238" s="89" t="s">
        <v>254</v>
      </c>
      <c r="O1238" s="89" t="s">
        <v>254</v>
      </c>
      <c r="P1238" s="89" t="s">
        <v>254</v>
      </c>
      <c r="Q1238" s="89" t="s">
        <v>254</v>
      </c>
      <c r="R1238" s="89"/>
    </row>
    <row r="1239" spans="1:18" ht="15">
      <c r="A1239" s="70">
        <v>24</v>
      </c>
      <c r="B1239" s="70"/>
      <c r="C1239" s="72" t="s">
        <v>254</v>
      </c>
      <c r="D1239" s="72" t="s">
        <v>254</v>
      </c>
      <c r="E1239" s="89" t="s">
        <v>254</v>
      </c>
      <c r="F1239" s="89" t="s">
        <v>254</v>
      </c>
      <c r="G1239" s="89" t="s">
        <v>254</v>
      </c>
      <c r="H1239" s="89" t="s">
        <v>254</v>
      </c>
      <c r="I1239" s="89" t="s">
        <v>254</v>
      </c>
      <c r="J1239" s="89" t="s">
        <v>254</v>
      </c>
      <c r="K1239" s="89" t="s">
        <v>254</v>
      </c>
      <c r="L1239" s="89" t="s">
        <v>254</v>
      </c>
      <c r="M1239" s="89" t="s">
        <v>254</v>
      </c>
      <c r="N1239" s="89" t="s">
        <v>254</v>
      </c>
      <c r="O1239" s="89" t="s">
        <v>254</v>
      </c>
      <c r="P1239" s="89" t="s">
        <v>254</v>
      </c>
      <c r="Q1239" s="89" t="s">
        <v>254</v>
      </c>
      <c r="R1239" s="89"/>
    </row>
    <row r="1240" spans="1:18" ht="15">
      <c r="A1240" s="70">
        <v>25</v>
      </c>
      <c r="B1240" s="70"/>
      <c r="C1240" s="72" t="s">
        <v>254</v>
      </c>
      <c r="D1240" s="72" t="s">
        <v>254</v>
      </c>
      <c r="E1240" s="89" t="s">
        <v>254</v>
      </c>
      <c r="F1240" s="89" t="s">
        <v>254</v>
      </c>
      <c r="G1240" s="89" t="s">
        <v>254</v>
      </c>
      <c r="H1240" s="89" t="s">
        <v>254</v>
      </c>
      <c r="I1240" s="89" t="s">
        <v>254</v>
      </c>
      <c r="J1240" s="89" t="s">
        <v>254</v>
      </c>
      <c r="K1240" s="89" t="s">
        <v>254</v>
      </c>
      <c r="L1240" s="89" t="s">
        <v>254</v>
      </c>
      <c r="M1240" s="89" t="s">
        <v>254</v>
      </c>
      <c r="N1240" s="89" t="s">
        <v>254</v>
      </c>
      <c r="O1240" s="89" t="s">
        <v>254</v>
      </c>
      <c r="P1240" s="89" t="s">
        <v>254</v>
      </c>
      <c r="Q1240" s="89" t="s">
        <v>254</v>
      </c>
      <c r="R1240" s="89"/>
    </row>
    <row r="1241" spans="1:18" ht="15">
      <c r="A1241" s="70" t="s">
        <v>254</v>
      </c>
      <c r="B1241" s="70"/>
      <c r="C1241" s="72" t="s">
        <v>254</v>
      </c>
      <c r="D1241" s="72" t="s">
        <v>254</v>
      </c>
      <c r="E1241" s="89" t="s">
        <v>254</v>
      </c>
      <c r="F1241" s="89" t="s">
        <v>254</v>
      </c>
      <c r="G1241" s="89" t="s">
        <v>254</v>
      </c>
      <c r="H1241" s="89" t="s">
        <v>254</v>
      </c>
      <c r="I1241" s="89" t="s">
        <v>254</v>
      </c>
      <c r="J1241" s="89" t="s">
        <v>254</v>
      </c>
      <c r="K1241" s="89" t="s">
        <v>254</v>
      </c>
      <c r="L1241" s="89" t="s">
        <v>254</v>
      </c>
      <c r="M1241" s="89" t="s">
        <v>254</v>
      </c>
      <c r="N1241" s="89" t="s">
        <v>254</v>
      </c>
      <c r="O1241" s="89" t="s">
        <v>254</v>
      </c>
      <c r="P1241" s="89" t="s">
        <v>254</v>
      </c>
      <c r="Q1241" s="89" t="s">
        <v>254</v>
      </c>
      <c r="R1241" s="89"/>
    </row>
    <row r="1242" spans="1:18" ht="15">
      <c r="A1242" s="70" t="s">
        <v>254</v>
      </c>
      <c r="B1242" s="70"/>
      <c r="C1242" s="72" t="s">
        <v>1002</v>
      </c>
      <c r="D1242" s="72" t="s">
        <v>254</v>
      </c>
      <c r="E1242" s="89" t="s">
        <v>254</v>
      </c>
      <c r="F1242" s="89" t="s">
        <v>254</v>
      </c>
      <c r="G1242" s="89" t="s">
        <v>254</v>
      </c>
      <c r="H1242" s="89" t="s">
        <v>254</v>
      </c>
      <c r="I1242" s="89" t="s">
        <v>254</v>
      </c>
      <c r="J1242" s="89" t="s">
        <v>254</v>
      </c>
      <c r="K1242" s="89" t="s">
        <v>254</v>
      </c>
      <c r="L1242" s="89" t="s">
        <v>254</v>
      </c>
      <c r="M1242" s="89" t="s">
        <v>254</v>
      </c>
      <c r="N1242" s="89" t="s">
        <v>254</v>
      </c>
      <c r="O1242" s="89" t="s">
        <v>254</v>
      </c>
      <c r="P1242" s="89" t="s">
        <v>254</v>
      </c>
      <c r="Q1242" s="89" t="s">
        <v>254</v>
      </c>
      <c r="R1242" s="89"/>
    </row>
    <row r="1243" spans="1:18" ht="15">
      <c r="A1243" s="70" t="s">
        <v>254</v>
      </c>
      <c r="B1243" s="70"/>
      <c r="C1243" s="72" t="s">
        <v>925</v>
      </c>
      <c r="D1243" s="72" t="s">
        <v>254</v>
      </c>
      <c r="E1243" s="89" t="s">
        <v>254</v>
      </c>
      <c r="F1243" s="89" t="s">
        <v>254</v>
      </c>
      <c r="G1243" s="89" t="s">
        <v>254</v>
      </c>
      <c r="H1243" s="89" t="s">
        <v>254</v>
      </c>
      <c r="I1243" s="89" t="s">
        <v>254</v>
      </c>
      <c r="J1243" s="89" t="s">
        <v>254</v>
      </c>
      <c r="K1243" s="89" t="s">
        <v>254</v>
      </c>
      <c r="L1243" s="89" t="s">
        <v>254</v>
      </c>
      <c r="M1243" s="89" t="s">
        <v>254</v>
      </c>
      <c r="N1243" s="89" t="s">
        <v>254</v>
      </c>
      <c r="O1243" s="89" t="s">
        <v>254</v>
      </c>
      <c r="P1243" s="89" t="s">
        <v>254</v>
      </c>
      <c r="Q1243" s="89" t="s">
        <v>254</v>
      </c>
      <c r="R1243" s="89"/>
    </row>
    <row r="1244" spans="1:18" ht="15">
      <c r="A1244" s="70">
        <v>1</v>
      </c>
      <c r="B1244" s="70"/>
      <c r="C1244" s="72" t="s">
        <v>1003</v>
      </c>
      <c r="D1244" s="72" t="s">
        <v>299</v>
      </c>
      <c r="E1244" s="89">
        <v>0.99999999999999978</v>
      </c>
      <c r="F1244" s="89" t="s">
        <v>254</v>
      </c>
      <c r="G1244" s="89">
        <v>0.88727847343853128</v>
      </c>
      <c r="H1244" s="89" t="s">
        <v>254</v>
      </c>
      <c r="I1244" s="89">
        <v>4.9652102722253288E-2</v>
      </c>
      <c r="J1244" s="89">
        <v>6.3069423839215266E-2</v>
      </c>
      <c r="K1244" s="89" t="s">
        <v>254</v>
      </c>
      <c r="L1244" s="89" t="s">
        <v>254</v>
      </c>
      <c r="M1244" s="89">
        <v>2.2101270155949922E-5</v>
      </c>
      <c r="N1244" s="89" t="s">
        <v>254</v>
      </c>
      <c r="O1244" s="89">
        <v>6.3047322569059316E-2</v>
      </c>
      <c r="P1244" s="89">
        <v>1.9874230210186767E-2</v>
      </c>
      <c r="Q1244" s="89">
        <v>4.3173092358872546E-2</v>
      </c>
      <c r="R1244" s="89"/>
    </row>
    <row r="1245" spans="1:18" ht="15">
      <c r="A1245" s="70">
        <v>2</v>
      </c>
      <c r="B1245" s="70"/>
      <c r="C1245" s="72" t="s">
        <v>1004</v>
      </c>
      <c r="D1245" s="72" t="s">
        <v>301</v>
      </c>
      <c r="E1245" s="89">
        <v>1</v>
      </c>
      <c r="F1245" s="89" t="s">
        <v>254</v>
      </c>
      <c r="G1245" s="89">
        <v>1</v>
      </c>
      <c r="H1245" s="89" t="s">
        <v>254</v>
      </c>
      <c r="I1245" s="89">
        <v>0</v>
      </c>
      <c r="J1245" s="89">
        <v>0</v>
      </c>
      <c r="K1245" s="89" t="s">
        <v>254</v>
      </c>
      <c r="L1245" s="89" t="s">
        <v>254</v>
      </c>
      <c r="M1245" s="89">
        <v>0</v>
      </c>
      <c r="N1245" s="89" t="s">
        <v>254</v>
      </c>
      <c r="O1245" s="89">
        <v>0</v>
      </c>
      <c r="P1245" s="89">
        <v>0</v>
      </c>
      <c r="Q1245" s="89">
        <v>0</v>
      </c>
      <c r="R1245" s="89"/>
    </row>
    <row r="1246" spans="1:18" ht="15">
      <c r="A1246" s="70">
        <v>3</v>
      </c>
      <c r="B1246" s="70"/>
      <c r="C1246" s="72" t="s">
        <v>1005</v>
      </c>
      <c r="D1246" s="72" t="s">
        <v>422</v>
      </c>
      <c r="E1246" s="89">
        <v>0.99999999999999989</v>
      </c>
      <c r="F1246" s="89" t="s">
        <v>254</v>
      </c>
      <c r="G1246" s="89">
        <v>0.9024129982551885</v>
      </c>
      <c r="H1246" s="89" t="s">
        <v>254</v>
      </c>
      <c r="I1246" s="89">
        <v>4.7360901650615461E-2</v>
      </c>
      <c r="J1246" s="89">
        <v>5.0226100094195876E-2</v>
      </c>
      <c r="K1246" s="89" t="s">
        <v>254</v>
      </c>
      <c r="L1246" s="89" t="s">
        <v>254</v>
      </c>
      <c r="M1246" s="89">
        <v>2.2863128233494489E-5</v>
      </c>
      <c r="N1246" s="89" t="s">
        <v>254</v>
      </c>
      <c r="O1246" s="89">
        <v>5.0203236965962385E-2</v>
      </c>
      <c r="P1246" s="89">
        <v>1.6025805287689786E-2</v>
      </c>
      <c r="Q1246" s="89">
        <v>3.4177431678272599E-2</v>
      </c>
      <c r="R1246" s="89"/>
    </row>
    <row r="1247" spans="1:18" ht="15">
      <c r="A1247" s="70">
        <v>4</v>
      </c>
      <c r="B1247" s="70"/>
      <c r="C1247" s="72" t="s">
        <v>1005</v>
      </c>
      <c r="D1247" s="72" t="s">
        <v>909</v>
      </c>
      <c r="E1247" s="89">
        <v>1</v>
      </c>
      <c r="F1247" s="89" t="s">
        <v>254</v>
      </c>
      <c r="G1247" s="89">
        <v>0.90241299825518861</v>
      </c>
      <c r="H1247" s="89" t="s">
        <v>254</v>
      </c>
      <c r="I1247" s="89">
        <v>4.7360901650615475E-2</v>
      </c>
      <c r="J1247" s="89">
        <v>5.0226100094195883E-2</v>
      </c>
      <c r="K1247" s="89" t="s">
        <v>254</v>
      </c>
      <c r="L1247" s="89" t="s">
        <v>254</v>
      </c>
      <c r="M1247" s="89">
        <v>2.2863128233494493E-5</v>
      </c>
      <c r="N1247" s="89" t="s">
        <v>254</v>
      </c>
      <c r="O1247" s="89">
        <v>5.0203236965962392E-2</v>
      </c>
      <c r="P1247" s="89">
        <v>1.6025805287689789E-2</v>
      </c>
      <c r="Q1247" s="89">
        <v>3.4177431678272606E-2</v>
      </c>
      <c r="R1247" s="89"/>
    </row>
    <row r="1248" spans="1:18" ht="15">
      <c r="A1248" s="70">
        <v>5</v>
      </c>
      <c r="B1248" s="70"/>
      <c r="C1248" s="72" t="s">
        <v>1006</v>
      </c>
      <c r="D1248" s="72" t="s">
        <v>447</v>
      </c>
      <c r="E1248" s="89">
        <v>0.99999999999999989</v>
      </c>
      <c r="F1248" s="89" t="s">
        <v>254</v>
      </c>
      <c r="G1248" s="89">
        <v>0.87577725766318837</v>
      </c>
      <c r="H1248" s="89" t="s">
        <v>254</v>
      </c>
      <c r="I1248" s="89">
        <v>4.0472791995134323E-2</v>
      </c>
      <c r="J1248" s="89">
        <v>8.3749950341677204E-2</v>
      </c>
      <c r="K1248" s="89" t="s">
        <v>254</v>
      </c>
      <c r="L1248" s="89" t="s">
        <v>254</v>
      </c>
      <c r="M1248" s="89">
        <v>3.0774171853047171E-6</v>
      </c>
      <c r="N1248" s="89" t="s">
        <v>254</v>
      </c>
      <c r="O1248" s="89">
        <v>8.37468729244919E-2</v>
      </c>
      <c r="P1248" s="89">
        <v>2.5991585781884971E-2</v>
      </c>
      <c r="Q1248" s="89">
        <v>5.7755287142606936E-2</v>
      </c>
      <c r="R1248" s="89"/>
    </row>
    <row r="1249" spans="1:18" ht="15">
      <c r="A1249" s="70">
        <v>6</v>
      </c>
      <c r="B1249" s="70"/>
      <c r="C1249" s="72" t="s">
        <v>1008</v>
      </c>
      <c r="D1249" s="72" t="s">
        <v>452</v>
      </c>
      <c r="E1249" s="89">
        <v>0.99999999999999989</v>
      </c>
      <c r="F1249" s="89" t="s">
        <v>254</v>
      </c>
      <c r="G1249" s="89">
        <v>0.87577725766318837</v>
      </c>
      <c r="H1249" s="89" t="s">
        <v>254</v>
      </c>
      <c r="I1249" s="89">
        <v>4.0472791995134309E-2</v>
      </c>
      <c r="J1249" s="89">
        <v>8.3749950341677218E-2</v>
      </c>
      <c r="K1249" s="89" t="s">
        <v>254</v>
      </c>
      <c r="L1249" s="89" t="s">
        <v>254</v>
      </c>
      <c r="M1249" s="89">
        <v>3.0774171853047167E-6</v>
      </c>
      <c r="N1249" s="89" t="s">
        <v>254</v>
      </c>
      <c r="O1249" s="89">
        <v>8.3746872924491914E-2</v>
      </c>
      <c r="P1249" s="89">
        <v>2.5991585781884968E-2</v>
      </c>
      <c r="Q1249" s="89">
        <v>5.7755287142606949E-2</v>
      </c>
      <c r="R1249" s="89"/>
    </row>
    <row r="1250" spans="1:18" ht="15">
      <c r="A1250" s="70">
        <v>7</v>
      </c>
      <c r="B1250" s="70"/>
      <c r="C1250" s="72" t="s">
        <v>1009</v>
      </c>
      <c r="D1250" s="72" t="s">
        <v>455</v>
      </c>
      <c r="E1250" s="89">
        <v>0.99999999999999989</v>
      </c>
      <c r="F1250" s="89" t="s">
        <v>254</v>
      </c>
      <c r="G1250" s="89">
        <v>0.87577725766318837</v>
      </c>
      <c r="H1250" s="89" t="s">
        <v>254</v>
      </c>
      <c r="I1250" s="89">
        <v>4.0472791995134316E-2</v>
      </c>
      <c r="J1250" s="89">
        <v>8.3749950341677218E-2</v>
      </c>
      <c r="K1250" s="89" t="s">
        <v>254</v>
      </c>
      <c r="L1250" s="89" t="s">
        <v>254</v>
      </c>
      <c r="M1250" s="89">
        <v>3.0774171853047162E-6</v>
      </c>
      <c r="N1250" s="89" t="s">
        <v>254</v>
      </c>
      <c r="O1250" s="89">
        <v>8.3746872924491914E-2</v>
      </c>
      <c r="P1250" s="89">
        <v>2.5991585781884975E-2</v>
      </c>
      <c r="Q1250" s="89">
        <v>5.7755287142606936E-2</v>
      </c>
      <c r="R1250" s="89"/>
    </row>
    <row r="1251" spans="1:18" ht="15">
      <c r="A1251" s="70">
        <v>8</v>
      </c>
      <c r="B1251" s="70"/>
      <c r="C1251" s="72" t="s">
        <v>1010</v>
      </c>
      <c r="D1251" s="72" t="s">
        <v>1011</v>
      </c>
      <c r="E1251" s="89">
        <v>0.99999999999999989</v>
      </c>
      <c r="F1251" s="89" t="s">
        <v>254</v>
      </c>
      <c r="G1251" s="89">
        <v>0.95064033419138572</v>
      </c>
      <c r="H1251" s="89" t="s">
        <v>254</v>
      </c>
      <c r="I1251" s="89">
        <v>4.5146961236493435E-2</v>
      </c>
      <c r="J1251" s="89">
        <v>4.2127045721207625E-3</v>
      </c>
      <c r="K1251" s="89" t="s">
        <v>254</v>
      </c>
      <c r="L1251" s="89" t="s">
        <v>254</v>
      </c>
      <c r="M1251" s="89">
        <v>3.3404805569974074E-6</v>
      </c>
      <c r="N1251" s="89" t="s">
        <v>254</v>
      </c>
      <c r="O1251" s="89">
        <v>4.2093640915637654E-3</v>
      </c>
      <c r="P1251" s="89">
        <v>1.3064135298724614E-3</v>
      </c>
      <c r="Q1251" s="89">
        <v>2.9029505616913042E-3</v>
      </c>
      <c r="R1251" s="89"/>
    </row>
    <row r="1252" spans="1:18" ht="15">
      <c r="A1252" s="70">
        <v>9</v>
      </c>
      <c r="B1252" s="70"/>
      <c r="C1252" s="72" t="s">
        <v>1012</v>
      </c>
      <c r="D1252" s="72" t="s">
        <v>487</v>
      </c>
      <c r="E1252" s="89">
        <v>1</v>
      </c>
      <c r="F1252" s="89" t="s">
        <v>254</v>
      </c>
      <c r="G1252" s="89">
        <v>0</v>
      </c>
      <c r="H1252" s="89" t="s">
        <v>254</v>
      </c>
      <c r="I1252" s="89">
        <v>1</v>
      </c>
      <c r="J1252" s="89">
        <v>0</v>
      </c>
      <c r="K1252" s="89" t="s">
        <v>254</v>
      </c>
      <c r="L1252" s="89" t="s">
        <v>254</v>
      </c>
      <c r="M1252" s="89">
        <v>0</v>
      </c>
      <c r="N1252" s="89" t="s">
        <v>254</v>
      </c>
      <c r="O1252" s="89">
        <v>0</v>
      </c>
      <c r="P1252" s="89">
        <v>0</v>
      </c>
      <c r="Q1252" s="89">
        <v>0</v>
      </c>
      <c r="R1252" s="89"/>
    </row>
    <row r="1253" spans="1:18" ht="15">
      <c r="A1253" s="70">
        <v>10</v>
      </c>
      <c r="B1253" s="70"/>
      <c r="C1253" s="72" t="s">
        <v>1013</v>
      </c>
      <c r="D1253" s="72" t="s">
        <v>1014</v>
      </c>
      <c r="E1253" s="89">
        <v>1</v>
      </c>
      <c r="F1253" s="89" t="s">
        <v>254</v>
      </c>
      <c r="G1253" s="89">
        <v>0.13101650606866291</v>
      </c>
      <c r="H1253" s="89" t="s">
        <v>254</v>
      </c>
      <c r="I1253" s="89">
        <v>0.86898303354892392</v>
      </c>
      <c r="J1253" s="89">
        <v>4.6038241322926108E-7</v>
      </c>
      <c r="K1253" s="89" t="s">
        <v>254</v>
      </c>
      <c r="L1253" s="89" t="s">
        <v>254</v>
      </c>
      <c r="M1253" s="89">
        <v>4.6038241322926108E-7</v>
      </c>
      <c r="N1253" s="89" t="s">
        <v>254</v>
      </c>
      <c r="O1253" s="89">
        <v>0</v>
      </c>
      <c r="P1253" s="89">
        <v>0</v>
      </c>
      <c r="Q1253" s="89">
        <v>0</v>
      </c>
      <c r="R1253" s="89"/>
    </row>
    <row r="1254" spans="1:18" ht="15">
      <c r="A1254" s="70">
        <v>11</v>
      </c>
      <c r="B1254" s="70"/>
      <c r="C1254" s="72" t="s">
        <v>419</v>
      </c>
      <c r="D1254" s="72" t="s">
        <v>505</v>
      </c>
      <c r="E1254" s="89">
        <v>1</v>
      </c>
      <c r="F1254" s="89" t="s">
        <v>254</v>
      </c>
      <c r="G1254" s="89">
        <v>0.94349809834238596</v>
      </c>
      <c r="H1254" s="89" t="s">
        <v>254</v>
      </c>
      <c r="I1254" s="89">
        <v>5.361743667454081E-2</v>
      </c>
      <c r="J1254" s="89">
        <v>2.8844649830732432E-3</v>
      </c>
      <c r="K1254" s="89" t="s">
        <v>254</v>
      </c>
      <c r="L1254" s="89" t="s">
        <v>254</v>
      </c>
      <c r="M1254" s="89">
        <v>9.9964577402880927E-5</v>
      </c>
      <c r="N1254" s="89" t="s">
        <v>254</v>
      </c>
      <c r="O1254" s="89">
        <v>2.7845004056703624E-3</v>
      </c>
      <c r="P1254" s="89">
        <v>2.4135871250427791E-3</v>
      </c>
      <c r="Q1254" s="89">
        <v>3.709132806275833E-4</v>
      </c>
      <c r="R1254" s="89"/>
    </row>
    <row r="1255" spans="1:18" ht="15">
      <c r="A1255" s="70">
        <v>12</v>
      </c>
      <c r="B1255" s="70"/>
      <c r="C1255" s="72" t="s">
        <v>1015</v>
      </c>
      <c r="D1255" s="72" t="s">
        <v>469</v>
      </c>
      <c r="E1255" s="89">
        <v>1</v>
      </c>
      <c r="F1255" s="89" t="s">
        <v>254</v>
      </c>
      <c r="G1255" s="89">
        <v>0.99705743251608525</v>
      </c>
      <c r="H1255" s="89" t="s">
        <v>254</v>
      </c>
      <c r="I1255" s="89">
        <v>0</v>
      </c>
      <c r="J1255" s="89">
        <v>2.9425674839147322E-3</v>
      </c>
      <c r="K1255" s="89" t="s">
        <v>254</v>
      </c>
      <c r="L1255" s="89" t="s">
        <v>254</v>
      </c>
      <c r="M1255" s="89">
        <v>0</v>
      </c>
      <c r="N1255" s="89" t="s">
        <v>254</v>
      </c>
      <c r="O1255" s="89">
        <v>2.9425674839147322E-3</v>
      </c>
      <c r="P1255" s="89">
        <v>2.5505986565070356E-3</v>
      </c>
      <c r="Q1255" s="89">
        <v>3.9196882740769637E-4</v>
      </c>
      <c r="R1255" s="89"/>
    </row>
    <row r="1256" spans="1:18" ht="15">
      <c r="A1256" s="70">
        <v>13</v>
      </c>
      <c r="B1256" s="70"/>
      <c r="C1256" s="72" t="s">
        <v>1016</v>
      </c>
      <c r="D1256" s="72" t="s">
        <v>471</v>
      </c>
      <c r="E1256" s="89">
        <v>1</v>
      </c>
      <c r="F1256" s="89" t="s">
        <v>254</v>
      </c>
      <c r="G1256" s="89">
        <v>0.90713801513087144</v>
      </c>
      <c r="H1256" s="89" t="s">
        <v>254</v>
      </c>
      <c r="I1256" s="89">
        <v>4.5067757527467854E-2</v>
      </c>
      <c r="J1256" s="89">
        <v>4.7794227341660722E-2</v>
      </c>
      <c r="K1256" s="89" t="s">
        <v>254</v>
      </c>
      <c r="L1256" s="89" t="s">
        <v>254</v>
      </c>
      <c r="M1256" s="89">
        <v>2.1756129711123095E-5</v>
      </c>
      <c r="N1256" s="89" t="s">
        <v>254</v>
      </c>
      <c r="O1256" s="89">
        <v>4.7772471211949601E-2</v>
      </c>
      <c r="P1256" s="89">
        <v>1.5249859730629299E-2</v>
      </c>
      <c r="Q1256" s="89">
        <v>3.2522611481320303E-2</v>
      </c>
      <c r="R1256" s="89"/>
    </row>
    <row r="1257" spans="1:18" ht="15">
      <c r="A1257" s="70">
        <v>14</v>
      </c>
      <c r="B1257" s="70"/>
      <c r="C1257" s="72" t="s">
        <v>1017</v>
      </c>
      <c r="D1257" s="72" t="s">
        <v>473</v>
      </c>
      <c r="E1257" s="89">
        <v>1</v>
      </c>
      <c r="F1257" s="89" t="s">
        <v>254</v>
      </c>
      <c r="G1257" s="89">
        <v>1</v>
      </c>
      <c r="H1257" s="89" t="s">
        <v>254</v>
      </c>
      <c r="I1257" s="89">
        <v>0</v>
      </c>
      <c r="J1257" s="89">
        <v>0</v>
      </c>
      <c r="K1257" s="89" t="s">
        <v>254</v>
      </c>
      <c r="L1257" s="89" t="s">
        <v>254</v>
      </c>
      <c r="M1257" s="89">
        <v>0</v>
      </c>
      <c r="N1257" s="89" t="s">
        <v>254</v>
      </c>
      <c r="O1257" s="89">
        <v>0</v>
      </c>
      <c r="P1257" s="89">
        <v>0</v>
      </c>
      <c r="Q1257" s="89">
        <v>0</v>
      </c>
      <c r="R1257" s="89"/>
    </row>
    <row r="1258" spans="1:18" ht="15">
      <c r="A1258" s="70">
        <v>15</v>
      </c>
      <c r="B1258" s="70"/>
      <c r="C1258" s="72" t="s">
        <v>1018</v>
      </c>
      <c r="D1258" s="72" t="s">
        <v>475</v>
      </c>
      <c r="E1258" s="89">
        <v>1</v>
      </c>
      <c r="F1258" s="89" t="s">
        <v>254</v>
      </c>
      <c r="G1258" s="89">
        <v>0.88727847343853139</v>
      </c>
      <c r="H1258" s="89" t="s">
        <v>254</v>
      </c>
      <c r="I1258" s="89">
        <v>4.9652102722253295E-2</v>
      </c>
      <c r="J1258" s="89">
        <v>6.3069423839215266E-2</v>
      </c>
      <c r="K1258" s="89" t="s">
        <v>254</v>
      </c>
      <c r="L1258" s="89" t="s">
        <v>254</v>
      </c>
      <c r="M1258" s="89">
        <v>2.2101270155949922E-5</v>
      </c>
      <c r="N1258" s="89" t="s">
        <v>254</v>
      </c>
      <c r="O1258" s="89">
        <v>6.3047322569059316E-2</v>
      </c>
      <c r="P1258" s="89">
        <v>1.987423021018677E-2</v>
      </c>
      <c r="Q1258" s="89">
        <v>4.3173092358872553E-2</v>
      </c>
      <c r="R1258" s="89"/>
    </row>
    <row r="1259" spans="1:18" ht="15">
      <c r="A1259" s="70">
        <v>16</v>
      </c>
      <c r="B1259" s="70"/>
      <c r="C1259" s="72" t="s">
        <v>1019</v>
      </c>
      <c r="D1259" s="72" t="s">
        <v>481</v>
      </c>
      <c r="E1259" s="89">
        <v>0.99999999999999989</v>
      </c>
      <c r="F1259" s="89" t="s">
        <v>254</v>
      </c>
      <c r="G1259" s="89">
        <v>0.87577725766318837</v>
      </c>
      <c r="H1259" s="89" t="s">
        <v>254</v>
      </c>
      <c r="I1259" s="89">
        <v>4.047279199513433E-2</v>
      </c>
      <c r="J1259" s="89">
        <v>8.3749950341677232E-2</v>
      </c>
      <c r="K1259" s="89" t="s">
        <v>254</v>
      </c>
      <c r="L1259" s="89" t="s">
        <v>254</v>
      </c>
      <c r="M1259" s="89">
        <v>3.0774171853047179E-6</v>
      </c>
      <c r="N1259" s="89" t="s">
        <v>254</v>
      </c>
      <c r="O1259" s="89">
        <v>8.3746872924491927E-2</v>
      </c>
      <c r="P1259" s="89">
        <v>2.5991585781884988E-2</v>
      </c>
      <c r="Q1259" s="89">
        <v>5.7755287142606936E-2</v>
      </c>
      <c r="R1259" s="89"/>
    </row>
    <row r="1260" spans="1:18" ht="15">
      <c r="A1260" s="70">
        <v>17</v>
      </c>
      <c r="B1260" s="70"/>
      <c r="C1260" s="72" t="s">
        <v>339</v>
      </c>
      <c r="D1260" s="72" t="s">
        <v>501</v>
      </c>
      <c r="E1260" s="89">
        <v>1</v>
      </c>
      <c r="F1260" s="89" t="s">
        <v>254</v>
      </c>
      <c r="G1260" s="89">
        <v>0.87006067220833816</v>
      </c>
      <c r="H1260" s="89" t="s">
        <v>254</v>
      </c>
      <c r="I1260" s="89">
        <v>4.1088246750778011E-2</v>
      </c>
      <c r="J1260" s="89">
        <v>8.8851081040883878E-2</v>
      </c>
      <c r="K1260" s="89" t="s">
        <v>254</v>
      </c>
      <c r="L1260" s="89" t="s">
        <v>254</v>
      </c>
      <c r="M1260" s="89">
        <v>3.0573295224131726E-6</v>
      </c>
      <c r="N1260" s="89" t="s">
        <v>254</v>
      </c>
      <c r="O1260" s="89">
        <v>8.8848023711361468E-2</v>
      </c>
      <c r="P1260" s="89">
        <v>2.7574773232750076E-2</v>
      </c>
      <c r="Q1260" s="89">
        <v>6.1273250478611395E-2</v>
      </c>
      <c r="R1260" s="89"/>
    </row>
    <row r="1261" spans="1:18" ht="15">
      <c r="A1261" s="70">
        <v>18</v>
      </c>
      <c r="B1261" s="70"/>
      <c r="C1261" s="72" t="s">
        <v>360</v>
      </c>
      <c r="D1261" s="72" t="s">
        <v>1020</v>
      </c>
      <c r="E1261" s="89">
        <v>0.99999999999999989</v>
      </c>
      <c r="F1261" s="89" t="s">
        <v>254</v>
      </c>
      <c r="G1261" s="89">
        <v>0.89382614174875119</v>
      </c>
      <c r="H1261" s="89" t="s">
        <v>254</v>
      </c>
      <c r="I1261" s="89">
        <v>0.10225313549297735</v>
      </c>
      <c r="J1261" s="89">
        <v>3.9207227582714228E-3</v>
      </c>
      <c r="K1261" s="89" t="s">
        <v>254</v>
      </c>
      <c r="L1261" s="89" t="s">
        <v>254</v>
      </c>
      <c r="M1261" s="89">
        <v>3.140839642983842E-6</v>
      </c>
      <c r="N1261" s="89" t="s">
        <v>254</v>
      </c>
      <c r="O1261" s="89">
        <v>3.9175819186284388E-3</v>
      </c>
      <c r="P1261" s="89">
        <v>1.2158563411364574E-3</v>
      </c>
      <c r="Q1261" s="89">
        <v>2.7017255774919812E-3</v>
      </c>
      <c r="R1261" s="89"/>
    </row>
    <row r="1262" spans="1:18" ht="15">
      <c r="A1262" s="70">
        <v>19</v>
      </c>
      <c r="B1262" s="70"/>
      <c r="C1262" s="72" t="s">
        <v>1021</v>
      </c>
      <c r="D1262" s="72" t="s">
        <v>503</v>
      </c>
      <c r="E1262" s="89">
        <v>1</v>
      </c>
      <c r="F1262" s="89" t="s">
        <v>254</v>
      </c>
      <c r="G1262" s="89">
        <v>0.89734155078293243</v>
      </c>
      <c r="H1262" s="89" t="s">
        <v>254</v>
      </c>
      <c r="I1262" s="89">
        <v>0.10265529602453452</v>
      </c>
      <c r="J1262" s="89">
        <v>3.1531925330372233E-6</v>
      </c>
      <c r="K1262" s="89" t="s">
        <v>254</v>
      </c>
      <c r="L1262" s="89" t="s">
        <v>254</v>
      </c>
      <c r="M1262" s="89">
        <v>3.1531925330372233E-6</v>
      </c>
      <c r="N1262" s="89" t="s">
        <v>254</v>
      </c>
      <c r="O1262" s="89">
        <v>0</v>
      </c>
      <c r="P1262" s="89">
        <v>0</v>
      </c>
      <c r="Q1262" s="89">
        <v>0</v>
      </c>
      <c r="R1262" s="89"/>
    </row>
    <row r="1263" spans="1:18" ht="15">
      <c r="A1263" s="70">
        <v>20</v>
      </c>
      <c r="B1263" s="70"/>
      <c r="C1263" s="72" t="s">
        <v>1022</v>
      </c>
      <c r="D1263" s="72" t="s">
        <v>508</v>
      </c>
      <c r="E1263" s="89">
        <v>1</v>
      </c>
      <c r="F1263" s="89" t="s">
        <v>254</v>
      </c>
      <c r="G1263" s="89">
        <v>0.88464793156269761</v>
      </c>
      <c r="H1263" s="89" t="s">
        <v>254</v>
      </c>
      <c r="I1263" s="89">
        <v>5.35099494723262E-2</v>
      </c>
      <c r="J1263" s="89">
        <v>6.1842118964976149E-2</v>
      </c>
      <c r="K1263" s="89" t="s">
        <v>254</v>
      </c>
      <c r="L1263" s="89" t="s">
        <v>254</v>
      </c>
      <c r="M1263" s="89">
        <v>1.604025026006397E-5</v>
      </c>
      <c r="N1263" s="89" t="s">
        <v>254</v>
      </c>
      <c r="O1263" s="89">
        <v>6.1826078714716085E-2</v>
      </c>
      <c r="P1263" s="89">
        <v>1.9395581359226973E-2</v>
      </c>
      <c r="Q1263" s="89">
        <v>4.2430497355489115E-2</v>
      </c>
      <c r="R1263" s="89"/>
    </row>
    <row r="1264" spans="1:18" ht="15">
      <c r="A1264" s="70">
        <v>21</v>
      </c>
      <c r="B1264" s="70"/>
      <c r="C1264" s="72" t="s">
        <v>1023</v>
      </c>
      <c r="D1264" s="72" t="s">
        <v>513</v>
      </c>
      <c r="E1264" s="89">
        <v>1</v>
      </c>
      <c r="F1264" s="89" t="s">
        <v>254</v>
      </c>
      <c r="G1264" s="89">
        <v>0.89353190455540554</v>
      </c>
      <c r="H1264" s="89" t="s">
        <v>254</v>
      </c>
      <c r="I1264" s="89">
        <v>4.8698636633830249E-2</v>
      </c>
      <c r="J1264" s="89">
        <v>5.7769458810764174E-2</v>
      </c>
      <c r="K1264" s="89" t="s">
        <v>254</v>
      </c>
      <c r="L1264" s="89" t="s">
        <v>254</v>
      </c>
      <c r="M1264" s="89">
        <v>2.2410295860349719E-5</v>
      </c>
      <c r="N1264" s="89" t="s">
        <v>254</v>
      </c>
      <c r="O1264" s="89">
        <v>5.7747048514903823E-2</v>
      </c>
      <c r="P1264" s="89">
        <v>1.8285924890067414E-2</v>
      </c>
      <c r="Q1264" s="89">
        <v>3.9461123624836406E-2</v>
      </c>
      <c r="R1264" s="89"/>
    </row>
    <row r="1265" spans="1:18" ht="15">
      <c r="A1265" s="70">
        <v>22</v>
      </c>
      <c r="B1265" s="70"/>
      <c r="C1265" s="72" t="s">
        <v>1024</v>
      </c>
      <c r="D1265" s="72" t="s">
        <v>515</v>
      </c>
      <c r="E1265" s="89">
        <v>1</v>
      </c>
      <c r="F1265" s="89" t="s">
        <v>254</v>
      </c>
      <c r="G1265" s="89">
        <v>1</v>
      </c>
      <c r="H1265" s="89" t="s">
        <v>254</v>
      </c>
      <c r="I1265" s="89">
        <v>0</v>
      </c>
      <c r="J1265" s="89">
        <v>0</v>
      </c>
      <c r="K1265" s="89" t="s">
        <v>254</v>
      </c>
      <c r="L1265" s="89" t="s">
        <v>254</v>
      </c>
      <c r="M1265" s="89">
        <v>0</v>
      </c>
      <c r="N1265" s="89" t="s">
        <v>254</v>
      </c>
      <c r="O1265" s="89">
        <v>0</v>
      </c>
      <c r="P1265" s="89">
        <v>0</v>
      </c>
      <c r="Q1265" s="89">
        <v>0</v>
      </c>
      <c r="R1265" s="89"/>
    </row>
    <row r="1266" spans="1:18" ht="15">
      <c r="A1266" s="70">
        <v>23</v>
      </c>
      <c r="B1266" s="70"/>
      <c r="C1266" s="72" t="s">
        <v>1025</v>
      </c>
      <c r="D1266" s="72" t="s">
        <v>1026</v>
      </c>
      <c r="E1266" s="89">
        <v>1</v>
      </c>
      <c r="F1266" s="89" t="s">
        <v>254</v>
      </c>
      <c r="G1266" s="89">
        <v>0</v>
      </c>
      <c r="H1266" s="89" t="s">
        <v>254</v>
      </c>
      <c r="I1266" s="89">
        <v>0</v>
      </c>
      <c r="J1266" s="89">
        <v>1</v>
      </c>
      <c r="K1266" s="89" t="s">
        <v>254</v>
      </c>
      <c r="L1266" s="89" t="s">
        <v>254</v>
      </c>
      <c r="M1266" s="89">
        <v>0</v>
      </c>
      <c r="N1266" s="89" t="s">
        <v>254</v>
      </c>
      <c r="O1266" s="89">
        <v>1</v>
      </c>
      <c r="P1266" s="89">
        <v>0.31035888116466859</v>
      </c>
      <c r="Q1266" s="89">
        <v>0.68964111883533141</v>
      </c>
      <c r="R1266" s="89"/>
    </row>
    <row r="1267" spans="1:18" ht="15">
      <c r="A1267" s="70">
        <v>24</v>
      </c>
      <c r="B1267" s="70"/>
      <c r="C1267" s="72" t="s">
        <v>1027</v>
      </c>
      <c r="D1267" s="72" t="s">
        <v>1028</v>
      </c>
      <c r="E1267" s="89">
        <v>0</v>
      </c>
      <c r="F1267" s="89" t="s">
        <v>254</v>
      </c>
      <c r="G1267" s="89">
        <v>0</v>
      </c>
      <c r="H1267" s="89" t="s">
        <v>254</v>
      </c>
      <c r="I1267" s="89">
        <v>0</v>
      </c>
      <c r="J1267" s="89">
        <v>0</v>
      </c>
      <c r="K1267" s="89" t="s">
        <v>254</v>
      </c>
      <c r="L1267" s="89" t="s">
        <v>254</v>
      </c>
      <c r="M1267" s="89">
        <v>0</v>
      </c>
      <c r="N1267" s="89" t="s">
        <v>254</v>
      </c>
      <c r="O1267" s="89">
        <v>0</v>
      </c>
      <c r="P1267" s="89">
        <v>0</v>
      </c>
      <c r="Q1267" s="89">
        <v>0</v>
      </c>
      <c r="R1267" s="89"/>
    </row>
    <row r="1268" spans="1:18" ht="15">
      <c r="A1268" s="70">
        <v>25</v>
      </c>
      <c r="B1268" s="70"/>
      <c r="C1268" s="72" t="s">
        <v>1029</v>
      </c>
      <c r="D1268" s="72" t="s">
        <v>1030</v>
      </c>
      <c r="E1268" s="89">
        <v>1</v>
      </c>
      <c r="F1268" s="89" t="s">
        <v>254</v>
      </c>
      <c r="G1268" s="89">
        <v>0</v>
      </c>
      <c r="H1268" s="89" t="s">
        <v>254</v>
      </c>
      <c r="I1268" s="89">
        <v>0</v>
      </c>
      <c r="J1268" s="89">
        <v>1</v>
      </c>
      <c r="K1268" s="89" t="s">
        <v>254</v>
      </c>
      <c r="L1268" s="89" t="s">
        <v>254</v>
      </c>
      <c r="M1268" s="89">
        <v>0</v>
      </c>
      <c r="N1268" s="89" t="s">
        <v>254</v>
      </c>
      <c r="O1268" s="89">
        <v>1</v>
      </c>
      <c r="P1268" s="89">
        <v>0.31035888116466842</v>
      </c>
      <c r="Q1268" s="89">
        <v>0.68964111883533152</v>
      </c>
      <c r="R1268" s="89"/>
    </row>
    <row r="1269" spans="1:18" ht="15">
      <c r="A1269" s="70">
        <v>26</v>
      </c>
      <c r="B1269" s="70"/>
      <c r="C1269" s="72" t="s">
        <v>1031</v>
      </c>
      <c r="D1269" s="72" t="s">
        <v>1032</v>
      </c>
      <c r="E1269" s="89">
        <v>1</v>
      </c>
      <c r="F1269" s="89" t="s">
        <v>254</v>
      </c>
      <c r="G1269" s="89">
        <v>0</v>
      </c>
      <c r="H1269" s="89" t="s">
        <v>254</v>
      </c>
      <c r="I1269" s="89">
        <v>0</v>
      </c>
      <c r="J1269" s="89">
        <v>1</v>
      </c>
      <c r="K1269" s="89" t="s">
        <v>254</v>
      </c>
      <c r="L1269" s="89" t="s">
        <v>254</v>
      </c>
      <c r="M1269" s="89">
        <v>0</v>
      </c>
      <c r="N1269" s="89" t="s">
        <v>254</v>
      </c>
      <c r="O1269" s="89">
        <v>1</v>
      </c>
      <c r="P1269" s="89">
        <v>0.31035888116466842</v>
      </c>
      <c r="Q1269" s="89">
        <v>0.68964111883533163</v>
      </c>
      <c r="R1269" s="89"/>
    </row>
    <row r="1270" spans="1:18" ht="15">
      <c r="A1270" s="70">
        <v>27</v>
      </c>
      <c r="B1270" s="70"/>
      <c r="C1270" s="72" t="s">
        <v>1033</v>
      </c>
      <c r="D1270" s="72" t="s">
        <v>1034</v>
      </c>
      <c r="E1270" s="89">
        <v>0.99999999999999989</v>
      </c>
      <c r="F1270" s="89" t="s">
        <v>254</v>
      </c>
      <c r="G1270" s="89">
        <v>0.95064033419138572</v>
      </c>
      <c r="H1270" s="89" t="s">
        <v>254</v>
      </c>
      <c r="I1270" s="89">
        <v>4.5146961236493435E-2</v>
      </c>
      <c r="J1270" s="89">
        <v>4.2127045721207625E-3</v>
      </c>
      <c r="K1270" s="89" t="s">
        <v>254</v>
      </c>
      <c r="L1270" s="89" t="s">
        <v>254</v>
      </c>
      <c r="M1270" s="89">
        <v>3.3404805569974074E-6</v>
      </c>
      <c r="N1270" s="89" t="s">
        <v>254</v>
      </c>
      <c r="O1270" s="89">
        <v>4.2093640915637654E-3</v>
      </c>
      <c r="P1270" s="89">
        <v>1.3064135298724614E-3</v>
      </c>
      <c r="Q1270" s="89">
        <v>2.9029505616913042E-3</v>
      </c>
      <c r="R1270" s="89"/>
    </row>
    <row r="1271" spans="1:18" ht="15">
      <c r="A1271" s="70">
        <v>28</v>
      </c>
      <c r="B1271" s="70"/>
      <c r="C1271" s="72" t="s">
        <v>1160</v>
      </c>
      <c r="D1271" s="72" t="s">
        <v>462</v>
      </c>
      <c r="E1271" s="89">
        <v>1</v>
      </c>
      <c r="F1271" s="89" t="s">
        <v>254</v>
      </c>
      <c r="G1271" s="89">
        <v>0.13101650606866291</v>
      </c>
      <c r="H1271" s="89" t="s">
        <v>254</v>
      </c>
      <c r="I1271" s="89">
        <v>0.86898303354892392</v>
      </c>
      <c r="J1271" s="89">
        <v>4.6038241322926108E-7</v>
      </c>
      <c r="K1271" s="89" t="s">
        <v>254</v>
      </c>
      <c r="L1271" s="89" t="s">
        <v>254</v>
      </c>
      <c r="M1271" s="89">
        <v>4.6038241322926108E-7</v>
      </c>
      <c r="N1271" s="89" t="s">
        <v>254</v>
      </c>
      <c r="O1271" s="89">
        <v>0</v>
      </c>
      <c r="P1271" s="89">
        <v>0</v>
      </c>
      <c r="Q1271" s="89">
        <v>0</v>
      </c>
      <c r="R1271" s="89"/>
    </row>
    <row r="1272" spans="1:18" ht="15">
      <c r="A1272" s="70">
        <v>29</v>
      </c>
      <c r="B1272" s="70"/>
      <c r="C1272" s="72" t="s">
        <v>1036</v>
      </c>
      <c r="D1272" s="72" t="s">
        <v>663</v>
      </c>
      <c r="E1272" s="89">
        <v>1</v>
      </c>
      <c r="F1272" s="89" t="s">
        <v>254</v>
      </c>
      <c r="G1272" s="89">
        <v>0.92674454725476918</v>
      </c>
      <c r="H1272" s="89" t="s">
        <v>254</v>
      </c>
      <c r="I1272" s="89">
        <v>7.312878516197574E-2</v>
      </c>
      <c r="J1272" s="89">
        <v>1.2666758325512908E-4</v>
      </c>
      <c r="K1272" s="89" t="s">
        <v>254</v>
      </c>
      <c r="L1272" s="89" t="s">
        <v>254</v>
      </c>
      <c r="M1272" s="89">
        <v>1.2666758325512908E-4</v>
      </c>
      <c r="N1272" s="89" t="s">
        <v>254</v>
      </c>
      <c r="O1272" s="89">
        <v>0</v>
      </c>
      <c r="P1272" s="89">
        <v>0</v>
      </c>
      <c r="Q1272" s="89">
        <v>0</v>
      </c>
      <c r="R1272" s="89"/>
    </row>
    <row r="1273" spans="1:18" ht="15">
      <c r="A1273" s="70">
        <v>30</v>
      </c>
      <c r="B1273" s="70"/>
      <c r="C1273" s="72" t="s">
        <v>442</v>
      </c>
      <c r="D1273" s="72" t="s">
        <v>721</v>
      </c>
      <c r="E1273" s="89">
        <v>1</v>
      </c>
      <c r="F1273" s="89" t="s">
        <v>254</v>
      </c>
      <c r="G1273" s="89">
        <v>0.88727915242086453</v>
      </c>
      <c r="H1273" s="89" t="s">
        <v>254</v>
      </c>
      <c r="I1273" s="89">
        <v>4.9651803640954666E-2</v>
      </c>
      <c r="J1273" s="89">
        <v>6.3069043938180844E-2</v>
      </c>
      <c r="K1273" s="89" t="s">
        <v>254</v>
      </c>
      <c r="L1273" s="89" t="s">
        <v>254</v>
      </c>
      <c r="M1273" s="89">
        <v>2.2101137028122157E-5</v>
      </c>
      <c r="N1273" s="89" t="s">
        <v>254</v>
      </c>
      <c r="O1273" s="89">
        <v>6.3046942801152722E-2</v>
      </c>
      <c r="P1273" s="89">
        <v>1.9874110497017445E-2</v>
      </c>
      <c r="Q1273" s="89">
        <v>4.3172832304135281E-2</v>
      </c>
      <c r="R1273" s="89"/>
    </row>
    <row r="1274" spans="1:18" ht="15">
      <c r="A1274" s="70">
        <v>31</v>
      </c>
      <c r="B1274" s="70"/>
      <c r="C1274" s="72" t="s">
        <v>1037</v>
      </c>
      <c r="D1274" s="72" t="s">
        <v>492</v>
      </c>
      <c r="E1274" s="89">
        <v>1</v>
      </c>
      <c r="F1274" s="89" t="s">
        <v>254</v>
      </c>
      <c r="G1274" s="89">
        <v>1</v>
      </c>
      <c r="H1274" s="89" t="s">
        <v>254</v>
      </c>
      <c r="I1274" s="89">
        <v>0</v>
      </c>
      <c r="J1274" s="89">
        <v>0</v>
      </c>
      <c r="K1274" s="89" t="s">
        <v>254</v>
      </c>
      <c r="L1274" s="89" t="s">
        <v>254</v>
      </c>
      <c r="M1274" s="89">
        <v>0</v>
      </c>
      <c r="N1274" s="89" t="s">
        <v>254</v>
      </c>
      <c r="O1274" s="89">
        <v>0</v>
      </c>
      <c r="P1274" s="89">
        <v>0</v>
      </c>
      <c r="Q1274" s="89">
        <v>0</v>
      </c>
      <c r="R1274" s="89"/>
    </row>
    <row r="1275" spans="1:18" ht="15">
      <c r="A1275" s="70">
        <v>32</v>
      </c>
      <c r="B1275" s="70"/>
      <c r="C1275" s="72" t="s">
        <v>1038</v>
      </c>
      <c r="D1275" s="72" t="s">
        <v>802</v>
      </c>
      <c r="E1275" s="89">
        <v>1</v>
      </c>
      <c r="F1275" s="89" t="s">
        <v>254</v>
      </c>
      <c r="G1275" s="89">
        <v>0.93363585664726922</v>
      </c>
      <c r="H1275" s="89" t="s">
        <v>254</v>
      </c>
      <c r="I1275" s="89">
        <v>0</v>
      </c>
      <c r="J1275" s="89">
        <v>6.6364143352730803E-2</v>
      </c>
      <c r="K1275" s="89" t="s">
        <v>254</v>
      </c>
      <c r="L1275" s="89" t="s">
        <v>254</v>
      </c>
      <c r="M1275" s="89">
        <v>2.3255830981524019E-5</v>
      </c>
      <c r="N1275" s="89" t="s">
        <v>254</v>
      </c>
      <c r="O1275" s="89">
        <v>6.6340887521749284E-2</v>
      </c>
      <c r="P1275" s="89">
        <v>2.0912451429022264E-2</v>
      </c>
      <c r="Q1275" s="89">
        <v>4.5428436092727023E-2</v>
      </c>
      <c r="R1275" s="89"/>
    </row>
    <row r="1276" spans="1:18" ht="15">
      <c r="A1276" s="70">
        <v>33</v>
      </c>
      <c r="B1276" s="70"/>
      <c r="C1276" s="72" t="s">
        <v>1039</v>
      </c>
      <c r="D1276" s="72" t="s">
        <v>1040</v>
      </c>
      <c r="E1276" s="89">
        <v>1</v>
      </c>
      <c r="F1276" s="89" t="s">
        <v>254</v>
      </c>
      <c r="G1276" s="89">
        <v>0</v>
      </c>
      <c r="H1276" s="89" t="s">
        <v>254</v>
      </c>
      <c r="I1276" s="89">
        <v>1</v>
      </c>
      <c r="J1276" s="89">
        <v>0</v>
      </c>
      <c r="K1276" s="89" t="s">
        <v>254</v>
      </c>
      <c r="L1276" s="89" t="s">
        <v>254</v>
      </c>
      <c r="M1276" s="89">
        <v>0</v>
      </c>
      <c r="N1276" s="89" t="s">
        <v>254</v>
      </c>
      <c r="O1276" s="89">
        <v>0</v>
      </c>
      <c r="P1276" s="89">
        <v>0</v>
      </c>
      <c r="Q1276" s="89">
        <v>0</v>
      </c>
      <c r="R1276" s="89"/>
    </row>
    <row r="1277" spans="1:18" ht="15">
      <c r="A1277" s="70">
        <v>34</v>
      </c>
      <c r="B1277" s="70"/>
      <c r="C1277" s="72" t="s">
        <v>318</v>
      </c>
      <c r="D1277" s="72" t="s">
        <v>589</v>
      </c>
      <c r="E1277" s="89">
        <v>1</v>
      </c>
      <c r="F1277" s="89" t="s">
        <v>254</v>
      </c>
      <c r="G1277" s="89">
        <v>0.869286598639887</v>
      </c>
      <c r="H1277" s="89" t="s">
        <v>254</v>
      </c>
      <c r="I1277" s="89">
        <v>4.1226512853302769E-2</v>
      </c>
      <c r="J1277" s="89">
        <v>8.9486888506810233E-2</v>
      </c>
      <c r="K1277" s="89" t="s">
        <v>254</v>
      </c>
      <c r="L1277" s="89" t="s">
        <v>254</v>
      </c>
      <c r="M1277" s="89">
        <v>3.0546094845480676E-6</v>
      </c>
      <c r="N1277" s="89" t="s">
        <v>254</v>
      </c>
      <c r="O1277" s="89">
        <v>8.9483833897325685E-2</v>
      </c>
      <c r="P1277" s="89">
        <v>2.777210257069903E-2</v>
      </c>
      <c r="Q1277" s="89">
        <v>6.1711731326626655E-2</v>
      </c>
      <c r="R1277" s="89"/>
    </row>
    <row r="1278" spans="1:18" ht="15">
      <c r="A1278" s="70">
        <v>35</v>
      </c>
      <c r="B1278" s="70"/>
      <c r="C1278" s="72" t="s">
        <v>1041</v>
      </c>
      <c r="D1278" s="72" t="s">
        <v>604</v>
      </c>
      <c r="E1278" s="89">
        <v>1</v>
      </c>
      <c r="F1278" s="89" t="s">
        <v>254</v>
      </c>
      <c r="G1278" s="89">
        <v>0.87356001111183323</v>
      </c>
      <c r="H1278" s="89" t="s">
        <v>254</v>
      </c>
      <c r="I1278" s="89">
        <v>4.0376696882989067E-2</v>
      </c>
      <c r="J1278" s="89">
        <v>8.6063292005177733E-2</v>
      </c>
      <c r="K1278" s="89" t="s">
        <v>254</v>
      </c>
      <c r="L1278" s="89" t="s">
        <v>254</v>
      </c>
      <c r="M1278" s="89">
        <v>3.069625943203495E-6</v>
      </c>
      <c r="N1278" s="89" t="s">
        <v>254</v>
      </c>
      <c r="O1278" s="89">
        <v>8.6060222379234524E-2</v>
      </c>
      <c r="P1278" s="89">
        <v>2.6709554330401782E-2</v>
      </c>
      <c r="Q1278" s="89">
        <v>5.9350668048832746E-2</v>
      </c>
      <c r="R1278" s="89"/>
    </row>
    <row r="1279" spans="1:18" ht="15">
      <c r="A1279" s="70">
        <v>36</v>
      </c>
      <c r="B1279" s="70"/>
      <c r="C1279" s="72" t="s">
        <v>1042</v>
      </c>
      <c r="D1279" s="72" t="s">
        <v>619</v>
      </c>
      <c r="E1279" s="89">
        <v>1</v>
      </c>
      <c r="F1279" s="89" t="s">
        <v>254</v>
      </c>
      <c r="G1279" s="89">
        <v>0.87398571135794556</v>
      </c>
      <c r="H1279" s="89" t="s">
        <v>254</v>
      </c>
      <c r="I1279" s="89">
        <v>4.0390644349890981E-2</v>
      </c>
      <c r="J1279" s="89">
        <v>8.5623644292163417E-2</v>
      </c>
      <c r="K1279" s="89" t="s">
        <v>254</v>
      </c>
      <c r="L1279" s="89" t="s">
        <v>254</v>
      </c>
      <c r="M1279" s="89">
        <v>3.071121822711339E-6</v>
      </c>
      <c r="N1279" s="89" t="s">
        <v>254</v>
      </c>
      <c r="O1279" s="89">
        <v>8.5620573170340705E-2</v>
      </c>
      <c r="P1279" s="89">
        <v>2.6573105293824572E-2</v>
      </c>
      <c r="Q1279" s="89">
        <v>5.904746787651613E-2</v>
      </c>
      <c r="R1279" s="89"/>
    </row>
    <row r="1280" spans="1:18" ht="15">
      <c r="A1280" s="70">
        <v>37</v>
      </c>
      <c r="B1280" s="70"/>
      <c r="C1280" s="72" t="s">
        <v>1043</v>
      </c>
      <c r="D1280" s="72" t="s">
        <v>660</v>
      </c>
      <c r="E1280" s="89">
        <v>1</v>
      </c>
      <c r="F1280" s="89" t="s">
        <v>254</v>
      </c>
      <c r="G1280" s="89">
        <v>0.93783581763735457</v>
      </c>
      <c r="H1280" s="89" t="s">
        <v>254</v>
      </c>
      <c r="I1280" s="89">
        <v>4.2762632069026675E-2</v>
      </c>
      <c r="J1280" s="89">
        <v>1.940155029361873E-2</v>
      </c>
      <c r="K1280" s="89" t="s">
        <v>254</v>
      </c>
      <c r="L1280" s="89" t="s">
        <v>254</v>
      </c>
      <c r="M1280" s="89">
        <v>3.512591917002056E-4</v>
      </c>
      <c r="N1280" s="89" t="s">
        <v>254</v>
      </c>
      <c r="O1280" s="89">
        <v>1.9050291101918526E-2</v>
      </c>
      <c r="P1280" s="89">
        <v>1.9050291101918526E-2</v>
      </c>
      <c r="Q1280" s="89">
        <v>0</v>
      </c>
      <c r="R1280" s="89"/>
    </row>
    <row r="1281" spans="1:18" ht="15">
      <c r="A1281" s="70">
        <v>38</v>
      </c>
      <c r="B1281" s="70"/>
      <c r="C1281" s="72" t="s">
        <v>1044</v>
      </c>
      <c r="D1281" s="72" t="s">
        <v>665</v>
      </c>
      <c r="E1281" s="89">
        <v>1</v>
      </c>
      <c r="F1281" s="89" t="s">
        <v>254</v>
      </c>
      <c r="G1281" s="89">
        <v>0.97337567917820156</v>
      </c>
      <c r="H1281" s="89" t="s">
        <v>254</v>
      </c>
      <c r="I1281" s="89">
        <v>2.6624320821798522E-2</v>
      </c>
      <c r="J1281" s="89">
        <v>0</v>
      </c>
      <c r="K1281" s="89" t="s">
        <v>254</v>
      </c>
      <c r="L1281" s="89" t="s">
        <v>254</v>
      </c>
      <c r="M1281" s="89">
        <v>0</v>
      </c>
      <c r="N1281" s="89" t="s">
        <v>254</v>
      </c>
      <c r="O1281" s="89">
        <v>0</v>
      </c>
      <c r="P1281" s="89">
        <v>0</v>
      </c>
      <c r="Q1281" s="89">
        <v>0</v>
      </c>
      <c r="R1281" s="89"/>
    </row>
    <row r="1282" spans="1:18" ht="15">
      <c r="A1282" s="70">
        <v>39</v>
      </c>
      <c r="B1282" s="70"/>
      <c r="C1282" s="72" t="s">
        <v>1045</v>
      </c>
      <c r="D1282" s="72" t="s">
        <v>667</v>
      </c>
      <c r="E1282" s="89">
        <v>0.99999999999999989</v>
      </c>
      <c r="F1282" s="89" t="s">
        <v>254</v>
      </c>
      <c r="G1282" s="89">
        <v>0.96778189961990935</v>
      </c>
      <c r="H1282" s="89" t="s">
        <v>254</v>
      </c>
      <c r="I1282" s="89">
        <v>3.2218100380090577E-2</v>
      </c>
      <c r="J1282" s="89">
        <v>0</v>
      </c>
      <c r="K1282" s="89" t="s">
        <v>254</v>
      </c>
      <c r="L1282" s="89" t="s">
        <v>254</v>
      </c>
      <c r="M1282" s="89">
        <v>0</v>
      </c>
      <c r="N1282" s="89" t="s">
        <v>254</v>
      </c>
      <c r="O1282" s="89">
        <v>0</v>
      </c>
      <c r="P1282" s="89">
        <v>0</v>
      </c>
      <c r="Q1282" s="89">
        <v>0</v>
      </c>
      <c r="R1282" s="89"/>
    </row>
    <row r="1283" spans="1:18" ht="15">
      <c r="A1283" s="70">
        <v>40</v>
      </c>
      <c r="B1283" s="70"/>
      <c r="C1283" s="72" t="s">
        <v>1046</v>
      </c>
      <c r="D1283" s="72" t="s">
        <v>669</v>
      </c>
      <c r="E1283" s="89">
        <v>1.0000000000000002</v>
      </c>
      <c r="F1283" s="89" t="s">
        <v>254</v>
      </c>
      <c r="G1283" s="89">
        <v>0.94513784490706376</v>
      </c>
      <c r="H1283" s="89" t="s">
        <v>254</v>
      </c>
      <c r="I1283" s="89">
        <v>5.0201225521322314E-2</v>
      </c>
      <c r="J1283" s="89">
        <v>4.660929571614029E-3</v>
      </c>
      <c r="K1283" s="89" t="s">
        <v>254</v>
      </c>
      <c r="L1283" s="89" t="s">
        <v>254</v>
      </c>
      <c r="M1283" s="89">
        <v>5.353010099033488E-5</v>
      </c>
      <c r="N1283" s="89" t="s">
        <v>254</v>
      </c>
      <c r="O1283" s="89">
        <v>4.6073994706236944E-3</v>
      </c>
      <c r="P1283" s="89">
        <v>8.0510395723161737E-4</v>
      </c>
      <c r="Q1283" s="89">
        <v>3.8022955133920769E-3</v>
      </c>
      <c r="R1283" s="89"/>
    </row>
    <row r="1284" spans="1:18" ht="15">
      <c r="A1284" s="70">
        <v>41</v>
      </c>
      <c r="B1284" s="70"/>
      <c r="C1284" s="72" t="s">
        <v>1047</v>
      </c>
      <c r="D1284" s="72" t="s">
        <v>671</v>
      </c>
      <c r="E1284" s="89">
        <v>1</v>
      </c>
      <c r="F1284" s="89" t="s">
        <v>254</v>
      </c>
      <c r="G1284" s="89">
        <v>1</v>
      </c>
      <c r="H1284" s="89" t="s">
        <v>254</v>
      </c>
      <c r="I1284" s="89">
        <v>0</v>
      </c>
      <c r="J1284" s="89">
        <v>0</v>
      </c>
      <c r="K1284" s="89" t="s">
        <v>254</v>
      </c>
      <c r="L1284" s="89" t="s">
        <v>254</v>
      </c>
      <c r="M1284" s="89">
        <v>0</v>
      </c>
      <c r="N1284" s="89" t="s">
        <v>254</v>
      </c>
      <c r="O1284" s="89">
        <v>0</v>
      </c>
      <c r="P1284" s="89">
        <v>0</v>
      </c>
      <c r="Q1284" s="89">
        <v>0</v>
      </c>
      <c r="R1284" s="89"/>
    </row>
    <row r="1285" spans="1:18" ht="15">
      <c r="A1285" s="70">
        <v>42</v>
      </c>
      <c r="B1285" s="70"/>
      <c r="C1285" s="72" t="s">
        <v>1048</v>
      </c>
      <c r="D1285" s="72" t="s">
        <v>681</v>
      </c>
      <c r="E1285" s="89">
        <v>0.99999999999999989</v>
      </c>
      <c r="F1285" s="89" t="s">
        <v>254</v>
      </c>
      <c r="G1285" s="89">
        <v>0.95799136733269374</v>
      </c>
      <c r="H1285" s="89" t="s">
        <v>254</v>
      </c>
      <c r="I1285" s="89">
        <v>4.0356407875360809E-2</v>
      </c>
      <c r="J1285" s="89">
        <v>1.6522247919454201E-3</v>
      </c>
      <c r="K1285" s="89" t="s">
        <v>254</v>
      </c>
      <c r="L1285" s="89" t="s">
        <v>254</v>
      </c>
      <c r="M1285" s="89">
        <v>9.8908362083597428E-6</v>
      </c>
      <c r="N1285" s="89" t="s">
        <v>254</v>
      </c>
      <c r="O1285" s="89">
        <v>1.6423339557370604E-3</v>
      </c>
      <c r="P1285" s="89">
        <v>5.0971292900129815E-4</v>
      </c>
      <c r="Q1285" s="89">
        <v>1.1326210267357621E-3</v>
      </c>
      <c r="R1285" s="89"/>
    </row>
    <row r="1286" spans="1:18" ht="15">
      <c r="A1286" s="70">
        <v>43</v>
      </c>
      <c r="B1286" s="70"/>
      <c r="C1286" s="72" t="s">
        <v>1049</v>
      </c>
      <c r="D1286" s="72" t="s">
        <v>697</v>
      </c>
      <c r="E1286" s="89">
        <v>0.99999999999999989</v>
      </c>
      <c r="F1286" s="89" t="s">
        <v>254</v>
      </c>
      <c r="G1286" s="89">
        <v>0.9487830986733472</v>
      </c>
      <c r="H1286" s="89" t="s">
        <v>254</v>
      </c>
      <c r="I1286" s="89">
        <v>5.0040851560344816E-2</v>
      </c>
      <c r="J1286" s="89">
        <v>1.1760497663079561E-3</v>
      </c>
      <c r="K1286" s="89" t="s">
        <v>254</v>
      </c>
      <c r="L1286" s="89" t="s">
        <v>254</v>
      </c>
      <c r="M1286" s="89">
        <v>7.9195270458448229E-6</v>
      </c>
      <c r="N1286" s="89" t="s">
        <v>254</v>
      </c>
      <c r="O1286" s="89">
        <v>1.1681302392621113E-3</v>
      </c>
      <c r="P1286" s="89">
        <v>6.0584381900712894E-4</v>
      </c>
      <c r="Q1286" s="89">
        <v>5.6228642025498235E-4</v>
      </c>
      <c r="R1286" s="89"/>
    </row>
    <row r="1287" spans="1:18" ht="15">
      <c r="A1287" s="70">
        <v>44</v>
      </c>
      <c r="B1287" s="70"/>
      <c r="C1287" s="72" t="s">
        <v>1050</v>
      </c>
      <c r="D1287" s="72" t="s">
        <v>707</v>
      </c>
      <c r="E1287" s="89">
        <v>1</v>
      </c>
      <c r="F1287" s="89" t="s">
        <v>254</v>
      </c>
      <c r="G1287" s="89">
        <v>0.9987890351405927</v>
      </c>
      <c r="H1287" s="89" t="s">
        <v>254</v>
      </c>
      <c r="I1287" s="89">
        <v>1.210793625688561E-3</v>
      </c>
      <c r="J1287" s="89">
        <v>1.7123371880760303E-7</v>
      </c>
      <c r="K1287" s="89" t="s">
        <v>254</v>
      </c>
      <c r="L1287" s="89" t="s">
        <v>254</v>
      </c>
      <c r="M1287" s="89">
        <v>1.7123371880760303E-7</v>
      </c>
      <c r="N1287" s="89" t="s">
        <v>254</v>
      </c>
      <c r="O1287" s="89">
        <v>0</v>
      </c>
      <c r="P1287" s="89">
        <v>0</v>
      </c>
      <c r="Q1287" s="89">
        <v>0</v>
      </c>
      <c r="R1287" s="89"/>
    </row>
    <row r="1288" spans="1:18" ht="15">
      <c r="A1288" s="70">
        <v>45</v>
      </c>
      <c r="B1288" s="70"/>
      <c r="C1288" s="72" t="s">
        <v>1051</v>
      </c>
      <c r="D1288" s="72" t="s">
        <v>1052</v>
      </c>
      <c r="E1288" s="89">
        <v>1</v>
      </c>
      <c r="F1288" s="89" t="s">
        <v>254</v>
      </c>
      <c r="G1288" s="89">
        <v>0.92665801762434752</v>
      </c>
      <c r="H1288" s="89" t="s">
        <v>254</v>
      </c>
      <c r="I1288" s="89">
        <v>7.0106199148327442E-2</v>
      </c>
      <c r="J1288" s="89">
        <v>3.2357832273251438E-3</v>
      </c>
      <c r="K1288" s="89" t="s">
        <v>254</v>
      </c>
      <c r="L1288" s="89" t="s">
        <v>254</v>
      </c>
      <c r="M1288" s="89">
        <v>6.7138820756366889E-5</v>
      </c>
      <c r="N1288" s="89" t="s">
        <v>254</v>
      </c>
      <c r="O1288" s="89">
        <v>3.1686444065687769E-3</v>
      </c>
      <c r="P1288" s="89">
        <v>2.0075253456675185E-3</v>
      </c>
      <c r="Q1288" s="89">
        <v>1.1611190609012582E-3</v>
      </c>
      <c r="R1288" s="89"/>
    </row>
    <row r="1289" spans="1:18" ht="15">
      <c r="A1289" s="70" t="s">
        <v>254</v>
      </c>
      <c r="B1289" s="70"/>
      <c r="C1289" s="72" t="s">
        <v>1053</v>
      </c>
      <c r="D1289" s="72" t="s">
        <v>254</v>
      </c>
      <c r="E1289" s="89" t="s">
        <v>254</v>
      </c>
      <c r="F1289" s="89" t="s">
        <v>254</v>
      </c>
      <c r="G1289" s="89" t="s">
        <v>254</v>
      </c>
      <c r="H1289" s="89" t="s">
        <v>254</v>
      </c>
      <c r="I1289" s="89" t="s">
        <v>254</v>
      </c>
      <c r="J1289" s="89" t="s">
        <v>254</v>
      </c>
      <c r="K1289" s="89" t="s">
        <v>254</v>
      </c>
      <c r="L1289" s="89" t="s">
        <v>254</v>
      </c>
      <c r="M1289" s="89" t="s">
        <v>254</v>
      </c>
      <c r="N1289" s="89" t="s">
        <v>254</v>
      </c>
      <c r="O1289" s="89" t="s">
        <v>254</v>
      </c>
      <c r="P1289" s="89" t="s">
        <v>254</v>
      </c>
      <c r="Q1289" s="89" t="s">
        <v>254</v>
      </c>
      <c r="R1289" s="89"/>
    </row>
    <row r="1290" spans="1:18" ht="15">
      <c r="A1290" s="70" t="s">
        <v>254</v>
      </c>
      <c r="B1290" s="70"/>
      <c r="C1290" s="72" t="s">
        <v>925</v>
      </c>
      <c r="D1290" s="72" t="s">
        <v>254</v>
      </c>
      <c r="E1290" s="89" t="s">
        <v>254</v>
      </c>
      <c r="F1290" s="89" t="s">
        <v>254</v>
      </c>
      <c r="G1290" s="89" t="s">
        <v>254</v>
      </c>
      <c r="H1290" s="89" t="s">
        <v>254</v>
      </c>
      <c r="I1290" s="89" t="s">
        <v>254</v>
      </c>
      <c r="J1290" s="89" t="s">
        <v>254</v>
      </c>
      <c r="K1290" s="89" t="s">
        <v>254</v>
      </c>
      <c r="L1290" s="89" t="s">
        <v>254</v>
      </c>
      <c r="M1290" s="89" t="s">
        <v>254</v>
      </c>
      <c r="N1290" s="89" t="s">
        <v>254</v>
      </c>
      <c r="O1290" s="89" t="s">
        <v>254</v>
      </c>
      <c r="P1290" s="89" t="s">
        <v>254</v>
      </c>
      <c r="Q1290" s="89" t="s">
        <v>254</v>
      </c>
      <c r="R1290" s="89"/>
    </row>
    <row r="1291" spans="1:18" ht="15">
      <c r="A1291" s="70">
        <v>1</v>
      </c>
      <c r="B1291" s="70"/>
      <c r="C1291" s="72" t="s">
        <v>1054</v>
      </c>
      <c r="D1291" s="72" t="s">
        <v>716</v>
      </c>
      <c r="E1291" s="89">
        <v>1</v>
      </c>
      <c r="F1291" s="89" t="s">
        <v>254</v>
      </c>
      <c r="G1291" s="89">
        <v>0.94815391805577187</v>
      </c>
      <c r="H1291" s="89" t="s">
        <v>254</v>
      </c>
      <c r="I1291" s="89">
        <v>5.183875076748256E-2</v>
      </c>
      <c r="J1291" s="89">
        <v>7.3311767455073618E-6</v>
      </c>
      <c r="K1291" s="89" t="s">
        <v>254</v>
      </c>
      <c r="L1291" s="89" t="s">
        <v>254</v>
      </c>
      <c r="M1291" s="89">
        <v>7.3311767455073618E-6</v>
      </c>
      <c r="N1291" s="89" t="s">
        <v>254</v>
      </c>
      <c r="O1291" s="89">
        <v>0</v>
      </c>
      <c r="P1291" s="89">
        <v>0</v>
      </c>
      <c r="Q1291" s="89">
        <v>0</v>
      </c>
      <c r="R1291" s="89"/>
    </row>
    <row r="1292" spans="1:18" ht="15">
      <c r="A1292" s="70">
        <v>2</v>
      </c>
      <c r="B1292" s="70"/>
      <c r="C1292" s="72" t="s">
        <v>1055</v>
      </c>
      <c r="D1292" s="72" t="s">
        <v>591</v>
      </c>
      <c r="E1292" s="89">
        <v>1</v>
      </c>
      <c r="F1292" s="89" t="s">
        <v>254</v>
      </c>
      <c r="G1292" s="89">
        <v>0</v>
      </c>
      <c r="H1292" s="89" t="s">
        <v>254</v>
      </c>
      <c r="I1292" s="89">
        <v>0</v>
      </c>
      <c r="J1292" s="89">
        <v>1</v>
      </c>
      <c r="K1292" s="89" t="s">
        <v>254</v>
      </c>
      <c r="L1292" s="89" t="s">
        <v>254</v>
      </c>
      <c r="M1292" s="89">
        <v>0</v>
      </c>
      <c r="N1292" s="89" t="s">
        <v>254</v>
      </c>
      <c r="O1292" s="89">
        <v>1</v>
      </c>
      <c r="P1292" s="89">
        <v>0.29701396565629401</v>
      </c>
      <c r="Q1292" s="89">
        <v>0.7029860343437061</v>
      </c>
      <c r="R1292" s="89"/>
    </row>
    <row r="1293" spans="1:18" ht="15">
      <c r="A1293" s="70">
        <v>3</v>
      </c>
      <c r="B1293" s="70"/>
      <c r="C1293" s="72" t="s">
        <v>1056</v>
      </c>
      <c r="D1293" s="72" t="s">
        <v>740</v>
      </c>
      <c r="E1293" s="89">
        <v>1</v>
      </c>
      <c r="F1293" s="89" t="s">
        <v>254</v>
      </c>
      <c r="G1293" s="89">
        <v>0</v>
      </c>
      <c r="H1293" s="89" t="s">
        <v>254</v>
      </c>
      <c r="I1293" s="89">
        <v>1</v>
      </c>
      <c r="J1293" s="89">
        <v>0</v>
      </c>
      <c r="K1293" s="89" t="s">
        <v>254</v>
      </c>
      <c r="L1293" s="89" t="s">
        <v>254</v>
      </c>
      <c r="M1293" s="89">
        <v>0</v>
      </c>
      <c r="N1293" s="89" t="s">
        <v>254</v>
      </c>
      <c r="O1293" s="89">
        <v>0</v>
      </c>
      <c r="P1293" s="89">
        <v>0</v>
      </c>
      <c r="Q1293" s="89">
        <v>0</v>
      </c>
      <c r="R1293" s="89"/>
    </row>
    <row r="1294" spans="1:18" ht="15">
      <c r="A1294" s="70">
        <v>4</v>
      </c>
      <c r="B1294" s="70"/>
      <c r="C1294" s="72" t="s">
        <v>1057</v>
      </c>
      <c r="D1294" s="72" t="s">
        <v>1058</v>
      </c>
      <c r="E1294" s="89">
        <v>1</v>
      </c>
      <c r="F1294" s="89" t="s">
        <v>254</v>
      </c>
      <c r="G1294" s="89">
        <v>0.88876065416867633</v>
      </c>
      <c r="H1294" s="89" t="s">
        <v>254</v>
      </c>
      <c r="I1294" s="89">
        <v>4.2313357508756005E-2</v>
      </c>
      <c r="J1294" s="89">
        <v>6.8925988322567744E-2</v>
      </c>
      <c r="K1294" s="89" t="s">
        <v>254</v>
      </c>
      <c r="L1294" s="89" t="s">
        <v>254</v>
      </c>
      <c r="M1294" s="89">
        <v>1.4236322945532284E-6</v>
      </c>
      <c r="N1294" s="89" t="s">
        <v>254</v>
      </c>
      <c r="O1294" s="89">
        <v>6.8924564690273193E-2</v>
      </c>
      <c r="P1294" s="89">
        <v>2.0471558289791813E-2</v>
      </c>
      <c r="Q1294" s="89">
        <v>4.8453006400481377E-2</v>
      </c>
      <c r="R1294" s="89"/>
    </row>
    <row r="1295" spans="1:18" ht="15">
      <c r="A1295" s="70">
        <v>5</v>
      </c>
      <c r="B1295" s="70"/>
      <c r="C1295" s="72" t="s">
        <v>1059</v>
      </c>
      <c r="D1295" s="72" t="s">
        <v>731</v>
      </c>
      <c r="E1295" s="89">
        <v>1</v>
      </c>
      <c r="F1295" s="89" t="s">
        <v>254</v>
      </c>
      <c r="G1295" s="89">
        <v>0</v>
      </c>
      <c r="H1295" s="89" t="s">
        <v>254</v>
      </c>
      <c r="I1295" s="89">
        <v>1</v>
      </c>
      <c r="J1295" s="89">
        <v>0</v>
      </c>
      <c r="K1295" s="89" t="s">
        <v>254</v>
      </c>
      <c r="L1295" s="89" t="s">
        <v>254</v>
      </c>
      <c r="M1295" s="89">
        <v>0</v>
      </c>
      <c r="N1295" s="89" t="s">
        <v>254</v>
      </c>
      <c r="O1295" s="89">
        <v>0</v>
      </c>
      <c r="P1295" s="89">
        <v>0</v>
      </c>
      <c r="Q1295" s="89">
        <v>0</v>
      </c>
      <c r="R1295" s="89"/>
    </row>
    <row r="1296" spans="1:18" ht="15">
      <c r="A1296" s="70">
        <v>6</v>
      </c>
      <c r="B1296" s="70"/>
      <c r="C1296" s="72" t="s">
        <v>1060</v>
      </c>
      <c r="D1296" s="72" t="s">
        <v>1061</v>
      </c>
      <c r="E1296" s="89">
        <v>1</v>
      </c>
      <c r="F1296" s="89" t="s">
        <v>254</v>
      </c>
      <c r="G1296" s="89">
        <v>0.95455278967060886</v>
      </c>
      <c r="H1296" s="89" t="s">
        <v>254</v>
      </c>
      <c r="I1296" s="89">
        <v>4.5445681310108094E-2</v>
      </c>
      <c r="J1296" s="89">
        <v>1.5290192830397786E-6</v>
      </c>
      <c r="K1296" s="89" t="s">
        <v>254</v>
      </c>
      <c r="L1296" s="89" t="s">
        <v>254</v>
      </c>
      <c r="M1296" s="89">
        <v>1.5290192830397786E-6</v>
      </c>
      <c r="N1296" s="89" t="s">
        <v>254</v>
      </c>
      <c r="O1296" s="89">
        <v>0</v>
      </c>
      <c r="P1296" s="89">
        <v>0</v>
      </c>
      <c r="Q1296" s="89">
        <v>0</v>
      </c>
      <c r="R1296" s="89"/>
    </row>
    <row r="1297" spans="1:18" ht="15">
      <c r="A1297" s="70">
        <v>7</v>
      </c>
      <c r="B1297" s="70"/>
      <c r="C1297" s="72" t="s">
        <v>1062</v>
      </c>
      <c r="D1297" s="72" t="s">
        <v>751</v>
      </c>
      <c r="E1297" s="89">
        <v>1</v>
      </c>
      <c r="F1297" s="89" t="s">
        <v>254</v>
      </c>
      <c r="G1297" s="89">
        <v>0.99705743251608525</v>
      </c>
      <c r="H1297" s="89" t="s">
        <v>254</v>
      </c>
      <c r="I1297" s="89">
        <v>0</v>
      </c>
      <c r="J1297" s="89">
        <v>2.9425674839147322E-3</v>
      </c>
      <c r="K1297" s="89" t="s">
        <v>254</v>
      </c>
      <c r="L1297" s="89" t="s">
        <v>254</v>
      </c>
      <c r="M1297" s="89">
        <v>0</v>
      </c>
      <c r="N1297" s="89" t="s">
        <v>254</v>
      </c>
      <c r="O1297" s="89">
        <v>2.9425674839147322E-3</v>
      </c>
      <c r="P1297" s="89">
        <v>2.5505986565070356E-3</v>
      </c>
      <c r="Q1297" s="89">
        <v>3.9196882740769637E-4</v>
      </c>
      <c r="R1297" s="89"/>
    </row>
    <row r="1298" spans="1:18" ht="15">
      <c r="A1298" s="70">
        <v>8</v>
      </c>
      <c r="B1298" s="70"/>
      <c r="C1298" s="72" t="s">
        <v>1063</v>
      </c>
      <c r="D1298" s="72" t="s">
        <v>753</v>
      </c>
      <c r="E1298" s="89">
        <v>1</v>
      </c>
      <c r="F1298" s="89" t="s">
        <v>254</v>
      </c>
      <c r="G1298" s="89">
        <v>0</v>
      </c>
      <c r="H1298" s="89" t="s">
        <v>254</v>
      </c>
      <c r="I1298" s="89">
        <v>1</v>
      </c>
      <c r="J1298" s="89">
        <v>0</v>
      </c>
      <c r="K1298" s="89" t="s">
        <v>254</v>
      </c>
      <c r="L1298" s="89" t="s">
        <v>254</v>
      </c>
      <c r="M1298" s="89">
        <v>0</v>
      </c>
      <c r="N1298" s="89" t="s">
        <v>254</v>
      </c>
      <c r="O1298" s="89">
        <v>0</v>
      </c>
      <c r="P1298" s="89">
        <v>0</v>
      </c>
      <c r="Q1298" s="89">
        <v>0</v>
      </c>
      <c r="R1298" s="89"/>
    </row>
    <row r="1299" spans="1:18" ht="15">
      <c r="A1299" s="70">
        <v>9</v>
      </c>
      <c r="B1299" s="70"/>
      <c r="C1299" s="72" t="s">
        <v>1064</v>
      </c>
      <c r="D1299" s="72" t="s">
        <v>755</v>
      </c>
      <c r="E1299" s="89">
        <v>1</v>
      </c>
      <c r="F1299" s="89" t="s">
        <v>254</v>
      </c>
      <c r="G1299" s="89">
        <v>0</v>
      </c>
      <c r="H1299" s="89" t="s">
        <v>254</v>
      </c>
      <c r="I1299" s="89">
        <v>0</v>
      </c>
      <c r="J1299" s="89">
        <v>1</v>
      </c>
      <c r="K1299" s="89" t="s">
        <v>254</v>
      </c>
      <c r="L1299" s="89" t="s">
        <v>254</v>
      </c>
      <c r="M1299" s="89">
        <v>1</v>
      </c>
      <c r="N1299" s="89" t="s">
        <v>254</v>
      </c>
      <c r="O1299" s="89">
        <v>0</v>
      </c>
      <c r="P1299" s="89">
        <v>0</v>
      </c>
      <c r="Q1299" s="89">
        <v>0</v>
      </c>
      <c r="R1299" s="89"/>
    </row>
    <row r="1300" spans="1:18" ht="15">
      <c r="A1300" s="70">
        <v>10</v>
      </c>
      <c r="B1300" s="70"/>
      <c r="C1300" s="72" t="s">
        <v>477</v>
      </c>
      <c r="D1300" s="72" t="s">
        <v>764</v>
      </c>
      <c r="E1300" s="89">
        <v>0.99999999999999978</v>
      </c>
      <c r="F1300" s="89" t="s">
        <v>254</v>
      </c>
      <c r="G1300" s="89">
        <v>0.88975080566263687</v>
      </c>
      <c r="H1300" s="89" t="s">
        <v>254</v>
      </c>
      <c r="I1300" s="89">
        <v>4.6769835674102922E-2</v>
      </c>
      <c r="J1300" s="89">
        <v>6.3479358663260099E-2</v>
      </c>
      <c r="K1300" s="89" t="s">
        <v>254</v>
      </c>
      <c r="L1300" s="89" t="s">
        <v>254</v>
      </c>
      <c r="M1300" s="89">
        <v>8.4649264366918174E-6</v>
      </c>
      <c r="N1300" s="89" t="s">
        <v>254</v>
      </c>
      <c r="O1300" s="89">
        <v>6.3470893736823408E-2</v>
      </c>
      <c r="P1300" s="89">
        <v>1.9987490080266949E-2</v>
      </c>
      <c r="Q1300" s="89">
        <v>4.3483403656556459E-2</v>
      </c>
      <c r="R1300" s="89"/>
    </row>
    <row r="1301" spans="1:18" ht="15">
      <c r="A1301" s="70">
        <v>11</v>
      </c>
      <c r="B1301" s="70"/>
      <c r="C1301" s="72" t="s">
        <v>550</v>
      </c>
      <c r="D1301" s="72" t="s">
        <v>786</v>
      </c>
      <c r="E1301" s="89">
        <v>0.99999999999999978</v>
      </c>
      <c r="F1301" s="89" t="s">
        <v>254</v>
      </c>
      <c r="G1301" s="89">
        <v>0.89216213526842736</v>
      </c>
      <c r="H1301" s="89" t="s">
        <v>254</v>
      </c>
      <c r="I1301" s="89">
        <v>4.415870853795692E-2</v>
      </c>
      <c r="J1301" s="89">
        <v>6.3679156193615555E-2</v>
      </c>
      <c r="K1301" s="89" t="s">
        <v>254</v>
      </c>
      <c r="L1301" s="89" t="s">
        <v>254</v>
      </c>
      <c r="M1301" s="89">
        <v>5.8412385646127815E-6</v>
      </c>
      <c r="N1301" s="89" t="s">
        <v>254</v>
      </c>
      <c r="O1301" s="89">
        <v>6.3673314955050936E-2</v>
      </c>
      <c r="P1301" s="89">
        <v>2.005514461868875E-2</v>
      </c>
      <c r="Q1301" s="89">
        <v>4.3618170336362186E-2</v>
      </c>
      <c r="R1301" s="89"/>
    </row>
    <row r="1302" spans="1:18" ht="15">
      <c r="A1302" s="70">
        <v>12</v>
      </c>
      <c r="B1302" s="70"/>
      <c r="C1302" s="72" t="s">
        <v>1065</v>
      </c>
      <c r="D1302" s="72" t="s">
        <v>790</v>
      </c>
      <c r="E1302" s="89">
        <v>1</v>
      </c>
      <c r="F1302" s="89" t="s">
        <v>254</v>
      </c>
      <c r="G1302" s="89">
        <v>0</v>
      </c>
      <c r="H1302" s="89" t="s">
        <v>254</v>
      </c>
      <c r="I1302" s="89">
        <v>0</v>
      </c>
      <c r="J1302" s="89">
        <v>1</v>
      </c>
      <c r="K1302" s="89" t="s">
        <v>254</v>
      </c>
      <c r="L1302" s="89" t="s">
        <v>254</v>
      </c>
      <c r="M1302" s="89">
        <v>0</v>
      </c>
      <c r="N1302" s="89" t="s">
        <v>254</v>
      </c>
      <c r="O1302" s="89">
        <v>1</v>
      </c>
      <c r="P1302" s="89">
        <v>0.31035888116466842</v>
      </c>
      <c r="Q1302" s="89">
        <v>0.68964111883533152</v>
      </c>
      <c r="R1302" s="89"/>
    </row>
    <row r="1303" spans="1:18" ht="15">
      <c r="A1303" s="70">
        <v>13</v>
      </c>
      <c r="B1303" s="70"/>
      <c r="C1303" s="72" t="s">
        <v>1161</v>
      </c>
      <c r="D1303" s="72" t="s">
        <v>1067</v>
      </c>
      <c r="E1303" s="89">
        <v>0.99999999999999989</v>
      </c>
      <c r="F1303" s="89" t="s">
        <v>254</v>
      </c>
      <c r="G1303" s="89">
        <v>0.90372831145881882</v>
      </c>
      <c r="H1303" s="89" t="s">
        <v>254</v>
      </c>
      <c r="I1303" s="89">
        <v>3.2033535261676779E-2</v>
      </c>
      <c r="J1303" s="89">
        <v>6.4238153279504356E-2</v>
      </c>
      <c r="K1303" s="89" t="s">
        <v>254</v>
      </c>
      <c r="L1303" s="89" t="s">
        <v>254</v>
      </c>
      <c r="M1303" s="89">
        <v>2.2811034153440701E-5</v>
      </c>
      <c r="N1303" s="89" t="s">
        <v>254</v>
      </c>
      <c r="O1303" s="89">
        <v>6.4215342245350915E-2</v>
      </c>
      <c r="P1303" s="89">
        <v>2.024251170776328E-2</v>
      </c>
      <c r="Q1303" s="89">
        <v>4.3972830537587639E-2</v>
      </c>
      <c r="R1303" s="89"/>
    </row>
    <row r="1304" spans="1:18" ht="15">
      <c r="A1304" s="70">
        <v>14</v>
      </c>
      <c r="B1304" s="70"/>
      <c r="C1304" s="72" t="s">
        <v>1068</v>
      </c>
      <c r="D1304" s="72" t="s">
        <v>1069</v>
      </c>
      <c r="E1304" s="89">
        <v>1</v>
      </c>
      <c r="F1304" s="89" t="s">
        <v>254</v>
      </c>
      <c r="G1304" s="89">
        <v>0.87808567870198251</v>
      </c>
      <c r="H1304" s="89" t="s">
        <v>254</v>
      </c>
      <c r="I1304" s="89">
        <v>3.7085358664732858E-2</v>
      </c>
      <c r="J1304" s="89">
        <v>8.4828962633284599E-2</v>
      </c>
      <c r="K1304" s="89" t="s">
        <v>254</v>
      </c>
      <c r="L1304" s="89" t="s">
        <v>254</v>
      </c>
      <c r="M1304" s="89">
        <v>4.0730296233611344E-6</v>
      </c>
      <c r="N1304" s="89" t="s">
        <v>254</v>
      </c>
      <c r="O1304" s="89">
        <v>8.4824889603661233E-2</v>
      </c>
      <c r="P1304" s="89">
        <v>2.6735722908202187E-2</v>
      </c>
      <c r="Q1304" s="89">
        <v>5.8089166695459042E-2</v>
      </c>
      <c r="R1304" s="89"/>
    </row>
    <row r="1305" spans="1:18" ht="15">
      <c r="A1305" s="70">
        <v>15</v>
      </c>
      <c r="B1305" s="70"/>
      <c r="C1305" s="72" t="s">
        <v>1070</v>
      </c>
      <c r="D1305" s="72" t="s">
        <v>1071</v>
      </c>
      <c r="E1305" s="89">
        <v>1</v>
      </c>
      <c r="F1305" s="89" t="s">
        <v>254</v>
      </c>
      <c r="G1305" s="89">
        <v>0.87907375310778357</v>
      </c>
      <c r="H1305" s="89" t="s">
        <v>254</v>
      </c>
      <c r="I1305" s="89">
        <v>3.6839449793758298E-2</v>
      </c>
      <c r="J1305" s="89">
        <v>8.4086797098458108E-2</v>
      </c>
      <c r="K1305" s="89" t="s">
        <v>254</v>
      </c>
      <c r="L1305" s="89" t="s">
        <v>254</v>
      </c>
      <c r="M1305" s="89">
        <v>3.9910419918580765E-6</v>
      </c>
      <c r="N1305" s="89" t="s">
        <v>254</v>
      </c>
      <c r="O1305" s="89">
        <v>8.4082806056466244E-2</v>
      </c>
      <c r="P1305" s="89">
        <v>2.6485703561539252E-2</v>
      </c>
      <c r="Q1305" s="89">
        <v>5.7597102494926992E-2</v>
      </c>
      <c r="R1305" s="89"/>
    </row>
    <row r="1306" spans="1:18" ht="15">
      <c r="A1306" s="70">
        <v>16</v>
      </c>
      <c r="B1306" s="70"/>
      <c r="C1306" s="72" t="s">
        <v>1072</v>
      </c>
      <c r="D1306" s="72" t="s">
        <v>1073</v>
      </c>
      <c r="E1306" s="89">
        <v>1</v>
      </c>
      <c r="F1306" s="89" t="s">
        <v>254</v>
      </c>
      <c r="G1306" s="89">
        <v>0.87356001111183323</v>
      </c>
      <c r="H1306" s="89" t="s">
        <v>254</v>
      </c>
      <c r="I1306" s="89">
        <v>4.0376696882989067E-2</v>
      </c>
      <c r="J1306" s="89">
        <v>8.6063292005177733E-2</v>
      </c>
      <c r="K1306" s="89" t="s">
        <v>254</v>
      </c>
      <c r="L1306" s="89" t="s">
        <v>254</v>
      </c>
      <c r="M1306" s="89">
        <v>3.069625943203495E-6</v>
      </c>
      <c r="N1306" s="89" t="s">
        <v>254</v>
      </c>
      <c r="O1306" s="89">
        <v>8.6060222379234524E-2</v>
      </c>
      <c r="P1306" s="89">
        <v>2.6709554330401782E-2</v>
      </c>
      <c r="Q1306" s="89">
        <v>5.9350668048832746E-2</v>
      </c>
      <c r="R1306" s="89"/>
    </row>
    <row r="1307" spans="1:18" ht="15">
      <c r="A1307" s="70">
        <v>17</v>
      </c>
      <c r="B1307" s="70"/>
      <c r="C1307" s="72" t="s">
        <v>1074</v>
      </c>
      <c r="D1307" s="72" t="s">
        <v>1075</v>
      </c>
      <c r="E1307" s="89">
        <v>1</v>
      </c>
      <c r="F1307" s="89" t="s">
        <v>254</v>
      </c>
      <c r="G1307" s="89">
        <v>0.87490916509347294</v>
      </c>
      <c r="H1307" s="89" t="s">
        <v>254</v>
      </c>
      <c r="I1307" s="89">
        <v>3.9468022774952954E-2</v>
      </c>
      <c r="J1307" s="89">
        <v>8.5622812131574119E-2</v>
      </c>
      <c r="K1307" s="89" t="s">
        <v>254</v>
      </c>
      <c r="L1307" s="89" t="s">
        <v>254</v>
      </c>
      <c r="M1307" s="89">
        <v>3.3410305763386326E-6</v>
      </c>
      <c r="N1307" s="89" t="s">
        <v>254</v>
      </c>
      <c r="O1307" s="89">
        <v>8.5619471100997782E-2</v>
      </c>
      <c r="P1307" s="89">
        <v>2.6683031549965271E-2</v>
      </c>
      <c r="Q1307" s="89">
        <v>5.8936439551032511E-2</v>
      </c>
      <c r="R1307" s="89"/>
    </row>
    <row r="1308" spans="1:18" ht="15">
      <c r="A1308" s="70">
        <v>18</v>
      </c>
      <c r="B1308" s="70"/>
      <c r="C1308" s="72" t="s">
        <v>1076</v>
      </c>
      <c r="D1308" s="72" t="s">
        <v>1077</v>
      </c>
      <c r="E1308" s="89">
        <v>1</v>
      </c>
      <c r="F1308" s="89" t="s">
        <v>254</v>
      </c>
      <c r="G1308" s="89">
        <v>0.87936446989594574</v>
      </c>
      <c r="H1308" s="89" t="s">
        <v>254</v>
      </c>
      <c r="I1308" s="89">
        <v>3.6468313069858795E-2</v>
      </c>
      <c r="J1308" s="89">
        <v>8.416721703419551E-2</v>
      </c>
      <c r="K1308" s="89" t="s">
        <v>254</v>
      </c>
      <c r="L1308" s="89" t="s">
        <v>254</v>
      </c>
      <c r="M1308" s="89">
        <v>4.237008820307E-6</v>
      </c>
      <c r="N1308" s="89" t="s">
        <v>254</v>
      </c>
      <c r="O1308" s="89">
        <v>8.41629800253752E-2</v>
      </c>
      <c r="P1308" s="89">
        <v>2.6595019292457223E-2</v>
      </c>
      <c r="Q1308" s="89">
        <v>5.7567960732917978E-2</v>
      </c>
      <c r="R1308" s="89"/>
    </row>
    <row r="1309" spans="1:18" ht="15">
      <c r="A1309" s="70">
        <v>19</v>
      </c>
      <c r="B1309" s="70"/>
      <c r="C1309" s="72" t="s">
        <v>1078</v>
      </c>
      <c r="D1309" s="72" t="s">
        <v>1079</v>
      </c>
      <c r="E1309" s="89">
        <v>1</v>
      </c>
      <c r="F1309" s="89" t="s">
        <v>254</v>
      </c>
      <c r="G1309" s="89">
        <v>0.87398571135794556</v>
      </c>
      <c r="H1309" s="89" t="s">
        <v>254</v>
      </c>
      <c r="I1309" s="89">
        <v>4.0390644349890981E-2</v>
      </c>
      <c r="J1309" s="89">
        <v>8.5623644292163403E-2</v>
      </c>
      <c r="K1309" s="89" t="s">
        <v>254</v>
      </c>
      <c r="L1309" s="89" t="s">
        <v>254</v>
      </c>
      <c r="M1309" s="89">
        <v>3.071121822711339E-6</v>
      </c>
      <c r="N1309" s="89" t="s">
        <v>254</v>
      </c>
      <c r="O1309" s="89">
        <v>8.5620573170340691E-2</v>
      </c>
      <c r="P1309" s="89">
        <v>2.6573105293824572E-2</v>
      </c>
      <c r="Q1309" s="89">
        <v>5.9047467876516123E-2</v>
      </c>
      <c r="R1309" s="89"/>
    </row>
    <row r="1310" spans="1:18" ht="15">
      <c r="A1310" s="70">
        <v>20</v>
      </c>
      <c r="B1310" s="70"/>
      <c r="C1310" s="72" t="s">
        <v>1162</v>
      </c>
      <c r="D1310" s="72" t="s">
        <v>1081</v>
      </c>
      <c r="E1310" s="89">
        <v>0</v>
      </c>
      <c r="F1310" s="89" t="s">
        <v>254</v>
      </c>
      <c r="G1310" s="89">
        <v>0</v>
      </c>
      <c r="H1310" s="89" t="s">
        <v>254</v>
      </c>
      <c r="I1310" s="89">
        <v>0</v>
      </c>
      <c r="J1310" s="89">
        <v>0</v>
      </c>
      <c r="K1310" s="89" t="s">
        <v>254</v>
      </c>
      <c r="L1310" s="89" t="s">
        <v>254</v>
      </c>
      <c r="M1310" s="89">
        <v>0</v>
      </c>
      <c r="N1310" s="89" t="s">
        <v>254</v>
      </c>
      <c r="O1310" s="89">
        <v>0</v>
      </c>
      <c r="P1310" s="89">
        <v>0</v>
      </c>
      <c r="Q1310" s="89">
        <v>0</v>
      </c>
      <c r="R1310" s="89"/>
    </row>
    <row r="1311" spans="1:18" ht="15">
      <c r="A1311" s="70">
        <v>21</v>
      </c>
      <c r="B1311" s="70"/>
      <c r="C1311" s="72" t="s">
        <v>1163</v>
      </c>
      <c r="D1311" s="72" t="s">
        <v>1083</v>
      </c>
      <c r="E1311" s="89">
        <v>0</v>
      </c>
      <c r="F1311" s="89" t="s">
        <v>254</v>
      </c>
      <c r="G1311" s="89">
        <v>0</v>
      </c>
      <c r="H1311" s="89" t="s">
        <v>254</v>
      </c>
      <c r="I1311" s="89">
        <v>0</v>
      </c>
      <c r="J1311" s="89">
        <v>0</v>
      </c>
      <c r="K1311" s="89" t="s">
        <v>254</v>
      </c>
      <c r="L1311" s="89" t="s">
        <v>254</v>
      </c>
      <c r="M1311" s="89">
        <v>0</v>
      </c>
      <c r="N1311" s="89" t="s">
        <v>254</v>
      </c>
      <c r="O1311" s="89">
        <v>0</v>
      </c>
      <c r="P1311" s="89">
        <v>0</v>
      </c>
      <c r="Q1311" s="89">
        <v>0</v>
      </c>
      <c r="R1311" s="89"/>
    </row>
    <row r="1312" spans="1:18" ht="15">
      <c r="A1312" s="70">
        <v>22</v>
      </c>
      <c r="B1312" s="70"/>
      <c r="C1312" s="72" t="s">
        <v>1164</v>
      </c>
      <c r="D1312" s="72" t="s">
        <v>1085</v>
      </c>
      <c r="E1312" s="89">
        <v>0</v>
      </c>
      <c r="F1312" s="89" t="s">
        <v>254</v>
      </c>
      <c r="G1312" s="89">
        <v>0</v>
      </c>
      <c r="H1312" s="89" t="s">
        <v>254</v>
      </c>
      <c r="I1312" s="89">
        <v>0</v>
      </c>
      <c r="J1312" s="89">
        <v>0</v>
      </c>
      <c r="K1312" s="89" t="s">
        <v>254</v>
      </c>
      <c r="L1312" s="89" t="s">
        <v>254</v>
      </c>
      <c r="M1312" s="89">
        <v>0</v>
      </c>
      <c r="N1312" s="89" t="s">
        <v>254</v>
      </c>
      <c r="O1312" s="89">
        <v>0</v>
      </c>
      <c r="P1312" s="89">
        <v>0</v>
      </c>
      <c r="Q1312" s="89">
        <v>0</v>
      </c>
      <c r="R1312" s="89"/>
    </row>
    <row r="1313" spans="1:18" ht="15">
      <c r="A1313" s="70">
        <v>23</v>
      </c>
      <c r="B1313" s="70"/>
      <c r="C1313" s="72" t="s">
        <v>1165</v>
      </c>
      <c r="D1313" s="72" t="s">
        <v>1087</v>
      </c>
      <c r="E1313" s="89">
        <v>0</v>
      </c>
      <c r="F1313" s="89" t="s">
        <v>254</v>
      </c>
      <c r="G1313" s="89">
        <v>0</v>
      </c>
      <c r="H1313" s="89" t="s">
        <v>254</v>
      </c>
      <c r="I1313" s="89">
        <v>0</v>
      </c>
      <c r="J1313" s="89">
        <v>0</v>
      </c>
      <c r="K1313" s="89" t="s">
        <v>254</v>
      </c>
      <c r="L1313" s="89" t="s">
        <v>254</v>
      </c>
      <c r="M1313" s="89">
        <v>0</v>
      </c>
      <c r="N1313" s="89" t="s">
        <v>254</v>
      </c>
      <c r="O1313" s="89">
        <v>0</v>
      </c>
      <c r="P1313" s="89">
        <v>0</v>
      </c>
      <c r="Q1313" s="89">
        <v>0</v>
      </c>
      <c r="R1313" s="89"/>
    </row>
    <row r="1314" spans="1:18" ht="15">
      <c r="A1314" s="70">
        <v>24</v>
      </c>
      <c r="B1314" s="70"/>
      <c r="C1314" s="72" t="s">
        <v>1166</v>
      </c>
      <c r="D1314" s="72" t="s">
        <v>1089</v>
      </c>
      <c r="E1314" s="89">
        <v>0</v>
      </c>
      <c r="F1314" s="89" t="s">
        <v>254</v>
      </c>
      <c r="G1314" s="89">
        <v>0</v>
      </c>
      <c r="H1314" s="89" t="s">
        <v>254</v>
      </c>
      <c r="I1314" s="89">
        <v>0</v>
      </c>
      <c r="J1314" s="89">
        <v>0</v>
      </c>
      <c r="K1314" s="89" t="s">
        <v>254</v>
      </c>
      <c r="L1314" s="89" t="s">
        <v>254</v>
      </c>
      <c r="M1314" s="89">
        <v>0</v>
      </c>
      <c r="N1314" s="89" t="s">
        <v>254</v>
      </c>
      <c r="O1314" s="89">
        <v>0</v>
      </c>
      <c r="P1314" s="89">
        <v>0</v>
      </c>
      <c r="Q1314" s="89">
        <v>0</v>
      </c>
      <c r="R1314" s="89"/>
    </row>
    <row r="1315" spans="1:18" ht="15">
      <c r="A1315" s="70">
        <v>25</v>
      </c>
      <c r="B1315" s="70"/>
      <c r="C1315" s="72" t="s">
        <v>1167</v>
      </c>
      <c r="D1315" s="72" t="s">
        <v>1091</v>
      </c>
      <c r="E1315" s="89">
        <v>0</v>
      </c>
      <c r="F1315" s="89" t="s">
        <v>254</v>
      </c>
      <c r="G1315" s="89">
        <v>0</v>
      </c>
      <c r="H1315" s="89" t="s">
        <v>254</v>
      </c>
      <c r="I1315" s="89">
        <v>0</v>
      </c>
      <c r="J1315" s="89">
        <v>0</v>
      </c>
      <c r="K1315" s="89" t="s">
        <v>254</v>
      </c>
      <c r="L1315" s="89" t="s">
        <v>254</v>
      </c>
      <c r="M1315" s="89">
        <v>0</v>
      </c>
      <c r="N1315" s="89" t="s">
        <v>254</v>
      </c>
      <c r="O1315" s="89">
        <v>0</v>
      </c>
      <c r="P1315" s="89">
        <v>0</v>
      </c>
      <c r="Q1315" s="89">
        <v>0</v>
      </c>
      <c r="R1315" s="89"/>
    </row>
    <row r="1316" spans="1:18" ht="15">
      <c r="A1316" s="70">
        <v>26</v>
      </c>
      <c r="B1316" s="70"/>
      <c r="C1316" s="72" t="s">
        <v>1092</v>
      </c>
      <c r="D1316" s="72" t="s">
        <v>1093</v>
      </c>
      <c r="E1316" s="89">
        <v>1</v>
      </c>
      <c r="F1316" s="89" t="s">
        <v>254</v>
      </c>
      <c r="G1316" s="89">
        <v>0.89734155078293243</v>
      </c>
      <c r="H1316" s="89" t="s">
        <v>254</v>
      </c>
      <c r="I1316" s="89">
        <v>0.10265529602453453</v>
      </c>
      <c r="J1316" s="89">
        <v>3.1531925330372238E-6</v>
      </c>
      <c r="K1316" s="89" t="s">
        <v>254</v>
      </c>
      <c r="L1316" s="89" t="s">
        <v>254</v>
      </c>
      <c r="M1316" s="89">
        <v>3.1531925330372238E-6</v>
      </c>
      <c r="N1316" s="89" t="s">
        <v>254</v>
      </c>
      <c r="O1316" s="89">
        <v>0</v>
      </c>
      <c r="P1316" s="89">
        <v>0</v>
      </c>
      <c r="Q1316" s="89">
        <v>0</v>
      </c>
      <c r="R1316" s="89"/>
    </row>
    <row r="1317" spans="1:18" ht="15">
      <c r="A1317" s="70">
        <v>27</v>
      </c>
      <c r="B1317" s="70"/>
      <c r="C1317" s="72" t="s">
        <v>1094</v>
      </c>
      <c r="D1317" s="72" t="s">
        <v>1095</v>
      </c>
      <c r="E1317" s="89">
        <v>1</v>
      </c>
      <c r="F1317" s="89" t="s">
        <v>254</v>
      </c>
      <c r="G1317" s="89">
        <v>0.89821756080135562</v>
      </c>
      <c r="H1317" s="89" t="s">
        <v>254</v>
      </c>
      <c r="I1317" s="89">
        <v>0.10177931291308563</v>
      </c>
      <c r="J1317" s="89">
        <v>3.1262855587937592E-6</v>
      </c>
      <c r="K1317" s="89" t="s">
        <v>254</v>
      </c>
      <c r="L1317" s="89" t="s">
        <v>254</v>
      </c>
      <c r="M1317" s="89">
        <v>3.1262855587937592E-6</v>
      </c>
      <c r="N1317" s="89" t="s">
        <v>254</v>
      </c>
      <c r="O1317" s="89">
        <v>0</v>
      </c>
      <c r="P1317" s="89">
        <v>0</v>
      </c>
      <c r="Q1317" s="89">
        <v>0</v>
      </c>
      <c r="R1317" s="89"/>
    </row>
    <row r="1318" spans="1:18" ht="15">
      <c r="A1318" s="70">
        <v>28</v>
      </c>
      <c r="B1318" s="70"/>
      <c r="C1318" s="72" t="s">
        <v>1096</v>
      </c>
      <c r="D1318" s="72" t="s">
        <v>639</v>
      </c>
      <c r="E1318" s="89">
        <v>1</v>
      </c>
      <c r="F1318" s="89" t="s">
        <v>254</v>
      </c>
      <c r="G1318" s="89">
        <v>0.89734155078293254</v>
      </c>
      <c r="H1318" s="89" t="s">
        <v>254</v>
      </c>
      <c r="I1318" s="89">
        <v>0.10265529602453451</v>
      </c>
      <c r="J1318" s="89">
        <v>3.1531925330372233E-6</v>
      </c>
      <c r="K1318" s="89" t="s">
        <v>254</v>
      </c>
      <c r="L1318" s="89" t="s">
        <v>254</v>
      </c>
      <c r="M1318" s="89">
        <v>3.1531925330372233E-6</v>
      </c>
      <c r="N1318" s="89" t="s">
        <v>254</v>
      </c>
      <c r="O1318" s="89">
        <v>0</v>
      </c>
      <c r="P1318" s="89">
        <v>0</v>
      </c>
      <c r="Q1318" s="89">
        <v>0</v>
      </c>
      <c r="R1318" s="89"/>
    </row>
    <row r="1319" spans="1:18" ht="15">
      <c r="A1319" s="70">
        <v>29</v>
      </c>
      <c r="B1319" s="70"/>
      <c r="C1319" s="72" t="s">
        <v>1097</v>
      </c>
      <c r="D1319" s="72" t="s">
        <v>1098</v>
      </c>
      <c r="E1319" s="89">
        <v>0</v>
      </c>
      <c r="F1319" s="89" t="s">
        <v>254</v>
      </c>
      <c r="G1319" s="89">
        <v>0</v>
      </c>
      <c r="H1319" s="89" t="s">
        <v>254</v>
      </c>
      <c r="I1319" s="89">
        <v>0</v>
      </c>
      <c r="J1319" s="89">
        <v>0</v>
      </c>
      <c r="K1319" s="89" t="s">
        <v>254</v>
      </c>
      <c r="L1319" s="89" t="s">
        <v>254</v>
      </c>
      <c r="M1319" s="89">
        <v>0</v>
      </c>
      <c r="N1319" s="89" t="s">
        <v>254</v>
      </c>
      <c r="O1319" s="89">
        <v>0</v>
      </c>
      <c r="P1319" s="89">
        <v>0</v>
      </c>
      <c r="Q1319" s="89">
        <v>0</v>
      </c>
      <c r="R1319" s="89"/>
    </row>
    <row r="1320" spans="1:18" ht="15">
      <c r="A1320" s="70">
        <v>30</v>
      </c>
      <c r="B1320" s="70"/>
      <c r="C1320" s="72" t="s">
        <v>1099</v>
      </c>
      <c r="D1320" s="72" t="s">
        <v>1100</v>
      </c>
      <c r="E1320" s="89">
        <v>1</v>
      </c>
      <c r="F1320" s="89" t="s">
        <v>254</v>
      </c>
      <c r="G1320" s="89">
        <v>0.9389950760022322</v>
      </c>
      <c r="H1320" s="89" t="s">
        <v>254</v>
      </c>
      <c r="I1320" s="89">
        <v>5.658701942309103E-2</v>
      </c>
      <c r="J1320" s="89">
        <v>4.4179045746767977E-3</v>
      </c>
      <c r="K1320" s="89" t="s">
        <v>254</v>
      </c>
      <c r="L1320" s="89" t="s">
        <v>254</v>
      </c>
      <c r="M1320" s="89">
        <v>1.1319955792518103E-4</v>
      </c>
      <c r="N1320" s="89" t="s">
        <v>254</v>
      </c>
      <c r="O1320" s="89">
        <v>4.3047050167516164E-3</v>
      </c>
      <c r="P1320" s="89">
        <v>2.7537127226929347E-3</v>
      </c>
      <c r="Q1320" s="89">
        <v>1.5509922940586821E-3</v>
      </c>
      <c r="R1320" s="89"/>
    </row>
    <row r="1321" spans="1:18" ht="15">
      <c r="A1321" s="70">
        <v>31</v>
      </c>
      <c r="B1321" s="70"/>
      <c r="C1321" s="72" t="s">
        <v>1101</v>
      </c>
      <c r="D1321" s="72" t="s">
        <v>1102</v>
      </c>
      <c r="E1321" s="89">
        <v>1.0000000000000002</v>
      </c>
      <c r="F1321" s="89" t="s">
        <v>254</v>
      </c>
      <c r="G1321" s="89">
        <v>0.9279809018968953</v>
      </c>
      <c r="H1321" s="89" t="s">
        <v>254</v>
      </c>
      <c r="I1321" s="89">
        <v>7.1206057294060265E-2</v>
      </c>
      <c r="J1321" s="89">
        <v>8.1304080904454231E-4</v>
      </c>
      <c r="K1321" s="89" t="s">
        <v>254</v>
      </c>
      <c r="L1321" s="89" t="s">
        <v>254</v>
      </c>
      <c r="M1321" s="89">
        <v>1.0859258312804286E-4</v>
      </c>
      <c r="N1321" s="89" t="s">
        <v>254</v>
      </c>
      <c r="O1321" s="89">
        <v>7.0444822591649947E-4</v>
      </c>
      <c r="P1321" s="89">
        <v>6.9717601236757873E-4</v>
      </c>
      <c r="Q1321" s="89">
        <v>7.272213548920713E-6</v>
      </c>
      <c r="R1321" s="89"/>
    </row>
    <row r="1322" spans="1:18" ht="15">
      <c r="A1322" s="70">
        <v>32</v>
      </c>
      <c r="B1322" s="70"/>
      <c r="C1322" s="72" t="s">
        <v>1103</v>
      </c>
      <c r="D1322" s="72" t="s">
        <v>1104</v>
      </c>
      <c r="E1322" s="89">
        <v>1</v>
      </c>
      <c r="F1322" s="89" t="s">
        <v>254</v>
      </c>
      <c r="G1322" s="89">
        <v>0.94349809834238596</v>
      </c>
      <c r="H1322" s="89" t="s">
        <v>254</v>
      </c>
      <c r="I1322" s="89">
        <v>5.3617436674540817E-2</v>
      </c>
      <c r="J1322" s="89">
        <v>2.8844649830732432E-3</v>
      </c>
      <c r="K1322" s="89" t="s">
        <v>254</v>
      </c>
      <c r="L1322" s="89" t="s">
        <v>254</v>
      </c>
      <c r="M1322" s="89">
        <v>9.9964577402880941E-5</v>
      </c>
      <c r="N1322" s="89" t="s">
        <v>254</v>
      </c>
      <c r="O1322" s="89">
        <v>2.7845004056703624E-3</v>
      </c>
      <c r="P1322" s="89">
        <v>2.4135871250427791E-3</v>
      </c>
      <c r="Q1322" s="89">
        <v>3.7091328062758324E-4</v>
      </c>
      <c r="R1322" s="89"/>
    </row>
    <row r="1323" spans="1:18" ht="15">
      <c r="A1323" s="70">
        <v>33</v>
      </c>
      <c r="B1323" s="70"/>
      <c r="C1323" s="72" t="s">
        <v>1105</v>
      </c>
      <c r="D1323" s="72" t="s">
        <v>1106</v>
      </c>
      <c r="E1323" s="89">
        <v>0</v>
      </c>
      <c r="F1323" s="89" t="s">
        <v>254</v>
      </c>
      <c r="G1323" s="89">
        <v>0</v>
      </c>
      <c r="H1323" s="89" t="s">
        <v>254</v>
      </c>
      <c r="I1323" s="89">
        <v>0</v>
      </c>
      <c r="J1323" s="89">
        <v>0</v>
      </c>
      <c r="K1323" s="89" t="s">
        <v>254</v>
      </c>
      <c r="L1323" s="89" t="s">
        <v>254</v>
      </c>
      <c r="M1323" s="89">
        <v>0</v>
      </c>
      <c r="N1323" s="89" t="s">
        <v>254</v>
      </c>
      <c r="O1323" s="89">
        <v>0</v>
      </c>
      <c r="P1323" s="89">
        <v>0</v>
      </c>
      <c r="Q1323" s="89">
        <v>0</v>
      </c>
      <c r="R1323" s="89"/>
    </row>
    <row r="1324" spans="1:18" ht="15">
      <c r="A1324" s="70">
        <v>34</v>
      </c>
      <c r="B1324" s="70"/>
      <c r="C1324" s="72" t="s">
        <v>1107</v>
      </c>
      <c r="D1324" s="72" t="s">
        <v>890</v>
      </c>
      <c r="E1324" s="89">
        <v>0.99999999999999989</v>
      </c>
      <c r="F1324" s="89" t="s">
        <v>254</v>
      </c>
      <c r="G1324" s="89">
        <v>0.9487830986733472</v>
      </c>
      <c r="H1324" s="89" t="s">
        <v>254</v>
      </c>
      <c r="I1324" s="89">
        <v>5.0040851560344803E-2</v>
      </c>
      <c r="J1324" s="89">
        <v>1.1760497663079561E-3</v>
      </c>
      <c r="K1324" s="89" t="s">
        <v>254</v>
      </c>
      <c r="L1324" s="89" t="s">
        <v>254</v>
      </c>
      <c r="M1324" s="89">
        <v>7.9195270458448212E-6</v>
      </c>
      <c r="N1324" s="89" t="s">
        <v>254</v>
      </c>
      <c r="O1324" s="89">
        <v>1.1681302392621113E-3</v>
      </c>
      <c r="P1324" s="89">
        <v>6.0584381900712883E-4</v>
      </c>
      <c r="Q1324" s="89">
        <v>5.6228642025498235E-4</v>
      </c>
      <c r="R1324" s="89"/>
    </row>
    <row r="1325" spans="1:18" ht="15">
      <c r="A1325" s="70">
        <v>35</v>
      </c>
      <c r="B1325" s="70"/>
      <c r="C1325" s="72" t="s">
        <v>1108</v>
      </c>
      <c r="D1325" s="72" t="s">
        <v>689</v>
      </c>
      <c r="E1325" s="89">
        <v>0.99999999999999978</v>
      </c>
      <c r="F1325" s="89" t="s">
        <v>254</v>
      </c>
      <c r="G1325" s="89">
        <v>0.94878309867334709</v>
      </c>
      <c r="H1325" s="89" t="s">
        <v>254</v>
      </c>
      <c r="I1325" s="89">
        <v>5.0040851560344803E-2</v>
      </c>
      <c r="J1325" s="89">
        <v>1.1760497663079561E-3</v>
      </c>
      <c r="K1325" s="89" t="s">
        <v>254</v>
      </c>
      <c r="L1325" s="89" t="s">
        <v>254</v>
      </c>
      <c r="M1325" s="89">
        <v>7.9195270458448212E-6</v>
      </c>
      <c r="N1325" s="89" t="s">
        <v>254</v>
      </c>
      <c r="O1325" s="89">
        <v>1.1681302392621113E-3</v>
      </c>
      <c r="P1325" s="89">
        <v>6.0584381900712883E-4</v>
      </c>
      <c r="Q1325" s="89">
        <v>5.6228642025498235E-4</v>
      </c>
      <c r="R1325" s="89"/>
    </row>
    <row r="1326" spans="1:18" ht="15">
      <c r="A1326" s="70">
        <v>36</v>
      </c>
      <c r="B1326" s="70"/>
      <c r="C1326" s="72" t="s">
        <v>1168</v>
      </c>
      <c r="D1326" s="72" t="s">
        <v>898</v>
      </c>
      <c r="E1326" s="89">
        <v>1</v>
      </c>
      <c r="F1326" s="89" t="s">
        <v>254</v>
      </c>
      <c r="G1326" s="89">
        <v>0.99705146975605474</v>
      </c>
      <c r="H1326" s="89" t="s">
        <v>254</v>
      </c>
      <c r="I1326" s="89">
        <v>2.9481133137636757E-3</v>
      </c>
      <c r="J1326" s="89">
        <v>4.1693018155334125E-7</v>
      </c>
      <c r="K1326" s="89" t="s">
        <v>254</v>
      </c>
      <c r="L1326" s="89" t="s">
        <v>254</v>
      </c>
      <c r="M1326" s="89">
        <v>4.1693018155334125E-7</v>
      </c>
      <c r="N1326" s="89" t="s">
        <v>254</v>
      </c>
      <c r="O1326" s="89">
        <v>0</v>
      </c>
      <c r="P1326" s="89">
        <v>0</v>
      </c>
      <c r="Q1326" s="89">
        <v>0</v>
      </c>
      <c r="R1326" s="89"/>
    </row>
    <row r="1327" spans="1:18" ht="15">
      <c r="A1327" s="70">
        <v>37</v>
      </c>
      <c r="B1327" s="70"/>
      <c r="C1327" s="72" t="s">
        <v>1110</v>
      </c>
      <c r="D1327" s="72" t="s">
        <v>1111</v>
      </c>
      <c r="E1327" s="89">
        <v>0.99999999999999978</v>
      </c>
      <c r="F1327" s="89" t="s">
        <v>254</v>
      </c>
      <c r="G1327" s="89">
        <v>0.94878309867334709</v>
      </c>
      <c r="H1327" s="89" t="s">
        <v>254</v>
      </c>
      <c r="I1327" s="89">
        <v>5.0040851560344803E-2</v>
      </c>
      <c r="J1327" s="89">
        <v>1.1760497663079561E-3</v>
      </c>
      <c r="K1327" s="89" t="s">
        <v>254</v>
      </c>
      <c r="L1327" s="89" t="s">
        <v>254</v>
      </c>
      <c r="M1327" s="89">
        <v>7.9195270458448212E-6</v>
      </c>
      <c r="N1327" s="89" t="s">
        <v>254</v>
      </c>
      <c r="O1327" s="89">
        <v>1.1681302392621113E-3</v>
      </c>
      <c r="P1327" s="89">
        <v>6.0584381900712883E-4</v>
      </c>
      <c r="Q1327" s="89">
        <v>5.6228642025498235E-4</v>
      </c>
      <c r="R1327" s="89"/>
    </row>
    <row r="1328" spans="1:18" ht="15">
      <c r="A1328" s="70">
        <v>38</v>
      </c>
      <c r="B1328" s="70"/>
      <c r="C1328" s="72" t="s">
        <v>1112</v>
      </c>
      <c r="D1328" s="72" t="s">
        <v>1113</v>
      </c>
      <c r="E1328" s="89">
        <v>1</v>
      </c>
      <c r="F1328" s="89" t="s">
        <v>254</v>
      </c>
      <c r="G1328" s="89">
        <v>0.94815391805577187</v>
      </c>
      <c r="H1328" s="89" t="s">
        <v>254</v>
      </c>
      <c r="I1328" s="89">
        <v>5.183875076748256E-2</v>
      </c>
      <c r="J1328" s="89">
        <v>7.3311767455073618E-6</v>
      </c>
      <c r="K1328" s="89" t="s">
        <v>254</v>
      </c>
      <c r="L1328" s="89" t="s">
        <v>254</v>
      </c>
      <c r="M1328" s="89">
        <v>7.3311767455073618E-6</v>
      </c>
      <c r="N1328" s="89" t="s">
        <v>254</v>
      </c>
      <c r="O1328" s="89">
        <v>0</v>
      </c>
      <c r="P1328" s="89">
        <v>0</v>
      </c>
      <c r="Q1328" s="89">
        <v>0</v>
      </c>
      <c r="R1328" s="89"/>
    </row>
    <row r="1329" spans="1:18" ht="15">
      <c r="A1329" s="70">
        <v>39</v>
      </c>
      <c r="B1329" s="70"/>
      <c r="C1329" s="72" t="s">
        <v>1114</v>
      </c>
      <c r="D1329" s="72" t="s">
        <v>701</v>
      </c>
      <c r="E1329" s="89">
        <v>1</v>
      </c>
      <c r="F1329" s="89" t="s">
        <v>254</v>
      </c>
      <c r="G1329" s="89">
        <v>0.99705146975605474</v>
      </c>
      <c r="H1329" s="89" t="s">
        <v>254</v>
      </c>
      <c r="I1329" s="89">
        <v>2.9481133137636752E-3</v>
      </c>
      <c r="J1329" s="89">
        <v>4.1693018155334125E-7</v>
      </c>
      <c r="K1329" s="89" t="s">
        <v>254</v>
      </c>
      <c r="L1329" s="89" t="s">
        <v>254</v>
      </c>
      <c r="M1329" s="89">
        <v>4.1693018155334125E-7</v>
      </c>
      <c r="N1329" s="89" t="s">
        <v>254</v>
      </c>
      <c r="O1329" s="89">
        <v>0</v>
      </c>
      <c r="P1329" s="89">
        <v>0</v>
      </c>
      <c r="Q1329" s="89">
        <v>0</v>
      </c>
      <c r="R1329" s="89"/>
    </row>
    <row r="1330" spans="1:18" ht="15">
      <c r="A1330" s="70">
        <v>40</v>
      </c>
      <c r="B1330" s="70"/>
      <c r="C1330" s="72" t="s">
        <v>1115</v>
      </c>
      <c r="D1330" s="72" t="s">
        <v>1116</v>
      </c>
      <c r="E1330" s="89">
        <v>1</v>
      </c>
      <c r="F1330" s="89" t="s">
        <v>254</v>
      </c>
      <c r="G1330" s="89">
        <v>0.89933266934987355</v>
      </c>
      <c r="H1330" s="89" t="s">
        <v>254</v>
      </c>
      <c r="I1330" s="89">
        <v>4.8591713455872279E-2</v>
      </c>
      <c r="J1330" s="89">
        <v>5.2075617194254124E-2</v>
      </c>
      <c r="K1330" s="89" t="s">
        <v>254</v>
      </c>
      <c r="L1330" s="89" t="s">
        <v>254</v>
      </c>
      <c r="M1330" s="89">
        <v>2.3181874556292176E-5</v>
      </c>
      <c r="N1330" s="89" t="s">
        <v>254</v>
      </c>
      <c r="O1330" s="89">
        <v>5.2052435319697832E-2</v>
      </c>
      <c r="P1330" s="89">
        <v>1.6601890324452664E-2</v>
      </c>
      <c r="Q1330" s="89">
        <v>3.5450544995245171E-2</v>
      </c>
      <c r="R1330" s="89"/>
    </row>
    <row r="1331" spans="1:18" ht="15">
      <c r="A1331" s="70" t="s">
        <v>254</v>
      </c>
      <c r="B1331" s="70"/>
      <c r="C1331" s="72" t="s">
        <v>254</v>
      </c>
      <c r="D1331" s="72" t="s">
        <v>254</v>
      </c>
      <c r="E1331" s="89" t="s">
        <v>254</v>
      </c>
      <c r="F1331" s="89" t="s">
        <v>254</v>
      </c>
      <c r="G1331" s="89" t="s">
        <v>254</v>
      </c>
      <c r="H1331" s="89" t="s">
        <v>254</v>
      </c>
      <c r="I1331" s="89" t="s">
        <v>254</v>
      </c>
      <c r="J1331" s="89" t="s">
        <v>254</v>
      </c>
      <c r="K1331" s="89" t="s">
        <v>254</v>
      </c>
      <c r="L1331" s="89" t="s">
        <v>254</v>
      </c>
      <c r="M1331" s="89" t="s">
        <v>254</v>
      </c>
      <c r="N1331" s="89" t="s">
        <v>254</v>
      </c>
      <c r="O1331" s="89" t="s">
        <v>254</v>
      </c>
      <c r="P1331" s="89" t="s">
        <v>254</v>
      </c>
      <c r="Q1331" s="89" t="s">
        <v>254</v>
      </c>
      <c r="R1331" s="89"/>
    </row>
    <row r="1332" spans="1:18" ht="15">
      <c r="A1332" s="70" t="s">
        <v>254</v>
      </c>
      <c r="B1332" s="70"/>
      <c r="C1332" s="72" t="s">
        <v>1053</v>
      </c>
      <c r="D1332" s="72" t="s">
        <v>254</v>
      </c>
      <c r="E1332" s="89" t="s">
        <v>254</v>
      </c>
      <c r="F1332" s="89" t="s">
        <v>254</v>
      </c>
      <c r="G1332" s="89" t="s">
        <v>254</v>
      </c>
      <c r="H1332" s="89" t="s">
        <v>254</v>
      </c>
      <c r="I1332" s="89" t="s">
        <v>254</v>
      </c>
      <c r="J1332" s="89" t="s">
        <v>254</v>
      </c>
      <c r="K1332" s="89" t="s">
        <v>254</v>
      </c>
      <c r="L1332" s="89" t="s">
        <v>254</v>
      </c>
      <c r="M1332" s="89" t="s">
        <v>254</v>
      </c>
      <c r="N1332" s="89" t="s">
        <v>254</v>
      </c>
      <c r="O1332" s="89" t="s">
        <v>254</v>
      </c>
      <c r="P1332" s="89" t="s">
        <v>254</v>
      </c>
      <c r="Q1332" s="89" t="s">
        <v>254</v>
      </c>
      <c r="R1332" s="89"/>
    </row>
    <row r="1333" spans="1:18" ht="15">
      <c r="A1333" s="70" t="s">
        <v>254</v>
      </c>
      <c r="B1333" s="70"/>
      <c r="C1333" s="72" t="s">
        <v>925</v>
      </c>
      <c r="D1333" s="72" t="s">
        <v>254</v>
      </c>
      <c r="E1333" s="89" t="s">
        <v>254</v>
      </c>
      <c r="F1333" s="89" t="s">
        <v>254</v>
      </c>
      <c r="G1333" s="89" t="s">
        <v>254</v>
      </c>
      <c r="H1333" s="89" t="s">
        <v>254</v>
      </c>
      <c r="I1333" s="89" t="s">
        <v>254</v>
      </c>
      <c r="J1333" s="89" t="s">
        <v>254</v>
      </c>
      <c r="K1333" s="89" t="s">
        <v>254</v>
      </c>
      <c r="L1333" s="89" t="s">
        <v>254</v>
      </c>
      <c r="M1333" s="89" t="s">
        <v>254</v>
      </c>
      <c r="N1333" s="89" t="s">
        <v>254</v>
      </c>
      <c r="O1333" s="89" t="s">
        <v>254</v>
      </c>
      <c r="P1333" s="89" t="s">
        <v>254</v>
      </c>
      <c r="Q1333" s="89" t="s">
        <v>254</v>
      </c>
      <c r="R1333" s="89"/>
    </row>
    <row r="1334" spans="1:18" ht="15">
      <c r="A1334" s="70">
        <v>1</v>
      </c>
      <c r="B1334" s="70"/>
      <c r="C1334" s="72" t="s">
        <v>1117</v>
      </c>
      <c r="D1334" s="72" t="s">
        <v>1118</v>
      </c>
      <c r="E1334" s="89">
        <v>1</v>
      </c>
      <c r="F1334" s="89" t="s">
        <v>254</v>
      </c>
      <c r="G1334" s="89">
        <v>0.90440457335487823</v>
      </c>
      <c r="H1334" s="89" t="s">
        <v>254</v>
      </c>
      <c r="I1334" s="89">
        <v>4.6626926879139635E-2</v>
      </c>
      <c r="J1334" s="89">
        <v>4.8968499765982165E-2</v>
      </c>
      <c r="K1334" s="89" t="s">
        <v>254</v>
      </c>
      <c r="L1334" s="89" t="s">
        <v>254</v>
      </c>
      <c r="M1334" s="89">
        <v>2.2508807290785333E-5</v>
      </c>
      <c r="N1334" s="89" t="s">
        <v>254</v>
      </c>
      <c r="O1334" s="89">
        <v>4.8945990958691385E-2</v>
      </c>
      <c r="P1334" s="89">
        <v>1.562446902076917E-2</v>
      </c>
      <c r="Q1334" s="89">
        <v>3.3321521937922212E-2</v>
      </c>
      <c r="R1334" s="89"/>
    </row>
    <row r="1335" spans="1:18" ht="15">
      <c r="A1335" s="70">
        <v>2</v>
      </c>
      <c r="B1335" s="70"/>
      <c r="C1335" s="72" t="s">
        <v>1119</v>
      </c>
      <c r="D1335" s="72" t="s">
        <v>1120</v>
      </c>
      <c r="E1335" s="89">
        <v>1</v>
      </c>
      <c r="F1335" s="89" t="s">
        <v>254</v>
      </c>
      <c r="G1335" s="89">
        <v>0.99874746834395989</v>
      </c>
      <c r="H1335" s="89" t="s">
        <v>254</v>
      </c>
      <c r="I1335" s="89">
        <v>1.2523545446634001E-3</v>
      </c>
      <c r="J1335" s="89">
        <v>1.771113767025032E-7</v>
      </c>
      <c r="K1335" s="89" t="s">
        <v>254</v>
      </c>
      <c r="L1335" s="89" t="s">
        <v>254</v>
      </c>
      <c r="M1335" s="89">
        <v>1.771113767025032E-7</v>
      </c>
      <c r="N1335" s="89" t="s">
        <v>254</v>
      </c>
      <c r="O1335" s="89">
        <v>0</v>
      </c>
      <c r="P1335" s="89">
        <v>0</v>
      </c>
      <c r="Q1335" s="89">
        <v>0</v>
      </c>
      <c r="R1335" s="89"/>
    </row>
    <row r="1336" spans="1:18" ht="15">
      <c r="A1336" s="70">
        <v>3</v>
      </c>
      <c r="B1336" s="70"/>
      <c r="C1336" s="72" t="s">
        <v>1121</v>
      </c>
      <c r="D1336" s="72" t="s">
        <v>528</v>
      </c>
      <c r="E1336" s="89">
        <v>1</v>
      </c>
      <c r="F1336" s="89" t="s">
        <v>254</v>
      </c>
      <c r="G1336" s="89">
        <v>0.9969521152493156</v>
      </c>
      <c r="H1336" s="89" t="s">
        <v>254</v>
      </c>
      <c r="I1336" s="89">
        <v>0</v>
      </c>
      <c r="J1336" s="89">
        <v>3.0478847506843604E-3</v>
      </c>
      <c r="K1336" s="89" t="s">
        <v>254</v>
      </c>
      <c r="L1336" s="89" t="s">
        <v>254</v>
      </c>
      <c r="M1336" s="89">
        <v>1.056280845365737E-4</v>
      </c>
      <c r="N1336" s="89" t="s">
        <v>254</v>
      </c>
      <c r="O1336" s="89">
        <v>2.9422566661477865E-3</v>
      </c>
      <c r="P1336" s="89">
        <v>2.5503292416565273E-3</v>
      </c>
      <c r="Q1336" s="89">
        <v>3.9192742449125929E-4</v>
      </c>
      <c r="R1336" s="89"/>
    </row>
    <row r="1337" spans="1:18" ht="15">
      <c r="A1337" s="70">
        <v>4</v>
      </c>
      <c r="B1337" s="70"/>
      <c r="C1337" s="72" t="s">
        <v>1122</v>
      </c>
      <c r="D1337" s="72" t="s">
        <v>432</v>
      </c>
      <c r="E1337" s="89">
        <v>1</v>
      </c>
      <c r="F1337" s="89" t="s">
        <v>254</v>
      </c>
      <c r="G1337" s="89">
        <v>1</v>
      </c>
      <c r="H1337" s="89" t="s">
        <v>254</v>
      </c>
      <c r="I1337" s="89">
        <v>0</v>
      </c>
      <c r="J1337" s="89">
        <v>0</v>
      </c>
      <c r="K1337" s="89" t="s">
        <v>254</v>
      </c>
      <c r="L1337" s="89" t="s">
        <v>254</v>
      </c>
      <c r="M1337" s="89">
        <v>0</v>
      </c>
      <c r="N1337" s="89" t="s">
        <v>254</v>
      </c>
      <c r="O1337" s="89">
        <v>0</v>
      </c>
      <c r="P1337" s="89">
        <v>0</v>
      </c>
      <c r="Q1337" s="89">
        <v>0</v>
      </c>
      <c r="R1337" s="89"/>
    </row>
    <row r="1338" spans="1:18" ht="15">
      <c r="A1338" s="70">
        <v>5</v>
      </c>
      <c r="B1338" s="70"/>
      <c r="C1338" s="72" t="s">
        <v>1123</v>
      </c>
      <c r="D1338" s="72" t="s">
        <v>1124</v>
      </c>
      <c r="E1338" s="89">
        <v>1</v>
      </c>
      <c r="F1338" s="89" t="s">
        <v>254</v>
      </c>
      <c r="G1338" s="89">
        <v>0</v>
      </c>
      <c r="H1338" s="89" t="s">
        <v>254</v>
      </c>
      <c r="I1338" s="89">
        <v>1</v>
      </c>
      <c r="J1338" s="89">
        <v>0</v>
      </c>
      <c r="K1338" s="89" t="s">
        <v>254</v>
      </c>
      <c r="L1338" s="89" t="s">
        <v>254</v>
      </c>
      <c r="M1338" s="89">
        <v>0</v>
      </c>
      <c r="N1338" s="89" t="s">
        <v>254</v>
      </c>
      <c r="O1338" s="89">
        <v>0</v>
      </c>
      <c r="P1338" s="89">
        <v>0</v>
      </c>
      <c r="Q1338" s="89">
        <v>0</v>
      </c>
      <c r="R1338" s="89"/>
    </row>
    <row r="1339" spans="1:18" ht="15">
      <c r="A1339" s="70">
        <v>6</v>
      </c>
      <c r="B1339" s="70"/>
      <c r="C1339" s="72" t="s">
        <v>1125</v>
      </c>
      <c r="D1339" s="72" t="s">
        <v>1126</v>
      </c>
      <c r="E1339" s="89">
        <v>0</v>
      </c>
      <c r="F1339" s="89" t="s">
        <v>254</v>
      </c>
      <c r="G1339" s="89">
        <v>0</v>
      </c>
      <c r="H1339" s="89" t="s">
        <v>254</v>
      </c>
      <c r="I1339" s="89">
        <v>0</v>
      </c>
      <c r="J1339" s="89">
        <v>0</v>
      </c>
      <c r="K1339" s="89" t="s">
        <v>254</v>
      </c>
      <c r="L1339" s="89" t="s">
        <v>254</v>
      </c>
      <c r="M1339" s="89">
        <v>0</v>
      </c>
      <c r="N1339" s="89" t="s">
        <v>254</v>
      </c>
      <c r="O1339" s="89">
        <v>0</v>
      </c>
      <c r="P1339" s="89">
        <v>0</v>
      </c>
      <c r="Q1339" s="89">
        <v>0</v>
      </c>
      <c r="R1339" s="89"/>
    </row>
    <row r="1340" spans="1:18" ht="15">
      <c r="A1340" s="70">
        <v>7</v>
      </c>
      <c r="B1340" s="70"/>
      <c r="C1340" s="72" t="s">
        <v>1127</v>
      </c>
      <c r="D1340" s="72" t="s">
        <v>1128</v>
      </c>
      <c r="E1340" s="89">
        <v>1</v>
      </c>
      <c r="F1340" s="89" t="s">
        <v>254</v>
      </c>
      <c r="G1340" s="89">
        <v>0</v>
      </c>
      <c r="H1340" s="89" t="s">
        <v>254</v>
      </c>
      <c r="I1340" s="89">
        <v>0</v>
      </c>
      <c r="J1340" s="89">
        <v>1</v>
      </c>
      <c r="K1340" s="89" t="s">
        <v>254</v>
      </c>
      <c r="L1340" s="89" t="s">
        <v>254</v>
      </c>
      <c r="M1340" s="89">
        <v>0</v>
      </c>
      <c r="N1340" s="89" t="s">
        <v>254</v>
      </c>
      <c r="O1340" s="89">
        <v>1</v>
      </c>
      <c r="P1340" s="89">
        <v>0.31853861340253581</v>
      </c>
      <c r="Q1340" s="89">
        <v>0.68146138659746425</v>
      </c>
      <c r="R1340" s="89"/>
    </row>
    <row r="1341" spans="1:18" ht="15">
      <c r="A1341" s="70">
        <v>8</v>
      </c>
      <c r="B1341" s="70"/>
      <c r="C1341" s="72" t="s">
        <v>1129</v>
      </c>
      <c r="D1341" s="72" t="s">
        <v>1130</v>
      </c>
      <c r="E1341" s="89">
        <v>1</v>
      </c>
      <c r="F1341" s="89" t="s">
        <v>254</v>
      </c>
      <c r="G1341" s="89">
        <v>0.93363661493165451</v>
      </c>
      <c r="H1341" s="89" t="s">
        <v>254</v>
      </c>
      <c r="I1341" s="89">
        <v>0</v>
      </c>
      <c r="J1341" s="89">
        <v>6.6363385068345507E-2</v>
      </c>
      <c r="K1341" s="89" t="s">
        <v>254</v>
      </c>
      <c r="L1341" s="89" t="s">
        <v>254</v>
      </c>
      <c r="M1341" s="89">
        <v>2.3571108677810802E-5</v>
      </c>
      <c r="N1341" s="89" t="s">
        <v>254</v>
      </c>
      <c r="O1341" s="89">
        <v>6.633981395966769E-2</v>
      </c>
      <c r="P1341" s="89">
        <v>2.0911859053341419E-2</v>
      </c>
      <c r="Q1341" s="89">
        <v>4.5427954906326271E-2</v>
      </c>
      <c r="R1341" s="89"/>
    </row>
    <row r="1342" spans="1:18" ht="15">
      <c r="A1342" s="70">
        <v>9</v>
      </c>
      <c r="B1342" s="70"/>
      <c r="C1342" s="72" t="s">
        <v>1131</v>
      </c>
      <c r="D1342" s="72" t="s">
        <v>732</v>
      </c>
      <c r="E1342" s="89">
        <v>1</v>
      </c>
      <c r="F1342" s="89" t="s">
        <v>254</v>
      </c>
      <c r="G1342" s="89">
        <v>0.95011168007407609</v>
      </c>
      <c r="H1342" s="89" t="s">
        <v>254</v>
      </c>
      <c r="I1342" s="89">
        <v>4.986424832542645E-2</v>
      </c>
      <c r="J1342" s="89">
        <v>2.4071600497416258E-5</v>
      </c>
      <c r="K1342" s="89" t="s">
        <v>254</v>
      </c>
      <c r="L1342" s="89" t="s">
        <v>254</v>
      </c>
      <c r="M1342" s="89">
        <v>2.4071600497416258E-5</v>
      </c>
      <c r="N1342" s="89" t="s">
        <v>254</v>
      </c>
      <c r="O1342" s="89">
        <v>0</v>
      </c>
      <c r="P1342" s="89">
        <v>0</v>
      </c>
      <c r="Q1342" s="89">
        <v>0</v>
      </c>
      <c r="R1342" s="89"/>
    </row>
    <row r="1343" spans="1:18" ht="15">
      <c r="A1343" s="70">
        <v>10</v>
      </c>
      <c r="B1343" s="70"/>
      <c r="C1343" s="72" t="s">
        <v>1132</v>
      </c>
      <c r="D1343" s="72" t="s">
        <v>460</v>
      </c>
      <c r="E1343" s="89">
        <v>0.99999999999999989</v>
      </c>
      <c r="F1343" s="89" t="s">
        <v>254</v>
      </c>
      <c r="G1343" s="89">
        <v>0.95465884083569341</v>
      </c>
      <c r="H1343" s="89" t="s">
        <v>254</v>
      </c>
      <c r="I1343" s="89">
        <v>4.5337804563011314E-2</v>
      </c>
      <c r="J1343" s="89">
        <v>3.3546012952310665E-6</v>
      </c>
      <c r="K1343" s="89" t="s">
        <v>254</v>
      </c>
      <c r="L1343" s="89" t="s">
        <v>254</v>
      </c>
      <c r="M1343" s="89">
        <v>3.3546012952310665E-6</v>
      </c>
      <c r="N1343" s="89" t="s">
        <v>254</v>
      </c>
      <c r="O1343" s="89">
        <v>0</v>
      </c>
      <c r="P1343" s="89">
        <v>0</v>
      </c>
      <c r="Q1343" s="89">
        <v>0</v>
      </c>
      <c r="R1343" s="89"/>
    </row>
    <row r="1344" spans="1:18" ht="15">
      <c r="A1344" s="70">
        <v>11</v>
      </c>
      <c r="B1344" s="70"/>
      <c r="C1344" s="72" t="s">
        <v>254</v>
      </c>
      <c r="D1344" s="72" t="s">
        <v>254</v>
      </c>
      <c r="E1344" s="89" t="s">
        <v>254</v>
      </c>
      <c r="F1344" s="89" t="s">
        <v>254</v>
      </c>
      <c r="G1344" s="89" t="s">
        <v>254</v>
      </c>
      <c r="H1344" s="89" t="s">
        <v>254</v>
      </c>
      <c r="I1344" s="89" t="s">
        <v>254</v>
      </c>
      <c r="J1344" s="89" t="s">
        <v>254</v>
      </c>
      <c r="K1344" s="89" t="s">
        <v>254</v>
      </c>
      <c r="L1344" s="89" t="s">
        <v>254</v>
      </c>
      <c r="M1344" s="89" t="s">
        <v>254</v>
      </c>
      <c r="N1344" s="89" t="s">
        <v>254</v>
      </c>
      <c r="O1344" s="89" t="s">
        <v>254</v>
      </c>
      <c r="P1344" s="89" t="s">
        <v>254</v>
      </c>
      <c r="Q1344" s="89" t="s">
        <v>254</v>
      </c>
      <c r="R1344" s="89"/>
    </row>
    <row r="1345" spans="1:18">
      <c r="A1345" s="92">
        <v>12</v>
      </c>
      <c r="C1345" s="69" t="s">
        <v>254</v>
      </c>
      <c r="D1345" s="69" t="s">
        <v>254</v>
      </c>
      <c r="E1345" s="69" t="s">
        <v>254</v>
      </c>
      <c r="F1345" s="69" t="s">
        <v>254</v>
      </c>
      <c r="G1345" s="69" t="s">
        <v>254</v>
      </c>
      <c r="H1345" s="69" t="s">
        <v>254</v>
      </c>
      <c r="I1345" s="69" t="s">
        <v>254</v>
      </c>
      <c r="J1345" s="69" t="s">
        <v>254</v>
      </c>
      <c r="K1345" s="69" t="s">
        <v>254</v>
      </c>
      <c r="L1345" s="69" t="s">
        <v>254</v>
      </c>
      <c r="M1345" s="69" t="s">
        <v>254</v>
      </c>
      <c r="N1345" s="69" t="s">
        <v>254</v>
      </c>
      <c r="O1345" s="69" t="s">
        <v>254</v>
      </c>
      <c r="P1345" s="69" t="s">
        <v>254</v>
      </c>
      <c r="Q1345" s="69" t="s">
        <v>254</v>
      </c>
    </row>
    <row r="1346" spans="1:18">
      <c r="A1346" s="92">
        <v>13</v>
      </c>
      <c r="C1346" s="69" t="s">
        <v>254</v>
      </c>
      <c r="D1346" s="69" t="s">
        <v>254</v>
      </c>
      <c r="E1346" s="69" t="s">
        <v>254</v>
      </c>
      <c r="F1346" s="69" t="s">
        <v>254</v>
      </c>
      <c r="G1346" s="69" t="s">
        <v>254</v>
      </c>
      <c r="H1346" s="69" t="s">
        <v>254</v>
      </c>
      <c r="I1346" s="69" t="s">
        <v>254</v>
      </c>
      <c r="J1346" s="69" t="s">
        <v>254</v>
      </c>
      <c r="K1346" s="69" t="s">
        <v>254</v>
      </c>
      <c r="L1346" s="69" t="s">
        <v>254</v>
      </c>
      <c r="M1346" s="69" t="s">
        <v>254</v>
      </c>
      <c r="N1346" s="69" t="s">
        <v>254</v>
      </c>
      <c r="O1346" s="69" t="s">
        <v>254</v>
      </c>
      <c r="P1346" s="69" t="s">
        <v>254</v>
      </c>
      <c r="Q1346" s="69" t="s">
        <v>254</v>
      </c>
    </row>
    <row r="1350" spans="1:18" ht="15">
      <c r="A1350" s="90"/>
      <c r="B1350" s="90"/>
      <c r="C1350" s="72"/>
      <c r="D1350" s="84"/>
      <c r="E1350" s="91"/>
      <c r="F1350" s="91"/>
      <c r="G1350" s="91"/>
      <c r="H1350" s="91"/>
      <c r="I1350" s="91"/>
      <c r="J1350" s="91"/>
      <c r="K1350" s="91"/>
      <c r="L1350" s="91"/>
      <c r="M1350" s="91"/>
      <c r="N1350" s="91"/>
      <c r="O1350" s="91"/>
      <c r="P1350" s="91"/>
      <c r="Q1350" s="91"/>
      <c r="R1350" s="91"/>
    </row>
    <row r="1351" spans="1:18" ht="15">
      <c r="A1351" s="90"/>
      <c r="B1351" s="90"/>
      <c r="C1351" s="72"/>
      <c r="D1351" s="84"/>
      <c r="E1351" s="91"/>
      <c r="F1351" s="91"/>
      <c r="G1351" s="91"/>
      <c r="H1351" s="91"/>
      <c r="I1351" s="91"/>
      <c r="J1351" s="91"/>
      <c r="K1351" s="91"/>
      <c r="L1351" s="91"/>
      <c r="M1351" s="91"/>
      <c r="N1351" s="91"/>
      <c r="O1351" s="91"/>
      <c r="P1351" s="91"/>
      <c r="Q1351" s="91"/>
      <c r="R1351" s="91"/>
    </row>
    <row r="1352" spans="1:18" ht="15">
      <c r="A1352" s="90"/>
      <c r="B1352" s="90"/>
      <c r="C1352" s="72"/>
      <c r="D1352" s="84"/>
      <c r="E1352" s="91"/>
      <c r="F1352" s="91"/>
      <c r="G1352" s="91"/>
      <c r="H1352" s="91"/>
      <c r="I1352" s="91"/>
      <c r="J1352" s="91"/>
      <c r="K1352" s="91"/>
      <c r="L1352" s="91"/>
      <c r="M1352" s="91"/>
      <c r="N1352" s="91"/>
      <c r="O1352" s="91"/>
      <c r="P1352" s="91"/>
      <c r="Q1352" s="91"/>
      <c r="R1352" s="91"/>
    </row>
    <row r="1353" spans="1:18">
      <c r="E1353" s="93"/>
      <c r="F1353" s="93"/>
      <c r="G1353" s="93"/>
      <c r="H1353" s="93"/>
      <c r="I1353" s="93"/>
      <c r="J1353" s="93"/>
      <c r="K1353" s="93"/>
      <c r="L1353" s="93"/>
      <c r="M1353" s="93"/>
      <c r="N1353" s="93"/>
      <c r="O1353" s="93"/>
      <c r="P1353" s="93"/>
      <c r="Q1353" s="93"/>
      <c r="R1353" s="93"/>
    </row>
    <row r="1354" spans="1:18">
      <c r="E1354" s="93"/>
      <c r="F1354" s="93"/>
      <c r="G1354" s="93"/>
      <c r="H1354" s="93"/>
      <c r="I1354" s="93"/>
      <c r="J1354" s="93"/>
      <c r="K1354" s="93"/>
      <c r="L1354" s="93"/>
      <c r="M1354" s="93"/>
      <c r="N1354" s="93"/>
      <c r="O1354" s="93"/>
      <c r="P1354" s="93"/>
      <c r="Q1354" s="93"/>
      <c r="R1354" s="93"/>
    </row>
    <row r="1355" spans="1:18">
      <c r="E1355" s="93"/>
      <c r="F1355" s="93"/>
      <c r="G1355" s="93"/>
      <c r="H1355" s="93"/>
      <c r="I1355" s="93"/>
      <c r="J1355" s="93"/>
      <c r="K1355" s="93"/>
      <c r="L1355" s="93"/>
      <c r="M1355" s="93"/>
      <c r="N1355" s="93"/>
      <c r="O1355" s="93"/>
      <c r="P1355" s="93"/>
      <c r="Q1355" s="93"/>
      <c r="R1355" s="93"/>
    </row>
    <row r="1356" spans="1:18">
      <c r="E1356" s="93"/>
      <c r="F1356" s="93"/>
      <c r="G1356" s="93"/>
      <c r="H1356" s="93"/>
      <c r="I1356" s="93"/>
      <c r="J1356" s="93"/>
      <c r="K1356" s="93"/>
      <c r="L1356" s="93"/>
      <c r="M1356" s="93"/>
      <c r="N1356" s="93"/>
      <c r="O1356" s="93"/>
      <c r="P1356" s="93"/>
      <c r="Q1356" s="93"/>
      <c r="R1356" s="93"/>
    </row>
    <row r="1357" spans="1:18">
      <c r="E1357" s="93"/>
      <c r="F1357" s="93"/>
      <c r="G1357" s="93"/>
      <c r="H1357" s="93"/>
      <c r="I1357" s="93"/>
      <c r="J1357" s="93"/>
      <c r="K1357" s="93"/>
      <c r="L1357" s="93"/>
      <c r="M1357" s="93"/>
      <c r="N1357" s="93"/>
      <c r="O1357" s="93"/>
      <c r="P1357" s="93"/>
      <c r="Q1357" s="93"/>
      <c r="R1357" s="93"/>
    </row>
    <row r="1358" spans="1:18">
      <c r="E1358" s="93"/>
      <c r="F1358" s="93"/>
      <c r="G1358" s="93"/>
      <c r="H1358" s="93"/>
      <c r="I1358" s="93"/>
      <c r="J1358" s="93"/>
      <c r="K1358" s="93"/>
      <c r="L1358" s="93"/>
      <c r="M1358" s="93"/>
      <c r="N1358" s="93"/>
      <c r="O1358" s="93"/>
      <c r="P1358" s="93"/>
      <c r="Q1358" s="93"/>
      <c r="R1358" s="93"/>
    </row>
    <row r="1359" spans="1:18">
      <c r="E1359" s="93"/>
      <c r="F1359" s="93"/>
      <c r="G1359" s="93"/>
      <c r="H1359" s="93"/>
      <c r="I1359" s="93"/>
      <c r="J1359" s="93"/>
      <c r="K1359" s="93"/>
      <c r="L1359" s="93"/>
      <c r="M1359" s="93"/>
      <c r="N1359" s="93"/>
      <c r="O1359" s="93"/>
      <c r="P1359" s="93"/>
      <c r="Q1359" s="93"/>
      <c r="R1359" s="93"/>
    </row>
    <row r="1360" spans="1:18">
      <c r="E1360" s="93"/>
      <c r="F1360" s="93"/>
      <c r="G1360" s="93"/>
      <c r="H1360" s="93"/>
      <c r="I1360" s="93"/>
      <c r="J1360" s="93"/>
      <c r="K1360" s="93"/>
      <c r="L1360" s="93"/>
      <c r="M1360" s="93"/>
      <c r="N1360" s="93"/>
      <c r="O1360" s="93"/>
      <c r="P1360" s="93"/>
      <c r="Q1360" s="93"/>
      <c r="R1360" s="93"/>
    </row>
    <row r="1361" spans="5:18">
      <c r="E1361" s="93"/>
      <c r="F1361" s="93"/>
      <c r="G1361" s="93"/>
      <c r="H1361" s="93"/>
      <c r="I1361" s="93"/>
      <c r="J1361" s="93"/>
      <c r="K1361" s="93"/>
      <c r="L1361" s="93"/>
      <c r="M1361" s="93"/>
      <c r="N1361" s="93"/>
      <c r="O1361" s="93"/>
      <c r="P1361" s="93"/>
      <c r="Q1361" s="93"/>
      <c r="R1361" s="93"/>
    </row>
    <row r="1362" spans="5:18">
      <c r="E1362" s="93"/>
      <c r="F1362" s="93"/>
      <c r="G1362" s="93"/>
      <c r="H1362" s="93"/>
      <c r="I1362" s="93"/>
      <c r="J1362" s="93"/>
      <c r="K1362" s="93"/>
      <c r="L1362" s="93"/>
      <c r="M1362" s="93"/>
      <c r="N1362" s="93"/>
      <c r="O1362" s="93"/>
      <c r="P1362" s="93"/>
      <c r="Q1362" s="93"/>
      <c r="R1362" s="93"/>
    </row>
    <row r="1363" spans="5:18">
      <c r="E1363" s="93"/>
      <c r="F1363" s="93"/>
      <c r="G1363" s="93"/>
      <c r="H1363" s="93"/>
      <c r="I1363" s="93"/>
      <c r="J1363" s="93"/>
      <c r="K1363" s="93"/>
      <c r="L1363" s="93"/>
      <c r="M1363" s="93"/>
      <c r="N1363" s="93"/>
      <c r="O1363" s="93"/>
      <c r="P1363" s="93"/>
      <c r="Q1363" s="93"/>
      <c r="R1363" s="93"/>
    </row>
    <row r="1364" spans="5:18">
      <c r="E1364" s="93"/>
      <c r="F1364" s="93"/>
      <c r="G1364" s="93"/>
      <c r="H1364" s="93"/>
      <c r="I1364" s="93"/>
      <c r="J1364" s="93"/>
      <c r="K1364" s="93"/>
      <c r="L1364" s="93"/>
      <c r="M1364" s="93"/>
      <c r="N1364" s="93"/>
      <c r="O1364" s="93"/>
      <c r="P1364" s="93"/>
      <c r="Q1364" s="93"/>
      <c r="R1364" s="93"/>
    </row>
    <row r="1365" spans="5:18">
      <c r="E1365" s="93"/>
      <c r="F1365" s="93"/>
      <c r="G1365" s="93"/>
      <c r="H1365" s="93"/>
      <c r="I1365" s="93"/>
      <c r="J1365" s="93"/>
      <c r="K1365" s="93"/>
      <c r="L1365" s="93"/>
      <c r="M1365" s="93"/>
      <c r="N1365" s="93"/>
      <c r="O1365" s="93"/>
      <c r="P1365" s="93"/>
      <c r="Q1365" s="93"/>
      <c r="R1365" s="93"/>
    </row>
    <row r="1366" spans="5:18">
      <c r="E1366" s="93"/>
      <c r="F1366" s="93"/>
      <c r="G1366" s="93"/>
      <c r="H1366" s="93"/>
      <c r="I1366" s="93"/>
      <c r="J1366" s="93"/>
      <c r="K1366" s="93"/>
      <c r="L1366" s="93"/>
      <c r="M1366" s="93"/>
      <c r="N1366" s="93"/>
      <c r="O1366" s="93"/>
      <c r="P1366" s="93"/>
      <c r="Q1366" s="93"/>
      <c r="R1366" s="93"/>
    </row>
    <row r="1367" spans="5:18">
      <c r="E1367" s="93"/>
      <c r="F1367" s="93"/>
      <c r="G1367" s="93"/>
      <c r="H1367" s="93"/>
      <c r="I1367" s="93"/>
      <c r="J1367" s="93"/>
      <c r="K1367" s="93"/>
      <c r="L1367" s="93"/>
      <c r="M1367" s="93"/>
      <c r="N1367" s="93"/>
      <c r="O1367" s="93"/>
      <c r="P1367" s="93"/>
      <c r="Q1367" s="93"/>
      <c r="R1367" s="93"/>
    </row>
    <row r="1368" spans="5:18">
      <c r="E1368" s="93"/>
      <c r="F1368" s="93"/>
      <c r="G1368" s="93"/>
      <c r="H1368" s="93"/>
      <c r="I1368" s="93"/>
      <c r="J1368" s="93"/>
      <c r="K1368" s="93"/>
      <c r="L1368" s="93"/>
      <c r="M1368" s="93"/>
      <c r="N1368" s="93"/>
      <c r="O1368" s="93"/>
      <c r="P1368" s="93"/>
      <c r="Q1368" s="93"/>
      <c r="R1368" s="93"/>
    </row>
    <row r="1369" spans="5:18">
      <c r="E1369" s="93"/>
      <c r="F1369" s="93"/>
      <c r="G1369" s="93"/>
      <c r="H1369" s="93"/>
      <c r="I1369" s="93"/>
      <c r="J1369" s="93"/>
      <c r="K1369" s="93"/>
      <c r="L1369" s="93"/>
      <c r="M1369" s="93"/>
      <c r="N1369" s="93"/>
      <c r="O1369" s="93"/>
      <c r="P1369" s="93"/>
      <c r="Q1369" s="93"/>
      <c r="R1369" s="93"/>
    </row>
    <row r="1370" spans="5:18">
      <c r="E1370" s="93"/>
      <c r="F1370" s="93"/>
      <c r="G1370" s="93"/>
      <c r="H1370" s="93"/>
      <c r="I1370" s="93"/>
      <c r="J1370" s="93"/>
      <c r="K1370" s="93"/>
      <c r="L1370" s="93"/>
      <c r="M1370" s="93"/>
      <c r="N1370" s="93"/>
      <c r="O1370" s="93"/>
      <c r="P1370" s="93"/>
      <c r="Q1370" s="93"/>
      <c r="R1370" s="93"/>
    </row>
    <row r="1371" spans="5:18">
      <c r="E1371" s="93"/>
      <c r="F1371" s="93"/>
      <c r="G1371" s="93"/>
      <c r="H1371" s="93"/>
      <c r="I1371" s="93"/>
      <c r="J1371" s="93"/>
      <c r="K1371" s="93"/>
      <c r="L1371" s="93"/>
      <c r="M1371" s="93"/>
      <c r="N1371" s="93"/>
      <c r="O1371" s="93"/>
      <c r="P1371" s="93"/>
      <c r="Q1371" s="93"/>
      <c r="R1371" s="93"/>
    </row>
    <row r="1372" spans="5:18">
      <c r="E1372" s="93"/>
      <c r="F1372" s="93"/>
      <c r="G1372" s="93"/>
      <c r="H1372" s="93"/>
      <c r="I1372" s="93"/>
      <c r="J1372" s="93"/>
      <c r="K1372" s="93"/>
      <c r="L1372" s="93"/>
      <c r="M1372" s="93"/>
      <c r="N1372" s="93"/>
      <c r="O1372" s="93"/>
      <c r="P1372" s="93"/>
      <c r="Q1372" s="93"/>
      <c r="R1372" s="93"/>
    </row>
    <row r="1373" spans="5:18">
      <c r="E1373" s="93"/>
      <c r="F1373" s="93"/>
      <c r="G1373" s="93"/>
      <c r="H1373" s="93"/>
      <c r="I1373" s="93"/>
      <c r="J1373" s="93"/>
      <c r="K1373" s="93"/>
      <c r="L1373" s="93"/>
      <c r="M1373" s="93"/>
      <c r="N1373" s="93"/>
      <c r="O1373" s="93"/>
      <c r="P1373" s="93"/>
      <c r="Q1373" s="93"/>
      <c r="R1373" s="93"/>
    </row>
    <row r="1374" spans="5:18">
      <c r="E1374" s="93"/>
      <c r="F1374" s="93"/>
      <c r="G1374" s="93"/>
      <c r="H1374" s="93"/>
      <c r="I1374" s="93"/>
      <c r="J1374" s="93"/>
      <c r="K1374" s="93"/>
      <c r="L1374" s="93"/>
      <c r="M1374" s="93"/>
      <c r="N1374" s="93"/>
      <c r="O1374" s="93"/>
      <c r="P1374" s="93"/>
      <c r="Q1374" s="93"/>
      <c r="R1374" s="93"/>
    </row>
    <row r="1375" spans="5:18">
      <c r="E1375" s="93"/>
      <c r="F1375" s="93"/>
      <c r="G1375" s="93"/>
      <c r="H1375" s="93"/>
      <c r="I1375" s="93"/>
      <c r="J1375" s="93"/>
      <c r="K1375" s="93"/>
      <c r="L1375" s="93"/>
      <c r="M1375" s="93"/>
      <c r="N1375" s="93"/>
      <c r="O1375" s="93"/>
      <c r="P1375" s="93"/>
      <c r="Q1375" s="93"/>
      <c r="R1375" s="93"/>
    </row>
    <row r="1376" spans="5:18">
      <c r="E1376" s="93"/>
      <c r="F1376" s="93"/>
      <c r="G1376" s="93"/>
      <c r="H1376" s="93"/>
      <c r="I1376" s="93"/>
      <c r="J1376" s="93"/>
      <c r="K1376" s="93"/>
      <c r="L1376" s="93"/>
      <c r="M1376" s="93"/>
      <c r="N1376" s="93"/>
      <c r="O1376" s="93"/>
      <c r="P1376" s="93"/>
      <c r="Q1376" s="93"/>
      <c r="R1376" s="93"/>
    </row>
    <row r="1377" spans="5:18">
      <c r="E1377" s="93"/>
      <c r="F1377" s="93"/>
      <c r="G1377" s="93"/>
      <c r="H1377" s="93"/>
      <c r="I1377" s="93"/>
      <c r="J1377" s="93"/>
      <c r="K1377" s="93"/>
      <c r="L1377" s="93"/>
      <c r="M1377" s="93"/>
      <c r="N1377" s="93"/>
      <c r="O1377" s="93"/>
      <c r="P1377" s="93"/>
      <c r="Q1377" s="93"/>
      <c r="R1377" s="93"/>
    </row>
    <row r="1378" spans="5:18">
      <c r="E1378" s="93"/>
      <c r="F1378" s="93"/>
      <c r="G1378" s="93"/>
      <c r="H1378" s="93"/>
      <c r="I1378" s="93"/>
      <c r="J1378" s="93"/>
      <c r="K1378" s="93"/>
      <c r="L1378" s="93"/>
      <c r="M1378" s="93"/>
      <c r="N1378" s="93"/>
      <c r="O1378" s="93"/>
      <c r="P1378" s="93"/>
      <c r="Q1378" s="93"/>
      <c r="R1378" s="93"/>
    </row>
    <row r="1379" spans="5:18">
      <c r="E1379" s="93"/>
      <c r="F1379" s="93"/>
      <c r="G1379" s="93"/>
      <c r="H1379" s="93"/>
      <c r="I1379" s="93"/>
      <c r="J1379" s="93"/>
      <c r="K1379" s="93"/>
      <c r="L1379" s="93"/>
      <c r="M1379" s="93"/>
      <c r="N1379" s="93"/>
      <c r="O1379" s="93"/>
      <c r="P1379" s="93"/>
      <c r="Q1379" s="93"/>
      <c r="R1379" s="93"/>
    </row>
    <row r="1380" spans="5:18">
      <c r="E1380" s="93"/>
      <c r="F1380" s="93"/>
      <c r="G1380" s="93"/>
      <c r="H1380" s="93"/>
      <c r="I1380" s="93"/>
      <c r="J1380" s="93"/>
      <c r="K1380" s="93"/>
      <c r="L1380" s="93"/>
      <c r="M1380" s="93"/>
      <c r="N1380" s="93"/>
      <c r="O1380" s="93"/>
      <c r="P1380" s="93"/>
      <c r="Q1380" s="93"/>
      <c r="R1380" s="93"/>
    </row>
    <row r="1381" spans="5:18">
      <c r="E1381" s="93"/>
      <c r="F1381" s="93"/>
      <c r="G1381" s="93"/>
      <c r="H1381" s="93"/>
      <c r="I1381" s="93"/>
      <c r="J1381" s="93"/>
      <c r="K1381" s="93"/>
      <c r="L1381" s="93"/>
      <c r="M1381" s="93"/>
      <c r="N1381" s="93"/>
      <c r="O1381" s="93"/>
      <c r="P1381" s="93"/>
      <c r="Q1381" s="93"/>
      <c r="R1381" s="93"/>
    </row>
    <row r="1382" spans="5:18">
      <c r="E1382" s="93"/>
      <c r="F1382" s="93"/>
      <c r="G1382" s="93"/>
      <c r="H1382" s="93"/>
      <c r="I1382" s="93"/>
      <c r="J1382" s="93"/>
      <c r="K1382" s="93"/>
      <c r="L1382" s="93"/>
      <c r="M1382" s="93"/>
      <c r="N1382" s="93"/>
      <c r="O1382" s="93"/>
      <c r="P1382" s="93"/>
      <c r="Q1382" s="93"/>
      <c r="R1382" s="93"/>
    </row>
    <row r="1383" spans="5:18">
      <c r="E1383" s="93"/>
      <c r="F1383" s="93"/>
      <c r="G1383" s="93"/>
      <c r="H1383" s="93"/>
      <c r="I1383" s="93"/>
      <c r="J1383" s="93"/>
      <c r="K1383" s="93"/>
      <c r="L1383" s="93"/>
      <c r="M1383" s="93"/>
      <c r="N1383" s="93"/>
      <c r="O1383" s="93"/>
      <c r="P1383" s="93"/>
      <c r="Q1383" s="93"/>
      <c r="R1383" s="93"/>
    </row>
    <row r="1384" spans="5:18">
      <c r="E1384" s="93"/>
      <c r="F1384" s="93"/>
      <c r="G1384" s="93"/>
      <c r="H1384" s="93"/>
      <c r="I1384" s="93"/>
      <c r="J1384" s="93"/>
      <c r="K1384" s="93"/>
      <c r="L1384" s="93"/>
      <c r="M1384" s="93"/>
      <c r="N1384" s="93"/>
      <c r="O1384" s="93"/>
      <c r="P1384" s="93"/>
      <c r="Q1384" s="93"/>
      <c r="R1384" s="93"/>
    </row>
    <row r="1385" spans="5:18">
      <c r="E1385" s="93"/>
      <c r="F1385" s="93"/>
      <c r="G1385" s="93"/>
      <c r="H1385" s="93"/>
      <c r="I1385" s="93"/>
      <c r="J1385" s="93"/>
      <c r="K1385" s="93"/>
      <c r="L1385" s="93"/>
      <c r="M1385" s="93"/>
      <c r="N1385" s="93"/>
      <c r="O1385" s="93"/>
      <c r="P1385" s="93"/>
      <c r="Q1385" s="93"/>
      <c r="R1385" s="93"/>
    </row>
    <row r="1386" spans="5:18">
      <c r="E1386" s="93"/>
      <c r="F1386" s="93"/>
      <c r="G1386" s="93"/>
      <c r="H1386" s="93"/>
      <c r="I1386" s="93"/>
      <c r="J1386" s="93"/>
      <c r="K1386" s="93"/>
      <c r="L1386" s="93"/>
      <c r="M1386" s="93"/>
      <c r="N1386" s="93"/>
      <c r="O1386" s="93"/>
      <c r="P1386" s="93"/>
      <c r="Q1386" s="93"/>
      <c r="R1386" s="93"/>
    </row>
    <row r="1387" spans="5:18">
      <c r="E1387" s="93"/>
      <c r="F1387" s="93"/>
      <c r="G1387" s="93"/>
      <c r="H1387" s="93"/>
      <c r="I1387" s="93"/>
      <c r="J1387" s="93"/>
      <c r="K1387" s="93"/>
      <c r="L1387" s="93"/>
      <c r="M1387" s="93"/>
      <c r="N1387" s="93"/>
      <c r="O1387" s="93"/>
      <c r="P1387" s="93"/>
      <c r="Q1387" s="93"/>
      <c r="R1387" s="93"/>
    </row>
    <row r="1388" spans="5:18">
      <c r="E1388" s="93"/>
      <c r="F1388" s="93"/>
      <c r="G1388" s="93"/>
      <c r="H1388" s="93"/>
      <c r="I1388" s="93"/>
      <c r="J1388" s="93"/>
      <c r="K1388" s="93"/>
      <c r="L1388" s="93"/>
      <c r="M1388" s="93"/>
      <c r="N1388" s="93"/>
      <c r="O1388" s="93"/>
      <c r="P1388" s="93"/>
      <c r="Q1388" s="93"/>
      <c r="R1388" s="93"/>
    </row>
  </sheetData>
  <sheetProtection selectLockedCells="1" selectUnlockedCells="1"/>
  <pageMargins left="0.5" right="0.25" top="1" bottom="0.19" header="1" footer="0.4"/>
  <pageSetup scale="41" pageOrder="overThenDown" orientation="landscape" r:id="rId1"/>
  <headerFooter alignWithMargins="0"/>
  <rowBreaks count="29" manualBreakCount="29">
    <brk id="66" min="4" max="16" man="1"/>
    <brk id="116" min="4" max="16" man="1"/>
    <brk id="155" min="4" max="16" man="1"/>
    <brk id="207" min="4" max="16" man="1"/>
    <brk id="235" min="4" max="16" man="1"/>
    <brk id="280" min="4" max="16" man="1"/>
    <brk id="332" min="4" max="16" man="1"/>
    <brk id="379" min="4" max="16" man="1"/>
    <brk id="419" min="4" max="16" man="1"/>
    <brk id="473" min="4" max="16" man="1"/>
    <brk id="533" min="4" max="16" man="1"/>
    <brk id="593" min="4" max="16" man="1"/>
    <brk id="642" min="4" max="16" man="1"/>
    <brk id="689" min="4" max="16" man="1"/>
    <brk id="716" min="4" max="16" man="1"/>
    <brk id="776" min="4" max="16" man="1"/>
    <brk id="821" min="4" max="16" man="1"/>
    <brk id="864" min="4" max="16" man="1"/>
    <brk id="907" min="4" max="16" man="1"/>
    <brk id="965" min="4" max="16" man="1"/>
    <brk id="1001" min="4" max="16" man="1"/>
    <brk id="1049" min="4" max="16" man="1"/>
    <brk id="1093" min="4" max="16" man="1"/>
    <brk id="1125" max="16383" man="1"/>
    <brk id="1146" min="4" max="16" man="1"/>
    <brk id="1204" min="4" max="16" man="1"/>
    <brk id="1241" min="4" max="16" man="1"/>
    <brk id="1288" min="4" max="16" man="1"/>
    <brk id="1330" min="4" max="16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T1388"/>
  <sheetViews>
    <sheetView view="pageBreakPreview" topLeftCell="A313" zoomScale="60" zoomScaleNormal="75" workbookViewId="0">
      <selection activeCell="E358" sqref="E358"/>
    </sheetView>
  </sheetViews>
  <sheetFormatPr defaultColWidth="8" defaultRowHeight="12.75"/>
  <cols>
    <col min="1" max="1" width="5.44140625" style="92" customWidth="1"/>
    <col min="2" max="2" width="7.77734375" style="92" customWidth="1"/>
    <col min="3" max="3" width="51.6640625" style="69" customWidth="1"/>
    <col min="4" max="4" width="17.77734375" style="69" customWidth="1"/>
    <col min="5" max="5" width="20.6640625" style="69" customWidth="1"/>
    <col min="6" max="6" width="17.88671875" style="69" customWidth="1"/>
    <col min="7" max="7" width="20.6640625" style="69" customWidth="1"/>
    <col min="8" max="8" width="17.88671875" style="69" hidden="1" customWidth="1"/>
    <col min="9" max="9" width="17.88671875" style="69" customWidth="1"/>
    <col min="10" max="10" width="19.88671875" style="69" customWidth="1"/>
    <col min="11" max="12" width="6.109375" style="69" hidden="1" customWidth="1"/>
    <col min="13" max="13" width="18.21875" style="69" customWidth="1"/>
    <col min="14" max="14" width="18.109375" style="69" hidden="1" customWidth="1"/>
    <col min="15" max="17" width="18" style="69" customWidth="1"/>
    <col min="18" max="18" width="14" style="69" customWidth="1"/>
    <col min="19" max="16384" width="8" style="69"/>
  </cols>
  <sheetData>
    <row r="1" spans="1:20" ht="15">
      <c r="A1" s="65"/>
      <c r="B1" s="65"/>
      <c r="C1" s="66"/>
      <c r="D1" s="66"/>
      <c r="E1" s="66">
        <v>0</v>
      </c>
      <c r="F1" s="66">
        <v>1</v>
      </c>
      <c r="G1" s="67">
        <v>2</v>
      </c>
      <c r="H1" s="68">
        <v>3</v>
      </c>
      <c r="I1" s="67">
        <v>4</v>
      </c>
      <c r="J1" s="67">
        <v>5</v>
      </c>
      <c r="K1" s="67">
        <v>6</v>
      </c>
      <c r="L1" s="67">
        <v>7</v>
      </c>
      <c r="M1" s="67">
        <v>8</v>
      </c>
      <c r="N1" s="67">
        <v>9</v>
      </c>
      <c r="O1" s="67">
        <v>10</v>
      </c>
      <c r="P1" s="67">
        <v>11</v>
      </c>
      <c r="Q1" s="67">
        <v>12</v>
      </c>
      <c r="R1" s="67">
        <f t="shared" ref="R1:T1" si="0">1+Q1</f>
        <v>13</v>
      </c>
      <c r="S1" s="67">
        <f t="shared" si="0"/>
        <v>14</v>
      </c>
      <c r="T1" s="67">
        <f t="shared" si="0"/>
        <v>15</v>
      </c>
    </row>
    <row r="2" spans="1:20" ht="15">
      <c r="A2" s="70"/>
      <c r="B2" s="70"/>
      <c r="C2" s="71"/>
      <c r="D2" s="72"/>
      <c r="E2" s="72"/>
      <c r="G2" s="73" t="s">
        <v>232</v>
      </c>
      <c r="H2" s="72"/>
      <c r="I2" s="72"/>
      <c r="J2" s="72"/>
      <c r="K2" s="72"/>
      <c r="L2" s="72"/>
      <c r="M2" s="72"/>
      <c r="N2" s="68" t="s">
        <v>232</v>
      </c>
      <c r="O2" s="72"/>
      <c r="P2" s="72"/>
      <c r="Q2" s="72">
        <v>42774.426950462963</v>
      </c>
      <c r="R2" s="72"/>
      <c r="S2" s="72"/>
      <c r="T2" s="72"/>
    </row>
    <row r="3" spans="1:20" ht="15">
      <c r="A3" s="70"/>
      <c r="B3" s="70"/>
      <c r="C3" s="74"/>
      <c r="D3" s="72"/>
      <c r="E3" s="72"/>
      <c r="G3" s="73" t="s">
        <v>233</v>
      </c>
      <c r="H3" s="72"/>
      <c r="I3" s="72"/>
      <c r="J3" s="75"/>
      <c r="K3" s="72"/>
      <c r="L3" s="72"/>
      <c r="M3" s="72"/>
      <c r="N3" s="68" t="s">
        <v>233</v>
      </c>
      <c r="O3" s="72"/>
      <c r="P3" s="72"/>
      <c r="Q3" s="76">
        <v>42774.426950462963</v>
      </c>
      <c r="S3" s="72"/>
      <c r="T3" s="72"/>
    </row>
    <row r="4" spans="1:20" ht="15">
      <c r="A4" s="70"/>
      <c r="B4" s="70"/>
      <c r="C4" s="72"/>
      <c r="D4" s="72"/>
      <c r="E4" s="72"/>
      <c r="G4" s="73" t="s">
        <v>234</v>
      </c>
      <c r="H4" s="72"/>
      <c r="I4" s="72"/>
      <c r="J4" s="72"/>
      <c r="K4" s="72"/>
      <c r="L4" s="72"/>
      <c r="M4" s="72"/>
      <c r="N4" s="68" t="s">
        <v>234</v>
      </c>
      <c r="O4" s="72"/>
      <c r="P4" s="72"/>
      <c r="Q4" s="72"/>
      <c r="R4" s="72"/>
      <c r="S4" s="72"/>
      <c r="T4" s="72"/>
    </row>
    <row r="5" spans="1:20" ht="15">
      <c r="A5" s="70"/>
      <c r="B5" s="70"/>
      <c r="C5" s="75" t="s">
        <v>1906</v>
      </c>
      <c r="D5" s="72"/>
      <c r="E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</row>
    <row r="6" spans="1:20" ht="15">
      <c r="A6" s="70"/>
      <c r="B6" s="70"/>
      <c r="C6" s="77" t="s">
        <v>236</v>
      </c>
      <c r="D6" s="72"/>
      <c r="E6" s="78"/>
      <c r="G6" s="79" t="s">
        <v>2457</v>
      </c>
      <c r="H6" s="72"/>
      <c r="I6" s="72"/>
      <c r="J6" s="72"/>
      <c r="K6" s="72"/>
      <c r="L6" s="72"/>
      <c r="M6" s="72"/>
      <c r="N6" s="68" t="s">
        <v>2457</v>
      </c>
      <c r="O6" s="72"/>
      <c r="P6" s="72"/>
      <c r="Q6" s="72"/>
      <c r="R6" s="72"/>
      <c r="S6" s="72"/>
      <c r="T6" s="72"/>
    </row>
    <row r="7" spans="1:20" ht="15">
      <c r="A7" s="70"/>
      <c r="B7" s="70"/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</row>
    <row r="8" spans="1:20" ht="15">
      <c r="A8" s="70"/>
      <c r="B8" s="70"/>
      <c r="C8" s="72"/>
      <c r="D8" s="72"/>
      <c r="E8" s="76" t="s">
        <v>237</v>
      </c>
      <c r="F8" s="72"/>
      <c r="G8" s="76" t="s">
        <v>238</v>
      </c>
      <c r="H8" s="72"/>
      <c r="I8" s="76" t="s">
        <v>239</v>
      </c>
      <c r="J8" s="80" t="s">
        <v>240</v>
      </c>
      <c r="K8" s="72"/>
      <c r="L8" s="72"/>
      <c r="M8" s="76" t="s">
        <v>241</v>
      </c>
      <c r="N8" s="72"/>
      <c r="O8" s="72"/>
      <c r="P8" s="72"/>
      <c r="Q8" s="72"/>
      <c r="R8" s="72"/>
      <c r="S8" s="72"/>
      <c r="T8" s="72"/>
    </row>
    <row r="9" spans="1:20" ht="15">
      <c r="A9" s="70"/>
      <c r="B9" s="70"/>
      <c r="C9" s="72"/>
      <c r="D9" s="72"/>
      <c r="E9" s="76" t="s">
        <v>238</v>
      </c>
      <c r="F9" s="72"/>
      <c r="G9" s="76" t="s">
        <v>242</v>
      </c>
      <c r="H9" s="72"/>
      <c r="I9" s="76" t="s">
        <v>242</v>
      </c>
      <c r="J9" s="76" t="s">
        <v>241</v>
      </c>
      <c r="K9" s="72"/>
      <c r="L9" s="72"/>
      <c r="M9" s="76" t="s">
        <v>242</v>
      </c>
      <c r="N9" s="76"/>
      <c r="O9" s="76" t="s">
        <v>243</v>
      </c>
      <c r="P9" s="72"/>
      <c r="Q9" s="72"/>
      <c r="R9" s="72"/>
      <c r="S9" s="72"/>
      <c r="T9" s="72"/>
    </row>
    <row r="10" spans="1:20" ht="15">
      <c r="A10" s="70"/>
      <c r="B10" s="70"/>
      <c r="C10" s="72"/>
      <c r="D10" s="81" t="s">
        <v>244</v>
      </c>
      <c r="E10" s="76" t="s">
        <v>245</v>
      </c>
      <c r="F10" s="72"/>
      <c r="G10" s="76" t="s">
        <v>246</v>
      </c>
      <c r="H10" s="72"/>
      <c r="I10" s="76" t="s">
        <v>246</v>
      </c>
      <c r="J10" s="76" t="s">
        <v>246</v>
      </c>
      <c r="K10" s="72"/>
      <c r="L10" s="72"/>
      <c r="M10" s="76" t="s">
        <v>246</v>
      </c>
      <c r="N10" s="76"/>
      <c r="O10" s="76" t="s">
        <v>246</v>
      </c>
      <c r="P10" s="76" t="s">
        <v>247</v>
      </c>
      <c r="Q10" s="76" t="s">
        <v>248</v>
      </c>
      <c r="R10" s="76"/>
      <c r="S10" s="72"/>
      <c r="T10" s="72"/>
    </row>
    <row r="11" spans="1:20" ht="15">
      <c r="A11" s="70"/>
      <c r="B11" s="70"/>
      <c r="C11" s="72"/>
      <c r="D11" s="72"/>
      <c r="E11" s="82" t="s">
        <v>249</v>
      </c>
      <c r="F11" s="72"/>
      <c r="G11" s="76" t="s">
        <v>250</v>
      </c>
      <c r="H11" s="72"/>
      <c r="I11" s="83">
        <v>-3</v>
      </c>
      <c r="J11" s="83">
        <v>-4</v>
      </c>
      <c r="K11" s="72"/>
      <c r="L11" s="72"/>
      <c r="M11" s="83">
        <v>-5</v>
      </c>
      <c r="N11" s="76"/>
      <c r="O11" s="76" t="s">
        <v>251</v>
      </c>
      <c r="P11" s="76" t="s">
        <v>252</v>
      </c>
      <c r="Q11" s="76" t="s">
        <v>253</v>
      </c>
      <c r="R11" s="76"/>
      <c r="S11" s="72"/>
      <c r="T11" s="72"/>
    </row>
    <row r="12" spans="1:20" ht="15">
      <c r="A12" s="70"/>
      <c r="B12" s="70"/>
      <c r="C12" s="72"/>
      <c r="D12" s="84"/>
      <c r="E12" s="72"/>
      <c r="F12" s="72"/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2"/>
    </row>
    <row r="13" spans="1:20" ht="15">
      <c r="A13" s="70" t="s">
        <v>254</v>
      </c>
      <c r="B13" s="70"/>
      <c r="C13" s="72" t="s">
        <v>255</v>
      </c>
      <c r="D13" s="72" t="s">
        <v>254</v>
      </c>
      <c r="E13" s="72" t="s">
        <v>254</v>
      </c>
      <c r="F13" s="72" t="s">
        <v>254</v>
      </c>
      <c r="G13" s="72" t="s">
        <v>254</v>
      </c>
      <c r="H13" s="72" t="s">
        <v>254</v>
      </c>
      <c r="I13" s="72" t="s">
        <v>254</v>
      </c>
      <c r="J13" s="72" t="s">
        <v>254</v>
      </c>
      <c r="K13" s="72" t="s">
        <v>254</v>
      </c>
      <c r="L13" s="72" t="s">
        <v>254</v>
      </c>
      <c r="M13" s="72" t="s">
        <v>254</v>
      </c>
      <c r="N13" s="72" t="s">
        <v>254</v>
      </c>
      <c r="O13" s="72" t="s">
        <v>254</v>
      </c>
      <c r="P13" s="72" t="s">
        <v>254</v>
      </c>
      <c r="Q13" s="72" t="s">
        <v>254</v>
      </c>
      <c r="R13" s="72"/>
      <c r="S13" s="72"/>
      <c r="T13" s="72"/>
    </row>
    <row r="14" spans="1:20" ht="15">
      <c r="A14" s="70" t="s">
        <v>254</v>
      </c>
      <c r="B14" s="70"/>
      <c r="C14" s="72" t="s">
        <v>254</v>
      </c>
      <c r="D14" s="72" t="s">
        <v>254</v>
      </c>
      <c r="E14" s="72" t="s">
        <v>254</v>
      </c>
      <c r="F14" s="72" t="s">
        <v>254</v>
      </c>
      <c r="G14" s="72" t="s">
        <v>254</v>
      </c>
      <c r="H14" s="72" t="s">
        <v>254</v>
      </c>
      <c r="I14" s="72" t="s">
        <v>254</v>
      </c>
      <c r="J14" s="72" t="s">
        <v>254</v>
      </c>
      <c r="K14" s="72" t="s">
        <v>254</v>
      </c>
      <c r="L14" s="72" t="s">
        <v>254</v>
      </c>
      <c r="M14" s="72" t="s">
        <v>254</v>
      </c>
      <c r="N14" s="72" t="s">
        <v>254</v>
      </c>
      <c r="O14" s="72" t="s">
        <v>254</v>
      </c>
      <c r="P14" s="72" t="s">
        <v>254</v>
      </c>
      <c r="Q14" s="72" t="s">
        <v>254</v>
      </c>
      <c r="R14" s="72"/>
      <c r="S14" s="72"/>
      <c r="T14" s="72"/>
    </row>
    <row r="15" spans="1:20" ht="15">
      <c r="A15" s="70" t="s">
        <v>254</v>
      </c>
      <c r="B15" s="70"/>
      <c r="C15" s="72" t="s">
        <v>256</v>
      </c>
      <c r="D15" s="72" t="s">
        <v>254</v>
      </c>
      <c r="E15" s="72" t="s">
        <v>254</v>
      </c>
      <c r="F15" s="72" t="s">
        <v>254</v>
      </c>
      <c r="G15" s="72" t="s">
        <v>254</v>
      </c>
      <c r="H15" s="72" t="s">
        <v>254</v>
      </c>
      <c r="I15" s="72" t="s">
        <v>254</v>
      </c>
      <c r="J15" s="72" t="s">
        <v>254</v>
      </c>
      <c r="K15" s="72" t="s">
        <v>254</v>
      </c>
      <c r="L15" s="72" t="s">
        <v>254</v>
      </c>
      <c r="M15" s="72" t="s">
        <v>254</v>
      </c>
      <c r="N15" s="72" t="s">
        <v>254</v>
      </c>
      <c r="O15" s="72" t="s">
        <v>254</v>
      </c>
      <c r="P15" s="72" t="s">
        <v>254</v>
      </c>
      <c r="Q15" s="72" t="s">
        <v>254</v>
      </c>
      <c r="R15" s="72"/>
      <c r="S15" s="72"/>
      <c r="T15" s="72"/>
    </row>
    <row r="16" spans="1:20" ht="15">
      <c r="A16" s="70" t="s">
        <v>254</v>
      </c>
      <c r="B16" s="70"/>
      <c r="C16" s="72" t="s">
        <v>254</v>
      </c>
      <c r="D16" s="72" t="s">
        <v>254</v>
      </c>
      <c r="E16" s="72" t="s">
        <v>254</v>
      </c>
      <c r="F16" s="72" t="s">
        <v>254</v>
      </c>
      <c r="G16" s="72" t="s">
        <v>254</v>
      </c>
      <c r="H16" s="72" t="s">
        <v>254</v>
      </c>
      <c r="I16" s="72" t="s">
        <v>254</v>
      </c>
      <c r="J16" s="72" t="s">
        <v>254</v>
      </c>
      <c r="K16" s="72" t="s">
        <v>254</v>
      </c>
      <c r="L16" s="72" t="s">
        <v>254</v>
      </c>
      <c r="M16" s="72" t="s">
        <v>254</v>
      </c>
      <c r="N16" s="72" t="s">
        <v>254</v>
      </c>
      <c r="O16" s="72" t="s">
        <v>254</v>
      </c>
      <c r="P16" s="72" t="s">
        <v>254</v>
      </c>
      <c r="Q16" s="72" t="s">
        <v>254</v>
      </c>
      <c r="R16" s="72"/>
      <c r="S16" s="72"/>
      <c r="T16" s="72"/>
    </row>
    <row r="17" spans="1:20" ht="15">
      <c r="A17" s="70">
        <v>1</v>
      </c>
      <c r="B17" s="70"/>
      <c r="C17" s="72" t="s">
        <v>257</v>
      </c>
      <c r="D17" s="72" t="s">
        <v>254</v>
      </c>
      <c r="E17" s="85">
        <v>9527059121.0507679</v>
      </c>
      <c r="F17" s="85" t="s">
        <v>254</v>
      </c>
      <c r="G17" s="85">
        <v>8463527046.5532007</v>
      </c>
      <c r="H17" s="85" t="s">
        <v>254</v>
      </c>
      <c r="I17" s="85">
        <v>470955559.46998042</v>
      </c>
      <c r="J17" s="85">
        <v>592576515.02758551</v>
      </c>
      <c r="K17" s="85" t="s">
        <v>254</v>
      </c>
      <c r="L17" s="85" t="s">
        <v>254</v>
      </c>
      <c r="M17" s="85">
        <v>206189.80969716009</v>
      </c>
      <c r="N17" s="85" t="s">
        <v>254</v>
      </c>
      <c r="O17" s="85">
        <v>592370325.21788836</v>
      </c>
      <c r="P17" s="85">
        <v>186706051.30020908</v>
      </c>
      <c r="Q17" s="85">
        <v>405664273.91767925</v>
      </c>
      <c r="R17" s="85"/>
      <c r="S17" s="85"/>
      <c r="T17" s="72"/>
    </row>
    <row r="18" spans="1:20" ht="15">
      <c r="A18" s="70" t="s">
        <v>254</v>
      </c>
      <c r="B18" s="70"/>
      <c r="C18" s="72" t="s">
        <v>254</v>
      </c>
      <c r="D18" s="72" t="s">
        <v>254</v>
      </c>
      <c r="E18" s="85" t="s">
        <v>254</v>
      </c>
      <c r="F18" s="85" t="s">
        <v>254</v>
      </c>
      <c r="G18" s="85" t="s">
        <v>254</v>
      </c>
      <c r="H18" s="85" t="s">
        <v>254</v>
      </c>
      <c r="I18" s="85" t="s">
        <v>254</v>
      </c>
      <c r="J18" s="85" t="s">
        <v>254</v>
      </c>
      <c r="K18" s="85" t="s">
        <v>254</v>
      </c>
      <c r="L18" s="85" t="s">
        <v>254</v>
      </c>
      <c r="M18" s="85" t="s">
        <v>254</v>
      </c>
      <c r="N18" s="85" t="s">
        <v>254</v>
      </c>
      <c r="O18" s="85" t="s">
        <v>254</v>
      </c>
      <c r="P18" s="85" t="s">
        <v>254</v>
      </c>
      <c r="Q18" s="85" t="s">
        <v>254</v>
      </c>
      <c r="R18" s="85"/>
      <c r="S18" s="85"/>
      <c r="T18" s="72"/>
    </row>
    <row r="19" spans="1:20" ht="15">
      <c r="A19" s="70">
        <v>2</v>
      </c>
      <c r="B19" s="70"/>
      <c r="C19" s="72" t="s">
        <v>258</v>
      </c>
      <c r="D19" s="72" t="s">
        <v>254</v>
      </c>
      <c r="E19" s="85">
        <v>3301600480.798986</v>
      </c>
      <c r="F19" s="85" t="s">
        <v>254</v>
      </c>
      <c r="G19" s="85">
        <v>2912060195.4345694</v>
      </c>
      <c r="H19" s="85" t="s">
        <v>254</v>
      </c>
      <c r="I19" s="85">
        <v>181863142.57960427</v>
      </c>
      <c r="J19" s="85">
        <v>207677142.78481245</v>
      </c>
      <c r="K19" s="85" t="s">
        <v>254</v>
      </c>
      <c r="L19" s="85" t="s">
        <v>254</v>
      </c>
      <c r="M19" s="85">
        <v>157036.35014862241</v>
      </c>
      <c r="N19" s="85" t="s">
        <v>254</v>
      </c>
      <c r="O19" s="85">
        <v>207520106.43466383</v>
      </c>
      <c r="P19" s="85">
        <v>65458017.564512491</v>
      </c>
      <c r="Q19" s="85">
        <v>142062088.87015134</v>
      </c>
      <c r="R19" s="85"/>
      <c r="S19" s="85"/>
      <c r="T19" s="72"/>
    </row>
    <row r="20" spans="1:20" ht="15">
      <c r="A20" s="70">
        <v>3</v>
      </c>
      <c r="B20" s="70"/>
      <c r="C20" s="72" t="s">
        <v>259</v>
      </c>
      <c r="D20" s="72" t="s">
        <v>254</v>
      </c>
      <c r="E20" s="85">
        <v>6225458640.2517805</v>
      </c>
      <c r="F20" s="85" t="s">
        <v>254</v>
      </c>
      <c r="G20" s="85">
        <v>5551466851.1186314</v>
      </c>
      <c r="H20" s="85" t="s">
        <v>254</v>
      </c>
      <c r="I20" s="85">
        <v>289092416.89037615</v>
      </c>
      <c r="J20" s="85">
        <v>384899372.242773</v>
      </c>
      <c r="K20" s="85" t="s">
        <v>254</v>
      </c>
      <c r="L20" s="85" t="s">
        <v>254</v>
      </c>
      <c r="M20" s="85">
        <v>49153.459548537678</v>
      </c>
      <c r="N20" s="85" t="s">
        <v>254</v>
      </c>
      <c r="O20" s="85">
        <v>384850218.78322446</v>
      </c>
      <c r="P20" s="85">
        <v>121248033.73569658</v>
      </c>
      <c r="Q20" s="85">
        <v>263602185.04752791</v>
      </c>
      <c r="R20" s="85"/>
      <c r="S20" s="85"/>
      <c r="T20" s="72"/>
    </row>
    <row r="21" spans="1:20" ht="15">
      <c r="A21" s="70" t="s">
        <v>254</v>
      </c>
      <c r="B21" s="70"/>
      <c r="C21" s="72" t="s">
        <v>254</v>
      </c>
      <c r="D21" s="72" t="s">
        <v>254</v>
      </c>
      <c r="E21" s="85" t="s">
        <v>254</v>
      </c>
      <c r="F21" s="85" t="s">
        <v>254</v>
      </c>
      <c r="G21" s="85" t="s">
        <v>254</v>
      </c>
      <c r="H21" s="85" t="s">
        <v>254</v>
      </c>
      <c r="I21" s="85" t="s">
        <v>254</v>
      </c>
      <c r="J21" s="85" t="s">
        <v>254</v>
      </c>
      <c r="K21" s="85" t="s">
        <v>254</v>
      </c>
      <c r="L21" s="85" t="s">
        <v>254</v>
      </c>
      <c r="M21" s="85" t="s">
        <v>254</v>
      </c>
      <c r="N21" s="85" t="s">
        <v>254</v>
      </c>
      <c r="O21" s="85" t="s">
        <v>254</v>
      </c>
      <c r="P21" s="85" t="s">
        <v>254</v>
      </c>
      <c r="Q21" s="85" t="s">
        <v>254</v>
      </c>
      <c r="R21" s="85"/>
      <c r="S21" s="85"/>
      <c r="T21" s="72"/>
    </row>
    <row r="22" spans="1:20" ht="15">
      <c r="A22" s="70">
        <v>4</v>
      </c>
      <c r="B22" s="70"/>
      <c r="C22" s="72" t="s">
        <v>260</v>
      </c>
      <c r="D22" s="72" t="s">
        <v>254</v>
      </c>
      <c r="E22" s="85">
        <v>310684174.5884614</v>
      </c>
      <c r="F22" s="85" t="s">
        <v>254</v>
      </c>
      <c r="G22" s="85">
        <v>279608228.78090739</v>
      </c>
      <c r="H22" s="85" t="s">
        <v>254</v>
      </c>
      <c r="I22" s="85">
        <v>11580634.5231463</v>
      </c>
      <c r="J22" s="85">
        <v>19495311.284407761</v>
      </c>
      <c r="K22" s="85" t="s">
        <v>254</v>
      </c>
      <c r="L22" s="85" t="s">
        <v>254</v>
      </c>
      <c r="M22" s="85">
        <v>1416.3411074876087</v>
      </c>
      <c r="N22" s="85" t="s">
        <v>254</v>
      </c>
      <c r="O22" s="85">
        <v>19493894.943300273</v>
      </c>
      <c r="P22" s="85">
        <v>6062672.2051882418</v>
      </c>
      <c r="Q22" s="85">
        <v>13431222.738112031</v>
      </c>
      <c r="R22" s="85"/>
      <c r="S22" s="85"/>
      <c r="T22" s="72"/>
    </row>
    <row r="23" spans="1:20" ht="15">
      <c r="A23" s="70">
        <v>5</v>
      </c>
      <c r="B23" s="70"/>
      <c r="C23" s="72" t="s">
        <v>261</v>
      </c>
      <c r="D23" s="72" t="s">
        <v>254</v>
      </c>
      <c r="E23" s="85">
        <v>6536142814.8402424</v>
      </c>
      <c r="F23" s="85" t="s">
        <v>254</v>
      </c>
      <c r="G23" s="85">
        <v>5831075079.899539</v>
      </c>
      <c r="H23" s="85" t="s">
        <v>254</v>
      </c>
      <c r="I23" s="85">
        <v>300673051.41352242</v>
      </c>
      <c r="J23" s="85">
        <v>404394683.52718079</v>
      </c>
      <c r="K23" s="85" t="s">
        <v>254</v>
      </c>
      <c r="L23" s="85" t="s">
        <v>254</v>
      </c>
      <c r="M23" s="85">
        <v>50569.800656025283</v>
      </c>
      <c r="N23" s="85" t="s">
        <v>254</v>
      </c>
      <c r="O23" s="85">
        <v>404344113.72652477</v>
      </c>
      <c r="P23" s="85">
        <v>127310705.94088483</v>
      </c>
      <c r="Q23" s="85">
        <v>277033407.78563994</v>
      </c>
      <c r="R23" s="85"/>
      <c r="S23" s="85"/>
      <c r="T23" s="72"/>
    </row>
    <row r="24" spans="1:20" ht="15">
      <c r="A24" s="70" t="s">
        <v>254</v>
      </c>
      <c r="B24" s="70"/>
      <c r="C24" s="72" t="s">
        <v>254</v>
      </c>
      <c r="D24" s="72" t="s">
        <v>254</v>
      </c>
      <c r="E24" s="85"/>
      <c r="F24" s="85" t="s">
        <v>254</v>
      </c>
      <c r="G24" s="85" t="s">
        <v>254</v>
      </c>
      <c r="H24" s="85" t="s">
        <v>254</v>
      </c>
      <c r="I24" s="85" t="s">
        <v>254</v>
      </c>
      <c r="J24" s="85" t="s">
        <v>254</v>
      </c>
      <c r="K24" s="85" t="s">
        <v>254</v>
      </c>
      <c r="L24" s="85" t="s">
        <v>254</v>
      </c>
      <c r="M24" s="85" t="s">
        <v>254</v>
      </c>
      <c r="N24" s="85" t="s">
        <v>254</v>
      </c>
      <c r="O24" s="85" t="s">
        <v>254</v>
      </c>
      <c r="P24" s="85" t="s">
        <v>254</v>
      </c>
      <c r="Q24" s="85" t="s">
        <v>254</v>
      </c>
      <c r="R24" s="85"/>
      <c r="S24" s="85"/>
      <c r="T24" s="72"/>
    </row>
    <row r="25" spans="1:20" ht="15">
      <c r="A25" s="70" t="s">
        <v>254</v>
      </c>
      <c r="B25" s="70"/>
      <c r="C25" s="72" t="s">
        <v>262</v>
      </c>
      <c r="D25" s="72" t="s">
        <v>254</v>
      </c>
      <c r="E25" s="85"/>
      <c r="F25" s="85" t="s">
        <v>254</v>
      </c>
      <c r="G25" s="85" t="s">
        <v>254</v>
      </c>
      <c r="H25" s="85" t="s">
        <v>254</v>
      </c>
      <c r="I25" s="85" t="s">
        <v>254</v>
      </c>
      <c r="J25" s="85" t="s">
        <v>254</v>
      </c>
      <c r="K25" s="85" t="s">
        <v>254</v>
      </c>
      <c r="L25" s="85" t="s">
        <v>254</v>
      </c>
      <c r="M25" s="85" t="s">
        <v>254</v>
      </c>
      <c r="N25" s="85" t="s">
        <v>254</v>
      </c>
      <c r="O25" s="85" t="s">
        <v>254</v>
      </c>
      <c r="P25" s="85" t="s">
        <v>254</v>
      </c>
      <c r="Q25" s="85" t="s">
        <v>254</v>
      </c>
      <c r="R25" s="85"/>
      <c r="S25" s="86"/>
    </row>
    <row r="26" spans="1:20" ht="15">
      <c r="A26" s="70">
        <v>6</v>
      </c>
      <c r="B26" s="70"/>
      <c r="C26" s="72" t="s">
        <v>263</v>
      </c>
      <c r="D26" s="72" t="s">
        <v>254</v>
      </c>
      <c r="E26" s="85">
        <v>54563930.000000007</v>
      </c>
      <c r="F26" s="85" t="s">
        <v>254</v>
      </c>
      <c r="G26" s="85">
        <v>48318505.165355854</v>
      </c>
      <c r="H26" s="85" t="s">
        <v>254</v>
      </c>
      <c r="I26" s="85">
        <v>2873904.8120128424</v>
      </c>
      <c r="J26" s="85">
        <v>3371520.0226313076</v>
      </c>
      <c r="K26" s="85" t="s">
        <v>254</v>
      </c>
      <c r="L26" s="85" t="s">
        <v>254</v>
      </c>
      <c r="M26" s="85">
        <v>847.82182113188605</v>
      </c>
      <c r="N26" s="85" t="s">
        <v>254</v>
      </c>
      <c r="O26" s="85">
        <v>3370672.2008101759</v>
      </c>
      <c r="P26" s="85">
        <v>1057002.6848692736</v>
      </c>
      <c r="Q26" s="85">
        <v>2313669.5159409023</v>
      </c>
      <c r="R26" s="85"/>
      <c r="S26" s="86"/>
    </row>
    <row r="27" spans="1:20" ht="15">
      <c r="A27" s="70">
        <v>7</v>
      </c>
      <c r="B27" s="70"/>
      <c r="C27" s="72" t="s">
        <v>264</v>
      </c>
      <c r="D27" s="72" t="s">
        <v>254</v>
      </c>
      <c r="E27" s="85">
        <v>81295504.999999985</v>
      </c>
      <c r="F27" s="85" t="s">
        <v>254</v>
      </c>
      <c r="G27" s="85">
        <v>71489838.591801614</v>
      </c>
      <c r="H27" s="85" t="s">
        <v>254</v>
      </c>
      <c r="I27" s="85">
        <v>2963645.3065443393</v>
      </c>
      <c r="J27" s="85">
        <v>6842021.1016540425</v>
      </c>
      <c r="K27" s="85" t="s">
        <v>254</v>
      </c>
      <c r="L27" s="85" t="s">
        <v>254</v>
      </c>
      <c r="M27" s="85">
        <v>344.76622326864327</v>
      </c>
      <c r="N27" s="85" t="s">
        <v>254</v>
      </c>
      <c r="O27" s="85">
        <v>6841676.3354307739</v>
      </c>
      <c r="P27" s="85">
        <v>2162061.4718844239</v>
      </c>
      <c r="Q27" s="85">
        <v>4679614.86354635</v>
      </c>
      <c r="R27" s="85"/>
      <c r="S27" s="86"/>
    </row>
    <row r="28" spans="1:20" ht="15">
      <c r="A28" s="70">
        <v>8</v>
      </c>
      <c r="B28" s="70"/>
      <c r="C28" s="72" t="s">
        <v>265</v>
      </c>
      <c r="D28" s="72" t="s">
        <v>254</v>
      </c>
      <c r="E28" s="85">
        <v>17200529.232544325</v>
      </c>
      <c r="F28" s="85" t="s">
        <v>254</v>
      </c>
      <c r="G28" s="85">
        <v>16171253.692540465</v>
      </c>
      <c r="H28" s="85" t="s">
        <v>254</v>
      </c>
      <c r="I28" s="85">
        <v>0</v>
      </c>
      <c r="J28" s="85">
        <v>1029275.54000386</v>
      </c>
      <c r="K28" s="85" t="s">
        <v>254</v>
      </c>
      <c r="L28" s="85" t="s">
        <v>254</v>
      </c>
      <c r="M28" s="85">
        <v>397.64992682159539</v>
      </c>
      <c r="N28" s="85" t="s">
        <v>254</v>
      </c>
      <c r="O28" s="85">
        <v>1028877.8900770384</v>
      </c>
      <c r="P28" s="85">
        <v>325765.86694087385</v>
      </c>
      <c r="Q28" s="85">
        <v>703112.02313616464</v>
      </c>
      <c r="R28" s="85"/>
      <c r="S28" s="86"/>
    </row>
    <row r="29" spans="1:20" ht="15">
      <c r="A29" s="70">
        <v>9</v>
      </c>
      <c r="B29" s="70"/>
      <c r="C29" s="72" t="s">
        <v>266</v>
      </c>
      <c r="D29" s="72" t="s">
        <v>254</v>
      </c>
      <c r="E29" s="85">
        <v>117152089.92994511</v>
      </c>
      <c r="F29" s="85" t="s">
        <v>254</v>
      </c>
      <c r="G29" s="85">
        <v>109010034.9523263</v>
      </c>
      <c r="H29" s="85" t="s">
        <v>254</v>
      </c>
      <c r="I29" s="85">
        <v>0</v>
      </c>
      <c r="J29" s="85">
        <v>8142054.977618807</v>
      </c>
      <c r="K29" s="85" t="s">
        <v>254</v>
      </c>
      <c r="L29" s="85" t="s">
        <v>254</v>
      </c>
      <c r="M29" s="85">
        <v>1573.8497888452835</v>
      </c>
      <c r="N29" s="85" t="s">
        <v>254</v>
      </c>
      <c r="O29" s="85">
        <v>8140481.1278299615</v>
      </c>
      <c r="P29" s="85">
        <v>2575361.6330649611</v>
      </c>
      <c r="Q29" s="85">
        <v>5565119.4947650004</v>
      </c>
      <c r="R29" s="85"/>
      <c r="S29" s="86"/>
    </row>
    <row r="30" spans="1:20" ht="15">
      <c r="A30" s="70">
        <v>10</v>
      </c>
      <c r="B30" s="70"/>
      <c r="C30" s="72" t="s">
        <v>267</v>
      </c>
      <c r="D30" s="72" t="s">
        <v>254</v>
      </c>
      <c r="E30" s="85">
        <v>136560</v>
      </c>
      <c r="F30" s="85" t="s">
        <v>254</v>
      </c>
      <c r="G30" s="85">
        <v>119596.14230648502</v>
      </c>
      <c r="H30" s="85" t="s">
        <v>254</v>
      </c>
      <c r="I30" s="85">
        <v>5526.9644748555429</v>
      </c>
      <c r="J30" s="85">
        <v>11436.893218659443</v>
      </c>
      <c r="K30" s="85" t="s">
        <v>254</v>
      </c>
      <c r="L30" s="85" t="s">
        <v>254</v>
      </c>
      <c r="M30" s="85">
        <v>0.4202520908252122</v>
      </c>
      <c r="N30" s="85" t="s">
        <v>254</v>
      </c>
      <c r="O30" s="85">
        <v>11436.472966568617</v>
      </c>
      <c r="P30" s="85">
        <v>3549.4109543742125</v>
      </c>
      <c r="Q30" s="85">
        <v>7887.0620121944048</v>
      </c>
      <c r="R30" s="85"/>
      <c r="S30" s="86"/>
    </row>
    <row r="31" spans="1:20" ht="15">
      <c r="A31" s="70">
        <v>11</v>
      </c>
      <c r="B31" s="70"/>
      <c r="C31" s="72" t="s">
        <v>268</v>
      </c>
      <c r="D31" s="72" t="s">
        <v>254</v>
      </c>
      <c r="E31" s="85">
        <v>270348614.16248941</v>
      </c>
      <c r="F31" s="85" t="s">
        <v>254</v>
      </c>
      <c r="G31" s="85">
        <v>245109228.54433072</v>
      </c>
      <c r="H31" s="85" t="s">
        <v>254</v>
      </c>
      <c r="I31" s="85">
        <v>5843077.0830320371</v>
      </c>
      <c r="J31" s="85">
        <v>19396308.535126675</v>
      </c>
      <c r="K31" s="85" t="s">
        <v>254</v>
      </c>
      <c r="L31" s="85" t="s">
        <v>254</v>
      </c>
      <c r="M31" s="85">
        <v>3164.5080121582332</v>
      </c>
      <c r="N31" s="85" t="s">
        <v>254</v>
      </c>
      <c r="O31" s="85">
        <v>19393144.027114518</v>
      </c>
      <c r="P31" s="85">
        <v>6123741.0677139061</v>
      </c>
      <c r="Q31" s="85">
        <v>13269402.959400611</v>
      </c>
      <c r="R31" s="85"/>
      <c r="S31" s="86"/>
    </row>
    <row r="32" spans="1:20" ht="15">
      <c r="A32" s="70" t="s">
        <v>254</v>
      </c>
      <c r="B32" s="70"/>
      <c r="C32" s="72" t="s">
        <v>254</v>
      </c>
      <c r="D32" s="72" t="s">
        <v>254</v>
      </c>
      <c r="E32" s="85" t="s">
        <v>254</v>
      </c>
      <c r="F32" s="85" t="s">
        <v>254</v>
      </c>
      <c r="G32" s="85" t="s">
        <v>254</v>
      </c>
      <c r="H32" s="85" t="s">
        <v>254</v>
      </c>
      <c r="I32" s="85" t="s">
        <v>254</v>
      </c>
      <c r="J32" s="85" t="s">
        <v>254</v>
      </c>
      <c r="K32" s="85" t="s">
        <v>254</v>
      </c>
      <c r="L32" s="85" t="s">
        <v>254</v>
      </c>
      <c r="M32" s="85" t="s">
        <v>254</v>
      </c>
      <c r="N32" s="85" t="s">
        <v>254</v>
      </c>
      <c r="O32" s="85" t="s">
        <v>254</v>
      </c>
      <c r="P32" s="85" t="s">
        <v>254</v>
      </c>
      <c r="Q32" s="85" t="s">
        <v>254</v>
      </c>
      <c r="R32" s="85"/>
      <c r="S32" s="86"/>
    </row>
    <row r="33" spans="1:19" ht="15">
      <c r="A33" s="70" t="s">
        <v>254</v>
      </c>
      <c r="B33" s="70"/>
      <c r="C33" s="72" t="s">
        <v>269</v>
      </c>
      <c r="D33" s="72" t="s">
        <v>254</v>
      </c>
      <c r="E33" s="85" t="s">
        <v>254</v>
      </c>
      <c r="F33" s="85" t="s">
        <v>254</v>
      </c>
      <c r="G33" s="85" t="s">
        <v>254</v>
      </c>
      <c r="H33" s="85" t="s">
        <v>254</v>
      </c>
      <c r="I33" s="85" t="s">
        <v>254</v>
      </c>
      <c r="J33" s="85" t="s">
        <v>254</v>
      </c>
      <c r="K33" s="85" t="s">
        <v>254</v>
      </c>
      <c r="L33" s="85" t="s">
        <v>254</v>
      </c>
      <c r="M33" s="85" t="s">
        <v>254</v>
      </c>
      <c r="N33" s="85" t="s">
        <v>254</v>
      </c>
      <c r="O33" s="85" t="s">
        <v>254</v>
      </c>
      <c r="P33" s="85" t="s">
        <v>254</v>
      </c>
      <c r="Q33" s="85" t="s">
        <v>254</v>
      </c>
      <c r="R33" s="85"/>
      <c r="S33" s="86"/>
    </row>
    <row r="34" spans="1:19" ht="15">
      <c r="A34" s="70">
        <v>12</v>
      </c>
      <c r="B34" s="70"/>
      <c r="C34" s="72" t="s">
        <v>270</v>
      </c>
      <c r="D34" s="72" t="s">
        <v>254</v>
      </c>
      <c r="E34" s="85">
        <v>1311341483</v>
      </c>
      <c r="F34" s="85" t="s">
        <v>254</v>
      </c>
      <c r="G34" s="85">
        <v>1171579711.8169348</v>
      </c>
      <c r="H34" s="85" t="s">
        <v>254</v>
      </c>
      <c r="I34" s="85">
        <v>61654289.004019745</v>
      </c>
      <c r="J34" s="85">
        <v>78107482.179045439</v>
      </c>
      <c r="K34" s="85" t="s">
        <v>254</v>
      </c>
      <c r="L34" s="85" t="s">
        <v>254</v>
      </c>
      <c r="M34" s="85">
        <v>28468.686428640471</v>
      </c>
      <c r="N34" s="85" t="s">
        <v>254</v>
      </c>
      <c r="O34" s="85">
        <v>78079013.492616802</v>
      </c>
      <c r="P34" s="85">
        <v>24627183.767318998</v>
      </c>
      <c r="Q34" s="85">
        <v>53451829.725297809</v>
      </c>
      <c r="R34" s="85"/>
      <c r="S34" s="86"/>
    </row>
    <row r="35" spans="1:19" ht="15">
      <c r="A35" s="70">
        <v>13</v>
      </c>
      <c r="B35" s="70"/>
      <c r="C35" s="72" t="s">
        <v>271</v>
      </c>
      <c r="D35" s="72" t="s">
        <v>254</v>
      </c>
      <c r="E35" s="85">
        <v>93303579.627692223</v>
      </c>
      <c r="F35" s="85" t="s">
        <v>254</v>
      </c>
      <c r="G35" s="85">
        <v>81185411.398252815</v>
      </c>
      <c r="H35" s="85" t="s">
        <v>254</v>
      </c>
      <c r="I35" s="85">
        <v>3833073.7034151992</v>
      </c>
      <c r="J35" s="85">
        <v>8285094.526024201</v>
      </c>
      <c r="K35" s="85" t="s">
        <v>254</v>
      </c>
      <c r="L35" s="85" t="s">
        <v>254</v>
      </c>
      <c r="M35" s="85">
        <v>285.27959369447581</v>
      </c>
      <c r="N35" s="85" t="s">
        <v>254</v>
      </c>
      <c r="O35" s="85">
        <v>8284809.2464305069</v>
      </c>
      <c r="P35" s="85">
        <v>2571264.1283848719</v>
      </c>
      <c r="Q35" s="85">
        <v>5713545.1180456355</v>
      </c>
      <c r="R35" s="85"/>
      <c r="S35" s="86"/>
    </row>
    <row r="36" spans="1:19" ht="15">
      <c r="A36" s="70">
        <v>14</v>
      </c>
      <c r="B36" s="70"/>
      <c r="C36" s="72" t="s">
        <v>272</v>
      </c>
      <c r="D36" s="72" t="s">
        <v>254</v>
      </c>
      <c r="E36" s="85">
        <v>1576406.0400000003</v>
      </c>
      <c r="F36" s="85" t="s">
        <v>254</v>
      </c>
      <c r="G36" s="85">
        <v>1549703.6162990497</v>
      </c>
      <c r="H36" s="85" t="s">
        <v>254</v>
      </c>
      <c r="I36" s="85">
        <v>26702.423700950658</v>
      </c>
      <c r="J36" s="85">
        <v>0</v>
      </c>
      <c r="K36" s="85" t="s">
        <v>254</v>
      </c>
      <c r="L36" s="85" t="s">
        <v>254</v>
      </c>
      <c r="M36" s="85">
        <v>0</v>
      </c>
      <c r="N36" s="85" t="s">
        <v>254</v>
      </c>
      <c r="O36" s="85">
        <v>0</v>
      </c>
      <c r="P36" s="85">
        <v>0</v>
      </c>
      <c r="Q36" s="85">
        <v>0</v>
      </c>
      <c r="R36" s="85"/>
      <c r="S36" s="86"/>
    </row>
    <row r="37" spans="1:19" ht="15">
      <c r="A37" s="70">
        <v>15</v>
      </c>
      <c r="B37" s="70"/>
      <c r="C37" s="72" t="s">
        <v>273</v>
      </c>
      <c r="D37" s="72" t="s">
        <v>254</v>
      </c>
      <c r="E37" s="85">
        <v>28000984.019999992</v>
      </c>
      <c r="F37" s="85" t="s">
        <v>254</v>
      </c>
      <c r="G37" s="85">
        <v>0</v>
      </c>
      <c r="H37" s="85" t="s">
        <v>254</v>
      </c>
      <c r="I37" s="85">
        <v>1378728.5512620946</v>
      </c>
      <c r="J37" s="85">
        <v>-729.01445774044191</v>
      </c>
      <c r="K37" s="85" t="s">
        <v>254</v>
      </c>
      <c r="L37" s="85" t="s">
        <v>254</v>
      </c>
      <c r="M37" s="85">
        <v>0</v>
      </c>
      <c r="N37" s="85" t="s">
        <v>254</v>
      </c>
      <c r="O37" s="85">
        <v>-729.01445774044191</v>
      </c>
      <c r="P37" s="85">
        <v>-729.01445774044191</v>
      </c>
      <c r="Q37" s="85">
        <v>0</v>
      </c>
      <c r="R37" s="85"/>
      <c r="S37" s="86"/>
    </row>
    <row r="38" spans="1:19" ht="15">
      <c r="A38" s="70">
        <v>16</v>
      </c>
      <c r="B38" s="70"/>
      <c r="C38" s="72" t="s">
        <v>274</v>
      </c>
      <c r="D38" s="72" t="s">
        <v>254</v>
      </c>
      <c r="E38" s="85">
        <v>1421186</v>
      </c>
      <c r="F38" s="85" t="s">
        <v>254</v>
      </c>
      <c r="G38" s="85">
        <v>0</v>
      </c>
      <c r="H38" s="85" t="s">
        <v>254</v>
      </c>
      <c r="I38" s="85">
        <v>1421186</v>
      </c>
      <c r="J38" s="85">
        <v>0</v>
      </c>
      <c r="K38" s="85" t="s">
        <v>254</v>
      </c>
      <c r="L38" s="85" t="s">
        <v>254</v>
      </c>
      <c r="M38" s="85">
        <v>0</v>
      </c>
      <c r="N38" s="85" t="s">
        <v>254</v>
      </c>
      <c r="O38" s="85">
        <v>0</v>
      </c>
      <c r="P38" s="85">
        <v>0</v>
      </c>
      <c r="Q38" s="85">
        <v>0</v>
      </c>
      <c r="R38" s="85"/>
      <c r="S38" s="86"/>
    </row>
    <row r="39" spans="1:19" ht="15">
      <c r="A39" s="70">
        <v>17</v>
      </c>
      <c r="B39" s="70"/>
      <c r="C39" s="72" t="s">
        <v>275</v>
      </c>
      <c r="D39" s="72" t="s">
        <v>254</v>
      </c>
      <c r="E39" s="85">
        <v>60917532.867179498</v>
      </c>
      <c r="F39" s="85" t="s">
        <v>254</v>
      </c>
      <c r="G39" s="85">
        <v>0</v>
      </c>
      <c r="H39" s="85" t="s">
        <v>254</v>
      </c>
      <c r="I39" s="85">
        <v>2858566.6202515503</v>
      </c>
      <c r="J39" s="85">
        <v>3.08258567638483E-12</v>
      </c>
      <c r="K39" s="85" t="s">
        <v>254</v>
      </c>
      <c r="L39" s="85" t="s">
        <v>254</v>
      </c>
      <c r="M39" s="85">
        <v>0</v>
      </c>
      <c r="N39" s="85" t="s">
        <v>254</v>
      </c>
      <c r="O39" s="85">
        <v>3.08258567638483E-12</v>
      </c>
      <c r="P39" s="85">
        <v>0</v>
      </c>
      <c r="Q39" s="85">
        <v>0</v>
      </c>
      <c r="R39" s="85"/>
      <c r="S39" s="86"/>
    </row>
    <row r="40" spans="1:19" ht="15">
      <c r="A40" s="70">
        <v>18</v>
      </c>
      <c r="B40" s="70"/>
      <c r="C40" s="72" t="s">
        <v>276</v>
      </c>
      <c r="D40" s="72" t="s">
        <v>254</v>
      </c>
      <c r="E40" s="85">
        <v>5727440.0000000019</v>
      </c>
      <c r="F40" s="85" t="s">
        <v>254</v>
      </c>
      <c r="G40" s="85">
        <v>0</v>
      </c>
      <c r="H40" s="85" t="s">
        <v>254</v>
      </c>
      <c r="I40" s="85">
        <v>0</v>
      </c>
      <c r="J40" s="85">
        <v>282601.52972368104</v>
      </c>
      <c r="K40" s="85" t="s">
        <v>254</v>
      </c>
      <c r="L40" s="85" t="s">
        <v>254</v>
      </c>
      <c r="M40" s="85">
        <v>0</v>
      </c>
      <c r="N40" s="85" t="s">
        <v>254</v>
      </c>
      <c r="O40" s="85">
        <v>282601.52972368104</v>
      </c>
      <c r="P40" s="85">
        <v>90217.863161120666</v>
      </c>
      <c r="Q40" s="85">
        <v>192383.66656256036</v>
      </c>
      <c r="R40" s="85"/>
      <c r="S40" s="86"/>
    </row>
    <row r="41" spans="1:19" ht="15">
      <c r="A41" s="70">
        <v>19</v>
      </c>
      <c r="B41" s="70"/>
      <c r="C41" s="72" t="s">
        <v>277</v>
      </c>
      <c r="D41" s="72" t="s">
        <v>254</v>
      </c>
      <c r="E41" s="85">
        <v>6375756.4900000002</v>
      </c>
      <c r="F41" s="85" t="s">
        <v>254</v>
      </c>
      <c r="G41" s="85">
        <v>0</v>
      </c>
      <c r="H41" s="85" t="s">
        <v>254</v>
      </c>
      <c r="I41" s="85">
        <v>0</v>
      </c>
      <c r="J41" s="85">
        <v>314590.55655226187</v>
      </c>
      <c r="K41" s="85" t="s">
        <v>254</v>
      </c>
      <c r="L41" s="85" t="s">
        <v>254</v>
      </c>
      <c r="M41" s="85">
        <v>0</v>
      </c>
      <c r="N41" s="85" t="s">
        <v>254</v>
      </c>
      <c r="O41" s="85">
        <v>314590.55655226187</v>
      </c>
      <c r="P41" s="85">
        <v>100430.05715702772</v>
      </c>
      <c r="Q41" s="85">
        <v>214160.49939523413</v>
      </c>
      <c r="R41" s="85"/>
      <c r="S41" s="86"/>
    </row>
    <row r="42" spans="1:19" ht="15">
      <c r="A42" s="70">
        <v>20</v>
      </c>
      <c r="B42" s="70"/>
      <c r="C42" s="72" t="s">
        <v>278</v>
      </c>
      <c r="D42" s="72" t="s">
        <v>254</v>
      </c>
      <c r="E42" s="85">
        <v>1183817.9999999998</v>
      </c>
      <c r="F42" s="85" t="s">
        <v>254</v>
      </c>
      <c r="G42" s="85">
        <v>0</v>
      </c>
      <c r="H42" s="85" t="s">
        <v>254</v>
      </c>
      <c r="I42" s="85">
        <v>0</v>
      </c>
      <c r="J42" s="85">
        <v>58411.572659762212</v>
      </c>
      <c r="K42" s="85" t="s">
        <v>254</v>
      </c>
      <c r="L42" s="85" t="s">
        <v>254</v>
      </c>
      <c r="M42" s="85">
        <v>0</v>
      </c>
      <c r="N42" s="85" t="s">
        <v>254</v>
      </c>
      <c r="O42" s="85">
        <v>58411.572659762212</v>
      </c>
      <c r="P42" s="85">
        <v>18647.34162761574</v>
      </c>
      <c r="Q42" s="85">
        <v>39764.231032146468</v>
      </c>
      <c r="R42" s="85"/>
      <c r="S42" s="86"/>
    </row>
    <row r="43" spans="1:19" ht="15">
      <c r="A43" s="70">
        <v>21</v>
      </c>
      <c r="B43" s="70"/>
      <c r="C43" s="72" t="s">
        <v>279</v>
      </c>
      <c r="D43" s="72" t="s">
        <v>254</v>
      </c>
      <c r="E43" s="85">
        <v>1509848186.0448716</v>
      </c>
      <c r="F43" s="85" t="s">
        <v>254</v>
      </c>
      <c r="G43" s="85">
        <v>1254314826.8314867</v>
      </c>
      <c r="H43" s="85" t="s">
        <v>254</v>
      </c>
      <c r="I43" s="85">
        <v>71172546.302649543</v>
      </c>
      <c r="J43" s="85">
        <v>87047451.34954761</v>
      </c>
      <c r="K43" s="85" t="s">
        <v>254</v>
      </c>
      <c r="L43" s="85" t="s">
        <v>254</v>
      </c>
      <c r="M43" s="85">
        <v>28753.966022334946</v>
      </c>
      <c r="N43" s="85" t="s">
        <v>254</v>
      </c>
      <c r="O43" s="85">
        <v>87018697.383525282</v>
      </c>
      <c r="P43" s="85">
        <v>27407014.143191896</v>
      </c>
      <c r="Q43" s="85">
        <v>59611683.240333386</v>
      </c>
      <c r="R43" s="85"/>
      <c r="S43" s="86"/>
    </row>
    <row r="44" spans="1:19" ht="15">
      <c r="A44" s="70" t="s">
        <v>254</v>
      </c>
      <c r="B44" s="70"/>
      <c r="C44" s="72" t="s">
        <v>254</v>
      </c>
      <c r="D44" s="72" t="s">
        <v>254</v>
      </c>
      <c r="E44" s="85" t="s">
        <v>254</v>
      </c>
      <c r="F44" s="85" t="s">
        <v>254</v>
      </c>
      <c r="G44" s="85" t="s">
        <v>254</v>
      </c>
      <c r="H44" s="85" t="s">
        <v>254</v>
      </c>
      <c r="I44" s="85" t="s">
        <v>254</v>
      </c>
      <c r="J44" s="85" t="s">
        <v>254</v>
      </c>
      <c r="K44" s="85" t="s">
        <v>254</v>
      </c>
      <c r="L44" s="85" t="s">
        <v>254</v>
      </c>
      <c r="M44" s="85" t="s">
        <v>254</v>
      </c>
      <c r="N44" s="85" t="s">
        <v>254</v>
      </c>
      <c r="O44" s="85" t="s">
        <v>254</v>
      </c>
      <c r="P44" s="85" t="s">
        <v>254</v>
      </c>
      <c r="Q44" s="85" t="s">
        <v>254</v>
      </c>
      <c r="R44" s="85"/>
      <c r="S44" s="86"/>
    </row>
    <row r="45" spans="1:19" ht="15">
      <c r="A45" s="70">
        <v>22</v>
      </c>
      <c r="B45" s="70"/>
      <c r="C45" s="72" t="s">
        <v>280</v>
      </c>
      <c r="D45" s="72" t="s">
        <v>254</v>
      </c>
      <c r="E45" s="85">
        <v>5296643242.95786</v>
      </c>
      <c r="F45" s="85" t="s">
        <v>254</v>
      </c>
      <c r="G45" s="85">
        <v>4821869481.6123829</v>
      </c>
      <c r="H45" s="85" t="s">
        <v>254</v>
      </c>
      <c r="I45" s="85">
        <v>235343582.19390488</v>
      </c>
      <c r="J45" s="85">
        <v>336743540.71275979</v>
      </c>
      <c r="K45" s="85" t="s">
        <v>254</v>
      </c>
      <c r="L45" s="85" t="s">
        <v>254</v>
      </c>
      <c r="M45" s="85">
        <v>24980.342645848574</v>
      </c>
      <c r="N45" s="85" t="s">
        <v>254</v>
      </c>
      <c r="O45" s="85">
        <v>336718560.37011397</v>
      </c>
      <c r="P45" s="85">
        <v>106027432.86540684</v>
      </c>
      <c r="Q45" s="85">
        <v>230691127.50470716</v>
      </c>
      <c r="R45" s="85"/>
      <c r="S45" s="86"/>
    </row>
    <row r="46" spans="1:19" ht="15">
      <c r="A46" s="70" t="s">
        <v>254</v>
      </c>
      <c r="B46" s="70"/>
      <c r="C46" s="72" t="s">
        <v>254</v>
      </c>
      <c r="D46" s="72" t="s">
        <v>254</v>
      </c>
      <c r="E46" s="85" t="s">
        <v>254</v>
      </c>
      <c r="F46" s="85" t="s">
        <v>254</v>
      </c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6"/>
    </row>
    <row r="47" spans="1:19" ht="15">
      <c r="A47" s="70" t="s">
        <v>254</v>
      </c>
      <c r="B47" s="70"/>
      <c r="C47" s="72" t="s">
        <v>281</v>
      </c>
      <c r="D47" s="72" t="s">
        <v>254</v>
      </c>
      <c r="E47" s="85" t="s">
        <v>254</v>
      </c>
      <c r="F47" s="85" t="s">
        <v>254</v>
      </c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6"/>
    </row>
    <row r="48" spans="1:19" ht="15">
      <c r="A48" s="70">
        <v>23</v>
      </c>
      <c r="B48" s="70"/>
      <c r="C48" s="72" t="s">
        <v>282</v>
      </c>
      <c r="D48" s="72" t="s">
        <v>254</v>
      </c>
      <c r="E48" s="85">
        <v>1834046623.6075928</v>
      </c>
      <c r="F48" s="85" t="s">
        <v>254</v>
      </c>
      <c r="G48" s="85">
        <v>1642616498.3454938</v>
      </c>
      <c r="H48" s="85" t="s">
        <v>254</v>
      </c>
      <c r="I48" s="85">
        <v>75952935.483654529</v>
      </c>
      <c r="J48" s="85">
        <v>115477189.77844454</v>
      </c>
      <c r="K48" s="85" t="s">
        <v>254</v>
      </c>
      <c r="L48" s="85" t="s">
        <v>254</v>
      </c>
      <c r="M48" s="85">
        <v>193.35802632033906</v>
      </c>
      <c r="N48" s="85" t="s">
        <v>254</v>
      </c>
      <c r="O48" s="85">
        <v>115476996.42041822</v>
      </c>
      <c r="P48" s="85">
        <v>35922856.200012952</v>
      </c>
      <c r="Q48" s="85">
        <v>79554140.220405266</v>
      </c>
      <c r="R48" s="85"/>
      <c r="S48" s="86"/>
    </row>
    <row r="49" spans="1:19" ht="15">
      <c r="A49" s="70" t="s">
        <v>254</v>
      </c>
      <c r="B49" s="70"/>
      <c r="C49" s="72" t="s">
        <v>254</v>
      </c>
      <c r="D49" s="72" t="s">
        <v>254</v>
      </c>
      <c r="E49" s="85" t="s">
        <v>254</v>
      </c>
      <c r="F49" s="85" t="s">
        <v>254</v>
      </c>
      <c r="G49" s="85" t="s">
        <v>254</v>
      </c>
      <c r="H49" s="85" t="s">
        <v>254</v>
      </c>
      <c r="I49" s="85" t="s">
        <v>254</v>
      </c>
      <c r="J49" s="85" t="s">
        <v>254</v>
      </c>
      <c r="K49" s="85" t="s">
        <v>254</v>
      </c>
      <c r="L49" s="85" t="s">
        <v>254</v>
      </c>
      <c r="M49" s="85" t="s">
        <v>254</v>
      </c>
      <c r="N49" s="85" t="s">
        <v>254</v>
      </c>
      <c r="O49" s="85" t="s">
        <v>254</v>
      </c>
      <c r="P49" s="85" t="s">
        <v>254</v>
      </c>
      <c r="Q49" s="85" t="s">
        <v>254</v>
      </c>
      <c r="R49" s="85"/>
      <c r="S49" s="86"/>
    </row>
    <row r="50" spans="1:19" ht="15">
      <c r="A50" s="70" t="s">
        <v>254</v>
      </c>
      <c r="B50" s="70"/>
      <c r="C50" s="72" t="s">
        <v>283</v>
      </c>
      <c r="D50" s="72" t="s">
        <v>254</v>
      </c>
      <c r="E50" s="85" t="s">
        <v>254</v>
      </c>
      <c r="F50" s="85" t="s">
        <v>254</v>
      </c>
      <c r="G50" s="85" t="s">
        <v>254</v>
      </c>
      <c r="H50" s="85" t="s">
        <v>254</v>
      </c>
      <c r="I50" s="85" t="s">
        <v>254</v>
      </c>
      <c r="J50" s="85" t="s">
        <v>254</v>
      </c>
      <c r="K50" s="85" t="s">
        <v>254</v>
      </c>
      <c r="L50" s="85" t="s">
        <v>254</v>
      </c>
      <c r="M50" s="85" t="s">
        <v>254</v>
      </c>
      <c r="N50" s="85" t="s">
        <v>254</v>
      </c>
      <c r="O50" s="85" t="s">
        <v>254</v>
      </c>
      <c r="P50" s="85" t="s">
        <v>254</v>
      </c>
      <c r="Q50" s="85" t="s">
        <v>254</v>
      </c>
      <c r="R50" s="85"/>
      <c r="S50" s="86"/>
    </row>
    <row r="51" spans="1:19" ht="15">
      <c r="A51" s="70">
        <v>24</v>
      </c>
      <c r="B51" s="70"/>
      <c r="C51" s="72" t="s">
        <v>284</v>
      </c>
      <c r="D51" s="72" t="s">
        <v>254</v>
      </c>
      <c r="E51" s="85">
        <v>1036208025.8785896</v>
      </c>
      <c r="F51" s="85" t="s">
        <v>254</v>
      </c>
      <c r="G51" s="85">
        <v>922833618.28418863</v>
      </c>
      <c r="H51" s="85" t="s">
        <v>254</v>
      </c>
      <c r="I51" s="85">
        <v>43381120.845020853</v>
      </c>
      <c r="J51" s="85">
        <v>69993286.749380127</v>
      </c>
      <c r="K51" s="85" t="s">
        <v>254</v>
      </c>
      <c r="L51" s="85" t="s">
        <v>254</v>
      </c>
      <c r="M51" s="85">
        <v>12825.99163919768</v>
      </c>
      <c r="N51" s="85" t="s">
        <v>254</v>
      </c>
      <c r="O51" s="85">
        <v>69980460.75774093</v>
      </c>
      <c r="P51" s="85">
        <v>22133693.644759055</v>
      </c>
      <c r="Q51" s="85">
        <v>47846767.112981871</v>
      </c>
      <c r="R51" s="85"/>
      <c r="S51" s="86"/>
    </row>
    <row r="52" spans="1:19" ht="15">
      <c r="A52" s="70">
        <v>25</v>
      </c>
      <c r="B52" s="70"/>
      <c r="C52" s="72" t="s">
        <v>285</v>
      </c>
      <c r="D52" s="72" t="s">
        <v>254</v>
      </c>
      <c r="E52" s="85">
        <v>313724399.55423689</v>
      </c>
      <c r="F52" s="85" t="s">
        <v>254</v>
      </c>
      <c r="G52" s="85">
        <v>278222381.53918958</v>
      </c>
      <c r="H52" s="85" t="s">
        <v>254</v>
      </c>
      <c r="I52" s="85">
        <v>14819180.855485838</v>
      </c>
      <c r="J52" s="85">
        <v>20682837.159561466</v>
      </c>
      <c r="K52" s="85" t="s">
        <v>254</v>
      </c>
      <c r="L52" s="85" t="s">
        <v>254</v>
      </c>
      <c r="M52" s="85">
        <v>5672.8570840063485</v>
      </c>
      <c r="N52" s="85" t="s">
        <v>254</v>
      </c>
      <c r="O52" s="85">
        <v>20677164.30247746</v>
      </c>
      <c r="P52" s="85">
        <v>6496147.5075291423</v>
      </c>
      <c r="Q52" s="85">
        <v>14181016.794948319</v>
      </c>
      <c r="R52" s="85"/>
      <c r="S52" s="86"/>
    </row>
    <row r="53" spans="1:19" ht="15">
      <c r="A53" s="70">
        <v>26</v>
      </c>
      <c r="B53" s="70"/>
      <c r="C53" s="72" t="s">
        <v>2425</v>
      </c>
      <c r="D53" s="72" t="s">
        <v>254</v>
      </c>
      <c r="E53" s="85">
        <v>1781349.4960150376</v>
      </c>
      <c r="F53" s="85" t="s">
        <v>254</v>
      </c>
      <c r="G53" s="85">
        <v>1629582.8909282801</v>
      </c>
      <c r="H53" s="85" t="s">
        <v>254</v>
      </c>
      <c r="I53" s="85">
        <v>50948.295548525602</v>
      </c>
      <c r="J53" s="85">
        <v>100818.309538232</v>
      </c>
      <c r="K53" s="85" t="s">
        <v>254</v>
      </c>
      <c r="L53" s="85" t="s">
        <v>254</v>
      </c>
      <c r="M53" s="85">
        <v>0</v>
      </c>
      <c r="N53" s="85" t="s">
        <v>254</v>
      </c>
      <c r="O53" s="85">
        <v>100818.309538232</v>
      </c>
      <c r="P53" s="85">
        <v>31356.79007488702</v>
      </c>
      <c r="Q53" s="85">
        <v>69461.519463344986</v>
      </c>
      <c r="R53" s="85"/>
      <c r="S53" s="86"/>
    </row>
    <row r="54" spans="1:19" ht="15">
      <c r="A54" s="70">
        <v>27</v>
      </c>
      <c r="B54" s="70"/>
      <c r="C54" s="72" t="s">
        <v>286</v>
      </c>
      <c r="D54" s="72" t="s">
        <v>254</v>
      </c>
      <c r="E54" s="85">
        <v>43865520.736850806</v>
      </c>
      <c r="F54" s="85" t="s">
        <v>254</v>
      </c>
      <c r="G54" s="85">
        <v>39598799.242075369</v>
      </c>
      <c r="H54" s="85" t="s">
        <v>254</v>
      </c>
      <c r="I54" s="85">
        <v>1890182.1273374753</v>
      </c>
      <c r="J54" s="85">
        <v>2376539.3674379587</v>
      </c>
      <c r="K54" s="85" t="s">
        <v>254</v>
      </c>
      <c r="L54" s="85" t="s">
        <v>254</v>
      </c>
      <c r="M54" s="85">
        <v>476.72144412150715</v>
      </c>
      <c r="N54" s="85" t="s">
        <v>254</v>
      </c>
      <c r="O54" s="85">
        <v>2376062.6459938372</v>
      </c>
      <c r="P54" s="85">
        <v>750791.82717457018</v>
      </c>
      <c r="Q54" s="85">
        <v>1625270.818819267</v>
      </c>
      <c r="R54" s="85"/>
      <c r="S54" s="86"/>
    </row>
    <row r="55" spans="1:19" ht="15">
      <c r="A55" s="70">
        <v>28</v>
      </c>
      <c r="B55" s="70"/>
      <c r="C55" s="72" t="s">
        <v>287</v>
      </c>
      <c r="D55" s="72" t="s">
        <v>254</v>
      </c>
      <c r="E55" s="85">
        <v>131735278.90000001</v>
      </c>
      <c r="F55" s="85" t="s">
        <v>254</v>
      </c>
      <c r="G55" s="85">
        <v>120693013.72</v>
      </c>
      <c r="H55" s="85" t="s">
        <v>254</v>
      </c>
      <c r="I55" s="85">
        <v>4532873.4428430749</v>
      </c>
      <c r="J55" s="85">
        <v>6509705.96</v>
      </c>
      <c r="K55" s="85" t="s">
        <v>254</v>
      </c>
      <c r="L55" s="85" t="s">
        <v>254</v>
      </c>
      <c r="M55" s="85">
        <v>-7498.76</v>
      </c>
      <c r="N55" s="85" t="s">
        <v>254</v>
      </c>
      <c r="O55" s="85">
        <v>6517204.7199999997</v>
      </c>
      <c r="P55" s="85">
        <v>1847274</v>
      </c>
      <c r="Q55" s="85">
        <v>4669930.72</v>
      </c>
      <c r="R55" s="85"/>
      <c r="S55" s="86"/>
    </row>
    <row r="56" spans="1:19" ht="15">
      <c r="A56" s="70">
        <v>29</v>
      </c>
      <c r="B56" s="70"/>
      <c r="C56" s="72" t="s">
        <v>288</v>
      </c>
      <c r="D56" s="72" t="s">
        <v>254</v>
      </c>
      <c r="E56" s="85">
        <v>0</v>
      </c>
      <c r="F56" s="85" t="s">
        <v>254</v>
      </c>
      <c r="G56" s="85">
        <v>0</v>
      </c>
      <c r="H56" s="85" t="s">
        <v>254</v>
      </c>
      <c r="I56" s="85">
        <v>0</v>
      </c>
      <c r="J56" s="85">
        <v>0</v>
      </c>
      <c r="K56" s="85"/>
      <c r="L56" s="85"/>
      <c r="M56" s="85">
        <v>0</v>
      </c>
      <c r="N56" s="85" t="s">
        <v>254</v>
      </c>
      <c r="O56" s="85">
        <v>0</v>
      </c>
      <c r="P56" s="85">
        <v>0</v>
      </c>
      <c r="Q56" s="85">
        <v>0</v>
      </c>
      <c r="R56" s="85"/>
      <c r="S56" s="86"/>
    </row>
    <row r="57" spans="1:19" ht="15">
      <c r="A57" s="70">
        <v>30</v>
      </c>
      <c r="B57" s="70"/>
      <c r="C57" s="72" t="s">
        <v>289</v>
      </c>
      <c r="D57" s="72" t="s">
        <v>254</v>
      </c>
      <c r="E57" s="85">
        <v>0</v>
      </c>
      <c r="F57" s="85" t="s">
        <v>254</v>
      </c>
      <c r="G57" s="85">
        <v>0</v>
      </c>
      <c r="H57" s="85" t="s">
        <v>254</v>
      </c>
      <c r="I57" s="85">
        <v>0</v>
      </c>
      <c r="J57" s="85">
        <v>0</v>
      </c>
      <c r="K57" s="85"/>
      <c r="L57" s="85"/>
      <c r="M57" s="85">
        <v>0</v>
      </c>
      <c r="N57" s="85" t="s">
        <v>254</v>
      </c>
      <c r="O57" s="85">
        <v>0</v>
      </c>
      <c r="P57" s="85">
        <v>0</v>
      </c>
      <c r="Q57" s="85">
        <v>0</v>
      </c>
      <c r="R57" s="85"/>
      <c r="S57" s="86"/>
    </row>
    <row r="58" spans="1:19" ht="15">
      <c r="A58" s="70">
        <v>31</v>
      </c>
      <c r="B58" s="70"/>
      <c r="C58" s="72" t="s">
        <v>290</v>
      </c>
      <c r="D58" s="72" t="s">
        <v>254</v>
      </c>
      <c r="E58" s="85">
        <v>957051.45900000015</v>
      </c>
      <c r="F58" s="85" t="s">
        <v>254</v>
      </c>
      <c r="G58" s="85">
        <v>0</v>
      </c>
      <c r="H58" s="85" t="s">
        <v>254</v>
      </c>
      <c r="I58" s="85">
        <v>22454.909332304956</v>
      </c>
      <c r="J58" s="85">
        <v>0</v>
      </c>
      <c r="K58" s="85"/>
      <c r="L58" s="85"/>
      <c r="M58" s="85">
        <v>0</v>
      </c>
      <c r="N58" s="85" t="s">
        <v>254</v>
      </c>
      <c r="O58" s="85">
        <v>0</v>
      </c>
      <c r="P58" s="85">
        <v>0</v>
      </c>
      <c r="Q58" s="85">
        <v>0</v>
      </c>
      <c r="R58" s="85"/>
      <c r="S58" s="86"/>
    </row>
    <row r="59" spans="1:19" ht="15">
      <c r="A59" s="70">
        <v>32</v>
      </c>
      <c r="B59" s="70"/>
      <c r="C59" s="72" t="s">
        <v>291</v>
      </c>
      <c r="D59" s="72" t="s">
        <v>254</v>
      </c>
      <c r="E59" s="85">
        <v>103603.640874</v>
      </c>
      <c r="F59" s="85" t="s">
        <v>254</v>
      </c>
      <c r="G59" s="85">
        <v>0</v>
      </c>
      <c r="H59" s="85" t="s">
        <v>254</v>
      </c>
      <c r="I59" s="85">
        <v>5481.5275514018986</v>
      </c>
      <c r="J59" s="85">
        <v>0</v>
      </c>
      <c r="K59" s="85"/>
      <c r="L59" s="85"/>
      <c r="M59" s="85">
        <v>0</v>
      </c>
      <c r="N59" s="85" t="s">
        <v>254</v>
      </c>
      <c r="O59" s="85">
        <v>0</v>
      </c>
      <c r="P59" s="85">
        <v>0</v>
      </c>
      <c r="Q59" s="85">
        <v>0</v>
      </c>
      <c r="R59" s="85"/>
      <c r="S59" s="86"/>
    </row>
    <row r="60" spans="1:19" ht="15">
      <c r="A60" s="70">
        <v>33</v>
      </c>
      <c r="B60" s="70"/>
      <c r="C60" s="72" t="s">
        <v>292</v>
      </c>
      <c r="D60" s="72" t="s">
        <v>254</v>
      </c>
      <c r="E60" s="85">
        <v>0</v>
      </c>
      <c r="F60" s="85" t="s">
        <v>254</v>
      </c>
      <c r="G60" s="85">
        <v>0</v>
      </c>
      <c r="H60" s="85" t="s">
        <v>254</v>
      </c>
      <c r="I60" s="85">
        <v>0</v>
      </c>
      <c r="J60" s="85">
        <v>0</v>
      </c>
      <c r="K60" s="85"/>
      <c r="L60" s="85"/>
      <c r="M60" s="85">
        <v>0</v>
      </c>
      <c r="N60" s="85" t="s">
        <v>254</v>
      </c>
      <c r="O60" s="85">
        <v>0</v>
      </c>
      <c r="P60" s="85">
        <v>0</v>
      </c>
      <c r="Q60" s="85">
        <v>0</v>
      </c>
      <c r="R60" s="85"/>
      <c r="S60" s="86"/>
    </row>
    <row r="61" spans="1:19" ht="15">
      <c r="A61" s="70">
        <v>34</v>
      </c>
      <c r="B61" s="70"/>
      <c r="C61" s="72" t="s">
        <v>293</v>
      </c>
      <c r="D61" s="72" t="s">
        <v>254</v>
      </c>
      <c r="E61" s="85">
        <v>1528375229.6655664</v>
      </c>
      <c r="F61" s="85" t="s">
        <v>254</v>
      </c>
      <c r="G61" s="85">
        <v>1362977395.6763818</v>
      </c>
      <c r="H61" s="85" t="s">
        <v>254</v>
      </c>
      <c r="I61" s="85">
        <v>64702242.003119476</v>
      </c>
      <c r="J61" s="85">
        <v>99663187.545917794</v>
      </c>
      <c r="K61" s="85" t="s">
        <v>254</v>
      </c>
      <c r="L61" s="85" t="s">
        <v>254</v>
      </c>
      <c r="M61" s="85">
        <v>11476.810167325535</v>
      </c>
      <c r="N61" s="85" t="s">
        <v>254</v>
      </c>
      <c r="O61" s="85">
        <v>99651710.735750467</v>
      </c>
      <c r="P61" s="85">
        <v>31259263.769537657</v>
      </c>
      <c r="Q61" s="85">
        <v>68392446.966212809</v>
      </c>
      <c r="R61" s="85"/>
      <c r="S61" s="86"/>
    </row>
    <row r="62" spans="1:19" ht="15">
      <c r="A62" s="70" t="s">
        <v>254</v>
      </c>
      <c r="B62" s="70"/>
      <c r="C62" s="72" t="s">
        <v>254</v>
      </c>
      <c r="D62" s="72" t="s">
        <v>254</v>
      </c>
      <c r="E62" s="85" t="s">
        <v>254</v>
      </c>
      <c r="F62" s="85" t="s">
        <v>254</v>
      </c>
      <c r="G62" s="85" t="s">
        <v>254</v>
      </c>
      <c r="H62" s="85" t="s">
        <v>254</v>
      </c>
      <c r="I62" s="85" t="s">
        <v>254</v>
      </c>
      <c r="J62" s="85" t="s">
        <v>254</v>
      </c>
      <c r="K62" s="85" t="s">
        <v>254</v>
      </c>
      <c r="L62" s="85" t="s">
        <v>254</v>
      </c>
      <c r="M62" s="85" t="s">
        <v>254</v>
      </c>
      <c r="N62" s="85" t="s">
        <v>254</v>
      </c>
      <c r="O62" s="85" t="s">
        <v>254</v>
      </c>
      <c r="P62" s="85" t="s">
        <v>254</v>
      </c>
      <c r="Q62" s="85" t="s">
        <v>254</v>
      </c>
      <c r="R62" s="85"/>
      <c r="S62" s="86"/>
    </row>
    <row r="63" spans="1:19" ht="15">
      <c r="A63" s="70">
        <v>35</v>
      </c>
      <c r="B63" s="70"/>
      <c r="C63" s="72" t="s">
        <v>294</v>
      </c>
      <c r="D63" s="72" t="s">
        <v>254</v>
      </c>
      <c r="E63" s="85">
        <v>305671393.94202638</v>
      </c>
      <c r="F63" s="85" t="s">
        <v>254</v>
      </c>
      <c r="G63" s="85">
        <v>279639102.66911197</v>
      </c>
      <c r="H63" s="85" t="s">
        <v>254</v>
      </c>
      <c r="I63" s="85">
        <v>11250693.480535053</v>
      </c>
      <c r="J63" s="85">
        <v>15814002.232526746</v>
      </c>
      <c r="K63" s="85" t="s">
        <v>254</v>
      </c>
      <c r="L63" s="85" t="s">
        <v>254</v>
      </c>
      <c r="M63" s="85">
        <v>-11283.452141005197</v>
      </c>
      <c r="N63" s="85" t="s">
        <v>254</v>
      </c>
      <c r="O63" s="85">
        <v>15825285.684667751</v>
      </c>
      <c r="P63" s="85">
        <v>4663592.4304752946</v>
      </c>
      <c r="Q63" s="85">
        <v>11161693.254192457</v>
      </c>
      <c r="R63" s="85"/>
      <c r="S63" s="86"/>
    </row>
    <row r="64" spans="1:19" ht="15">
      <c r="A64" s="70">
        <v>36</v>
      </c>
      <c r="B64" s="70"/>
      <c r="C64" s="72" t="s">
        <v>295</v>
      </c>
      <c r="D64" s="72" t="s">
        <v>254</v>
      </c>
      <c r="E64" s="87">
        <v>5.771039881691694E-2</v>
      </c>
      <c r="F64" s="87" t="s">
        <v>254</v>
      </c>
      <c r="G64" s="87">
        <v>5.7993917864322522E-2</v>
      </c>
      <c r="H64" s="87" t="s">
        <v>254</v>
      </c>
      <c r="I64" s="87">
        <v>4.7805397434910094E-2</v>
      </c>
      <c r="J64" s="87">
        <v>4.696156071488241E-2</v>
      </c>
      <c r="K64" s="87" t="s">
        <v>254</v>
      </c>
      <c r="L64" s="87" t="s">
        <v>254</v>
      </c>
      <c r="M64" s="87">
        <v>-0.45169324940706401</v>
      </c>
      <c r="N64" s="87" t="s">
        <v>254</v>
      </c>
      <c r="O64" s="87">
        <v>4.6998554719623803E-2</v>
      </c>
      <c r="P64" s="87">
        <v>4.398477171842257E-2</v>
      </c>
      <c r="Q64" s="87">
        <v>4.8383712780478337E-2</v>
      </c>
      <c r="R64" s="87"/>
      <c r="S64" s="86"/>
    </row>
    <row r="65" spans="1:19" ht="15">
      <c r="A65" s="70" t="s">
        <v>254</v>
      </c>
      <c r="B65" s="70"/>
      <c r="C65" s="72" t="s">
        <v>254</v>
      </c>
      <c r="D65" s="72" t="s">
        <v>254</v>
      </c>
      <c r="E65" s="85" t="s">
        <v>254</v>
      </c>
      <c r="F65" s="85" t="s">
        <v>254</v>
      </c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5"/>
      <c r="S65" s="86"/>
    </row>
    <row r="66" spans="1:19" ht="15">
      <c r="A66" s="70" t="s">
        <v>254</v>
      </c>
      <c r="B66" s="70"/>
      <c r="C66" s="72" t="s">
        <v>254</v>
      </c>
      <c r="D66" s="72" t="s">
        <v>254</v>
      </c>
      <c r="E66" s="85" t="s">
        <v>254</v>
      </c>
      <c r="F66" s="85" t="s">
        <v>254</v>
      </c>
      <c r="G66" s="85" t="s">
        <v>254</v>
      </c>
      <c r="H66" s="85" t="s">
        <v>254</v>
      </c>
      <c r="I66" s="85" t="s">
        <v>254</v>
      </c>
      <c r="J66" s="85" t="s">
        <v>254</v>
      </c>
      <c r="K66" s="85" t="s">
        <v>254</v>
      </c>
      <c r="L66" s="85" t="s">
        <v>254</v>
      </c>
      <c r="M66" s="85" t="s">
        <v>254</v>
      </c>
      <c r="N66" s="85" t="s">
        <v>254</v>
      </c>
      <c r="O66" s="85" t="s">
        <v>254</v>
      </c>
      <c r="P66" s="85" t="s">
        <v>254</v>
      </c>
      <c r="Q66" s="85" t="s">
        <v>254</v>
      </c>
      <c r="R66" s="85"/>
      <c r="S66" s="86"/>
    </row>
    <row r="67" spans="1:19" ht="15">
      <c r="A67" s="70" t="s">
        <v>254</v>
      </c>
      <c r="B67" s="70"/>
      <c r="C67" s="72" t="s">
        <v>254</v>
      </c>
      <c r="D67" s="72" t="s">
        <v>254</v>
      </c>
      <c r="E67" s="85" t="s">
        <v>254</v>
      </c>
      <c r="F67" s="85" t="s">
        <v>254</v>
      </c>
      <c r="G67" s="85" t="s">
        <v>254</v>
      </c>
      <c r="H67" s="85" t="s">
        <v>254</v>
      </c>
      <c r="I67" s="85" t="s">
        <v>254</v>
      </c>
      <c r="J67" s="85" t="s">
        <v>254</v>
      </c>
      <c r="K67" s="85" t="s">
        <v>254</v>
      </c>
      <c r="L67" s="85" t="s">
        <v>254</v>
      </c>
      <c r="M67" s="85" t="s">
        <v>254</v>
      </c>
      <c r="N67" s="85" t="s">
        <v>254</v>
      </c>
      <c r="O67" s="85" t="s">
        <v>254</v>
      </c>
      <c r="P67" s="85" t="s">
        <v>254</v>
      </c>
      <c r="Q67" s="85" t="s">
        <v>254</v>
      </c>
      <c r="R67" s="85"/>
      <c r="S67" s="86"/>
    </row>
    <row r="68" spans="1:19" ht="15">
      <c r="A68" s="70" t="s">
        <v>254</v>
      </c>
      <c r="B68" s="70"/>
      <c r="C68" s="72" t="s">
        <v>296</v>
      </c>
      <c r="D68" s="72" t="s">
        <v>254</v>
      </c>
      <c r="E68" s="85" t="s">
        <v>254</v>
      </c>
      <c r="F68" s="85" t="s">
        <v>254</v>
      </c>
      <c r="G68" s="85" t="s">
        <v>254</v>
      </c>
      <c r="H68" s="85" t="s">
        <v>254</v>
      </c>
      <c r="I68" s="85" t="s">
        <v>254</v>
      </c>
      <c r="J68" s="85" t="s">
        <v>254</v>
      </c>
      <c r="K68" s="85" t="s">
        <v>254</v>
      </c>
      <c r="L68" s="85" t="s">
        <v>254</v>
      </c>
      <c r="M68" s="85" t="s">
        <v>254</v>
      </c>
      <c r="N68" s="85" t="s">
        <v>254</v>
      </c>
      <c r="O68" s="85" t="s">
        <v>254</v>
      </c>
      <c r="P68" s="85" t="s">
        <v>254</v>
      </c>
      <c r="Q68" s="85" t="s">
        <v>254</v>
      </c>
      <c r="R68" s="85"/>
      <c r="S68" s="86"/>
    </row>
    <row r="69" spans="1:19" ht="15">
      <c r="A69" s="70" t="s">
        <v>254</v>
      </c>
      <c r="B69" s="70"/>
      <c r="C69" s="72" t="s">
        <v>254</v>
      </c>
      <c r="D69" s="72" t="s">
        <v>254</v>
      </c>
      <c r="E69" s="85" t="s">
        <v>254</v>
      </c>
      <c r="F69" s="85" t="s">
        <v>254</v>
      </c>
      <c r="G69" s="85" t="s">
        <v>254</v>
      </c>
      <c r="H69" s="85" t="s">
        <v>254</v>
      </c>
      <c r="I69" s="85" t="s">
        <v>254</v>
      </c>
      <c r="J69" s="85" t="s">
        <v>254</v>
      </c>
      <c r="K69" s="85" t="s">
        <v>254</v>
      </c>
      <c r="L69" s="85" t="s">
        <v>254</v>
      </c>
      <c r="M69" s="85" t="s">
        <v>254</v>
      </c>
      <c r="N69" s="85" t="s">
        <v>254</v>
      </c>
      <c r="O69" s="85" t="s">
        <v>254</v>
      </c>
      <c r="P69" s="85" t="s">
        <v>254</v>
      </c>
      <c r="Q69" s="85" t="s">
        <v>254</v>
      </c>
      <c r="R69" s="85"/>
      <c r="S69" s="86"/>
    </row>
    <row r="70" spans="1:19" ht="15">
      <c r="A70" s="70" t="s">
        <v>254</v>
      </c>
      <c r="B70" s="70"/>
      <c r="C70" s="72" t="s">
        <v>297</v>
      </c>
      <c r="D70" s="72" t="s">
        <v>254</v>
      </c>
      <c r="E70" s="85" t="s">
        <v>254</v>
      </c>
      <c r="F70" s="85" t="s">
        <v>254</v>
      </c>
      <c r="G70" s="85" t="s">
        <v>254</v>
      </c>
      <c r="H70" s="85" t="s">
        <v>254</v>
      </c>
      <c r="I70" s="85" t="s">
        <v>254</v>
      </c>
      <c r="J70" s="85" t="s">
        <v>254</v>
      </c>
      <c r="K70" s="85" t="s">
        <v>254</v>
      </c>
      <c r="L70" s="85" t="s">
        <v>254</v>
      </c>
      <c r="M70" s="85" t="s">
        <v>254</v>
      </c>
      <c r="N70" s="85" t="s">
        <v>254</v>
      </c>
      <c r="O70" s="85" t="s">
        <v>254</v>
      </c>
      <c r="P70" s="85" t="s">
        <v>254</v>
      </c>
      <c r="Q70" s="85" t="s">
        <v>254</v>
      </c>
      <c r="R70" s="85"/>
      <c r="S70" s="86"/>
    </row>
    <row r="71" spans="1:19" ht="15">
      <c r="A71" s="70">
        <v>1</v>
      </c>
      <c r="B71" s="94" t="str">
        <f>MID(C71,2,3)</f>
        <v>301</v>
      </c>
      <c r="C71" s="72" t="s">
        <v>298</v>
      </c>
      <c r="D71" s="72" t="s">
        <v>299</v>
      </c>
      <c r="E71" s="85">
        <v>44455.58</v>
      </c>
      <c r="F71" s="85" t="s">
        <v>254</v>
      </c>
      <c r="G71" s="85">
        <v>39492.85098471307</v>
      </c>
      <c r="H71" s="85" t="s">
        <v>254</v>
      </c>
      <c r="I71" s="85">
        <v>2197.6063307695863</v>
      </c>
      <c r="J71" s="85">
        <v>2765.122684517346</v>
      </c>
      <c r="K71" s="85" t="s">
        <v>254</v>
      </c>
      <c r="L71" s="85" t="s">
        <v>254</v>
      </c>
      <c r="M71" s="85">
        <v>0.9621375563346295</v>
      </c>
      <c r="N71" s="85" t="s">
        <v>254</v>
      </c>
      <c r="O71" s="85">
        <v>2764.1605469610113</v>
      </c>
      <c r="P71" s="85">
        <v>871.22105701882958</v>
      </c>
      <c r="Q71" s="85">
        <v>1892.9394899421816</v>
      </c>
      <c r="R71" s="85"/>
      <c r="S71" s="86"/>
    </row>
    <row r="72" spans="1:19" ht="15">
      <c r="A72" s="70">
        <v>2</v>
      </c>
      <c r="B72" s="94" t="str">
        <f t="shared" ref="B72:B73" si="1">MID(C72,2,3)</f>
        <v>302</v>
      </c>
      <c r="C72" s="72" t="s">
        <v>300</v>
      </c>
      <c r="D72" s="72" t="s">
        <v>301</v>
      </c>
      <c r="E72" s="85">
        <v>55918.829999999994</v>
      </c>
      <c r="F72" s="85" t="s">
        <v>254</v>
      </c>
      <c r="G72" s="85">
        <v>55918.829999999994</v>
      </c>
      <c r="H72" s="85" t="s">
        <v>254</v>
      </c>
      <c r="I72" s="85">
        <v>0</v>
      </c>
      <c r="J72" s="85">
        <v>0</v>
      </c>
      <c r="K72" s="85" t="s">
        <v>254</v>
      </c>
      <c r="L72" s="85" t="s">
        <v>254</v>
      </c>
      <c r="M72" s="85">
        <v>0</v>
      </c>
      <c r="N72" s="85" t="s">
        <v>254</v>
      </c>
      <c r="O72" s="85">
        <v>0</v>
      </c>
      <c r="P72" s="85">
        <v>0</v>
      </c>
      <c r="Q72" s="85">
        <v>0</v>
      </c>
      <c r="R72" s="85"/>
      <c r="S72" s="86"/>
    </row>
    <row r="73" spans="1:19" ht="15">
      <c r="A73" s="70">
        <v>3</v>
      </c>
      <c r="B73" s="94" t="str">
        <f t="shared" si="1"/>
        <v>303</v>
      </c>
      <c r="C73" s="72" t="s">
        <v>302</v>
      </c>
      <c r="D73" s="72" t="s">
        <v>299</v>
      </c>
      <c r="E73" s="85">
        <v>115922918.5592307</v>
      </c>
      <c r="F73" s="85" t="s">
        <v>254</v>
      </c>
      <c r="G73" s="85">
        <v>102982045.18696477</v>
      </c>
      <c r="H73" s="85" t="s">
        <v>254</v>
      </c>
      <c r="I73" s="85">
        <v>5730505.3652894096</v>
      </c>
      <c r="J73" s="85">
        <v>7210368.0069765281</v>
      </c>
      <c r="K73" s="85" t="s">
        <v>254</v>
      </c>
      <c r="L73" s="85" t="s">
        <v>254</v>
      </c>
      <c r="M73" s="85">
        <v>2508.8817553557165</v>
      </c>
      <c r="N73" s="85" t="s">
        <v>254</v>
      </c>
      <c r="O73" s="85">
        <v>7207859.1252211723</v>
      </c>
      <c r="P73" s="85">
        <v>2271806.770710913</v>
      </c>
      <c r="Q73" s="85">
        <v>4936052.3545102598</v>
      </c>
      <c r="R73" s="85"/>
      <c r="S73" s="86"/>
    </row>
    <row r="74" spans="1:19" ht="15">
      <c r="A74" s="70">
        <v>4</v>
      </c>
      <c r="B74" s="70"/>
      <c r="C74" s="72" t="s">
        <v>303</v>
      </c>
      <c r="D74" s="72" t="s">
        <v>254</v>
      </c>
      <c r="E74" s="85">
        <v>116023292.96923068</v>
      </c>
      <c r="F74" s="85" t="s">
        <v>254</v>
      </c>
      <c r="G74" s="85">
        <v>103077456.86794947</v>
      </c>
      <c r="H74" s="85" t="s">
        <v>254</v>
      </c>
      <c r="I74" s="85">
        <v>5732702.9716201788</v>
      </c>
      <c r="J74" s="85">
        <v>7213133.129661046</v>
      </c>
      <c r="K74" s="85" t="s">
        <v>254</v>
      </c>
      <c r="L74" s="85" t="s">
        <v>254</v>
      </c>
      <c r="M74" s="85">
        <v>2509.8438929120512</v>
      </c>
      <c r="N74" s="85" t="s">
        <v>254</v>
      </c>
      <c r="O74" s="85">
        <v>7210623.2857681336</v>
      </c>
      <c r="P74" s="85">
        <v>2272677.9917679317</v>
      </c>
      <c r="Q74" s="85">
        <v>4937945.2940002019</v>
      </c>
      <c r="R74" s="85"/>
      <c r="S74" s="86"/>
    </row>
    <row r="75" spans="1:19" ht="15">
      <c r="A75" s="70" t="s">
        <v>254</v>
      </c>
      <c r="B75" s="70"/>
      <c r="C75" s="72" t="s">
        <v>254</v>
      </c>
      <c r="D75" s="72" t="s">
        <v>254</v>
      </c>
      <c r="E75" s="85" t="s">
        <v>254</v>
      </c>
      <c r="F75" s="85" t="s">
        <v>254</v>
      </c>
      <c r="G75" s="85" t="s">
        <v>254</v>
      </c>
      <c r="H75" s="85" t="s">
        <v>254</v>
      </c>
      <c r="I75" s="85" t="s">
        <v>254</v>
      </c>
      <c r="J75" s="85" t="s">
        <v>254</v>
      </c>
      <c r="K75" s="85" t="s">
        <v>254</v>
      </c>
      <c r="L75" s="85" t="s">
        <v>254</v>
      </c>
      <c r="M75" s="85" t="s">
        <v>254</v>
      </c>
      <c r="N75" s="85" t="s">
        <v>254</v>
      </c>
      <c r="O75" s="85" t="s">
        <v>254</v>
      </c>
      <c r="P75" s="85" t="s">
        <v>254</v>
      </c>
      <c r="Q75" s="85" t="s">
        <v>254</v>
      </c>
      <c r="R75" s="85"/>
      <c r="S75" s="86"/>
    </row>
    <row r="76" spans="1:19" ht="15">
      <c r="A76" s="70" t="s">
        <v>254</v>
      </c>
      <c r="B76" s="70"/>
      <c r="C76" s="72" t="s">
        <v>304</v>
      </c>
      <c r="D76" s="72" t="s">
        <v>254</v>
      </c>
      <c r="E76" s="85" t="s">
        <v>254</v>
      </c>
      <c r="F76" s="85" t="s">
        <v>254</v>
      </c>
      <c r="G76" s="85" t="s">
        <v>254</v>
      </c>
      <c r="H76" s="85" t="s">
        <v>254</v>
      </c>
      <c r="I76" s="85" t="s">
        <v>254</v>
      </c>
      <c r="J76" s="85" t="s">
        <v>254</v>
      </c>
      <c r="K76" s="85" t="s">
        <v>254</v>
      </c>
      <c r="L76" s="85" t="s">
        <v>254</v>
      </c>
      <c r="M76" s="85" t="s">
        <v>254</v>
      </c>
      <c r="N76" s="85" t="s">
        <v>254</v>
      </c>
      <c r="O76" s="85" t="s">
        <v>254</v>
      </c>
      <c r="P76" s="85" t="s">
        <v>254</v>
      </c>
      <c r="Q76" s="85" t="s">
        <v>254</v>
      </c>
      <c r="R76" s="85"/>
      <c r="S76" s="86"/>
    </row>
    <row r="77" spans="1:19" ht="15">
      <c r="A77" s="70" t="s">
        <v>254</v>
      </c>
      <c r="B77" s="70"/>
      <c r="C77" s="72" t="s">
        <v>305</v>
      </c>
      <c r="D77" s="72" t="s">
        <v>254</v>
      </c>
      <c r="E77" s="85" t="s">
        <v>254</v>
      </c>
      <c r="F77" s="85" t="s">
        <v>254</v>
      </c>
      <c r="G77" s="85" t="s">
        <v>254</v>
      </c>
      <c r="H77" s="85" t="s">
        <v>254</v>
      </c>
      <c r="I77" s="85" t="s">
        <v>254</v>
      </c>
      <c r="J77" s="85" t="s">
        <v>254</v>
      </c>
      <c r="K77" s="85" t="s">
        <v>254</v>
      </c>
      <c r="L77" s="85" t="s">
        <v>254</v>
      </c>
      <c r="M77" s="85" t="s">
        <v>254</v>
      </c>
      <c r="N77" s="85" t="s">
        <v>254</v>
      </c>
      <c r="O77" s="85" t="s">
        <v>254</v>
      </c>
      <c r="P77" s="85" t="s">
        <v>254</v>
      </c>
      <c r="Q77" s="85" t="s">
        <v>254</v>
      </c>
      <c r="R77" s="85"/>
      <c r="S77" s="86"/>
    </row>
    <row r="78" spans="1:19" ht="15">
      <c r="A78" s="70">
        <v>5</v>
      </c>
      <c r="B78" s="94" t="str">
        <f t="shared" ref="B78:B84" si="2">MID(C78,2,3)</f>
        <v>310</v>
      </c>
      <c r="C78" s="72" t="s">
        <v>306</v>
      </c>
      <c r="D78" s="72" t="s">
        <v>307</v>
      </c>
      <c r="E78" s="85">
        <v>24155712.52923071</v>
      </c>
      <c r="F78" s="85" t="s">
        <v>254</v>
      </c>
      <c r="G78" s="85">
        <v>21155023.675749995</v>
      </c>
      <c r="H78" s="85" t="s">
        <v>254</v>
      </c>
      <c r="I78" s="85">
        <v>977649.12868981459</v>
      </c>
      <c r="J78" s="85">
        <v>2023039.7247909026</v>
      </c>
      <c r="K78" s="85" t="s">
        <v>254</v>
      </c>
      <c r="L78" s="85" t="s">
        <v>254</v>
      </c>
      <c r="M78" s="85">
        <v>74.337204860735071</v>
      </c>
      <c r="N78" s="85" t="s">
        <v>254</v>
      </c>
      <c r="O78" s="85">
        <v>2022965.3875860418</v>
      </c>
      <c r="P78" s="85">
        <v>627845.2743260538</v>
      </c>
      <c r="Q78" s="85">
        <v>1395120.1132599881</v>
      </c>
      <c r="R78" s="85"/>
      <c r="S78" s="86"/>
    </row>
    <row r="79" spans="1:19" ht="15">
      <c r="A79" s="70">
        <v>6</v>
      </c>
      <c r="B79" s="94" t="str">
        <f t="shared" si="2"/>
        <v>311</v>
      </c>
      <c r="C79" s="72" t="s">
        <v>308</v>
      </c>
      <c r="D79" s="72" t="s">
        <v>307</v>
      </c>
      <c r="E79" s="85">
        <v>336021382.21923083</v>
      </c>
      <c r="F79" s="85" t="s">
        <v>254</v>
      </c>
      <c r="G79" s="85">
        <v>294279884.63615209</v>
      </c>
      <c r="H79" s="85" t="s">
        <v>254</v>
      </c>
      <c r="I79" s="85">
        <v>13599723.508476457</v>
      </c>
      <c r="J79" s="85">
        <v>28141774.074602328</v>
      </c>
      <c r="K79" s="85" t="s">
        <v>254</v>
      </c>
      <c r="L79" s="85" t="s">
        <v>254</v>
      </c>
      <c r="M79" s="85">
        <v>1034.0779762713059</v>
      </c>
      <c r="N79" s="85" t="s">
        <v>254</v>
      </c>
      <c r="O79" s="85">
        <v>28140739.996626057</v>
      </c>
      <c r="P79" s="85">
        <v>8733728.5804986972</v>
      </c>
      <c r="Q79" s="85">
        <v>19407011.416127358</v>
      </c>
      <c r="R79" s="85"/>
      <c r="S79" s="86"/>
    </row>
    <row r="80" spans="1:19" ht="15">
      <c r="A80" s="70">
        <v>7</v>
      </c>
      <c r="B80" s="94" t="str">
        <f t="shared" si="2"/>
        <v>312</v>
      </c>
      <c r="C80" s="72" t="s">
        <v>309</v>
      </c>
      <c r="D80" s="72" t="s">
        <v>307</v>
      </c>
      <c r="E80" s="85">
        <v>3987560272.7969227</v>
      </c>
      <c r="F80" s="85" t="s">
        <v>254</v>
      </c>
      <c r="G80" s="85">
        <v>3492214600.4767647</v>
      </c>
      <c r="H80" s="85" t="s">
        <v>254</v>
      </c>
      <c r="I80" s="85">
        <v>161387697.48897094</v>
      </c>
      <c r="J80" s="85">
        <v>333957974.83118725</v>
      </c>
      <c r="K80" s="85" t="s">
        <v>254</v>
      </c>
      <c r="L80" s="85" t="s">
        <v>254</v>
      </c>
      <c r="M80" s="85">
        <v>12271.386510943617</v>
      </c>
      <c r="N80" s="85" t="s">
        <v>254</v>
      </c>
      <c r="O80" s="85">
        <v>333945703.44467628</v>
      </c>
      <c r="P80" s="85">
        <v>103643014.89083788</v>
      </c>
      <c r="Q80" s="85">
        <v>230302688.55383837</v>
      </c>
      <c r="R80" s="85"/>
      <c r="S80" s="86"/>
    </row>
    <row r="81" spans="1:19" ht="15">
      <c r="A81" s="70">
        <v>8</v>
      </c>
      <c r="B81" s="94" t="str">
        <f t="shared" si="2"/>
        <v>314</v>
      </c>
      <c r="C81" s="72" t="s">
        <v>310</v>
      </c>
      <c r="D81" s="72" t="s">
        <v>307</v>
      </c>
      <c r="E81" s="85">
        <v>336279515.95230734</v>
      </c>
      <c r="F81" s="85" t="s">
        <v>254</v>
      </c>
      <c r="G81" s="85">
        <v>294505952.28901619</v>
      </c>
      <c r="H81" s="85" t="s">
        <v>254</v>
      </c>
      <c r="I81" s="85">
        <v>13610170.90136219</v>
      </c>
      <c r="J81" s="85">
        <v>28163392.761928998</v>
      </c>
      <c r="K81" s="85" t="s">
        <v>254</v>
      </c>
      <c r="L81" s="85" t="s">
        <v>254</v>
      </c>
      <c r="M81" s="85">
        <v>1034.8723614575824</v>
      </c>
      <c r="N81" s="85" t="s">
        <v>254</v>
      </c>
      <c r="O81" s="85">
        <v>28162357.889567539</v>
      </c>
      <c r="P81" s="85">
        <v>8740437.8855651543</v>
      </c>
      <c r="Q81" s="85">
        <v>19421920.004002385</v>
      </c>
      <c r="R81" s="85"/>
      <c r="S81" s="86"/>
    </row>
    <row r="82" spans="1:19" ht="15">
      <c r="A82" s="70">
        <v>9</v>
      </c>
      <c r="B82" s="94" t="str">
        <f t="shared" si="2"/>
        <v>315</v>
      </c>
      <c r="C82" s="72" t="s">
        <v>311</v>
      </c>
      <c r="D82" s="72" t="s">
        <v>307</v>
      </c>
      <c r="E82" s="85">
        <v>223664979.74999988</v>
      </c>
      <c r="F82" s="85" t="s">
        <v>254</v>
      </c>
      <c r="G82" s="85">
        <v>195880702.60074747</v>
      </c>
      <c r="H82" s="85" t="s">
        <v>254</v>
      </c>
      <c r="I82" s="85">
        <v>9052346.2020176761</v>
      </c>
      <c r="J82" s="85">
        <v>18731930.947234739</v>
      </c>
      <c r="K82" s="85" t="s">
        <v>254</v>
      </c>
      <c r="L82" s="85" t="s">
        <v>254</v>
      </c>
      <c r="M82" s="85">
        <v>688.31045243348126</v>
      </c>
      <c r="N82" s="85" t="s">
        <v>254</v>
      </c>
      <c r="O82" s="85">
        <v>18731242.636782303</v>
      </c>
      <c r="P82" s="85">
        <v>5813407.5075756889</v>
      </c>
      <c r="Q82" s="85">
        <v>12917835.129206613</v>
      </c>
      <c r="R82" s="85"/>
      <c r="S82" s="86"/>
    </row>
    <row r="83" spans="1:19" ht="15">
      <c r="A83" s="70">
        <v>10</v>
      </c>
      <c r="B83" s="94" t="str">
        <f t="shared" si="2"/>
        <v>316</v>
      </c>
      <c r="C83" s="72" t="s">
        <v>312</v>
      </c>
      <c r="D83" s="72" t="s">
        <v>307</v>
      </c>
      <c r="E83" s="85">
        <v>40483701.869999908</v>
      </c>
      <c r="F83" s="85" t="s">
        <v>254</v>
      </c>
      <c r="G83" s="85">
        <v>35454705.403762616</v>
      </c>
      <c r="H83" s="85" t="s">
        <v>254</v>
      </c>
      <c r="I83" s="85">
        <v>1638488.4449775368</v>
      </c>
      <c r="J83" s="85">
        <v>3390508.0212597577</v>
      </c>
      <c r="K83" s="85" t="s">
        <v>254</v>
      </c>
      <c r="L83" s="85" t="s">
        <v>254</v>
      </c>
      <c r="M83" s="85">
        <v>124.58523985949044</v>
      </c>
      <c r="N83" s="85" t="s">
        <v>254</v>
      </c>
      <c r="O83" s="85">
        <v>3390383.4360198984</v>
      </c>
      <c r="P83" s="85">
        <v>1052235.6099223599</v>
      </c>
      <c r="Q83" s="85">
        <v>2338147.8260975387</v>
      </c>
      <c r="R83" s="85"/>
      <c r="S83" s="86"/>
    </row>
    <row r="84" spans="1:19" ht="15">
      <c r="A84" s="70">
        <v>11</v>
      </c>
      <c r="B84" s="94" t="str">
        <f t="shared" si="2"/>
        <v>317</v>
      </c>
      <c r="C84" s="72" t="s">
        <v>313</v>
      </c>
      <c r="D84" s="72" t="s">
        <v>307</v>
      </c>
      <c r="E84" s="85">
        <v>331002428.3300001</v>
      </c>
      <c r="F84" s="85" t="s">
        <v>254</v>
      </c>
      <c r="G84" s="85">
        <v>289884398.96270359</v>
      </c>
      <c r="H84" s="85" t="s">
        <v>254</v>
      </c>
      <c r="I84" s="85">
        <v>13396592.431684451</v>
      </c>
      <c r="J84" s="85">
        <v>27721436.935612082</v>
      </c>
      <c r="K84" s="85" t="s">
        <v>254</v>
      </c>
      <c r="L84" s="85" t="s">
        <v>254</v>
      </c>
      <c r="M84" s="85">
        <v>1018.6325613203354</v>
      </c>
      <c r="N84" s="85" t="s">
        <v>254</v>
      </c>
      <c r="O84" s="85">
        <v>27720418.303050764</v>
      </c>
      <c r="P84" s="85">
        <v>8603278.0099514313</v>
      </c>
      <c r="Q84" s="85">
        <v>19117140.293099333</v>
      </c>
      <c r="R84" s="85"/>
      <c r="S84" s="86"/>
    </row>
    <row r="85" spans="1:19" ht="15">
      <c r="A85" s="70">
        <v>12</v>
      </c>
      <c r="B85" s="70"/>
      <c r="C85" s="72" t="s">
        <v>314</v>
      </c>
      <c r="D85" s="72" t="s">
        <v>315</v>
      </c>
      <c r="E85" s="85">
        <v>17053962.5</v>
      </c>
      <c r="F85" s="85" t="s">
        <v>254</v>
      </c>
      <c r="G85" s="85">
        <v>0</v>
      </c>
      <c r="H85" s="85" t="s">
        <v>254</v>
      </c>
      <c r="I85" s="85">
        <v>5556459.0147776874</v>
      </c>
      <c r="J85" s="85">
        <v>11497503.485222312</v>
      </c>
      <c r="K85" s="85" t="s">
        <v>254</v>
      </c>
      <c r="L85" s="85" t="s">
        <v>254</v>
      </c>
      <c r="M85" s="85">
        <v>0</v>
      </c>
      <c r="N85" s="85" t="s">
        <v>254</v>
      </c>
      <c r="O85" s="85">
        <v>11497503.485222312</v>
      </c>
      <c r="P85" s="85">
        <v>3568352.3178604725</v>
      </c>
      <c r="Q85" s="85">
        <v>7929151.1673618397</v>
      </c>
      <c r="R85" s="85"/>
      <c r="S85" s="86"/>
    </row>
    <row r="86" spans="1:19" ht="15">
      <c r="A86" s="70">
        <v>13</v>
      </c>
      <c r="B86" s="70"/>
      <c r="C86" s="72" t="s">
        <v>316</v>
      </c>
      <c r="D86" s="72" t="s">
        <v>317</v>
      </c>
      <c r="E86" s="85">
        <v>22028830.600000009</v>
      </c>
      <c r="F86" s="85" t="s">
        <v>254</v>
      </c>
      <c r="G86" s="85">
        <v>0</v>
      </c>
      <c r="H86" s="85" t="s">
        <v>254</v>
      </c>
      <c r="I86" s="85">
        <v>0</v>
      </c>
      <c r="J86" s="85">
        <v>22028830.600000009</v>
      </c>
      <c r="K86" s="85" t="s">
        <v>254</v>
      </c>
      <c r="L86" s="85" t="s">
        <v>254</v>
      </c>
      <c r="M86" s="85">
        <v>0</v>
      </c>
      <c r="N86" s="85" t="s">
        <v>254</v>
      </c>
      <c r="O86" s="85">
        <v>22028830.600000009</v>
      </c>
      <c r="P86" s="85">
        <v>6836843.218382014</v>
      </c>
      <c r="Q86" s="85">
        <v>15191987.381617993</v>
      </c>
      <c r="R86" s="85"/>
      <c r="S86" s="86"/>
    </row>
    <row r="87" spans="1:19" ht="15">
      <c r="A87" s="70">
        <v>14</v>
      </c>
      <c r="B87" s="70"/>
      <c r="C87" s="72" t="s">
        <v>318</v>
      </c>
      <c r="D87" s="72" t="s">
        <v>254</v>
      </c>
      <c r="E87" s="85">
        <v>5318250786.5476923</v>
      </c>
      <c r="F87" s="85" t="s">
        <v>254</v>
      </c>
      <c r="G87" s="85">
        <v>4623375268.0448971</v>
      </c>
      <c r="H87" s="85" t="s">
        <v>254</v>
      </c>
      <c r="I87" s="85">
        <v>219219127.12095672</v>
      </c>
      <c r="J87" s="85">
        <v>475656391.38183838</v>
      </c>
      <c r="K87" s="85" t="s">
        <v>254</v>
      </c>
      <c r="L87" s="85" t="s">
        <v>254</v>
      </c>
      <c r="M87" s="85">
        <v>16246.202307146548</v>
      </c>
      <c r="N87" s="85" t="s">
        <v>254</v>
      </c>
      <c r="O87" s="85">
        <v>475640145.17953122</v>
      </c>
      <c r="P87" s="85">
        <v>147619143.29491976</v>
      </c>
      <c r="Q87" s="85">
        <v>328021001.88461149</v>
      </c>
      <c r="R87" s="85"/>
      <c r="S87" s="86"/>
    </row>
    <row r="88" spans="1:19" ht="15">
      <c r="A88" s="70" t="s">
        <v>254</v>
      </c>
      <c r="B88" s="70"/>
      <c r="C88" s="72" t="s">
        <v>254</v>
      </c>
      <c r="D88" s="72" t="s">
        <v>254</v>
      </c>
      <c r="E88" s="85" t="s">
        <v>254</v>
      </c>
      <c r="F88" s="85" t="s">
        <v>254</v>
      </c>
      <c r="G88" s="85" t="s">
        <v>254</v>
      </c>
      <c r="H88" s="85" t="s">
        <v>254</v>
      </c>
      <c r="I88" s="85" t="s">
        <v>254</v>
      </c>
      <c r="J88" s="85" t="s">
        <v>254</v>
      </c>
      <c r="K88" s="85" t="s">
        <v>254</v>
      </c>
      <c r="L88" s="85" t="s">
        <v>254</v>
      </c>
      <c r="M88" s="85" t="s">
        <v>254</v>
      </c>
      <c r="N88" s="85" t="s">
        <v>254</v>
      </c>
      <c r="O88" s="85" t="s">
        <v>254</v>
      </c>
      <c r="P88" s="85" t="s">
        <v>254</v>
      </c>
      <c r="Q88" s="85" t="s">
        <v>254</v>
      </c>
      <c r="R88" s="85"/>
      <c r="S88" s="86"/>
    </row>
    <row r="89" spans="1:19" ht="15">
      <c r="A89" s="70" t="s">
        <v>254</v>
      </c>
      <c r="B89" s="70"/>
      <c r="C89" s="72" t="s">
        <v>319</v>
      </c>
      <c r="D89" s="72" t="s">
        <v>254</v>
      </c>
      <c r="E89" s="85" t="s">
        <v>254</v>
      </c>
      <c r="F89" s="85" t="s">
        <v>254</v>
      </c>
      <c r="G89" s="85" t="s">
        <v>254</v>
      </c>
      <c r="H89" s="85" t="s">
        <v>254</v>
      </c>
      <c r="I89" s="85" t="s">
        <v>254</v>
      </c>
      <c r="J89" s="85" t="s">
        <v>254</v>
      </c>
      <c r="K89" s="85" t="s">
        <v>254</v>
      </c>
      <c r="L89" s="85" t="s">
        <v>254</v>
      </c>
      <c r="M89" s="85" t="s">
        <v>254</v>
      </c>
      <c r="N89" s="85" t="s">
        <v>254</v>
      </c>
      <c r="O89" s="85" t="s">
        <v>254</v>
      </c>
      <c r="P89" s="85" t="s">
        <v>254</v>
      </c>
      <c r="Q89" s="85" t="s">
        <v>254</v>
      </c>
      <c r="R89" s="85"/>
      <c r="S89" s="86"/>
    </row>
    <row r="90" spans="1:19" ht="15">
      <c r="A90" s="70">
        <v>15</v>
      </c>
      <c r="B90" s="94" t="str">
        <f t="shared" ref="B90:B97" si="3">MID(C90,2,3)</f>
        <v>330</v>
      </c>
      <c r="C90" s="72" t="s">
        <v>320</v>
      </c>
      <c r="D90" s="72" t="s">
        <v>307</v>
      </c>
      <c r="E90" s="85">
        <v>879311.47</v>
      </c>
      <c r="F90" s="85" t="s">
        <v>254</v>
      </c>
      <c r="G90" s="85">
        <v>770080.98782838695</v>
      </c>
      <c r="H90" s="85" t="s">
        <v>254</v>
      </c>
      <c r="I90" s="85">
        <v>35588.190224245795</v>
      </c>
      <c r="J90" s="85">
        <v>73642.291947367208</v>
      </c>
      <c r="K90" s="85" t="s">
        <v>254</v>
      </c>
      <c r="L90" s="85" t="s">
        <v>254</v>
      </c>
      <c r="M90" s="85">
        <v>2.7060082290135536</v>
      </c>
      <c r="N90" s="85" t="s">
        <v>254</v>
      </c>
      <c r="O90" s="85">
        <v>73639.585939138196</v>
      </c>
      <c r="P90" s="85">
        <v>22854.699501500378</v>
      </c>
      <c r="Q90" s="85">
        <v>50784.886437637811</v>
      </c>
      <c r="R90" s="85"/>
      <c r="S90" s="86"/>
    </row>
    <row r="91" spans="1:19" ht="15">
      <c r="A91" s="70">
        <v>16</v>
      </c>
      <c r="B91" s="94" t="str">
        <f t="shared" si="3"/>
        <v>331</v>
      </c>
      <c r="C91" s="72" t="s">
        <v>321</v>
      </c>
      <c r="D91" s="72" t="s">
        <v>307</v>
      </c>
      <c r="E91" s="85">
        <v>2930163.9299999997</v>
      </c>
      <c r="F91" s="85" t="s">
        <v>254</v>
      </c>
      <c r="G91" s="85">
        <v>2566170.9311189908</v>
      </c>
      <c r="H91" s="85" t="s">
        <v>254</v>
      </c>
      <c r="I91" s="85">
        <v>118591.91525053531</v>
      </c>
      <c r="J91" s="85">
        <v>245401.08363047376</v>
      </c>
      <c r="K91" s="85" t="s">
        <v>254</v>
      </c>
      <c r="L91" s="85" t="s">
        <v>254</v>
      </c>
      <c r="M91" s="85">
        <v>9.017336833942009</v>
      </c>
      <c r="N91" s="85" t="s">
        <v>254</v>
      </c>
      <c r="O91" s="85">
        <v>245392.06629363983</v>
      </c>
      <c r="P91" s="85">
        <v>76159.6071415802</v>
      </c>
      <c r="Q91" s="85">
        <v>169232.45915205963</v>
      </c>
      <c r="R91" s="85"/>
      <c r="S91" s="86"/>
    </row>
    <row r="92" spans="1:19" ht="15">
      <c r="A92" s="70">
        <v>17</v>
      </c>
      <c r="B92" s="94" t="str">
        <f t="shared" si="3"/>
        <v>332</v>
      </c>
      <c r="C92" s="72" t="s">
        <v>322</v>
      </c>
      <c r="D92" s="72" t="s">
        <v>307</v>
      </c>
      <c r="E92" s="85">
        <v>21842694.069999989</v>
      </c>
      <c r="F92" s="85" t="s">
        <v>254</v>
      </c>
      <c r="G92" s="85">
        <v>19129334.712600581</v>
      </c>
      <c r="H92" s="85" t="s">
        <v>254</v>
      </c>
      <c r="I92" s="85">
        <v>884034.81370846368</v>
      </c>
      <c r="J92" s="85">
        <v>1829324.5436909471</v>
      </c>
      <c r="K92" s="85" t="s">
        <v>254</v>
      </c>
      <c r="L92" s="85" t="s">
        <v>254</v>
      </c>
      <c r="M92" s="85">
        <v>67.219082104371424</v>
      </c>
      <c r="N92" s="85" t="s">
        <v>254</v>
      </c>
      <c r="O92" s="85">
        <v>1829257.3246088428</v>
      </c>
      <c r="P92" s="85">
        <v>567726.25662787515</v>
      </c>
      <c r="Q92" s="85">
        <v>1261531.0679809677</v>
      </c>
      <c r="R92" s="85"/>
      <c r="S92" s="86"/>
    </row>
    <row r="93" spans="1:19" ht="15">
      <c r="A93" s="70">
        <v>18</v>
      </c>
      <c r="B93" s="94" t="str">
        <f t="shared" si="3"/>
        <v>333</v>
      </c>
      <c r="C93" s="72" t="s">
        <v>323</v>
      </c>
      <c r="D93" s="72" t="s">
        <v>307</v>
      </c>
      <c r="E93" s="85">
        <v>13988241.580000002</v>
      </c>
      <c r="F93" s="85" t="s">
        <v>254</v>
      </c>
      <c r="G93" s="85">
        <v>12250583.850462588</v>
      </c>
      <c r="H93" s="85" t="s">
        <v>254</v>
      </c>
      <c r="I93" s="85">
        <v>566143.19184502913</v>
      </c>
      <c r="J93" s="85">
        <v>1171514.5376923846</v>
      </c>
      <c r="K93" s="85" t="s">
        <v>254</v>
      </c>
      <c r="L93" s="85" t="s">
        <v>254</v>
      </c>
      <c r="M93" s="85">
        <v>43.047655030486013</v>
      </c>
      <c r="N93" s="85" t="s">
        <v>254</v>
      </c>
      <c r="O93" s="85">
        <v>1171471.4900373542</v>
      </c>
      <c r="P93" s="85">
        <v>363576.58096430026</v>
      </c>
      <c r="Q93" s="85">
        <v>807894.90907305398</v>
      </c>
      <c r="R93" s="85"/>
      <c r="S93" s="86"/>
    </row>
    <row r="94" spans="1:19" ht="15">
      <c r="A94" s="70">
        <v>19</v>
      </c>
      <c r="B94" s="94" t="str">
        <f t="shared" si="3"/>
        <v>334</v>
      </c>
      <c r="C94" s="72" t="s">
        <v>324</v>
      </c>
      <c r="D94" s="72" t="s">
        <v>307</v>
      </c>
      <c r="E94" s="85">
        <v>1358700.3900000004</v>
      </c>
      <c r="F94" s="85" t="s">
        <v>254</v>
      </c>
      <c r="G94" s="85">
        <v>1189918.901540105</v>
      </c>
      <c r="H94" s="85" t="s">
        <v>254</v>
      </c>
      <c r="I94" s="85">
        <v>54990.398268177894</v>
      </c>
      <c r="J94" s="85">
        <v>113791.09019171754</v>
      </c>
      <c r="K94" s="85" t="s">
        <v>254</v>
      </c>
      <c r="L94" s="85" t="s">
        <v>254</v>
      </c>
      <c r="M94" s="85">
        <v>4.1812879298662233</v>
      </c>
      <c r="N94" s="85" t="s">
        <v>254</v>
      </c>
      <c r="O94" s="85">
        <v>113786.90890378767</v>
      </c>
      <c r="P94" s="85">
        <v>35314.777738565586</v>
      </c>
      <c r="Q94" s="85">
        <v>78472.131165222076</v>
      </c>
      <c r="R94" s="85"/>
      <c r="S94" s="86"/>
    </row>
    <row r="95" spans="1:19" ht="15">
      <c r="A95" s="70">
        <v>20</v>
      </c>
      <c r="B95" s="94" t="str">
        <f t="shared" si="3"/>
        <v>335</v>
      </c>
      <c r="C95" s="72" t="s">
        <v>325</v>
      </c>
      <c r="D95" s="72" t="s">
        <v>307</v>
      </c>
      <c r="E95" s="85">
        <v>316126.73999999993</v>
      </c>
      <c r="F95" s="85" t="s">
        <v>254</v>
      </c>
      <c r="G95" s="85">
        <v>276856.60943120375</v>
      </c>
      <c r="H95" s="85" t="s">
        <v>254</v>
      </c>
      <c r="I95" s="85">
        <v>12794.531792119908</v>
      </c>
      <c r="J95" s="85">
        <v>26475.598776676303</v>
      </c>
      <c r="K95" s="85" t="s">
        <v>254</v>
      </c>
      <c r="L95" s="85" t="s">
        <v>254</v>
      </c>
      <c r="M95" s="85">
        <v>0.9728538624103561</v>
      </c>
      <c r="N95" s="85" t="s">
        <v>254</v>
      </c>
      <c r="O95" s="85">
        <v>26474.625922813892</v>
      </c>
      <c r="P95" s="85">
        <v>8216.6352806576469</v>
      </c>
      <c r="Q95" s="85">
        <v>18257.990642156245</v>
      </c>
      <c r="R95" s="85"/>
      <c r="S95" s="86"/>
    </row>
    <row r="96" spans="1:19" ht="15">
      <c r="A96" s="70">
        <v>21</v>
      </c>
      <c r="B96" s="94" t="str">
        <f t="shared" si="3"/>
        <v>336</v>
      </c>
      <c r="C96" s="72" t="s">
        <v>326</v>
      </c>
      <c r="D96" s="72" t="s">
        <v>307</v>
      </c>
      <c r="E96" s="85">
        <v>890278.36076923099</v>
      </c>
      <c r="F96" s="85" t="s">
        <v>254</v>
      </c>
      <c r="G96" s="85">
        <v>779685.54135135585</v>
      </c>
      <c r="H96" s="85" t="s">
        <v>254</v>
      </c>
      <c r="I96" s="85">
        <v>36032.05091318224</v>
      </c>
      <c r="J96" s="85">
        <v>74560.768504692911</v>
      </c>
      <c r="K96" s="85" t="s">
        <v>254</v>
      </c>
      <c r="L96" s="85" t="s">
        <v>254</v>
      </c>
      <c r="M96" s="85">
        <v>2.7397579271361447</v>
      </c>
      <c r="N96" s="85" t="s">
        <v>254</v>
      </c>
      <c r="O96" s="85">
        <v>74558.028746765776</v>
      </c>
      <c r="P96" s="85">
        <v>23139.746383689409</v>
      </c>
      <c r="Q96" s="85">
        <v>51418.28236307636</v>
      </c>
      <c r="R96" s="85"/>
      <c r="S96" s="86"/>
    </row>
    <row r="97" spans="1:19" ht="15">
      <c r="A97" s="70">
        <v>22</v>
      </c>
      <c r="B97" s="94" t="str">
        <f t="shared" si="3"/>
        <v>337</v>
      </c>
      <c r="C97" s="72" t="s">
        <v>327</v>
      </c>
      <c r="D97" s="72" t="s">
        <v>307</v>
      </c>
      <c r="E97" s="85">
        <v>274310.53999999998</v>
      </c>
      <c r="F97" s="85" t="s">
        <v>254</v>
      </c>
      <c r="G97" s="85">
        <v>240234.93246930835</v>
      </c>
      <c r="H97" s="85" t="s">
        <v>254</v>
      </c>
      <c r="I97" s="85">
        <v>11102.113427492972</v>
      </c>
      <c r="J97" s="85">
        <v>22973.494103198664</v>
      </c>
      <c r="K97" s="85" t="s">
        <v>254</v>
      </c>
      <c r="L97" s="85" t="s">
        <v>254</v>
      </c>
      <c r="M97" s="85">
        <v>0.84416796990621701</v>
      </c>
      <c r="N97" s="85" t="s">
        <v>254</v>
      </c>
      <c r="O97" s="85">
        <v>22972.649935228757</v>
      </c>
      <c r="P97" s="85">
        <v>7129.7659312851902</v>
      </c>
      <c r="Q97" s="85">
        <v>15842.884003943567</v>
      </c>
      <c r="R97" s="85"/>
      <c r="S97" s="86"/>
    </row>
    <row r="98" spans="1:19" ht="15">
      <c r="A98" s="70">
        <v>23</v>
      </c>
      <c r="B98" s="70"/>
      <c r="C98" s="72" t="s">
        <v>314</v>
      </c>
      <c r="D98" s="72" t="s">
        <v>315</v>
      </c>
      <c r="E98" s="85">
        <v>820.00000000000023</v>
      </c>
      <c r="F98" s="85" t="s">
        <v>254</v>
      </c>
      <c r="G98" s="85">
        <v>0</v>
      </c>
      <c r="H98" s="85" t="s">
        <v>254</v>
      </c>
      <c r="I98" s="85">
        <v>267.16936853342469</v>
      </c>
      <c r="J98" s="85">
        <v>552.83063146657548</v>
      </c>
      <c r="K98" s="85" t="s">
        <v>254</v>
      </c>
      <c r="L98" s="85" t="s">
        <v>254</v>
      </c>
      <c r="M98" s="85">
        <v>0</v>
      </c>
      <c r="N98" s="85" t="s">
        <v>254</v>
      </c>
      <c r="O98" s="85">
        <v>552.83063146657548</v>
      </c>
      <c r="P98" s="85">
        <v>171.5758962555235</v>
      </c>
      <c r="Q98" s="85">
        <v>381.25473521105198</v>
      </c>
      <c r="R98" s="85"/>
      <c r="S98" s="86"/>
    </row>
    <row r="99" spans="1:19" ht="15">
      <c r="A99" s="70">
        <v>24</v>
      </c>
      <c r="B99" s="70"/>
      <c r="C99" s="72" t="s">
        <v>316</v>
      </c>
      <c r="D99" s="72" t="s">
        <v>317</v>
      </c>
      <c r="E99" s="85">
        <v>105336.69999999998</v>
      </c>
      <c r="F99" s="85" t="s">
        <v>254</v>
      </c>
      <c r="G99" s="85">
        <v>0</v>
      </c>
      <c r="H99" s="85" t="s">
        <v>254</v>
      </c>
      <c r="I99" s="85">
        <v>0</v>
      </c>
      <c r="J99" s="85">
        <v>105336.69999999998</v>
      </c>
      <c r="K99" s="85" t="s">
        <v>254</v>
      </c>
      <c r="L99" s="85" t="s">
        <v>254</v>
      </c>
      <c r="M99" s="85">
        <v>0</v>
      </c>
      <c r="N99" s="85" t="s">
        <v>254</v>
      </c>
      <c r="O99" s="85">
        <v>105336.69999999998</v>
      </c>
      <c r="P99" s="85">
        <v>32692.180357578323</v>
      </c>
      <c r="Q99" s="85">
        <v>72644.519642421656</v>
      </c>
      <c r="R99" s="85"/>
      <c r="S99" s="86"/>
    </row>
    <row r="100" spans="1:19" ht="15">
      <c r="A100" s="70">
        <v>25</v>
      </c>
      <c r="B100" s="70"/>
      <c r="C100" s="72" t="s">
        <v>328</v>
      </c>
      <c r="D100" s="72" t="s">
        <v>254</v>
      </c>
      <c r="E100" s="85">
        <v>42585983.780769229</v>
      </c>
      <c r="F100" s="85" t="s">
        <v>254</v>
      </c>
      <c r="G100" s="85">
        <v>37202866.466802523</v>
      </c>
      <c r="H100" s="85" t="s">
        <v>254</v>
      </c>
      <c r="I100" s="85">
        <v>1719544.3747977805</v>
      </c>
      <c r="J100" s="85">
        <v>3663572.9391689245</v>
      </c>
      <c r="K100" s="85" t="s">
        <v>254</v>
      </c>
      <c r="L100" s="85" t="s">
        <v>254</v>
      </c>
      <c r="M100" s="85">
        <v>130.72814988713193</v>
      </c>
      <c r="N100" s="85" t="s">
        <v>254</v>
      </c>
      <c r="O100" s="85">
        <v>3663442.2110190373</v>
      </c>
      <c r="P100" s="85">
        <v>1136981.8258232872</v>
      </c>
      <c r="Q100" s="85">
        <v>2526460.3851957503</v>
      </c>
      <c r="R100" s="85"/>
      <c r="S100" s="86"/>
    </row>
    <row r="101" spans="1:19" ht="15">
      <c r="A101" s="70" t="s">
        <v>254</v>
      </c>
      <c r="B101" s="70"/>
      <c r="C101" s="72" t="s">
        <v>254</v>
      </c>
      <c r="D101" s="72" t="s">
        <v>254</v>
      </c>
      <c r="E101" s="85" t="s">
        <v>254</v>
      </c>
      <c r="F101" s="85" t="s">
        <v>254</v>
      </c>
      <c r="G101" s="85" t="s">
        <v>254</v>
      </c>
      <c r="H101" s="85" t="s">
        <v>254</v>
      </c>
      <c r="I101" s="85" t="s">
        <v>254</v>
      </c>
      <c r="J101" s="85" t="s">
        <v>254</v>
      </c>
      <c r="K101" s="85" t="s">
        <v>254</v>
      </c>
      <c r="L101" s="85" t="s">
        <v>254</v>
      </c>
      <c r="M101" s="85" t="s">
        <v>254</v>
      </c>
      <c r="N101" s="85" t="s">
        <v>254</v>
      </c>
      <c r="O101" s="85" t="s">
        <v>254</v>
      </c>
      <c r="P101" s="85" t="s">
        <v>254</v>
      </c>
      <c r="Q101" s="85" t="s">
        <v>254</v>
      </c>
      <c r="R101" s="85"/>
      <c r="S101" s="86"/>
    </row>
    <row r="102" spans="1:19" ht="15">
      <c r="A102" s="70" t="s">
        <v>254</v>
      </c>
      <c r="B102" s="70"/>
      <c r="C102" s="72" t="s">
        <v>329</v>
      </c>
      <c r="D102" s="72" t="s">
        <v>254</v>
      </c>
      <c r="E102" s="85" t="s">
        <v>254</v>
      </c>
      <c r="F102" s="85" t="s">
        <v>254</v>
      </c>
      <c r="G102" s="85" t="s">
        <v>254</v>
      </c>
      <c r="H102" s="85" t="s">
        <v>254</v>
      </c>
      <c r="I102" s="85" t="s">
        <v>254</v>
      </c>
      <c r="J102" s="85" t="s">
        <v>254</v>
      </c>
      <c r="K102" s="85" t="s">
        <v>254</v>
      </c>
      <c r="L102" s="85" t="s">
        <v>254</v>
      </c>
      <c r="M102" s="85" t="s">
        <v>254</v>
      </c>
      <c r="N102" s="85" t="s">
        <v>254</v>
      </c>
      <c r="O102" s="85" t="s">
        <v>254</v>
      </c>
      <c r="P102" s="85" t="s">
        <v>254</v>
      </c>
      <c r="Q102" s="85" t="s">
        <v>254</v>
      </c>
      <c r="R102" s="85"/>
      <c r="S102" s="86"/>
    </row>
    <row r="103" spans="1:19" ht="15">
      <c r="A103" s="70">
        <v>26</v>
      </c>
      <c r="B103" s="94" t="str">
        <f t="shared" ref="B103:B110" si="4">MID(C103,2,3)</f>
        <v>340</v>
      </c>
      <c r="C103" s="72" t="s">
        <v>330</v>
      </c>
      <c r="D103" s="72" t="s">
        <v>307</v>
      </c>
      <c r="E103" s="85">
        <v>473578.51999999996</v>
      </c>
      <c r="F103" s="85" t="s">
        <v>254</v>
      </c>
      <c r="G103" s="85">
        <v>414749.2975337914</v>
      </c>
      <c r="H103" s="85" t="s">
        <v>254</v>
      </c>
      <c r="I103" s="85">
        <v>19167.044933323556</v>
      </c>
      <c r="J103" s="85">
        <v>39662.177532884991</v>
      </c>
      <c r="K103" s="85" t="s">
        <v>254</v>
      </c>
      <c r="L103" s="85" t="s">
        <v>254</v>
      </c>
      <c r="M103" s="85">
        <v>1.4573986760391735</v>
      </c>
      <c r="N103" s="85" t="s">
        <v>254</v>
      </c>
      <c r="O103" s="85">
        <v>39660.720134208954</v>
      </c>
      <c r="P103" s="85">
        <v>12309.056727038129</v>
      </c>
      <c r="Q103" s="85">
        <v>27351.663407170821</v>
      </c>
      <c r="R103" s="85"/>
      <c r="S103" s="86"/>
    </row>
    <row r="104" spans="1:19" ht="15">
      <c r="A104" s="70">
        <v>27</v>
      </c>
      <c r="B104" s="94" t="str">
        <f t="shared" si="4"/>
        <v>341</v>
      </c>
      <c r="C104" s="72" t="s">
        <v>331</v>
      </c>
      <c r="D104" s="72" t="s">
        <v>307</v>
      </c>
      <c r="E104" s="85">
        <v>85199545.33615385</v>
      </c>
      <c r="F104" s="85" t="s">
        <v>254</v>
      </c>
      <c r="G104" s="85">
        <v>74615824.168647319</v>
      </c>
      <c r="H104" s="85" t="s">
        <v>254</v>
      </c>
      <c r="I104" s="85">
        <v>3448263.4764701715</v>
      </c>
      <c r="J104" s="85">
        <v>7135457.6910363631</v>
      </c>
      <c r="K104" s="85" t="s">
        <v>254</v>
      </c>
      <c r="L104" s="85" t="s">
        <v>254</v>
      </c>
      <c r="M104" s="85">
        <v>262.19454499762827</v>
      </c>
      <c r="N104" s="85" t="s">
        <v>254</v>
      </c>
      <c r="O104" s="85">
        <v>7135195.4964913651</v>
      </c>
      <c r="P104" s="85">
        <v>2214471.2911822409</v>
      </c>
      <c r="Q104" s="85">
        <v>4920724.2053091247</v>
      </c>
      <c r="R104" s="85"/>
      <c r="S104" s="86"/>
    </row>
    <row r="105" spans="1:19" ht="15">
      <c r="A105" s="70">
        <v>28</v>
      </c>
      <c r="B105" s="94" t="str">
        <f t="shared" si="4"/>
        <v>342</v>
      </c>
      <c r="C105" s="72" t="s">
        <v>332</v>
      </c>
      <c r="D105" s="72" t="s">
        <v>307</v>
      </c>
      <c r="E105" s="85">
        <v>61689624.470000014</v>
      </c>
      <c r="F105" s="85" t="s">
        <v>254</v>
      </c>
      <c r="G105" s="85">
        <v>54026370.144608535</v>
      </c>
      <c r="H105" s="85" t="s">
        <v>254</v>
      </c>
      <c r="I105" s="85">
        <v>2496751.3394322586</v>
      </c>
      <c r="J105" s="85">
        <v>5166502.985959217</v>
      </c>
      <c r="K105" s="85" t="s">
        <v>254</v>
      </c>
      <c r="L105" s="85" t="s">
        <v>254</v>
      </c>
      <c r="M105" s="85">
        <v>189.84471049897243</v>
      </c>
      <c r="N105" s="85" t="s">
        <v>254</v>
      </c>
      <c r="O105" s="85">
        <v>5166313.1412487179</v>
      </c>
      <c r="P105" s="85">
        <v>1603411.1662642758</v>
      </c>
      <c r="Q105" s="85">
        <v>3562901.9749844423</v>
      </c>
      <c r="R105" s="85"/>
      <c r="S105" s="86"/>
    </row>
    <row r="106" spans="1:19" ht="15">
      <c r="A106" s="70">
        <v>29</v>
      </c>
      <c r="B106" s="94" t="str">
        <f t="shared" si="4"/>
        <v>343</v>
      </c>
      <c r="C106" s="72" t="s">
        <v>333</v>
      </c>
      <c r="D106" s="72" t="s">
        <v>307</v>
      </c>
      <c r="E106" s="85">
        <v>655616106.30230772</v>
      </c>
      <c r="F106" s="85" t="s">
        <v>254</v>
      </c>
      <c r="G106" s="85">
        <v>574173675.65725255</v>
      </c>
      <c r="H106" s="85" t="s">
        <v>254</v>
      </c>
      <c r="I106" s="85">
        <v>26534614.299033172</v>
      </c>
      <c r="J106" s="85">
        <v>54907816.346022055</v>
      </c>
      <c r="K106" s="85" t="s">
        <v>254</v>
      </c>
      <c r="L106" s="85" t="s">
        <v>254</v>
      </c>
      <c r="M106" s="85">
        <v>2017.6042724972863</v>
      </c>
      <c r="N106" s="85" t="s">
        <v>254</v>
      </c>
      <c r="O106" s="85">
        <v>54905798.741749555</v>
      </c>
      <c r="P106" s="85">
        <v>17040502.266941853</v>
      </c>
      <c r="Q106" s="85">
        <v>37865296.474807702</v>
      </c>
      <c r="R106" s="85"/>
      <c r="S106" s="86"/>
    </row>
    <row r="107" spans="1:19" ht="15">
      <c r="A107" s="70">
        <v>30</v>
      </c>
      <c r="B107" s="94" t="str">
        <f t="shared" si="4"/>
        <v>344</v>
      </c>
      <c r="C107" s="72" t="s">
        <v>334</v>
      </c>
      <c r="D107" s="72" t="s">
        <v>307</v>
      </c>
      <c r="E107" s="85">
        <v>131076789.80999993</v>
      </c>
      <c r="F107" s="85" t="s">
        <v>254</v>
      </c>
      <c r="G107" s="85">
        <v>114794071.52309589</v>
      </c>
      <c r="H107" s="85" t="s">
        <v>254</v>
      </c>
      <c r="I107" s="85">
        <v>5305043.6493700687</v>
      </c>
      <c r="J107" s="85">
        <v>10977674.637533957</v>
      </c>
      <c r="K107" s="85" t="s">
        <v>254</v>
      </c>
      <c r="L107" s="85" t="s">
        <v>254</v>
      </c>
      <c r="M107" s="85">
        <v>403.377965555868</v>
      </c>
      <c r="N107" s="85" t="s">
        <v>254</v>
      </c>
      <c r="O107" s="85">
        <v>10977271.259568401</v>
      </c>
      <c r="P107" s="85">
        <v>3406893.6263607196</v>
      </c>
      <c r="Q107" s="85">
        <v>7570377.6332076816</v>
      </c>
      <c r="R107" s="85"/>
      <c r="S107" s="86"/>
    </row>
    <row r="108" spans="1:19" ht="15">
      <c r="A108" s="70">
        <v>31</v>
      </c>
      <c r="B108" s="94" t="str">
        <f t="shared" si="4"/>
        <v>345</v>
      </c>
      <c r="C108" s="72" t="s">
        <v>335</v>
      </c>
      <c r="D108" s="72" t="s">
        <v>307</v>
      </c>
      <c r="E108" s="85">
        <v>75753692.926923066</v>
      </c>
      <c r="F108" s="85" t="s">
        <v>254</v>
      </c>
      <c r="G108" s="85">
        <v>66343361.449399963</v>
      </c>
      <c r="H108" s="85" t="s">
        <v>254</v>
      </c>
      <c r="I108" s="85">
        <v>3065963.4566946356</v>
      </c>
      <c r="J108" s="85">
        <v>6344368.0208284725</v>
      </c>
      <c r="K108" s="85" t="s">
        <v>254</v>
      </c>
      <c r="L108" s="85" t="s">
        <v>254</v>
      </c>
      <c r="M108" s="85">
        <v>233.12571646360948</v>
      </c>
      <c r="N108" s="85" t="s">
        <v>254</v>
      </c>
      <c r="O108" s="85">
        <v>6344134.8951120088</v>
      </c>
      <c r="P108" s="85">
        <v>1968958.6080046941</v>
      </c>
      <c r="Q108" s="85">
        <v>4375176.2871073149</v>
      </c>
      <c r="R108" s="85"/>
      <c r="S108" s="86"/>
    </row>
    <row r="109" spans="1:19" ht="15">
      <c r="A109" s="70">
        <v>32</v>
      </c>
      <c r="B109" s="94" t="str">
        <f t="shared" si="4"/>
        <v>346</v>
      </c>
      <c r="C109" s="72" t="s">
        <v>336</v>
      </c>
      <c r="D109" s="72" t="s">
        <v>307</v>
      </c>
      <c r="E109" s="85">
        <v>11856036.123076925</v>
      </c>
      <c r="F109" s="85" t="s">
        <v>254</v>
      </c>
      <c r="G109" s="85">
        <v>10383246.80262401</v>
      </c>
      <c r="H109" s="85" t="s">
        <v>254</v>
      </c>
      <c r="I109" s="85">
        <v>479846.88389609114</v>
      </c>
      <c r="J109" s="85">
        <v>992942.4365568239</v>
      </c>
      <c r="K109" s="85" t="s">
        <v>254</v>
      </c>
      <c r="L109" s="85" t="s">
        <v>254</v>
      </c>
      <c r="M109" s="85">
        <v>36.485969314750449</v>
      </c>
      <c r="N109" s="85" t="s">
        <v>254</v>
      </c>
      <c r="O109" s="85">
        <v>992905.9505875092</v>
      </c>
      <c r="P109" s="85">
        <v>308157.17992608092</v>
      </c>
      <c r="Q109" s="85">
        <v>684748.77066142822</v>
      </c>
      <c r="R109" s="85"/>
      <c r="S109" s="86"/>
    </row>
    <row r="110" spans="1:19" ht="15">
      <c r="A110" s="70">
        <v>33</v>
      </c>
      <c r="B110" s="94" t="str">
        <f t="shared" si="4"/>
        <v>347</v>
      </c>
      <c r="C110" s="72" t="s">
        <v>337</v>
      </c>
      <c r="D110" s="72" t="s">
        <v>307</v>
      </c>
      <c r="E110" s="85">
        <v>403344.08999999997</v>
      </c>
      <c r="F110" s="85" t="s">
        <v>254</v>
      </c>
      <c r="G110" s="85">
        <v>353239.58103485423</v>
      </c>
      <c r="H110" s="85" t="s">
        <v>254</v>
      </c>
      <c r="I110" s="85">
        <v>16324.461457036734</v>
      </c>
      <c r="J110" s="85">
        <v>33780.047508108983</v>
      </c>
      <c r="K110" s="85" t="s">
        <v>254</v>
      </c>
      <c r="L110" s="85" t="s">
        <v>254</v>
      </c>
      <c r="M110" s="85">
        <v>1.2412580341570925</v>
      </c>
      <c r="N110" s="85" t="s">
        <v>254</v>
      </c>
      <c r="O110" s="85">
        <v>33778.806250074827</v>
      </c>
      <c r="P110" s="85">
        <v>10483.552514851333</v>
      </c>
      <c r="Q110" s="85">
        <v>23295.253735223494</v>
      </c>
      <c r="R110" s="85"/>
      <c r="S110" s="86"/>
    </row>
    <row r="111" spans="1:19" ht="15">
      <c r="A111" s="70">
        <v>34</v>
      </c>
      <c r="B111" s="70"/>
      <c r="C111" s="72" t="s">
        <v>314</v>
      </c>
      <c r="D111" s="72" t="s">
        <v>315</v>
      </c>
      <c r="E111" s="85">
        <v>1987.3000000000002</v>
      </c>
      <c r="F111" s="85" t="s">
        <v>254</v>
      </c>
      <c r="G111" s="85">
        <v>0</v>
      </c>
      <c r="H111" s="85" t="s">
        <v>254</v>
      </c>
      <c r="I111" s="85">
        <v>647.49473912984729</v>
      </c>
      <c r="J111" s="85">
        <v>1339.8052608701528</v>
      </c>
      <c r="K111" s="85" t="s">
        <v>254</v>
      </c>
      <c r="L111" s="85" t="s">
        <v>254</v>
      </c>
      <c r="M111" s="85">
        <v>0</v>
      </c>
      <c r="N111" s="85" t="s">
        <v>254</v>
      </c>
      <c r="O111" s="85">
        <v>1339.8052608701528</v>
      </c>
      <c r="P111" s="85">
        <v>415.82046174219732</v>
      </c>
      <c r="Q111" s="85">
        <v>923.98479912795551</v>
      </c>
      <c r="R111" s="85"/>
      <c r="S111" s="86"/>
    </row>
    <row r="112" spans="1:19" ht="15">
      <c r="A112" s="70">
        <v>35</v>
      </c>
      <c r="B112" s="70"/>
      <c r="C112" s="72" t="s">
        <v>316</v>
      </c>
      <c r="D112" s="72" t="s">
        <v>317</v>
      </c>
      <c r="E112" s="85">
        <v>2048086.5</v>
      </c>
      <c r="F112" s="85" t="s">
        <v>254</v>
      </c>
      <c r="G112" s="85">
        <v>0</v>
      </c>
      <c r="H112" s="85" t="s">
        <v>254</v>
      </c>
      <c r="I112" s="85">
        <v>0</v>
      </c>
      <c r="J112" s="85">
        <v>2048086.5</v>
      </c>
      <c r="K112" s="85" t="s">
        <v>254</v>
      </c>
      <c r="L112" s="85" t="s">
        <v>254</v>
      </c>
      <c r="M112" s="85">
        <v>0</v>
      </c>
      <c r="N112" s="85" t="s">
        <v>254</v>
      </c>
      <c r="O112" s="85">
        <v>2048086.5</v>
      </c>
      <c r="P112" s="85">
        <v>635641.8346684617</v>
      </c>
      <c r="Q112" s="85">
        <v>1412444.6653315383</v>
      </c>
      <c r="R112" s="85"/>
      <c r="S112" s="86"/>
    </row>
    <row r="113" spans="1:19" ht="15">
      <c r="A113" s="70">
        <v>36</v>
      </c>
      <c r="B113" s="70"/>
      <c r="C113" s="72" t="s">
        <v>338</v>
      </c>
      <c r="D113" s="72" t="s">
        <v>254</v>
      </c>
      <c r="E113" s="85">
        <v>1024118791.3784616</v>
      </c>
      <c r="F113" s="85" t="s">
        <v>254</v>
      </c>
      <c r="G113" s="85">
        <v>895104538.62419689</v>
      </c>
      <c r="H113" s="85" t="s">
        <v>254</v>
      </c>
      <c r="I113" s="85">
        <v>41366622.106025882</v>
      </c>
      <c r="J113" s="85">
        <v>87647630.648238748</v>
      </c>
      <c r="K113" s="85" t="s">
        <v>254</v>
      </c>
      <c r="L113" s="85" t="s">
        <v>254</v>
      </c>
      <c r="M113" s="85">
        <v>3145.3318360383109</v>
      </c>
      <c r="N113" s="85" t="s">
        <v>254</v>
      </c>
      <c r="O113" s="85">
        <v>87644485.316402704</v>
      </c>
      <c r="P113" s="85">
        <v>27201244.403051957</v>
      </c>
      <c r="Q113" s="85">
        <v>60443240.913350739</v>
      </c>
      <c r="R113" s="85"/>
      <c r="S113" s="86"/>
    </row>
    <row r="114" spans="1:19" ht="15">
      <c r="A114" s="70" t="s">
        <v>254</v>
      </c>
      <c r="B114" s="70"/>
      <c r="C114" s="72" t="s">
        <v>254</v>
      </c>
      <c r="D114" s="72" t="s">
        <v>254</v>
      </c>
      <c r="E114" s="85" t="s">
        <v>254</v>
      </c>
      <c r="F114" s="85" t="s">
        <v>254</v>
      </c>
      <c r="G114" s="85" t="s">
        <v>254</v>
      </c>
      <c r="H114" s="85" t="s">
        <v>254</v>
      </c>
      <c r="I114" s="85" t="s">
        <v>254</v>
      </c>
      <c r="J114" s="85" t="s">
        <v>254</v>
      </c>
      <c r="K114" s="85" t="s">
        <v>254</v>
      </c>
      <c r="L114" s="85" t="s">
        <v>254</v>
      </c>
      <c r="M114" s="85" t="s">
        <v>254</v>
      </c>
      <c r="N114" s="85" t="s">
        <v>254</v>
      </c>
      <c r="O114" s="85" t="s">
        <v>254</v>
      </c>
      <c r="P114" s="85" t="s">
        <v>254</v>
      </c>
      <c r="Q114" s="85" t="s">
        <v>254</v>
      </c>
      <c r="R114" s="85"/>
      <c r="S114" s="86"/>
    </row>
    <row r="115" spans="1:19" ht="15">
      <c r="A115" s="70">
        <v>37</v>
      </c>
      <c r="B115" s="70"/>
      <c r="C115" s="72" t="s">
        <v>339</v>
      </c>
      <c r="D115" s="72" t="s">
        <v>254</v>
      </c>
      <c r="E115" s="85">
        <v>6384955561.7069225</v>
      </c>
      <c r="F115" s="85" t="s">
        <v>254</v>
      </c>
      <c r="G115" s="85">
        <v>5555682673.1358967</v>
      </c>
      <c r="H115" s="85" t="s">
        <v>254</v>
      </c>
      <c r="I115" s="85">
        <v>262305293.60178038</v>
      </c>
      <c r="J115" s="85">
        <v>566967594.96924615</v>
      </c>
      <c r="K115" s="85" t="s">
        <v>254</v>
      </c>
      <c r="L115" s="85" t="s">
        <v>254</v>
      </c>
      <c r="M115" s="85">
        <v>19522.262293071992</v>
      </c>
      <c r="N115" s="85" t="s">
        <v>254</v>
      </c>
      <c r="O115" s="85">
        <v>566948072.70695305</v>
      </c>
      <c r="P115" s="85">
        <v>175957369.52379501</v>
      </c>
      <c r="Q115" s="85">
        <v>390990703.18315798</v>
      </c>
      <c r="R115" s="85"/>
      <c r="S115" s="86"/>
    </row>
    <row r="116" spans="1:19" ht="15">
      <c r="A116" s="70" t="s">
        <v>254</v>
      </c>
      <c r="B116" s="70"/>
      <c r="C116" s="72" t="s">
        <v>254</v>
      </c>
      <c r="D116" s="72" t="s">
        <v>254</v>
      </c>
      <c r="E116" s="85" t="s">
        <v>254</v>
      </c>
      <c r="F116" s="85" t="s">
        <v>254</v>
      </c>
      <c r="G116" s="85" t="s">
        <v>254</v>
      </c>
      <c r="H116" s="85" t="s">
        <v>254</v>
      </c>
      <c r="I116" s="85" t="s">
        <v>254</v>
      </c>
      <c r="J116" s="85" t="s">
        <v>254</v>
      </c>
      <c r="K116" s="85" t="s">
        <v>254</v>
      </c>
      <c r="L116" s="85" t="s">
        <v>254</v>
      </c>
      <c r="M116" s="85" t="s">
        <v>254</v>
      </c>
      <c r="N116" s="85" t="s">
        <v>254</v>
      </c>
      <c r="O116" s="85" t="s">
        <v>254</v>
      </c>
      <c r="P116" s="85" t="s">
        <v>254</v>
      </c>
      <c r="Q116" s="85" t="s">
        <v>254</v>
      </c>
      <c r="R116" s="85"/>
      <c r="S116" s="86"/>
    </row>
    <row r="117" spans="1:19" ht="15">
      <c r="A117" s="70" t="s">
        <v>254</v>
      </c>
      <c r="B117" s="70"/>
      <c r="C117" s="72" t="s">
        <v>340</v>
      </c>
      <c r="D117" s="72" t="s">
        <v>254</v>
      </c>
      <c r="E117" s="85" t="s">
        <v>254</v>
      </c>
      <c r="F117" s="85" t="s">
        <v>254</v>
      </c>
      <c r="G117" s="85" t="s">
        <v>254</v>
      </c>
      <c r="H117" s="85" t="s">
        <v>254</v>
      </c>
      <c r="I117" s="85" t="s">
        <v>254</v>
      </c>
      <c r="J117" s="85" t="s">
        <v>254</v>
      </c>
      <c r="K117" s="85" t="s">
        <v>254</v>
      </c>
      <c r="L117" s="85" t="s">
        <v>254</v>
      </c>
      <c r="M117" s="85" t="s">
        <v>254</v>
      </c>
      <c r="N117" s="85" t="s">
        <v>254</v>
      </c>
      <c r="O117" s="85" t="s">
        <v>254</v>
      </c>
      <c r="P117" s="85" t="s">
        <v>254</v>
      </c>
      <c r="Q117" s="85" t="s">
        <v>254</v>
      </c>
      <c r="R117" s="85"/>
      <c r="S117" s="86"/>
    </row>
    <row r="118" spans="1:19" ht="15">
      <c r="A118" s="70" t="s">
        <v>254</v>
      </c>
      <c r="B118" s="70"/>
      <c r="C118" s="72" t="s">
        <v>254</v>
      </c>
      <c r="D118" s="72" t="s">
        <v>254</v>
      </c>
      <c r="E118" s="85" t="s">
        <v>254</v>
      </c>
      <c r="F118" s="85" t="s">
        <v>254</v>
      </c>
      <c r="G118" s="85" t="s">
        <v>254</v>
      </c>
      <c r="H118" s="85" t="s">
        <v>254</v>
      </c>
      <c r="I118" s="85" t="s">
        <v>254</v>
      </c>
      <c r="J118" s="85" t="s">
        <v>254</v>
      </c>
      <c r="K118" s="85" t="s">
        <v>254</v>
      </c>
      <c r="L118" s="85" t="s">
        <v>254</v>
      </c>
      <c r="M118" s="85" t="s">
        <v>254</v>
      </c>
      <c r="N118" s="85" t="s">
        <v>254</v>
      </c>
      <c r="O118" s="85" t="s">
        <v>254</v>
      </c>
      <c r="P118" s="85" t="s">
        <v>254</v>
      </c>
      <c r="Q118" s="85" t="s">
        <v>254</v>
      </c>
      <c r="R118" s="85"/>
      <c r="S118" s="86"/>
    </row>
    <row r="119" spans="1:19" ht="15">
      <c r="A119" s="70" t="s">
        <v>254</v>
      </c>
      <c r="B119" s="70"/>
      <c r="C119" s="72" t="s">
        <v>341</v>
      </c>
      <c r="D119" s="72" t="s">
        <v>254</v>
      </c>
      <c r="E119" s="85" t="s">
        <v>254</v>
      </c>
      <c r="F119" s="85" t="s">
        <v>254</v>
      </c>
      <c r="G119" s="85" t="s">
        <v>254</v>
      </c>
      <c r="H119" s="85" t="s">
        <v>254</v>
      </c>
      <c r="I119" s="85" t="s">
        <v>254</v>
      </c>
      <c r="J119" s="85" t="s">
        <v>254</v>
      </c>
      <c r="K119" s="85" t="s">
        <v>254</v>
      </c>
      <c r="L119" s="85" t="s">
        <v>254</v>
      </c>
      <c r="M119" s="85" t="s">
        <v>254</v>
      </c>
      <c r="N119" s="85" t="s">
        <v>254</v>
      </c>
      <c r="O119" s="85" t="s">
        <v>254</v>
      </c>
      <c r="P119" s="85" t="s">
        <v>254</v>
      </c>
      <c r="Q119" s="85" t="s">
        <v>254</v>
      </c>
      <c r="R119" s="85"/>
      <c r="S119" s="86"/>
    </row>
    <row r="120" spans="1:19" ht="15">
      <c r="A120" s="70" t="s">
        <v>254</v>
      </c>
      <c r="B120" s="70"/>
      <c r="C120" s="72" t="s">
        <v>342</v>
      </c>
      <c r="D120" s="72" t="s">
        <v>254</v>
      </c>
      <c r="E120" s="85" t="s">
        <v>254</v>
      </c>
      <c r="F120" s="85" t="s">
        <v>254</v>
      </c>
      <c r="G120" s="85" t="s">
        <v>254</v>
      </c>
      <c r="H120" s="85" t="s">
        <v>254</v>
      </c>
      <c r="I120" s="85" t="s">
        <v>254</v>
      </c>
      <c r="J120" s="85" t="s">
        <v>254</v>
      </c>
      <c r="K120" s="85" t="s">
        <v>254</v>
      </c>
      <c r="L120" s="85" t="s">
        <v>254</v>
      </c>
      <c r="M120" s="85" t="s">
        <v>254</v>
      </c>
      <c r="N120" s="85" t="s">
        <v>254</v>
      </c>
      <c r="O120" s="85" t="s">
        <v>254</v>
      </c>
      <c r="P120" s="85" t="s">
        <v>254</v>
      </c>
      <c r="Q120" s="85" t="s">
        <v>254</v>
      </c>
      <c r="R120" s="85"/>
      <c r="S120" s="86"/>
    </row>
    <row r="121" spans="1:19" ht="15">
      <c r="A121" s="70">
        <v>1</v>
      </c>
      <c r="B121" s="94" t="str">
        <f t="shared" ref="B121:B129" si="5">MID(C121,2,3)</f>
        <v>350</v>
      </c>
      <c r="C121" s="72" t="s">
        <v>343</v>
      </c>
      <c r="D121" s="72" t="s">
        <v>344</v>
      </c>
      <c r="E121" s="85">
        <v>29542336.749999996</v>
      </c>
      <c r="F121" s="85" t="s">
        <v>254</v>
      </c>
      <c r="G121" s="85">
        <v>28237291.529314786</v>
      </c>
      <c r="H121" s="85" t="s">
        <v>254</v>
      </c>
      <c r="I121" s="85">
        <v>1304945.9969094638</v>
      </c>
      <c r="J121" s="85">
        <v>99.223775747088837</v>
      </c>
      <c r="K121" s="85" t="s">
        <v>254</v>
      </c>
      <c r="L121" s="85" t="s">
        <v>254</v>
      </c>
      <c r="M121" s="85">
        <v>99.223775747088837</v>
      </c>
      <c r="N121" s="85" t="s">
        <v>254</v>
      </c>
      <c r="O121" s="85">
        <v>0</v>
      </c>
      <c r="P121" s="85">
        <v>0</v>
      </c>
      <c r="Q121" s="85">
        <v>0</v>
      </c>
      <c r="R121" s="85"/>
      <c r="S121" s="86"/>
    </row>
    <row r="122" spans="1:19" ht="15">
      <c r="A122" s="70">
        <v>2</v>
      </c>
      <c r="B122" s="94" t="str">
        <f t="shared" si="5"/>
        <v>352</v>
      </c>
      <c r="C122" s="72" t="s">
        <v>345</v>
      </c>
      <c r="D122" s="72" t="s">
        <v>344</v>
      </c>
      <c r="E122" s="85">
        <v>27098118.149999999</v>
      </c>
      <c r="F122" s="85" t="s">
        <v>254</v>
      </c>
      <c r="G122" s="85">
        <v>25901047.319737371</v>
      </c>
      <c r="H122" s="85" t="s">
        <v>254</v>
      </c>
      <c r="I122" s="85">
        <v>1196979.8158780443</v>
      </c>
      <c r="J122" s="85">
        <v>91.014384584310775</v>
      </c>
      <c r="K122" s="85" t="s">
        <v>254</v>
      </c>
      <c r="L122" s="85" t="s">
        <v>254</v>
      </c>
      <c r="M122" s="85">
        <v>91.014384584310775</v>
      </c>
      <c r="N122" s="85" t="s">
        <v>254</v>
      </c>
      <c r="O122" s="85">
        <v>0</v>
      </c>
      <c r="P122" s="85">
        <v>0</v>
      </c>
      <c r="Q122" s="85">
        <v>0</v>
      </c>
      <c r="R122" s="85"/>
      <c r="S122" s="86"/>
    </row>
    <row r="123" spans="1:19" ht="15">
      <c r="A123" s="70">
        <v>3</v>
      </c>
      <c r="B123" s="94" t="str">
        <f t="shared" si="5"/>
        <v>353</v>
      </c>
      <c r="C123" s="72" t="s">
        <v>346</v>
      </c>
      <c r="D123" s="72" t="s">
        <v>344</v>
      </c>
      <c r="E123" s="85">
        <v>291246029.45923078</v>
      </c>
      <c r="F123" s="85" t="s">
        <v>254</v>
      </c>
      <c r="G123" s="85">
        <v>278380112.92710966</v>
      </c>
      <c r="H123" s="85" t="s">
        <v>254</v>
      </c>
      <c r="I123" s="85">
        <v>12864938.324778892</v>
      </c>
      <c r="J123" s="85">
        <v>978.20734218977248</v>
      </c>
      <c r="K123" s="85" t="s">
        <v>254</v>
      </c>
      <c r="L123" s="85" t="s">
        <v>254</v>
      </c>
      <c r="M123" s="85">
        <v>978.20734218977248</v>
      </c>
      <c r="N123" s="85" t="s">
        <v>254</v>
      </c>
      <c r="O123" s="85">
        <v>0</v>
      </c>
      <c r="P123" s="85">
        <v>0</v>
      </c>
      <c r="Q123" s="85">
        <v>0</v>
      </c>
      <c r="R123" s="85"/>
      <c r="S123" s="86"/>
    </row>
    <row r="124" spans="1:19" ht="15">
      <c r="A124" s="70">
        <v>4</v>
      </c>
      <c r="B124" s="94" t="str">
        <f t="shared" si="5"/>
        <v>354</v>
      </c>
      <c r="C124" s="72" t="s">
        <v>347</v>
      </c>
      <c r="D124" s="72" t="s">
        <v>344</v>
      </c>
      <c r="E124" s="85">
        <v>68226965.939999983</v>
      </c>
      <c r="F124" s="85" t="s">
        <v>254</v>
      </c>
      <c r="G124" s="85">
        <v>65213010.863414869</v>
      </c>
      <c r="H124" s="85" t="s">
        <v>254</v>
      </c>
      <c r="I124" s="85">
        <v>3013725.9228378851</v>
      </c>
      <c r="J124" s="85">
        <v>229.15374723479945</v>
      </c>
      <c r="K124" s="85" t="s">
        <v>254</v>
      </c>
      <c r="L124" s="85" t="s">
        <v>254</v>
      </c>
      <c r="M124" s="85">
        <v>229.15374723479945</v>
      </c>
      <c r="N124" s="85" t="s">
        <v>254</v>
      </c>
      <c r="O124" s="85">
        <v>0</v>
      </c>
      <c r="P124" s="85">
        <v>0</v>
      </c>
      <c r="Q124" s="85">
        <v>0</v>
      </c>
      <c r="R124" s="85"/>
      <c r="S124" s="86"/>
    </row>
    <row r="125" spans="1:19" ht="15">
      <c r="A125" s="70">
        <v>5</v>
      </c>
      <c r="B125" s="94" t="str">
        <f t="shared" si="5"/>
        <v>355</v>
      </c>
      <c r="C125" s="72" t="s">
        <v>348</v>
      </c>
      <c r="D125" s="72" t="s">
        <v>344</v>
      </c>
      <c r="E125" s="85">
        <v>328873636.04384613</v>
      </c>
      <c r="F125" s="85" t="s">
        <v>254</v>
      </c>
      <c r="G125" s="85">
        <v>314345504.07647938</v>
      </c>
      <c r="H125" s="85" t="s">
        <v>254</v>
      </c>
      <c r="I125" s="85">
        <v>14527027.380272381</v>
      </c>
      <c r="J125" s="85">
        <v>1104.5870943822447</v>
      </c>
      <c r="K125" s="85" t="s">
        <v>254</v>
      </c>
      <c r="L125" s="85" t="s">
        <v>254</v>
      </c>
      <c r="M125" s="85">
        <v>1104.5870943822447</v>
      </c>
      <c r="N125" s="85" t="s">
        <v>254</v>
      </c>
      <c r="O125" s="85">
        <v>0</v>
      </c>
      <c r="P125" s="85">
        <v>0</v>
      </c>
      <c r="Q125" s="85">
        <v>0</v>
      </c>
      <c r="R125" s="85"/>
      <c r="S125" s="86"/>
    </row>
    <row r="126" spans="1:19" ht="15">
      <c r="A126" s="70">
        <v>6</v>
      </c>
      <c r="B126" s="94" t="str">
        <f t="shared" si="5"/>
        <v>356</v>
      </c>
      <c r="C126" s="72" t="s">
        <v>349</v>
      </c>
      <c r="D126" s="72" t="s">
        <v>344</v>
      </c>
      <c r="E126" s="85">
        <v>166807898.2976923</v>
      </c>
      <c r="F126" s="85" t="s">
        <v>254</v>
      </c>
      <c r="G126" s="85">
        <v>159439088.83999264</v>
      </c>
      <c r="H126" s="85" t="s">
        <v>254</v>
      </c>
      <c r="I126" s="85">
        <v>7368249.200410815</v>
      </c>
      <c r="J126" s="85">
        <v>560.25728883932732</v>
      </c>
      <c r="K126" s="85" t="s">
        <v>254</v>
      </c>
      <c r="L126" s="85" t="s">
        <v>254</v>
      </c>
      <c r="M126" s="85">
        <v>560.25728883932732</v>
      </c>
      <c r="N126" s="85" t="s">
        <v>254</v>
      </c>
      <c r="O126" s="85">
        <v>0</v>
      </c>
      <c r="P126" s="85">
        <v>0</v>
      </c>
      <c r="Q126" s="85">
        <v>0</v>
      </c>
      <c r="R126" s="85"/>
      <c r="S126" s="86"/>
    </row>
    <row r="127" spans="1:19" ht="15">
      <c r="A127" s="70">
        <v>7</v>
      </c>
      <c r="B127" s="94" t="str">
        <f t="shared" si="5"/>
        <v>357</v>
      </c>
      <c r="C127" s="72" t="s">
        <v>350</v>
      </c>
      <c r="D127" s="72" t="s">
        <v>344</v>
      </c>
      <c r="E127" s="85">
        <v>447363.26</v>
      </c>
      <c r="F127" s="85" t="s">
        <v>254</v>
      </c>
      <c r="G127" s="85">
        <v>427600.79877989512</v>
      </c>
      <c r="H127" s="85" t="s">
        <v>254</v>
      </c>
      <c r="I127" s="85">
        <v>19760.958662194102</v>
      </c>
      <c r="J127" s="85">
        <v>1.5025579108168077</v>
      </c>
      <c r="K127" s="85" t="s">
        <v>254</v>
      </c>
      <c r="L127" s="85" t="s">
        <v>254</v>
      </c>
      <c r="M127" s="85">
        <v>1.5025579108168077</v>
      </c>
      <c r="N127" s="85" t="s">
        <v>254</v>
      </c>
      <c r="O127" s="85">
        <v>0</v>
      </c>
      <c r="P127" s="85">
        <v>0</v>
      </c>
      <c r="Q127" s="85">
        <v>0</v>
      </c>
      <c r="R127" s="85"/>
      <c r="S127" s="86"/>
    </row>
    <row r="128" spans="1:19" ht="15">
      <c r="A128" s="70">
        <v>8</v>
      </c>
      <c r="B128" s="94" t="str">
        <f t="shared" si="5"/>
        <v>358</v>
      </c>
      <c r="C128" s="72" t="s">
        <v>351</v>
      </c>
      <c r="D128" s="72" t="s">
        <v>344</v>
      </c>
      <c r="E128" s="85">
        <v>1113375.08</v>
      </c>
      <c r="F128" s="85" t="s">
        <v>254</v>
      </c>
      <c r="G128" s="85">
        <v>1064191.2649456945</v>
      </c>
      <c r="H128" s="85" t="s">
        <v>254</v>
      </c>
      <c r="I128" s="85">
        <v>49180.075564088685</v>
      </c>
      <c r="J128" s="85">
        <v>3.7394902168772113</v>
      </c>
      <c r="K128" s="85" t="s">
        <v>254</v>
      </c>
      <c r="L128" s="85" t="s">
        <v>254</v>
      </c>
      <c r="M128" s="85">
        <v>3.7394902168772113</v>
      </c>
      <c r="N128" s="85" t="s">
        <v>254</v>
      </c>
      <c r="O128" s="85">
        <v>0</v>
      </c>
      <c r="P128" s="85">
        <v>0</v>
      </c>
      <c r="Q128" s="85">
        <v>0</v>
      </c>
      <c r="R128" s="85"/>
      <c r="S128" s="86"/>
    </row>
    <row r="129" spans="1:19" ht="15">
      <c r="A129" s="70">
        <v>9</v>
      </c>
      <c r="B129" s="94" t="str">
        <f t="shared" si="5"/>
        <v>359</v>
      </c>
      <c r="C129" s="72" t="s">
        <v>352</v>
      </c>
      <c r="D129" s="72" t="s">
        <v>344</v>
      </c>
      <c r="E129" s="85">
        <v>413450.63</v>
      </c>
      <c r="F129" s="85" t="s">
        <v>254</v>
      </c>
      <c r="G129" s="85">
        <v>395186.27355328837</v>
      </c>
      <c r="H129" s="85" t="s">
        <v>254</v>
      </c>
      <c r="I129" s="85">
        <v>18262.967791070078</v>
      </c>
      <c r="J129" s="85">
        <v>1.3886556415891036</v>
      </c>
      <c r="K129" s="85" t="s">
        <v>254</v>
      </c>
      <c r="L129" s="85" t="s">
        <v>254</v>
      </c>
      <c r="M129" s="85">
        <v>1.3886556415891036</v>
      </c>
      <c r="N129" s="85" t="s">
        <v>254</v>
      </c>
      <c r="O129" s="85">
        <v>0</v>
      </c>
      <c r="P129" s="85">
        <v>0</v>
      </c>
      <c r="Q129" s="85">
        <v>0</v>
      </c>
      <c r="R129" s="85"/>
      <c r="S129" s="86"/>
    </row>
    <row r="130" spans="1:19" ht="15">
      <c r="A130" s="70">
        <v>10</v>
      </c>
      <c r="B130" s="70"/>
      <c r="C130" s="72" t="s">
        <v>314</v>
      </c>
      <c r="D130" s="72" t="s">
        <v>315</v>
      </c>
      <c r="E130" s="85">
        <v>3143920.9000000004</v>
      </c>
      <c r="F130" s="85" t="s">
        <v>254</v>
      </c>
      <c r="G130" s="85">
        <v>0</v>
      </c>
      <c r="H130" s="85" t="s">
        <v>254</v>
      </c>
      <c r="I130" s="85">
        <v>1024340.6848439465</v>
      </c>
      <c r="J130" s="85">
        <v>2119580.2151560537</v>
      </c>
      <c r="K130" s="85" t="s">
        <v>254</v>
      </c>
      <c r="L130" s="85" t="s">
        <v>254</v>
      </c>
      <c r="M130" s="85">
        <v>0</v>
      </c>
      <c r="N130" s="85" t="s">
        <v>254</v>
      </c>
      <c r="O130" s="85">
        <v>2119580.2151560537</v>
      </c>
      <c r="P130" s="85">
        <v>657830.54411460005</v>
      </c>
      <c r="Q130" s="85">
        <v>1461749.6710414537</v>
      </c>
      <c r="R130" s="85"/>
      <c r="S130" s="86"/>
    </row>
    <row r="131" spans="1:19" ht="15">
      <c r="A131" s="70">
        <v>11</v>
      </c>
      <c r="B131" s="70"/>
      <c r="C131" s="72" t="s">
        <v>316</v>
      </c>
      <c r="D131" s="72" t="s">
        <v>317</v>
      </c>
      <c r="E131" s="85">
        <v>1430766.6</v>
      </c>
      <c r="F131" s="85" t="s">
        <v>254</v>
      </c>
      <c r="G131" s="85">
        <v>0</v>
      </c>
      <c r="H131" s="85" t="s">
        <v>254</v>
      </c>
      <c r="I131" s="85">
        <v>0</v>
      </c>
      <c r="J131" s="85">
        <v>1430766.6</v>
      </c>
      <c r="K131" s="85" t="s">
        <v>254</v>
      </c>
      <c r="L131" s="85" t="s">
        <v>254</v>
      </c>
      <c r="M131" s="85">
        <v>0</v>
      </c>
      <c r="N131" s="85" t="s">
        <v>254</v>
      </c>
      <c r="O131" s="85">
        <v>1430766.6</v>
      </c>
      <c r="P131" s="85">
        <v>444051.1211837767</v>
      </c>
      <c r="Q131" s="85">
        <v>986715.47881622333</v>
      </c>
      <c r="R131" s="85"/>
      <c r="S131" s="86"/>
    </row>
    <row r="132" spans="1:19" ht="15">
      <c r="A132" s="70">
        <v>12</v>
      </c>
      <c r="B132" s="70"/>
      <c r="C132" s="72" t="s">
        <v>353</v>
      </c>
      <c r="D132" s="72" t="s">
        <v>254</v>
      </c>
      <c r="E132" s="85">
        <v>918343861.11076915</v>
      </c>
      <c r="F132" s="85" t="s">
        <v>254</v>
      </c>
      <c r="G132" s="85">
        <v>873403033.89332759</v>
      </c>
      <c r="H132" s="85" t="s">
        <v>254</v>
      </c>
      <c r="I132" s="85">
        <v>41387411.327948786</v>
      </c>
      <c r="J132" s="85">
        <v>3553415.8894928005</v>
      </c>
      <c r="K132" s="85" t="s">
        <v>254</v>
      </c>
      <c r="L132" s="85" t="s">
        <v>254</v>
      </c>
      <c r="M132" s="85">
        <v>3069.0743367468272</v>
      </c>
      <c r="N132" s="85" t="s">
        <v>254</v>
      </c>
      <c r="O132" s="85">
        <v>3550346.8151560538</v>
      </c>
      <c r="P132" s="85">
        <v>1101881.6652983767</v>
      </c>
      <c r="Q132" s="85">
        <v>2448465.1498576771</v>
      </c>
      <c r="R132" s="85"/>
      <c r="S132" s="86"/>
    </row>
    <row r="133" spans="1:19" ht="15">
      <c r="A133" s="70" t="s">
        <v>254</v>
      </c>
      <c r="B133" s="70"/>
      <c r="C133" s="72" t="s">
        <v>254</v>
      </c>
      <c r="D133" s="72" t="s">
        <v>254</v>
      </c>
      <c r="E133" s="85" t="s">
        <v>254</v>
      </c>
      <c r="F133" s="85" t="s">
        <v>254</v>
      </c>
      <c r="G133" s="85" t="s">
        <v>254</v>
      </c>
      <c r="H133" s="85" t="s">
        <v>254</v>
      </c>
      <c r="I133" s="85" t="s">
        <v>254</v>
      </c>
      <c r="J133" s="85" t="s">
        <v>254</v>
      </c>
      <c r="K133" s="85" t="s">
        <v>254</v>
      </c>
      <c r="L133" s="85" t="s">
        <v>254</v>
      </c>
      <c r="M133" s="85" t="s">
        <v>254</v>
      </c>
      <c r="N133" s="85" t="s">
        <v>254</v>
      </c>
      <c r="O133" s="85" t="s">
        <v>254</v>
      </c>
      <c r="P133" s="85" t="s">
        <v>254</v>
      </c>
      <c r="Q133" s="85" t="s">
        <v>254</v>
      </c>
      <c r="R133" s="85"/>
      <c r="S133" s="86"/>
    </row>
    <row r="134" spans="1:19" ht="15">
      <c r="A134" s="70" t="s">
        <v>254</v>
      </c>
      <c r="B134" s="70"/>
      <c r="C134" s="72" t="s">
        <v>354</v>
      </c>
      <c r="D134" s="72" t="s">
        <v>254</v>
      </c>
      <c r="E134" s="85" t="s">
        <v>254</v>
      </c>
      <c r="F134" s="85" t="s">
        <v>254</v>
      </c>
      <c r="G134" s="85" t="s">
        <v>254</v>
      </c>
      <c r="H134" s="85" t="s">
        <v>254</v>
      </c>
      <c r="I134" s="85" t="s">
        <v>254</v>
      </c>
      <c r="J134" s="85" t="s">
        <v>254</v>
      </c>
      <c r="K134" s="85" t="s">
        <v>254</v>
      </c>
      <c r="L134" s="85" t="s">
        <v>254</v>
      </c>
      <c r="M134" s="85" t="s">
        <v>254</v>
      </c>
      <c r="N134" s="85" t="s">
        <v>254</v>
      </c>
      <c r="O134" s="85" t="s">
        <v>254</v>
      </c>
      <c r="P134" s="85" t="s">
        <v>254</v>
      </c>
      <c r="Q134" s="85" t="s">
        <v>254</v>
      </c>
      <c r="R134" s="85"/>
      <c r="S134" s="86"/>
    </row>
    <row r="135" spans="1:19" ht="15">
      <c r="A135" s="70">
        <v>13</v>
      </c>
      <c r="B135" s="94" t="str">
        <f t="shared" ref="B135:B140" si="6">MID(C135,2,3)</f>
        <v>350</v>
      </c>
      <c r="C135" s="72" t="s">
        <v>343</v>
      </c>
      <c r="D135" s="72" t="s">
        <v>355</v>
      </c>
      <c r="E135" s="85">
        <v>1883960.9700000011</v>
      </c>
      <c r="F135" s="85" t="s">
        <v>254</v>
      </c>
      <c r="G135" s="85">
        <v>0</v>
      </c>
      <c r="H135" s="85" t="s">
        <v>254</v>
      </c>
      <c r="I135" s="85">
        <v>1883960.9700000011</v>
      </c>
      <c r="J135" s="85">
        <v>0</v>
      </c>
      <c r="K135" s="85" t="s">
        <v>254</v>
      </c>
      <c r="L135" s="85" t="s">
        <v>254</v>
      </c>
      <c r="M135" s="85">
        <v>0</v>
      </c>
      <c r="N135" s="85" t="s">
        <v>254</v>
      </c>
      <c r="O135" s="85">
        <v>0</v>
      </c>
      <c r="P135" s="85">
        <v>0</v>
      </c>
      <c r="Q135" s="85">
        <v>0</v>
      </c>
      <c r="R135" s="85"/>
      <c r="S135" s="86"/>
    </row>
    <row r="136" spans="1:19" ht="15">
      <c r="A136" s="70">
        <v>14</v>
      </c>
      <c r="B136" s="94" t="str">
        <f t="shared" si="6"/>
        <v>352</v>
      </c>
      <c r="C136" s="72" t="s">
        <v>345</v>
      </c>
      <c r="D136" s="72" t="s">
        <v>355</v>
      </c>
      <c r="E136" s="85">
        <v>1617917.1600000001</v>
      </c>
      <c r="F136" s="85" t="s">
        <v>254</v>
      </c>
      <c r="G136" s="85">
        <v>0</v>
      </c>
      <c r="H136" s="85" t="s">
        <v>254</v>
      </c>
      <c r="I136" s="85">
        <v>1617917.1600000001</v>
      </c>
      <c r="J136" s="85">
        <v>0</v>
      </c>
      <c r="K136" s="85" t="s">
        <v>254</v>
      </c>
      <c r="L136" s="85" t="s">
        <v>254</v>
      </c>
      <c r="M136" s="85">
        <v>0</v>
      </c>
      <c r="N136" s="85" t="s">
        <v>254</v>
      </c>
      <c r="O136" s="85">
        <v>0</v>
      </c>
      <c r="P136" s="85">
        <v>0</v>
      </c>
      <c r="Q136" s="85">
        <v>0</v>
      </c>
      <c r="R136" s="85"/>
      <c r="S136" s="86"/>
    </row>
    <row r="137" spans="1:19" ht="15">
      <c r="A137" s="70">
        <v>15</v>
      </c>
      <c r="B137" s="94" t="str">
        <f t="shared" si="6"/>
        <v>353</v>
      </c>
      <c r="C137" s="72" t="s">
        <v>346</v>
      </c>
      <c r="D137" s="72" t="s">
        <v>355</v>
      </c>
      <c r="E137" s="85">
        <v>22270941.504615381</v>
      </c>
      <c r="F137" s="85" t="s">
        <v>254</v>
      </c>
      <c r="G137" s="85">
        <v>0</v>
      </c>
      <c r="H137" s="85" t="s">
        <v>254</v>
      </c>
      <c r="I137" s="85">
        <v>22270941.504615381</v>
      </c>
      <c r="J137" s="85">
        <v>0</v>
      </c>
      <c r="K137" s="85" t="s">
        <v>254</v>
      </c>
      <c r="L137" s="85" t="s">
        <v>254</v>
      </c>
      <c r="M137" s="85">
        <v>0</v>
      </c>
      <c r="N137" s="85" t="s">
        <v>254</v>
      </c>
      <c r="O137" s="85">
        <v>0</v>
      </c>
      <c r="P137" s="85">
        <v>0</v>
      </c>
      <c r="Q137" s="85">
        <v>0</v>
      </c>
      <c r="R137" s="85"/>
      <c r="S137" s="86"/>
    </row>
    <row r="138" spans="1:19" ht="15">
      <c r="A138" s="70">
        <v>16</v>
      </c>
      <c r="B138" s="94" t="str">
        <f t="shared" si="6"/>
        <v>354</v>
      </c>
      <c r="C138" s="72" t="s">
        <v>347</v>
      </c>
      <c r="D138" s="72" t="s">
        <v>355</v>
      </c>
      <c r="E138" s="85">
        <v>2411758.4300000016</v>
      </c>
      <c r="F138" s="85" t="s">
        <v>254</v>
      </c>
      <c r="G138" s="85">
        <v>0</v>
      </c>
      <c r="H138" s="85" t="s">
        <v>254</v>
      </c>
      <c r="I138" s="85">
        <v>2411758.4300000016</v>
      </c>
      <c r="J138" s="85">
        <v>0</v>
      </c>
      <c r="K138" s="85" t="s">
        <v>254</v>
      </c>
      <c r="L138" s="85" t="s">
        <v>254</v>
      </c>
      <c r="M138" s="85">
        <v>0</v>
      </c>
      <c r="N138" s="85" t="s">
        <v>254</v>
      </c>
      <c r="O138" s="85">
        <v>0</v>
      </c>
      <c r="P138" s="85">
        <v>0</v>
      </c>
      <c r="Q138" s="85">
        <v>0</v>
      </c>
      <c r="R138" s="85"/>
      <c r="S138" s="86"/>
    </row>
    <row r="139" spans="1:19" ht="15">
      <c r="A139" s="70">
        <v>17</v>
      </c>
      <c r="B139" s="94" t="str">
        <f t="shared" si="6"/>
        <v>355</v>
      </c>
      <c r="C139" s="72" t="s">
        <v>348</v>
      </c>
      <c r="D139" s="72" t="s">
        <v>355</v>
      </c>
      <c r="E139" s="85">
        <v>12468088.748461438</v>
      </c>
      <c r="F139" s="85" t="s">
        <v>254</v>
      </c>
      <c r="G139" s="85">
        <v>0</v>
      </c>
      <c r="H139" s="85" t="s">
        <v>254</v>
      </c>
      <c r="I139" s="85">
        <v>12468088.748461438</v>
      </c>
      <c r="J139" s="85">
        <v>0</v>
      </c>
      <c r="K139" s="85" t="s">
        <v>254</v>
      </c>
      <c r="L139" s="85" t="s">
        <v>254</v>
      </c>
      <c r="M139" s="85">
        <v>0</v>
      </c>
      <c r="N139" s="85" t="s">
        <v>254</v>
      </c>
      <c r="O139" s="85">
        <v>0</v>
      </c>
      <c r="P139" s="85">
        <v>0</v>
      </c>
      <c r="Q139" s="85">
        <v>0</v>
      </c>
      <c r="R139" s="85"/>
      <c r="S139" s="86"/>
    </row>
    <row r="140" spans="1:19" ht="15">
      <c r="A140" s="70">
        <v>18</v>
      </c>
      <c r="B140" s="94" t="str">
        <f t="shared" si="6"/>
        <v>356</v>
      </c>
      <c r="C140" s="72" t="s">
        <v>349</v>
      </c>
      <c r="D140" s="72" t="s">
        <v>355</v>
      </c>
      <c r="E140" s="85">
        <v>14228936.330000004</v>
      </c>
      <c r="F140" s="85" t="s">
        <v>254</v>
      </c>
      <c r="G140" s="85">
        <v>0</v>
      </c>
      <c r="H140" s="85" t="s">
        <v>254</v>
      </c>
      <c r="I140" s="85">
        <v>14228936.330000004</v>
      </c>
      <c r="J140" s="85">
        <v>0</v>
      </c>
      <c r="K140" s="85" t="s">
        <v>254</v>
      </c>
      <c r="L140" s="85" t="s">
        <v>254</v>
      </c>
      <c r="M140" s="85">
        <v>0</v>
      </c>
      <c r="N140" s="85" t="s">
        <v>254</v>
      </c>
      <c r="O140" s="85">
        <v>0</v>
      </c>
      <c r="P140" s="85">
        <v>0</v>
      </c>
      <c r="Q140" s="85">
        <v>0</v>
      </c>
      <c r="R140" s="85"/>
      <c r="S140" s="86"/>
    </row>
    <row r="141" spans="1:19" ht="15">
      <c r="A141" s="70">
        <v>19</v>
      </c>
      <c r="B141" s="70"/>
      <c r="C141" s="72" t="s">
        <v>314</v>
      </c>
      <c r="D141" s="72" t="s">
        <v>355</v>
      </c>
      <c r="E141" s="85">
        <v>323.90000000000003</v>
      </c>
      <c r="F141" s="85" t="s">
        <v>254</v>
      </c>
      <c r="G141" s="85">
        <v>0</v>
      </c>
      <c r="H141" s="85" t="s">
        <v>254</v>
      </c>
      <c r="I141" s="85">
        <v>323.90000000000003</v>
      </c>
      <c r="J141" s="85">
        <v>0</v>
      </c>
      <c r="K141" s="85" t="s">
        <v>254</v>
      </c>
      <c r="L141" s="85" t="s">
        <v>254</v>
      </c>
      <c r="M141" s="85">
        <v>0</v>
      </c>
      <c r="N141" s="85" t="s">
        <v>254</v>
      </c>
      <c r="O141" s="85">
        <v>0</v>
      </c>
      <c r="P141" s="85">
        <v>0</v>
      </c>
      <c r="Q141" s="85">
        <v>0</v>
      </c>
      <c r="R141" s="85"/>
      <c r="S141" s="86"/>
    </row>
    <row r="142" spans="1:19" ht="15">
      <c r="A142" s="70">
        <v>20</v>
      </c>
      <c r="B142" s="70"/>
      <c r="C142" s="72" t="s">
        <v>316</v>
      </c>
      <c r="D142" s="72" t="s">
        <v>355</v>
      </c>
      <c r="E142" s="85">
        <v>4331.8999999999996</v>
      </c>
      <c r="F142" s="85" t="s">
        <v>254</v>
      </c>
      <c r="G142" s="85">
        <v>0</v>
      </c>
      <c r="H142" s="85" t="s">
        <v>254</v>
      </c>
      <c r="I142" s="85">
        <v>4331.8999999999996</v>
      </c>
      <c r="J142" s="85">
        <v>0</v>
      </c>
      <c r="K142" s="85" t="s">
        <v>254</v>
      </c>
      <c r="L142" s="85" t="s">
        <v>254</v>
      </c>
      <c r="M142" s="85">
        <v>0</v>
      </c>
      <c r="N142" s="85" t="s">
        <v>254</v>
      </c>
      <c r="O142" s="85">
        <v>0</v>
      </c>
      <c r="P142" s="85">
        <v>0</v>
      </c>
      <c r="Q142" s="85">
        <v>0</v>
      </c>
      <c r="R142" s="85"/>
      <c r="S142" s="86"/>
    </row>
    <row r="143" spans="1:19" ht="15">
      <c r="A143" s="70">
        <v>21</v>
      </c>
      <c r="B143" s="70"/>
      <c r="C143" s="72" t="s">
        <v>356</v>
      </c>
      <c r="D143" s="72" t="s">
        <v>254</v>
      </c>
      <c r="E143" s="85">
        <v>54886258.943076827</v>
      </c>
      <c r="F143" s="85" t="s">
        <v>254</v>
      </c>
      <c r="G143" s="85">
        <v>0</v>
      </c>
      <c r="H143" s="85" t="s">
        <v>254</v>
      </c>
      <c r="I143" s="85">
        <v>54886258.943076827</v>
      </c>
      <c r="J143" s="85">
        <v>0</v>
      </c>
      <c r="K143" s="85" t="s">
        <v>254</v>
      </c>
      <c r="L143" s="85" t="s">
        <v>254</v>
      </c>
      <c r="M143" s="85">
        <v>0</v>
      </c>
      <c r="N143" s="85" t="s">
        <v>254</v>
      </c>
      <c r="O143" s="85">
        <v>0</v>
      </c>
      <c r="P143" s="85">
        <v>0</v>
      </c>
      <c r="Q143" s="85">
        <v>0</v>
      </c>
      <c r="R143" s="85"/>
      <c r="S143" s="86"/>
    </row>
    <row r="144" spans="1:19" ht="15">
      <c r="A144" s="70" t="s">
        <v>254</v>
      </c>
      <c r="B144" s="70"/>
      <c r="C144" s="72" t="s">
        <v>254</v>
      </c>
      <c r="D144" s="72" t="s">
        <v>254</v>
      </c>
      <c r="E144" s="85" t="s">
        <v>254</v>
      </c>
      <c r="F144" s="85" t="s">
        <v>254</v>
      </c>
      <c r="G144" s="85" t="s">
        <v>254</v>
      </c>
      <c r="H144" s="85" t="s">
        <v>254</v>
      </c>
      <c r="I144" s="85" t="s">
        <v>254</v>
      </c>
      <c r="J144" s="85" t="s">
        <v>254</v>
      </c>
      <c r="K144" s="85" t="s">
        <v>254</v>
      </c>
      <c r="L144" s="85" t="s">
        <v>254</v>
      </c>
      <c r="M144" s="85" t="s">
        <v>254</v>
      </c>
      <c r="N144" s="85" t="s">
        <v>254</v>
      </c>
      <c r="O144" s="85" t="s">
        <v>254</v>
      </c>
      <c r="P144" s="85" t="s">
        <v>254</v>
      </c>
      <c r="Q144" s="85" t="s">
        <v>254</v>
      </c>
      <c r="R144" s="85"/>
      <c r="S144" s="86"/>
    </row>
    <row r="145" spans="1:19" ht="15">
      <c r="A145" s="70" t="s">
        <v>254</v>
      </c>
      <c r="B145" s="70"/>
      <c r="C145" s="72" t="s">
        <v>357</v>
      </c>
      <c r="D145" s="72" t="s">
        <v>254</v>
      </c>
      <c r="E145" s="85" t="s">
        <v>254</v>
      </c>
      <c r="F145" s="85" t="s">
        <v>254</v>
      </c>
      <c r="G145" s="85" t="s">
        <v>254</v>
      </c>
      <c r="H145" s="85" t="s">
        <v>254</v>
      </c>
      <c r="I145" s="85" t="s">
        <v>254</v>
      </c>
      <c r="J145" s="85" t="s">
        <v>254</v>
      </c>
      <c r="K145" s="85" t="s">
        <v>254</v>
      </c>
      <c r="L145" s="85" t="s">
        <v>254</v>
      </c>
      <c r="M145" s="85" t="s">
        <v>254</v>
      </c>
      <c r="N145" s="85" t="s">
        <v>254</v>
      </c>
      <c r="O145" s="85" t="s">
        <v>254</v>
      </c>
      <c r="P145" s="85" t="s">
        <v>254</v>
      </c>
      <c r="Q145" s="85" t="s">
        <v>254</v>
      </c>
      <c r="R145" s="85"/>
      <c r="S145" s="86"/>
    </row>
    <row r="146" spans="1:19" ht="15">
      <c r="A146" s="70">
        <v>22</v>
      </c>
      <c r="B146" s="94" t="str">
        <f t="shared" ref="B146:B149" si="7">MID(C146,2,3)</f>
        <v>350</v>
      </c>
      <c r="C146" s="72" t="s">
        <v>343</v>
      </c>
      <c r="D146" s="72" t="s">
        <v>358</v>
      </c>
      <c r="E146" s="85">
        <v>280370.75</v>
      </c>
      <c r="F146" s="85" t="s">
        <v>254</v>
      </c>
      <c r="G146" s="85">
        <v>280369.76480116672</v>
      </c>
      <c r="H146" s="85" t="s">
        <v>254</v>
      </c>
      <c r="I146" s="85">
        <v>0</v>
      </c>
      <c r="J146" s="85">
        <v>0.9851988332526197</v>
      </c>
      <c r="K146" s="85" t="s">
        <v>254</v>
      </c>
      <c r="L146" s="85" t="s">
        <v>254</v>
      </c>
      <c r="M146" s="85">
        <v>0.9851988332526197</v>
      </c>
      <c r="N146" s="85" t="s">
        <v>254</v>
      </c>
      <c r="O146" s="85">
        <v>0</v>
      </c>
      <c r="P146" s="85">
        <v>0</v>
      </c>
      <c r="Q146" s="85">
        <v>0</v>
      </c>
      <c r="R146" s="85"/>
      <c r="S146" s="86"/>
    </row>
    <row r="147" spans="1:19" ht="15">
      <c r="A147" s="70">
        <v>23</v>
      </c>
      <c r="B147" s="94" t="str">
        <f t="shared" si="7"/>
        <v>354</v>
      </c>
      <c r="C147" s="72" t="s">
        <v>347</v>
      </c>
      <c r="D147" s="72" t="s">
        <v>358</v>
      </c>
      <c r="E147" s="85">
        <v>4769322.8699999992</v>
      </c>
      <c r="F147" s="85" t="s">
        <v>254</v>
      </c>
      <c r="G147" s="85">
        <v>4769306.1110073905</v>
      </c>
      <c r="H147" s="85" t="s">
        <v>254</v>
      </c>
      <c r="I147" s="85">
        <v>0</v>
      </c>
      <c r="J147" s="85">
        <v>16.75899260864065</v>
      </c>
      <c r="K147" s="85" t="s">
        <v>254</v>
      </c>
      <c r="L147" s="85" t="s">
        <v>254</v>
      </c>
      <c r="M147" s="85">
        <v>16.75899260864065</v>
      </c>
      <c r="N147" s="85" t="s">
        <v>254</v>
      </c>
      <c r="O147" s="85">
        <v>0</v>
      </c>
      <c r="P147" s="85">
        <v>0</v>
      </c>
      <c r="Q147" s="85">
        <v>0</v>
      </c>
      <c r="R147" s="85"/>
      <c r="S147" s="86"/>
    </row>
    <row r="148" spans="1:19" ht="15">
      <c r="A148" s="70">
        <v>24</v>
      </c>
      <c r="B148" s="94" t="str">
        <f t="shared" si="7"/>
        <v>355</v>
      </c>
      <c r="C148" s="72" t="s">
        <v>348</v>
      </c>
      <c r="D148" s="72" t="s">
        <v>358</v>
      </c>
      <c r="E148" s="85">
        <v>51357.979999999996</v>
      </c>
      <c r="F148" s="85" t="s">
        <v>254</v>
      </c>
      <c r="G148" s="85">
        <v>51357.799532451318</v>
      </c>
      <c r="H148" s="85" t="s">
        <v>254</v>
      </c>
      <c r="I148" s="85">
        <v>0</v>
      </c>
      <c r="J148" s="85">
        <v>0.18046754868049317</v>
      </c>
      <c r="K148" s="85" t="s">
        <v>254</v>
      </c>
      <c r="L148" s="85" t="s">
        <v>254</v>
      </c>
      <c r="M148" s="85">
        <v>0.18046754868049317</v>
      </c>
      <c r="N148" s="85" t="s">
        <v>254</v>
      </c>
      <c r="O148" s="85">
        <v>0</v>
      </c>
      <c r="P148" s="85">
        <v>0</v>
      </c>
      <c r="Q148" s="85">
        <v>0</v>
      </c>
      <c r="R148" s="85"/>
      <c r="S148" s="86"/>
    </row>
    <row r="149" spans="1:19" ht="15">
      <c r="A149" s="70">
        <v>25</v>
      </c>
      <c r="B149" s="94" t="str">
        <f t="shared" si="7"/>
        <v>356</v>
      </c>
      <c r="C149" s="72" t="s">
        <v>349</v>
      </c>
      <c r="D149" s="72" t="s">
        <v>358</v>
      </c>
      <c r="E149" s="85">
        <v>3129377.81</v>
      </c>
      <c r="F149" s="85" t="s">
        <v>254</v>
      </c>
      <c r="G149" s="85">
        <v>3129366.8136340552</v>
      </c>
      <c r="H149" s="85" t="s">
        <v>254</v>
      </c>
      <c r="I149" s="85">
        <v>0</v>
      </c>
      <c r="J149" s="85">
        <v>10.996365944802154</v>
      </c>
      <c r="K149" s="85" t="s">
        <v>254</v>
      </c>
      <c r="L149" s="85" t="s">
        <v>254</v>
      </c>
      <c r="M149" s="85">
        <v>10.996365944802154</v>
      </c>
      <c r="N149" s="85" t="s">
        <v>254</v>
      </c>
      <c r="O149" s="85">
        <v>0</v>
      </c>
      <c r="P149" s="85">
        <v>0</v>
      </c>
      <c r="Q149" s="85">
        <v>0</v>
      </c>
      <c r="R149" s="85"/>
      <c r="S149" s="86"/>
    </row>
    <row r="150" spans="1:19" ht="15">
      <c r="A150" s="70">
        <v>26</v>
      </c>
      <c r="B150" s="70"/>
      <c r="C150" s="72" t="s">
        <v>314</v>
      </c>
      <c r="D150" s="72" t="s">
        <v>315</v>
      </c>
      <c r="E150" s="85">
        <v>0</v>
      </c>
      <c r="F150" s="85" t="s">
        <v>254</v>
      </c>
      <c r="G150" s="85">
        <v>0</v>
      </c>
      <c r="H150" s="85" t="s">
        <v>254</v>
      </c>
      <c r="I150" s="85">
        <v>0</v>
      </c>
      <c r="J150" s="85">
        <v>0</v>
      </c>
      <c r="K150" s="85" t="s">
        <v>254</v>
      </c>
      <c r="L150" s="85" t="s">
        <v>254</v>
      </c>
      <c r="M150" s="85">
        <v>0</v>
      </c>
      <c r="N150" s="85" t="s">
        <v>254</v>
      </c>
      <c r="O150" s="85">
        <v>0</v>
      </c>
      <c r="P150" s="85">
        <v>0</v>
      </c>
      <c r="Q150" s="85">
        <v>0</v>
      </c>
      <c r="R150" s="85"/>
      <c r="S150" s="86"/>
    </row>
    <row r="151" spans="1:19" ht="15">
      <c r="A151" s="70">
        <v>27</v>
      </c>
      <c r="B151" s="70"/>
      <c r="C151" s="72" t="s">
        <v>316</v>
      </c>
      <c r="D151" s="72" t="s">
        <v>317</v>
      </c>
      <c r="E151" s="85">
        <v>0</v>
      </c>
      <c r="F151" s="85" t="s">
        <v>254</v>
      </c>
      <c r="G151" s="85">
        <v>0</v>
      </c>
      <c r="H151" s="85" t="s">
        <v>254</v>
      </c>
      <c r="I151" s="85">
        <v>0</v>
      </c>
      <c r="J151" s="85">
        <v>0</v>
      </c>
      <c r="K151" s="85" t="s">
        <v>254</v>
      </c>
      <c r="L151" s="85" t="s">
        <v>254</v>
      </c>
      <c r="M151" s="85">
        <v>0</v>
      </c>
      <c r="N151" s="85" t="s">
        <v>254</v>
      </c>
      <c r="O151" s="85">
        <v>0</v>
      </c>
      <c r="P151" s="85">
        <v>0</v>
      </c>
      <c r="Q151" s="85">
        <v>0</v>
      </c>
      <c r="R151" s="85"/>
      <c r="S151" s="86"/>
    </row>
    <row r="152" spans="1:19" ht="15">
      <c r="A152" s="70">
        <v>28</v>
      </c>
      <c r="B152" s="70"/>
      <c r="C152" s="72" t="s">
        <v>359</v>
      </c>
      <c r="D152" s="72" t="s">
        <v>254</v>
      </c>
      <c r="E152" s="85">
        <v>8230429.4100000001</v>
      </c>
      <c r="F152" s="85" t="s">
        <v>254</v>
      </c>
      <c r="G152" s="85">
        <v>8230400.4889750648</v>
      </c>
      <c r="H152" s="85" t="s">
        <v>254</v>
      </c>
      <c r="I152" s="85">
        <v>0</v>
      </c>
      <c r="J152" s="85">
        <v>28.921024935375918</v>
      </c>
      <c r="K152" s="85" t="s">
        <v>254</v>
      </c>
      <c r="L152" s="85" t="s">
        <v>254</v>
      </c>
      <c r="M152" s="85">
        <v>28.921024935375918</v>
      </c>
      <c r="N152" s="85" t="s">
        <v>254</v>
      </c>
      <c r="O152" s="85">
        <v>0</v>
      </c>
      <c r="P152" s="85">
        <v>0</v>
      </c>
      <c r="Q152" s="85">
        <v>0</v>
      </c>
      <c r="R152" s="85"/>
      <c r="S152" s="86"/>
    </row>
    <row r="153" spans="1:19" ht="15">
      <c r="A153" s="70" t="s">
        <v>254</v>
      </c>
      <c r="B153" s="70"/>
      <c r="C153" s="72" t="s">
        <v>254</v>
      </c>
      <c r="D153" s="72" t="s">
        <v>254</v>
      </c>
      <c r="E153" s="85" t="s">
        <v>254</v>
      </c>
      <c r="F153" s="85" t="s">
        <v>254</v>
      </c>
      <c r="G153" s="85" t="s">
        <v>254</v>
      </c>
      <c r="H153" s="85" t="s">
        <v>254</v>
      </c>
      <c r="I153" s="85" t="s">
        <v>254</v>
      </c>
      <c r="J153" s="85" t="s">
        <v>254</v>
      </c>
      <c r="K153" s="85" t="s">
        <v>254</v>
      </c>
      <c r="L153" s="85" t="s">
        <v>254</v>
      </c>
      <c r="M153" s="85" t="s">
        <v>254</v>
      </c>
      <c r="N153" s="85" t="s">
        <v>254</v>
      </c>
      <c r="O153" s="85" t="s">
        <v>254</v>
      </c>
      <c r="P153" s="85" t="s">
        <v>254</v>
      </c>
      <c r="Q153" s="85" t="s">
        <v>254</v>
      </c>
      <c r="R153" s="85"/>
      <c r="S153" s="86"/>
    </row>
    <row r="154" spans="1:19" ht="15">
      <c r="A154" s="70">
        <v>29</v>
      </c>
      <c r="B154" s="70"/>
      <c r="C154" s="72" t="s">
        <v>360</v>
      </c>
      <c r="D154" s="72" t="s">
        <v>254</v>
      </c>
      <c r="E154" s="85">
        <v>981460549.46384609</v>
      </c>
      <c r="F154" s="85" t="s">
        <v>254</v>
      </c>
      <c r="G154" s="85">
        <v>881633434.38230264</v>
      </c>
      <c r="H154" s="85" t="s">
        <v>254</v>
      </c>
      <c r="I154" s="85">
        <v>96273670.271025613</v>
      </c>
      <c r="J154" s="85">
        <v>3553444.8105177358</v>
      </c>
      <c r="K154" s="85" t="s">
        <v>254</v>
      </c>
      <c r="L154" s="85" t="s">
        <v>254</v>
      </c>
      <c r="M154" s="85">
        <v>3097.9953616822031</v>
      </c>
      <c r="N154" s="85" t="s">
        <v>254</v>
      </c>
      <c r="O154" s="85">
        <v>3550346.8151560538</v>
      </c>
      <c r="P154" s="85">
        <v>1101881.6652983767</v>
      </c>
      <c r="Q154" s="85">
        <v>2448465.1498576771</v>
      </c>
      <c r="R154" s="85"/>
      <c r="S154" s="86"/>
    </row>
    <row r="155" spans="1:19" ht="15">
      <c r="A155" s="70" t="s">
        <v>254</v>
      </c>
      <c r="B155" s="70"/>
      <c r="C155" s="72" t="s">
        <v>254</v>
      </c>
      <c r="D155" s="72" t="s">
        <v>254</v>
      </c>
      <c r="E155" s="85" t="s">
        <v>254</v>
      </c>
      <c r="F155" s="85" t="s">
        <v>254</v>
      </c>
      <c r="G155" s="85" t="s">
        <v>254</v>
      </c>
      <c r="H155" s="85" t="s">
        <v>254</v>
      </c>
      <c r="I155" s="85" t="s">
        <v>254</v>
      </c>
      <c r="J155" s="85" t="s">
        <v>254</v>
      </c>
      <c r="K155" s="85" t="s">
        <v>254</v>
      </c>
      <c r="L155" s="85" t="s">
        <v>254</v>
      </c>
      <c r="M155" s="85" t="s">
        <v>254</v>
      </c>
      <c r="N155" s="85" t="s">
        <v>254</v>
      </c>
      <c r="O155" s="85" t="s">
        <v>254</v>
      </c>
      <c r="P155" s="85" t="s">
        <v>254</v>
      </c>
      <c r="Q155" s="85" t="s">
        <v>254</v>
      </c>
      <c r="R155" s="85"/>
      <c r="S155" s="86"/>
    </row>
    <row r="156" spans="1:19" ht="15">
      <c r="A156" s="70" t="s">
        <v>254</v>
      </c>
      <c r="B156" s="70"/>
      <c r="C156" s="72" t="s">
        <v>340</v>
      </c>
      <c r="D156" s="72" t="s">
        <v>254</v>
      </c>
      <c r="E156" s="85" t="s">
        <v>254</v>
      </c>
      <c r="F156" s="85" t="s">
        <v>254</v>
      </c>
      <c r="G156" s="85" t="s">
        <v>254</v>
      </c>
      <c r="H156" s="85" t="s">
        <v>254</v>
      </c>
      <c r="I156" s="85" t="s">
        <v>254</v>
      </c>
      <c r="J156" s="85" t="s">
        <v>254</v>
      </c>
      <c r="K156" s="85" t="s">
        <v>254</v>
      </c>
      <c r="L156" s="85" t="s">
        <v>254</v>
      </c>
      <c r="M156" s="85" t="s">
        <v>254</v>
      </c>
      <c r="N156" s="85" t="s">
        <v>254</v>
      </c>
      <c r="O156" s="85" t="s">
        <v>254</v>
      </c>
      <c r="P156" s="85" t="s">
        <v>254</v>
      </c>
      <c r="Q156" s="85" t="s">
        <v>254</v>
      </c>
      <c r="R156" s="85"/>
      <c r="S156" s="86"/>
    </row>
    <row r="157" spans="1:19" ht="15">
      <c r="A157" s="70" t="s">
        <v>254</v>
      </c>
      <c r="B157" s="70"/>
      <c r="C157" s="72" t="s">
        <v>254</v>
      </c>
      <c r="D157" s="72" t="s">
        <v>254</v>
      </c>
      <c r="E157" s="85" t="s">
        <v>254</v>
      </c>
      <c r="F157" s="85" t="s">
        <v>254</v>
      </c>
      <c r="G157" s="85" t="s">
        <v>254</v>
      </c>
      <c r="H157" s="85" t="s">
        <v>254</v>
      </c>
      <c r="I157" s="85" t="s">
        <v>254</v>
      </c>
      <c r="J157" s="85" t="s">
        <v>254</v>
      </c>
      <c r="K157" s="85" t="s">
        <v>254</v>
      </c>
      <c r="L157" s="85" t="s">
        <v>254</v>
      </c>
      <c r="M157" s="85" t="s">
        <v>254</v>
      </c>
      <c r="N157" s="85" t="s">
        <v>254</v>
      </c>
      <c r="O157" s="85" t="s">
        <v>254</v>
      </c>
      <c r="P157" s="85" t="s">
        <v>254</v>
      </c>
      <c r="Q157" s="85" t="s">
        <v>254</v>
      </c>
      <c r="R157" s="85"/>
      <c r="S157" s="86"/>
    </row>
    <row r="158" spans="1:19" ht="15">
      <c r="A158" s="70" t="s">
        <v>254</v>
      </c>
      <c r="B158" s="70"/>
      <c r="C158" s="72" t="s">
        <v>361</v>
      </c>
      <c r="D158" s="72" t="s">
        <v>254</v>
      </c>
      <c r="E158" s="85" t="s">
        <v>254</v>
      </c>
      <c r="F158" s="85" t="s">
        <v>254</v>
      </c>
      <c r="G158" s="85" t="s">
        <v>254</v>
      </c>
      <c r="H158" s="85" t="s">
        <v>254</v>
      </c>
      <c r="I158" s="85" t="s">
        <v>254</v>
      </c>
      <c r="J158" s="85" t="s">
        <v>254</v>
      </c>
      <c r="K158" s="85" t="s">
        <v>254</v>
      </c>
      <c r="L158" s="85" t="s">
        <v>254</v>
      </c>
      <c r="M158" s="85" t="s">
        <v>254</v>
      </c>
      <c r="N158" s="85" t="s">
        <v>254</v>
      </c>
      <c r="O158" s="85" t="s">
        <v>254</v>
      </c>
      <c r="P158" s="85" t="s">
        <v>254</v>
      </c>
      <c r="Q158" s="85" t="s">
        <v>254</v>
      </c>
      <c r="R158" s="85"/>
      <c r="S158" s="86"/>
    </row>
    <row r="159" spans="1:19" ht="15">
      <c r="A159" s="70" t="s">
        <v>254</v>
      </c>
      <c r="B159" s="70"/>
      <c r="C159" s="72" t="s">
        <v>362</v>
      </c>
      <c r="D159" s="72" t="s">
        <v>254</v>
      </c>
      <c r="E159" s="85" t="s">
        <v>254</v>
      </c>
      <c r="F159" s="85" t="s">
        <v>254</v>
      </c>
      <c r="G159" s="85" t="s">
        <v>254</v>
      </c>
      <c r="H159" s="85" t="s">
        <v>254</v>
      </c>
      <c r="I159" s="85" t="s">
        <v>254</v>
      </c>
      <c r="J159" s="85" t="s">
        <v>254</v>
      </c>
      <c r="K159" s="85" t="s">
        <v>254</v>
      </c>
      <c r="L159" s="85" t="s">
        <v>254</v>
      </c>
      <c r="M159" s="85" t="s">
        <v>254</v>
      </c>
      <c r="N159" s="85" t="s">
        <v>254</v>
      </c>
      <c r="O159" s="85" t="s">
        <v>254</v>
      </c>
      <c r="P159" s="85" t="s">
        <v>254</v>
      </c>
      <c r="Q159" s="85" t="s">
        <v>254</v>
      </c>
      <c r="R159" s="85"/>
      <c r="S159" s="86"/>
    </row>
    <row r="160" spans="1:19" ht="15">
      <c r="A160" s="70">
        <v>1</v>
      </c>
      <c r="B160" s="94" t="str">
        <f t="shared" ref="B160:B166" si="8">MID(C160,2,3)</f>
        <v>360</v>
      </c>
      <c r="C160" s="72" t="s">
        <v>363</v>
      </c>
      <c r="D160" s="72" t="s">
        <v>364</v>
      </c>
      <c r="E160" s="85">
        <v>8379661.4015384596</v>
      </c>
      <c r="F160" s="85" t="s">
        <v>254</v>
      </c>
      <c r="G160" s="85">
        <v>8370504.4015384596</v>
      </c>
      <c r="H160" s="85" t="s">
        <v>254</v>
      </c>
      <c r="I160" s="85">
        <v>0</v>
      </c>
      <c r="J160" s="85">
        <v>9157</v>
      </c>
      <c r="K160" s="85" t="s">
        <v>254</v>
      </c>
      <c r="L160" s="85" t="s">
        <v>254</v>
      </c>
      <c r="M160" s="85">
        <v>0</v>
      </c>
      <c r="N160" s="85" t="s">
        <v>254</v>
      </c>
      <c r="O160" s="85">
        <v>9157</v>
      </c>
      <c r="P160" s="85">
        <v>9157</v>
      </c>
      <c r="Q160" s="85">
        <v>0</v>
      </c>
      <c r="R160" s="85"/>
      <c r="S160" s="86"/>
    </row>
    <row r="161" spans="1:19" ht="15">
      <c r="A161" s="70">
        <v>2</v>
      </c>
      <c r="B161" s="94" t="str">
        <f t="shared" si="8"/>
        <v>361</v>
      </c>
      <c r="C161" s="72" t="s">
        <v>365</v>
      </c>
      <c r="D161" s="72" t="s">
        <v>366</v>
      </c>
      <c r="E161" s="85">
        <v>13503119.586923074</v>
      </c>
      <c r="F161" s="85" t="s">
        <v>254</v>
      </c>
      <c r="G161" s="85">
        <v>13150928.586923074</v>
      </c>
      <c r="H161" s="85" t="s">
        <v>254</v>
      </c>
      <c r="I161" s="85">
        <v>0</v>
      </c>
      <c r="J161" s="85">
        <v>352191</v>
      </c>
      <c r="K161" s="85" t="s">
        <v>254</v>
      </c>
      <c r="L161" s="85" t="s">
        <v>254</v>
      </c>
      <c r="M161" s="85">
        <v>0</v>
      </c>
      <c r="N161" s="85" t="s">
        <v>254</v>
      </c>
      <c r="O161" s="85">
        <v>352191</v>
      </c>
      <c r="P161" s="85">
        <v>352191</v>
      </c>
      <c r="Q161" s="85">
        <v>0</v>
      </c>
      <c r="R161" s="85"/>
      <c r="S161" s="86"/>
    </row>
    <row r="162" spans="1:19" ht="15">
      <c r="A162" s="70">
        <v>3</v>
      </c>
      <c r="B162" s="94" t="str">
        <f t="shared" si="8"/>
        <v>362</v>
      </c>
      <c r="C162" s="72" t="s">
        <v>367</v>
      </c>
      <c r="D162" s="72" t="s">
        <v>368</v>
      </c>
      <c r="E162" s="85">
        <v>191808017.08615381</v>
      </c>
      <c r="F162" s="85" t="s">
        <v>254</v>
      </c>
      <c r="G162" s="85">
        <v>188128728.08615381</v>
      </c>
      <c r="H162" s="85" t="s">
        <v>254</v>
      </c>
      <c r="I162" s="85">
        <v>0</v>
      </c>
      <c r="J162" s="85">
        <v>3679289.0000000005</v>
      </c>
      <c r="K162" s="85" t="s">
        <v>254</v>
      </c>
      <c r="L162" s="85" t="s">
        <v>254</v>
      </c>
      <c r="M162" s="85">
        <v>0</v>
      </c>
      <c r="N162" s="85" t="s">
        <v>254</v>
      </c>
      <c r="O162" s="85">
        <v>3679289.0000000005</v>
      </c>
      <c r="P162" s="85">
        <v>3679289.0000000005</v>
      </c>
      <c r="Q162" s="85">
        <v>0</v>
      </c>
      <c r="R162" s="85"/>
      <c r="S162" s="86"/>
    </row>
    <row r="163" spans="1:19" ht="15">
      <c r="A163" s="70">
        <v>4</v>
      </c>
      <c r="B163" s="94" t="str">
        <f t="shared" si="8"/>
        <v>364</v>
      </c>
      <c r="C163" s="72" t="s">
        <v>369</v>
      </c>
      <c r="D163" s="72" t="s">
        <v>370</v>
      </c>
      <c r="E163" s="85">
        <v>358366452.37769139</v>
      </c>
      <c r="F163" s="85" t="s">
        <v>254</v>
      </c>
      <c r="G163" s="85">
        <v>358366452.37769139</v>
      </c>
      <c r="H163" s="85" t="s">
        <v>254</v>
      </c>
      <c r="I163" s="85">
        <v>0</v>
      </c>
      <c r="J163" s="85">
        <v>0</v>
      </c>
      <c r="K163" s="85" t="s">
        <v>254</v>
      </c>
      <c r="L163" s="85" t="s">
        <v>254</v>
      </c>
      <c r="M163" s="85">
        <v>0</v>
      </c>
      <c r="N163" s="85" t="s">
        <v>254</v>
      </c>
      <c r="O163" s="85">
        <v>0</v>
      </c>
      <c r="P163" s="85">
        <v>0</v>
      </c>
      <c r="Q163" s="85">
        <v>0</v>
      </c>
      <c r="R163" s="85"/>
      <c r="S163" s="86"/>
    </row>
    <row r="164" spans="1:19" ht="15">
      <c r="A164" s="70">
        <v>5</v>
      </c>
      <c r="B164" s="94" t="str">
        <f t="shared" si="8"/>
        <v>365</v>
      </c>
      <c r="C164" s="72" t="s">
        <v>371</v>
      </c>
      <c r="D164" s="72" t="s">
        <v>372</v>
      </c>
      <c r="E164" s="85">
        <v>358797886.37922984</v>
      </c>
      <c r="F164" s="85" t="s">
        <v>254</v>
      </c>
      <c r="G164" s="85">
        <v>358797886.37922984</v>
      </c>
      <c r="H164" s="85" t="s">
        <v>254</v>
      </c>
      <c r="I164" s="85">
        <v>0</v>
      </c>
      <c r="J164" s="85">
        <v>0</v>
      </c>
      <c r="K164" s="85" t="s">
        <v>254</v>
      </c>
      <c r="L164" s="85" t="s">
        <v>254</v>
      </c>
      <c r="M164" s="85">
        <v>0</v>
      </c>
      <c r="N164" s="85" t="s">
        <v>254</v>
      </c>
      <c r="O164" s="85">
        <v>0</v>
      </c>
      <c r="P164" s="85">
        <v>0</v>
      </c>
      <c r="Q164" s="85">
        <v>0</v>
      </c>
      <c r="R164" s="85"/>
      <c r="S164" s="86"/>
    </row>
    <row r="165" spans="1:19" ht="15">
      <c r="A165" s="70">
        <v>6</v>
      </c>
      <c r="B165" s="94" t="str">
        <f t="shared" si="8"/>
        <v>366</v>
      </c>
      <c r="C165" s="72" t="s">
        <v>373</v>
      </c>
      <c r="D165" s="72" t="s">
        <v>374</v>
      </c>
      <c r="E165" s="85">
        <v>2381227.6699999906</v>
      </c>
      <c r="F165" s="85" t="s">
        <v>254</v>
      </c>
      <c r="G165" s="85">
        <v>2381227.6699999906</v>
      </c>
      <c r="H165" s="85" t="s">
        <v>254</v>
      </c>
      <c r="I165" s="85">
        <v>0</v>
      </c>
      <c r="J165" s="85">
        <v>0</v>
      </c>
      <c r="K165" s="85" t="s">
        <v>254</v>
      </c>
      <c r="L165" s="85" t="s">
        <v>254</v>
      </c>
      <c r="M165" s="85">
        <v>0</v>
      </c>
      <c r="N165" s="85" t="s">
        <v>254</v>
      </c>
      <c r="O165" s="85">
        <v>0</v>
      </c>
      <c r="P165" s="85">
        <v>0</v>
      </c>
      <c r="Q165" s="85">
        <v>0</v>
      </c>
      <c r="R165" s="85"/>
      <c r="S165" s="86"/>
    </row>
    <row r="166" spans="1:19" ht="15">
      <c r="A166" s="70">
        <v>7</v>
      </c>
      <c r="B166" s="94" t="str">
        <f t="shared" si="8"/>
        <v>367</v>
      </c>
      <c r="C166" s="72" t="s">
        <v>375</v>
      </c>
      <c r="D166" s="72" t="s">
        <v>376</v>
      </c>
      <c r="E166" s="85">
        <v>200004753.54538465</v>
      </c>
      <c r="F166" s="85" t="s">
        <v>254</v>
      </c>
      <c r="G166" s="85">
        <v>200004753.54538465</v>
      </c>
      <c r="H166" s="85" t="s">
        <v>254</v>
      </c>
      <c r="I166" s="85">
        <v>0</v>
      </c>
      <c r="J166" s="85">
        <v>0</v>
      </c>
      <c r="K166" s="85" t="s">
        <v>254</v>
      </c>
      <c r="L166" s="85" t="s">
        <v>254</v>
      </c>
      <c r="M166" s="85">
        <v>0</v>
      </c>
      <c r="N166" s="85" t="s">
        <v>254</v>
      </c>
      <c r="O166" s="85">
        <v>0</v>
      </c>
      <c r="P166" s="85">
        <v>0</v>
      </c>
      <c r="Q166" s="85">
        <v>0</v>
      </c>
      <c r="R166" s="85"/>
      <c r="S166" s="86"/>
    </row>
    <row r="167" spans="1:19" ht="15">
      <c r="A167" s="70" t="s">
        <v>254</v>
      </c>
      <c r="B167" s="94"/>
      <c r="C167" s="72" t="s">
        <v>377</v>
      </c>
      <c r="D167" s="72" t="s">
        <v>254</v>
      </c>
      <c r="E167" s="85" t="s">
        <v>254</v>
      </c>
      <c r="F167" s="85" t="s">
        <v>254</v>
      </c>
      <c r="G167" s="85" t="s">
        <v>254</v>
      </c>
      <c r="H167" s="85" t="s">
        <v>254</v>
      </c>
      <c r="I167" s="85" t="s">
        <v>254</v>
      </c>
      <c r="J167" s="85" t="s">
        <v>254</v>
      </c>
      <c r="K167" s="85" t="s">
        <v>254</v>
      </c>
      <c r="L167" s="85" t="s">
        <v>254</v>
      </c>
      <c r="M167" s="85" t="s">
        <v>254</v>
      </c>
      <c r="N167" s="85" t="s">
        <v>254</v>
      </c>
      <c r="O167" s="85" t="s">
        <v>254</v>
      </c>
      <c r="P167" s="85" t="s">
        <v>254</v>
      </c>
      <c r="Q167" s="85" t="s">
        <v>254</v>
      </c>
      <c r="R167" s="85"/>
      <c r="S167" s="86"/>
    </row>
    <row r="168" spans="1:19" ht="15">
      <c r="A168" s="70">
        <v>8</v>
      </c>
      <c r="B168" s="70"/>
      <c r="C168" s="72" t="s">
        <v>378</v>
      </c>
      <c r="D168" s="72" t="s">
        <v>379</v>
      </c>
      <c r="E168" s="85">
        <v>5932406.1000000024</v>
      </c>
      <c r="F168" s="85" t="s">
        <v>254</v>
      </c>
      <c r="G168" s="85">
        <v>5414628.1265696799</v>
      </c>
      <c r="H168" s="85" t="s">
        <v>254</v>
      </c>
      <c r="I168" s="85">
        <v>0</v>
      </c>
      <c r="J168" s="85">
        <v>517777.97343032225</v>
      </c>
      <c r="K168" s="85" t="s">
        <v>254</v>
      </c>
      <c r="L168" s="85" t="s">
        <v>254</v>
      </c>
      <c r="M168" s="85">
        <v>0</v>
      </c>
      <c r="N168" s="85" t="s">
        <v>254</v>
      </c>
      <c r="O168" s="85">
        <v>517777.97343032225</v>
      </c>
      <c r="P168" s="85">
        <v>160696.99252554422</v>
      </c>
      <c r="Q168" s="85">
        <v>357080.980904778</v>
      </c>
      <c r="R168" s="85"/>
      <c r="S168" s="86"/>
    </row>
    <row r="169" spans="1:19" ht="15">
      <c r="A169" s="70">
        <v>9</v>
      </c>
      <c r="B169" s="70"/>
      <c r="C169" s="72" t="s">
        <v>380</v>
      </c>
      <c r="D169" s="72" t="s">
        <v>381</v>
      </c>
      <c r="E169" s="85">
        <v>303128638.78846043</v>
      </c>
      <c r="F169" s="85" t="s">
        <v>254</v>
      </c>
      <c r="G169" s="85">
        <v>303128638.78846043</v>
      </c>
      <c r="H169" s="85" t="s">
        <v>254</v>
      </c>
      <c r="I169" s="85">
        <v>0</v>
      </c>
      <c r="J169" s="85">
        <v>0</v>
      </c>
      <c r="K169" s="85" t="s">
        <v>254</v>
      </c>
      <c r="L169" s="85" t="s">
        <v>254</v>
      </c>
      <c r="M169" s="85">
        <v>0</v>
      </c>
      <c r="N169" s="85" t="s">
        <v>254</v>
      </c>
      <c r="O169" s="85">
        <v>0</v>
      </c>
      <c r="P169" s="85">
        <v>0</v>
      </c>
      <c r="Q169" s="85">
        <v>0</v>
      </c>
      <c r="R169" s="85"/>
      <c r="S169" s="86"/>
    </row>
    <row r="170" spans="1:19" ht="15">
      <c r="A170" s="70">
        <v>10</v>
      </c>
      <c r="B170" s="94">
        <v>368</v>
      </c>
      <c r="C170" s="72" t="s">
        <v>382</v>
      </c>
      <c r="D170" s="72" t="s">
        <v>254</v>
      </c>
      <c r="E170" s="85">
        <v>309061044.88846046</v>
      </c>
      <c r="F170" s="85" t="s">
        <v>254</v>
      </c>
      <c r="G170" s="85">
        <v>308543266.91503012</v>
      </c>
      <c r="H170" s="85" t="s">
        <v>254</v>
      </c>
      <c r="I170" s="85">
        <v>0</v>
      </c>
      <c r="J170" s="85">
        <v>517777.97343032225</v>
      </c>
      <c r="K170" s="85" t="s">
        <v>254</v>
      </c>
      <c r="L170" s="85" t="s">
        <v>254</v>
      </c>
      <c r="M170" s="85">
        <v>0</v>
      </c>
      <c r="N170" s="85" t="s">
        <v>254</v>
      </c>
      <c r="O170" s="85">
        <v>517777.97343032225</v>
      </c>
      <c r="P170" s="85">
        <v>160696.99252554422</v>
      </c>
      <c r="Q170" s="85">
        <v>357080.980904778</v>
      </c>
      <c r="R170" s="85"/>
      <c r="S170" s="86"/>
    </row>
    <row r="171" spans="1:19" ht="15">
      <c r="A171" s="70">
        <v>11</v>
      </c>
      <c r="B171" s="94" t="str">
        <f t="shared" ref="B171:B175" si="9">MID(C171,2,3)</f>
        <v>369</v>
      </c>
      <c r="C171" s="72" t="s">
        <v>383</v>
      </c>
      <c r="D171" s="72" t="s">
        <v>384</v>
      </c>
      <c r="E171" s="85">
        <v>97262576.699999869</v>
      </c>
      <c r="F171" s="85" t="s">
        <v>254</v>
      </c>
      <c r="G171" s="85">
        <v>97262576.699999869</v>
      </c>
      <c r="H171" s="85" t="s">
        <v>254</v>
      </c>
      <c r="I171" s="85">
        <v>0</v>
      </c>
      <c r="J171" s="85">
        <v>0</v>
      </c>
      <c r="K171" s="85" t="s">
        <v>254</v>
      </c>
      <c r="L171" s="85" t="s">
        <v>254</v>
      </c>
      <c r="M171" s="85">
        <v>0</v>
      </c>
      <c r="N171" s="85" t="s">
        <v>254</v>
      </c>
      <c r="O171" s="85">
        <v>0</v>
      </c>
      <c r="P171" s="85">
        <v>0</v>
      </c>
      <c r="Q171" s="85">
        <v>0</v>
      </c>
      <c r="R171" s="85"/>
      <c r="S171" s="86"/>
    </row>
    <row r="172" spans="1:19" ht="15">
      <c r="A172" s="70">
        <v>12</v>
      </c>
      <c r="B172" s="94" t="str">
        <f t="shared" si="9"/>
        <v>370</v>
      </c>
      <c r="C172" s="72" t="s">
        <v>385</v>
      </c>
      <c r="D172" s="72" t="s">
        <v>386</v>
      </c>
      <c r="E172" s="85">
        <v>83349160.264615372</v>
      </c>
      <c r="F172" s="85" t="s">
        <v>254</v>
      </c>
      <c r="G172" s="85">
        <v>82987729.264615372</v>
      </c>
      <c r="H172" s="85" t="s">
        <v>254</v>
      </c>
      <c r="I172" s="85">
        <v>0</v>
      </c>
      <c r="J172" s="85">
        <v>361431</v>
      </c>
      <c r="K172" s="85" t="s">
        <v>254</v>
      </c>
      <c r="L172" s="85" t="s">
        <v>254</v>
      </c>
      <c r="M172" s="85">
        <v>0</v>
      </c>
      <c r="N172" s="85" t="s">
        <v>254</v>
      </c>
      <c r="O172" s="85">
        <v>361431</v>
      </c>
      <c r="P172" s="85">
        <v>63157</v>
      </c>
      <c r="Q172" s="85">
        <v>298274</v>
      </c>
      <c r="R172" s="85"/>
      <c r="S172" s="86"/>
    </row>
    <row r="173" spans="1:19" ht="15">
      <c r="A173" s="70">
        <v>13</v>
      </c>
      <c r="B173" s="94" t="str">
        <f t="shared" si="9"/>
        <v>371</v>
      </c>
      <c r="C173" s="72" t="s">
        <v>387</v>
      </c>
      <c r="D173" s="72" t="s">
        <v>388</v>
      </c>
      <c r="E173" s="85">
        <v>282792.23923076928</v>
      </c>
      <c r="F173" s="85" t="s">
        <v>254</v>
      </c>
      <c r="G173" s="85">
        <v>282792.23923076928</v>
      </c>
      <c r="H173" s="85" t="s">
        <v>254</v>
      </c>
      <c r="I173" s="85">
        <v>0</v>
      </c>
      <c r="J173" s="85">
        <v>0</v>
      </c>
      <c r="K173" s="85" t="s">
        <v>254</v>
      </c>
      <c r="L173" s="85" t="s">
        <v>254</v>
      </c>
      <c r="M173" s="85">
        <v>0</v>
      </c>
      <c r="N173" s="85" t="s">
        <v>254</v>
      </c>
      <c r="O173" s="85">
        <v>0</v>
      </c>
      <c r="P173" s="85">
        <v>0</v>
      </c>
      <c r="Q173" s="85">
        <v>0</v>
      </c>
      <c r="R173" s="85"/>
      <c r="S173" s="86"/>
    </row>
    <row r="174" spans="1:19" ht="15">
      <c r="A174" s="70">
        <v>14</v>
      </c>
      <c r="B174" s="94" t="str">
        <f t="shared" si="9"/>
        <v>373</v>
      </c>
      <c r="C174" s="72" t="s">
        <v>389</v>
      </c>
      <c r="D174" s="72" t="s">
        <v>390</v>
      </c>
      <c r="E174" s="85">
        <v>114827799.3</v>
      </c>
      <c r="F174" s="85" t="s">
        <v>254</v>
      </c>
      <c r="G174" s="85">
        <v>114827799.3</v>
      </c>
      <c r="H174" s="85" t="s">
        <v>254</v>
      </c>
      <c r="I174" s="85">
        <v>0</v>
      </c>
      <c r="J174" s="85">
        <v>0</v>
      </c>
      <c r="K174" s="85" t="s">
        <v>254</v>
      </c>
      <c r="L174" s="85" t="s">
        <v>254</v>
      </c>
      <c r="M174" s="85">
        <v>0</v>
      </c>
      <c r="N174" s="85" t="s">
        <v>254</v>
      </c>
      <c r="O174" s="85">
        <v>0</v>
      </c>
      <c r="P174" s="85">
        <v>0</v>
      </c>
      <c r="Q174" s="85">
        <v>0</v>
      </c>
      <c r="R174" s="85"/>
      <c r="S174" s="86"/>
    </row>
    <row r="175" spans="1:19" ht="15">
      <c r="A175" s="70">
        <v>15</v>
      </c>
      <c r="B175" s="94" t="str">
        <f t="shared" si="9"/>
        <v>374</v>
      </c>
      <c r="C175" s="72" t="s">
        <v>391</v>
      </c>
      <c r="D175" s="72" t="s">
        <v>392</v>
      </c>
      <c r="E175" s="85">
        <v>904896.86000000022</v>
      </c>
      <c r="F175" s="85" t="s">
        <v>254</v>
      </c>
      <c r="G175" s="85">
        <v>904896.86000000022</v>
      </c>
      <c r="H175" s="85" t="s">
        <v>254</v>
      </c>
      <c r="I175" s="85">
        <v>0</v>
      </c>
      <c r="J175" s="85">
        <v>0</v>
      </c>
      <c r="K175" s="85" t="s">
        <v>254</v>
      </c>
      <c r="L175" s="85" t="s">
        <v>254</v>
      </c>
      <c r="M175" s="85">
        <v>0</v>
      </c>
      <c r="N175" s="85" t="s">
        <v>254</v>
      </c>
      <c r="O175" s="85">
        <v>0</v>
      </c>
      <c r="P175" s="85">
        <v>0</v>
      </c>
      <c r="Q175" s="85">
        <v>0</v>
      </c>
      <c r="R175" s="85"/>
      <c r="S175" s="86"/>
    </row>
    <row r="176" spans="1:19" ht="15">
      <c r="A176" s="70">
        <v>16</v>
      </c>
      <c r="B176" s="70"/>
      <c r="C176" s="72" t="s">
        <v>393</v>
      </c>
      <c r="D176" s="72" t="s">
        <v>254</v>
      </c>
      <c r="E176" s="85">
        <v>1738929388.299228</v>
      </c>
      <c r="F176" s="85" t="s">
        <v>254</v>
      </c>
      <c r="G176" s="85">
        <v>1734009542.3257976</v>
      </c>
      <c r="H176" s="85" t="s">
        <v>254</v>
      </c>
      <c r="I176" s="85">
        <v>0</v>
      </c>
      <c r="J176" s="85">
        <v>4919845.9734303225</v>
      </c>
      <c r="K176" s="85" t="s">
        <v>254</v>
      </c>
      <c r="L176" s="85" t="s">
        <v>254</v>
      </c>
      <c r="M176" s="85">
        <v>0</v>
      </c>
      <c r="N176" s="85" t="s">
        <v>254</v>
      </c>
      <c r="O176" s="85">
        <v>4919845.9734303225</v>
      </c>
      <c r="P176" s="85">
        <v>4264490.9925255449</v>
      </c>
      <c r="Q176" s="85">
        <v>655354.980904778</v>
      </c>
      <c r="R176" s="85"/>
      <c r="S176" s="86"/>
    </row>
    <row r="177" spans="1:19" ht="15">
      <c r="A177" s="70" t="s">
        <v>254</v>
      </c>
      <c r="B177" s="70"/>
      <c r="C177" s="72" t="s">
        <v>254</v>
      </c>
      <c r="D177" s="72" t="s">
        <v>254</v>
      </c>
      <c r="E177" s="85"/>
      <c r="F177" s="85" t="s">
        <v>254</v>
      </c>
      <c r="G177" s="85" t="s">
        <v>254</v>
      </c>
      <c r="H177" s="85" t="s">
        <v>254</v>
      </c>
      <c r="I177" s="85" t="s">
        <v>254</v>
      </c>
      <c r="J177" s="85" t="s">
        <v>254</v>
      </c>
      <c r="K177" s="85" t="s">
        <v>254</v>
      </c>
      <c r="L177" s="85" t="s">
        <v>254</v>
      </c>
      <c r="M177" s="85" t="s">
        <v>254</v>
      </c>
      <c r="N177" s="85" t="s">
        <v>254</v>
      </c>
      <c r="O177" s="85" t="s">
        <v>254</v>
      </c>
      <c r="P177" s="85" t="s">
        <v>254</v>
      </c>
      <c r="Q177" s="85" t="s">
        <v>254</v>
      </c>
      <c r="R177" s="85"/>
      <c r="S177" s="86"/>
    </row>
    <row r="178" spans="1:19" ht="15">
      <c r="A178" s="70" t="s">
        <v>254</v>
      </c>
      <c r="B178" s="70"/>
      <c r="C178" s="72" t="s">
        <v>394</v>
      </c>
      <c r="D178" s="72" t="s">
        <v>254</v>
      </c>
      <c r="E178" s="85" t="s">
        <v>254</v>
      </c>
      <c r="F178" s="85" t="s">
        <v>254</v>
      </c>
      <c r="G178" s="85" t="s">
        <v>254</v>
      </c>
      <c r="H178" s="85" t="s">
        <v>254</v>
      </c>
      <c r="I178" s="85" t="s">
        <v>254</v>
      </c>
      <c r="J178" s="85" t="s">
        <v>254</v>
      </c>
      <c r="K178" s="85" t="s">
        <v>254</v>
      </c>
      <c r="L178" s="85" t="s">
        <v>254</v>
      </c>
      <c r="M178" s="85" t="s">
        <v>254</v>
      </c>
      <c r="N178" s="85" t="s">
        <v>254</v>
      </c>
      <c r="O178" s="85" t="s">
        <v>254</v>
      </c>
      <c r="P178" s="85" t="s">
        <v>254</v>
      </c>
      <c r="Q178" s="85" t="s">
        <v>254</v>
      </c>
      <c r="R178" s="85"/>
      <c r="S178" s="86"/>
    </row>
    <row r="179" spans="1:19" ht="15">
      <c r="A179" s="70">
        <v>17</v>
      </c>
      <c r="B179" s="94" t="str">
        <f t="shared" ref="B179:B184" si="10">MID(C179,2,3)</f>
        <v>360</v>
      </c>
      <c r="C179" s="72" t="s">
        <v>363</v>
      </c>
      <c r="D179" s="72" t="s">
        <v>395</v>
      </c>
      <c r="E179" s="85">
        <v>457132.68999999977</v>
      </c>
      <c r="F179" s="85" t="s">
        <v>254</v>
      </c>
      <c r="G179" s="85">
        <v>0</v>
      </c>
      <c r="H179" s="85" t="s">
        <v>254</v>
      </c>
      <c r="I179" s="85">
        <v>457132.68999999977</v>
      </c>
      <c r="J179" s="85">
        <v>0</v>
      </c>
      <c r="K179" s="85" t="s">
        <v>254</v>
      </c>
      <c r="L179" s="85" t="s">
        <v>254</v>
      </c>
      <c r="M179" s="85">
        <v>0</v>
      </c>
      <c r="N179" s="85" t="s">
        <v>254</v>
      </c>
      <c r="O179" s="85">
        <v>0</v>
      </c>
      <c r="P179" s="85">
        <v>0</v>
      </c>
      <c r="Q179" s="85">
        <v>0</v>
      </c>
      <c r="R179" s="85"/>
      <c r="S179" s="86"/>
    </row>
    <row r="180" spans="1:19" ht="15">
      <c r="A180" s="70">
        <v>18</v>
      </c>
      <c r="B180" s="94" t="str">
        <f t="shared" si="10"/>
        <v>361</v>
      </c>
      <c r="C180" s="72" t="s">
        <v>365</v>
      </c>
      <c r="D180" s="72" t="s">
        <v>396</v>
      </c>
      <c r="E180" s="85">
        <v>493671.5199999999</v>
      </c>
      <c r="F180" s="85" t="s">
        <v>254</v>
      </c>
      <c r="G180" s="85">
        <v>0</v>
      </c>
      <c r="H180" s="85" t="s">
        <v>254</v>
      </c>
      <c r="I180" s="85">
        <v>493671.5199999999</v>
      </c>
      <c r="J180" s="85">
        <v>0</v>
      </c>
      <c r="K180" s="85" t="s">
        <v>254</v>
      </c>
      <c r="L180" s="85" t="s">
        <v>254</v>
      </c>
      <c r="M180" s="85">
        <v>0</v>
      </c>
      <c r="N180" s="85" t="s">
        <v>254</v>
      </c>
      <c r="O180" s="85">
        <v>0</v>
      </c>
      <c r="P180" s="85">
        <v>0</v>
      </c>
      <c r="Q180" s="85">
        <v>0</v>
      </c>
      <c r="R180" s="85"/>
      <c r="S180" s="86"/>
    </row>
    <row r="181" spans="1:19" ht="15">
      <c r="A181" s="70">
        <v>19</v>
      </c>
      <c r="B181" s="94" t="str">
        <f t="shared" si="10"/>
        <v>362</v>
      </c>
      <c r="C181" s="72" t="s">
        <v>367</v>
      </c>
      <c r="D181" s="72" t="s">
        <v>397</v>
      </c>
      <c r="E181" s="85">
        <v>8233190.0100000016</v>
      </c>
      <c r="F181" s="85" t="s">
        <v>254</v>
      </c>
      <c r="G181" s="85">
        <v>0</v>
      </c>
      <c r="H181" s="85" t="s">
        <v>254</v>
      </c>
      <c r="I181" s="85">
        <v>8233190.0100000016</v>
      </c>
      <c r="J181" s="85">
        <v>0</v>
      </c>
      <c r="K181" s="85" t="s">
        <v>254</v>
      </c>
      <c r="L181" s="85" t="s">
        <v>254</v>
      </c>
      <c r="M181" s="85">
        <v>0</v>
      </c>
      <c r="N181" s="85" t="s">
        <v>254</v>
      </c>
      <c r="O181" s="85">
        <v>0</v>
      </c>
      <c r="P181" s="85">
        <v>0</v>
      </c>
      <c r="Q181" s="85">
        <v>0</v>
      </c>
      <c r="R181" s="85"/>
      <c r="S181" s="86"/>
    </row>
    <row r="182" spans="1:19" ht="15">
      <c r="A182" s="70">
        <v>20</v>
      </c>
      <c r="B182" s="94" t="str">
        <f t="shared" si="10"/>
        <v>364</v>
      </c>
      <c r="C182" s="72" t="s">
        <v>369</v>
      </c>
      <c r="D182" s="72" t="s">
        <v>398</v>
      </c>
      <c r="E182" s="85">
        <v>28832784.46153846</v>
      </c>
      <c r="F182" s="85" t="s">
        <v>254</v>
      </c>
      <c r="G182" s="85">
        <v>0</v>
      </c>
      <c r="H182" s="85" t="s">
        <v>254</v>
      </c>
      <c r="I182" s="85">
        <v>28832784.46153846</v>
      </c>
      <c r="J182" s="85">
        <v>0</v>
      </c>
      <c r="K182" s="85" t="s">
        <v>254</v>
      </c>
      <c r="L182" s="85" t="s">
        <v>254</v>
      </c>
      <c r="M182" s="85">
        <v>0</v>
      </c>
      <c r="N182" s="85" t="s">
        <v>254</v>
      </c>
      <c r="O182" s="85">
        <v>0</v>
      </c>
      <c r="P182" s="85">
        <v>0</v>
      </c>
      <c r="Q182" s="85">
        <v>0</v>
      </c>
      <c r="R182" s="85"/>
      <c r="S182" s="86"/>
    </row>
    <row r="183" spans="1:19" ht="15">
      <c r="A183" s="70">
        <v>21</v>
      </c>
      <c r="B183" s="94" t="str">
        <f t="shared" si="10"/>
        <v>365</v>
      </c>
      <c r="C183" s="72" t="s">
        <v>371</v>
      </c>
      <c r="D183" s="72" t="s">
        <v>399</v>
      </c>
      <c r="E183" s="85">
        <v>27415416.07230768</v>
      </c>
      <c r="F183" s="85" t="s">
        <v>254</v>
      </c>
      <c r="G183" s="85">
        <v>0</v>
      </c>
      <c r="H183" s="85" t="s">
        <v>254</v>
      </c>
      <c r="I183" s="85">
        <v>27415416.07230768</v>
      </c>
      <c r="J183" s="85">
        <v>0</v>
      </c>
      <c r="K183" s="85" t="s">
        <v>254</v>
      </c>
      <c r="L183" s="85" t="s">
        <v>254</v>
      </c>
      <c r="M183" s="85">
        <v>0</v>
      </c>
      <c r="N183" s="85" t="s">
        <v>254</v>
      </c>
      <c r="O183" s="85">
        <v>0</v>
      </c>
      <c r="P183" s="85">
        <v>0</v>
      </c>
      <c r="Q183" s="85">
        <v>0</v>
      </c>
      <c r="R183" s="85"/>
      <c r="S183" s="86"/>
    </row>
    <row r="184" spans="1:19" ht="15">
      <c r="A184" s="70">
        <v>22</v>
      </c>
      <c r="B184" s="94" t="str">
        <f t="shared" si="10"/>
        <v>367</v>
      </c>
      <c r="C184" s="72" t="s">
        <v>375</v>
      </c>
      <c r="D184" s="72" t="s">
        <v>400</v>
      </c>
      <c r="E184" s="85">
        <v>5574293.0184615385</v>
      </c>
      <c r="F184" s="85" t="s">
        <v>254</v>
      </c>
      <c r="G184" s="85">
        <v>0</v>
      </c>
      <c r="H184" s="85" t="s">
        <v>254</v>
      </c>
      <c r="I184" s="85">
        <v>5574293.0184615385</v>
      </c>
      <c r="J184" s="85">
        <v>0</v>
      </c>
      <c r="K184" s="85" t="s">
        <v>254</v>
      </c>
      <c r="L184" s="85" t="s">
        <v>254</v>
      </c>
      <c r="M184" s="85">
        <v>0</v>
      </c>
      <c r="N184" s="85" t="s">
        <v>254</v>
      </c>
      <c r="O184" s="85">
        <v>0</v>
      </c>
      <c r="P184" s="85">
        <v>0</v>
      </c>
      <c r="Q184" s="85">
        <v>0</v>
      </c>
      <c r="R184" s="85"/>
      <c r="S184" s="86"/>
    </row>
    <row r="185" spans="1:19" ht="15">
      <c r="A185" s="70" t="s">
        <v>254</v>
      </c>
      <c r="B185" s="94"/>
      <c r="C185" s="72" t="s">
        <v>377</v>
      </c>
      <c r="D185" s="72" t="s">
        <v>254</v>
      </c>
      <c r="E185" s="85" t="s">
        <v>254</v>
      </c>
      <c r="F185" s="85" t="s">
        <v>254</v>
      </c>
      <c r="G185" s="85" t="s">
        <v>254</v>
      </c>
      <c r="H185" s="85" t="s">
        <v>254</v>
      </c>
      <c r="I185" s="85" t="s">
        <v>254</v>
      </c>
      <c r="J185" s="85" t="s">
        <v>254</v>
      </c>
      <c r="K185" s="85" t="s">
        <v>254</v>
      </c>
      <c r="L185" s="85" t="s">
        <v>254</v>
      </c>
      <c r="M185" s="85" t="s">
        <v>254</v>
      </c>
      <c r="N185" s="85" t="s">
        <v>254</v>
      </c>
      <c r="O185" s="85" t="s">
        <v>254</v>
      </c>
      <c r="P185" s="85" t="s">
        <v>254</v>
      </c>
      <c r="Q185" s="85" t="s">
        <v>254</v>
      </c>
      <c r="R185" s="85"/>
      <c r="S185" s="86"/>
    </row>
    <row r="186" spans="1:19" ht="15">
      <c r="A186" s="70">
        <v>23</v>
      </c>
      <c r="B186" s="70"/>
      <c r="C186" s="72" t="s">
        <v>378</v>
      </c>
      <c r="D186" s="72" t="s">
        <v>401</v>
      </c>
      <c r="E186" s="85">
        <v>128027.56</v>
      </c>
      <c r="F186" s="85" t="s">
        <v>254</v>
      </c>
      <c r="G186" s="85">
        <v>0</v>
      </c>
      <c r="H186" s="85" t="s">
        <v>254</v>
      </c>
      <c r="I186" s="85">
        <v>128027.56</v>
      </c>
      <c r="J186" s="85">
        <v>0</v>
      </c>
      <c r="K186" s="85" t="s">
        <v>254</v>
      </c>
      <c r="L186" s="85" t="s">
        <v>254</v>
      </c>
      <c r="M186" s="85">
        <v>0</v>
      </c>
      <c r="N186" s="85" t="s">
        <v>254</v>
      </c>
      <c r="O186" s="85">
        <v>0</v>
      </c>
      <c r="P186" s="85">
        <v>0</v>
      </c>
      <c r="Q186" s="85">
        <v>0</v>
      </c>
      <c r="R186" s="85"/>
      <c r="S186" s="86"/>
    </row>
    <row r="187" spans="1:19" ht="15">
      <c r="A187" s="70">
        <v>24</v>
      </c>
      <c r="B187" s="70"/>
      <c r="C187" s="72" t="s">
        <v>380</v>
      </c>
      <c r="D187" s="72" t="s">
        <v>402</v>
      </c>
      <c r="E187" s="85">
        <v>12595121.109999996</v>
      </c>
      <c r="F187" s="85" t="s">
        <v>254</v>
      </c>
      <c r="G187" s="85">
        <v>0</v>
      </c>
      <c r="H187" s="85" t="s">
        <v>254</v>
      </c>
      <c r="I187" s="85">
        <v>12595121.109999996</v>
      </c>
      <c r="J187" s="85">
        <v>0</v>
      </c>
      <c r="K187" s="85" t="s">
        <v>254</v>
      </c>
      <c r="L187" s="85" t="s">
        <v>254</v>
      </c>
      <c r="M187" s="85">
        <v>0</v>
      </c>
      <c r="N187" s="85" t="s">
        <v>254</v>
      </c>
      <c r="O187" s="85">
        <v>0</v>
      </c>
      <c r="P187" s="85">
        <v>0</v>
      </c>
      <c r="Q187" s="85">
        <v>0</v>
      </c>
      <c r="R187" s="85"/>
      <c r="S187" s="86"/>
    </row>
    <row r="188" spans="1:19" ht="15">
      <c r="A188" s="70">
        <v>25</v>
      </c>
      <c r="B188" s="94">
        <v>368</v>
      </c>
      <c r="C188" s="72" t="s">
        <v>382</v>
      </c>
      <c r="D188" s="72" t="s">
        <v>254</v>
      </c>
      <c r="E188" s="85">
        <v>12723148.669999996</v>
      </c>
      <c r="F188" s="85" t="s">
        <v>254</v>
      </c>
      <c r="G188" s="85">
        <v>0</v>
      </c>
      <c r="H188" s="85" t="s">
        <v>254</v>
      </c>
      <c r="I188" s="85">
        <v>12723148.669999996</v>
      </c>
      <c r="J188" s="85">
        <v>0</v>
      </c>
      <c r="K188" s="85" t="s">
        <v>254</v>
      </c>
      <c r="L188" s="85" t="s">
        <v>254</v>
      </c>
      <c r="M188" s="85">
        <v>0</v>
      </c>
      <c r="N188" s="85" t="s">
        <v>254</v>
      </c>
      <c r="O188" s="85">
        <v>0</v>
      </c>
      <c r="P188" s="85">
        <v>0</v>
      </c>
      <c r="Q188" s="85">
        <v>0</v>
      </c>
      <c r="R188" s="85"/>
      <c r="S188" s="86"/>
    </row>
    <row r="189" spans="1:19" ht="15">
      <c r="A189" s="70">
        <v>26</v>
      </c>
      <c r="B189" s="94" t="str">
        <f t="shared" ref="B189:B192" si="11">MID(C189,2,3)</f>
        <v>369</v>
      </c>
      <c r="C189" s="72" t="s">
        <v>383</v>
      </c>
      <c r="D189" s="72" t="s">
        <v>403</v>
      </c>
      <c r="E189" s="85">
        <v>5498987.4100000011</v>
      </c>
      <c r="F189" s="85" t="s">
        <v>254</v>
      </c>
      <c r="G189" s="85">
        <v>0</v>
      </c>
      <c r="H189" s="85" t="s">
        <v>254</v>
      </c>
      <c r="I189" s="85">
        <v>5498987.4100000011</v>
      </c>
      <c r="J189" s="85">
        <v>0</v>
      </c>
      <c r="K189" s="85" t="s">
        <v>254</v>
      </c>
      <c r="L189" s="85" t="s">
        <v>254</v>
      </c>
      <c r="M189" s="85">
        <v>0</v>
      </c>
      <c r="N189" s="85" t="s">
        <v>254</v>
      </c>
      <c r="O189" s="85">
        <v>0</v>
      </c>
      <c r="P189" s="85">
        <v>0</v>
      </c>
      <c r="Q189" s="85">
        <v>0</v>
      </c>
      <c r="R189" s="85"/>
      <c r="S189" s="86"/>
    </row>
    <row r="190" spans="1:19" ht="15">
      <c r="A190" s="70">
        <v>27</v>
      </c>
      <c r="B190" s="94" t="str">
        <f t="shared" si="11"/>
        <v>370</v>
      </c>
      <c r="C190" s="72" t="s">
        <v>385</v>
      </c>
      <c r="D190" s="72" t="s">
        <v>404</v>
      </c>
      <c r="E190" s="85">
        <v>3938073.7999999989</v>
      </c>
      <c r="F190" s="85" t="s">
        <v>254</v>
      </c>
      <c r="G190" s="85">
        <v>0</v>
      </c>
      <c r="H190" s="85" t="s">
        <v>254</v>
      </c>
      <c r="I190" s="85">
        <v>3938073.7999999989</v>
      </c>
      <c r="J190" s="85">
        <v>0</v>
      </c>
      <c r="K190" s="85" t="s">
        <v>254</v>
      </c>
      <c r="L190" s="85" t="s">
        <v>254</v>
      </c>
      <c r="M190" s="85">
        <v>0</v>
      </c>
      <c r="N190" s="85" t="s">
        <v>254</v>
      </c>
      <c r="O190" s="85">
        <v>0</v>
      </c>
      <c r="P190" s="85">
        <v>0</v>
      </c>
      <c r="Q190" s="85">
        <v>0</v>
      </c>
      <c r="R190" s="85"/>
      <c r="S190" s="86"/>
    </row>
    <row r="191" spans="1:19" ht="15">
      <c r="A191" s="70">
        <v>28</v>
      </c>
      <c r="B191" s="94" t="str">
        <f t="shared" si="11"/>
        <v>371</v>
      </c>
      <c r="C191" s="72" t="s">
        <v>387</v>
      </c>
      <c r="D191" s="72" t="s">
        <v>405</v>
      </c>
      <c r="E191" s="85">
        <v>0</v>
      </c>
      <c r="F191" s="85" t="s">
        <v>254</v>
      </c>
      <c r="G191" s="85">
        <v>0</v>
      </c>
      <c r="H191" s="85" t="s">
        <v>254</v>
      </c>
      <c r="I191" s="85">
        <v>0</v>
      </c>
      <c r="J191" s="85">
        <v>0</v>
      </c>
      <c r="K191" s="85" t="s">
        <v>254</v>
      </c>
      <c r="L191" s="85" t="s">
        <v>254</v>
      </c>
      <c r="M191" s="85">
        <v>0</v>
      </c>
      <c r="N191" s="85" t="s">
        <v>254</v>
      </c>
      <c r="O191" s="85">
        <v>0</v>
      </c>
      <c r="P191" s="85">
        <v>0</v>
      </c>
      <c r="Q191" s="85">
        <v>0</v>
      </c>
      <c r="R191" s="85"/>
      <c r="S191" s="86"/>
    </row>
    <row r="192" spans="1:19" ht="15">
      <c r="A192" s="70">
        <v>29</v>
      </c>
      <c r="B192" s="94" t="str">
        <f t="shared" si="11"/>
        <v>373</v>
      </c>
      <c r="C192" s="72" t="s">
        <v>389</v>
      </c>
      <c r="D192" s="72" t="s">
        <v>406</v>
      </c>
      <c r="E192" s="85">
        <v>3900880.5453846096</v>
      </c>
      <c r="F192" s="85" t="s">
        <v>254</v>
      </c>
      <c r="G192" s="85">
        <v>0</v>
      </c>
      <c r="H192" s="85" t="s">
        <v>254</v>
      </c>
      <c r="I192" s="85">
        <v>3900880.5453846096</v>
      </c>
      <c r="J192" s="85">
        <v>0</v>
      </c>
      <c r="K192" s="85" t="s">
        <v>254</v>
      </c>
      <c r="L192" s="85" t="s">
        <v>254</v>
      </c>
      <c r="M192" s="85">
        <v>0</v>
      </c>
      <c r="N192" s="85" t="s">
        <v>254</v>
      </c>
      <c r="O192" s="85">
        <v>0</v>
      </c>
      <c r="P192" s="85">
        <v>0</v>
      </c>
      <c r="Q192" s="85">
        <v>0</v>
      </c>
      <c r="R192" s="85"/>
      <c r="S192" s="86"/>
    </row>
    <row r="193" spans="1:19" ht="15">
      <c r="A193" s="70">
        <v>30</v>
      </c>
      <c r="B193" s="70"/>
      <c r="C193" s="72" t="s">
        <v>407</v>
      </c>
      <c r="D193" s="72" t="s">
        <v>254</v>
      </c>
      <c r="E193" s="85">
        <v>97067578.19769229</v>
      </c>
      <c r="F193" s="85" t="s">
        <v>254</v>
      </c>
      <c r="G193" s="85">
        <v>0</v>
      </c>
      <c r="H193" s="85" t="s">
        <v>254</v>
      </c>
      <c r="I193" s="85">
        <v>97067578.19769229</v>
      </c>
      <c r="J193" s="85">
        <v>0</v>
      </c>
      <c r="K193" s="85" t="s">
        <v>254</v>
      </c>
      <c r="L193" s="85" t="s">
        <v>254</v>
      </c>
      <c r="M193" s="85">
        <v>0</v>
      </c>
      <c r="N193" s="85" t="s">
        <v>254</v>
      </c>
      <c r="O193" s="85">
        <v>0</v>
      </c>
      <c r="P193" s="85">
        <v>0</v>
      </c>
      <c r="Q193" s="85">
        <v>0</v>
      </c>
      <c r="R193" s="85"/>
      <c r="S193" s="86"/>
    </row>
    <row r="194" spans="1:19" ht="15">
      <c r="A194" s="70" t="s">
        <v>254</v>
      </c>
      <c r="B194" s="70"/>
      <c r="C194" s="72" t="s">
        <v>254</v>
      </c>
      <c r="D194" s="72" t="s">
        <v>254</v>
      </c>
      <c r="E194" s="85" t="s">
        <v>254</v>
      </c>
      <c r="F194" s="85" t="s">
        <v>254</v>
      </c>
      <c r="G194" s="85" t="s">
        <v>254</v>
      </c>
      <c r="H194" s="85" t="s">
        <v>254</v>
      </c>
      <c r="I194" s="85" t="s">
        <v>254</v>
      </c>
      <c r="J194" s="85" t="s">
        <v>254</v>
      </c>
      <c r="K194" s="85" t="s">
        <v>254</v>
      </c>
      <c r="L194" s="85" t="s">
        <v>254</v>
      </c>
      <c r="M194" s="85" t="s">
        <v>254</v>
      </c>
      <c r="N194" s="85" t="s">
        <v>254</v>
      </c>
      <c r="O194" s="85" t="s">
        <v>254</v>
      </c>
      <c r="P194" s="85" t="s">
        <v>254</v>
      </c>
      <c r="Q194" s="85" t="s">
        <v>254</v>
      </c>
      <c r="R194" s="85"/>
      <c r="S194" s="86"/>
    </row>
    <row r="195" spans="1:19" ht="15">
      <c r="A195" s="70" t="s">
        <v>254</v>
      </c>
      <c r="B195" s="70"/>
      <c r="C195" s="72" t="s">
        <v>408</v>
      </c>
      <c r="D195" s="72" t="s">
        <v>254</v>
      </c>
      <c r="E195" s="85" t="s">
        <v>254</v>
      </c>
      <c r="F195" s="85" t="s">
        <v>254</v>
      </c>
      <c r="G195" s="85" t="s">
        <v>254</v>
      </c>
      <c r="H195" s="85" t="s">
        <v>254</v>
      </c>
      <c r="I195" s="85" t="s">
        <v>254</v>
      </c>
      <c r="J195" s="85" t="s">
        <v>254</v>
      </c>
      <c r="K195" s="85" t="s">
        <v>254</v>
      </c>
      <c r="L195" s="85" t="s">
        <v>254</v>
      </c>
      <c r="M195" s="85" t="s">
        <v>254</v>
      </c>
      <c r="N195" s="85" t="s">
        <v>254</v>
      </c>
      <c r="O195" s="85" t="s">
        <v>254</v>
      </c>
      <c r="P195" s="85" t="s">
        <v>254</v>
      </c>
      <c r="Q195" s="85" t="s">
        <v>254</v>
      </c>
      <c r="R195" s="85"/>
      <c r="S195" s="86"/>
    </row>
    <row r="196" spans="1:19" ht="15">
      <c r="A196" s="70">
        <v>31</v>
      </c>
      <c r="B196" s="94" t="str">
        <f t="shared" ref="B196:B204" si="12">MID(C196,2,3)</f>
        <v>360</v>
      </c>
      <c r="C196" s="72" t="s">
        <v>363</v>
      </c>
      <c r="D196" s="72" t="s">
        <v>409</v>
      </c>
      <c r="E196" s="85">
        <v>5040.2300000000005</v>
      </c>
      <c r="F196" s="85" t="s">
        <v>254</v>
      </c>
      <c r="G196" s="85">
        <v>0</v>
      </c>
      <c r="H196" s="85" t="s">
        <v>254</v>
      </c>
      <c r="I196" s="85">
        <v>0</v>
      </c>
      <c r="J196" s="85">
        <v>5040.2300000000005</v>
      </c>
      <c r="K196" s="85" t="s">
        <v>254</v>
      </c>
      <c r="L196" s="85" t="s">
        <v>254</v>
      </c>
      <c r="M196" s="85">
        <v>5040.2300000000005</v>
      </c>
      <c r="N196" s="85" t="s">
        <v>254</v>
      </c>
      <c r="O196" s="85">
        <v>0</v>
      </c>
      <c r="P196" s="85">
        <v>0</v>
      </c>
      <c r="Q196" s="85">
        <v>0</v>
      </c>
      <c r="R196" s="85"/>
      <c r="S196" s="86"/>
    </row>
    <row r="197" spans="1:19" ht="15">
      <c r="A197" s="70">
        <v>32</v>
      </c>
      <c r="B197" s="94" t="str">
        <f t="shared" si="12"/>
        <v>361</v>
      </c>
      <c r="C197" s="72" t="s">
        <v>365</v>
      </c>
      <c r="D197" s="72" t="s">
        <v>410</v>
      </c>
      <c r="E197" s="85">
        <v>2575.8900000000003</v>
      </c>
      <c r="F197" s="85" t="s">
        <v>254</v>
      </c>
      <c r="G197" s="85">
        <v>0</v>
      </c>
      <c r="H197" s="85" t="s">
        <v>254</v>
      </c>
      <c r="I197" s="85">
        <v>0</v>
      </c>
      <c r="J197" s="85">
        <v>2575.8900000000003</v>
      </c>
      <c r="K197" s="85" t="s">
        <v>254</v>
      </c>
      <c r="L197" s="85" t="s">
        <v>254</v>
      </c>
      <c r="M197" s="85">
        <v>2575.8900000000003</v>
      </c>
      <c r="N197" s="85" t="s">
        <v>254</v>
      </c>
      <c r="O197" s="85">
        <v>0</v>
      </c>
      <c r="P197" s="85">
        <v>0</v>
      </c>
      <c r="Q197" s="85">
        <v>0</v>
      </c>
      <c r="R197" s="85"/>
      <c r="S197" s="86"/>
    </row>
    <row r="198" spans="1:19" ht="15">
      <c r="A198" s="70">
        <v>33</v>
      </c>
      <c r="B198" s="94" t="str">
        <f t="shared" si="12"/>
        <v>362</v>
      </c>
      <c r="C198" s="72" t="s">
        <v>367</v>
      </c>
      <c r="D198" s="72" t="s">
        <v>411</v>
      </c>
      <c r="E198" s="85">
        <v>66887.25</v>
      </c>
      <c r="F198" s="85" t="s">
        <v>254</v>
      </c>
      <c r="G198" s="85">
        <v>0</v>
      </c>
      <c r="H198" s="85" t="s">
        <v>254</v>
      </c>
      <c r="I198" s="85">
        <v>0</v>
      </c>
      <c r="J198" s="85">
        <v>66887.25</v>
      </c>
      <c r="K198" s="85" t="s">
        <v>254</v>
      </c>
      <c r="L198" s="85" t="s">
        <v>254</v>
      </c>
      <c r="M198" s="85">
        <v>66887.25</v>
      </c>
      <c r="N198" s="85" t="s">
        <v>254</v>
      </c>
      <c r="O198" s="85">
        <v>0</v>
      </c>
      <c r="P198" s="85">
        <v>0</v>
      </c>
      <c r="Q198" s="85">
        <v>0</v>
      </c>
      <c r="R198" s="85"/>
      <c r="S198" s="86"/>
    </row>
    <row r="199" spans="1:19" ht="15">
      <c r="A199" s="70">
        <v>34</v>
      </c>
      <c r="B199" s="94" t="str">
        <f t="shared" si="12"/>
        <v>364</v>
      </c>
      <c r="C199" s="72" t="s">
        <v>369</v>
      </c>
      <c r="D199" s="72" t="s">
        <v>412</v>
      </c>
      <c r="E199" s="85">
        <v>47785.56</v>
      </c>
      <c r="F199" s="85" t="s">
        <v>254</v>
      </c>
      <c r="G199" s="85">
        <v>0</v>
      </c>
      <c r="H199" s="85" t="s">
        <v>254</v>
      </c>
      <c r="I199" s="85">
        <v>0</v>
      </c>
      <c r="J199" s="85">
        <v>47785.56</v>
      </c>
      <c r="K199" s="85" t="s">
        <v>254</v>
      </c>
      <c r="L199" s="85" t="s">
        <v>254</v>
      </c>
      <c r="M199" s="85">
        <v>47785.56</v>
      </c>
      <c r="N199" s="85" t="s">
        <v>254</v>
      </c>
      <c r="O199" s="85">
        <v>0</v>
      </c>
      <c r="P199" s="85">
        <v>0</v>
      </c>
      <c r="Q199" s="85">
        <v>0</v>
      </c>
      <c r="R199" s="85"/>
      <c r="S199" s="86"/>
    </row>
    <row r="200" spans="1:19" ht="15">
      <c r="A200" s="70">
        <v>35</v>
      </c>
      <c r="B200" s="94" t="str">
        <f t="shared" si="12"/>
        <v>365</v>
      </c>
      <c r="C200" s="72" t="s">
        <v>371</v>
      </c>
      <c r="D200" s="72" t="s">
        <v>413</v>
      </c>
      <c r="E200" s="85">
        <v>46763.22</v>
      </c>
      <c r="F200" s="85" t="s">
        <v>254</v>
      </c>
      <c r="G200" s="85">
        <v>0</v>
      </c>
      <c r="H200" s="85" t="s">
        <v>254</v>
      </c>
      <c r="I200" s="85">
        <v>0</v>
      </c>
      <c r="J200" s="85">
        <v>46763.22</v>
      </c>
      <c r="K200" s="85" t="s">
        <v>254</v>
      </c>
      <c r="L200" s="85" t="s">
        <v>254</v>
      </c>
      <c r="M200" s="85">
        <v>46763.22</v>
      </c>
      <c r="N200" s="85" t="s">
        <v>254</v>
      </c>
      <c r="O200" s="85">
        <v>0</v>
      </c>
      <c r="P200" s="85">
        <v>0</v>
      </c>
      <c r="Q200" s="85">
        <v>0</v>
      </c>
      <c r="R200" s="85"/>
      <c r="S200" s="86"/>
    </row>
    <row r="201" spans="1:19" ht="15">
      <c r="A201" s="70">
        <v>36</v>
      </c>
      <c r="B201" s="94" t="str">
        <f t="shared" si="12"/>
        <v>368</v>
      </c>
      <c r="C201" s="72" t="s">
        <v>377</v>
      </c>
      <c r="D201" s="72" t="s">
        <v>414</v>
      </c>
      <c r="E201" s="85">
        <v>3118.2799999999988</v>
      </c>
      <c r="F201" s="85" t="s">
        <v>254</v>
      </c>
      <c r="G201" s="85">
        <v>0</v>
      </c>
      <c r="H201" s="85" t="s">
        <v>254</v>
      </c>
      <c r="I201" s="85">
        <v>0</v>
      </c>
      <c r="J201" s="85">
        <v>3118.2799999999988</v>
      </c>
      <c r="K201" s="85" t="s">
        <v>254</v>
      </c>
      <c r="L201" s="85" t="s">
        <v>254</v>
      </c>
      <c r="M201" s="85">
        <v>3118.2799999999988</v>
      </c>
      <c r="N201" s="85" t="s">
        <v>254</v>
      </c>
      <c r="O201" s="85">
        <v>0</v>
      </c>
      <c r="P201" s="85">
        <v>0</v>
      </c>
      <c r="Q201" s="85">
        <v>0</v>
      </c>
      <c r="R201" s="85"/>
      <c r="S201" s="86"/>
    </row>
    <row r="202" spans="1:19" ht="15">
      <c r="A202" s="70">
        <v>37</v>
      </c>
      <c r="B202" s="94" t="str">
        <f t="shared" si="12"/>
        <v>369</v>
      </c>
      <c r="C202" s="72" t="s">
        <v>383</v>
      </c>
      <c r="D202" s="72" t="s">
        <v>415</v>
      </c>
      <c r="E202" s="85">
        <v>254.62</v>
      </c>
      <c r="F202" s="85" t="s">
        <v>254</v>
      </c>
      <c r="G202" s="85">
        <v>0</v>
      </c>
      <c r="H202" s="85" t="s">
        <v>254</v>
      </c>
      <c r="I202" s="85">
        <v>0</v>
      </c>
      <c r="J202" s="85">
        <v>254.62</v>
      </c>
      <c r="K202" s="85" t="s">
        <v>254</v>
      </c>
      <c r="L202" s="85" t="s">
        <v>254</v>
      </c>
      <c r="M202" s="85">
        <v>254.62</v>
      </c>
      <c r="N202" s="85" t="s">
        <v>254</v>
      </c>
      <c r="O202" s="85">
        <v>0</v>
      </c>
      <c r="P202" s="85">
        <v>0</v>
      </c>
      <c r="Q202" s="85">
        <v>0</v>
      </c>
      <c r="R202" s="85"/>
      <c r="S202" s="86"/>
    </row>
    <row r="203" spans="1:19" ht="15">
      <c r="A203" s="70">
        <v>38</v>
      </c>
      <c r="B203" s="94" t="str">
        <f t="shared" si="12"/>
        <v>370</v>
      </c>
      <c r="C203" s="72" t="s">
        <v>385</v>
      </c>
      <c r="D203" s="72" t="s">
        <v>416</v>
      </c>
      <c r="E203" s="85">
        <v>4199.21</v>
      </c>
      <c r="F203" s="85" t="s">
        <v>254</v>
      </c>
      <c r="G203" s="85">
        <v>0</v>
      </c>
      <c r="H203" s="85" t="s">
        <v>254</v>
      </c>
      <c r="I203" s="85">
        <v>0</v>
      </c>
      <c r="J203" s="85">
        <v>4199.21</v>
      </c>
      <c r="K203" s="85" t="s">
        <v>254</v>
      </c>
      <c r="L203" s="85" t="s">
        <v>254</v>
      </c>
      <c r="M203" s="85">
        <v>4199.21</v>
      </c>
      <c r="N203" s="85" t="s">
        <v>254</v>
      </c>
      <c r="O203" s="85">
        <v>0</v>
      </c>
      <c r="P203" s="85">
        <v>0</v>
      </c>
      <c r="Q203" s="85">
        <v>0</v>
      </c>
      <c r="R203" s="85"/>
      <c r="S203" s="86"/>
    </row>
    <row r="204" spans="1:19" ht="15">
      <c r="A204" s="70">
        <v>39</v>
      </c>
      <c r="B204" s="94" t="str">
        <f t="shared" si="12"/>
        <v>371</v>
      </c>
      <c r="C204" s="72" t="s">
        <v>387</v>
      </c>
      <c r="D204" s="72" t="s">
        <v>417</v>
      </c>
      <c r="E204" s="85">
        <v>0</v>
      </c>
      <c r="F204" s="85" t="s">
        <v>254</v>
      </c>
      <c r="G204" s="85">
        <v>0</v>
      </c>
      <c r="H204" s="85" t="s">
        <v>254</v>
      </c>
      <c r="I204" s="85">
        <v>0</v>
      </c>
      <c r="J204" s="85">
        <v>0</v>
      </c>
      <c r="K204" s="85" t="s">
        <v>254</v>
      </c>
      <c r="L204" s="85" t="s">
        <v>254</v>
      </c>
      <c r="M204" s="85">
        <v>0</v>
      </c>
      <c r="N204" s="85" t="s">
        <v>254</v>
      </c>
      <c r="O204" s="85">
        <v>0</v>
      </c>
      <c r="P204" s="85">
        <v>0</v>
      </c>
      <c r="Q204" s="85">
        <v>0</v>
      </c>
      <c r="R204" s="85"/>
      <c r="S204" s="86"/>
    </row>
    <row r="205" spans="1:19" ht="15">
      <c r="A205" s="70">
        <v>40</v>
      </c>
      <c r="B205" s="70"/>
      <c r="C205" s="72" t="s">
        <v>418</v>
      </c>
      <c r="D205" s="72" t="s">
        <v>254</v>
      </c>
      <c r="E205" s="85">
        <v>176624.25999999998</v>
      </c>
      <c r="F205" s="85" t="s">
        <v>254</v>
      </c>
      <c r="G205" s="85">
        <v>0</v>
      </c>
      <c r="H205" s="85" t="s">
        <v>254</v>
      </c>
      <c r="I205" s="85">
        <v>0</v>
      </c>
      <c r="J205" s="85">
        <v>176624.25999999998</v>
      </c>
      <c r="K205" s="85" t="s">
        <v>254</v>
      </c>
      <c r="L205" s="85" t="s">
        <v>254</v>
      </c>
      <c r="M205" s="85">
        <v>176624.25999999998</v>
      </c>
      <c r="N205" s="85" t="s">
        <v>254</v>
      </c>
      <c r="O205" s="85">
        <v>0</v>
      </c>
      <c r="P205" s="85">
        <v>0</v>
      </c>
      <c r="Q205" s="85">
        <v>0</v>
      </c>
      <c r="R205" s="85"/>
      <c r="S205" s="86"/>
    </row>
    <row r="206" spans="1:19" ht="15">
      <c r="A206" s="70" t="s">
        <v>254</v>
      </c>
      <c r="B206" s="70"/>
      <c r="C206" s="72" t="s">
        <v>254</v>
      </c>
      <c r="D206" s="72" t="s">
        <v>254</v>
      </c>
      <c r="E206" s="85" t="s">
        <v>254</v>
      </c>
      <c r="F206" s="85" t="s">
        <v>254</v>
      </c>
      <c r="G206" s="85" t="s">
        <v>254</v>
      </c>
      <c r="H206" s="85" t="s">
        <v>254</v>
      </c>
      <c r="I206" s="85" t="s">
        <v>254</v>
      </c>
      <c r="J206" s="85" t="s">
        <v>254</v>
      </c>
      <c r="K206" s="85" t="s">
        <v>254</v>
      </c>
      <c r="L206" s="85" t="s">
        <v>254</v>
      </c>
      <c r="M206" s="85" t="s">
        <v>254</v>
      </c>
      <c r="N206" s="85" t="s">
        <v>254</v>
      </c>
      <c r="O206" s="85" t="s">
        <v>254</v>
      </c>
      <c r="P206" s="85" t="s">
        <v>254</v>
      </c>
      <c r="Q206" s="85" t="s">
        <v>254</v>
      </c>
      <c r="R206" s="85"/>
      <c r="S206" s="86"/>
    </row>
    <row r="207" spans="1:19" ht="15">
      <c r="A207" s="70">
        <v>41</v>
      </c>
      <c r="B207" s="70"/>
      <c r="C207" s="72" t="s">
        <v>419</v>
      </c>
      <c r="D207" s="72" t="s">
        <v>254</v>
      </c>
      <c r="E207" s="85">
        <v>1836173590.7569203</v>
      </c>
      <c r="F207" s="85" t="s">
        <v>254</v>
      </c>
      <c r="G207" s="85">
        <v>1734009542.3257976</v>
      </c>
      <c r="H207" s="85" t="s">
        <v>254</v>
      </c>
      <c r="I207" s="85">
        <v>97067578.19769229</v>
      </c>
      <c r="J207" s="85">
        <v>5096470.2334303223</v>
      </c>
      <c r="K207" s="85" t="s">
        <v>254</v>
      </c>
      <c r="L207" s="85" t="s">
        <v>254</v>
      </c>
      <c r="M207" s="85">
        <v>176624.25999999998</v>
      </c>
      <c r="N207" s="85" t="s">
        <v>254</v>
      </c>
      <c r="O207" s="85">
        <v>4919845.9734303225</v>
      </c>
      <c r="P207" s="85">
        <v>4264490.9925255449</v>
      </c>
      <c r="Q207" s="85">
        <v>655354.980904778</v>
      </c>
      <c r="R207" s="85"/>
      <c r="S207" s="86"/>
    </row>
    <row r="208" spans="1:19" ht="15">
      <c r="A208" s="70" t="s">
        <v>254</v>
      </c>
      <c r="B208" s="70"/>
      <c r="C208" s="72" t="s">
        <v>254</v>
      </c>
      <c r="D208" s="72" t="s">
        <v>254</v>
      </c>
      <c r="E208" s="85" t="s">
        <v>254</v>
      </c>
      <c r="F208" s="85" t="s">
        <v>254</v>
      </c>
      <c r="G208" s="85" t="s">
        <v>254</v>
      </c>
      <c r="H208" s="85" t="s">
        <v>254</v>
      </c>
      <c r="I208" s="85" t="s">
        <v>254</v>
      </c>
      <c r="J208" s="85" t="s">
        <v>254</v>
      </c>
      <c r="K208" s="85" t="s">
        <v>254</v>
      </c>
      <c r="L208" s="85" t="s">
        <v>254</v>
      </c>
      <c r="M208" s="85" t="s">
        <v>254</v>
      </c>
      <c r="N208" s="85" t="s">
        <v>254</v>
      </c>
      <c r="O208" s="85" t="s">
        <v>254</v>
      </c>
      <c r="P208" s="85" t="s">
        <v>254</v>
      </c>
      <c r="Q208" s="85" t="s">
        <v>254</v>
      </c>
      <c r="R208" s="85"/>
      <c r="S208" s="86"/>
    </row>
    <row r="209" spans="1:19" ht="15">
      <c r="A209" s="70" t="s">
        <v>254</v>
      </c>
      <c r="B209" s="70"/>
      <c r="C209" s="72" t="s">
        <v>340</v>
      </c>
      <c r="D209" s="72" t="s">
        <v>254</v>
      </c>
      <c r="E209" s="85" t="s">
        <v>254</v>
      </c>
      <c r="F209" s="85" t="s">
        <v>254</v>
      </c>
      <c r="G209" s="85" t="s">
        <v>254</v>
      </c>
      <c r="H209" s="85" t="s">
        <v>254</v>
      </c>
      <c r="I209" s="85" t="s">
        <v>254</v>
      </c>
      <c r="J209" s="85" t="s">
        <v>254</v>
      </c>
      <c r="K209" s="85" t="s">
        <v>254</v>
      </c>
      <c r="L209" s="85" t="s">
        <v>254</v>
      </c>
      <c r="M209" s="85" t="s">
        <v>254</v>
      </c>
      <c r="N209" s="85" t="s">
        <v>254</v>
      </c>
      <c r="O209" s="85" t="s">
        <v>254</v>
      </c>
      <c r="P209" s="85" t="s">
        <v>254</v>
      </c>
      <c r="Q209" s="85" t="s">
        <v>254</v>
      </c>
      <c r="R209" s="85"/>
      <c r="S209" s="86"/>
    </row>
    <row r="210" spans="1:19" ht="15">
      <c r="A210" s="70" t="s">
        <v>254</v>
      </c>
      <c r="B210" s="70"/>
      <c r="C210" s="72" t="s">
        <v>254</v>
      </c>
      <c r="D210" s="72" t="s">
        <v>254</v>
      </c>
      <c r="E210" s="85" t="s">
        <v>254</v>
      </c>
      <c r="F210" s="85" t="s">
        <v>254</v>
      </c>
      <c r="G210" s="85" t="s">
        <v>254</v>
      </c>
      <c r="H210" s="85" t="s">
        <v>254</v>
      </c>
      <c r="I210" s="85" t="s">
        <v>254</v>
      </c>
      <c r="J210" s="85" t="s">
        <v>254</v>
      </c>
      <c r="K210" s="85" t="s">
        <v>254</v>
      </c>
      <c r="L210" s="85" t="s">
        <v>254</v>
      </c>
      <c r="M210" s="85" t="s">
        <v>254</v>
      </c>
      <c r="N210" s="85" t="s">
        <v>254</v>
      </c>
      <c r="O210" s="85" t="s">
        <v>254</v>
      </c>
      <c r="P210" s="85" t="s">
        <v>254</v>
      </c>
      <c r="Q210" s="85" t="s">
        <v>254</v>
      </c>
      <c r="R210" s="85"/>
      <c r="S210" s="86"/>
    </row>
    <row r="211" spans="1:19" ht="15">
      <c r="A211" s="70" t="s">
        <v>254</v>
      </c>
      <c r="B211" s="70"/>
      <c r="C211" s="72" t="s">
        <v>420</v>
      </c>
      <c r="D211" s="72" t="s">
        <v>254</v>
      </c>
      <c r="E211" s="85" t="s">
        <v>254</v>
      </c>
      <c r="F211" s="85" t="s">
        <v>254</v>
      </c>
      <c r="G211" s="85" t="s">
        <v>254</v>
      </c>
      <c r="H211" s="85" t="s">
        <v>254</v>
      </c>
      <c r="I211" s="85" t="s">
        <v>254</v>
      </c>
      <c r="J211" s="85" t="s">
        <v>254</v>
      </c>
      <c r="K211" s="85" t="s">
        <v>254</v>
      </c>
      <c r="L211" s="85" t="s">
        <v>254</v>
      </c>
      <c r="M211" s="85" t="s">
        <v>254</v>
      </c>
      <c r="N211" s="85" t="s">
        <v>254</v>
      </c>
      <c r="O211" s="85" t="s">
        <v>254</v>
      </c>
      <c r="P211" s="85" t="s">
        <v>254</v>
      </c>
      <c r="Q211" s="85" t="s">
        <v>254</v>
      </c>
      <c r="R211" s="85"/>
      <c r="S211" s="86"/>
    </row>
    <row r="212" spans="1:19" ht="15">
      <c r="A212" s="70">
        <v>1</v>
      </c>
      <c r="B212" s="94" t="str">
        <f t="shared" ref="B212:B219" si="13">MID(C212,2,3)</f>
        <v>389</v>
      </c>
      <c r="C212" s="72" t="s">
        <v>421</v>
      </c>
      <c r="D212" s="72" t="s">
        <v>422</v>
      </c>
      <c r="E212" s="85">
        <v>3987715.1469230764</v>
      </c>
      <c r="F212" s="85" t="s">
        <v>254</v>
      </c>
      <c r="G212" s="85">
        <v>3603740.4824467865</v>
      </c>
      <c r="H212" s="85" t="s">
        <v>254</v>
      </c>
      <c r="I212" s="85">
        <v>187124.27889881478</v>
      </c>
      <c r="J212" s="85">
        <v>196850.3855774751</v>
      </c>
      <c r="K212" s="85" t="s">
        <v>254</v>
      </c>
      <c r="L212" s="85" t="s">
        <v>254</v>
      </c>
      <c r="M212" s="85">
        <v>89.808317345923484</v>
      </c>
      <c r="N212" s="85" t="s">
        <v>254</v>
      </c>
      <c r="O212" s="85">
        <v>196760.57726012918</v>
      </c>
      <c r="P212" s="85">
        <v>62813.95168707733</v>
      </c>
      <c r="Q212" s="85">
        <v>133946.62557305186</v>
      </c>
      <c r="R212" s="85"/>
      <c r="S212" s="86"/>
    </row>
    <row r="213" spans="1:19" ht="15">
      <c r="A213" s="70">
        <v>2</v>
      </c>
      <c r="B213" s="94" t="str">
        <f t="shared" si="13"/>
        <v>390</v>
      </c>
      <c r="C213" s="72" t="s">
        <v>423</v>
      </c>
      <c r="D213" s="72" t="s">
        <v>422</v>
      </c>
      <c r="E213" s="85">
        <v>72437002.853076816</v>
      </c>
      <c r="F213" s="85" t="s">
        <v>254</v>
      </c>
      <c r="G213" s="85">
        <v>65462087.93528498</v>
      </c>
      <c r="H213" s="85" t="s">
        <v>254</v>
      </c>
      <c r="I213" s="85">
        <v>3399119.9032689738</v>
      </c>
      <c r="J213" s="85">
        <v>3575795.0145228612</v>
      </c>
      <c r="K213" s="85" t="s">
        <v>254</v>
      </c>
      <c r="L213" s="85" t="s">
        <v>254</v>
      </c>
      <c r="M213" s="85">
        <v>1631.3716251363373</v>
      </c>
      <c r="N213" s="85" t="s">
        <v>254</v>
      </c>
      <c r="O213" s="85">
        <v>3574163.6428977251</v>
      </c>
      <c r="P213" s="85">
        <v>1141017.908734197</v>
      </c>
      <c r="Q213" s="85">
        <v>2433145.7341635283</v>
      </c>
      <c r="R213" s="85"/>
      <c r="S213" s="86"/>
    </row>
    <row r="214" spans="1:19" ht="15">
      <c r="A214" s="70">
        <v>3</v>
      </c>
      <c r="B214" s="94" t="str">
        <f t="shared" si="13"/>
        <v>391</v>
      </c>
      <c r="C214" s="72" t="s">
        <v>424</v>
      </c>
      <c r="D214" s="72" t="s">
        <v>422</v>
      </c>
      <c r="E214" s="85">
        <v>44896469.019230746</v>
      </c>
      <c r="F214" s="85" t="s">
        <v>254</v>
      </c>
      <c r="G214" s="85">
        <v>40573415.342457727</v>
      </c>
      <c r="H214" s="85" t="s">
        <v>254</v>
      </c>
      <c r="I214" s="85">
        <v>2106775.2035420379</v>
      </c>
      <c r="J214" s="85">
        <v>2216278.4732309827</v>
      </c>
      <c r="K214" s="85" t="s">
        <v>254</v>
      </c>
      <c r="L214" s="85" t="s">
        <v>254</v>
      </c>
      <c r="M214" s="85">
        <v>1011.1244632158968</v>
      </c>
      <c r="N214" s="85" t="s">
        <v>254</v>
      </c>
      <c r="O214" s="85">
        <v>2215267.3487677667</v>
      </c>
      <c r="P214" s="85">
        <v>707203.13061235938</v>
      </c>
      <c r="Q214" s="85">
        <v>1508064.2181554073</v>
      </c>
      <c r="R214" s="85"/>
      <c r="S214" s="86"/>
    </row>
    <row r="215" spans="1:19" ht="15">
      <c r="A215" s="70">
        <v>4</v>
      </c>
      <c r="B215" s="94" t="str">
        <f t="shared" si="13"/>
        <v>392</v>
      </c>
      <c r="C215" s="72" t="s">
        <v>425</v>
      </c>
      <c r="D215" s="72" t="s">
        <v>422</v>
      </c>
      <c r="E215" s="85">
        <v>7583831.4199999999</v>
      </c>
      <c r="F215" s="85" t="s">
        <v>254</v>
      </c>
      <c r="G215" s="85">
        <v>6853588.9082734175</v>
      </c>
      <c r="H215" s="85" t="s">
        <v>254</v>
      </c>
      <c r="I215" s="85">
        <v>355872.70742060593</v>
      </c>
      <c r="J215" s="85">
        <v>374369.80430597655</v>
      </c>
      <c r="K215" s="85" t="s">
        <v>254</v>
      </c>
      <c r="L215" s="85" t="s">
        <v>254</v>
      </c>
      <c r="M215" s="85">
        <v>170.79733977259531</v>
      </c>
      <c r="N215" s="85" t="s">
        <v>254</v>
      </c>
      <c r="O215" s="85">
        <v>374199.00696620398</v>
      </c>
      <c r="P215" s="85">
        <v>119459.4906776094</v>
      </c>
      <c r="Q215" s="85">
        <v>254739.51628859458</v>
      </c>
      <c r="R215" s="85"/>
      <c r="S215" s="86"/>
    </row>
    <row r="216" spans="1:19" ht="15">
      <c r="A216" s="70">
        <v>5</v>
      </c>
      <c r="B216" s="94" t="str">
        <f t="shared" si="13"/>
        <v>393</v>
      </c>
      <c r="C216" s="72" t="s">
        <v>426</v>
      </c>
      <c r="D216" s="72" t="s">
        <v>422</v>
      </c>
      <c r="E216" s="85">
        <v>1513641.6900000002</v>
      </c>
      <c r="F216" s="85" t="s">
        <v>254</v>
      </c>
      <c r="G216" s="85">
        <v>1367894.0529092394</v>
      </c>
      <c r="H216" s="85" t="s">
        <v>254</v>
      </c>
      <c r="I216" s="85">
        <v>71027.919326429546</v>
      </c>
      <c r="J216" s="85">
        <v>74719.71776433129</v>
      </c>
      <c r="K216" s="85" t="s">
        <v>254</v>
      </c>
      <c r="L216" s="85" t="s">
        <v>254</v>
      </c>
      <c r="M216" s="85">
        <v>34.089098201617915</v>
      </c>
      <c r="N216" s="85" t="s">
        <v>254</v>
      </c>
      <c r="O216" s="85">
        <v>74685.628666129676</v>
      </c>
      <c r="P216" s="85">
        <v>23842.679951843653</v>
      </c>
      <c r="Q216" s="85">
        <v>50842.948714286023</v>
      </c>
      <c r="R216" s="85"/>
      <c r="S216" s="86"/>
    </row>
    <row r="217" spans="1:19" ht="15">
      <c r="A217" s="70">
        <v>6</v>
      </c>
      <c r="B217" s="94" t="str">
        <f t="shared" si="13"/>
        <v>394</v>
      </c>
      <c r="C217" s="72" t="s">
        <v>427</v>
      </c>
      <c r="D217" s="72" t="s">
        <v>422</v>
      </c>
      <c r="E217" s="85">
        <v>13878615.364615384</v>
      </c>
      <c r="F217" s="85" t="s">
        <v>254</v>
      </c>
      <c r="G217" s="85">
        <v>12542251.938021194</v>
      </c>
      <c r="H217" s="85" t="s">
        <v>254</v>
      </c>
      <c r="I217" s="85">
        <v>651256.62103059993</v>
      </c>
      <c r="J217" s="85">
        <v>685106.80556358944</v>
      </c>
      <c r="K217" s="85" t="s">
        <v>254</v>
      </c>
      <c r="L217" s="85" t="s">
        <v>254</v>
      </c>
      <c r="M217" s="85">
        <v>312.56372310071413</v>
      </c>
      <c r="N217" s="85" t="s">
        <v>254</v>
      </c>
      <c r="O217" s="85">
        <v>684794.24184048874</v>
      </c>
      <c r="P217" s="85">
        <v>218614.0792100305</v>
      </c>
      <c r="Q217" s="85">
        <v>466180.1626304583</v>
      </c>
      <c r="R217" s="85"/>
      <c r="S217" s="86"/>
    </row>
    <row r="218" spans="1:19" ht="15">
      <c r="A218" s="70">
        <v>7</v>
      </c>
      <c r="B218" s="94" t="str">
        <f t="shared" si="13"/>
        <v>395</v>
      </c>
      <c r="C218" s="72" t="s">
        <v>428</v>
      </c>
      <c r="D218" s="72" t="s">
        <v>422</v>
      </c>
      <c r="E218" s="85">
        <v>0</v>
      </c>
      <c r="F218" s="85" t="s">
        <v>254</v>
      </c>
      <c r="G218" s="85">
        <v>0</v>
      </c>
      <c r="H218" s="85" t="s">
        <v>254</v>
      </c>
      <c r="I218" s="85">
        <v>0</v>
      </c>
      <c r="J218" s="85">
        <v>0</v>
      </c>
      <c r="K218" s="85" t="s">
        <v>254</v>
      </c>
      <c r="L218" s="85" t="s">
        <v>254</v>
      </c>
      <c r="M218" s="85">
        <v>0</v>
      </c>
      <c r="N218" s="85" t="s">
        <v>254</v>
      </c>
      <c r="O218" s="85">
        <v>0</v>
      </c>
      <c r="P218" s="85">
        <v>0</v>
      </c>
      <c r="Q218" s="85">
        <v>0</v>
      </c>
      <c r="R218" s="85"/>
      <c r="S218" s="86"/>
    </row>
    <row r="219" spans="1:19" ht="15">
      <c r="A219" s="70">
        <v>8</v>
      </c>
      <c r="B219" s="94" t="str">
        <f t="shared" si="13"/>
        <v>396</v>
      </c>
      <c r="C219" s="72" t="s">
        <v>429</v>
      </c>
      <c r="D219" s="72" t="s">
        <v>422</v>
      </c>
      <c r="E219" s="85">
        <v>2370876.7599999998</v>
      </c>
      <c r="F219" s="85" t="s">
        <v>254</v>
      </c>
      <c r="G219" s="85">
        <v>2142586.4797531608</v>
      </c>
      <c r="H219" s="85" t="s">
        <v>254</v>
      </c>
      <c r="I219" s="85">
        <v>111253.83527338403</v>
      </c>
      <c r="J219" s="85">
        <v>117036.44497345481</v>
      </c>
      <c r="K219" s="85" t="s">
        <v>254</v>
      </c>
      <c r="L219" s="85" t="s">
        <v>254</v>
      </c>
      <c r="M219" s="85">
        <v>53.395100854795878</v>
      </c>
      <c r="N219" s="85" t="s">
        <v>254</v>
      </c>
      <c r="O219" s="85">
        <v>116983.04987260001</v>
      </c>
      <c r="P219" s="85">
        <v>37345.731270089433</v>
      </c>
      <c r="Q219" s="85">
        <v>79637.318602510582</v>
      </c>
      <c r="R219" s="85"/>
      <c r="S219" s="86"/>
    </row>
    <row r="220" spans="1:19" ht="15">
      <c r="A220" s="70" t="s">
        <v>254</v>
      </c>
      <c r="C220" s="72" t="s">
        <v>430</v>
      </c>
      <c r="D220" s="72" t="s">
        <v>254</v>
      </c>
      <c r="E220" s="85" t="s">
        <v>254</v>
      </c>
      <c r="F220" s="85" t="s">
        <v>254</v>
      </c>
      <c r="G220" s="85" t="s">
        <v>254</v>
      </c>
      <c r="H220" s="85" t="s">
        <v>254</v>
      </c>
      <c r="I220" s="85" t="s">
        <v>254</v>
      </c>
      <c r="J220" s="85" t="s">
        <v>254</v>
      </c>
      <c r="K220" s="85" t="s">
        <v>254</v>
      </c>
      <c r="L220" s="85" t="s">
        <v>254</v>
      </c>
      <c r="M220" s="85" t="s">
        <v>254</v>
      </c>
      <c r="N220" s="85" t="s">
        <v>254</v>
      </c>
      <c r="O220" s="85" t="s">
        <v>254</v>
      </c>
      <c r="P220" s="85" t="s">
        <v>254</v>
      </c>
      <c r="Q220" s="85" t="s">
        <v>254</v>
      </c>
      <c r="R220" s="85"/>
      <c r="S220" s="86"/>
    </row>
    <row r="221" spans="1:19" ht="15">
      <c r="A221" s="70">
        <v>9</v>
      </c>
      <c r="B221" s="70"/>
      <c r="C221" s="72" t="s">
        <v>431</v>
      </c>
      <c r="D221" s="72" t="s">
        <v>432</v>
      </c>
      <c r="E221" s="85">
        <v>10795860.003846154</v>
      </c>
      <c r="F221" s="85" t="s">
        <v>254</v>
      </c>
      <c r="G221" s="85">
        <v>10795860.003846154</v>
      </c>
      <c r="H221" s="85" t="s">
        <v>254</v>
      </c>
      <c r="I221" s="85">
        <v>0</v>
      </c>
      <c r="J221" s="85">
        <v>0</v>
      </c>
      <c r="K221" s="85" t="s">
        <v>254</v>
      </c>
      <c r="L221" s="85" t="s">
        <v>254</v>
      </c>
      <c r="M221" s="85">
        <v>0</v>
      </c>
      <c r="N221" s="85" t="s">
        <v>254</v>
      </c>
      <c r="O221" s="85">
        <v>0</v>
      </c>
      <c r="P221" s="85">
        <v>0</v>
      </c>
      <c r="Q221" s="85">
        <v>0</v>
      </c>
      <c r="R221" s="85"/>
      <c r="S221" s="86"/>
    </row>
    <row r="222" spans="1:19" ht="15">
      <c r="A222" s="70">
        <v>10</v>
      </c>
      <c r="B222" s="70"/>
      <c r="C222" s="72" t="s">
        <v>380</v>
      </c>
      <c r="D222" s="72" t="s">
        <v>422</v>
      </c>
      <c r="E222" s="85">
        <v>50234602.956153758</v>
      </c>
      <c r="F222" s="85" t="s">
        <v>254</v>
      </c>
      <c r="G222" s="85">
        <v>45397543.611513242</v>
      </c>
      <c r="H222" s="85" t="s">
        <v>254</v>
      </c>
      <c r="I222" s="85">
        <v>2357268.1366650965</v>
      </c>
      <c r="J222" s="85">
        <v>2479791.2079754164</v>
      </c>
      <c r="K222" s="85" t="s">
        <v>254</v>
      </c>
      <c r="L222" s="85" t="s">
        <v>254</v>
      </c>
      <c r="M222" s="85">
        <v>1131.3458955346364</v>
      </c>
      <c r="N222" s="85" t="s">
        <v>254</v>
      </c>
      <c r="O222" s="85">
        <v>2478659.8620798816</v>
      </c>
      <c r="P222" s="85">
        <v>791288.69712323591</v>
      </c>
      <c r="Q222" s="85">
        <v>1687371.1649566456</v>
      </c>
      <c r="R222" s="85"/>
      <c r="S222" s="86"/>
    </row>
    <row r="223" spans="1:19" ht="15">
      <c r="A223" s="70">
        <v>11</v>
      </c>
      <c r="B223" s="94">
        <v>397</v>
      </c>
      <c r="C223" s="72" t="s">
        <v>433</v>
      </c>
      <c r="D223" s="72" t="s">
        <v>254</v>
      </c>
      <c r="E223" s="85">
        <v>61030462.959999911</v>
      </c>
      <c r="F223" s="85" t="s">
        <v>254</v>
      </c>
      <c r="G223" s="85">
        <v>56193403.615359396</v>
      </c>
      <c r="H223" s="85" t="s">
        <v>254</v>
      </c>
      <c r="I223" s="85">
        <v>2357268.1366650965</v>
      </c>
      <c r="J223" s="85">
        <v>2479791.2079754164</v>
      </c>
      <c r="K223" s="85" t="s">
        <v>254</v>
      </c>
      <c r="L223" s="85" t="s">
        <v>254</v>
      </c>
      <c r="M223" s="85">
        <v>1131.3458955346364</v>
      </c>
      <c r="N223" s="85" t="s">
        <v>254</v>
      </c>
      <c r="O223" s="85">
        <v>2478659.8620798816</v>
      </c>
      <c r="P223" s="85">
        <v>791288.69712323591</v>
      </c>
      <c r="Q223" s="85">
        <v>1687371.1649566456</v>
      </c>
      <c r="R223" s="85"/>
      <c r="S223" s="86"/>
    </row>
    <row r="224" spans="1:19" ht="15">
      <c r="A224" s="70">
        <v>12</v>
      </c>
      <c r="B224" s="94" t="str">
        <f>MID(C224,2,3)</f>
        <v>398</v>
      </c>
      <c r="C224" s="72" t="s">
        <v>434</v>
      </c>
      <c r="D224" s="72" t="s">
        <v>422</v>
      </c>
      <c r="E224" s="85">
        <v>0</v>
      </c>
      <c r="F224" s="85" t="s">
        <v>254</v>
      </c>
      <c r="G224" s="85">
        <v>0</v>
      </c>
      <c r="H224" s="85" t="s">
        <v>254</v>
      </c>
      <c r="I224" s="85">
        <v>0</v>
      </c>
      <c r="J224" s="85">
        <v>0</v>
      </c>
      <c r="K224" s="85" t="s">
        <v>254</v>
      </c>
      <c r="L224" s="85" t="s">
        <v>254</v>
      </c>
      <c r="M224" s="85">
        <v>0</v>
      </c>
      <c r="N224" s="85" t="s">
        <v>254</v>
      </c>
      <c r="O224" s="85">
        <v>0</v>
      </c>
      <c r="P224" s="85">
        <v>0</v>
      </c>
      <c r="Q224" s="85">
        <v>0</v>
      </c>
      <c r="R224" s="85"/>
      <c r="S224" s="86"/>
    </row>
    <row r="225" spans="1:19" ht="15">
      <c r="A225" s="70">
        <v>13</v>
      </c>
      <c r="B225" s="70"/>
      <c r="C225" s="72" t="s">
        <v>435</v>
      </c>
      <c r="D225" s="72" t="s">
        <v>254</v>
      </c>
      <c r="E225" s="85">
        <v>207698615.21384597</v>
      </c>
      <c r="F225" s="85" t="s">
        <v>254</v>
      </c>
      <c r="G225" s="85">
        <v>188738968.75450593</v>
      </c>
      <c r="H225" s="85" t="s">
        <v>254</v>
      </c>
      <c r="I225" s="85">
        <v>9239698.6054259427</v>
      </c>
      <c r="J225" s="85">
        <v>9719947.8539140876</v>
      </c>
      <c r="K225" s="85" t="s">
        <v>254</v>
      </c>
      <c r="L225" s="85" t="s">
        <v>254</v>
      </c>
      <c r="M225" s="85">
        <v>4434.495563162518</v>
      </c>
      <c r="N225" s="85" t="s">
        <v>254</v>
      </c>
      <c r="O225" s="85">
        <v>9715513.3583509251</v>
      </c>
      <c r="P225" s="85">
        <v>3101585.6692664423</v>
      </c>
      <c r="Q225" s="85">
        <v>6613927.6890844833</v>
      </c>
      <c r="R225" s="85"/>
      <c r="S225" s="86"/>
    </row>
    <row r="226" spans="1:19" ht="15">
      <c r="A226" s="70" t="s">
        <v>254</v>
      </c>
      <c r="B226" s="70"/>
      <c r="C226" s="72" t="s">
        <v>254</v>
      </c>
      <c r="D226" s="72" t="s">
        <v>254</v>
      </c>
      <c r="E226" s="85" t="s">
        <v>254</v>
      </c>
      <c r="F226" s="85" t="s">
        <v>254</v>
      </c>
      <c r="G226" s="85" t="s">
        <v>254</v>
      </c>
      <c r="H226" s="85" t="s">
        <v>254</v>
      </c>
      <c r="I226" s="85" t="s">
        <v>254</v>
      </c>
      <c r="J226" s="85" t="s">
        <v>254</v>
      </c>
      <c r="K226" s="85" t="s">
        <v>254</v>
      </c>
      <c r="L226" s="85" t="s">
        <v>254</v>
      </c>
      <c r="M226" s="85" t="s">
        <v>254</v>
      </c>
      <c r="N226" s="85" t="s">
        <v>254</v>
      </c>
      <c r="O226" s="85" t="s">
        <v>254</v>
      </c>
      <c r="P226" s="85" t="s">
        <v>254</v>
      </c>
      <c r="Q226" s="85" t="s">
        <v>254</v>
      </c>
      <c r="R226" s="85"/>
      <c r="S226" s="86"/>
    </row>
    <row r="227" spans="1:19" ht="15">
      <c r="A227" s="70" t="s">
        <v>254</v>
      </c>
      <c r="B227" s="70"/>
      <c r="C227" s="72" t="s">
        <v>436</v>
      </c>
      <c r="D227" s="72" t="s">
        <v>254</v>
      </c>
      <c r="E227" s="85" t="s">
        <v>254</v>
      </c>
      <c r="F227" s="85" t="s">
        <v>254</v>
      </c>
      <c r="G227" s="85" t="s">
        <v>254</v>
      </c>
      <c r="H227" s="85" t="s">
        <v>254</v>
      </c>
      <c r="I227" s="85" t="s">
        <v>254</v>
      </c>
      <c r="J227" s="85" t="s">
        <v>254</v>
      </c>
      <c r="K227" s="85" t="s">
        <v>254</v>
      </c>
      <c r="L227" s="85" t="s">
        <v>254</v>
      </c>
      <c r="M227" s="85" t="s">
        <v>254</v>
      </c>
      <c r="N227" s="85" t="s">
        <v>254</v>
      </c>
      <c r="O227" s="85" t="s">
        <v>254</v>
      </c>
      <c r="P227" s="85" t="s">
        <v>254</v>
      </c>
      <c r="Q227" s="85" t="s">
        <v>254</v>
      </c>
      <c r="R227" s="85"/>
      <c r="S227" s="86"/>
    </row>
    <row r="228" spans="1:19" ht="15">
      <c r="A228" s="70">
        <v>14</v>
      </c>
      <c r="B228" s="70"/>
      <c r="C228" s="72" t="s">
        <v>437</v>
      </c>
      <c r="D228" s="72" t="s">
        <v>307</v>
      </c>
      <c r="E228" s="85">
        <v>309540.84999999998</v>
      </c>
      <c r="F228" s="85" t="s">
        <v>254</v>
      </c>
      <c r="G228" s="85">
        <v>271088.83674773236</v>
      </c>
      <c r="H228" s="85" t="s">
        <v>254</v>
      </c>
      <c r="I228" s="85">
        <v>12527.982436047074</v>
      </c>
      <c r="J228" s="85">
        <v>25924.030816220558</v>
      </c>
      <c r="K228" s="85" t="s">
        <v>254</v>
      </c>
      <c r="L228" s="85" t="s">
        <v>254</v>
      </c>
      <c r="M228" s="85">
        <v>0.95258633134382964</v>
      </c>
      <c r="N228" s="85" t="s">
        <v>254</v>
      </c>
      <c r="O228" s="85">
        <v>25923.078229889215</v>
      </c>
      <c r="P228" s="85">
        <v>8045.4575557725902</v>
      </c>
      <c r="Q228" s="85">
        <v>17877.620674116624</v>
      </c>
      <c r="R228" s="85"/>
      <c r="S228" s="86"/>
    </row>
    <row r="229" spans="1:19" ht="15">
      <c r="A229" s="70">
        <v>15</v>
      </c>
      <c r="B229" s="70"/>
      <c r="C229" s="72" t="s">
        <v>438</v>
      </c>
      <c r="D229" s="72" t="s">
        <v>344</v>
      </c>
      <c r="E229" s="85">
        <v>0</v>
      </c>
      <c r="F229" s="85" t="s">
        <v>254</v>
      </c>
      <c r="G229" s="85">
        <v>0</v>
      </c>
      <c r="H229" s="85" t="s">
        <v>254</v>
      </c>
      <c r="I229" s="85">
        <v>0</v>
      </c>
      <c r="J229" s="85">
        <v>0</v>
      </c>
      <c r="K229" s="85" t="s">
        <v>254</v>
      </c>
      <c r="L229" s="85" t="s">
        <v>254</v>
      </c>
      <c r="M229" s="85">
        <v>0</v>
      </c>
      <c r="N229" s="85" t="s">
        <v>254</v>
      </c>
      <c r="O229" s="85">
        <v>0</v>
      </c>
      <c r="P229" s="85">
        <v>0</v>
      </c>
      <c r="Q229" s="85">
        <v>0</v>
      </c>
      <c r="R229" s="85"/>
      <c r="S229" s="86"/>
    </row>
    <row r="230" spans="1:19" ht="15">
      <c r="A230" s="70">
        <v>16</v>
      </c>
      <c r="B230" s="70"/>
      <c r="C230" s="72" t="s">
        <v>439</v>
      </c>
      <c r="D230" s="72" t="s">
        <v>2426</v>
      </c>
      <c r="E230" s="85">
        <v>437970.09</v>
      </c>
      <c r="F230" s="85" t="s">
        <v>254</v>
      </c>
      <c r="G230" s="85">
        <v>113882.25</v>
      </c>
      <c r="H230" s="85" t="s">
        <v>254</v>
      </c>
      <c r="I230" s="85">
        <v>324087.84000000003</v>
      </c>
      <c r="J230" s="85">
        <v>0</v>
      </c>
      <c r="K230" s="85" t="s">
        <v>254</v>
      </c>
      <c r="L230" s="85" t="s">
        <v>254</v>
      </c>
      <c r="M230" s="85">
        <v>0</v>
      </c>
      <c r="N230" s="85" t="s">
        <v>254</v>
      </c>
      <c r="O230" s="85">
        <v>0</v>
      </c>
      <c r="P230" s="85">
        <v>0</v>
      </c>
      <c r="Q230" s="85">
        <v>0</v>
      </c>
      <c r="R230" s="85"/>
      <c r="S230" s="86"/>
    </row>
    <row r="231" spans="1:19" ht="15">
      <c r="A231" s="70">
        <v>17</v>
      </c>
      <c r="B231" s="70"/>
      <c r="C231" s="72" t="s">
        <v>440</v>
      </c>
      <c r="D231" s="72" t="s">
        <v>422</v>
      </c>
      <c r="E231" s="85">
        <v>0</v>
      </c>
      <c r="F231" s="85" t="s">
        <v>254</v>
      </c>
      <c r="G231" s="85">
        <v>0</v>
      </c>
      <c r="H231" s="85" t="s">
        <v>254</v>
      </c>
      <c r="I231" s="85">
        <v>0</v>
      </c>
      <c r="J231" s="85">
        <v>0</v>
      </c>
      <c r="K231" s="85" t="s">
        <v>254</v>
      </c>
      <c r="L231" s="85" t="s">
        <v>254</v>
      </c>
      <c r="M231" s="85">
        <v>0</v>
      </c>
      <c r="N231" s="85" t="s">
        <v>254</v>
      </c>
      <c r="O231" s="85">
        <v>0</v>
      </c>
      <c r="P231" s="85">
        <v>0</v>
      </c>
      <c r="Q231" s="85">
        <v>0</v>
      </c>
      <c r="R231" s="85"/>
      <c r="S231" s="86"/>
    </row>
    <row r="232" spans="1:19" ht="15">
      <c r="A232" s="70">
        <v>18</v>
      </c>
      <c r="B232" s="70"/>
      <c r="C232" s="72" t="s">
        <v>441</v>
      </c>
      <c r="D232" s="72" t="s">
        <v>254</v>
      </c>
      <c r="E232" s="85">
        <v>747510.94000000006</v>
      </c>
      <c r="F232" s="85" t="s">
        <v>254</v>
      </c>
      <c r="G232" s="85">
        <v>384971.08674773236</v>
      </c>
      <c r="H232" s="85" t="s">
        <v>254</v>
      </c>
      <c r="I232" s="85">
        <v>336615.82243604708</v>
      </c>
      <c r="J232" s="85">
        <v>25924.030816220558</v>
      </c>
      <c r="K232" s="85" t="s">
        <v>254</v>
      </c>
      <c r="L232" s="85" t="s">
        <v>254</v>
      </c>
      <c r="M232" s="85">
        <v>0.95258633134382964</v>
      </c>
      <c r="N232" s="85" t="s">
        <v>254</v>
      </c>
      <c r="O232" s="85">
        <v>25923.078229889215</v>
      </c>
      <c r="P232" s="85">
        <v>8045.4575557725902</v>
      </c>
      <c r="Q232" s="85">
        <v>17877.620674116624</v>
      </c>
      <c r="R232" s="85"/>
      <c r="S232" s="86"/>
    </row>
    <row r="233" spans="1:19" ht="15">
      <c r="A233" s="70" t="s">
        <v>254</v>
      </c>
      <c r="B233" s="70"/>
      <c r="C233" s="72" t="s">
        <v>254</v>
      </c>
      <c r="D233" s="72" t="s">
        <v>254</v>
      </c>
      <c r="E233" s="85" t="s">
        <v>254</v>
      </c>
      <c r="F233" s="85" t="s">
        <v>254</v>
      </c>
      <c r="G233" s="85" t="s">
        <v>254</v>
      </c>
      <c r="H233" s="85" t="s">
        <v>254</v>
      </c>
      <c r="I233" s="85" t="s">
        <v>254</v>
      </c>
      <c r="J233" s="85" t="s">
        <v>254</v>
      </c>
      <c r="K233" s="85" t="s">
        <v>254</v>
      </c>
      <c r="L233" s="85" t="s">
        <v>254</v>
      </c>
      <c r="M233" s="85" t="s">
        <v>254</v>
      </c>
      <c r="N233" s="85" t="s">
        <v>254</v>
      </c>
      <c r="O233" s="85" t="s">
        <v>254</v>
      </c>
      <c r="P233" s="85" t="s">
        <v>254</v>
      </c>
      <c r="Q233" s="85" t="s">
        <v>254</v>
      </c>
      <c r="R233" s="85"/>
      <c r="S233" s="86"/>
    </row>
    <row r="234" spans="1:19" ht="15">
      <c r="A234" s="70">
        <v>19</v>
      </c>
      <c r="B234" s="70"/>
      <c r="C234" s="72" t="s">
        <v>442</v>
      </c>
      <c r="D234" s="72" t="s">
        <v>254</v>
      </c>
      <c r="E234" s="85">
        <v>9527059121.0507679</v>
      </c>
      <c r="F234" s="85" t="s">
        <v>254</v>
      </c>
      <c r="G234" s="85">
        <v>8463527046.5532007</v>
      </c>
      <c r="H234" s="85" t="s">
        <v>254</v>
      </c>
      <c r="I234" s="85">
        <v>470955559.46998042</v>
      </c>
      <c r="J234" s="85">
        <v>592576515.02758551</v>
      </c>
      <c r="K234" s="85" t="s">
        <v>254</v>
      </c>
      <c r="L234" s="85" t="s">
        <v>254</v>
      </c>
      <c r="M234" s="85">
        <v>206189.80969716009</v>
      </c>
      <c r="N234" s="85" t="s">
        <v>254</v>
      </c>
      <c r="O234" s="85">
        <v>592370325.21788836</v>
      </c>
      <c r="P234" s="85">
        <v>186706051.30020908</v>
      </c>
      <c r="Q234" s="85">
        <v>405664273.91767925</v>
      </c>
      <c r="R234" s="85"/>
      <c r="S234" s="86"/>
    </row>
    <row r="235" spans="1:19" ht="15">
      <c r="A235" s="70" t="s">
        <v>254</v>
      </c>
      <c r="B235" s="70"/>
      <c r="C235" s="72" t="s">
        <v>254</v>
      </c>
      <c r="D235" s="72" t="s">
        <v>254</v>
      </c>
      <c r="E235" s="85" t="s">
        <v>254</v>
      </c>
      <c r="F235" s="85" t="s">
        <v>254</v>
      </c>
      <c r="G235" s="85" t="s">
        <v>254</v>
      </c>
      <c r="H235" s="85" t="s">
        <v>254</v>
      </c>
      <c r="I235" s="85" t="s">
        <v>254</v>
      </c>
      <c r="J235" s="85" t="s">
        <v>254</v>
      </c>
      <c r="K235" s="85" t="s">
        <v>254</v>
      </c>
      <c r="L235" s="85" t="s">
        <v>254</v>
      </c>
      <c r="M235" s="85" t="s">
        <v>254</v>
      </c>
      <c r="N235" s="85" t="s">
        <v>254</v>
      </c>
      <c r="O235" s="85" t="s">
        <v>254</v>
      </c>
      <c r="P235" s="85" t="s">
        <v>254</v>
      </c>
      <c r="Q235" s="85" t="s">
        <v>254</v>
      </c>
      <c r="R235" s="85"/>
      <c r="S235" s="86"/>
    </row>
    <row r="236" spans="1:19" ht="15">
      <c r="A236" s="70" t="s">
        <v>254</v>
      </c>
      <c r="B236" s="70"/>
      <c r="C236" s="72" t="s">
        <v>340</v>
      </c>
      <c r="D236" s="72" t="s">
        <v>254</v>
      </c>
      <c r="E236" s="85" t="s">
        <v>254</v>
      </c>
      <c r="F236" s="85" t="s">
        <v>254</v>
      </c>
      <c r="G236" s="85" t="s">
        <v>254</v>
      </c>
      <c r="H236" s="85" t="s">
        <v>254</v>
      </c>
      <c r="I236" s="85" t="s">
        <v>254</v>
      </c>
      <c r="J236" s="85" t="s">
        <v>254</v>
      </c>
      <c r="K236" s="85" t="s">
        <v>254</v>
      </c>
      <c r="L236" s="85" t="s">
        <v>254</v>
      </c>
      <c r="M236" s="85" t="s">
        <v>254</v>
      </c>
      <c r="N236" s="85" t="s">
        <v>254</v>
      </c>
      <c r="O236" s="85" t="s">
        <v>254</v>
      </c>
      <c r="P236" s="85" t="s">
        <v>254</v>
      </c>
      <c r="Q236" s="85" t="s">
        <v>254</v>
      </c>
      <c r="R236" s="85"/>
      <c r="S236" s="86"/>
    </row>
    <row r="237" spans="1:19" ht="15">
      <c r="A237" s="70" t="s">
        <v>254</v>
      </c>
      <c r="B237" s="70"/>
      <c r="C237" s="72" t="s">
        <v>254</v>
      </c>
      <c r="D237" s="72" t="s">
        <v>254</v>
      </c>
      <c r="E237" s="85" t="s">
        <v>254</v>
      </c>
      <c r="F237" s="85" t="s">
        <v>254</v>
      </c>
      <c r="G237" s="85" t="s">
        <v>254</v>
      </c>
      <c r="H237" s="85" t="s">
        <v>254</v>
      </c>
      <c r="I237" s="85" t="s">
        <v>254</v>
      </c>
      <c r="J237" s="85" t="s">
        <v>254</v>
      </c>
      <c r="K237" s="85" t="s">
        <v>254</v>
      </c>
      <c r="L237" s="85" t="s">
        <v>254</v>
      </c>
      <c r="M237" s="85" t="s">
        <v>254</v>
      </c>
      <c r="N237" s="85" t="s">
        <v>254</v>
      </c>
      <c r="O237" s="85" t="s">
        <v>254</v>
      </c>
      <c r="P237" s="85" t="s">
        <v>254</v>
      </c>
      <c r="Q237" s="85" t="s">
        <v>254</v>
      </c>
      <c r="R237" s="85"/>
      <c r="S237" s="86"/>
    </row>
    <row r="238" spans="1:19" ht="15">
      <c r="A238" s="70" t="s">
        <v>254</v>
      </c>
      <c r="B238" s="70"/>
      <c r="C238" s="72" t="s">
        <v>443</v>
      </c>
      <c r="D238" s="72" t="s">
        <v>254</v>
      </c>
      <c r="E238" s="85" t="s">
        <v>254</v>
      </c>
      <c r="F238" s="85" t="s">
        <v>254</v>
      </c>
      <c r="G238" s="85" t="s">
        <v>254</v>
      </c>
      <c r="H238" s="85" t="s">
        <v>254</v>
      </c>
      <c r="I238" s="85" t="s">
        <v>254</v>
      </c>
      <c r="J238" s="85" t="s">
        <v>254</v>
      </c>
      <c r="K238" s="85" t="s">
        <v>254</v>
      </c>
      <c r="L238" s="85" t="s">
        <v>254</v>
      </c>
      <c r="M238" s="85" t="s">
        <v>254</v>
      </c>
      <c r="N238" s="85" t="s">
        <v>254</v>
      </c>
      <c r="O238" s="85" t="s">
        <v>254</v>
      </c>
      <c r="P238" s="85" t="s">
        <v>254</v>
      </c>
      <c r="Q238" s="85" t="s">
        <v>254</v>
      </c>
      <c r="R238" s="85"/>
      <c r="S238" s="86"/>
    </row>
    <row r="239" spans="1:19" ht="15">
      <c r="A239" s="70" t="s">
        <v>254</v>
      </c>
      <c r="B239" s="70"/>
      <c r="C239" s="72" t="s">
        <v>254</v>
      </c>
      <c r="D239" s="72" t="s">
        <v>254</v>
      </c>
      <c r="E239" s="85" t="s">
        <v>254</v>
      </c>
      <c r="F239" s="85" t="s">
        <v>254</v>
      </c>
      <c r="G239" s="85" t="s">
        <v>254</v>
      </c>
      <c r="H239" s="85" t="s">
        <v>254</v>
      </c>
      <c r="I239" s="85" t="s">
        <v>254</v>
      </c>
      <c r="J239" s="85" t="s">
        <v>254</v>
      </c>
      <c r="K239" s="85" t="s">
        <v>254</v>
      </c>
      <c r="L239" s="85" t="s">
        <v>254</v>
      </c>
      <c r="M239" s="85" t="s">
        <v>254</v>
      </c>
      <c r="N239" s="85" t="s">
        <v>254</v>
      </c>
      <c r="O239" s="85" t="s">
        <v>254</v>
      </c>
      <c r="P239" s="85" t="s">
        <v>254</v>
      </c>
      <c r="Q239" s="85" t="s">
        <v>254</v>
      </c>
      <c r="R239" s="85"/>
      <c r="S239" s="86"/>
    </row>
    <row r="240" spans="1:19" ht="15">
      <c r="A240" s="70" t="s">
        <v>254</v>
      </c>
      <c r="B240" s="70"/>
      <c r="C240" s="72" t="s">
        <v>444</v>
      </c>
      <c r="D240" s="72" t="s">
        <v>254</v>
      </c>
      <c r="E240" s="85" t="s">
        <v>254</v>
      </c>
      <c r="F240" s="85" t="s">
        <v>254</v>
      </c>
      <c r="G240" s="85" t="s">
        <v>254</v>
      </c>
      <c r="H240" s="85" t="s">
        <v>254</v>
      </c>
      <c r="I240" s="85" t="s">
        <v>254</v>
      </c>
      <c r="J240" s="85" t="s">
        <v>254</v>
      </c>
      <c r="K240" s="85" t="s">
        <v>254</v>
      </c>
      <c r="L240" s="85" t="s">
        <v>254</v>
      </c>
      <c r="M240" s="85" t="s">
        <v>254</v>
      </c>
      <c r="N240" s="85" t="s">
        <v>254</v>
      </c>
      <c r="O240" s="85" t="s">
        <v>254</v>
      </c>
      <c r="P240" s="85" t="s">
        <v>254</v>
      </c>
      <c r="Q240" s="85" t="s">
        <v>254</v>
      </c>
      <c r="R240" s="85"/>
      <c r="S240" s="86"/>
    </row>
    <row r="241" spans="1:19" ht="15">
      <c r="A241" s="70" t="s">
        <v>254</v>
      </c>
      <c r="B241" s="70"/>
      <c r="C241" s="72" t="s">
        <v>445</v>
      </c>
      <c r="D241" s="72" t="s">
        <v>254</v>
      </c>
      <c r="E241" s="85" t="s">
        <v>254</v>
      </c>
      <c r="F241" s="85" t="s">
        <v>254</v>
      </c>
      <c r="G241" s="85" t="s">
        <v>254</v>
      </c>
      <c r="H241" s="85" t="s">
        <v>254</v>
      </c>
      <c r="I241" s="85" t="s">
        <v>254</v>
      </c>
      <c r="J241" s="85" t="s">
        <v>254</v>
      </c>
      <c r="K241" s="85" t="s">
        <v>254</v>
      </c>
      <c r="L241" s="85" t="s">
        <v>254</v>
      </c>
      <c r="M241" s="85" t="s">
        <v>254</v>
      </c>
      <c r="N241" s="85" t="s">
        <v>254</v>
      </c>
      <c r="O241" s="85" t="s">
        <v>254</v>
      </c>
      <c r="P241" s="85" t="s">
        <v>254</v>
      </c>
      <c r="Q241" s="85" t="s">
        <v>254</v>
      </c>
      <c r="R241" s="85"/>
      <c r="S241" s="86"/>
    </row>
    <row r="242" spans="1:19" ht="15">
      <c r="A242" s="70">
        <v>1</v>
      </c>
      <c r="B242" s="70"/>
      <c r="C242" s="72" t="s">
        <v>446</v>
      </c>
      <c r="D242" s="72" t="s">
        <v>447</v>
      </c>
      <c r="E242" s="85">
        <v>1783258002.7705979</v>
      </c>
      <c r="F242" s="85" t="s">
        <v>254</v>
      </c>
      <c r="G242" s="85">
        <v>1561736803.3723688</v>
      </c>
      <c r="H242" s="85" t="s">
        <v>254</v>
      </c>
      <c r="I242" s="85">
        <v>72173430.219793066</v>
      </c>
      <c r="J242" s="85">
        <v>149347769.1784361</v>
      </c>
      <c r="K242" s="85" t="s">
        <v>254</v>
      </c>
      <c r="L242" s="85" t="s">
        <v>254</v>
      </c>
      <c r="M242" s="85">
        <v>5487.8288235584059</v>
      </c>
      <c r="N242" s="85" t="s">
        <v>254</v>
      </c>
      <c r="O242" s="85">
        <v>149342281.34961253</v>
      </c>
      <c r="P242" s="85">
        <v>46349703.350244872</v>
      </c>
      <c r="Q242" s="85">
        <v>102992577.99936767</v>
      </c>
      <c r="R242" s="85"/>
      <c r="S242" s="86"/>
    </row>
    <row r="243" spans="1:19" ht="15">
      <c r="A243" s="70">
        <v>2</v>
      </c>
      <c r="B243" s="70"/>
      <c r="C243" s="72" t="s">
        <v>448</v>
      </c>
      <c r="D243" s="72" t="s">
        <v>315</v>
      </c>
      <c r="E243" s="85">
        <v>17555472.333333369</v>
      </c>
      <c r="F243" s="85" t="s">
        <v>254</v>
      </c>
      <c r="G243" s="85">
        <v>0</v>
      </c>
      <c r="H243" s="85" t="s">
        <v>254</v>
      </c>
      <c r="I243" s="85">
        <v>5719859.0946374182</v>
      </c>
      <c r="J243" s="85">
        <v>11835613.238695951</v>
      </c>
      <c r="K243" s="85" t="s">
        <v>254</v>
      </c>
      <c r="L243" s="85" t="s">
        <v>254</v>
      </c>
      <c r="M243" s="85">
        <v>0</v>
      </c>
      <c r="N243" s="85" t="s">
        <v>254</v>
      </c>
      <c r="O243" s="85">
        <v>11835613.238695951</v>
      </c>
      <c r="P243" s="85">
        <v>3673287.6826594127</v>
      </c>
      <c r="Q243" s="85">
        <v>8162325.5560365384</v>
      </c>
      <c r="R243" s="85"/>
      <c r="S243" s="86"/>
    </row>
    <row r="244" spans="1:19" ht="15">
      <c r="A244" s="70">
        <v>3</v>
      </c>
      <c r="B244" s="70"/>
      <c r="C244" s="72" t="s">
        <v>449</v>
      </c>
      <c r="D244" s="72" t="s">
        <v>317</v>
      </c>
      <c r="E244" s="85">
        <v>6260481.2500000149</v>
      </c>
      <c r="F244" s="85" t="s">
        <v>254</v>
      </c>
      <c r="G244" s="85">
        <v>0</v>
      </c>
      <c r="H244" s="85" t="s">
        <v>254</v>
      </c>
      <c r="I244" s="85">
        <v>0</v>
      </c>
      <c r="J244" s="85">
        <v>6260481.2500000149</v>
      </c>
      <c r="K244" s="85" t="s">
        <v>254</v>
      </c>
      <c r="L244" s="85" t="s">
        <v>254</v>
      </c>
      <c r="M244" s="85">
        <v>0</v>
      </c>
      <c r="N244" s="85" t="s">
        <v>254</v>
      </c>
      <c r="O244" s="85">
        <v>6260481.2500000149</v>
      </c>
      <c r="P244" s="85">
        <v>1942995.9563023897</v>
      </c>
      <c r="Q244" s="85">
        <v>4317485.2936976254</v>
      </c>
      <c r="R244" s="85"/>
      <c r="S244" s="86"/>
    </row>
    <row r="245" spans="1:19" ht="15">
      <c r="A245" s="70">
        <v>4</v>
      </c>
      <c r="B245" s="70"/>
      <c r="C245" s="72" t="s">
        <v>450</v>
      </c>
      <c r="D245" s="72" t="s">
        <v>254</v>
      </c>
      <c r="E245" s="85">
        <v>1807073956.3539314</v>
      </c>
      <c r="F245" s="85" t="s">
        <v>254</v>
      </c>
      <c r="G245" s="85">
        <v>1561736803.3723688</v>
      </c>
      <c r="H245" s="85" t="s">
        <v>254</v>
      </c>
      <c r="I245" s="85">
        <v>77893289.31443049</v>
      </c>
      <c r="J245" s="85">
        <v>167443863.66713208</v>
      </c>
      <c r="K245" s="85" t="s">
        <v>254</v>
      </c>
      <c r="L245" s="85" t="s">
        <v>254</v>
      </c>
      <c r="M245" s="85">
        <v>5487.8288235584059</v>
      </c>
      <c r="N245" s="85" t="s">
        <v>254</v>
      </c>
      <c r="O245" s="85">
        <v>167438375.83830851</v>
      </c>
      <c r="P245" s="85">
        <v>51965986.989206672</v>
      </c>
      <c r="Q245" s="85">
        <v>115472388.84910183</v>
      </c>
      <c r="R245" s="85"/>
      <c r="S245" s="86"/>
    </row>
    <row r="246" spans="1:19" ht="15">
      <c r="A246" s="70" t="s">
        <v>254</v>
      </c>
      <c r="B246" s="70"/>
      <c r="C246" s="72" t="s">
        <v>254</v>
      </c>
      <c r="D246" s="72" t="s">
        <v>254</v>
      </c>
      <c r="E246" s="85" t="s">
        <v>254</v>
      </c>
      <c r="F246" s="85" t="s">
        <v>254</v>
      </c>
      <c r="G246" s="85" t="s">
        <v>254</v>
      </c>
      <c r="H246" s="85" t="s">
        <v>254</v>
      </c>
      <c r="I246" s="85" t="s">
        <v>254</v>
      </c>
      <c r="J246" s="85" t="s">
        <v>254</v>
      </c>
      <c r="K246" s="85" t="s">
        <v>254</v>
      </c>
      <c r="L246" s="85" t="s">
        <v>254</v>
      </c>
      <c r="M246" s="85" t="s">
        <v>254</v>
      </c>
      <c r="N246" s="85" t="s">
        <v>254</v>
      </c>
      <c r="O246" s="85" t="s">
        <v>254</v>
      </c>
      <c r="P246" s="85" t="s">
        <v>254</v>
      </c>
      <c r="Q246" s="85" t="s">
        <v>254</v>
      </c>
      <c r="R246" s="85"/>
      <c r="S246" s="86"/>
    </row>
    <row r="247" spans="1:19" ht="15">
      <c r="A247" s="70" t="s">
        <v>254</v>
      </c>
      <c r="B247" s="70"/>
      <c r="C247" s="72" t="s">
        <v>451</v>
      </c>
      <c r="D247" s="72" t="s">
        <v>254</v>
      </c>
      <c r="E247" s="85" t="s">
        <v>254</v>
      </c>
      <c r="F247" s="85" t="s">
        <v>254</v>
      </c>
      <c r="G247" s="85" t="s">
        <v>254</v>
      </c>
      <c r="H247" s="85" t="s">
        <v>254</v>
      </c>
      <c r="I247" s="85" t="s">
        <v>254</v>
      </c>
      <c r="J247" s="85" t="s">
        <v>254</v>
      </c>
      <c r="K247" s="85" t="s">
        <v>254</v>
      </c>
      <c r="L247" s="85" t="s">
        <v>254</v>
      </c>
      <c r="M247" s="85" t="s">
        <v>254</v>
      </c>
      <c r="N247" s="85" t="s">
        <v>254</v>
      </c>
      <c r="O247" s="85" t="s">
        <v>254</v>
      </c>
      <c r="P247" s="85" t="s">
        <v>254</v>
      </c>
      <c r="Q247" s="85" t="s">
        <v>254</v>
      </c>
      <c r="R247" s="85"/>
      <c r="S247" s="86"/>
    </row>
    <row r="248" spans="1:19" ht="15">
      <c r="A248" s="70">
        <v>5</v>
      </c>
      <c r="B248" s="70"/>
      <c r="C248" s="72" t="s">
        <v>446</v>
      </c>
      <c r="D248" s="72" t="s">
        <v>452</v>
      </c>
      <c r="E248" s="85">
        <v>13006228.319512662</v>
      </c>
      <c r="F248" s="85" t="s">
        <v>254</v>
      </c>
      <c r="G248" s="85">
        <v>11390558.970204098</v>
      </c>
      <c r="H248" s="85" t="s">
        <v>254</v>
      </c>
      <c r="I248" s="85">
        <v>526398.37341686129</v>
      </c>
      <c r="J248" s="85">
        <v>1089270.9758917014</v>
      </c>
      <c r="K248" s="85" t="s">
        <v>254</v>
      </c>
      <c r="L248" s="85" t="s">
        <v>254</v>
      </c>
      <c r="M248" s="85">
        <v>40.025590546465146</v>
      </c>
      <c r="N248" s="85" t="s">
        <v>254</v>
      </c>
      <c r="O248" s="85">
        <v>1089230.950301155</v>
      </c>
      <c r="P248" s="85">
        <v>338052.49906539492</v>
      </c>
      <c r="Q248" s="85">
        <v>751178.45123576012</v>
      </c>
      <c r="R248" s="85"/>
      <c r="S248" s="86"/>
    </row>
    <row r="249" spans="1:19" ht="15">
      <c r="A249" s="70">
        <v>6</v>
      </c>
      <c r="B249" s="70"/>
      <c r="C249" s="72" t="s">
        <v>448</v>
      </c>
      <c r="D249" s="72" t="s">
        <v>315</v>
      </c>
      <c r="E249" s="85">
        <v>3366.9999999999977</v>
      </c>
      <c r="F249" s="85" t="s">
        <v>254</v>
      </c>
      <c r="G249" s="85">
        <v>0</v>
      </c>
      <c r="H249" s="85" t="s">
        <v>254</v>
      </c>
      <c r="I249" s="85">
        <v>1097.0234925024879</v>
      </c>
      <c r="J249" s="85">
        <v>2269.9765074975098</v>
      </c>
      <c r="K249" s="85" t="s">
        <v>254</v>
      </c>
      <c r="L249" s="85" t="s">
        <v>254</v>
      </c>
      <c r="M249" s="85">
        <v>0</v>
      </c>
      <c r="N249" s="85" t="s">
        <v>254</v>
      </c>
      <c r="O249" s="85">
        <v>2269.9765074975098</v>
      </c>
      <c r="P249" s="85">
        <v>704.50736913700871</v>
      </c>
      <c r="Q249" s="85">
        <v>1565.4691383605011</v>
      </c>
      <c r="R249" s="85"/>
      <c r="S249" s="86"/>
    </row>
    <row r="250" spans="1:19" ht="15">
      <c r="A250" s="70">
        <v>7</v>
      </c>
      <c r="B250" s="70"/>
      <c r="C250" s="72" t="s">
        <v>449</v>
      </c>
      <c r="D250" s="72" t="s">
        <v>317</v>
      </c>
      <c r="E250" s="85">
        <v>15331.000000000025</v>
      </c>
      <c r="F250" s="85" t="s">
        <v>254</v>
      </c>
      <c r="G250" s="85">
        <v>0</v>
      </c>
      <c r="H250" s="85" t="s">
        <v>254</v>
      </c>
      <c r="I250" s="85">
        <v>0</v>
      </c>
      <c r="J250" s="85">
        <v>15331.000000000025</v>
      </c>
      <c r="K250" s="85" t="s">
        <v>254</v>
      </c>
      <c r="L250" s="85" t="s">
        <v>254</v>
      </c>
      <c r="M250" s="85">
        <v>0</v>
      </c>
      <c r="N250" s="85" t="s">
        <v>254</v>
      </c>
      <c r="O250" s="85">
        <v>15331.000000000025</v>
      </c>
      <c r="P250" s="85">
        <v>4758.1120071355399</v>
      </c>
      <c r="Q250" s="85">
        <v>10572.887992864486</v>
      </c>
      <c r="R250" s="85"/>
      <c r="S250" s="86"/>
    </row>
    <row r="251" spans="1:19" ht="15">
      <c r="A251" s="70">
        <v>8</v>
      </c>
      <c r="B251" s="70"/>
      <c r="C251" s="72" t="s">
        <v>453</v>
      </c>
      <c r="D251" s="72" t="s">
        <v>254</v>
      </c>
      <c r="E251" s="85">
        <v>13024926.319512662</v>
      </c>
      <c r="F251" s="85" t="s">
        <v>254</v>
      </c>
      <c r="G251" s="85">
        <v>11390558.970204098</v>
      </c>
      <c r="H251" s="85" t="s">
        <v>254</v>
      </c>
      <c r="I251" s="85">
        <v>527495.3969093638</v>
      </c>
      <c r="J251" s="85">
        <v>1106871.9523991989</v>
      </c>
      <c r="K251" s="85" t="s">
        <v>254</v>
      </c>
      <c r="L251" s="85" t="s">
        <v>254</v>
      </c>
      <c r="M251" s="85">
        <v>40.025590546465146</v>
      </c>
      <c r="N251" s="85" t="s">
        <v>254</v>
      </c>
      <c r="O251" s="85">
        <v>1106831.9268086525</v>
      </c>
      <c r="P251" s="85">
        <v>343515.11844166747</v>
      </c>
      <c r="Q251" s="85">
        <v>763316.80836698506</v>
      </c>
      <c r="R251" s="85"/>
      <c r="S251" s="86"/>
    </row>
    <row r="252" spans="1:19" ht="15">
      <c r="A252" s="70" t="s">
        <v>254</v>
      </c>
      <c r="B252" s="70"/>
      <c r="C252" s="72" t="s">
        <v>254</v>
      </c>
      <c r="D252" s="72" t="s">
        <v>254</v>
      </c>
      <c r="E252" s="85" t="s">
        <v>254</v>
      </c>
      <c r="F252" s="85" t="s">
        <v>254</v>
      </c>
      <c r="G252" s="85" t="s">
        <v>254</v>
      </c>
      <c r="H252" s="85" t="s">
        <v>254</v>
      </c>
      <c r="I252" s="85" t="s">
        <v>254</v>
      </c>
      <c r="J252" s="85" t="s">
        <v>254</v>
      </c>
      <c r="K252" s="85" t="s">
        <v>254</v>
      </c>
      <c r="L252" s="85" t="s">
        <v>254</v>
      </c>
      <c r="M252" s="85" t="s">
        <v>254</v>
      </c>
      <c r="N252" s="85" t="s">
        <v>254</v>
      </c>
      <c r="O252" s="85" t="s">
        <v>254</v>
      </c>
      <c r="P252" s="85" t="s">
        <v>254</v>
      </c>
      <c r="Q252" s="85" t="s">
        <v>254</v>
      </c>
      <c r="R252" s="85"/>
      <c r="S252" s="86"/>
    </row>
    <row r="253" spans="1:19" ht="15">
      <c r="A253" s="70" t="s">
        <v>254</v>
      </c>
      <c r="B253" s="70"/>
      <c r="C253" s="72" t="s">
        <v>454</v>
      </c>
      <c r="D253" s="72" t="s">
        <v>254</v>
      </c>
      <c r="E253" s="85" t="s">
        <v>254</v>
      </c>
      <c r="F253" s="85" t="s">
        <v>254</v>
      </c>
      <c r="G253" s="85" t="s">
        <v>254</v>
      </c>
      <c r="H253" s="85" t="s">
        <v>254</v>
      </c>
      <c r="I253" s="85" t="s">
        <v>254</v>
      </c>
      <c r="J253" s="85" t="s">
        <v>254</v>
      </c>
      <c r="K253" s="85" t="s">
        <v>254</v>
      </c>
      <c r="L253" s="85" t="s">
        <v>254</v>
      </c>
      <c r="M253" s="85" t="s">
        <v>254</v>
      </c>
      <c r="N253" s="85" t="s">
        <v>254</v>
      </c>
      <c r="O253" s="85" t="s">
        <v>254</v>
      </c>
      <c r="P253" s="85" t="s">
        <v>254</v>
      </c>
      <c r="Q253" s="85" t="s">
        <v>254</v>
      </c>
      <c r="R253" s="85"/>
      <c r="S253" s="86"/>
    </row>
    <row r="254" spans="1:19" ht="15">
      <c r="A254" s="70">
        <v>9</v>
      </c>
      <c r="B254" s="70"/>
      <c r="C254" s="72" t="s">
        <v>446</v>
      </c>
      <c r="D254" s="72" t="s">
        <v>455</v>
      </c>
      <c r="E254" s="85">
        <v>319150106.57834363</v>
      </c>
      <c r="F254" s="85" t="s">
        <v>254</v>
      </c>
      <c r="G254" s="85">
        <v>279504405.12209612</v>
      </c>
      <c r="H254" s="85" t="s">
        <v>254</v>
      </c>
      <c r="I254" s="85">
        <v>12916895.878770251</v>
      </c>
      <c r="J254" s="85">
        <v>26728805.577477273</v>
      </c>
      <c r="K254" s="85" t="s">
        <v>254</v>
      </c>
      <c r="L254" s="85" t="s">
        <v>254</v>
      </c>
      <c r="M254" s="85">
        <v>982.15802267602669</v>
      </c>
      <c r="N254" s="85" t="s">
        <v>254</v>
      </c>
      <c r="O254" s="85">
        <v>26727823.419454597</v>
      </c>
      <c r="P254" s="85">
        <v>8295217.3724287516</v>
      </c>
      <c r="Q254" s="85">
        <v>18432606.047025844</v>
      </c>
      <c r="R254" s="85"/>
      <c r="S254" s="86"/>
    </row>
    <row r="255" spans="1:19" ht="15">
      <c r="A255" s="70">
        <v>10</v>
      </c>
      <c r="B255" s="70"/>
      <c r="C255" s="72" t="s">
        <v>448</v>
      </c>
      <c r="D255" s="72" t="s">
        <v>315</v>
      </c>
      <c r="E255" s="85">
        <v>1670.9999999999995</v>
      </c>
      <c r="F255" s="85" t="s">
        <v>254</v>
      </c>
      <c r="G255" s="85">
        <v>0</v>
      </c>
      <c r="H255" s="85" t="s">
        <v>254</v>
      </c>
      <c r="I255" s="85">
        <v>544.43904246262503</v>
      </c>
      <c r="J255" s="85">
        <v>1126.5609575373746</v>
      </c>
      <c r="K255" s="85" t="s">
        <v>254</v>
      </c>
      <c r="L255" s="85" t="s">
        <v>254</v>
      </c>
      <c r="M255" s="85">
        <v>0</v>
      </c>
      <c r="N255" s="85" t="s">
        <v>254</v>
      </c>
      <c r="O255" s="85">
        <v>1126.5609575373746</v>
      </c>
      <c r="P255" s="85">
        <v>349.63819834509718</v>
      </c>
      <c r="Q255" s="85">
        <v>776.92275919227757</v>
      </c>
      <c r="R255" s="85"/>
      <c r="S255" s="86"/>
    </row>
    <row r="256" spans="1:19" ht="15">
      <c r="A256" s="70">
        <v>11</v>
      </c>
      <c r="B256" s="70"/>
      <c r="C256" s="72" t="s">
        <v>449</v>
      </c>
      <c r="D256" s="72" t="s">
        <v>317</v>
      </c>
      <c r="E256" s="85">
        <v>1330498.75</v>
      </c>
      <c r="F256" s="85" t="s">
        <v>254</v>
      </c>
      <c r="G256" s="85">
        <v>0</v>
      </c>
      <c r="H256" s="85" t="s">
        <v>254</v>
      </c>
      <c r="I256" s="85">
        <v>0</v>
      </c>
      <c r="J256" s="85">
        <v>1330498.75</v>
      </c>
      <c r="K256" s="85" t="s">
        <v>254</v>
      </c>
      <c r="L256" s="85" t="s">
        <v>254</v>
      </c>
      <c r="M256" s="85">
        <v>0</v>
      </c>
      <c r="N256" s="85" t="s">
        <v>254</v>
      </c>
      <c r="O256" s="85">
        <v>1330498.75</v>
      </c>
      <c r="P256" s="85">
        <v>412932.10344098986</v>
      </c>
      <c r="Q256" s="85">
        <v>917566.64655901003</v>
      </c>
      <c r="R256" s="85"/>
      <c r="S256" s="86"/>
    </row>
    <row r="257" spans="1:19" ht="15">
      <c r="A257" s="70">
        <v>12</v>
      </c>
      <c r="B257" s="70"/>
      <c r="C257" s="72" t="s">
        <v>456</v>
      </c>
      <c r="D257" s="72" t="s">
        <v>254</v>
      </c>
      <c r="E257" s="85">
        <v>320482276.32834369</v>
      </c>
      <c r="F257" s="85" t="s">
        <v>254</v>
      </c>
      <c r="G257" s="85">
        <v>279504405.12209612</v>
      </c>
      <c r="H257" s="85" t="s">
        <v>254</v>
      </c>
      <c r="I257" s="85">
        <v>12917440.317812713</v>
      </c>
      <c r="J257" s="85">
        <v>28060430.888434812</v>
      </c>
      <c r="K257" s="85" t="s">
        <v>254</v>
      </c>
      <c r="L257" s="85" t="s">
        <v>254</v>
      </c>
      <c r="M257" s="85">
        <v>982.15802267602669</v>
      </c>
      <c r="N257" s="85" t="s">
        <v>254</v>
      </c>
      <c r="O257" s="85">
        <v>28059448.730412137</v>
      </c>
      <c r="P257" s="85">
        <v>8708499.1140680872</v>
      </c>
      <c r="Q257" s="85">
        <v>19350949.61634405</v>
      </c>
      <c r="R257" s="85"/>
      <c r="S257" s="86"/>
    </row>
    <row r="258" spans="1:19" ht="15">
      <c r="A258" s="70" t="s">
        <v>254</v>
      </c>
      <c r="B258" s="70"/>
      <c r="C258" s="72" t="s">
        <v>254</v>
      </c>
      <c r="D258" s="72" t="s">
        <v>254</v>
      </c>
      <c r="E258" s="85" t="s">
        <v>254</v>
      </c>
      <c r="F258" s="85" t="s">
        <v>254</v>
      </c>
      <c r="G258" s="85" t="s">
        <v>254</v>
      </c>
      <c r="H258" s="85" t="s">
        <v>254</v>
      </c>
      <c r="I258" s="85" t="s">
        <v>254</v>
      </c>
      <c r="J258" s="85" t="s">
        <v>254</v>
      </c>
      <c r="K258" s="85" t="s">
        <v>254</v>
      </c>
      <c r="L258" s="85" t="s">
        <v>254</v>
      </c>
      <c r="M258" s="85" t="s">
        <v>254</v>
      </c>
      <c r="N258" s="85" t="s">
        <v>254</v>
      </c>
      <c r="O258" s="85" t="s">
        <v>254</v>
      </c>
      <c r="P258" s="85" t="s">
        <v>254</v>
      </c>
      <c r="Q258" s="85" t="s">
        <v>254</v>
      </c>
      <c r="R258" s="85"/>
      <c r="S258" s="86"/>
    </row>
    <row r="259" spans="1:19" ht="15">
      <c r="A259" s="70">
        <v>13</v>
      </c>
      <c r="B259" s="70"/>
      <c r="C259" s="72" t="s">
        <v>457</v>
      </c>
      <c r="D259" s="72" t="s">
        <v>254</v>
      </c>
      <c r="E259" s="85">
        <v>2140581159.0017877</v>
      </c>
      <c r="F259" s="85" t="s">
        <v>254</v>
      </c>
      <c r="G259" s="85">
        <v>1852631767.464669</v>
      </c>
      <c r="H259" s="85" t="s">
        <v>254</v>
      </c>
      <c r="I259" s="85">
        <v>91338225.029152572</v>
      </c>
      <c r="J259" s="85">
        <v>196611166.50796607</v>
      </c>
      <c r="K259" s="85" t="s">
        <v>254</v>
      </c>
      <c r="L259" s="85" t="s">
        <v>254</v>
      </c>
      <c r="M259" s="85">
        <v>6510.0124367808985</v>
      </c>
      <c r="N259" s="85" t="s">
        <v>254</v>
      </c>
      <c r="O259" s="85">
        <v>196604656.49552929</v>
      </c>
      <c r="P259" s="85">
        <v>61018001.221716434</v>
      </c>
      <c r="Q259" s="85">
        <v>135586655.27381286</v>
      </c>
      <c r="R259" s="85"/>
      <c r="S259" s="86"/>
    </row>
    <row r="260" spans="1:19" ht="15">
      <c r="A260" s="70" t="s">
        <v>254</v>
      </c>
      <c r="B260" s="70"/>
      <c r="C260" s="72" t="s">
        <v>254</v>
      </c>
      <c r="D260" s="72" t="s">
        <v>254</v>
      </c>
      <c r="E260" s="85" t="s">
        <v>254</v>
      </c>
      <c r="F260" s="85" t="s">
        <v>254</v>
      </c>
      <c r="G260" s="85" t="s">
        <v>254</v>
      </c>
      <c r="H260" s="85" t="s">
        <v>254</v>
      </c>
      <c r="I260" s="85" t="s">
        <v>254</v>
      </c>
      <c r="J260" s="85" t="s">
        <v>254</v>
      </c>
      <c r="K260" s="85" t="s">
        <v>254</v>
      </c>
      <c r="L260" s="85" t="s">
        <v>254</v>
      </c>
      <c r="M260" s="85" t="s">
        <v>254</v>
      </c>
      <c r="N260" s="85" t="s">
        <v>254</v>
      </c>
      <c r="O260" s="85" t="s">
        <v>254</v>
      </c>
      <c r="P260" s="85" t="s">
        <v>254</v>
      </c>
      <c r="Q260" s="85" t="s">
        <v>254</v>
      </c>
      <c r="R260" s="85"/>
      <c r="S260" s="86"/>
    </row>
    <row r="261" spans="1:19" ht="15">
      <c r="A261" s="70" t="s">
        <v>254</v>
      </c>
      <c r="B261" s="70"/>
      <c r="C261" s="72" t="s">
        <v>458</v>
      </c>
      <c r="D261" s="72" t="s">
        <v>254</v>
      </c>
      <c r="E261" s="85" t="s">
        <v>254</v>
      </c>
      <c r="F261" s="85" t="s">
        <v>254</v>
      </c>
      <c r="G261" s="85" t="s">
        <v>254</v>
      </c>
      <c r="H261" s="85" t="s">
        <v>254</v>
      </c>
      <c r="I261" s="85" t="s">
        <v>254</v>
      </c>
      <c r="J261" s="85" t="s">
        <v>254</v>
      </c>
      <c r="K261" s="85" t="s">
        <v>254</v>
      </c>
      <c r="L261" s="85" t="s">
        <v>254</v>
      </c>
      <c r="M261" s="85" t="s">
        <v>254</v>
      </c>
      <c r="N261" s="85" t="s">
        <v>254</v>
      </c>
      <c r="O261" s="85" t="s">
        <v>254</v>
      </c>
      <c r="P261" s="85" t="s">
        <v>254</v>
      </c>
      <c r="Q261" s="85" t="s">
        <v>254</v>
      </c>
      <c r="R261" s="85"/>
      <c r="S261" s="86"/>
    </row>
    <row r="262" spans="1:19" ht="15">
      <c r="A262" s="70">
        <v>14</v>
      </c>
      <c r="B262" s="70"/>
      <c r="C262" s="72" t="s">
        <v>459</v>
      </c>
      <c r="D262" s="72" t="s">
        <v>460</v>
      </c>
      <c r="E262" s="85">
        <v>318228987.07313865</v>
      </c>
      <c r="F262" s="85" t="s">
        <v>254</v>
      </c>
      <c r="G262" s="85">
        <v>303830491.18630236</v>
      </c>
      <c r="H262" s="85" t="s">
        <v>254</v>
      </c>
      <c r="I262" s="85">
        <v>14397428.248727633</v>
      </c>
      <c r="J262" s="85">
        <v>1067.6381086797908</v>
      </c>
      <c r="K262" s="85" t="s">
        <v>254</v>
      </c>
      <c r="L262" s="85" t="s">
        <v>254</v>
      </c>
      <c r="M262" s="85">
        <v>1067.6381086797908</v>
      </c>
      <c r="N262" s="85" t="s">
        <v>254</v>
      </c>
      <c r="O262" s="85">
        <v>0</v>
      </c>
      <c r="P262" s="85">
        <v>0</v>
      </c>
      <c r="Q262" s="85">
        <v>0</v>
      </c>
      <c r="R262" s="85"/>
      <c r="S262" s="86"/>
    </row>
    <row r="263" spans="1:19" ht="15">
      <c r="A263" s="70">
        <v>15</v>
      </c>
      <c r="B263" s="70"/>
      <c r="C263" s="72" t="s">
        <v>461</v>
      </c>
      <c r="D263" s="72" t="s">
        <v>462</v>
      </c>
      <c r="E263" s="85">
        <v>30789764.024993468</v>
      </c>
      <c r="F263" s="85" t="s">
        <v>254</v>
      </c>
      <c r="G263" s="85">
        <v>4014977.5835693018</v>
      </c>
      <c r="H263" s="85" t="s">
        <v>254</v>
      </c>
      <c r="I263" s="85">
        <v>26774772.333086792</v>
      </c>
      <c r="J263" s="85">
        <v>14.108337372516274</v>
      </c>
      <c r="K263" s="85" t="s">
        <v>254</v>
      </c>
      <c r="L263" s="85" t="s">
        <v>254</v>
      </c>
      <c r="M263" s="85">
        <v>14.108337372516274</v>
      </c>
      <c r="N263" s="85" t="s">
        <v>254</v>
      </c>
      <c r="O263" s="85">
        <v>0</v>
      </c>
      <c r="P263" s="85">
        <v>0</v>
      </c>
      <c r="Q263" s="85">
        <v>0</v>
      </c>
      <c r="R263" s="85"/>
      <c r="S263" s="86"/>
    </row>
    <row r="264" spans="1:19" ht="15">
      <c r="A264" s="70">
        <v>16</v>
      </c>
      <c r="B264" s="70"/>
      <c r="C264" s="72" t="s">
        <v>463</v>
      </c>
      <c r="D264" s="72" t="s">
        <v>315</v>
      </c>
      <c r="E264" s="85">
        <v>2907903.0000000093</v>
      </c>
      <c r="F264" s="85" t="s">
        <v>254</v>
      </c>
      <c r="G264" s="85">
        <v>0</v>
      </c>
      <c r="H264" s="85" t="s">
        <v>254</v>
      </c>
      <c r="I264" s="85">
        <v>947442.20520299231</v>
      </c>
      <c r="J264" s="85">
        <v>1960460.7947970172</v>
      </c>
      <c r="K264" s="85" t="s">
        <v>254</v>
      </c>
      <c r="L264" s="85" t="s">
        <v>254</v>
      </c>
      <c r="M264" s="85">
        <v>0</v>
      </c>
      <c r="N264" s="85" t="s">
        <v>254</v>
      </c>
      <c r="O264" s="85">
        <v>1960460.7947970172</v>
      </c>
      <c r="P264" s="85">
        <v>608446.4188403989</v>
      </c>
      <c r="Q264" s="85">
        <v>1352014.3759566185</v>
      </c>
      <c r="R264" s="85"/>
      <c r="S264" s="86"/>
    </row>
    <row r="265" spans="1:19" ht="15">
      <c r="A265" s="70">
        <v>17</v>
      </c>
      <c r="B265" s="70"/>
      <c r="C265" s="72" t="s">
        <v>464</v>
      </c>
      <c r="D265" s="72" t="s">
        <v>317</v>
      </c>
      <c r="E265" s="85">
        <v>313073.00000000099</v>
      </c>
      <c r="F265" s="85" t="s">
        <v>254</v>
      </c>
      <c r="G265" s="85">
        <v>0</v>
      </c>
      <c r="H265" s="85" t="s">
        <v>254</v>
      </c>
      <c r="I265" s="85">
        <v>0</v>
      </c>
      <c r="J265" s="85">
        <v>313073.00000000099</v>
      </c>
      <c r="K265" s="85" t="s">
        <v>254</v>
      </c>
      <c r="L265" s="85" t="s">
        <v>254</v>
      </c>
      <c r="M265" s="85">
        <v>0</v>
      </c>
      <c r="N265" s="85" t="s">
        <v>254</v>
      </c>
      <c r="O265" s="85">
        <v>313073.00000000099</v>
      </c>
      <c r="P265" s="85">
        <v>97164.986002866543</v>
      </c>
      <c r="Q265" s="85">
        <v>215908.01399713443</v>
      </c>
      <c r="R265" s="85"/>
      <c r="S265" s="86"/>
    </row>
    <row r="266" spans="1:19" ht="15">
      <c r="A266" s="70">
        <v>18</v>
      </c>
      <c r="B266" s="70"/>
      <c r="C266" s="72" t="s">
        <v>465</v>
      </c>
      <c r="D266" s="72" t="s">
        <v>254</v>
      </c>
      <c r="E266" s="85">
        <v>352239727.09813213</v>
      </c>
      <c r="F266" s="85" t="s">
        <v>254</v>
      </c>
      <c r="G266" s="85">
        <v>307845468.76987165</v>
      </c>
      <c r="H266" s="85" t="s">
        <v>254</v>
      </c>
      <c r="I266" s="85">
        <v>42119642.787017412</v>
      </c>
      <c r="J266" s="85">
        <v>2274615.5412430703</v>
      </c>
      <c r="K266" s="85" t="s">
        <v>254</v>
      </c>
      <c r="L266" s="85" t="s">
        <v>254</v>
      </c>
      <c r="M266" s="85">
        <v>1081.746446052307</v>
      </c>
      <c r="N266" s="85" t="s">
        <v>254</v>
      </c>
      <c r="O266" s="85">
        <v>2273533.7947970182</v>
      </c>
      <c r="P266" s="85">
        <v>705611.40484326542</v>
      </c>
      <c r="Q266" s="85">
        <v>1567922.389953753</v>
      </c>
      <c r="R266" s="85"/>
      <c r="S266" s="86"/>
    </row>
    <row r="267" spans="1:19" ht="15">
      <c r="A267" s="70" t="s">
        <v>254</v>
      </c>
      <c r="B267" s="70"/>
      <c r="C267" s="72" t="s">
        <v>254</v>
      </c>
      <c r="D267" s="72" t="s">
        <v>254</v>
      </c>
      <c r="E267" s="85" t="s">
        <v>254</v>
      </c>
      <c r="F267" s="85" t="s">
        <v>254</v>
      </c>
      <c r="G267" s="85" t="s">
        <v>254</v>
      </c>
      <c r="H267" s="85" t="s">
        <v>254</v>
      </c>
      <c r="I267" s="85" t="s">
        <v>254</v>
      </c>
      <c r="J267" s="85" t="s">
        <v>254</v>
      </c>
      <c r="K267" s="85" t="s">
        <v>254</v>
      </c>
      <c r="L267" s="85" t="s">
        <v>254</v>
      </c>
      <c r="M267" s="85" t="s">
        <v>254</v>
      </c>
      <c r="N267" s="85" t="s">
        <v>254</v>
      </c>
      <c r="O267" s="85" t="s">
        <v>254</v>
      </c>
      <c r="P267" s="85" t="s">
        <v>254</v>
      </c>
      <c r="Q267" s="85" t="s">
        <v>254</v>
      </c>
      <c r="R267" s="85"/>
      <c r="S267" s="86"/>
    </row>
    <row r="268" spans="1:19" ht="15">
      <c r="A268" s="70">
        <v>19</v>
      </c>
      <c r="B268" s="70"/>
      <c r="C268" s="72" t="s">
        <v>466</v>
      </c>
      <c r="D268" s="72" t="s">
        <v>467</v>
      </c>
      <c r="E268" s="85">
        <v>42620005.168044701</v>
      </c>
      <c r="F268" s="85" t="s">
        <v>254</v>
      </c>
      <c r="G268" s="85">
        <v>0</v>
      </c>
      <c r="H268" s="85" t="s">
        <v>254</v>
      </c>
      <c r="I268" s="85">
        <v>42473285.895150907</v>
      </c>
      <c r="J268" s="85">
        <v>146719.27289379371</v>
      </c>
      <c r="K268" s="85" t="s">
        <v>254</v>
      </c>
      <c r="L268" s="85" t="s">
        <v>254</v>
      </c>
      <c r="M268" s="85">
        <v>146719.27289379371</v>
      </c>
      <c r="N268" s="85" t="s">
        <v>254</v>
      </c>
      <c r="O268" s="85">
        <v>0</v>
      </c>
      <c r="P268" s="85">
        <v>0</v>
      </c>
      <c r="Q268" s="85">
        <v>0</v>
      </c>
      <c r="R268" s="85"/>
      <c r="S268" s="86"/>
    </row>
    <row r="269" spans="1:19" ht="15">
      <c r="A269" s="70">
        <v>20</v>
      </c>
      <c r="B269" s="70"/>
      <c r="C269" s="72" t="s">
        <v>468</v>
      </c>
      <c r="D269" s="72" t="s">
        <v>469</v>
      </c>
      <c r="E269" s="85">
        <v>639243618.68046713</v>
      </c>
      <c r="F269" s="85" t="s">
        <v>254</v>
      </c>
      <c r="G269" s="85">
        <v>637435046.02388442</v>
      </c>
      <c r="H269" s="85" t="s">
        <v>254</v>
      </c>
      <c r="I269" s="85">
        <v>0</v>
      </c>
      <c r="J269" s="85">
        <v>1808572.656582735</v>
      </c>
      <c r="K269" s="85" t="s">
        <v>254</v>
      </c>
      <c r="L269" s="85" t="s">
        <v>254</v>
      </c>
      <c r="M269" s="85">
        <v>0</v>
      </c>
      <c r="N269" s="85" t="s">
        <v>254</v>
      </c>
      <c r="O269" s="85">
        <v>1808572.656582735</v>
      </c>
      <c r="P269" s="85">
        <v>1567659.2001004235</v>
      </c>
      <c r="Q269" s="85">
        <v>240913.45648231159</v>
      </c>
      <c r="R269" s="85"/>
      <c r="S269" s="86"/>
    </row>
    <row r="270" spans="1:19" ht="15">
      <c r="A270" s="70">
        <v>21</v>
      </c>
      <c r="B270" s="70"/>
      <c r="C270" s="72" t="s">
        <v>470</v>
      </c>
      <c r="D270" s="72" t="s">
        <v>254</v>
      </c>
      <c r="E270" s="85">
        <v>681863623.84851182</v>
      </c>
      <c r="F270" s="85" t="s">
        <v>254</v>
      </c>
      <c r="G270" s="85">
        <v>637435046.02388442</v>
      </c>
      <c r="H270" s="85" t="s">
        <v>254</v>
      </c>
      <c r="I270" s="85">
        <v>42473285.895150907</v>
      </c>
      <c r="J270" s="85">
        <v>1955291.9294765287</v>
      </c>
      <c r="K270" s="85" t="s">
        <v>254</v>
      </c>
      <c r="L270" s="85" t="s">
        <v>254</v>
      </c>
      <c r="M270" s="85">
        <v>146719.27289379371</v>
      </c>
      <c r="N270" s="85" t="s">
        <v>254</v>
      </c>
      <c r="O270" s="85">
        <v>1808572.656582735</v>
      </c>
      <c r="P270" s="85">
        <v>1567659.2001004235</v>
      </c>
      <c r="Q270" s="85">
        <v>240913.45648231159</v>
      </c>
      <c r="R270" s="85"/>
      <c r="S270" s="86"/>
    </row>
    <row r="271" spans="1:19" ht="15">
      <c r="A271" s="70" t="s">
        <v>254</v>
      </c>
      <c r="B271" s="70"/>
      <c r="C271" s="72" t="s">
        <v>254</v>
      </c>
      <c r="D271" s="72" t="s">
        <v>254</v>
      </c>
      <c r="E271" s="85" t="s">
        <v>254</v>
      </c>
      <c r="F271" s="85" t="s">
        <v>254</v>
      </c>
      <c r="G271" s="85" t="s">
        <v>254</v>
      </c>
      <c r="H271" s="85" t="s">
        <v>254</v>
      </c>
      <c r="I271" s="85" t="s">
        <v>254</v>
      </c>
      <c r="J271" s="85" t="s">
        <v>254</v>
      </c>
      <c r="K271" s="85" t="s">
        <v>254</v>
      </c>
      <c r="L271" s="85" t="s">
        <v>254</v>
      </c>
      <c r="M271" s="85" t="s">
        <v>254</v>
      </c>
      <c r="N271" s="85" t="s">
        <v>254</v>
      </c>
      <c r="O271" s="85" t="s">
        <v>254</v>
      </c>
      <c r="P271" s="85" t="s">
        <v>254</v>
      </c>
      <c r="Q271" s="85" t="s">
        <v>254</v>
      </c>
      <c r="R271" s="85"/>
      <c r="S271" s="86"/>
    </row>
    <row r="272" spans="1:19" ht="15">
      <c r="A272" s="70">
        <v>22</v>
      </c>
      <c r="B272" s="70"/>
      <c r="C272" s="72" t="s">
        <v>420</v>
      </c>
      <c r="D272" s="72" t="s">
        <v>471</v>
      </c>
      <c r="E272" s="85">
        <v>68419347.901041046</v>
      </c>
      <c r="F272" s="85" t="s">
        <v>254</v>
      </c>
      <c r="G272" s="85">
        <v>62173727.794971846</v>
      </c>
      <c r="H272" s="85" t="s">
        <v>254</v>
      </c>
      <c r="I272" s="85">
        <v>3043709.0431947098</v>
      </c>
      <c r="J272" s="85">
        <v>3201911.0628744899</v>
      </c>
      <c r="K272" s="85" t="s">
        <v>254</v>
      </c>
      <c r="L272" s="85" t="s">
        <v>254</v>
      </c>
      <c r="M272" s="85">
        <v>1460.7959441099495</v>
      </c>
      <c r="N272" s="85" t="s">
        <v>254</v>
      </c>
      <c r="O272" s="85">
        <v>3200450.2669303799</v>
      </c>
      <c r="P272" s="85">
        <v>1021713.4511558233</v>
      </c>
      <c r="Q272" s="85">
        <v>2178736.8157745567</v>
      </c>
      <c r="R272" s="85"/>
      <c r="S272" s="86"/>
    </row>
    <row r="273" spans="1:19" ht="15">
      <c r="A273" s="70" t="s">
        <v>254</v>
      </c>
      <c r="B273" s="70"/>
      <c r="C273" s="72" t="s">
        <v>254</v>
      </c>
      <c r="D273" s="72" t="s">
        <v>254</v>
      </c>
      <c r="E273" s="85" t="s">
        <v>254</v>
      </c>
      <c r="F273" s="85" t="s">
        <v>254</v>
      </c>
      <c r="G273" s="85" t="s">
        <v>254</v>
      </c>
      <c r="H273" s="85" t="s">
        <v>254</v>
      </c>
      <c r="I273" s="85" t="s">
        <v>254</v>
      </c>
      <c r="J273" s="85" t="s">
        <v>254</v>
      </c>
      <c r="K273" s="85" t="s">
        <v>254</v>
      </c>
      <c r="L273" s="85" t="s">
        <v>254</v>
      </c>
      <c r="M273" s="85" t="s">
        <v>254</v>
      </c>
      <c r="N273" s="85" t="s">
        <v>254</v>
      </c>
      <c r="O273" s="85" t="s">
        <v>254</v>
      </c>
      <c r="P273" s="85" t="s">
        <v>254</v>
      </c>
      <c r="Q273" s="85" t="s">
        <v>254</v>
      </c>
      <c r="R273" s="85"/>
      <c r="S273" s="86"/>
    </row>
    <row r="274" spans="1:19" ht="15">
      <c r="A274" s="70">
        <v>23</v>
      </c>
      <c r="B274" s="70"/>
      <c r="C274" s="72" t="s">
        <v>472</v>
      </c>
      <c r="D274" s="72" t="s">
        <v>473</v>
      </c>
      <c r="E274" s="85">
        <v>69345.493659800006</v>
      </c>
      <c r="F274" s="85" t="s">
        <v>254</v>
      </c>
      <c r="G274" s="85">
        <v>69345.493659800006</v>
      </c>
      <c r="H274" s="85" t="s">
        <v>254</v>
      </c>
      <c r="I274" s="85">
        <v>0</v>
      </c>
      <c r="J274" s="85">
        <v>0</v>
      </c>
      <c r="K274" s="85" t="s">
        <v>254</v>
      </c>
      <c r="L274" s="85" t="s">
        <v>254</v>
      </c>
      <c r="M274" s="85">
        <v>0</v>
      </c>
      <c r="N274" s="85" t="s">
        <v>254</v>
      </c>
      <c r="O274" s="85">
        <v>0</v>
      </c>
      <c r="P274" s="85">
        <v>0</v>
      </c>
      <c r="Q274" s="85">
        <v>0</v>
      </c>
      <c r="R274" s="85"/>
      <c r="S274" s="86"/>
    </row>
    <row r="275" spans="1:19" ht="15">
      <c r="A275" s="70">
        <v>24</v>
      </c>
      <c r="B275" s="70"/>
      <c r="C275" s="72" t="s">
        <v>474</v>
      </c>
      <c r="D275" s="72" t="s">
        <v>475</v>
      </c>
      <c r="E275" s="85">
        <v>58427277.455853835</v>
      </c>
      <c r="F275" s="85" t="s">
        <v>254</v>
      </c>
      <c r="G275" s="85">
        <v>51904839.8875129</v>
      </c>
      <c r="H275" s="85" t="s">
        <v>254</v>
      </c>
      <c r="I275" s="85">
        <v>2888279.8250886733</v>
      </c>
      <c r="J275" s="85">
        <v>3634157.7432522606</v>
      </c>
      <c r="K275" s="85" t="s">
        <v>254</v>
      </c>
      <c r="L275" s="85" t="s">
        <v>254</v>
      </c>
      <c r="M275" s="85">
        <v>1264.5224278855567</v>
      </c>
      <c r="N275" s="85" t="s">
        <v>254</v>
      </c>
      <c r="O275" s="85">
        <v>3632893.2208243753</v>
      </c>
      <c r="P275" s="85">
        <v>1145032.2866965495</v>
      </c>
      <c r="Q275" s="85">
        <v>2487860.9341278258</v>
      </c>
      <c r="R275" s="85"/>
      <c r="S275" s="86"/>
    </row>
    <row r="276" spans="1:19" ht="15">
      <c r="A276" s="70" t="s">
        <v>254</v>
      </c>
      <c r="B276" s="70"/>
      <c r="C276" s="72" t="s">
        <v>254</v>
      </c>
      <c r="D276" s="72" t="s">
        <v>254</v>
      </c>
      <c r="E276" s="85" t="s">
        <v>254</v>
      </c>
      <c r="F276" s="85" t="s">
        <v>254</v>
      </c>
      <c r="G276" s="85" t="s">
        <v>254</v>
      </c>
      <c r="H276" s="85" t="s">
        <v>254</v>
      </c>
      <c r="I276" s="85" t="s">
        <v>254</v>
      </c>
      <c r="J276" s="85" t="s">
        <v>254</v>
      </c>
      <c r="K276" s="85" t="s">
        <v>254</v>
      </c>
      <c r="L276" s="85" t="s">
        <v>254</v>
      </c>
      <c r="M276" s="85" t="s">
        <v>254</v>
      </c>
      <c r="N276" s="85" t="s">
        <v>254</v>
      </c>
      <c r="O276" s="85" t="s">
        <v>254</v>
      </c>
      <c r="P276" s="85" t="s">
        <v>254</v>
      </c>
      <c r="Q276" s="85" t="s">
        <v>254</v>
      </c>
      <c r="R276" s="85"/>
      <c r="S276" s="86"/>
    </row>
    <row r="277" spans="1:19" ht="15">
      <c r="A277" s="70">
        <v>25</v>
      </c>
      <c r="B277" s="70"/>
      <c r="C277" s="72" t="s">
        <v>476</v>
      </c>
      <c r="D277" s="72" t="s">
        <v>254</v>
      </c>
      <c r="E277" s="85">
        <v>3301600480.798986</v>
      </c>
      <c r="F277" s="85" t="s">
        <v>254</v>
      </c>
      <c r="G277" s="85">
        <v>2912060195.4345694</v>
      </c>
      <c r="H277" s="85" t="s">
        <v>254</v>
      </c>
      <c r="I277" s="85">
        <v>181863142.57960427</v>
      </c>
      <c r="J277" s="85">
        <v>207677142.78481245</v>
      </c>
      <c r="K277" s="85" t="s">
        <v>254</v>
      </c>
      <c r="L277" s="85" t="s">
        <v>254</v>
      </c>
      <c r="M277" s="85">
        <v>157036.35014862241</v>
      </c>
      <c r="N277" s="85" t="s">
        <v>254</v>
      </c>
      <c r="O277" s="85">
        <v>207520106.43466383</v>
      </c>
      <c r="P277" s="85">
        <v>65458017.564512491</v>
      </c>
      <c r="Q277" s="85">
        <v>142062088.87015134</v>
      </c>
      <c r="R277" s="85"/>
      <c r="S277" s="86"/>
    </row>
    <row r="278" spans="1:19" ht="15">
      <c r="A278" s="70" t="s">
        <v>254</v>
      </c>
      <c r="B278" s="70"/>
      <c r="C278" s="72" t="s">
        <v>254</v>
      </c>
      <c r="D278" s="72" t="s">
        <v>254</v>
      </c>
      <c r="E278" s="85" t="s">
        <v>254</v>
      </c>
      <c r="F278" s="85" t="s">
        <v>254</v>
      </c>
      <c r="G278" s="85" t="s">
        <v>254</v>
      </c>
      <c r="H278" s="85" t="s">
        <v>254</v>
      </c>
      <c r="I278" s="85" t="s">
        <v>254</v>
      </c>
      <c r="J278" s="85" t="s">
        <v>254</v>
      </c>
      <c r="K278" s="85" t="s">
        <v>254</v>
      </c>
      <c r="L278" s="85" t="s">
        <v>254</v>
      </c>
      <c r="M278" s="85" t="s">
        <v>254</v>
      </c>
      <c r="N278" s="85" t="s">
        <v>254</v>
      </c>
      <c r="O278" s="85" t="s">
        <v>254</v>
      </c>
      <c r="P278" s="85" t="s">
        <v>254</v>
      </c>
      <c r="Q278" s="85" t="s">
        <v>254</v>
      </c>
      <c r="R278" s="85"/>
      <c r="S278" s="86"/>
    </row>
    <row r="279" spans="1:19" ht="15">
      <c r="A279" s="70">
        <v>26</v>
      </c>
      <c r="B279" s="70"/>
      <c r="C279" s="72" t="s">
        <v>477</v>
      </c>
      <c r="D279" s="72" t="s">
        <v>254</v>
      </c>
      <c r="E279" s="85">
        <v>6225458640.2517805</v>
      </c>
      <c r="F279" s="85" t="s">
        <v>254</v>
      </c>
      <c r="G279" s="85">
        <v>5551466851.1186314</v>
      </c>
      <c r="H279" s="85" t="s">
        <v>254</v>
      </c>
      <c r="I279" s="85">
        <v>289092416.89037615</v>
      </c>
      <c r="J279" s="85">
        <v>384899372.242773</v>
      </c>
      <c r="K279" s="85" t="s">
        <v>254</v>
      </c>
      <c r="L279" s="85" t="s">
        <v>254</v>
      </c>
      <c r="M279" s="85">
        <v>49153.459548537678</v>
      </c>
      <c r="N279" s="85" t="s">
        <v>254</v>
      </c>
      <c r="O279" s="85">
        <v>384850218.78322446</v>
      </c>
      <c r="P279" s="85">
        <v>121248033.73569658</v>
      </c>
      <c r="Q279" s="85">
        <v>263602185.04752791</v>
      </c>
      <c r="R279" s="85"/>
      <c r="S279" s="86"/>
    </row>
    <row r="280" spans="1:19" ht="15">
      <c r="A280" s="70" t="s">
        <v>254</v>
      </c>
      <c r="B280" s="70"/>
      <c r="C280" s="72" t="s">
        <v>254</v>
      </c>
      <c r="D280" s="72" t="s">
        <v>254</v>
      </c>
      <c r="E280" s="85" t="s">
        <v>254</v>
      </c>
      <c r="F280" s="85" t="s">
        <v>254</v>
      </c>
      <c r="G280" s="85" t="s">
        <v>254</v>
      </c>
      <c r="H280" s="85" t="s">
        <v>254</v>
      </c>
      <c r="I280" s="85" t="s">
        <v>254</v>
      </c>
      <c r="J280" s="85" t="s">
        <v>254</v>
      </c>
      <c r="K280" s="85" t="s">
        <v>254</v>
      </c>
      <c r="L280" s="85" t="s">
        <v>254</v>
      </c>
      <c r="M280" s="85" t="s">
        <v>254</v>
      </c>
      <c r="N280" s="85" t="s">
        <v>254</v>
      </c>
      <c r="O280" s="85" t="s">
        <v>254</v>
      </c>
      <c r="P280" s="85" t="s">
        <v>254</v>
      </c>
      <c r="Q280" s="85" t="s">
        <v>254</v>
      </c>
      <c r="R280" s="85"/>
      <c r="S280" s="86"/>
    </row>
    <row r="281" spans="1:19" ht="15">
      <c r="A281" s="70" t="s">
        <v>254</v>
      </c>
      <c r="B281" s="70"/>
      <c r="C281" s="72" t="s">
        <v>254</v>
      </c>
      <c r="D281" s="72" t="s">
        <v>254</v>
      </c>
      <c r="E281" s="85" t="s">
        <v>254</v>
      </c>
      <c r="F281" s="85" t="s">
        <v>254</v>
      </c>
      <c r="G281" s="85" t="s">
        <v>254</v>
      </c>
      <c r="H281" s="85" t="s">
        <v>254</v>
      </c>
      <c r="I281" s="85" t="s">
        <v>254</v>
      </c>
      <c r="J281" s="85" t="s">
        <v>254</v>
      </c>
      <c r="K281" s="85" t="s">
        <v>254</v>
      </c>
      <c r="L281" s="85" t="s">
        <v>254</v>
      </c>
      <c r="M281" s="85" t="s">
        <v>254</v>
      </c>
      <c r="N281" s="85" t="s">
        <v>254</v>
      </c>
      <c r="O281" s="85" t="s">
        <v>254</v>
      </c>
      <c r="P281" s="85" t="s">
        <v>254</v>
      </c>
      <c r="Q281" s="85" t="s">
        <v>254</v>
      </c>
      <c r="R281" s="85"/>
      <c r="S281" s="86"/>
    </row>
    <row r="282" spans="1:19" ht="15">
      <c r="A282" s="70" t="s">
        <v>254</v>
      </c>
      <c r="B282" s="70"/>
      <c r="C282" s="72" t="s">
        <v>478</v>
      </c>
      <c r="D282" s="72" t="s">
        <v>254</v>
      </c>
      <c r="E282" s="85" t="s">
        <v>254</v>
      </c>
      <c r="F282" s="85" t="s">
        <v>254</v>
      </c>
      <c r="G282" s="85" t="s">
        <v>254</v>
      </c>
      <c r="H282" s="85" t="s">
        <v>254</v>
      </c>
      <c r="I282" s="85" t="s">
        <v>254</v>
      </c>
      <c r="J282" s="85" t="s">
        <v>254</v>
      </c>
      <c r="K282" s="85" t="s">
        <v>254</v>
      </c>
      <c r="L282" s="85" t="s">
        <v>254</v>
      </c>
      <c r="M282" s="85" t="s">
        <v>254</v>
      </c>
      <c r="N282" s="85" t="s">
        <v>254</v>
      </c>
      <c r="O282" s="85" t="s">
        <v>254</v>
      </c>
      <c r="P282" s="85" t="s">
        <v>254</v>
      </c>
      <c r="Q282" s="85" t="s">
        <v>254</v>
      </c>
      <c r="R282" s="85"/>
      <c r="S282" s="86"/>
    </row>
    <row r="283" spans="1:19" ht="15">
      <c r="A283" s="70" t="s">
        <v>254</v>
      </c>
      <c r="B283" s="70"/>
      <c r="C283" s="72" t="s">
        <v>254</v>
      </c>
      <c r="D283" s="72" t="s">
        <v>254</v>
      </c>
      <c r="E283" s="85" t="s">
        <v>254</v>
      </c>
      <c r="F283" s="85" t="s">
        <v>254</v>
      </c>
      <c r="G283" s="85" t="s">
        <v>254</v>
      </c>
      <c r="H283" s="85" t="s">
        <v>254</v>
      </c>
      <c r="I283" s="85" t="s">
        <v>254</v>
      </c>
      <c r="J283" s="85" t="s">
        <v>254</v>
      </c>
      <c r="K283" s="85" t="s">
        <v>254</v>
      </c>
      <c r="L283" s="85" t="s">
        <v>254</v>
      </c>
      <c r="M283" s="85" t="s">
        <v>254</v>
      </c>
      <c r="N283" s="85" t="s">
        <v>254</v>
      </c>
      <c r="O283" s="85" t="s">
        <v>254</v>
      </c>
      <c r="P283" s="85" t="s">
        <v>254</v>
      </c>
      <c r="Q283" s="85" t="s">
        <v>254</v>
      </c>
      <c r="R283" s="85"/>
      <c r="S283" s="86"/>
    </row>
    <row r="284" spans="1:19" ht="15">
      <c r="A284" s="70" t="s">
        <v>254</v>
      </c>
      <c r="B284" s="70"/>
      <c r="C284" s="72" t="s">
        <v>479</v>
      </c>
      <c r="D284" s="72" t="s">
        <v>254</v>
      </c>
      <c r="E284" s="85" t="s">
        <v>254</v>
      </c>
      <c r="F284" s="85" t="s">
        <v>254</v>
      </c>
      <c r="G284" s="85" t="s">
        <v>254</v>
      </c>
      <c r="H284" s="85" t="s">
        <v>254</v>
      </c>
      <c r="I284" s="85" t="s">
        <v>254</v>
      </c>
      <c r="J284" s="85" t="s">
        <v>254</v>
      </c>
      <c r="K284" s="85" t="s">
        <v>254</v>
      </c>
      <c r="L284" s="85" t="s">
        <v>254</v>
      </c>
      <c r="M284" s="85" t="s">
        <v>254</v>
      </c>
      <c r="N284" s="85" t="s">
        <v>254</v>
      </c>
      <c r="O284" s="85" t="s">
        <v>254</v>
      </c>
      <c r="P284" s="85" t="s">
        <v>254</v>
      </c>
      <c r="Q284" s="85" t="s">
        <v>254</v>
      </c>
      <c r="R284" s="85"/>
      <c r="S284" s="86"/>
    </row>
    <row r="285" spans="1:19" ht="15">
      <c r="A285" s="70" t="s">
        <v>254</v>
      </c>
      <c r="B285" s="70"/>
      <c r="C285" s="72" t="s">
        <v>254</v>
      </c>
      <c r="D285" s="72" t="s">
        <v>254</v>
      </c>
      <c r="E285" s="85" t="s">
        <v>254</v>
      </c>
      <c r="F285" s="85" t="s">
        <v>254</v>
      </c>
      <c r="G285" s="85" t="s">
        <v>254</v>
      </c>
      <c r="H285" s="85" t="s">
        <v>254</v>
      </c>
      <c r="I285" s="85" t="s">
        <v>254</v>
      </c>
      <c r="J285" s="85" t="s">
        <v>254</v>
      </c>
      <c r="K285" s="85" t="s">
        <v>254</v>
      </c>
      <c r="L285" s="85" t="s">
        <v>254</v>
      </c>
      <c r="M285" s="85" t="s">
        <v>254</v>
      </c>
      <c r="N285" s="85" t="s">
        <v>254</v>
      </c>
      <c r="O285" s="85" t="s">
        <v>254</v>
      </c>
      <c r="P285" s="85" t="s">
        <v>254</v>
      </c>
      <c r="Q285" s="85" t="s">
        <v>254</v>
      </c>
      <c r="R285" s="85"/>
      <c r="S285" s="86"/>
    </row>
    <row r="286" spans="1:19" ht="15">
      <c r="A286" s="70" t="s">
        <v>254</v>
      </c>
      <c r="B286" s="70"/>
      <c r="C286" s="72" t="s">
        <v>444</v>
      </c>
      <c r="D286" s="72" t="s">
        <v>254</v>
      </c>
      <c r="E286" s="85" t="s">
        <v>254</v>
      </c>
      <c r="F286" s="85" t="s">
        <v>254</v>
      </c>
      <c r="G286" s="85" t="s">
        <v>254</v>
      </c>
      <c r="H286" s="85" t="s">
        <v>254</v>
      </c>
      <c r="I286" s="85" t="s">
        <v>254</v>
      </c>
      <c r="J286" s="85" t="s">
        <v>254</v>
      </c>
      <c r="K286" s="85" t="s">
        <v>254</v>
      </c>
      <c r="L286" s="85" t="s">
        <v>254</v>
      </c>
      <c r="M286" s="85" t="s">
        <v>254</v>
      </c>
      <c r="N286" s="85" t="s">
        <v>254</v>
      </c>
      <c r="O286" s="85" t="s">
        <v>254</v>
      </c>
      <c r="P286" s="85" t="s">
        <v>254</v>
      </c>
      <c r="Q286" s="85" t="s">
        <v>254</v>
      </c>
      <c r="R286" s="85"/>
      <c r="S286" s="86"/>
    </row>
    <row r="287" spans="1:19" ht="15">
      <c r="A287" s="70">
        <v>1</v>
      </c>
      <c r="B287" s="70"/>
      <c r="C287" s="72" t="s">
        <v>480</v>
      </c>
      <c r="D287" s="72" t="s">
        <v>481</v>
      </c>
      <c r="E287" s="85">
        <v>215873791.89999995</v>
      </c>
      <c r="F287" s="85" t="s">
        <v>254</v>
      </c>
      <c r="G287" s="85">
        <v>189057357.47153577</v>
      </c>
      <c r="H287" s="85" t="s">
        <v>254</v>
      </c>
      <c r="I287" s="85">
        <v>8737015.076769609</v>
      </c>
      <c r="J287" s="85">
        <v>18079419.351694554</v>
      </c>
      <c r="K287" s="85" t="s">
        <v>254</v>
      </c>
      <c r="L287" s="85" t="s">
        <v>254</v>
      </c>
      <c r="M287" s="85">
        <v>664.33371704995409</v>
      </c>
      <c r="N287" s="85" t="s">
        <v>254</v>
      </c>
      <c r="O287" s="85">
        <v>18078755.017977506</v>
      </c>
      <c r="P287" s="85">
        <v>5610902.180229635</v>
      </c>
      <c r="Q287" s="85">
        <v>12467852.83774787</v>
      </c>
      <c r="R287" s="85"/>
      <c r="S287" s="86"/>
    </row>
    <row r="288" spans="1:19" ht="15">
      <c r="A288" s="70">
        <v>2</v>
      </c>
      <c r="B288" s="70"/>
      <c r="C288" s="72" t="s">
        <v>482</v>
      </c>
      <c r="D288" s="72" t="s">
        <v>315</v>
      </c>
      <c r="E288" s="85">
        <v>0</v>
      </c>
      <c r="F288" s="85" t="s">
        <v>254</v>
      </c>
      <c r="G288" s="85">
        <v>0</v>
      </c>
      <c r="H288" s="85" t="s">
        <v>254</v>
      </c>
      <c r="I288" s="85">
        <v>0</v>
      </c>
      <c r="J288" s="85">
        <v>0</v>
      </c>
      <c r="K288" s="85" t="s">
        <v>254</v>
      </c>
      <c r="L288" s="85" t="s">
        <v>254</v>
      </c>
      <c r="M288" s="85">
        <v>0</v>
      </c>
      <c r="N288" s="85" t="s">
        <v>254</v>
      </c>
      <c r="O288" s="85">
        <v>0</v>
      </c>
      <c r="P288" s="85">
        <v>0</v>
      </c>
      <c r="Q288" s="85">
        <v>0</v>
      </c>
      <c r="R288" s="85"/>
      <c r="S288" s="86"/>
    </row>
    <row r="289" spans="1:19" ht="15">
      <c r="A289" s="70">
        <v>3</v>
      </c>
      <c r="B289" s="70"/>
      <c r="C289" s="72" t="s">
        <v>483</v>
      </c>
      <c r="D289" s="72" t="s">
        <v>317</v>
      </c>
      <c r="E289" s="85">
        <v>0</v>
      </c>
      <c r="F289" s="85" t="s">
        <v>254</v>
      </c>
      <c r="G289" s="85">
        <v>0</v>
      </c>
      <c r="H289" s="85" t="s">
        <v>254</v>
      </c>
      <c r="I289" s="85">
        <v>0</v>
      </c>
      <c r="J289" s="85">
        <v>0</v>
      </c>
      <c r="K289" s="85" t="s">
        <v>254</v>
      </c>
      <c r="L289" s="85" t="s">
        <v>254</v>
      </c>
      <c r="M289" s="85">
        <v>0</v>
      </c>
      <c r="N289" s="85" t="s">
        <v>254</v>
      </c>
      <c r="O289" s="85">
        <v>0</v>
      </c>
      <c r="P289" s="85">
        <v>0</v>
      </c>
      <c r="Q289" s="85">
        <v>0</v>
      </c>
      <c r="R289" s="85"/>
      <c r="S289" s="86"/>
    </row>
    <row r="290" spans="1:19" ht="15">
      <c r="A290" s="70">
        <v>4</v>
      </c>
      <c r="B290" s="70"/>
      <c r="C290" s="72" t="s">
        <v>484</v>
      </c>
      <c r="D290" s="72" t="s">
        <v>254</v>
      </c>
      <c r="E290" s="85">
        <v>215873791.89999995</v>
      </c>
      <c r="F290" s="85" t="s">
        <v>254</v>
      </c>
      <c r="G290" s="85">
        <v>189057357.47153577</v>
      </c>
      <c r="H290" s="85" t="s">
        <v>254</v>
      </c>
      <c r="I290" s="85">
        <v>8737015.076769609</v>
      </c>
      <c r="J290" s="85">
        <v>18079419.351694554</v>
      </c>
      <c r="K290" s="85" t="s">
        <v>254</v>
      </c>
      <c r="L290" s="85" t="s">
        <v>254</v>
      </c>
      <c r="M290" s="85">
        <v>664.33371704995409</v>
      </c>
      <c r="N290" s="85" t="s">
        <v>254</v>
      </c>
      <c r="O290" s="85">
        <v>18078755.017977506</v>
      </c>
      <c r="P290" s="85">
        <v>5610902.180229635</v>
      </c>
      <c r="Q290" s="85">
        <v>12467852.83774787</v>
      </c>
      <c r="R290" s="85"/>
      <c r="S290" s="86"/>
    </row>
    <row r="291" spans="1:19" ht="15">
      <c r="A291" s="70" t="s">
        <v>254</v>
      </c>
      <c r="B291" s="70"/>
      <c r="C291" s="72" t="s">
        <v>254</v>
      </c>
      <c r="D291" s="72" t="s">
        <v>254</v>
      </c>
      <c r="E291" s="85" t="s">
        <v>254</v>
      </c>
      <c r="F291" s="85" t="s">
        <v>254</v>
      </c>
      <c r="G291" s="85" t="s">
        <v>254</v>
      </c>
      <c r="H291" s="85" t="s">
        <v>254</v>
      </c>
      <c r="I291" s="85" t="s">
        <v>254</v>
      </c>
      <c r="J291" s="85" t="s">
        <v>254</v>
      </c>
      <c r="K291" s="85" t="s">
        <v>254</v>
      </c>
      <c r="L291" s="85" t="s">
        <v>254</v>
      </c>
      <c r="M291" s="85" t="s">
        <v>254</v>
      </c>
      <c r="N291" s="85" t="s">
        <v>254</v>
      </c>
      <c r="O291" s="85" t="s">
        <v>254</v>
      </c>
      <c r="P291" s="85" t="s">
        <v>254</v>
      </c>
      <c r="Q291" s="85" t="s">
        <v>254</v>
      </c>
      <c r="R291" s="85"/>
      <c r="S291" s="86"/>
    </row>
    <row r="292" spans="1:19" ht="15">
      <c r="A292" s="70" t="s">
        <v>254</v>
      </c>
      <c r="B292" s="70"/>
      <c r="C292" s="72" t="s">
        <v>458</v>
      </c>
      <c r="D292" s="72" t="s">
        <v>254</v>
      </c>
      <c r="E292" s="85" t="s">
        <v>254</v>
      </c>
      <c r="F292" s="85" t="s">
        <v>254</v>
      </c>
      <c r="G292" s="85" t="s">
        <v>254</v>
      </c>
      <c r="H292" s="85" t="s">
        <v>254</v>
      </c>
      <c r="I292" s="85" t="s">
        <v>254</v>
      </c>
      <c r="J292" s="85" t="s">
        <v>254</v>
      </c>
      <c r="K292" s="85" t="s">
        <v>254</v>
      </c>
      <c r="L292" s="85" t="s">
        <v>254</v>
      </c>
      <c r="M292" s="85" t="s">
        <v>254</v>
      </c>
      <c r="N292" s="85" t="s">
        <v>254</v>
      </c>
      <c r="O292" s="85" t="s">
        <v>254</v>
      </c>
      <c r="P292" s="85" t="s">
        <v>254</v>
      </c>
      <c r="Q292" s="85" t="s">
        <v>254</v>
      </c>
      <c r="R292" s="85"/>
      <c r="S292" s="86"/>
    </row>
    <row r="293" spans="1:19" ht="15">
      <c r="A293" s="70">
        <v>5</v>
      </c>
      <c r="B293" s="70"/>
      <c r="C293" s="72" t="s">
        <v>480</v>
      </c>
      <c r="D293" s="72" t="s">
        <v>460</v>
      </c>
      <c r="E293" s="85">
        <v>31621667.935384627</v>
      </c>
      <c r="F293" s="85" t="s">
        <v>254</v>
      </c>
      <c r="G293" s="85">
        <v>30190923.175486635</v>
      </c>
      <c r="H293" s="85" t="s">
        <v>254</v>
      </c>
      <c r="I293" s="85">
        <v>1430638.6712036275</v>
      </c>
      <c r="J293" s="85">
        <v>106.08869436546723</v>
      </c>
      <c r="K293" s="85" t="s">
        <v>254</v>
      </c>
      <c r="L293" s="85" t="s">
        <v>254</v>
      </c>
      <c r="M293" s="85">
        <v>106.08869436546723</v>
      </c>
      <c r="N293" s="85" t="s">
        <v>254</v>
      </c>
      <c r="O293" s="85">
        <v>0</v>
      </c>
      <c r="P293" s="85">
        <v>0</v>
      </c>
      <c r="Q293" s="85">
        <v>0</v>
      </c>
      <c r="R293" s="85"/>
      <c r="S293" s="86"/>
    </row>
    <row r="294" spans="1:19" ht="15">
      <c r="A294" s="70">
        <v>6</v>
      </c>
      <c r="B294" s="70"/>
      <c r="C294" s="72" t="s">
        <v>485</v>
      </c>
      <c r="D294" s="72" t="s">
        <v>460</v>
      </c>
      <c r="E294" s="85">
        <v>0</v>
      </c>
      <c r="F294" s="85" t="s">
        <v>254</v>
      </c>
      <c r="G294" s="85">
        <v>0</v>
      </c>
      <c r="H294" s="85" t="s">
        <v>254</v>
      </c>
      <c r="I294" s="85">
        <v>0</v>
      </c>
      <c r="J294" s="85">
        <v>0</v>
      </c>
      <c r="K294" s="85" t="s">
        <v>254</v>
      </c>
      <c r="L294" s="85" t="s">
        <v>254</v>
      </c>
      <c r="M294" s="85">
        <v>0</v>
      </c>
      <c r="N294" s="85" t="s">
        <v>254</v>
      </c>
      <c r="O294" s="85">
        <v>0</v>
      </c>
      <c r="P294" s="85">
        <v>0</v>
      </c>
      <c r="Q294" s="85">
        <v>0</v>
      </c>
      <c r="R294" s="85"/>
      <c r="S294" s="86"/>
    </row>
    <row r="295" spans="1:19" ht="15">
      <c r="A295" s="70">
        <v>7</v>
      </c>
      <c r="B295" s="70"/>
      <c r="C295" s="72" t="s">
        <v>486</v>
      </c>
      <c r="D295" s="72" t="s">
        <v>487</v>
      </c>
      <c r="E295" s="85">
        <v>67146.961538461546</v>
      </c>
      <c r="F295" s="85" t="s">
        <v>254</v>
      </c>
      <c r="G295" s="85">
        <v>0</v>
      </c>
      <c r="H295" s="85" t="s">
        <v>254</v>
      </c>
      <c r="I295" s="85">
        <v>67146.961538461546</v>
      </c>
      <c r="J295" s="85">
        <v>0</v>
      </c>
      <c r="K295" s="85" t="s">
        <v>254</v>
      </c>
      <c r="L295" s="85" t="s">
        <v>254</v>
      </c>
      <c r="M295" s="85">
        <v>0</v>
      </c>
      <c r="N295" s="85" t="s">
        <v>254</v>
      </c>
      <c r="O295" s="85">
        <v>0</v>
      </c>
      <c r="P295" s="85">
        <v>0</v>
      </c>
      <c r="Q295" s="85">
        <v>0</v>
      </c>
      <c r="R295" s="85"/>
      <c r="S295" s="86"/>
    </row>
    <row r="296" spans="1:19" ht="15">
      <c r="A296" s="70">
        <v>8</v>
      </c>
      <c r="B296" s="70"/>
      <c r="C296" s="72" t="s">
        <v>482</v>
      </c>
      <c r="D296" s="72" t="s">
        <v>315</v>
      </c>
      <c r="E296" s="85">
        <v>0</v>
      </c>
      <c r="F296" s="85" t="s">
        <v>254</v>
      </c>
      <c r="G296" s="85">
        <v>0</v>
      </c>
      <c r="H296" s="85" t="s">
        <v>254</v>
      </c>
      <c r="I296" s="85">
        <v>0</v>
      </c>
      <c r="J296" s="85">
        <v>0</v>
      </c>
      <c r="K296" s="85" t="s">
        <v>254</v>
      </c>
      <c r="L296" s="85" t="s">
        <v>254</v>
      </c>
      <c r="M296" s="85">
        <v>0</v>
      </c>
      <c r="N296" s="85" t="s">
        <v>254</v>
      </c>
      <c r="O296" s="85">
        <v>0</v>
      </c>
      <c r="P296" s="85">
        <v>0</v>
      </c>
      <c r="Q296" s="85">
        <v>0</v>
      </c>
      <c r="R296" s="85"/>
      <c r="S296" s="86"/>
    </row>
    <row r="297" spans="1:19" ht="15">
      <c r="A297" s="70">
        <v>9</v>
      </c>
      <c r="B297" s="70"/>
      <c r="C297" s="72" t="s">
        <v>483</v>
      </c>
      <c r="D297" s="72" t="s">
        <v>317</v>
      </c>
      <c r="E297" s="85">
        <v>0</v>
      </c>
      <c r="F297" s="85" t="s">
        <v>254</v>
      </c>
      <c r="G297" s="85">
        <v>0</v>
      </c>
      <c r="H297" s="85" t="s">
        <v>254</v>
      </c>
      <c r="I297" s="85">
        <v>0</v>
      </c>
      <c r="J297" s="85">
        <v>0</v>
      </c>
      <c r="K297" s="85" t="s">
        <v>254</v>
      </c>
      <c r="L297" s="85" t="s">
        <v>254</v>
      </c>
      <c r="M297" s="85">
        <v>0</v>
      </c>
      <c r="N297" s="85" t="s">
        <v>254</v>
      </c>
      <c r="O297" s="85">
        <v>0</v>
      </c>
      <c r="P297" s="85">
        <v>0</v>
      </c>
      <c r="Q297" s="85">
        <v>0</v>
      </c>
      <c r="R297" s="85"/>
      <c r="S297" s="86"/>
    </row>
    <row r="298" spans="1:19" ht="15">
      <c r="A298" s="70">
        <v>10</v>
      </c>
      <c r="B298" s="70"/>
      <c r="C298" s="72" t="s">
        <v>488</v>
      </c>
      <c r="D298" s="72" t="s">
        <v>254</v>
      </c>
      <c r="E298" s="85">
        <v>31688814.896923088</v>
      </c>
      <c r="F298" s="85" t="s">
        <v>254</v>
      </c>
      <c r="G298" s="85">
        <v>30190923.175486635</v>
      </c>
      <c r="H298" s="85" t="s">
        <v>254</v>
      </c>
      <c r="I298" s="85">
        <v>1497785.632742089</v>
      </c>
      <c r="J298" s="85">
        <v>106.08869436546723</v>
      </c>
      <c r="K298" s="85" t="s">
        <v>254</v>
      </c>
      <c r="L298" s="85" t="s">
        <v>254</v>
      </c>
      <c r="M298" s="85">
        <v>106.08869436546723</v>
      </c>
      <c r="N298" s="85" t="s">
        <v>254</v>
      </c>
      <c r="O298" s="85">
        <v>0</v>
      </c>
      <c r="P298" s="85">
        <v>0</v>
      </c>
      <c r="Q298" s="85">
        <v>0</v>
      </c>
      <c r="R298" s="85"/>
      <c r="S298" s="86"/>
    </row>
    <row r="299" spans="1:19" ht="15">
      <c r="A299" s="70" t="s">
        <v>254</v>
      </c>
      <c r="B299" s="70"/>
      <c r="C299" s="72" t="s">
        <v>254</v>
      </c>
      <c r="D299" s="72" t="s">
        <v>254</v>
      </c>
      <c r="E299" s="85" t="s">
        <v>254</v>
      </c>
      <c r="F299" s="85" t="s">
        <v>254</v>
      </c>
      <c r="G299" s="85" t="s">
        <v>254</v>
      </c>
      <c r="H299" s="85" t="s">
        <v>254</v>
      </c>
      <c r="I299" s="85" t="s">
        <v>254</v>
      </c>
      <c r="J299" s="85" t="s">
        <v>254</v>
      </c>
      <c r="K299" s="85" t="s">
        <v>254</v>
      </c>
      <c r="L299" s="85" t="s">
        <v>254</v>
      </c>
      <c r="M299" s="85" t="s">
        <v>254</v>
      </c>
      <c r="N299" s="85" t="s">
        <v>254</v>
      </c>
      <c r="O299" s="85" t="s">
        <v>254</v>
      </c>
      <c r="P299" s="85" t="s">
        <v>254</v>
      </c>
      <c r="Q299" s="85" t="s">
        <v>254</v>
      </c>
      <c r="R299" s="85"/>
      <c r="S299" s="86"/>
    </row>
    <row r="300" spans="1:19" ht="15">
      <c r="A300" s="70">
        <v>11</v>
      </c>
      <c r="B300" s="70"/>
      <c r="C300" s="72" t="s">
        <v>489</v>
      </c>
      <c r="D300" s="72" t="s">
        <v>490</v>
      </c>
      <c r="E300" s="85">
        <v>0</v>
      </c>
      <c r="F300" s="85" t="s">
        <v>254</v>
      </c>
      <c r="G300" s="85">
        <v>0</v>
      </c>
      <c r="H300" s="85" t="s">
        <v>254</v>
      </c>
      <c r="I300" s="85">
        <v>0</v>
      </c>
      <c r="J300" s="85">
        <v>0</v>
      </c>
      <c r="K300" s="85" t="s">
        <v>254</v>
      </c>
      <c r="L300" s="85" t="s">
        <v>254</v>
      </c>
      <c r="M300" s="85">
        <v>0</v>
      </c>
      <c r="N300" s="85" t="s">
        <v>254</v>
      </c>
      <c r="O300" s="85">
        <v>0</v>
      </c>
      <c r="P300" s="85">
        <v>0</v>
      </c>
      <c r="Q300" s="85">
        <v>0</v>
      </c>
      <c r="R300" s="85"/>
      <c r="S300" s="86"/>
    </row>
    <row r="301" spans="1:19" ht="15">
      <c r="A301" s="70">
        <v>12</v>
      </c>
      <c r="B301" s="70"/>
      <c r="C301" s="72" t="s">
        <v>491</v>
      </c>
      <c r="D301" s="72" t="s">
        <v>492</v>
      </c>
      <c r="E301" s="85">
        <v>32868652.481538456</v>
      </c>
      <c r="F301" s="85" t="s">
        <v>254</v>
      </c>
      <c r="G301" s="85">
        <v>32868652.481538456</v>
      </c>
      <c r="H301" s="85" t="s">
        <v>254</v>
      </c>
      <c r="I301" s="85">
        <v>0</v>
      </c>
      <c r="J301" s="85">
        <v>0</v>
      </c>
      <c r="K301" s="85" t="s">
        <v>254</v>
      </c>
      <c r="L301" s="85" t="s">
        <v>254</v>
      </c>
      <c r="M301" s="85">
        <v>0</v>
      </c>
      <c r="N301" s="85" t="s">
        <v>254</v>
      </c>
      <c r="O301" s="85">
        <v>0</v>
      </c>
      <c r="P301" s="85">
        <v>0</v>
      </c>
      <c r="Q301" s="85">
        <v>0</v>
      </c>
      <c r="R301" s="85"/>
      <c r="S301" s="86"/>
    </row>
    <row r="302" spans="1:19" ht="15">
      <c r="A302" s="70">
        <v>13</v>
      </c>
      <c r="B302" s="70"/>
      <c r="C302" s="72" t="s">
        <v>493</v>
      </c>
      <c r="D302" s="72" t="s">
        <v>254</v>
      </c>
      <c r="E302" s="85">
        <v>32868652.481538456</v>
      </c>
      <c r="F302" s="85" t="s">
        <v>254</v>
      </c>
      <c r="G302" s="85">
        <v>32868652.481538456</v>
      </c>
      <c r="H302" s="85" t="s">
        <v>254</v>
      </c>
      <c r="I302" s="85">
        <v>0</v>
      </c>
      <c r="J302" s="85">
        <v>0</v>
      </c>
      <c r="K302" s="85" t="s">
        <v>254</v>
      </c>
      <c r="L302" s="85" t="s">
        <v>254</v>
      </c>
      <c r="M302" s="85">
        <v>0</v>
      </c>
      <c r="N302" s="85" t="s">
        <v>254</v>
      </c>
      <c r="O302" s="85">
        <v>0</v>
      </c>
      <c r="P302" s="85">
        <v>0</v>
      </c>
      <c r="Q302" s="85">
        <v>0</v>
      </c>
      <c r="R302" s="85"/>
      <c r="S302" s="86"/>
    </row>
    <row r="303" spans="1:19" ht="15">
      <c r="A303" s="70" t="s">
        <v>254</v>
      </c>
      <c r="B303" s="70"/>
      <c r="C303" s="72" t="s">
        <v>254</v>
      </c>
      <c r="D303" s="72" t="s">
        <v>254</v>
      </c>
      <c r="E303" s="85" t="s">
        <v>254</v>
      </c>
      <c r="F303" s="85" t="s">
        <v>254</v>
      </c>
      <c r="G303" s="85" t="s">
        <v>254</v>
      </c>
      <c r="H303" s="85" t="s">
        <v>254</v>
      </c>
      <c r="I303" s="85" t="s">
        <v>254</v>
      </c>
      <c r="J303" s="85" t="s">
        <v>254</v>
      </c>
      <c r="K303" s="85" t="s">
        <v>254</v>
      </c>
      <c r="L303" s="85" t="s">
        <v>254</v>
      </c>
      <c r="M303" s="85" t="s">
        <v>254</v>
      </c>
      <c r="N303" s="85" t="s">
        <v>254</v>
      </c>
      <c r="O303" s="85" t="s">
        <v>254</v>
      </c>
      <c r="P303" s="85" t="s">
        <v>254</v>
      </c>
      <c r="Q303" s="85" t="s">
        <v>254</v>
      </c>
      <c r="R303" s="85"/>
      <c r="S303" s="86"/>
    </row>
    <row r="304" spans="1:19" ht="15">
      <c r="A304" s="70">
        <v>14</v>
      </c>
      <c r="B304" s="70"/>
      <c r="C304" s="72" t="s">
        <v>440</v>
      </c>
      <c r="D304" s="72" t="s">
        <v>471</v>
      </c>
      <c r="E304" s="85">
        <v>30252915.309999995</v>
      </c>
      <c r="F304" s="85" t="s">
        <v>254</v>
      </c>
      <c r="G304" s="85">
        <v>27491295.652346555</v>
      </c>
      <c r="H304" s="85" t="s">
        <v>254</v>
      </c>
      <c r="I304" s="85">
        <v>1345833.8136346021</v>
      </c>
      <c r="J304" s="85">
        <v>1415785.8440188395</v>
      </c>
      <c r="K304" s="85" t="s">
        <v>254</v>
      </c>
      <c r="L304" s="85" t="s">
        <v>254</v>
      </c>
      <c r="M304" s="85">
        <v>645.91869607218746</v>
      </c>
      <c r="N304" s="85" t="s">
        <v>254</v>
      </c>
      <c r="O304" s="85">
        <v>1415139.9253227673</v>
      </c>
      <c r="P304" s="85">
        <v>451770.02495860716</v>
      </c>
      <c r="Q304" s="85">
        <v>963369.90036416019</v>
      </c>
      <c r="R304" s="85"/>
      <c r="S304" s="86"/>
    </row>
    <row r="305" spans="1:19" ht="15">
      <c r="A305" s="70" t="s">
        <v>254</v>
      </c>
      <c r="B305" s="70"/>
      <c r="C305" s="72" t="s">
        <v>254</v>
      </c>
      <c r="D305" s="72" t="s">
        <v>254</v>
      </c>
      <c r="E305" s="85" t="s">
        <v>254</v>
      </c>
      <c r="F305" s="85" t="s">
        <v>254</v>
      </c>
      <c r="G305" s="85" t="s">
        <v>254</v>
      </c>
      <c r="H305" s="85" t="s">
        <v>254</v>
      </c>
      <c r="I305" s="85" t="s">
        <v>254</v>
      </c>
      <c r="J305" s="85" t="s">
        <v>254</v>
      </c>
      <c r="K305" s="85" t="s">
        <v>254</v>
      </c>
      <c r="L305" s="85" t="s">
        <v>254</v>
      </c>
      <c r="M305" s="85" t="s">
        <v>254</v>
      </c>
      <c r="N305" s="85" t="s">
        <v>254</v>
      </c>
      <c r="O305" s="85" t="s">
        <v>254</v>
      </c>
      <c r="P305" s="85" t="s">
        <v>254</v>
      </c>
      <c r="Q305" s="85" t="s">
        <v>254</v>
      </c>
      <c r="R305" s="85"/>
      <c r="S305" s="86"/>
    </row>
    <row r="306" spans="1:19" ht="15">
      <c r="A306" s="70">
        <v>15</v>
      </c>
      <c r="B306" s="70"/>
      <c r="C306" s="72" t="s">
        <v>494</v>
      </c>
      <c r="D306" s="72" t="s">
        <v>254</v>
      </c>
      <c r="E306" s="85">
        <v>310684174.5884614</v>
      </c>
      <c r="F306" s="85" t="s">
        <v>254</v>
      </c>
      <c r="G306" s="85">
        <v>279608228.78090739</v>
      </c>
      <c r="H306" s="85" t="s">
        <v>254</v>
      </c>
      <c r="I306" s="85">
        <v>11580634.5231463</v>
      </c>
      <c r="J306" s="85">
        <v>19495311.284407761</v>
      </c>
      <c r="K306" s="85" t="s">
        <v>254</v>
      </c>
      <c r="L306" s="85" t="s">
        <v>254</v>
      </c>
      <c r="M306" s="85">
        <v>1416.3411074876087</v>
      </c>
      <c r="N306" s="85" t="s">
        <v>254</v>
      </c>
      <c r="O306" s="85">
        <v>19493894.943300273</v>
      </c>
      <c r="P306" s="85">
        <v>6062672.2051882418</v>
      </c>
      <c r="Q306" s="85">
        <v>13431222.738112031</v>
      </c>
      <c r="R306" s="85"/>
      <c r="S306" s="86"/>
    </row>
    <row r="307" spans="1:19" ht="15">
      <c r="A307" s="70" t="s">
        <v>254</v>
      </c>
      <c r="B307" s="70"/>
      <c r="C307" s="72" t="s">
        <v>254</v>
      </c>
      <c r="D307" s="72" t="s">
        <v>254</v>
      </c>
      <c r="E307" s="85" t="s">
        <v>254</v>
      </c>
      <c r="F307" s="85" t="s">
        <v>254</v>
      </c>
      <c r="G307" s="85" t="s">
        <v>254</v>
      </c>
      <c r="H307" s="85" t="s">
        <v>254</v>
      </c>
      <c r="I307" s="85" t="s">
        <v>254</v>
      </c>
      <c r="J307" s="85" t="s">
        <v>254</v>
      </c>
      <c r="K307" s="85" t="s">
        <v>254</v>
      </c>
      <c r="L307" s="85" t="s">
        <v>254</v>
      </c>
      <c r="M307" s="85" t="s">
        <v>254</v>
      </c>
      <c r="N307" s="85" t="s">
        <v>254</v>
      </c>
      <c r="O307" s="85" t="s">
        <v>254</v>
      </c>
      <c r="P307" s="85" t="s">
        <v>254</v>
      </c>
      <c r="Q307" s="85" t="s">
        <v>254</v>
      </c>
      <c r="R307" s="85"/>
      <c r="S307" s="86"/>
    </row>
    <row r="308" spans="1:19" ht="15">
      <c r="A308" s="70" t="s">
        <v>254</v>
      </c>
      <c r="B308" s="70"/>
      <c r="C308" s="72" t="s">
        <v>495</v>
      </c>
      <c r="D308" s="72" t="s">
        <v>254</v>
      </c>
      <c r="E308" s="85" t="s">
        <v>254</v>
      </c>
      <c r="F308" s="85" t="s">
        <v>254</v>
      </c>
      <c r="G308" s="85" t="s">
        <v>254</v>
      </c>
      <c r="H308" s="85" t="s">
        <v>254</v>
      </c>
      <c r="I308" s="85" t="s">
        <v>254</v>
      </c>
      <c r="J308" s="85" t="s">
        <v>254</v>
      </c>
      <c r="K308" s="85" t="s">
        <v>254</v>
      </c>
      <c r="L308" s="85" t="s">
        <v>254</v>
      </c>
      <c r="M308" s="85" t="s">
        <v>254</v>
      </c>
      <c r="N308" s="85" t="s">
        <v>254</v>
      </c>
      <c r="O308" s="85" t="s">
        <v>254</v>
      </c>
      <c r="P308" s="85" t="s">
        <v>254</v>
      </c>
      <c r="Q308" s="85" t="s">
        <v>254</v>
      </c>
      <c r="R308" s="85"/>
      <c r="S308" s="86"/>
    </row>
    <row r="309" spans="1:19" ht="15">
      <c r="A309" s="70" t="s">
        <v>254</v>
      </c>
      <c r="B309" s="70"/>
      <c r="C309" s="72" t="s">
        <v>496</v>
      </c>
      <c r="D309" s="72" t="s">
        <v>254</v>
      </c>
      <c r="E309" s="85" t="s">
        <v>254</v>
      </c>
      <c r="F309" s="85" t="s">
        <v>254</v>
      </c>
      <c r="G309" s="85" t="s">
        <v>254</v>
      </c>
      <c r="H309" s="85" t="s">
        <v>254</v>
      </c>
      <c r="I309" s="85" t="s">
        <v>254</v>
      </c>
      <c r="J309" s="85" t="s">
        <v>254</v>
      </c>
      <c r="K309" s="85" t="s">
        <v>254</v>
      </c>
      <c r="L309" s="85" t="s">
        <v>254</v>
      </c>
      <c r="M309" s="85" t="s">
        <v>254</v>
      </c>
      <c r="N309" s="85" t="s">
        <v>254</v>
      </c>
      <c r="O309" s="85" t="s">
        <v>254</v>
      </c>
      <c r="P309" s="85" t="s">
        <v>254</v>
      </c>
      <c r="Q309" s="85" t="s">
        <v>254</v>
      </c>
      <c r="R309" s="85"/>
      <c r="S309" s="86"/>
    </row>
    <row r="310" spans="1:19" ht="15">
      <c r="A310" s="70">
        <v>16</v>
      </c>
      <c r="B310" s="70"/>
      <c r="C310" s="72" t="s">
        <v>497</v>
      </c>
      <c r="D310" s="72" t="s">
        <v>498</v>
      </c>
      <c r="E310" s="85">
        <v>81295504.999999985</v>
      </c>
      <c r="F310" s="85" t="s">
        <v>254</v>
      </c>
      <c r="G310" s="85">
        <v>71489838.591801614</v>
      </c>
      <c r="H310" s="85" t="s">
        <v>254</v>
      </c>
      <c r="I310" s="85">
        <v>2963645.3065443393</v>
      </c>
      <c r="J310" s="85">
        <v>6842021.1016540425</v>
      </c>
      <c r="K310" s="85" t="s">
        <v>254</v>
      </c>
      <c r="L310" s="85" t="s">
        <v>254</v>
      </c>
      <c r="M310" s="85">
        <v>344.76622326864327</v>
      </c>
      <c r="N310" s="85" t="s">
        <v>254</v>
      </c>
      <c r="O310" s="85">
        <v>6841676.3354307739</v>
      </c>
      <c r="P310" s="85">
        <v>2162061.4718844239</v>
      </c>
      <c r="Q310" s="85">
        <v>4679614.86354635</v>
      </c>
      <c r="R310" s="85"/>
      <c r="S310" s="86"/>
    </row>
    <row r="311" spans="1:19" ht="15">
      <c r="A311" s="70" t="s">
        <v>254</v>
      </c>
      <c r="B311" s="70"/>
      <c r="C311" s="72" t="s">
        <v>499</v>
      </c>
      <c r="D311" s="72" t="s">
        <v>254</v>
      </c>
      <c r="E311" s="85" t="s">
        <v>254</v>
      </c>
      <c r="F311" s="85" t="s">
        <v>254</v>
      </c>
      <c r="G311" s="85" t="s">
        <v>254</v>
      </c>
      <c r="H311" s="85" t="s">
        <v>254</v>
      </c>
      <c r="I311" s="85" t="s">
        <v>254</v>
      </c>
      <c r="J311" s="85" t="s">
        <v>254</v>
      </c>
      <c r="K311" s="85" t="s">
        <v>254</v>
      </c>
      <c r="L311" s="85" t="s">
        <v>254</v>
      </c>
      <c r="M311" s="85" t="s">
        <v>254</v>
      </c>
      <c r="N311" s="85" t="s">
        <v>254</v>
      </c>
      <c r="O311" s="85" t="s">
        <v>254</v>
      </c>
      <c r="P311" s="85" t="s">
        <v>254</v>
      </c>
      <c r="Q311" s="85" t="s">
        <v>254</v>
      </c>
      <c r="R311" s="85"/>
      <c r="S311" s="86"/>
    </row>
    <row r="312" spans="1:19" ht="15">
      <c r="A312" s="70">
        <v>17</v>
      </c>
      <c r="B312" s="70"/>
      <c r="C312" s="72" t="s">
        <v>500</v>
      </c>
      <c r="D312" s="72" t="s">
        <v>501</v>
      </c>
      <c r="E312" s="85">
        <v>30467274.304529998</v>
      </c>
      <c r="F312" s="85" t="s">
        <v>254</v>
      </c>
      <c r="G312" s="85">
        <v>26510217.597938314</v>
      </c>
      <c r="H312" s="85" t="s">
        <v>254</v>
      </c>
      <c r="I312" s="85">
        <v>1251648.7407817591</v>
      </c>
      <c r="J312" s="85">
        <v>2705407.9658099269</v>
      </c>
      <c r="K312" s="85" t="s">
        <v>254</v>
      </c>
      <c r="L312" s="85" t="s">
        <v>254</v>
      </c>
      <c r="M312" s="85">
        <v>93.154964356745793</v>
      </c>
      <c r="N312" s="85" t="s">
        <v>254</v>
      </c>
      <c r="O312" s="85">
        <v>2705314.8108455702</v>
      </c>
      <c r="P312" s="85">
        <v>839618.4778922376</v>
      </c>
      <c r="Q312" s="85">
        <v>1865696.3329533325</v>
      </c>
      <c r="R312" s="85"/>
      <c r="S312" s="86"/>
    </row>
    <row r="313" spans="1:19" ht="15">
      <c r="A313" s="70">
        <v>18</v>
      </c>
      <c r="B313" s="70"/>
      <c r="C313" s="72" t="s">
        <v>502</v>
      </c>
      <c r="D313" s="72" t="s">
        <v>503</v>
      </c>
      <c r="E313" s="85">
        <v>7687847.3612699993</v>
      </c>
      <c r="F313" s="85" t="s">
        <v>254</v>
      </c>
      <c r="G313" s="85">
        <v>6930966.9269892164</v>
      </c>
      <c r="H313" s="85" t="s">
        <v>254</v>
      </c>
      <c r="I313" s="85">
        <v>756856.07937027863</v>
      </c>
      <c r="J313" s="85">
        <v>24.354910504079633</v>
      </c>
      <c r="K313" s="85" t="s">
        <v>254</v>
      </c>
      <c r="L313" s="85" t="s">
        <v>254</v>
      </c>
      <c r="M313" s="85">
        <v>24.354910504079633</v>
      </c>
      <c r="N313" s="85" t="s">
        <v>254</v>
      </c>
      <c r="O313" s="85">
        <v>0</v>
      </c>
      <c r="P313" s="85">
        <v>0</v>
      </c>
      <c r="Q313" s="85">
        <v>0</v>
      </c>
      <c r="R313" s="85"/>
      <c r="S313" s="86"/>
    </row>
    <row r="314" spans="1:19" ht="15">
      <c r="A314" s="70">
        <v>19</v>
      </c>
      <c r="B314" s="70"/>
      <c r="C314" s="72" t="s">
        <v>504</v>
      </c>
      <c r="D314" s="72" t="s">
        <v>505</v>
      </c>
      <c r="E314" s="85">
        <v>5893737.3342000004</v>
      </c>
      <c r="F314" s="85" t="s">
        <v>254</v>
      </c>
      <c r="G314" s="85">
        <v>5565811.8757996801</v>
      </c>
      <c r="H314" s="85" t="s">
        <v>254</v>
      </c>
      <c r="I314" s="85">
        <v>311566.8433768758</v>
      </c>
      <c r="J314" s="85">
        <v>16358.615023444005</v>
      </c>
      <c r="K314" s="85" t="s">
        <v>254</v>
      </c>
      <c r="L314" s="85" t="s">
        <v>254</v>
      </c>
      <c r="M314" s="85">
        <v>566.92733221281583</v>
      </c>
      <c r="N314" s="85" t="s">
        <v>254</v>
      </c>
      <c r="O314" s="85">
        <v>15791.687691231189</v>
      </c>
      <c r="P314" s="85">
        <v>13688.133791122978</v>
      </c>
      <c r="Q314" s="85">
        <v>2103.5539001082111</v>
      </c>
      <c r="R314" s="85"/>
      <c r="S314" s="86"/>
    </row>
    <row r="315" spans="1:19" ht="15">
      <c r="A315" s="70">
        <v>20</v>
      </c>
      <c r="B315" s="70"/>
      <c r="C315" s="72" t="s">
        <v>506</v>
      </c>
      <c r="D315" s="72" t="s">
        <v>471</v>
      </c>
      <c r="E315" s="85">
        <v>0</v>
      </c>
      <c r="F315" s="85" t="s">
        <v>254</v>
      </c>
      <c r="G315" s="85">
        <v>0</v>
      </c>
      <c r="H315" s="85" t="s">
        <v>254</v>
      </c>
      <c r="I315" s="85">
        <v>0</v>
      </c>
      <c r="J315" s="85">
        <v>0</v>
      </c>
      <c r="K315" s="85" t="s">
        <v>254</v>
      </c>
      <c r="L315" s="85" t="s">
        <v>254</v>
      </c>
      <c r="M315" s="85">
        <v>0</v>
      </c>
      <c r="N315" s="85" t="s">
        <v>254</v>
      </c>
      <c r="O315" s="85">
        <v>0</v>
      </c>
      <c r="P315" s="85">
        <v>0</v>
      </c>
      <c r="Q315" s="85">
        <v>0</v>
      </c>
      <c r="R315" s="85"/>
      <c r="S315" s="86"/>
    </row>
    <row r="316" spans="1:19" ht="15">
      <c r="A316" s="70">
        <v>21</v>
      </c>
      <c r="B316" s="70"/>
      <c r="C316" s="72" t="s">
        <v>507</v>
      </c>
      <c r="D316" s="72" t="s">
        <v>508</v>
      </c>
      <c r="E316" s="85">
        <v>10515071</v>
      </c>
      <c r="F316" s="85" t="s">
        <v>254</v>
      </c>
      <c r="G316" s="85">
        <v>9311508.7646286394</v>
      </c>
      <c r="H316" s="85" t="s">
        <v>254</v>
      </c>
      <c r="I316" s="85">
        <v>553833.14848392864</v>
      </c>
      <c r="J316" s="85">
        <v>649729.08688743284</v>
      </c>
      <c r="K316" s="85" t="s">
        <v>254</v>
      </c>
      <c r="L316" s="85" t="s">
        <v>254</v>
      </c>
      <c r="M316" s="85">
        <v>163.38461405824475</v>
      </c>
      <c r="N316" s="85" t="s">
        <v>254</v>
      </c>
      <c r="O316" s="85">
        <v>649565.70227337466</v>
      </c>
      <c r="P316" s="85">
        <v>203696.07318591306</v>
      </c>
      <c r="Q316" s="85">
        <v>445869.62908746162</v>
      </c>
      <c r="R316" s="85"/>
      <c r="S316" s="86"/>
    </row>
    <row r="317" spans="1:19" ht="15">
      <c r="A317" s="70">
        <v>22</v>
      </c>
      <c r="B317" s="70"/>
      <c r="C317" s="72" t="s">
        <v>509</v>
      </c>
      <c r="D317" s="72" t="s">
        <v>254</v>
      </c>
      <c r="E317" s="85">
        <v>54563930.000000007</v>
      </c>
      <c r="F317" s="85" t="s">
        <v>254</v>
      </c>
      <c r="G317" s="85">
        <v>48318505.165355854</v>
      </c>
      <c r="H317" s="85" t="s">
        <v>254</v>
      </c>
      <c r="I317" s="85">
        <v>2873904.8120128424</v>
      </c>
      <c r="J317" s="85">
        <v>3371520.0226313076</v>
      </c>
      <c r="K317" s="85" t="s">
        <v>254</v>
      </c>
      <c r="L317" s="85" t="s">
        <v>254</v>
      </c>
      <c r="M317" s="85">
        <v>847.82182113188605</v>
      </c>
      <c r="N317" s="85" t="s">
        <v>254</v>
      </c>
      <c r="O317" s="85">
        <v>3370672.2008101759</v>
      </c>
      <c r="P317" s="85">
        <v>1057002.6848692736</v>
      </c>
      <c r="Q317" s="85">
        <v>2313669.5159409023</v>
      </c>
      <c r="R317" s="85"/>
      <c r="S317" s="86"/>
    </row>
    <row r="318" spans="1:19" ht="15">
      <c r="A318" s="70">
        <v>23</v>
      </c>
      <c r="B318" s="70"/>
      <c r="C318" s="72" t="s">
        <v>510</v>
      </c>
      <c r="D318" s="72" t="s">
        <v>254</v>
      </c>
      <c r="E318" s="85">
        <v>135859435</v>
      </c>
      <c r="F318" s="85" t="s">
        <v>254</v>
      </c>
      <c r="G318" s="85">
        <v>119808343.75715747</v>
      </c>
      <c r="H318" s="85" t="s">
        <v>254</v>
      </c>
      <c r="I318" s="85">
        <v>5837550.1185571812</v>
      </c>
      <c r="J318" s="85">
        <v>10213541.124285351</v>
      </c>
      <c r="K318" s="85" t="s">
        <v>254</v>
      </c>
      <c r="L318" s="85" t="s">
        <v>254</v>
      </c>
      <c r="M318" s="85">
        <v>1192.5880444005293</v>
      </c>
      <c r="N318" s="85" t="s">
        <v>254</v>
      </c>
      <c r="O318" s="85">
        <v>10212348.53624095</v>
      </c>
      <c r="P318" s="85">
        <v>3219064.1567536974</v>
      </c>
      <c r="Q318" s="85">
        <v>6993284.3794872519</v>
      </c>
      <c r="R318" s="85"/>
      <c r="S318" s="86"/>
    </row>
    <row r="319" spans="1:19" ht="15">
      <c r="A319" s="70" t="s">
        <v>254</v>
      </c>
      <c r="B319" s="70"/>
      <c r="C319" s="72" t="s">
        <v>254</v>
      </c>
      <c r="D319" s="72" t="s">
        <v>254</v>
      </c>
      <c r="E319" s="85" t="s">
        <v>254</v>
      </c>
      <c r="F319" s="85" t="s">
        <v>254</v>
      </c>
      <c r="G319" s="85" t="s">
        <v>254</v>
      </c>
      <c r="H319" s="85" t="s">
        <v>254</v>
      </c>
      <c r="I319" s="85" t="s">
        <v>254</v>
      </c>
      <c r="J319" s="85" t="s">
        <v>254</v>
      </c>
      <c r="K319" s="85" t="s">
        <v>254</v>
      </c>
      <c r="L319" s="85" t="s">
        <v>254</v>
      </c>
      <c r="M319" s="85" t="s">
        <v>254</v>
      </c>
      <c r="N319" s="85" t="s">
        <v>254</v>
      </c>
      <c r="O319" s="85" t="s">
        <v>254</v>
      </c>
      <c r="P319" s="85" t="s">
        <v>254</v>
      </c>
      <c r="Q319" s="85" t="s">
        <v>254</v>
      </c>
      <c r="R319" s="85"/>
      <c r="S319" s="86"/>
    </row>
    <row r="320" spans="1:19" ht="15">
      <c r="A320" s="70" t="s">
        <v>254</v>
      </c>
      <c r="B320" s="70"/>
      <c r="C320" s="72" t="s">
        <v>511</v>
      </c>
      <c r="D320" s="72" t="s">
        <v>254</v>
      </c>
      <c r="E320" s="85" t="s">
        <v>254</v>
      </c>
      <c r="F320" s="85" t="s">
        <v>254</v>
      </c>
      <c r="G320" s="85" t="s">
        <v>254</v>
      </c>
      <c r="H320" s="85" t="s">
        <v>254</v>
      </c>
      <c r="I320" s="85" t="s">
        <v>254</v>
      </c>
      <c r="J320" s="85" t="s">
        <v>254</v>
      </c>
      <c r="K320" s="85" t="s">
        <v>254</v>
      </c>
      <c r="L320" s="85" t="s">
        <v>254</v>
      </c>
      <c r="M320" s="85" t="s">
        <v>254</v>
      </c>
      <c r="N320" s="85" t="s">
        <v>254</v>
      </c>
      <c r="O320" s="85" t="s">
        <v>254</v>
      </c>
      <c r="P320" s="85" t="s">
        <v>254</v>
      </c>
      <c r="Q320" s="85" t="s">
        <v>254</v>
      </c>
      <c r="R320" s="85"/>
      <c r="S320" s="86"/>
    </row>
    <row r="321" spans="1:19" ht="15">
      <c r="A321" s="70">
        <v>24</v>
      </c>
      <c r="B321" s="70"/>
      <c r="C321" s="72" t="s">
        <v>512</v>
      </c>
      <c r="D321" s="72" t="s">
        <v>513</v>
      </c>
      <c r="E321" s="85">
        <v>17200529.232544325</v>
      </c>
      <c r="F321" s="85" t="s">
        <v>254</v>
      </c>
      <c r="G321" s="85">
        <v>16171253.692540465</v>
      </c>
      <c r="H321" s="85" t="s">
        <v>254</v>
      </c>
      <c r="I321" s="85">
        <v>0</v>
      </c>
      <c r="J321" s="85">
        <v>1029275.54000386</v>
      </c>
      <c r="K321" s="85" t="s">
        <v>254</v>
      </c>
      <c r="L321" s="85" t="s">
        <v>254</v>
      </c>
      <c r="M321" s="85">
        <v>397.64992682159539</v>
      </c>
      <c r="N321" s="85" t="s">
        <v>254</v>
      </c>
      <c r="O321" s="85">
        <v>1028877.8900770384</v>
      </c>
      <c r="P321" s="85">
        <v>325765.86694087385</v>
      </c>
      <c r="Q321" s="85">
        <v>703112.02313616464</v>
      </c>
      <c r="R321" s="85"/>
      <c r="S321" s="86"/>
    </row>
    <row r="322" spans="1:19" ht="15">
      <c r="A322" s="70">
        <v>25</v>
      </c>
      <c r="B322" s="70"/>
      <c r="C322" s="72" t="s">
        <v>514</v>
      </c>
      <c r="D322" s="72" t="s">
        <v>515</v>
      </c>
      <c r="E322" s="85">
        <v>0</v>
      </c>
      <c r="F322" s="85" t="s">
        <v>254</v>
      </c>
      <c r="G322" s="85">
        <v>0</v>
      </c>
      <c r="H322" s="85" t="s">
        <v>254</v>
      </c>
      <c r="I322" s="85">
        <v>0</v>
      </c>
      <c r="J322" s="85">
        <v>0</v>
      </c>
      <c r="K322" s="85" t="s">
        <v>254</v>
      </c>
      <c r="L322" s="85" t="s">
        <v>254</v>
      </c>
      <c r="M322" s="85">
        <v>0</v>
      </c>
      <c r="N322" s="85" t="s">
        <v>254</v>
      </c>
      <c r="O322" s="85">
        <v>0</v>
      </c>
      <c r="P322" s="85">
        <v>0</v>
      </c>
      <c r="Q322" s="85">
        <v>0</v>
      </c>
      <c r="R322" s="85"/>
      <c r="S322" s="86"/>
    </row>
    <row r="323" spans="1:19" ht="15">
      <c r="A323" s="70">
        <v>26</v>
      </c>
      <c r="B323" s="70"/>
      <c r="C323" s="72" t="s">
        <v>516</v>
      </c>
      <c r="D323" s="72" t="s">
        <v>254</v>
      </c>
      <c r="E323" s="85">
        <v>17200529.232544325</v>
      </c>
      <c r="F323" s="85" t="s">
        <v>254</v>
      </c>
      <c r="G323" s="85">
        <v>16171253.692540465</v>
      </c>
      <c r="H323" s="85" t="s">
        <v>254</v>
      </c>
      <c r="I323" s="85">
        <v>0</v>
      </c>
      <c r="J323" s="85">
        <v>1029275.54000386</v>
      </c>
      <c r="K323" s="85" t="s">
        <v>254</v>
      </c>
      <c r="L323" s="85" t="s">
        <v>254</v>
      </c>
      <c r="M323" s="85">
        <v>397.64992682159539</v>
      </c>
      <c r="N323" s="85" t="s">
        <v>254</v>
      </c>
      <c r="O323" s="85">
        <v>1028877.8900770384</v>
      </c>
      <c r="P323" s="85">
        <v>325765.86694087385</v>
      </c>
      <c r="Q323" s="85">
        <v>703112.02313616464</v>
      </c>
      <c r="R323" s="85"/>
      <c r="S323" s="86"/>
    </row>
    <row r="324" spans="1:19" ht="15">
      <c r="A324" s="70" t="s">
        <v>254</v>
      </c>
      <c r="B324" s="70"/>
      <c r="C324" s="72" t="s">
        <v>254</v>
      </c>
      <c r="D324" s="72" t="s">
        <v>254</v>
      </c>
      <c r="E324" s="85" t="s">
        <v>254</v>
      </c>
      <c r="F324" s="85" t="s">
        <v>254</v>
      </c>
      <c r="G324" s="85" t="s">
        <v>254</v>
      </c>
      <c r="H324" s="85" t="s">
        <v>254</v>
      </c>
      <c r="I324" s="85" t="s">
        <v>254</v>
      </c>
      <c r="J324" s="85" t="s">
        <v>254</v>
      </c>
      <c r="K324" s="85" t="s">
        <v>254</v>
      </c>
      <c r="L324" s="85" t="s">
        <v>254</v>
      </c>
      <c r="M324" s="85" t="s">
        <v>254</v>
      </c>
      <c r="N324" s="85" t="s">
        <v>254</v>
      </c>
      <c r="O324" s="85" t="s">
        <v>254</v>
      </c>
      <c r="P324" s="85" t="s">
        <v>254</v>
      </c>
      <c r="Q324" s="85" t="s">
        <v>254</v>
      </c>
      <c r="R324" s="85"/>
      <c r="S324" s="86"/>
    </row>
    <row r="325" spans="1:19" ht="15">
      <c r="A325" s="70">
        <v>27</v>
      </c>
      <c r="B325" s="70"/>
      <c r="C325" s="72" t="s">
        <v>517</v>
      </c>
      <c r="D325" s="72" t="s">
        <v>254</v>
      </c>
      <c r="E325" s="85">
        <v>117152089.92994511</v>
      </c>
      <c r="F325" s="85" t="s">
        <v>254</v>
      </c>
      <c r="G325" s="85">
        <v>109010034.9523263</v>
      </c>
      <c r="H325" s="85" t="s">
        <v>254</v>
      </c>
      <c r="I325" s="85">
        <v>0</v>
      </c>
      <c r="J325" s="85">
        <v>8142054.977618807</v>
      </c>
      <c r="K325" s="85" t="s">
        <v>254</v>
      </c>
      <c r="L325" s="85" t="s">
        <v>254</v>
      </c>
      <c r="M325" s="85">
        <v>1573.8497888452835</v>
      </c>
      <c r="N325" s="85" t="s">
        <v>254</v>
      </c>
      <c r="O325" s="85">
        <v>8140481.1278299615</v>
      </c>
      <c r="P325" s="85">
        <v>2575361.6330649611</v>
      </c>
      <c r="Q325" s="85">
        <v>5565119.4947650004</v>
      </c>
      <c r="R325" s="85"/>
      <c r="S325" s="86"/>
    </row>
    <row r="326" spans="1:19" ht="15">
      <c r="A326" s="70" t="s">
        <v>254</v>
      </c>
      <c r="B326" s="70"/>
      <c r="C326" s="72" t="s">
        <v>254</v>
      </c>
      <c r="D326" s="72" t="s">
        <v>254</v>
      </c>
      <c r="E326" s="85" t="s">
        <v>254</v>
      </c>
      <c r="F326" s="85" t="s">
        <v>254</v>
      </c>
      <c r="G326" s="85" t="s">
        <v>254</v>
      </c>
      <c r="H326" s="85" t="s">
        <v>254</v>
      </c>
      <c r="I326" s="85" t="s">
        <v>254</v>
      </c>
      <c r="J326" s="85" t="s">
        <v>254</v>
      </c>
      <c r="K326" s="85" t="s">
        <v>254</v>
      </c>
      <c r="L326" s="85" t="s">
        <v>254</v>
      </c>
      <c r="M326" s="85" t="s">
        <v>254</v>
      </c>
      <c r="N326" s="85" t="s">
        <v>254</v>
      </c>
      <c r="O326" s="85" t="s">
        <v>254</v>
      </c>
      <c r="P326" s="85" t="s">
        <v>254</v>
      </c>
      <c r="Q326" s="85" t="s">
        <v>254</v>
      </c>
      <c r="R326" s="85"/>
      <c r="S326" s="86"/>
    </row>
    <row r="327" spans="1:19" ht="15">
      <c r="A327" s="70">
        <v>28</v>
      </c>
      <c r="B327" s="70"/>
      <c r="C327" s="72" t="s">
        <v>518</v>
      </c>
      <c r="D327" s="72" t="s">
        <v>254</v>
      </c>
      <c r="E327" s="85">
        <v>270212054.16248941</v>
      </c>
      <c r="F327" s="85" t="s">
        <v>254</v>
      </c>
      <c r="G327" s="85">
        <v>244989632.40202424</v>
      </c>
      <c r="H327" s="85" t="s">
        <v>254</v>
      </c>
      <c r="I327" s="85">
        <v>5837550.1185571812</v>
      </c>
      <c r="J327" s="85">
        <v>19384871.64190802</v>
      </c>
      <c r="K327" s="85" t="s">
        <v>254</v>
      </c>
      <c r="L327" s="85" t="s">
        <v>254</v>
      </c>
      <c r="M327" s="85">
        <v>3164.087760067408</v>
      </c>
      <c r="N327" s="85" t="s">
        <v>254</v>
      </c>
      <c r="O327" s="85">
        <v>19381707.554147951</v>
      </c>
      <c r="P327" s="85">
        <v>6120191.6567595322</v>
      </c>
      <c r="Q327" s="85">
        <v>13261515.897388417</v>
      </c>
      <c r="R327" s="85"/>
      <c r="S327" s="86"/>
    </row>
    <row r="328" spans="1:19" ht="15">
      <c r="A328" s="70" t="s">
        <v>254</v>
      </c>
      <c r="B328" s="70"/>
      <c r="C328" s="72" t="s">
        <v>254</v>
      </c>
      <c r="D328" s="72" t="s">
        <v>254</v>
      </c>
      <c r="E328" s="85" t="s">
        <v>254</v>
      </c>
      <c r="F328" s="85" t="s">
        <v>254</v>
      </c>
      <c r="G328" s="85" t="s">
        <v>254</v>
      </c>
      <c r="H328" s="85" t="s">
        <v>254</v>
      </c>
      <c r="I328" s="85" t="s">
        <v>254</v>
      </c>
      <c r="J328" s="85" t="s">
        <v>254</v>
      </c>
      <c r="K328" s="85" t="s">
        <v>254</v>
      </c>
      <c r="L328" s="85" t="s">
        <v>254</v>
      </c>
      <c r="M328" s="85" t="s">
        <v>254</v>
      </c>
      <c r="N328" s="85" t="s">
        <v>254</v>
      </c>
      <c r="O328" s="85" t="s">
        <v>254</v>
      </c>
      <c r="P328" s="85" t="s">
        <v>254</v>
      </c>
      <c r="Q328" s="85" t="s">
        <v>254</v>
      </c>
      <c r="R328" s="85"/>
      <c r="S328" s="86"/>
    </row>
    <row r="329" spans="1:19" ht="15">
      <c r="A329" s="70">
        <v>29</v>
      </c>
      <c r="B329" s="70"/>
      <c r="C329" s="72" t="s">
        <v>519</v>
      </c>
      <c r="D329" s="72" t="s">
        <v>307</v>
      </c>
      <c r="E329" s="85">
        <v>136560</v>
      </c>
      <c r="F329" s="85" t="s">
        <v>254</v>
      </c>
      <c r="G329" s="85">
        <v>119596.14230648502</v>
      </c>
      <c r="H329" s="85" t="s">
        <v>254</v>
      </c>
      <c r="I329" s="85">
        <v>5526.9644748555429</v>
      </c>
      <c r="J329" s="85">
        <v>11436.893218659443</v>
      </c>
      <c r="K329" s="85" t="s">
        <v>254</v>
      </c>
      <c r="L329" s="85" t="s">
        <v>254</v>
      </c>
      <c r="M329" s="85">
        <v>0.4202520908252122</v>
      </c>
      <c r="N329" s="85" t="s">
        <v>254</v>
      </c>
      <c r="O329" s="85">
        <v>11436.472966568617</v>
      </c>
      <c r="P329" s="85">
        <v>3549.4109543742125</v>
      </c>
      <c r="Q329" s="85">
        <v>7887.0620121944048</v>
      </c>
      <c r="R329" s="85"/>
      <c r="S329" s="86"/>
    </row>
    <row r="330" spans="1:19" ht="15">
      <c r="A330" s="70" t="s">
        <v>254</v>
      </c>
      <c r="B330" s="70"/>
      <c r="C330" s="72" t="s">
        <v>254</v>
      </c>
      <c r="D330" s="72" t="s">
        <v>254</v>
      </c>
      <c r="E330" s="85" t="s">
        <v>254</v>
      </c>
      <c r="F330" s="85" t="s">
        <v>254</v>
      </c>
      <c r="G330" s="85" t="s">
        <v>254</v>
      </c>
      <c r="H330" s="85" t="s">
        <v>254</v>
      </c>
      <c r="I330" s="85" t="s">
        <v>254</v>
      </c>
      <c r="J330" s="85" t="s">
        <v>254</v>
      </c>
      <c r="K330" s="85" t="s">
        <v>254</v>
      </c>
      <c r="L330" s="85" t="s">
        <v>254</v>
      </c>
      <c r="M330" s="85" t="s">
        <v>254</v>
      </c>
      <c r="N330" s="85" t="s">
        <v>254</v>
      </c>
      <c r="O330" s="85" t="s">
        <v>254</v>
      </c>
      <c r="P330" s="85" t="s">
        <v>254</v>
      </c>
      <c r="Q330" s="85" t="s">
        <v>254</v>
      </c>
      <c r="R330" s="85"/>
      <c r="S330" s="86"/>
    </row>
    <row r="331" spans="1:19" ht="15">
      <c r="A331" s="70">
        <v>30</v>
      </c>
      <c r="B331" s="70"/>
      <c r="C331" s="72" t="s">
        <v>520</v>
      </c>
      <c r="D331" s="72" t="s">
        <v>254</v>
      </c>
      <c r="E331" s="85">
        <v>581032788.75095081</v>
      </c>
      <c r="F331" s="85" t="s">
        <v>254</v>
      </c>
      <c r="G331" s="85">
        <v>524717457.32523811</v>
      </c>
      <c r="H331" s="85" t="s">
        <v>254</v>
      </c>
      <c r="I331" s="85">
        <v>17423711.606178336</v>
      </c>
      <c r="J331" s="85">
        <v>38891619.819534436</v>
      </c>
      <c r="K331" s="85" t="s">
        <v>254</v>
      </c>
      <c r="L331" s="85" t="s">
        <v>254</v>
      </c>
      <c r="M331" s="85">
        <v>4580.8491196458417</v>
      </c>
      <c r="N331" s="85" t="s">
        <v>254</v>
      </c>
      <c r="O331" s="85">
        <v>38887038.970414788</v>
      </c>
      <c r="P331" s="85">
        <v>12186413.272902148</v>
      </c>
      <c r="Q331" s="85">
        <v>26700625.697512642</v>
      </c>
      <c r="R331" s="85"/>
      <c r="S331" s="86"/>
    </row>
    <row r="332" spans="1:19" ht="15">
      <c r="A332" s="70" t="s">
        <v>254</v>
      </c>
      <c r="B332" s="70"/>
      <c r="C332" s="72" t="s">
        <v>254</v>
      </c>
      <c r="D332" s="72" t="s">
        <v>254</v>
      </c>
      <c r="E332" s="85" t="s">
        <v>254</v>
      </c>
      <c r="F332" s="85" t="s">
        <v>254</v>
      </c>
      <c r="G332" s="85" t="s">
        <v>254</v>
      </c>
      <c r="H332" s="85" t="s">
        <v>254</v>
      </c>
      <c r="I332" s="85" t="s">
        <v>254</v>
      </c>
      <c r="J332" s="85" t="s">
        <v>254</v>
      </c>
      <c r="K332" s="85" t="s">
        <v>254</v>
      </c>
      <c r="L332" s="85" t="s">
        <v>254</v>
      </c>
      <c r="M332" s="85" t="s">
        <v>254</v>
      </c>
      <c r="N332" s="85" t="s">
        <v>254</v>
      </c>
      <c r="O332" s="85" t="s">
        <v>254</v>
      </c>
      <c r="P332" s="85" t="s">
        <v>254</v>
      </c>
      <c r="Q332" s="85" t="s">
        <v>254</v>
      </c>
      <c r="R332" s="85"/>
      <c r="S332" s="86"/>
    </row>
    <row r="333" spans="1:19" ht="15">
      <c r="A333" s="70" t="s">
        <v>254</v>
      </c>
      <c r="B333" s="70"/>
      <c r="C333" s="72" t="s">
        <v>254</v>
      </c>
      <c r="D333" s="72" t="s">
        <v>254</v>
      </c>
      <c r="E333" s="85" t="s">
        <v>254</v>
      </c>
      <c r="F333" s="85" t="s">
        <v>254</v>
      </c>
      <c r="G333" s="85" t="s">
        <v>254</v>
      </c>
      <c r="H333" s="85" t="s">
        <v>254</v>
      </c>
      <c r="I333" s="85" t="s">
        <v>254</v>
      </c>
      <c r="J333" s="85" t="s">
        <v>254</v>
      </c>
      <c r="K333" s="85" t="s">
        <v>254</v>
      </c>
      <c r="L333" s="85" t="s">
        <v>254</v>
      </c>
      <c r="M333" s="85" t="s">
        <v>254</v>
      </c>
      <c r="N333" s="85" t="s">
        <v>254</v>
      </c>
      <c r="O333" s="85" t="s">
        <v>254</v>
      </c>
      <c r="P333" s="85" t="s">
        <v>254</v>
      </c>
      <c r="Q333" s="85" t="s">
        <v>254</v>
      </c>
      <c r="R333" s="85"/>
      <c r="S333" s="86"/>
    </row>
    <row r="334" spans="1:19" ht="15">
      <c r="A334" s="70" t="s">
        <v>254</v>
      </c>
      <c r="B334" s="70"/>
      <c r="C334" s="72" t="s">
        <v>521</v>
      </c>
      <c r="D334" s="72" t="s">
        <v>254</v>
      </c>
      <c r="E334" s="85" t="s">
        <v>254</v>
      </c>
      <c r="F334" s="85" t="s">
        <v>254</v>
      </c>
      <c r="G334" s="85" t="s">
        <v>254</v>
      </c>
      <c r="H334" s="85" t="s">
        <v>254</v>
      </c>
      <c r="I334" s="85" t="s">
        <v>254</v>
      </c>
      <c r="J334" s="85" t="s">
        <v>254</v>
      </c>
      <c r="K334" s="85" t="s">
        <v>254</v>
      </c>
      <c r="L334" s="85" t="s">
        <v>254</v>
      </c>
      <c r="M334" s="85" t="s">
        <v>254</v>
      </c>
      <c r="N334" s="85" t="s">
        <v>254</v>
      </c>
      <c r="O334" s="85" t="s">
        <v>254</v>
      </c>
      <c r="P334" s="85" t="s">
        <v>254</v>
      </c>
      <c r="Q334" s="85" t="s">
        <v>254</v>
      </c>
      <c r="R334" s="85"/>
      <c r="S334" s="86"/>
    </row>
    <row r="335" spans="1:19" ht="15">
      <c r="A335" s="70" t="s">
        <v>254</v>
      </c>
      <c r="B335" s="70"/>
      <c r="C335" s="72" t="s">
        <v>254</v>
      </c>
      <c r="D335" s="72" t="s">
        <v>254</v>
      </c>
      <c r="E335" s="85" t="s">
        <v>254</v>
      </c>
      <c r="F335" s="85" t="s">
        <v>254</v>
      </c>
      <c r="G335" s="85" t="s">
        <v>254</v>
      </c>
      <c r="H335" s="85" t="s">
        <v>254</v>
      </c>
      <c r="I335" s="85" t="s">
        <v>254</v>
      </c>
      <c r="J335" s="85" t="s">
        <v>254</v>
      </c>
      <c r="K335" s="85" t="s">
        <v>254</v>
      </c>
      <c r="L335" s="85" t="s">
        <v>254</v>
      </c>
      <c r="M335" s="85" t="s">
        <v>254</v>
      </c>
      <c r="N335" s="85" t="s">
        <v>254</v>
      </c>
      <c r="O335" s="85" t="s">
        <v>254</v>
      </c>
      <c r="P335" s="85" t="s">
        <v>254</v>
      </c>
      <c r="Q335" s="85" t="s">
        <v>254</v>
      </c>
      <c r="R335" s="85"/>
      <c r="S335" s="86"/>
    </row>
    <row r="336" spans="1:19" ht="15">
      <c r="A336" s="70" t="s">
        <v>254</v>
      </c>
      <c r="B336" s="70"/>
      <c r="C336" s="72" t="s">
        <v>522</v>
      </c>
      <c r="D336" s="72" t="s">
        <v>254</v>
      </c>
      <c r="E336" s="85" t="s">
        <v>254</v>
      </c>
      <c r="F336" s="85" t="s">
        <v>254</v>
      </c>
      <c r="G336" s="85" t="s">
        <v>254</v>
      </c>
      <c r="H336" s="85" t="s">
        <v>254</v>
      </c>
      <c r="I336" s="85" t="s">
        <v>254</v>
      </c>
      <c r="J336" s="85" t="s">
        <v>254</v>
      </c>
      <c r="K336" s="85" t="s">
        <v>254</v>
      </c>
      <c r="L336" s="85" t="s">
        <v>254</v>
      </c>
      <c r="M336" s="85" t="s">
        <v>254</v>
      </c>
      <c r="N336" s="85" t="s">
        <v>254</v>
      </c>
      <c r="O336" s="85" t="s">
        <v>254</v>
      </c>
      <c r="P336" s="85" t="s">
        <v>254</v>
      </c>
      <c r="Q336" s="85" t="s">
        <v>254</v>
      </c>
      <c r="R336" s="85"/>
      <c r="S336" s="86"/>
    </row>
    <row r="337" spans="1:19" ht="15">
      <c r="A337" s="70" t="s">
        <v>254</v>
      </c>
      <c r="B337" s="70"/>
      <c r="C337" s="72" t="s">
        <v>254</v>
      </c>
      <c r="D337" s="72" t="s">
        <v>254</v>
      </c>
      <c r="E337" s="85" t="s">
        <v>254</v>
      </c>
      <c r="F337" s="85" t="s">
        <v>254</v>
      </c>
      <c r="G337" s="85" t="s">
        <v>254</v>
      </c>
      <c r="H337" s="85" t="s">
        <v>254</v>
      </c>
      <c r="I337" s="85" t="s">
        <v>254</v>
      </c>
      <c r="J337" s="85" t="s">
        <v>254</v>
      </c>
      <c r="K337" s="85" t="s">
        <v>254</v>
      </c>
      <c r="L337" s="85" t="s">
        <v>254</v>
      </c>
      <c r="M337" s="85" t="s">
        <v>254</v>
      </c>
      <c r="N337" s="85" t="s">
        <v>254</v>
      </c>
      <c r="O337" s="85" t="s">
        <v>254</v>
      </c>
      <c r="P337" s="85" t="s">
        <v>254</v>
      </c>
      <c r="Q337" s="85" t="s">
        <v>254</v>
      </c>
      <c r="R337" s="85"/>
      <c r="S337" s="86"/>
    </row>
    <row r="338" spans="1:19" ht="15">
      <c r="A338" s="70" t="s">
        <v>254</v>
      </c>
      <c r="B338" s="70"/>
      <c r="C338" s="72" t="s">
        <v>444</v>
      </c>
      <c r="D338" s="72" t="s">
        <v>254</v>
      </c>
      <c r="E338" s="85" t="s">
        <v>254</v>
      </c>
      <c r="F338" s="85" t="s">
        <v>254</v>
      </c>
      <c r="G338" s="85" t="s">
        <v>254</v>
      </c>
      <c r="H338" s="85" t="s">
        <v>254</v>
      </c>
      <c r="I338" s="85" t="s">
        <v>254</v>
      </c>
      <c r="J338" s="85" t="s">
        <v>254</v>
      </c>
      <c r="K338" s="85" t="s">
        <v>254</v>
      </c>
      <c r="L338" s="85" t="s">
        <v>254</v>
      </c>
      <c r="M338" s="85" t="s">
        <v>254</v>
      </c>
      <c r="N338" s="85" t="s">
        <v>254</v>
      </c>
      <c r="O338" s="85" t="s">
        <v>254</v>
      </c>
      <c r="P338" s="85" t="s">
        <v>254</v>
      </c>
      <c r="Q338" s="85" t="s">
        <v>254</v>
      </c>
      <c r="R338" s="85"/>
      <c r="S338" s="86"/>
    </row>
    <row r="339" spans="1:19" ht="15">
      <c r="A339" s="70">
        <v>1</v>
      </c>
      <c r="B339" s="70"/>
      <c r="C339" s="72" t="s">
        <v>480</v>
      </c>
      <c r="D339" s="72" t="s">
        <v>481</v>
      </c>
      <c r="E339" s="85">
        <v>882752981</v>
      </c>
      <c r="F339" s="85" t="s">
        <v>254</v>
      </c>
      <c r="G339" s="85">
        <v>773094984.89418471</v>
      </c>
      <c r="H339" s="85" t="s">
        <v>254</v>
      </c>
      <c r="I339" s="85">
        <v>35727477.783097751</v>
      </c>
      <c r="J339" s="85">
        <v>73930518.322717533</v>
      </c>
      <c r="K339" s="85" t="s">
        <v>254</v>
      </c>
      <c r="L339" s="85" t="s">
        <v>254</v>
      </c>
      <c r="M339" s="85">
        <v>2716.5991941083685</v>
      </c>
      <c r="N339" s="85" t="s">
        <v>254</v>
      </c>
      <c r="O339" s="85">
        <v>73927801.723523423</v>
      </c>
      <c r="P339" s="85">
        <v>22944149.829876181</v>
      </c>
      <c r="Q339" s="85">
        <v>50983651.893647239</v>
      </c>
      <c r="R339" s="85"/>
      <c r="S339" s="86"/>
    </row>
    <row r="340" spans="1:19" ht="15">
      <c r="A340" s="70">
        <v>2</v>
      </c>
      <c r="B340" s="70"/>
      <c r="C340" s="72" t="s">
        <v>482</v>
      </c>
      <c r="D340" s="72" t="s">
        <v>315</v>
      </c>
      <c r="E340" s="85">
        <v>18774</v>
      </c>
      <c r="F340" s="85" t="s">
        <v>254</v>
      </c>
      <c r="G340" s="85">
        <v>0</v>
      </c>
      <c r="H340" s="85" t="s">
        <v>254</v>
      </c>
      <c r="I340" s="85">
        <v>6116.8752742030656</v>
      </c>
      <c r="J340" s="85">
        <v>12657.124725796933</v>
      </c>
      <c r="K340" s="85" t="s">
        <v>254</v>
      </c>
      <c r="L340" s="85" t="s">
        <v>254</v>
      </c>
      <c r="M340" s="85">
        <v>0</v>
      </c>
      <c r="N340" s="85" t="s">
        <v>254</v>
      </c>
      <c r="O340" s="85">
        <v>12657.124725796933</v>
      </c>
      <c r="P340" s="85">
        <v>3928.2510686599971</v>
      </c>
      <c r="Q340" s="85">
        <v>8728.8736571369373</v>
      </c>
      <c r="R340" s="85"/>
      <c r="S340" s="86"/>
    </row>
    <row r="341" spans="1:19" ht="15">
      <c r="A341" s="70">
        <v>3</v>
      </c>
      <c r="B341" s="70"/>
      <c r="C341" s="72" t="s">
        <v>483</v>
      </c>
      <c r="D341" s="72" t="s">
        <v>317</v>
      </c>
      <c r="E341" s="85">
        <v>1731675</v>
      </c>
      <c r="F341" s="85" t="s">
        <v>254</v>
      </c>
      <c r="G341" s="85">
        <v>0</v>
      </c>
      <c r="H341" s="85" t="s">
        <v>254</v>
      </c>
      <c r="I341" s="85">
        <v>0</v>
      </c>
      <c r="J341" s="85">
        <v>1731675</v>
      </c>
      <c r="K341" s="85" t="s">
        <v>254</v>
      </c>
      <c r="L341" s="85" t="s">
        <v>254</v>
      </c>
      <c r="M341" s="85">
        <v>0</v>
      </c>
      <c r="N341" s="85" t="s">
        <v>254</v>
      </c>
      <c r="O341" s="85">
        <v>1731675</v>
      </c>
      <c r="P341" s="85">
        <v>537440.71554082714</v>
      </c>
      <c r="Q341" s="85">
        <v>1194234.2844591727</v>
      </c>
      <c r="R341" s="85"/>
      <c r="S341" s="86"/>
    </row>
    <row r="342" spans="1:19" ht="15">
      <c r="A342" s="70">
        <v>4</v>
      </c>
      <c r="B342" s="70"/>
      <c r="C342" s="72" t="s">
        <v>484</v>
      </c>
      <c r="D342" s="72" t="s">
        <v>254</v>
      </c>
      <c r="E342" s="85">
        <v>884503430</v>
      </c>
      <c r="F342" s="85" t="s">
        <v>254</v>
      </c>
      <c r="G342" s="85">
        <v>773094984.89418471</v>
      </c>
      <c r="H342" s="85" t="s">
        <v>254</v>
      </c>
      <c r="I342" s="85">
        <v>35733594.658371955</v>
      </c>
      <c r="J342" s="85">
        <v>75674850.447443321</v>
      </c>
      <c r="K342" s="85" t="s">
        <v>254</v>
      </c>
      <c r="L342" s="85" t="s">
        <v>254</v>
      </c>
      <c r="M342" s="85">
        <v>2716.5991941083685</v>
      </c>
      <c r="N342" s="85" t="s">
        <v>254</v>
      </c>
      <c r="O342" s="85">
        <v>75672133.848249212</v>
      </c>
      <c r="P342" s="85">
        <v>23485518.796485666</v>
      </c>
      <c r="Q342" s="85">
        <v>52186615.051763549</v>
      </c>
      <c r="R342" s="85"/>
      <c r="S342" s="86"/>
    </row>
    <row r="343" spans="1:19" ht="15">
      <c r="A343" s="70" t="s">
        <v>254</v>
      </c>
      <c r="B343" s="70"/>
      <c r="C343" s="72" t="s">
        <v>254</v>
      </c>
      <c r="D343" s="72" t="s">
        <v>254</v>
      </c>
      <c r="E343" s="85" t="s">
        <v>254</v>
      </c>
      <c r="F343" s="85" t="s">
        <v>254</v>
      </c>
      <c r="G343" s="85" t="s">
        <v>254</v>
      </c>
      <c r="H343" s="85" t="s">
        <v>254</v>
      </c>
      <c r="I343" s="85" t="s">
        <v>254</v>
      </c>
      <c r="J343" s="85" t="s">
        <v>254</v>
      </c>
      <c r="K343" s="85" t="s">
        <v>254</v>
      </c>
      <c r="L343" s="85" t="s">
        <v>254</v>
      </c>
      <c r="M343" s="85" t="s">
        <v>254</v>
      </c>
      <c r="N343" s="85" t="s">
        <v>254</v>
      </c>
      <c r="O343" s="85" t="s">
        <v>254</v>
      </c>
      <c r="P343" s="85" t="s">
        <v>254</v>
      </c>
      <c r="Q343" s="85" t="s">
        <v>254</v>
      </c>
      <c r="R343" s="85"/>
      <c r="S343" s="86"/>
    </row>
    <row r="344" spans="1:19" ht="15">
      <c r="A344" s="70" t="s">
        <v>254</v>
      </c>
      <c r="B344" s="70"/>
      <c r="C344" s="72" t="s">
        <v>458</v>
      </c>
      <c r="D344" s="72" t="s">
        <v>254</v>
      </c>
      <c r="E344" s="85" t="s">
        <v>254</v>
      </c>
      <c r="F344" s="85" t="s">
        <v>254</v>
      </c>
      <c r="G344" s="85" t="s">
        <v>254</v>
      </c>
      <c r="H344" s="85" t="s">
        <v>254</v>
      </c>
      <c r="I344" s="85" t="s">
        <v>254</v>
      </c>
      <c r="J344" s="85" t="s">
        <v>254</v>
      </c>
      <c r="K344" s="85" t="s">
        <v>254</v>
      </c>
      <c r="L344" s="85" t="s">
        <v>254</v>
      </c>
      <c r="M344" s="85" t="s">
        <v>254</v>
      </c>
      <c r="N344" s="85" t="s">
        <v>254</v>
      </c>
      <c r="O344" s="85" t="s">
        <v>254</v>
      </c>
      <c r="P344" s="85" t="s">
        <v>254</v>
      </c>
      <c r="Q344" s="85" t="s">
        <v>254</v>
      </c>
      <c r="R344" s="85"/>
      <c r="S344" s="86"/>
    </row>
    <row r="345" spans="1:19" ht="15">
      <c r="A345" s="70">
        <v>5</v>
      </c>
      <c r="B345" s="70"/>
      <c r="C345" s="72" t="s">
        <v>459</v>
      </c>
      <c r="D345" s="72" t="s">
        <v>460</v>
      </c>
      <c r="E345" s="85">
        <v>135119709</v>
      </c>
      <c r="F345" s="85" t="s">
        <v>254</v>
      </c>
      <c r="G345" s="85">
        <v>129006122.07581487</v>
      </c>
      <c r="H345" s="85" t="s">
        <v>254</v>
      </c>
      <c r="I345" s="85">
        <v>6113133.6061141128</v>
      </c>
      <c r="J345" s="85">
        <v>453.31807101836586</v>
      </c>
      <c r="K345" s="85" t="s">
        <v>254</v>
      </c>
      <c r="L345" s="85" t="s">
        <v>254</v>
      </c>
      <c r="M345" s="85">
        <v>453.31807101836586</v>
      </c>
      <c r="N345" s="85" t="s">
        <v>254</v>
      </c>
      <c r="O345" s="85">
        <v>0</v>
      </c>
      <c r="P345" s="85">
        <v>0</v>
      </c>
      <c r="Q345" s="85">
        <v>0</v>
      </c>
      <c r="R345" s="85"/>
      <c r="S345" s="86"/>
    </row>
    <row r="346" spans="1:19" ht="15">
      <c r="A346" s="70">
        <v>6</v>
      </c>
      <c r="B346" s="70"/>
      <c r="C346" s="72" t="s">
        <v>523</v>
      </c>
      <c r="D346" s="72" t="s">
        <v>358</v>
      </c>
      <c r="E346" s="85">
        <v>0</v>
      </c>
      <c r="F346" s="85" t="s">
        <v>254</v>
      </c>
      <c r="G346" s="85">
        <v>0</v>
      </c>
      <c r="H346" s="85" t="s">
        <v>254</v>
      </c>
      <c r="I346" s="85">
        <v>0</v>
      </c>
      <c r="J346" s="85">
        <v>0</v>
      </c>
      <c r="K346" s="85" t="s">
        <v>254</v>
      </c>
      <c r="L346" s="85" t="s">
        <v>254</v>
      </c>
      <c r="M346" s="85">
        <v>0</v>
      </c>
      <c r="N346" s="85" t="s">
        <v>254</v>
      </c>
      <c r="O346" s="85">
        <v>0</v>
      </c>
      <c r="P346" s="85">
        <v>0</v>
      </c>
      <c r="Q346" s="85">
        <v>0</v>
      </c>
      <c r="R346" s="85"/>
      <c r="S346" s="86"/>
    </row>
    <row r="347" spans="1:19" ht="15">
      <c r="A347" s="70">
        <v>7</v>
      </c>
      <c r="B347" s="70"/>
      <c r="C347" s="72" t="s">
        <v>524</v>
      </c>
      <c r="D347" s="72" t="s">
        <v>487</v>
      </c>
      <c r="E347" s="85">
        <v>6810556</v>
      </c>
      <c r="F347" s="85" t="s">
        <v>254</v>
      </c>
      <c r="G347" s="85">
        <v>0</v>
      </c>
      <c r="H347" s="85" t="s">
        <v>254</v>
      </c>
      <c r="I347" s="85">
        <v>6810556</v>
      </c>
      <c r="J347" s="85">
        <v>0</v>
      </c>
      <c r="K347" s="85" t="s">
        <v>254</v>
      </c>
      <c r="L347" s="85" t="s">
        <v>254</v>
      </c>
      <c r="M347" s="85">
        <v>0</v>
      </c>
      <c r="N347" s="85" t="s">
        <v>254</v>
      </c>
      <c r="O347" s="85">
        <v>0</v>
      </c>
      <c r="P347" s="85">
        <v>0</v>
      </c>
      <c r="Q347" s="85">
        <v>0</v>
      </c>
      <c r="R347" s="85"/>
      <c r="S347" s="86"/>
    </row>
    <row r="348" spans="1:19" ht="15">
      <c r="A348" s="70">
        <v>8</v>
      </c>
      <c r="B348" s="70"/>
      <c r="C348" s="72" t="s">
        <v>463</v>
      </c>
      <c r="D348" s="72" t="s">
        <v>315</v>
      </c>
      <c r="E348" s="85">
        <v>3313</v>
      </c>
      <c r="F348" s="85" t="s">
        <v>254</v>
      </c>
      <c r="G348" s="85">
        <v>0</v>
      </c>
      <c r="H348" s="85" t="s">
        <v>254</v>
      </c>
      <c r="I348" s="85">
        <v>1079.4294121356534</v>
      </c>
      <c r="J348" s="85">
        <v>2233.5705878643466</v>
      </c>
      <c r="K348" s="85" t="s">
        <v>254</v>
      </c>
      <c r="L348" s="85" t="s">
        <v>254</v>
      </c>
      <c r="M348" s="85">
        <v>0</v>
      </c>
      <c r="N348" s="85" t="s">
        <v>254</v>
      </c>
      <c r="O348" s="85">
        <v>2233.5705878643466</v>
      </c>
      <c r="P348" s="85">
        <v>693.20846865188935</v>
      </c>
      <c r="Q348" s="85">
        <v>1540.3621192124572</v>
      </c>
      <c r="R348" s="85"/>
      <c r="S348" s="86"/>
    </row>
    <row r="349" spans="1:19" ht="15">
      <c r="A349" s="70">
        <v>9</v>
      </c>
      <c r="B349" s="70"/>
      <c r="C349" s="72" t="s">
        <v>464</v>
      </c>
      <c r="D349" s="72" t="s">
        <v>317</v>
      </c>
      <c r="E349" s="85">
        <v>305590</v>
      </c>
      <c r="F349" s="85" t="s">
        <v>254</v>
      </c>
      <c r="G349" s="85">
        <v>0</v>
      </c>
      <c r="H349" s="85" t="s">
        <v>254</v>
      </c>
      <c r="I349" s="85">
        <v>0</v>
      </c>
      <c r="J349" s="85">
        <v>305590</v>
      </c>
      <c r="K349" s="85" t="s">
        <v>254</v>
      </c>
      <c r="L349" s="85" t="s">
        <v>254</v>
      </c>
      <c r="M349" s="85">
        <v>0</v>
      </c>
      <c r="N349" s="85" t="s">
        <v>254</v>
      </c>
      <c r="O349" s="85">
        <v>305590</v>
      </c>
      <c r="P349" s="85">
        <v>94842.570495111024</v>
      </c>
      <c r="Q349" s="85">
        <v>210747.42950488895</v>
      </c>
      <c r="R349" s="85"/>
      <c r="S349" s="86"/>
    </row>
    <row r="350" spans="1:19" ht="15">
      <c r="A350" s="70">
        <v>10</v>
      </c>
      <c r="B350" s="70"/>
      <c r="C350" s="72" t="s">
        <v>465</v>
      </c>
      <c r="D350" s="72" t="s">
        <v>254</v>
      </c>
      <c r="E350" s="85">
        <v>142239168</v>
      </c>
      <c r="F350" s="85" t="s">
        <v>254</v>
      </c>
      <c r="G350" s="85">
        <v>129006122.07581487</v>
      </c>
      <c r="H350" s="85" t="s">
        <v>254</v>
      </c>
      <c r="I350" s="85">
        <v>12924769.035526248</v>
      </c>
      <c r="J350" s="85">
        <v>308276.8886588827</v>
      </c>
      <c r="K350" s="85" t="s">
        <v>254</v>
      </c>
      <c r="L350" s="85" t="s">
        <v>254</v>
      </c>
      <c r="M350" s="85">
        <v>453.31807101836586</v>
      </c>
      <c r="N350" s="85" t="s">
        <v>254</v>
      </c>
      <c r="O350" s="85">
        <v>307823.57058786432</v>
      </c>
      <c r="P350" s="85">
        <v>95535.778963762918</v>
      </c>
      <c r="Q350" s="85">
        <v>212287.7916241014</v>
      </c>
      <c r="R350" s="85"/>
      <c r="S350" s="86"/>
    </row>
    <row r="351" spans="1:19" ht="15">
      <c r="A351" s="70" t="s">
        <v>254</v>
      </c>
      <c r="B351" s="70"/>
      <c r="C351" s="72" t="s">
        <v>254</v>
      </c>
      <c r="D351" s="72" t="s">
        <v>254</v>
      </c>
      <c r="E351" s="85" t="s">
        <v>254</v>
      </c>
      <c r="F351" s="85" t="s">
        <v>254</v>
      </c>
      <c r="G351" s="85" t="s">
        <v>254</v>
      </c>
      <c r="H351" s="85" t="s">
        <v>254</v>
      </c>
      <c r="I351" s="85" t="s">
        <v>254</v>
      </c>
      <c r="J351" s="85" t="s">
        <v>254</v>
      </c>
      <c r="K351" s="85" t="s">
        <v>254</v>
      </c>
      <c r="L351" s="85" t="s">
        <v>254</v>
      </c>
      <c r="M351" s="85" t="s">
        <v>254</v>
      </c>
      <c r="N351" s="85" t="s">
        <v>254</v>
      </c>
      <c r="O351" s="85" t="s">
        <v>254</v>
      </c>
      <c r="P351" s="85" t="s">
        <v>254</v>
      </c>
      <c r="Q351" s="85" t="s">
        <v>254</v>
      </c>
      <c r="R351" s="85"/>
      <c r="S351" s="86"/>
    </row>
    <row r="352" spans="1:19" ht="15">
      <c r="A352" s="70">
        <v>11</v>
      </c>
      <c r="B352" s="70"/>
      <c r="C352" s="72" t="s">
        <v>525</v>
      </c>
      <c r="D352" s="72" t="s">
        <v>526</v>
      </c>
      <c r="E352" s="85">
        <v>11652775</v>
      </c>
      <c r="F352" s="85" t="s">
        <v>254</v>
      </c>
      <c r="G352" s="85">
        <v>0</v>
      </c>
      <c r="H352" s="85" t="s">
        <v>254</v>
      </c>
      <c r="I352" s="85">
        <v>11652775</v>
      </c>
      <c r="J352" s="85">
        <v>0</v>
      </c>
      <c r="K352" s="85" t="s">
        <v>254</v>
      </c>
      <c r="L352" s="85" t="s">
        <v>254</v>
      </c>
      <c r="M352" s="85">
        <v>0</v>
      </c>
      <c r="N352" s="85" t="s">
        <v>254</v>
      </c>
      <c r="O352" s="85">
        <v>0</v>
      </c>
      <c r="P352" s="85">
        <v>0</v>
      </c>
      <c r="Q352" s="85">
        <v>0</v>
      </c>
      <c r="R352" s="85"/>
      <c r="S352" s="86"/>
    </row>
    <row r="353" spans="1:19" ht="15">
      <c r="A353" s="70">
        <v>12</v>
      </c>
      <c r="B353" s="70"/>
      <c r="C353" s="72" t="s">
        <v>527</v>
      </c>
      <c r="D353" s="72" t="s">
        <v>528</v>
      </c>
      <c r="E353" s="85">
        <v>242753517</v>
      </c>
      <c r="F353" s="85" t="s">
        <v>254</v>
      </c>
      <c r="G353" s="85">
        <v>242042125.01784566</v>
      </c>
      <c r="H353" s="85" t="s">
        <v>254</v>
      </c>
      <c r="I353" s="85">
        <v>0</v>
      </c>
      <c r="J353" s="85">
        <v>711391.98215432966</v>
      </c>
      <c r="K353" s="85" t="s">
        <v>254</v>
      </c>
      <c r="L353" s="85" t="s">
        <v>254</v>
      </c>
      <c r="M353" s="85">
        <v>24654.138386553477</v>
      </c>
      <c r="N353" s="85" t="s">
        <v>254</v>
      </c>
      <c r="O353" s="85">
        <v>686737.84376777615</v>
      </c>
      <c r="P353" s="85">
        <v>595259.96642780316</v>
      </c>
      <c r="Q353" s="85">
        <v>91477.877339973056</v>
      </c>
      <c r="R353" s="85"/>
      <c r="S353" s="86"/>
    </row>
    <row r="354" spans="1:19" ht="15">
      <c r="A354" s="70">
        <v>13</v>
      </c>
      <c r="B354" s="70"/>
      <c r="C354" s="72" t="s">
        <v>470</v>
      </c>
      <c r="D354" s="72" t="s">
        <v>254</v>
      </c>
      <c r="E354" s="85">
        <v>254406292</v>
      </c>
      <c r="F354" s="85" t="s">
        <v>254</v>
      </c>
      <c r="G354" s="85">
        <v>242042125.01784566</v>
      </c>
      <c r="H354" s="85" t="s">
        <v>254</v>
      </c>
      <c r="I354" s="85">
        <v>11652775</v>
      </c>
      <c r="J354" s="85">
        <v>711391.98215432966</v>
      </c>
      <c r="K354" s="85" t="s">
        <v>254</v>
      </c>
      <c r="L354" s="85" t="s">
        <v>254</v>
      </c>
      <c r="M354" s="85">
        <v>24654.138386553477</v>
      </c>
      <c r="N354" s="85" t="s">
        <v>254</v>
      </c>
      <c r="O354" s="85">
        <v>686737.84376777615</v>
      </c>
      <c r="P354" s="85">
        <v>595259.96642780316</v>
      </c>
      <c r="Q354" s="85">
        <v>91477.877339973056</v>
      </c>
      <c r="R354" s="85"/>
      <c r="S354" s="86"/>
    </row>
    <row r="355" spans="1:19" ht="15">
      <c r="A355" s="70" t="s">
        <v>254</v>
      </c>
      <c r="B355" s="70"/>
      <c r="C355" s="72" t="s">
        <v>254</v>
      </c>
      <c r="D355" s="72" t="s">
        <v>254</v>
      </c>
      <c r="E355" s="85" t="s">
        <v>254</v>
      </c>
      <c r="F355" s="85" t="s">
        <v>254</v>
      </c>
      <c r="G355" s="85" t="s">
        <v>254</v>
      </c>
      <c r="H355" s="85" t="s">
        <v>254</v>
      </c>
      <c r="I355" s="85" t="s">
        <v>254</v>
      </c>
      <c r="J355" s="85" t="s">
        <v>254</v>
      </c>
      <c r="K355" s="85" t="s">
        <v>254</v>
      </c>
      <c r="L355" s="85" t="s">
        <v>254</v>
      </c>
      <c r="M355" s="85" t="s">
        <v>254</v>
      </c>
      <c r="N355" s="85" t="s">
        <v>254</v>
      </c>
      <c r="O355" s="85" t="s">
        <v>254</v>
      </c>
      <c r="P355" s="85" t="s">
        <v>254</v>
      </c>
      <c r="Q355" s="85" t="s">
        <v>254</v>
      </c>
      <c r="R355" s="85"/>
      <c r="S355" s="86"/>
    </row>
    <row r="356" spans="1:19" ht="15">
      <c r="A356" s="70">
        <v>14</v>
      </c>
      <c r="B356" s="70"/>
      <c r="C356" s="72" t="s">
        <v>440</v>
      </c>
      <c r="D356" s="72" t="s">
        <v>471</v>
      </c>
      <c r="E356" s="85">
        <v>30192593</v>
      </c>
      <c r="F356" s="85" t="s">
        <v>254</v>
      </c>
      <c r="G356" s="85">
        <v>27436479.829089541</v>
      </c>
      <c r="H356" s="85" t="s">
        <v>254</v>
      </c>
      <c r="I356" s="85">
        <v>1343150.310121547</v>
      </c>
      <c r="J356" s="85">
        <v>1412962.8607889132</v>
      </c>
      <c r="K356" s="85" t="s">
        <v>254</v>
      </c>
      <c r="L356" s="85" t="s">
        <v>254</v>
      </c>
      <c r="M356" s="85">
        <v>644.6307769602605</v>
      </c>
      <c r="N356" s="85" t="s">
        <v>254</v>
      </c>
      <c r="O356" s="85">
        <v>1412318.230011953</v>
      </c>
      <c r="P356" s="85">
        <v>450869.22544176684</v>
      </c>
      <c r="Q356" s="85">
        <v>961449.00457018625</v>
      </c>
      <c r="R356" s="85"/>
      <c r="S356" s="86"/>
    </row>
    <row r="357" spans="1:19" ht="15">
      <c r="A357" s="70" t="s">
        <v>254</v>
      </c>
      <c r="B357" s="70"/>
      <c r="C357" s="72" t="s">
        <v>254</v>
      </c>
      <c r="D357" s="72" t="s">
        <v>254</v>
      </c>
      <c r="E357" s="85" t="s">
        <v>254</v>
      </c>
      <c r="F357" s="85" t="s">
        <v>254</v>
      </c>
      <c r="G357" s="85" t="s">
        <v>254</v>
      </c>
      <c r="H357" s="85" t="s">
        <v>254</v>
      </c>
      <c r="I357" s="85" t="s">
        <v>254</v>
      </c>
      <c r="J357" s="85" t="s">
        <v>254</v>
      </c>
      <c r="K357" s="85" t="s">
        <v>254</v>
      </c>
      <c r="L357" s="85" t="s">
        <v>254</v>
      </c>
      <c r="M357" s="85" t="s">
        <v>254</v>
      </c>
      <c r="N357" s="85" t="s">
        <v>254</v>
      </c>
      <c r="O357" s="85" t="s">
        <v>254</v>
      </c>
      <c r="P357" s="85" t="s">
        <v>254</v>
      </c>
      <c r="Q357" s="85" t="s">
        <v>254</v>
      </c>
      <c r="R357" s="85"/>
      <c r="S357" s="86"/>
    </row>
    <row r="358" spans="1:19" ht="15">
      <c r="A358" s="70">
        <v>15</v>
      </c>
      <c r="B358" s="70"/>
      <c r="C358" s="72" t="s">
        <v>529</v>
      </c>
      <c r="D358" s="72" t="s">
        <v>254</v>
      </c>
      <c r="E358" s="85">
        <v>1311341483</v>
      </c>
      <c r="F358" s="85" t="s">
        <v>254</v>
      </c>
      <c r="G358" s="85">
        <v>1171579711.8169348</v>
      </c>
      <c r="H358" s="85" t="s">
        <v>254</v>
      </c>
      <c r="I358" s="85">
        <v>61654289.004019745</v>
      </c>
      <c r="J358" s="85">
        <v>78107482.179045439</v>
      </c>
      <c r="K358" s="85" t="s">
        <v>254</v>
      </c>
      <c r="L358" s="85" t="s">
        <v>254</v>
      </c>
      <c r="M358" s="85">
        <v>28468.686428640471</v>
      </c>
      <c r="N358" s="85" t="s">
        <v>254</v>
      </c>
      <c r="O358" s="85">
        <v>78079013.492616802</v>
      </c>
      <c r="P358" s="85">
        <v>24627183.767318998</v>
      </c>
      <c r="Q358" s="85">
        <v>53451829.725297809</v>
      </c>
      <c r="R358" s="85"/>
      <c r="S358" s="86"/>
    </row>
    <row r="359" spans="1:19" ht="15">
      <c r="A359" s="70" t="s">
        <v>254</v>
      </c>
      <c r="B359" s="70"/>
      <c r="C359" s="72" t="s">
        <v>254</v>
      </c>
      <c r="D359" s="72" t="s">
        <v>254</v>
      </c>
      <c r="E359" s="85" t="s">
        <v>254</v>
      </c>
      <c r="F359" s="85" t="s">
        <v>254</v>
      </c>
      <c r="G359" s="85" t="s">
        <v>254</v>
      </c>
      <c r="H359" s="85" t="s">
        <v>254</v>
      </c>
      <c r="I359" s="85" t="s">
        <v>254</v>
      </c>
      <c r="J359" s="85" t="s">
        <v>254</v>
      </c>
      <c r="K359" s="85" t="s">
        <v>254</v>
      </c>
      <c r="L359" s="85" t="s">
        <v>254</v>
      </c>
      <c r="M359" s="85" t="s">
        <v>254</v>
      </c>
      <c r="N359" s="85" t="s">
        <v>254</v>
      </c>
      <c r="O359" s="85" t="s">
        <v>254</v>
      </c>
      <c r="P359" s="85" t="s">
        <v>254</v>
      </c>
      <c r="Q359" s="85" t="s">
        <v>254</v>
      </c>
      <c r="R359" s="85"/>
      <c r="S359" s="86"/>
    </row>
    <row r="360" spans="1:19" ht="15">
      <c r="A360" s="70" t="s">
        <v>254</v>
      </c>
      <c r="B360" s="70"/>
      <c r="C360" s="72" t="s">
        <v>530</v>
      </c>
      <c r="D360" s="72" t="s">
        <v>254</v>
      </c>
      <c r="E360" s="85" t="s">
        <v>254</v>
      </c>
      <c r="F360" s="85" t="s">
        <v>254</v>
      </c>
      <c r="G360" s="85" t="s">
        <v>254</v>
      </c>
      <c r="H360" s="85" t="s">
        <v>254</v>
      </c>
      <c r="I360" s="85" t="s">
        <v>254</v>
      </c>
      <c r="J360" s="85" t="s">
        <v>254</v>
      </c>
      <c r="K360" s="85" t="s">
        <v>254</v>
      </c>
      <c r="L360" s="85" t="s">
        <v>254</v>
      </c>
      <c r="M360" s="85" t="s">
        <v>254</v>
      </c>
      <c r="N360" s="85" t="s">
        <v>254</v>
      </c>
      <c r="O360" s="85" t="s">
        <v>254</v>
      </c>
      <c r="P360" s="85" t="s">
        <v>254</v>
      </c>
      <c r="Q360" s="85" t="s">
        <v>254</v>
      </c>
      <c r="R360" s="85"/>
      <c r="S360" s="86"/>
    </row>
    <row r="361" spans="1:19" ht="15">
      <c r="A361" s="70">
        <v>16</v>
      </c>
      <c r="B361" s="70"/>
      <c r="C361" s="72" t="s">
        <v>531</v>
      </c>
      <c r="D361" s="72" t="s">
        <v>501</v>
      </c>
      <c r="E361" s="85">
        <v>93303579.627692223</v>
      </c>
      <c r="F361" s="85" t="s">
        <v>254</v>
      </c>
      <c r="G361" s="85">
        <v>81185411.398252815</v>
      </c>
      <c r="H361" s="85" t="s">
        <v>254</v>
      </c>
      <c r="I361" s="85">
        <v>3833073.7034151992</v>
      </c>
      <c r="J361" s="85">
        <v>8285094.526024201</v>
      </c>
      <c r="K361" s="85" t="s">
        <v>254</v>
      </c>
      <c r="L361" s="85" t="s">
        <v>254</v>
      </c>
      <c r="M361" s="85">
        <v>285.27959369447581</v>
      </c>
      <c r="N361" s="85" t="s">
        <v>254</v>
      </c>
      <c r="O361" s="85">
        <v>8284809.2464305069</v>
      </c>
      <c r="P361" s="85">
        <v>2571264.1283848719</v>
      </c>
      <c r="Q361" s="85">
        <v>5713545.1180456355</v>
      </c>
      <c r="R361" s="85"/>
      <c r="S361" s="86"/>
    </row>
    <row r="362" spans="1:19" ht="15">
      <c r="A362" s="70">
        <v>17</v>
      </c>
      <c r="B362" s="70"/>
      <c r="C362" s="72" t="s">
        <v>532</v>
      </c>
      <c r="D362" s="72" t="s">
        <v>503</v>
      </c>
      <c r="E362" s="85">
        <v>0</v>
      </c>
      <c r="F362" s="85" t="s">
        <v>254</v>
      </c>
      <c r="G362" s="85">
        <v>0</v>
      </c>
      <c r="H362" s="85" t="s">
        <v>254</v>
      </c>
      <c r="I362" s="85">
        <v>0</v>
      </c>
      <c r="J362" s="85">
        <v>0</v>
      </c>
      <c r="K362" s="85" t="s">
        <v>254</v>
      </c>
      <c r="L362" s="85" t="s">
        <v>254</v>
      </c>
      <c r="M362" s="85">
        <v>0</v>
      </c>
      <c r="N362" s="85" t="s">
        <v>254</v>
      </c>
      <c r="O362" s="85">
        <v>0</v>
      </c>
      <c r="P362" s="85">
        <v>0</v>
      </c>
      <c r="Q362" s="85">
        <v>0</v>
      </c>
      <c r="R362" s="85"/>
      <c r="S362" s="86"/>
    </row>
    <row r="363" spans="1:19" ht="15">
      <c r="A363" s="70">
        <v>18</v>
      </c>
      <c r="B363" s="70"/>
      <c r="C363" s="72" t="s">
        <v>533</v>
      </c>
      <c r="D363" s="72" t="s">
        <v>462</v>
      </c>
      <c r="E363" s="85">
        <v>0</v>
      </c>
      <c r="F363" s="85" t="s">
        <v>254</v>
      </c>
      <c r="G363" s="85">
        <v>0</v>
      </c>
      <c r="H363" s="85" t="s">
        <v>254</v>
      </c>
      <c r="I363" s="85">
        <v>0</v>
      </c>
      <c r="J363" s="85">
        <v>0</v>
      </c>
      <c r="K363" s="85" t="s">
        <v>254</v>
      </c>
      <c r="L363" s="85" t="s">
        <v>254</v>
      </c>
      <c r="M363" s="85">
        <v>0</v>
      </c>
      <c r="N363" s="85" t="s">
        <v>254</v>
      </c>
      <c r="O363" s="85">
        <v>0</v>
      </c>
      <c r="P363" s="85">
        <v>0</v>
      </c>
      <c r="Q363" s="85">
        <v>0</v>
      </c>
      <c r="R363" s="85"/>
      <c r="S363" s="86"/>
    </row>
    <row r="364" spans="1:19" ht="15">
      <c r="A364" s="70">
        <v>18</v>
      </c>
      <c r="B364" s="70"/>
      <c r="C364" s="72" t="s">
        <v>534</v>
      </c>
      <c r="D364" s="72" t="s">
        <v>535</v>
      </c>
      <c r="E364" s="85">
        <v>0</v>
      </c>
      <c r="F364" s="85" t="s">
        <v>254</v>
      </c>
      <c r="G364" s="85">
        <v>0</v>
      </c>
      <c r="H364" s="85" t="s">
        <v>254</v>
      </c>
      <c r="I364" s="85">
        <v>0</v>
      </c>
      <c r="J364" s="85">
        <v>0</v>
      </c>
      <c r="K364" s="85" t="s">
        <v>254</v>
      </c>
      <c r="L364" s="85" t="s">
        <v>254</v>
      </c>
      <c r="M364" s="85">
        <v>0</v>
      </c>
      <c r="N364" s="85" t="s">
        <v>254</v>
      </c>
      <c r="O364" s="85">
        <v>0</v>
      </c>
      <c r="P364" s="85">
        <v>0</v>
      </c>
      <c r="Q364" s="85">
        <v>0</v>
      </c>
      <c r="R364" s="85"/>
      <c r="S364" s="86"/>
    </row>
    <row r="365" spans="1:19" ht="15">
      <c r="A365" s="70">
        <v>20</v>
      </c>
      <c r="B365" s="70"/>
      <c r="C365" s="72" t="s">
        <v>536</v>
      </c>
      <c r="D365" s="72" t="s">
        <v>528</v>
      </c>
      <c r="E365" s="85">
        <v>0</v>
      </c>
      <c r="F365" s="85" t="s">
        <v>254</v>
      </c>
      <c r="G365" s="85">
        <v>0</v>
      </c>
      <c r="H365" s="85" t="s">
        <v>254</v>
      </c>
      <c r="I365" s="85">
        <v>0</v>
      </c>
      <c r="J365" s="85">
        <v>0</v>
      </c>
      <c r="K365" s="85" t="s">
        <v>254</v>
      </c>
      <c r="L365" s="85" t="s">
        <v>254</v>
      </c>
      <c r="M365" s="85">
        <v>0</v>
      </c>
      <c r="N365" s="85" t="s">
        <v>254</v>
      </c>
      <c r="O365" s="85">
        <v>0</v>
      </c>
      <c r="P365" s="85">
        <v>0</v>
      </c>
      <c r="Q365" s="85">
        <v>0</v>
      </c>
      <c r="R365" s="85"/>
      <c r="S365" s="86"/>
    </row>
    <row r="366" spans="1:19" ht="15">
      <c r="A366" s="70">
        <v>21</v>
      </c>
      <c r="B366" s="70"/>
      <c r="C366" s="72" t="s">
        <v>537</v>
      </c>
      <c r="D366" s="72" t="s">
        <v>471</v>
      </c>
      <c r="E366" s="85">
        <v>0</v>
      </c>
      <c r="F366" s="85" t="s">
        <v>254</v>
      </c>
      <c r="G366" s="85">
        <v>0</v>
      </c>
      <c r="H366" s="85" t="s">
        <v>254</v>
      </c>
      <c r="I366" s="85">
        <v>0</v>
      </c>
      <c r="J366" s="85">
        <v>0</v>
      </c>
      <c r="K366" s="85" t="s">
        <v>254</v>
      </c>
      <c r="L366" s="85" t="s">
        <v>254</v>
      </c>
      <c r="M366" s="85">
        <v>0</v>
      </c>
      <c r="N366" s="85" t="s">
        <v>254</v>
      </c>
      <c r="O366" s="85">
        <v>0</v>
      </c>
      <c r="P366" s="85">
        <v>0</v>
      </c>
      <c r="Q366" s="85">
        <v>0</v>
      </c>
      <c r="R366" s="85"/>
      <c r="S366" s="86"/>
    </row>
    <row r="367" spans="1:19" ht="15">
      <c r="A367" s="70">
        <v>22</v>
      </c>
      <c r="B367" s="70"/>
      <c r="C367" s="72" t="s">
        <v>538</v>
      </c>
      <c r="D367" s="72" t="s">
        <v>254</v>
      </c>
      <c r="E367" s="85">
        <v>93303579.627692223</v>
      </c>
      <c r="F367" s="85" t="s">
        <v>254</v>
      </c>
      <c r="G367" s="85">
        <v>81185411.398252815</v>
      </c>
      <c r="H367" s="85" t="s">
        <v>254</v>
      </c>
      <c r="I367" s="85">
        <v>3833073.7034151992</v>
      </c>
      <c r="J367" s="85">
        <v>8285094.526024201</v>
      </c>
      <c r="K367" s="85" t="s">
        <v>254</v>
      </c>
      <c r="L367" s="85" t="s">
        <v>254</v>
      </c>
      <c r="M367" s="85">
        <v>285.27959369447581</v>
      </c>
      <c r="N367" s="85" t="s">
        <v>254</v>
      </c>
      <c r="O367" s="85">
        <v>8284809.2464305069</v>
      </c>
      <c r="P367" s="85">
        <v>2571264.1283848719</v>
      </c>
      <c r="Q367" s="85">
        <v>5713545.1180456355</v>
      </c>
      <c r="R367" s="85"/>
      <c r="S367" s="86"/>
    </row>
    <row r="368" spans="1:19" ht="15">
      <c r="A368" s="70" t="s">
        <v>254</v>
      </c>
      <c r="B368" s="70"/>
      <c r="C368" s="72" t="s">
        <v>254</v>
      </c>
      <c r="D368" s="72" t="s">
        <v>254</v>
      </c>
      <c r="E368" s="85" t="s">
        <v>254</v>
      </c>
      <c r="F368" s="85" t="s">
        <v>254</v>
      </c>
      <c r="G368" s="85" t="s">
        <v>254</v>
      </c>
      <c r="H368" s="85" t="s">
        <v>254</v>
      </c>
      <c r="I368" s="85" t="s">
        <v>254</v>
      </c>
      <c r="J368" s="85" t="s">
        <v>254</v>
      </c>
      <c r="K368" s="85" t="s">
        <v>254</v>
      </c>
      <c r="L368" s="85" t="s">
        <v>254</v>
      </c>
      <c r="M368" s="85" t="s">
        <v>254</v>
      </c>
      <c r="N368" s="85" t="s">
        <v>254</v>
      </c>
      <c r="O368" s="85" t="s">
        <v>254</v>
      </c>
      <c r="P368" s="85" t="s">
        <v>254</v>
      </c>
      <c r="Q368" s="85" t="s">
        <v>254</v>
      </c>
      <c r="R368" s="85"/>
      <c r="S368" s="86"/>
    </row>
    <row r="369" spans="1:19" ht="15">
      <c r="A369" s="70">
        <v>23</v>
      </c>
      <c r="B369" s="70"/>
      <c r="C369" s="72" t="s">
        <v>539</v>
      </c>
      <c r="D369" s="72" t="s">
        <v>540</v>
      </c>
      <c r="E369" s="85">
        <v>1576406.0400000003</v>
      </c>
      <c r="F369" s="85" t="s">
        <v>254</v>
      </c>
      <c r="G369" s="85">
        <v>1549703.6162990497</v>
      </c>
      <c r="H369" s="85" t="s">
        <v>254</v>
      </c>
      <c r="I369" s="85">
        <v>26702.423700950658</v>
      </c>
      <c r="J369" s="85">
        <v>0</v>
      </c>
      <c r="K369" s="85" t="s">
        <v>254</v>
      </c>
      <c r="L369" s="85" t="s">
        <v>254</v>
      </c>
      <c r="M369" s="85">
        <v>0</v>
      </c>
      <c r="N369" s="85" t="s">
        <v>254</v>
      </c>
      <c r="O369" s="85">
        <v>0</v>
      </c>
      <c r="P369" s="85">
        <v>0</v>
      </c>
      <c r="Q369" s="85">
        <v>0</v>
      </c>
      <c r="R369" s="85"/>
      <c r="S369" s="86"/>
    </row>
    <row r="370" spans="1:19" ht="15">
      <c r="A370" s="70">
        <v>24</v>
      </c>
      <c r="B370" s="70"/>
      <c r="C370" s="72" t="s">
        <v>541</v>
      </c>
      <c r="D370" s="72" t="s">
        <v>542</v>
      </c>
      <c r="E370" s="85">
        <v>28000984.019999992</v>
      </c>
      <c r="F370" s="85" t="s">
        <v>254</v>
      </c>
      <c r="G370" s="85">
        <v>0</v>
      </c>
      <c r="H370" s="85" t="s">
        <v>254</v>
      </c>
      <c r="I370" s="85">
        <v>1378728.5512620946</v>
      </c>
      <c r="J370" s="85">
        <v>-729.01445774044191</v>
      </c>
      <c r="K370" s="85" t="s">
        <v>254</v>
      </c>
      <c r="L370" s="85" t="s">
        <v>254</v>
      </c>
      <c r="M370" s="85">
        <v>0</v>
      </c>
      <c r="N370" s="85" t="s">
        <v>254</v>
      </c>
      <c r="O370" s="85">
        <v>-729.01445774044191</v>
      </c>
      <c r="P370" s="85">
        <v>-729.01445774044191</v>
      </c>
      <c r="Q370" s="85">
        <v>0</v>
      </c>
      <c r="R370" s="85"/>
      <c r="S370" s="86"/>
    </row>
    <row r="371" spans="1:19" ht="15">
      <c r="A371" s="70">
        <v>25</v>
      </c>
      <c r="B371" s="70"/>
      <c r="C371" s="72" t="s">
        <v>543</v>
      </c>
      <c r="D371" s="72" t="s">
        <v>544</v>
      </c>
      <c r="E371" s="85">
        <v>1421186</v>
      </c>
      <c r="F371" s="85" t="s">
        <v>254</v>
      </c>
      <c r="G371" s="85">
        <v>0</v>
      </c>
      <c r="H371" s="85" t="s">
        <v>254</v>
      </c>
      <c r="I371" s="85">
        <v>1421186</v>
      </c>
      <c r="J371" s="85">
        <v>0</v>
      </c>
      <c r="K371" s="85" t="s">
        <v>254</v>
      </c>
      <c r="L371" s="85" t="s">
        <v>254</v>
      </c>
      <c r="M371" s="85">
        <v>0</v>
      </c>
      <c r="N371" s="85" t="s">
        <v>254</v>
      </c>
      <c r="O371" s="85">
        <v>0</v>
      </c>
      <c r="P371" s="85">
        <v>0</v>
      </c>
      <c r="Q371" s="85">
        <v>0</v>
      </c>
      <c r="R371" s="85"/>
      <c r="S371" s="86"/>
    </row>
    <row r="372" spans="1:19" ht="15">
      <c r="A372" s="70">
        <v>26</v>
      </c>
      <c r="B372" s="70"/>
      <c r="C372" s="72" t="s">
        <v>545</v>
      </c>
      <c r="D372" s="72" t="s">
        <v>422</v>
      </c>
      <c r="E372" s="85">
        <v>60917532.867179498</v>
      </c>
      <c r="F372" s="85" t="s">
        <v>254</v>
      </c>
      <c r="G372" s="85">
        <v>0</v>
      </c>
      <c r="H372" s="85" t="s">
        <v>254</v>
      </c>
      <c r="I372" s="85">
        <v>2858566.6202515503</v>
      </c>
      <c r="J372" s="85">
        <v>3.08258567638483E-12</v>
      </c>
      <c r="K372" s="85" t="s">
        <v>254</v>
      </c>
      <c r="L372" s="85" t="s">
        <v>254</v>
      </c>
      <c r="M372" s="85">
        <v>0</v>
      </c>
      <c r="N372" s="85" t="s">
        <v>254</v>
      </c>
      <c r="O372" s="85">
        <v>3.08258567638483E-12</v>
      </c>
      <c r="P372" s="85">
        <v>0</v>
      </c>
      <c r="Q372" s="85">
        <v>0</v>
      </c>
      <c r="R372" s="85"/>
      <c r="S372" s="86"/>
    </row>
    <row r="373" spans="1:19" ht="15">
      <c r="A373" s="70">
        <v>27</v>
      </c>
      <c r="B373" s="70"/>
      <c r="C373" s="72" t="s">
        <v>546</v>
      </c>
      <c r="D373" s="72" t="s">
        <v>422</v>
      </c>
      <c r="E373" s="85">
        <v>5727440.0000000019</v>
      </c>
      <c r="F373" s="85" t="s">
        <v>254</v>
      </c>
      <c r="G373" s="85">
        <v>0</v>
      </c>
      <c r="H373" s="85" t="s">
        <v>254</v>
      </c>
      <c r="I373" s="85">
        <v>0</v>
      </c>
      <c r="J373" s="85">
        <v>282601.52972368104</v>
      </c>
      <c r="K373" s="85" t="s">
        <v>254</v>
      </c>
      <c r="L373" s="85" t="s">
        <v>254</v>
      </c>
      <c r="M373" s="85">
        <v>0</v>
      </c>
      <c r="N373" s="85" t="s">
        <v>254</v>
      </c>
      <c r="O373" s="85">
        <v>282601.52972368104</v>
      </c>
      <c r="P373" s="85">
        <v>90217.863161120666</v>
      </c>
      <c r="Q373" s="85">
        <v>192383.66656256036</v>
      </c>
      <c r="R373" s="85"/>
      <c r="S373" s="86"/>
    </row>
    <row r="374" spans="1:19" ht="15">
      <c r="A374" s="70">
        <v>28</v>
      </c>
      <c r="B374" s="70"/>
      <c r="C374" s="72" t="s">
        <v>547</v>
      </c>
      <c r="D374" s="72" t="s">
        <v>422</v>
      </c>
      <c r="E374" s="85">
        <v>6375756.4900000002</v>
      </c>
      <c r="F374" s="85" t="s">
        <v>254</v>
      </c>
      <c r="G374" s="85">
        <v>0</v>
      </c>
      <c r="H374" s="85" t="s">
        <v>254</v>
      </c>
      <c r="I374" s="85">
        <v>0</v>
      </c>
      <c r="J374" s="85">
        <v>314590.55655226187</v>
      </c>
      <c r="K374" s="85" t="s">
        <v>254</v>
      </c>
      <c r="L374" s="85" t="s">
        <v>254</v>
      </c>
      <c r="M374" s="85">
        <v>0</v>
      </c>
      <c r="N374" s="85" t="s">
        <v>254</v>
      </c>
      <c r="O374" s="85">
        <v>314590.55655226187</v>
      </c>
      <c r="P374" s="85">
        <v>100430.05715702772</v>
      </c>
      <c r="Q374" s="85">
        <v>214160.49939523413</v>
      </c>
      <c r="R374" s="85"/>
      <c r="S374" s="86"/>
    </row>
    <row r="375" spans="1:19" ht="15">
      <c r="A375" s="70">
        <v>29</v>
      </c>
      <c r="B375" s="70"/>
      <c r="C375" s="72" t="s">
        <v>548</v>
      </c>
      <c r="D375" s="72" t="s">
        <v>422</v>
      </c>
      <c r="E375" s="85">
        <v>1183817.9999999998</v>
      </c>
      <c r="F375" s="85" t="s">
        <v>254</v>
      </c>
      <c r="G375" s="85">
        <v>0</v>
      </c>
      <c r="H375" s="85" t="s">
        <v>254</v>
      </c>
      <c r="I375" s="85">
        <v>0</v>
      </c>
      <c r="J375" s="85">
        <v>58411.572659762212</v>
      </c>
      <c r="K375" s="85" t="s">
        <v>254</v>
      </c>
      <c r="L375" s="85" t="s">
        <v>254</v>
      </c>
      <c r="M375" s="85">
        <v>0</v>
      </c>
      <c r="N375" s="85" t="s">
        <v>254</v>
      </c>
      <c r="O375" s="85">
        <v>58411.572659762212</v>
      </c>
      <c r="P375" s="85">
        <v>18647.34162761574</v>
      </c>
      <c r="Q375" s="85">
        <v>39764.231032146468</v>
      </c>
      <c r="R375" s="85"/>
      <c r="S375" s="86"/>
    </row>
    <row r="376" spans="1:19" ht="15">
      <c r="A376" s="70">
        <v>30</v>
      </c>
      <c r="B376" s="70"/>
      <c r="C376" s="72" t="s">
        <v>549</v>
      </c>
      <c r="D376" s="72" t="s">
        <v>254</v>
      </c>
      <c r="E376" s="85">
        <v>1509848186.0448716</v>
      </c>
      <c r="F376" s="85" t="s">
        <v>254</v>
      </c>
      <c r="G376" s="85">
        <v>1254314826.8314867</v>
      </c>
      <c r="H376" s="85" t="s">
        <v>254</v>
      </c>
      <c r="I376" s="85">
        <v>71172546.302649543</v>
      </c>
      <c r="J376" s="85">
        <v>87047451.34954761</v>
      </c>
      <c r="K376" s="85" t="s">
        <v>254</v>
      </c>
      <c r="L376" s="85" t="s">
        <v>254</v>
      </c>
      <c r="M376" s="85">
        <v>28753.966022334946</v>
      </c>
      <c r="N376" s="85" t="s">
        <v>254</v>
      </c>
      <c r="O376" s="85">
        <v>87018697.383525282</v>
      </c>
      <c r="P376" s="85">
        <v>27407014.143191896</v>
      </c>
      <c r="Q376" s="85">
        <v>59611683.240333386</v>
      </c>
      <c r="R376" s="85"/>
      <c r="S376" s="86"/>
    </row>
    <row r="377" spans="1:19" ht="15">
      <c r="A377" s="70" t="s">
        <v>254</v>
      </c>
      <c r="B377" s="70"/>
      <c r="C377" s="72" t="s">
        <v>254</v>
      </c>
      <c r="D377" s="72" t="s">
        <v>254</v>
      </c>
      <c r="E377" s="85" t="s">
        <v>254</v>
      </c>
      <c r="F377" s="85" t="s">
        <v>254</v>
      </c>
      <c r="G377" s="85" t="s">
        <v>254</v>
      </c>
      <c r="H377" s="85" t="s">
        <v>254</v>
      </c>
      <c r="I377" s="85" t="s">
        <v>254</v>
      </c>
      <c r="J377" s="85" t="s">
        <v>254</v>
      </c>
      <c r="K377" s="85" t="s">
        <v>254</v>
      </c>
      <c r="L377" s="85" t="s">
        <v>254</v>
      </c>
      <c r="M377" s="85" t="s">
        <v>254</v>
      </c>
      <c r="N377" s="85" t="s">
        <v>254</v>
      </c>
      <c r="O377" s="85" t="s">
        <v>254</v>
      </c>
      <c r="P377" s="85" t="s">
        <v>254</v>
      </c>
      <c r="Q377" s="85" t="s">
        <v>254</v>
      </c>
      <c r="R377" s="85"/>
      <c r="S377" s="86"/>
    </row>
    <row r="378" spans="1:19" ht="15">
      <c r="A378" s="70">
        <v>31</v>
      </c>
      <c r="B378" s="70"/>
      <c r="C378" s="72" t="s">
        <v>550</v>
      </c>
      <c r="D378" s="72" t="s">
        <v>254</v>
      </c>
      <c r="E378" s="85">
        <v>5296643242.95786</v>
      </c>
      <c r="F378" s="85" t="s">
        <v>254</v>
      </c>
      <c r="G378" s="85">
        <v>4821869481.6123829</v>
      </c>
      <c r="H378" s="85" t="s">
        <v>254</v>
      </c>
      <c r="I378" s="85">
        <v>235343582.19390494</v>
      </c>
      <c r="J378" s="85">
        <v>336743540.71275979</v>
      </c>
      <c r="K378" s="85" t="s">
        <v>254</v>
      </c>
      <c r="L378" s="85" t="s">
        <v>254</v>
      </c>
      <c r="M378" s="85">
        <v>24980.342645848574</v>
      </c>
      <c r="N378" s="85" t="s">
        <v>254</v>
      </c>
      <c r="O378" s="85">
        <v>336718560.37011397</v>
      </c>
      <c r="P378" s="85">
        <v>106027432.86540684</v>
      </c>
      <c r="Q378" s="85">
        <v>230691127.50470716</v>
      </c>
      <c r="R378" s="85"/>
      <c r="S378" s="86"/>
    </row>
    <row r="379" spans="1:19" ht="15">
      <c r="A379" s="70" t="s">
        <v>254</v>
      </c>
      <c r="B379" s="70"/>
      <c r="C379" s="72" t="s">
        <v>254</v>
      </c>
      <c r="D379" s="72" t="s">
        <v>254</v>
      </c>
      <c r="E379" s="85" t="s">
        <v>254</v>
      </c>
      <c r="F379" s="85" t="s">
        <v>254</v>
      </c>
      <c r="G379" s="85" t="s">
        <v>254</v>
      </c>
      <c r="H379" s="85" t="s">
        <v>254</v>
      </c>
      <c r="I379" s="85" t="s">
        <v>254</v>
      </c>
      <c r="J379" s="85" t="s">
        <v>254</v>
      </c>
      <c r="K379" s="85" t="s">
        <v>254</v>
      </c>
      <c r="L379" s="85" t="s">
        <v>254</v>
      </c>
      <c r="M379" s="85" t="s">
        <v>254</v>
      </c>
      <c r="N379" s="85" t="s">
        <v>254</v>
      </c>
      <c r="O379" s="85" t="s">
        <v>254</v>
      </c>
      <c r="P379" s="85" t="s">
        <v>254</v>
      </c>
      <c r="Q379" s="85" t="s">
        <v>254</v>
      </c>
      <c r="R379" s="85"/>
      <c r="S379" s="86"/>
    </row>
    <row r="380" spans="1:19" ht="15">
      <c r="A380" s="70" t="s">
        <v>254</v>
      </c>
      <c r="B380" s="70"/>
      <c r="C380" s="72" t="s">
        <v>254</v>
      </c>
      <c r="D380" s="72" t="s">
        <v>254</v>
      </c>
      <c r="E380" s="85" t="s">
        <v>254</v>
      </c>
      <c r="F380" s="85" t="s">
        <v>254</v>
      </c>
      <c r="G380" s="85" t="s">
        <v>254</v>
      </c>
      <c r="H380" s="85" t="s">
        <v>254</v>
      </c>
      <c r="I380" s="85" t="s">
        <v>254</v>
      </c>
      <c r="J380" s="85" t="s">
        <v>254</v>
      </c>
      <c r="K380" s="85" t="s">
        <v>254</v>
      </c>
      <c r="L380" s="85" t="s">
        <v>254</v>
      </c>
      <c r="M380" s="85" t="s">
        <v>254</v>
      </c>
      <c r="N380" s="85" t="s">
        <v>254</v>
      </c>
      <c r="O380" s="85" t="s">
        <v>254</v>
      </c>
      <c r="P380" s="85" t="s">
        <v>254</v>
      </c>
      <c r="Q380" s="85" t="s">
        <v>254</v>
      </c>
      <c r="R380" s="85"/>
      <c r="S380" s="86"/>
    </row>
    <row r="381" spans="1:19" ht="15">
      <c r="A381" s="70" t="s">
        <v>254</v>
      </c>
      <c r="B381" s="70"/>
      <c r="C381" s="72" t="s">
        <v>282</v>
      </c>
      <c r="D381" s="72" t="s">
        <v>254</v>
      </c>
      <c r="E381" s="85" t="s">
        <v>254</v>
      </c>
      <c r="F381" s="85" t="s">
        <v>254</v>
      </c>
      <c r="G381" s="85" t="s">
        <v>254</v>
      </c>
      <c r="H381" s="85" t="s">
        <v>254</v>
      </c>
      <c r="I381" s="85" t="s">
        <v>254</v>
      </c>
      <c r="J381" s="85" t="s">
        <v>254</v>
      </c>
      <c r="K381" s="85" t="s">
        <v>254</v>
      </c>
      <c r="L381" s="85" t="s">
        <v>254</v>
      </c>
      <c r="M381" s="85" t="s">
        <v>254</v>
      </c>
      <c r="N381" s="85" t="s">
        <v>254</v>
      </c>
      <c r="O381" s="85" t="s">
        <v>254</v>
      </c>
      <c r="P381" s="85" t="s">
        <v>254</v>
      </c>
      <c r="Q381" s="85" t="s">
        <v>254</v>
      </c>
      <c r="R381" s="85"/>
      <c r="S381" s="86"/>
    </row>
    <row r="382" spans="1:19" ht="15">
      <c r="A382" s="70" t="s">
        <v>254</v>
      </c>
      <c r="B382" s="70"/>
      <c r="C382" s="72" t="s">
        <v>254</v>
      </c>
      <c r="D382" s="72" t="s">
        <v>254</v>
      </c>
      <c r="E382" s="85" t="s">
        <v>254</v>
      </c>
      <c r="F382" s="85" t="s">
        <v>254</v>
      </c>
      <c r="G382" s="85" t="s">
        <v>254</v>
      </c>
      <c r="H382" s="85" t="s">
        <v>254</v>
      </c>
      <c r="I382" s="85" t="s">
        <v>254</v>
      </c>
      <c r="J382" s="85" t="s">
        <v>254</v>
      </c>
      <c r="K382" s="85" t="s">
        <v>254</v>
      </c>
      <c r="L382" s="85" t="s">
        <v>254</v>
      </c>
      <c r="M382" s="85" t="s">
        <v>254</v>
      </c>
      <c r="N382" s="85" t="s">
        <v>254</v>
      </c>
      <c r="O382" s="85" t="s">
        <v>254</v>
      </c>
      <c r="P382" s="85" t="s">
        <v>254</v>
      </c>
      <c r="Q382" s="85" t="s">
        <v>254</v>
      </c>
      <c r="R382" s="85"/>
      <c r="S382" s="86"/>
    </row>
    <row r="383" spans="1:19" ht="15">
      <c r="A383" s="70" t="s">
        <v>254</v>
      </c>
      <c r="B383" s="70"/>
      <c r="C383" s="72" t="s">
        <v>551</v>
      </c>
      <c r="D383" s="72" t="s">
        <v>254</v>
      </c>
      <c r="E383" s="85" t="s">
        <v>254</v>
      </c>
      <c r="F383" s="85" t="s">
        <v>254</v>
      </c>
      <c r="G383" s="85" t="s">
        <v>254</v>
      </c>
      <c r="H383" s="85" t="s">
        <v>254</v>
      </c>
      <c r="I383" s="85" t="s">
        <v>254</v>
      </c>
      <c r="J383" s="85" t="s">
        <v>254</v>
      </c>
      <c r="K383" s="85" t="s">
        <v>254</v>
      </c>
      <c r="L383" s="85" t="s">
        <v>254</v>
      </c>
      <c r="M383" s="85" t="s">
        <v>254</v>
      </c>
      <c r="N383" s="85" t="s">
        <v>254</v>
      </c>
      <c r="O383" s="85" t="s">
        <v>254</v>
      </c>
      <c r="P383" s="85" t="s">
        <v>254</v>
      </c>
      <c r="Q383" s="85" t="s">
        <v>254</v>
      </c>
      <c r="R383" s="85"/>
      <c r="S383" s="86"/>
    </row>
    <row r="384" spans="1:19" ht="15">
      <c r="A384" s="70">
        <v>1</v>
      </c>
      <c r="B384" s="94" t="str">
        <f>MID(C384,3,3)</f>
        <v>440</v>
      </c>
      <c r="C384" s="72" t="s">
        <v>552</v>
      </c>
      <c r="D384" s="72" t="s">
        <v>254</v>
      </c>
      <c r="E384" s="85">
        <v>666571847.7876842</v>
      </c>
      <c r="F384" s="85" t="s">
        <v>254</v>
      </c>
      <c r="G384" s="85">
        <v>627798768.9953624</v>
      </c>
      <c r="H384" s="85" t="s">
        <v>254</v>
      </c>
      <c r="I384" s="85">
        <v>38773078.792321846</v>
      </c>
      <c r="J384" s="85">
        <v>0</v>
      </c>
      <c r="K384" s="85" t="s">
        <v>254</v>
      </c>
      <c r="L384" s="85" t="s">
        <v>254</v>
      </c>
      <c r="M384" s="85">
        <v>0</v>
      </c>
      <c r="N384" s="85" t="s">
        <v>254</v>
      </c>
      <c r="O384" s="85">
        <v>0</v>
      </c>
      <c r="P384" s="85">
        <v>0</v>
      </c>
      <c r="Q384" s="85">
        <v>0</v>
      </c>
      <c r="R384" s="85"/>
      <c r="S384" s="86"/>
    </row>
    <row r="385" spans="1:19" ht="15">
      <c r="A385" s="70">
        <v>2</v>
      </c>
      <c r="B385" s="94" t="str">
        <f t="shared" ref="B385:B448" si="14">MID(C385,3,3)</f>
        <v>442</v>
      </c>
      <c r="C385" s="72" t="s">
        <v>553</v>
      </c>
      <c r="D385" s="72" t="s">
        <v>254</v>
      </c>
      <c r="E385" s="85">
        <v>412651662.28964722</v>
      </c>
      <c r="F385" s="85" t="s">
        <v>254</v>
      </c>
      <c r="G385" s="85">
        <v>395380927.94330788</v>
      </c>
      <c r="H385" s="85" t="s">
        <v>254</v>
      </c>
      <c r="I385" s="85">
        <v>17270734.346339371</v>
      </c>
      <c r="J385" s="85">
        <v>0</v>
      </c>
      <c r="K385" s="85" t="s">
        <v>254</v>
      </c>
      <c r="L385" s="85" t="s">
        <v>254</v>
      </c>
      <c r="M385" s="85">
        <v>0</v>
      </c>
      <c r="N385" s="85" t="s">
        <v>254</v>
      </c>
      <c r="O385" s="85">
        <v>0</v>
      </c>
      <c r="P385" s="85">
        <v>0</v>
      </c>
      <c r="Q385" s="85">
        <v>0</v>
      </c>
      <c r="R385" s="85"/>
      <c r="S385" s="86"/>
    </row>
    <row r="386" spans="1:19" ht="15">
      <c r="A386" s="70">
        <v>3</v>
      </c>
      <c r="B386" s="94" t="str">
        <f t="shared" si="14"/>
        <v>442</v>
      </c>
      <c r="C386" s="72" t="s">
        <v>554</v>
      </c>
      <c r="D386" s="72" t="s">
        <v>254</v>
      </c>
      <c r="E386" s="85">
        <v>444219949.74474078</v>
      </c>
      <c r="F386" s="85" t="s">
        <v>254</v>
      </c>
      <c r="G386" s="85">
        <v>433353219.59153575</v>
      </c>
      <c r="H386" s="85" t="s">
        <v>254</v>
      </c>
      <c r="I386" s="85">
        <v>10866730.153205052</v>
      </c>
      <c r="J386" s="85">
        <v>0</v>
      </c>
      <c r="K386" s="85" t="s">
        <v>254</v>
      </c>
      <c r="L386" s="85" t="s">
        <v>254</v>
      </c>
      <c r="M386" s="85">
        <v>0</v>
      </c>
      <c r="N386" s="85" t="s">
        <v>254</v>
      </c>
      <c r="O386" s="85">
        <v>0</v>
      </c>
      <c r="P386" s="85">
        <v>0</v>
      </c>
      <c r="Q386" s="85">
        <v>0</v>
      </c>
      <c r="R386" s="85"/>
      <c r="S386" s="86"/>
    </row>
    <row r="387" spans="1:19" ht="15">
      <c r="A387" s="70">
        <v>4</v>
      </c>
      <c r="B387" s="94" t="str">
        <f t="shared" si="14"/>
        <v>444</v>
      </c>
      <c r="C387" s="72" t="s">
        <v>555</v>
      </c>
      <c r="D387" s="72" t="s">
        <v>254</v>
      </c>
      <c r="E387" s="85">
        <v>12586396.617513351</v>
      </c>
      <c r="F387" s="85" t="s">
        <v>254</v>
      </c>
      <c r="G387" s="85">
        <v>12175289.873640023</v>
      </c>
      <c r="H387" s="85" t="s">
        <v>254</v>
      </c>
      <c r="I387" s="85">
        <v>411106.74387332791</v>
      </c>
      <c r="J387" s="85">
        <v>0</v>
      </c>
      <c r="K387" s="85" t="s">
        <v>254</v>
      </c>
      <c r="L387" s="85" t="s">
        <v>254</v>
      </c>
      <c r="M387" s="85">
        <v>0</v>
      </c>
      <c r="N387" s="85" t="s">
        <v>254</v>
      </c>
      <c r="O387" s="85">
        <v>0</v>
      </c>
      <c r="P387" s="85">
        <v>0</v>
      </c>
      <c r="Q387" s="85">
        <v>0</v>
      </c>
      <c r="R387" s="85"/>
      <c r="S387" s="86"/>
    </row>
    <row r="388" spans="1:19" ht="15">
      <c r="A388" s="70">
        <v>5</v>
      </c>
      <c r="B388" s="94" t="str">
        <f t="shared" si="14"/>
        <v>445</v>
      </c>
      <c r="C388" s="72" t="s">
        <v>556</v>
      </c>
      <c r="D388" s="72" t="s">
        <v>254</v>
      </c>
      <c r="E388" s="85">
        <v>136069287.68033916</v>
      </c>
      <c r="F388" s="85" t="s">
        <v>254</v>
      </c>
      <c r="G388" s="85">
        <v>129454027.9737691</v>
      </c>
      <c r="H388" s="85" t="s">
        <v>254</v>
      </c>
      <c r="I388" s="85">
        <v>6615259.7065700479</v>
      </c>
      <c r="J388" s="85">
        <v>0</v>
      </c>
      <c r="K388" s="85" t="s">
        <v>254</v>
      </c>
      <c r="L388" s="85" t="s">
        <v>254</v>
      </c>
      <c r="M388" s="85">
        <v>0</v>
      </c>
      <c r="N388" s="85" t="s">
        <v>254</v>
      </c>
      <c r="O388" s="85">
        <v>0</v>
      </c>
      <c r="P388" s="85">
        <v>0</v>
      </c>
      <c r="Q388" s="85">
        <v>0</v>
      </c>
      <c r="R388" s="85"/>
      <c r="S388" s="86"/>
    </row>
    <row r="389" spans="1:19" ht="15">
      <c r="A389" s="70">
        <v>6</v>
      </c>
      <c r="B389" s="94" t="str">
        <f t="shared" si="14"/>
        <v>447</v>
      </c>
      <c r="C389" s="72" t="s">
        <v>557</v>
      </c>
      <c r="D389" s="72" t="s">
        <v>254</v>
      </c>
      <c r="E389" s="85">
        <v>114112524.98070344</v>
      </c>
      <c r="F389" s="85" t="s">
        <v>254</v>
      </c>
      <c r="G389" s="85">
        <v>0</v>
      </c>
      <c r="H389" s="85" t="s">
        <v>254</v>
      </c>
      <c r="I389" s="85">
        <v>0</v>
      </c>
      <c r="J389" s="85">
        <v>114112524.98070344</v>
      </c>
      <c r="K389" s="85" t="s">
        <v>254</v>
      </c>
      <c r="L389" s="85" t="s">
        <v>254</v>
      </c>
      <c r="M389" s="85">
        <v>0</v>
      </c>
      <c r="N389" s="85" t="s">
        <v>254</v>
      </c>
      <c r="O389" s="85">
        <v>114112524.98070344</v>
      </c>
      <c r="P389" s="85">
        <v>35491593.809934929</v>
      </c>
      <c r="Q389" s="85">
        <v>78620931.170768514</v>
      </c>
      <c r="R389" s="85"/>
      <c r="S389" s="86"/>
    </row>
    <row r="390" spans="1:19" ht="15">
      <c r="A390" s="70">
        <v>7</v>
      </c>
      <c r="B390" s="94" t="str">
        <f t="shared" si="14"/>
        <v>447</v>
      </c>
      <c r="C390" s="72" t="s">
        <v>2427</v>
      </c>
      <c r="D390" s="72" t="s">
        <v>254</v>
      </c>
      <c r="E390" s="85">
        <v>0</v>
      </c>
      <c r="F390" s="85" t="s">
        <v>254</v>
      </c>
      <c r="G390" s="85">
        <v>0</v>
      </c>
      <c r="H390" s="85" t="s">
        <v>254</v>
      </c>
      <c r="I390" s="85">
        <v>0</v>
      </c>
      <c r="J390" s="85">
        <v>0</v>
      </c>
      <c r="K390" s="85" t="s">
        <v>254</v>
      </c>
      <c r="L390" s="85" t="s">
        <v>254</v>
      </c>
      <c r="M390" s="85">
        <v>0</v>
      </c>
      <c r="N390" s="85" t="s">
        <v>254</v>
      </c>
      <c r="O390" s="85">
        <v>0</v>
      </c>
      <c r="P390" s="85">
        <v>0</v>
      </c>
      <c r="Q390" s="85">
        <v>0</v>
      </c>
      <c r="R390" s="85"/>
      <c r="S390" s="86"/>
    </row>
    <row r="391" spans="1:19" ht="15">
      <c r="A391" s="70">
        <v>8</v>
      </c>
      <c r="B391" s="94" t="str">
        <f t="shared" si="14"/>
        <v>447</v>
      </c>
      <c r="C391" s="72" t="s">
        <v>558</v>
      </c>
      <c r="D391" s="72" t="s">
        <v>254</v>
      </c>
      <c r="E391" s="85" t="s">
        <v>254</v>
      </c>
      <c r="F391" s="85" t="s">
        <v>254</v>
      </c>
      <c r="G391" s="85" t="s">
        <v>254</v>
      </c>
      <c r="H391" s="85" t="s">
        <v>254</v>
      </c>
      <c r="I391" s="85" t="s">
        <v>254</v>
      </c>
      <c r="J391" s="85" t="s">
        <v>254</v>
      </c>
      <c r="K391" s="85" t="s">
        <v>254</v>
      </c>
      <c r="L391" s="85" t="s">
        <v>254</v>
      </c>
      <c r="M391" s="85" t="s">
        <v>254</v>
      </c>
      <c r="N391" s="85" t="s">
        <v>254</v>
      </c>
      <c r="O391" s="85" t="s">
        <v>254</v>
      </c>
      <c r="P391" s="85" t="s">
        <v>254</v>
      </c>
      <c r="Q391" s="85" t="s">
        <v>254</v>
      </c>
      <c r="R391" s="85"/>
      <c r="S391" s="86"/>
    </row>
    <row r="392" spans="1:19" ht="15">
      <c r="A392" s="70">
        <v>9</v>
      </c>
      <c r="B392" s="94" t="str">
        <f t="shared" si="14"/>
        <v xml:space="preserve">   </v>
      </c>
      <c r="C392" s="72" t="s">
        <v>559</v>
      </c>
      <c r="D392" s="72" t="s">
        <v>307</v>
      </c>
      <c r="E392" s="85">
        <v>0</v>
      </c>
      <c r="F392" s="85" t="s">
        <v>254</v>
      </c>
      <c r="G392" s="85">
        <v>0</v>
      </c>
      <c r="H392" s="85" t="s">
        <v>254</v>
      </c>
      <c r="I392" s="85">
        <v>0</v>
      </c>
      <c r="J392" s="85">
        <v>0</v>
      </c>
      <c r="K392" s="85" t="s">
        <v>254</v>
      </c>
      <c r="L392" s="85" t="s">
        <v>254</v>
      </c>
      <c r="M392" s="85">
        <v>0</v>
      </c>
      <c r="N392" s="85" t="s">
        <v>254</v>
      </c>
      <c r="O392" s="85">
        <v>0</v>
      </c>
      <c r="P392" s="85">
        <v>0</v>
      </c>
      <c r="Q392" s="85">
        <v>0</v>
      </c>
      <c r="R392" s="85"/>
      <c r="S392" s="86"/>
    </row>
    <row r="393" spans="1:19" ht="15">
      <c r="A393" s="70">
        <v>10</v>
      </c>
      <c r="B393" s="94" t="str">
        <f t="shared" si="14"/>
        <v xml:space="preserve">   </v>
      </c>
      <c r="C393" s="72" t="s">
        <v>560</v>
      </c>
      <c r="D393" s="72" t="s">
        <v>498</v>
      </c>
      <c r="E393" s="85">
        <v>14791940.17221239</v>
      </c>
      <c r="F393" s="85" t="s">
        <v>254</v>
      </c>
      <c r="G393" s="85">
        <v>13007772.267003568</v>
      </c>
      <c r="H393" s="85" t="s">
        <v>254</v>
      </c>
      <c r="I393" s="85">
        <v>539243.39440491714</v>
      </c>
      <c r="J393" s="85">
        <v>1244924.5108039037</v>
      </c>
      <c r="K393" s="85" t="s">
        <v>254</v>
      </c>
      <c r="L393" s="85" t="s">
        <v>254</v>
      </c>
      <c r="M393" s="85">
        <v>62.731160203622458</v>
      </c>
      <c r="N393" s="85" t="s">
        <v>254</v>
      </c>
      <c r="O393" s="85">
        <v>1244861.7796437</v>
      </c>
      <c r="P393" s="85">
        <v>393393.01651130477</v>
      </c>
      <c r="Q393" s="85">
        <v>851468.76313239522</v>
      </c>
      <c r="R393" s="85"/>
      <c r="S393" s="86"/>
    </row>
    <row r="394" spans="1:19" ht="15">
      <c r="A394" s="70">
        <v>11</v>
      </c>
      <c r="B394" s="94" t="str">
        <f t="shared" si="14"/>
        <v>TOT</v>
      </c>
      <c r="C394" s="72" t="s">
        <v>561</v>
      </c>
      <c r="D394" s="72" t="s">
        <v>254</v>
      </c>
      <c r="E394" s="85">
        <v>14791940.17221239</v>
      </c>
      <c r="F394" s="85" t="s">
        <v>254</v>
      </c>
      <c r="G394" s="85">
        <v>13007772.267003568</v>
      </c>
      <c r="H394" s="85" t="s">
        <v>254</v>
      </c>
      <c r="I394" s="85">
        <v>539243.39440491714</v>
      </c>
      <c r="J394" s="85">
        <v>1244924.5108039037</v>
      </c>
      <c r="K394" s="85" t="s">
        <v>254</v>
      </c>
      <c r="L394" s="85" t="s">
        <v>254</v>
      </c>
      <c r="M394" s="85">
        <v>62.731160203622458</v>
      </c>
      <c r="N394" s="85" t="s">
        <v>254</v>
      </c>
      <c r="O394" s="85">
        <v>1244861.7796437</v>
      </c>
      <c r="P394" s="85">
        <v>393393.01651130477</v>
      </c>
      <c r="Q394" s="85">
        <v>851468.76313239522</v>
      </c>
      <c r="R394" s="85"/>
      <c r="S394" s="86"/>
    </row>
    <row r="395" spans="1:19" ht="15">
      <c r="A395" s="70" t="s">
        <v>254</v>
      </c>
      <c r="B395" s="94" t="str">
        <f t="shared" si="14"/>
        <v/>
      </c>
      <c r="C395" s="72" t="s">
        <v>254</v>
      </c>
      <c r="D395" s="72" t="s">
        <v>254</v>
      </c>
      <c r="E395" s="85" t="s">
        <v>254</v>
      </c>
      <c r="F395" s="85" t="s">
        <v>254</v>
      </c>
      <c r="G395" s="85" t="s">
        <v>254</v>
      </c>
      <c r="H395" s="85" t="s">
        <v>254</v>
      </c>
      <c r="I395" s="85" t="s">
        <v>254</v>
      </c>
      <c r="J395" s="85" t="s">
        <v>254</v>
      </c>
      <c r="K395" s="85" t="s">
        <v>254</v>
      </c>
      <c r="L395" s="85" t="s">
        <v>254</v>
      </c>
      <c r="M395" s="85" t="s">
        <v>254</v>
      </c>
      <c r="N395" s="85" t="s">
        <v>254</v>
      </c>
      <c r="O395" s="85" t="s">
        <v>254</v>
      </c>
      <c r="P395" s="85" t="s">
        <v>254</v>
      </c>
      <c r="Q395" s="85" t="s">
        <v>254</v>
      </c>
      <c r="R395" s="85"/>
      <c r="S395" s="86"/>
    </row>
    <row r="396" spans="1:19" ht="15">
      <c r="A396" s="70">
        <v>12</v>
      </c>
      <c r="B396" s="94" t="str">
        <f t="shared" si="14"/>
        <v>449</v>
      </c>
      <c r="C396" s="72" t="s">
        <v>562</v>
      </c>
      <c r="D396" s="72" t="s">
        <v>254</v>
      </c>
      <c r="E396" s="85">
        <v>0</v>
      </c>
      <c r="F396" s="85" t="s">
        <v>254</v>
      </c>
      <c r="G396" s="85">
        <v>0</v>
      </c>
      <c r="H396" s="85" t="s">
        <v>254</v>
      </c>
      <c r="I396" s="85">
        <v>0</v>
      </c>
      <c r="J396" s="85">
        <v>0</v>
      </c>
      <c r="K396" s="85" t="s">
        <v>254</v>
      </c>
      <c r="L396" s="85" t="s">
        <v>254</v>
      </c>
      <c r="M396" s="85">
        <v>0</v>
      </c>
      <c r="N396" s="85" t="s">
        <v>254</v>
      </c>
      <c r="O396" s="85">
        <v>0</v>
      </c>
      <c r="P396" s="85">
        <v>0</v>
      </c>
      <c r="Q396" s="85">
        <v>0</v>
      </c>
      <c r="R396" s="85"/>
      <c r="S396" s="86"/>
    </row>
    <row r="397" spans="1:19" ht="15">
      <c r="A397" s="70" t="s">
        <v>254</v>
      </c>
      <c r="B397" s="94" t="str">
        <f t="shared" si="14"/>
        <v/>
      </c>
      <c r="C397" s="72" t="s">
        <v>254</v>
      </c>
      <c r="D397" s="72" t="s">
        <v>254</v>
      </c>
      <c r="E397" s="85" t="s">
        <v>254</v>
      </c>
      <c r="F397" s="85" t="s">
        <v>254</v>
      </c>
      <c r="G397" s="85" t="s">
        <v>254</v>
      </c>
      <c r="H397" s="85" t="s">
        <v>254</v>
      </c>
      <c r="I397" s="85" t="s">
        <v>254</v>
      </c>
      <c r="J397" s="85" t="s">
        <v>254</v>
      </c>
      <c r="K397" s="85" t="s">
        <v>254</v>
      </c>
      <c r="L397" s="85" t="s">
        <v>254</v>
      </c>
      <c r="M397" s="85" t="s">
        <v>254</v>
      </c>
      <c r="N397" s="85" t="s">
        <v>254</v>
      </c>
      <c r="O397" s="85" t="s">
        <v>254</v>
      </c>
      <c r="P397" s="85" t="s">
        <v>254</v>
      </c>
      <c r="Q397" s="85" t="s">
        <v>254</v>
      </c>
      <c r="R397" s="85"/>
      <c r="S397" s="86"/>
    </row>
    <row r="398" spans="1:19" ht="15">
      <c r="A398" s="70">
        <v>13</v>
      </c>
      <c r="B398" s="94" t="str">
        <f t="shared" si="14"/>
        <v>TAL</v>
      </c>
      <c r="C398" s="72" t="s">
        <v>563</v>
      </c>
      <c r="D398" s="72" t="s">
        <v>254</v>
      </c>
      <c r="E398" s="85">
        <v>1801003609.2728405</v>
      </c>
      <c r="F398" s="85" t="s">
        <v>254</v>
      </c>
      <c r="G398" s="85">
        <v>1611170006.6446187</v>
      </c>
      <c r="H398" s="85" t="s">
        <v>254</v>
      </c>
      <c r="I398" s="85">
        <v>74476153.136714563</v>
      </c>
      <c r="J398" s="85">
        <v>115357449.49150735</v>
      </c>
      <c r="K398" s="85" t="s">
        <v>254</v>
      </c>
      <c r="L398" s="85" t="s">
        <v>254</v>
      </c>
      <c r="M398" s="85">
        <v>62.731160203622458</v>
      </c>
      <c r="N398" s="85" t="s">
        <v>254</v>
      </c>
      <c r="O398" s="85">
        <v>115357386.76034714</v>
      </c>
      <c r="P398" s="85">
        <v>35884986.826446235</v>
      </c>
      <c r="Q398" s="85">
        <v>79472399.933900908</v>
      </c>
      <c r="R398" s="85"/>
      <c r="S398" s="86"/>
    </row>
    <row r="399" spans="1:19" ht="15">
      <c r="A399" s="70" t="s">
        <v>254</v>
      </c>
      <c r="B399" s="94" t="str">
        <f t="shared" si="14"/>
        <v/>
      </c>
      <c r="C399" s="72" t="s">
        <v>254</v>
      </c>
      <c r="D399" s="72" t="s">
        <v>254</v>
      </c>
      <c r="E399" s="85" t="s">
        <v>254</v>
      </c>
      <c r="F399" s="85" t="s">
        <v>254</v>
      </c>
      <c r="G399" s="85" t="s">
        <v>254</v>
      </c>
      <c r="H399" s="85" t="s">
        <v>254</v>
      </c>
      <c r="I399" s="85" t="s">
        <v>254</v>
      </c>
      <c r="J399" s="85" t="s">
        <v>254</v>
      </c>
      <c r="K399" s="85" t="s">
        <v>254</v>
      </c>
      <c r="L399" s="85" t="s">
        <v>254</v>
      </c>
      <c r="M399" s="85" t="s">
        <v>254</v>
      </c>
      <c r="N399" s="85" t="s">
        <v>254</v>
      </c>
      <c r="O399" s="85" t="s">
        <v>254</v>
      </c>
      <c r="P399" s="85" t="s">
        <v>254</v>
      </c>
      <c r="Q399" s="85" t="s">
        <v>254</v>
      </c>
      <c r="R399" s="85"/>
      <c r="S399" s="86"/>
    </row>
    <row r="400" spans="1:19" ht="15">
      <c r="A400" s="70" t="s">
        <v>254</v>
      </c>
      <c r="B400" s="94" t="str">
        <f t="shared" si="14"/>
        <v>HER</v>
      </c>
      <c r="C400" s="72" t="s">
        <v>564</v>
      </c>
      <c r="D400" s="72" t="s">
        <v>254</v>
      </c>
      <c r="E400" s="85" t="s">
        <v>254</v>
      </c>
      <c r="F400" s="85" t="s">
        <v>254</v>
      </c>
      <c r="G400" s="85" t="s">
        <v>254</v>
      </c>
      <c r="H400" s="85" t="s">
        <v>254</v>
      </c>
      <c r="I400" s="85" t="s">
        <v>254</v>
      </c>
      <c r="J400" s="85" t="s">
        <v>254</v>
      </c>
      <c r="K400" s="85" t="s">
        <v>254</v>
      </c>
      <c r="L400" s="85" t="s">
        <v>254</v>
      </c>
      <c r="M400" s="85" t="s">
        <v>254</v>
      </c>
      <c r="N400" s="85" t="s">
        <v>254</v>
      </c>
      <c r="O400" s="85" t="s">
        <v>254</v>
      </c>
      <c r="P400" s="85" t="s">
        <v>254</v>
      </c>
      <c r="Q400" s="85" t="s">
        <v>254</v>
      </c>
      <c r="R400" s="85"/>
      <c r="S400" s="86"/>
    </row>
    <row r="401" spans="1:19" ht="15">
      <c r="A401" s="70">
        <v>14</v>
      </c>
      <c r="B401" s="94" t="str">
        <f t="shared" si="14"/>
        <v>450</v>
      </c>
      <c r="C401" s="72" t="s">
        <v>565</v>
      </c>
      <c r="D401" s="72" t="s">
        <v>566</v>
      </c>
      <c r="E401" s="85">
        <v>4000811.2358339988</v>
      </c>
      <c r="F401" s="85" t="s">
        <v>254</v>
      </c>
      <c r="G401" s="85">
        <v>3857505.2961587054</v>
      </c>
      <c r="H401" s="85" t="s">
        <v>254</v>
      </c>
      <c r="I401" s="85">
        <v>143265.74534040981</v>
      </c>
      <c r="J401" s="85">
        <v>40.194334883672106</v>
      </c>
      <c r="K401" s="85" t="s">
        <v>254</v>
      </c>
      <c r="L401" s="85" t="s">
        <v>254</v>
      </c>
      <c r="M401" s="85">
        <v>0</v>
      </c>
      <c r="N401" s="85" t="s">
        <v>254</v>
      </c>
      <c r="O401" s="85">
        <v>40.194334883672106</v>
      </c>
      <c r="P401" s="85">
        <v>40.194334883672106</v>
      </c>
      <c r="Q401" s="85">
        <v>0</v>
      </c>
      <c r="R401" s="85"/>
      <c r="S401" s="86"/>
    </row>
    <row r="402" spans="1:19" ht="15">
      <c r="A402" s="70">
        <v>15</v>
      </c>
      <c r="B402" s="94" t="str">
        <f t="shared" si="14"/>
        <v>451</v>
      </c>
      <c r="C402" s="72" t="s">
        <v>567</v>
      </c>
      <c r="D402" s="72" t="s">
        <v>568</v>
      </c>
      <c r="E402" s="85">
        <v>2166769.14586</v>
      </c>
      <c r="F402" s="85" t="s">
        <v>254</v>
      </c>
      <c r="G402" s="85">
        <v>2050964.8152996863</v>
      </c>
      <c r="H402" s="85" t="s">
        <v>254</v>
      </c>
      <c r="I402" s="85">
        <v>115804.33056031384</v>
      </c>
      <c r="J402" s="85">
        <v>0</v>
      </c>
      <c r="K402" s="85" t="s">
        <v>254</v>
      </c>
      <c r="L402" s="85" t="s">
        <v>254</v>
      </c>
      <c r="M402" s="85">
        <v>0</v>
      </c>
      <c r="N402" s="85" t="s">
        <v>254</v>
      </c>
      <c r="O402" s="85">
        <v>0</v>
      </c>
      <c r="P402" s="85">
        <v>0</v>
      </c>
      <c r="Q402" s="85">
        <v>0</v>
      </c>
      <c r="R402" s="85"/>
      <c r="S402" s="86"/>
    </row>
    <row r="403" spans="1:19" ht="15">
      <c r="A403" s="70">
        <v>16</v>
      </c>
      <c r="B403" s="94" t="str">
        <f t="shared" si="14"/>
        <v>451</v>
      </c>
      <c r="C403" s="72" t="s">
        <v>569</v>
      </c>
      <c r="D403" s="72" t="s">
        <v>570</v>
      </c>
      <c r="E403" s="85">
        <v>57580.899920000011</v>
      </c>
      <c r="F403" s="85" t="s">
        <v>254</v>
      </c>
      <c r="G403" s="85">
        <v>57316.771479968833</v>
      </c>
      <c r="H403" s="85" t="s">
        <v>254</v>
      </c>
      <c r="I403" s="85">
        <v>264.12844003117868</v>
      </c>
      <c r="J403" s="85">
        <v>0</v>
      </c>
      <c r="K403" s="85" t="s">
        <v>254</v>
      </c>
      <c r="L403" s="85" t="s">
        <v>254</v>
      </c>
      <c r="M403" s="85">
        <v>0</v>
      </c>
      <c r="N403" s="85" t="s">
        <v>254</v>
      </c>
      <c r="O403" s="85">
        <v>0</v>
      </c>
      <c r="P403" s="85">
        <v>0</v>
      </c>
      <c r="Q403" s="85">
        <v>0</v>
      </c>
      <c r="R403" s="85"/>
      <c r="S403" s="86"/>
    </row>
    <row r="404" spans="1:19" ht="15">
      <c r="A404" s="70">
        <v>17</v>
      </c>
      <c r="B404" s="94" t="str">
        <f t="shared" si="14"/>
        <v>454</v>
      </c>
      <c r="C404" s="72" t="s">
        <v>571</v>
      </c>
      <c r="D404" s="72" t="s">
        <v>572</v>
      </c>
      <c r="E404" s="85">
        <v>3367539.4774159999</v>
      </c>
      <c r="F404" s="85" t="s">
        <v>254</v>
      </c>
      <c r="G404" s="85">
        <v>3142644.6954118521</v>
      </c>
      <c r="H404" s="85" t="s">
        <v>254</v>
      </c>
      <c r="I404" s="85">
        <v>224839.69486088777</v>
      </c>
      <c r="J404" s="85">
        <v>55.087143259967277</v>
      </c>
      <c r="K404" s="85" t="s">
        <v>254</v>
      </c>
      <c r="L404" s="85" t="s">
        <v>254</v>
      </c>
      <c r="M404" s="85">
        <v>55.087143259967277</v>
      </c>
      <c r="N404" s="85" t="s">
        <v>254</v>
      </c>
      <c r="O404" s="85">
        <v>0</v>
      </c>
      <c r="P404" s="85">
        <v>0</v>
      </c>
      <c r="Q404" s="85">
        <v>0</v>
      </c>
      <c r="R404" s="85"/>
      <c r="S404" s="86"/>
    </row>
    <row r="405" spans="1:19" ht="15">
      <c r="A405" s="70">
        <v>18</v>
      </c>
      <c r="B405" s="94" t="str">
        <f t="shared" si="14"/>
        <v>456</v>
      </c>
      <c r="C405" s="72" t="s">
        <v>573</v>
      </c>
      <c r="D405" s="72" t="s">
        <v>344</v>
      </c>
      <c r="E405" s="85">
        <v>21208178.656022348</v>
      </c>
      <c r="F405" s="85" t="s">
        <v>254</v>
      </c>
      <c r="G405" s="85">
        <v>20271298.394020729</v>
      </c>
      <c r="H405" s="85" t="s">
        <v>254</v>
      </c>
      <c r="I405" s="85">
        <v>936809.03014271869</v>
      </c>
      <c r="J405" s="85">
        <v>71.231858900577919</v>
      </c>
      <c r="K405" s="85" t="s">
        <v>254</v>
      </c>
      <c r="L405" s="85" t="s">
        <v>254</v>
      </c>
      <c r="M405" s="85">
        <v>71.231858900577919</v>
      </c>
      <c r="N405" s="85" t="s">
        <v>254</v>
      </c>
      <c r="O405" s="85">
        <v>0</v>
      </c>
      <c r="P405" s="85">
        <v>0</v>
      </c>
      <c r="Q405" s="85">
        <v>0</v>
      </c>
      <c r="R405" s="85"/>
      <c r="S405" s="86"/>
    </row>
    <row r="406" spans="1:19" ht="15">
      <c r="A406" s="70">
        <v>19</v>
      </c>
      <c r="B406" s="94" t="str">
        <f t="shared" si="14"/>
        <v>456</v>
      </c>
      <c r="C406" s="72" t="s">
        <v>574</v>
      </c>
      <c r="D406" s="72" t="s">
        <v>575</v>
      </c>
      <c r="E406" s="85">
        <v>1202902.1105319702</v>
      </c>
      <c r="F406" s="85" t="s">
        <v>254</v>
      </c>
      <c r="G406" s="85">
        <v>1053474.3115989505</v>
      </c>
      <c r="H406" s="85" t="s">
        <v>254</v>
      </c>
      <c r="I406" s="85">
        <v>48684.806910068502</v>
      </c>
      <c r="J406" s="85">
        <v>100742.99202295124</v>
      </c>
      <c r="K406" s="85" t="s">
        <v>254</v>
      </c>
      <c r="L406" s="85" t="s">
        <v>254</v>
      </c>
      <c r="M406" s="85">
        <v>3.7018316271903999</v>
      </c>
      <c r="N406" s="85" t="s">
        <v>254</v>
      </c>
      <c r="O406" s="85">
        <v>100739.29019132405</v>
      </c>
      <c r="P406" s="85">
        <v>31265.333393102188</v>
      </c>
      <c r="Q406" s="85">
        <v>69473.956798221858</v>
      </c>
      <c r="R406" s="85"/>
      <c r="S406" s="86"/>
    </row>
    <row r="407" spans="1:19" ht="15">
      <c r="A407" s="70">
        <v>20</v>
      </c>
      <c r="B407" s="94" t="str">
        <f t="shared" si="14"/>
        <v>456</v>
      </c>
      <c r="C407" s="72" t="s">
        <v>576</v>
      </c>
      <c r="D407" s="72" t="s">
        <v>515</v>
      </c>
      <c r="E407" s="85">
        <v>600</v>
      </c>
      <c r="F407" s="85" t="s">
        <v>254</v>
      </c>
      <c r="G407" s="85">
        <v>600</v>
      </c>
      <c r="H407" s="85" t="s">
        <v>254</v>
      </c>
      <c r="I407" s="85">
        <v>0</v>
      </c>
      <c r="J407" s="85">
        <v>0</v>
      </c>
      <c r="K407" s="85" t="s">
        <v>254</v>
      </c>
      <c r="L407" s="85" t="s">
        <v>254</v>
      </c>
      <c r="M407" s="85">
        <v>0</v>
      </c>
      <c r="N407" s="85" t="s">
        <v>254</v>
      </c>
      <c r="O407" s="85">
        <v>0</v>
      </c>
      <c r="P407" s="85">
        <v>0</v>
      </c>
      <c r="Q407" s="85">
        <v>0</v>
      </c>
      <c r="R407" s="85"/>
      <c r="S407" s="86"/>
    </row>
    <row r="408" spans="1:19" ht="15">
      <c r="A408" s="70">
        <v>21</v>
      </c>
      <c r="B408" s="94" t="str">
        <f t="shared" si="14"/>
        <v>456</v>
      </c>
      <c r="C408" s="72" t="s">
        <v>577</v>
      </c>
      <c r="D408" s="72" t="s">
        <v>578</v>
      </c>
      <c r="E408" s="85">
        <v>153025.22119999997</v>
      </c>
      <c r="F408" s="85" t="s">
        <v>254</v>
      </c>
      <c r="G408" s="85">
        <v>153158.37567627843</v>
      </c>
      <c r="H408" s="85" t="s">
        <v>254</v>
      </c>
      <c r="I408" s="85">
        <v>-133.15447627844711</v>
      </c>
      <c r="J408" s="85">
        <v>0</v>
      </c>
      <c r="K408" s="85" t="s">
        <v>254</v>
      </c>
      <c r="L408" s="85" t="s">
        <v>254</v>
      </c>
      <c r="M408" s="85">
        <v>0</v>
      </c>
      <c r="N408" s="85" t="s">
        <v>254</v>
      </c>
      <c r="O408" s="85">
        <v>0</v>
      </c>
      <c r="P408" s="85">
        <v>0</v>
      </c>
      <c r="Q408" s="85">
        <v>0</v>
      </c>
      <c r="R408" s="85"/>
      <c r="S408" s="86"/>
    </row>
    <row r="409" spans="1:19" ht="15">
      <c r="A409" s="70">
        <v>22</v>
      </c>
      <c r="B409" s="94" t="str">
        <f t="shared" si="14"/>
        <v>456</v>
      </c>
      <c r="C409" s="72" t="s">
        <v>579</v>
      </c>
      <c r="D409" s="72" t="s">
        <v>580</v>
      </c>
      <c r="E409" s="85">
        <v>17812.882574000007</v>
      </c>
      <c r="F409" s="85" t="s">
        <v>254</v>
      </c>
      <c r="G409" s="85">
        <v>17812.882574000007</v>
      </c>
      <c r="H409" s="85" t="s">
        <v>254</v>
      </c>
      <c r="I409" s="85">
        <v>0</v>
      </c>
      <c r="J409" s="85">
        <v>0</v>
      </c>
      <c r="K409" s="85" t="s">
        <v>254</v>
      </c>
      <c r="L409" s="85" t="s">
        <v>254</v>
      </c>
      <c r="M409" s="85">
        <v>0</v>
      </c>
      <c r="N409" s="85" t="s">
        <v>254</v>
      </c>
      <c r="O409" s="85">
        <v>0</v>
      </c>
      <c r="P409" s="85">
        <v>0</v>
      </c>
      <c r="Q409" s="85">
        <v>0</v>
      </c>
      <c r="R409" s="85"/>
      <c r="S409" s="86"/>
    </row>
    <row r="410" spans="1:19" ht="15">
      <c r="A410" s="70">
        <v>23</v>
      </c>
      <c r="B410" s="94" t="str">
        <f t="shared" si="14"/>
        <v>456</v>
      </c>
      <c r="C410" s="72" t="s">
        <v>581</v>
      </c>
      <c r="D410" s="72" t="s">
        <v>582</v>
      </c>
      <c r="E410" s="85">
        <v>31159.913393999996</v>
      </c>
      <c r="F410" s="85" t="s">
        <v>254</v>
      </c>
      <c r="G410" s="85">
        <v>22317.831393999993</v>
      </c>
      <c r="H410" s="85" t="s">
        <v>254</v>
      </c>
      <c r="I410" s="85">
        <v>2038.2500000000002</v>
      </c>
      <c r="J410" s="85">
        <v>6803.8320000000003</v>
      </c>
      <c r="K410" s="85" t="s">
        <v>254</v>
      </c>
      <c r="L410" s="85" t="s">
        <v>254</v>
      </c>
      <c r="M410" s="85">
        <v>0</v>
      </c>
      <c r="N410" s="85" t="s">
        <v>254</v>
      </c>
      <c r="O410" s="85">
        <v>6803.8320000000003</v>
      </c>
      <c r="P410" s="85">
        <v>2763.36</v>
      </c>
      <c r="Q410" s="85">
        <v>4040.4720000000007</v>
      </c>
      <c r="R410" s="85"/>
      <c r="S410" s="86"/>
    </row>
    <row r="411" spans="1:19" ht="15">
      <c r="A411" s="70">
        <v>24</v>
      </c>
      <c r="B411" s="94" t="str">
        <f t="shared" si="14"/>
        <v>456</v>
      </c>
      <c r="C411" s="72" t="s">
        <v>583</v>
      </c>
      <c r="D411" s="72" t="s">
        <v>515</v>
      </c>
      <c r="E411" s="85">
        <v>0</v>
      </c>
      <c r="F411" s="85" t="s">
        <v>254</v>
      </c>
      <c r="G411" s="85">
        <v>0</v>
      </c>
      <c r="H411" s="85" t="s">
        <v>254</v>
      </c>
      <c r="I411" s="85">
        <v>0</v>
      </c>
      <c r="J411" s="85">
        <v>0</v>
      </c>
      <c r="K411" s="85" t="s">
        <v>254</v>
      </c>
      <c r="L411" s="85" t="s">
        <v>254</v>
      </c>
      <c r="M411" s="85">
        <v>0</v>
      </c>
      <c r="N411" s="85" t="s">
        <v>254</v>
      </c>
      <c r="O411" s="85">
        <v>0</v>
      </c>
      <c r="P411" s="85">
        <v>0</v>
      </c>
      <c r="Q411" s="85">
        <v>0</v>
      </c>
      <c r="R411" s="85"/>
      <c r="S411" s="86"/>
    </row>
    <row r="412" spans="1:19" ht="15">
      <c r="A412" s="70">
        <v>25</v>
      </c>
      <c r="B412" s="94" t="str">
        <f t="shared" si="14"/>
        <v>456</v>
      </c>
      <c r="C412" s="72" t="s">
        <v>2428</v>
      </c>
      <c r="D412" s="72" t="s">
        <v>498</v>
      </c>
      <c r="E412" s="85">
        <v>142901.77199999997</v>
      </c>
      <c r="F412" s="85" t="s">
        <v>254</v>
      </c>
      <c r="G412" s="85">
        <v>125665.30726099105</v>
      </c>
      <c r="H412" s="85" t="s">
        <v>254</v>
      </c>
      <c r="I412" s="85">
        <v>5209.5151618120744</v>
      </c>
      <c r="J412" s="85">
        <v>12026.949577196854</v>
      </c>
      <c r="K412" s="85" t="s">
        <v>254</v>
      </c>
      <c r="L412" s="85" t="s">
        <v>254</v>
      </c>
      <c r="M412" s="85">
        <v>0.60603232898100279</v>
      </c>
      <c r="N412" s="85" t="s">
        <v>254</v>
      </c>
      <c r="O412" s="85">
        <v>12026.343544867874</v>
      </c>
      <c r="P412" s="85">
        <v>3800.485838733794</v>
      </c>
      <c r="Q412" s="85">
        <v>8225.8577061340802</v>
      </c>
      <c r="R412" s="85"/>
      <c r="S412" s="86"/>
    </row>
    <row r="413" spans="1:19" ht="15">
      <c r="A413" s="70">
        <v>26</v>
      </c>
      <c r="B413" s="94" t="str">
        <f t="shared" si="14"/>
        <v>456</v>
      </c>
      <c r="C413" s="72" t="s">
        <v>2429</v>
      </c>
      <c r="D413" s="72" t="s">
        <v>515</v>
      </c>
      <c r="E413" s="85">
        <v>372730.96</v>
      </c>
      <c r="F413" s="85" t="s">
        <v>254</v>
      </c>
      <c r="G413" s="85">
        <v>372730.96</v>
      </c>
      <c r="H413" s="85" t="s">
        <v>254</v>
      </c>
      <c r="I413" s="85">
        <v>0</v>
      </c>
      <c r="J413" s="85">
        <v>0</v>
      </c>
      <c r="K413" s="85" t="s">
        <v>254</v>
      </c>
      <c r="L413" s="85" t="s">
        <v>254</v>
      </c>
      <c r="M413" s="85">
        <v>0</v>
      </c>
      <c r="N413" s="85" t="s">
        <v>254</v>
      </c>
      <c r="O413" s="85">
        <v>0</v>
      </c>
      <c r="P413" s="85">
        <v>0</v>
      </c>
      <c r="Q413" s="85">
        <v>0</v>
      </c>
      <c r="R413" s="85"/>
      <c r="S413" s="86"/>
    </row>
    <row r="414" spans="1:19" ht="15">
      <c r="A414" s="70">
        <v>27</v>
      </c>
      <c r="B414" s="94" t="str">
        <f t="shared" si="14"/>
        <v>456</v>
      </c>
      <c r="C414" s="72" t="s">
        <v>2430</v>
      </c>
      <c r="D414" s="72" t="s">
        <v>515</v>
      </c>
      <c r="E414" s="85">
        <v>33721.1</v>
      </c>
      <c r="F414" s="85" t="s">
        <v>254</v>
      </c>
      <c r="G414" s="85">
        <v>33721.1</v>
      </c>
      <c r="H414" s="85" t="s">
        <v>254</v>
      </c>
      <c r="I414" s="85">
        <v>0</v>
      </c>
      <c r="J414" s="85">
        <v>0</v>
      </c>
      <c r="K414" s="85" t="s">
        <v>254</v>
      </c>
      <c r="L414" s="85" t="s">
        <v>254</v>
      </c>
      <c r="M414" s="85">
        <v>0</v>
      </c>
      <c r="N414" s="85" t="s">
        <v>254</v>
      </c>
      <c r="O414" s="85">
        <v>0</v>
      </c>
      <c r="P414" s="85">
        <v>0</v>
      </c>
      <c r="Q414" s="85">
        <v>0</v>
      </c>
      <c r="R414" s="85"/>
      <c r="S414" s="86"/>
    </row>
    <row r="415" spans="1:19" ht="15">
      <c r="A415" s="70">
        <v>28</v>
      </c>
      <c r="B415" s="94" t="str">
        <f t="shared" si="14"/>
        <v>456</v>
      </c>
      <c r="C415" s="72" t="s">
        <v>2431</v>
      </c>
      <c r="D415" s="72" t="s">
        <v>515</v>
      </c>
      <c r="E415" s="85">
        <v>287280.96000000002</v>
      </c>
      <c r="F415" s="85" t="s">
        <v>254</v>
      </c>
      <c r="G415" s="85">
        <v>287280.96000000002</v>
      </c>
      <c r="H415" s="85" t="s">
        <v>254</v>
      </c>
      <c r="I415" s="85">
        <v>0</v>
      </c>
      <c r="J415" s="85">
        <v>0</v>
      </c>
      <c r="K415" s="85" t="s">
        <v>254</v>
      </c>
      <c r="L415" s="85" t="s">
        <v>254</v>
      </c>
      <c r="M415" s="85">
        <v>0</v>
      </c>
      <c r="N415" s="85" t="s">
        <v>254</v>
      </c>
      <c r="O415" s="85">
        <v>0</v>
      </c>
      <c r="P415" s="85">
        <v>0</v>
      </c>
      <c r="Q415" s="85">
        <v>0</v>
      </c>
      <c r="R415" s="85"/>
      <c r="S415" s="86"/>
    </row>
    <row r="416" spans="1:19" ht="15">
      <c r="A416" s="70">
        <v>29</v>
      </c>
      <c r="B416" s="94" t="str">
        <f t="shared" si="14"/>
        <v>TAL</v>
      </c>
      <c r="C416" s="72" t="s">
        <v>584</v>
      </c>
      <c r="D416" s="72" t="s">
        <v>254</v>
      </c>
      <c r="E416" s="85">
        <v>33043014.334752318</v>
      </c>
      <c r="F416" s="85" t="s">
        <v>254</v>
      </c>
      <c r="G416" s="85">
        <v>31446491.700875163</v>
      </c>
      <c r="H416" s="85" t="s">
        <v>254</v>
      </c>
      <c r="I416" s="85">
        <v>1476782.3469399633</v>
      </c>
      <c r="J416" s="85">
        <v>119740.28693719229</v>
      </c>
      <c r="K416" s="85" t="s">
        <v>254</v>
      </c>
      <c r="L416" s="85" t="s">
        <v>254</v>
      </c>
      <c r="M416" s="85">
        <v>130.6268661167166</v>
      </c>
      <c r="N416" s="85" t="s">
        <v>254</v>
      </c>
      <c r="O416" s="85">
        <v>119609.66007107557</v>
      </c>
      <c r="P416" s="85">
        <v>37869.373566719652</v>
      </c>
      <c r="Q416" s="85">
        <v>81740.286504355929</v>
      </c>
      <c r="R416" s="85"/>
      <c r="S416" s="86"/>
    </row>
    <row r="417" spans="1:19" ht="15">
      <c r="A417" s="70" t="s">
        <v>254</v>
      </c>
      <c r="B417" s="94" t="str">
        <f t="shared" si="14"/>
        <v/>
      </c>
      <c r="C417" s="72" t="s">
        <v>254</v>
      </c>
      <c r="D417" s="72" t="s">
        <v>254</v>
      </c>
      <c r="E417" s="85" t="s">
        <v>254</v>
      </c>
      <c r="F417" s="85" t="s">
        <v>254</v>
      </c>
      <c r="G417" s="85" t="s">
        <v>254</v>
      </c>
      <c r="H417" s="85" t="s">
        <v>254</v>
      </c>
      <c r="I417" s="85" t="s">
        <v>254</v>
      </c>
      <c r="J417" s="85" t="s">
        <v>254</v>
      </c>
      <c r="K417" s="85" t="s">
        <v>254</v>
      </c>
      <c r="L417" s="85" t="s">
        <v>254</v>
      </c>
      <c r="M417" s="85" t="s">
        <v>254</v>
      </c>
      <c r="N417" s="85" t="s">
        <v>254</v>
      </c>
      <c r="O417" s="85" t="s">
        <v>254</v>
      </c>
      <c r="P417" s="85" t="s">
        <v>254</v>
      </c>
      <c r="Q417" s="85" t="s">
        <v>254</v>
      </c>
      <c r="R417" s="85"/>
      <c r="S417" s="86"/>
    </row>
    <row r="418" spans="1:19" ht="15">
      <c r="A418" s="70">
        <v>30</v>
      </c>
      <c r="B418" s="94" t="str">
        <f t="shared" si="14"/>
        <v>TAL</v>
      </c>
      <c r="C418" s="72" t="s">
        <v>585</v>
      </c>
      <c r="D418" s="72" t="s">
        <v>254</v>
      </c>
      <c r="E418" s="85">
        <v>1834046623.6075928</v>
      </c>
      <c r="F418" s="85" t="s">
        <v>254</v>
      </c>
      <c r="G418" s="85">
        <v>1642616498.3454938</v>
      </c>
      <c r="H418" s="85" t="s">
        <v>254</v>
      </c>
      <c r="I418" s="85">
        <v>75952935.483654529</v>
      </c>
      <c r="J418" s="85">
        <v>115477189.77844454</v>
      </c>
      <c r="K418" s="85" t="s">
        <v>254</v>
      </c>
      <c r="L418" s="85" t="s">
        <v>254</v>
      </c>
      <c r="M418" s="85">
        <v>193.35802632033906</v>
      </c>
      <c r="N418" s="85" t="s">
        <v>254</v>
      </c>
      <c r="O418" s="85">
        <v>115476996.42041822</v>
      </c>
      <c r="P418" s="85">
        <v>35922856.200012952</v>
      </c>
      <c r="Q418" s="85">
        <v>79554140.220405266</v>
      </c>
      <c r="R418" s="85"/>
      <c r="S418" s="86"/>
    </row>
    <row r="419" spans="1:19" ht="15">
      <c r="A419" s="70" t="s">
        <v>254</v>
      </c>
      <c r="B419" s="94" t="str">
        <f t="shared" si="14"/>
        <v/>
      </c>
      <c r="C419" s="72" t="s">
        <v>254</v>
      </c>
      <c r="D419" s="72" t="s">
        <v>254</v>
      </c>
      <c r="E419" s="85" t="s">
        <v>254</v>
      </c>
      <c r="F419" s="85" t="s">
        <v>254</v>
      </c>
      <c r="G419" s="85" t="s">
        <v>254</v>
      </c>
      <c r="H419" s="85" t="s">
        <v>254</v>
      </c>
      <c r="I419" s="85" t="s">
        <v>254</v>
      </c>
      <c r="J419" s="85" t="s">
        <v>254</v>
      </c>
      <c r="K419" s="85" t="s">
        <v>254</v>
      </c>
      <c r="L419" s="85" t="s">
        <v>254</v>
      </c>
      <c r="M419" s="85" t="s">
        <v>254</v>
      </c>
      <c r="N419" s="85" t="s">
        <v>254</v>
      </c>
      <c r="O419" s="85" t="s">
        <v>254</v>
      </c>
      <c r="P419" s="85" t="s">
        <v>254</v>
      </c>
      <c r="Q419" s="85" t="s">
        <v>254</v>
      </c>
      <c r="R419" s="85"/>
      <c r="S419" s="86"/>
    </row>
    <row r="420" spans="1:19" ht="15">
      <c r="A420" s="70" t="s">
        <v>254</v>
      </c>
      <c r="B420" s="94" t="str">
        <f t="shared" si="14"/>
        <v/>
      </c>
      <c r="C420" s="72" t="s">
        <v>254</v>
      </c>
      <c r="D420" s="72" t="s">
        <v>254</v>
      </c>
      <c r="E420" s="85" t="s">
        <v>254</v>
      </c>
      <c r="F420" s="85" t="s">
        <v>254</v>
      </c>
      <c r="G420" s="85" t="s">
        <v>254</v>
      </c>
      <c r="H420" s="85" t="s">
        <v>254</v>
      </c>
      <c r="I420" s="85" t="s">
        <v>254</v>
      </c>
      <c r="J420" s="85" t="s">
        <v>254</v>
      </c>
      <c r="K420" s="85" t="s">
        <v>254</v>
      </c>
      <c r="L420" s="85" t="s">
        <v>254</v>
      </c>
      <c r="M420" s="85" t="s">
        <v>254</v>
      </c>
      <c r="N420" s="85" t="s">
        <v>254</v>
      </c>
      <c r="O420" s="85" t="s">
        <v>254</v>
      </c>
      <c r="P420" s="85" t="s">
        <v>254</v>
      </c>
      <c r="Q420" s="85" t="s">
        <v>254</v>
      </c>
      <c r="R420" s="85"/>
      <c r="S420" s="86"/>
    </row>
    <row r="421" spans="1:19" ht="15">
      <c r="A421" s="70" t="s">
        <v>254</v>
      </c>
      <c r="B421" s="94" t="str">
        <f t="shared" si="14"/>
        <v>ERA</v>
      </c>
      <c r="C421" s="72" t="s">
        <v>586</v>
      </c>
      <c r="D421" s="72" t="s">
        <v>254</v>
      </c>
      <c r="E421" s="85" t="s">
        <v>254</v>
      </c>
      <c r="F421" s="85" t="s">
        <v>254</v>
      </c>
      <c r="G421" s="85" t="s">
        <v>254</v>
      </c>
      <c r="H421" s="85" t="s">
        <v>254</v>
      </c>
      <c r="I421" s="85" t="s">
        <v>254</v>
      </c>
      <c r="J421" s="85" t="s">
        <v>254</v>
      </c>
      <c r="K421" s="85" t="s">
        <v>254</v>
      </c>
      <c r="L421" s="85" t="s">
        <v>254</v>
      </c>
      <c r="M421" s="85" t="s">
        <v>254</v>
      </c>
      <c r="N421" s="85" t="s">
        <v>254</v>
      </c>
      <c r="O421" s="85" t="s">
        <v>254</v>
      </c>
      <c r="P421" s="85" t="s">
        <v>254</v>
      </c>
      <c r="Q421" s="85" t="s">
        <v>254</v>
      </c>
      <c r="R421" s="85"/>
      <c r="S421" s="86"/>
    </row>
    <row r="422" spans="1:19" ht="15">
      <c r="A422" s="70" t="s">
        <v>254</v>
      </c>
      <c r="B422" s="94" t="str">
        <f t="shared" si="14"/>
        <v/>
      </c>
      <c r="C422" s="72" t="s">
        <v>254</v>
      </c>
      <c r="D422" s="72" t="s">
        <v>254</v>
      </c>
      <c r="E422" s="85" t="s">
        <v>254</v>
      </c>
      <c r="F422" s="85" t="s">
        <v>254</v>
      </c>
      <c r="G422" s="85" t="s">
        <v>254</v>
      </c>
      <c r="H422" s="85" t="s">
        <v>254</v>
      </c>
      <c r="I422" s="85" t="s">
        <v>254</v>
      </c>
      <c r="J422" s="85" t="s">
        <v>254</v>
      </c>
      <c r="K422" s="85" t="s">
        <v>254</v>
      </c>
      <c r="L422" s="85" t="s">
        <v>254</v>
      </c>
      <c r="M422" s="85" t="s">
        <v>254</v>
      </c>
      <c r="N422" s="85" t="s">
        <v>254</v>
      </c>
      <c r="O422" s="85" t="s">
        <v>254</v>
      </c>
      <c r="P422" s="85" t="s">
        <v>254</v>
      </c>
      <c r="Q422" s="85" t="s">
        <v>254</v>
      </c>
      <c r="R422" s="85"/>
      <c r="S422" s="86"/>
    </row>
    <row r="423" spans="1:19" ht="15">
      <c r="A423" s="70" t="s">
        <v>254</v>
      </c>
      <c r="B423" s="94" t="str">
        <f t="shared" si="14"/>
        <v>ODU</v>
      </c>
      <c r="C423" s="72" t="s">
        <v>587</v>
      </c>
      <c r="D423" s="72" t="s">
        <v>254</v>
      </c>
      <c r="E423" s="85" t="s">
        <v>254</v>
      </c>
      <c r="F423" s="85" t="s">
        <v>254</v>
      </c>
      <c r="G423" s="85" t="s">
        <v>254</v>
      </c>
      <c r="H423" s="85" t="s">
        <v>254</v>
      </c>
      <c r="I423" s="85" t="s">
        <v>254</v>
      </c>
      <c r="J423" s="85" t="s">
        <v>254</v>
      </c>
      <c r="K423" s="85" t="s">
        <v>254</v>
      </c>
      <c r="L423" s="85" t="s">
        <v>254</v>
      </c>
      <c r="M423" s="85" t="s">
        <v>254</v>
      </c>
      <c r="N423" s="85" t="s">
        <v>254</v>
      </c>
      <c r="O423" s="85" t="s">
        <v>254</v>
      </c>
      <c r="P423" s="85" t="s">
        <v>254</v>
      </c>
      <c r="Q423" s="85" t="s">
        <v>254</v>
      </c>
      <c r="R423" s="85"/>
      <c r="S423" s="86"/>
    </row>
    <row r="424" spans="1:19" ht="15">
      <c r="A424" s="70">
        <v>1</v>
      </c>
      <c r="B424" s="94" t="str">
        <f t="shared" si="14"/>
        <v>500</v>
      </c>
      <c r="C424" s="72" t="s">
        <v>588</v>
      </c>
      <c r="D424" s="72" t="s">
        <v>589</v>
      </c>
      <c r="E424" s="85">
        <v>10778628.999999899</v>
      </c>
      <c r="F424" s="85" t="s">
        <v>254</v>
      </c>
      <c r="G424" s="85">
        <v>9442701.0434221886</v>
      </c>
      <c r="H424" s="85" t="s">
        <v>254</v>
      </c>
      <c r="I424" s="85">
        <v>421458.16443275817</v>
      </c>
      <c r="J424" s="85">
        <v>914469.79214495246</v>
      </c>
      <c r="K424" s="85" t="s">
        <v>254</v>
      </c>
      <c r="L424" s="85" t="s">
        <v>254</v>
      </c>
      <c r="M424" s="85">
        <v>31.234020011380032</v>
      </c>
      <c r="N424" s="85" t="s">
        <v>254</v>
      </c>
      <c r="O424" s="85">
        <v>914438.55812494108</v>
      </c>
      <c r="P424" s="85">
        <v>283804.12779348932</v>
      </c>
      <c r="Q424" s="85">
        <v>630634.43033145182</v>
      </c>
      <c r="R424" s="85"/>
      <c r="S424" s="86"/>
    </row>
    <row r="425" spans="1:19" ht="15">
      <c r="A425" s="70">
        <v>2</v>
      </c>
      <c r="B425" s="94" t="str">
        <f t="shared" si="14"/>
        <v>501</v>
      </c>
      <c r="C425" s="72" t="s">
        <v>590</v>
      </c>
      <c r="D425" s="72" t="s">
        <v>498</v>
      </c>
      <c r="E425" s="85">
        <v>363496581.587125</v>
      </c>
      <c r="F425" s="85" t="s">
        <v>254</v>
      </c>
      <c r="G425" s="85">
        <v>319657243.94834697</v>
      </c>
      <c r="H425" s="85" t="s">
        <v>254</v>
      </c>
      <c r="I425" s="85">
        <v>13249915.082421038</v>
      </c>
      <c r="J425" s="85">
        <v>30589422.556356974</v>
      </c>
      <c r="K425" s="85" t="s">
        <v>254</v>
      </c>
      <c r="L425" s="85" t="s">
        <v>254</v>
      </c>
      <c r="M425" s="85">
        <v>1541.3866063894955</v>
      </c>
      <c r="N425" s="85" t="s">
        <v>254</v>
      </c>
      <c r="O425" s="85">
        <v>30587881.169750586</v>
      </c>
      <c r="P425" s="85">
        <v>9666180.6465787552</v>
      </c>
      <c r="Q425" s="85">
        <v>20921700.523171831</v>
      </c>
      <c r="R425" s="85"/>
      <c r="S425" s="86"/>
    </row>
    <row r="426" spans="1:19" ht="15">
      <c r="A426" s="70">
        <v>3</v>
      </c>
      <c r="B426" s="94" t="str">
        <f t="shared" si="14"/>
        <v>502</v>
      </c>
      <c r="C426" s="72" t="s">
        <v>2432</v>
      </c>
      <c r="D426" s="72" t="s">
        <v>589</v>
      </c>
      <c r="E426" s="85">
        <v>23353383.999999993</v>
      </c>
      <c r="F426" s="85" t="s">
        <v>254</v>
      </c>
      <c r="G426" s="85">
        <v>20309658.646901891</v>
      </c>
      <c r="H426" s="85" t="s">
        <v>254</v>
      </c>
      <c r="I426" s="85">
        <v>960233.59196731751</v>
      </c>
      <c r="J426" s="85">
        <v>2083491.7611307818</v>
      </c>
      <c r="K426" s="85" t="s">
        <v>254</v>
      </c>
      <c r="L426" s="85" t="s">
        <v>254</v>
      </c>
      <c r="M426" s="85">
        <v>71.162354316881689</v>
      </c>
      <c r="N426" s="85" t="s">
        <v>254</v>
      </c>
      <c r="O426" s="85">
        <v>2083420.598776465</v>
      </c>
      <c r="P426" s="85">
        <v>646608.08603168721</v>
      </c>
      <c r="Q426" s="85">
        <v>1436812.5127447778</v>
      </c>
      <c r="R426" s="85"/>
      <c r="S426" s="86"/>
    </row>
    <row r="427" spans="1:19" ht="15">
      <c r="A427" s="70">
        <v>4</v>
      </c>
      <c r="B427" s="94" t="str">
        <f t="shared" si="14"/>
        <v>504</v>
      </c>
      <c r="C427" s="72" t="s">
        <v>2433</v>
      </c>
      <c r="D427" s="72" t="s">
        <v>589</v>
      </c>
      <c r="E427" s="85">
        <v>0</v>
      </c>
      <c r="F427" s="85" t="s">
        <v>254</v>
      </c>
      <c r="G427" s="85">
        <v>0</v>
      </c>
      <c r="H427" s="85" t="s">
        <v>254</v>
      </c>
      <c r="I427" s="85">
        <v>0</v>
      </c>
      <c r="J427" s="85">
        <v>0</v>
      </c>
      <c r="K427" s="85" t="s">
        <v>254</v>
      </c>
      <c r="L427" s="85" t="s">
        <v>254</v>
      </c>
      <c r="M427" s="85">
        <v>0</v>
      </c>
      <c r="N427" s="85" t="s">
        <v>254</v>
      </c>
      <c r="O427" s="85">
        <v>0</v>
      </c>
      <c r="P427" s="85">
        <v>0</v>
      </c>
      <c r="Q427" s="85">
        <v>0</v>
      </c>
      <c r="R427" s="85"/>
      <c r="S427" s="86"/>
    </row>
    <row r="428" spans="1:19" ht="15">
      <c r="A428" s="70">
        <v>5</v>
      </c>
      <c r="B428" s="94" t="str">
        <f t="shared" si="14"/>
        <v>505</v>
      </c>
      <c r="C428" s="72" t="s">
        <v>592</v>
      </c>
      <c r="D428" s="72" t="s">
        <v>589</v>
      </c>
      <c r="E428" s="85">
        <v>8292745</v>
      </c>
      <c r="F428" s="85" t="s">
        <v>254</v>
      </c>
      <c r="G428" s="85">
        <v>7214387.5946459835</v>
      </c>
      <c r="H428" s="85" t="s">
        <v>254</v>
      </c>
      <c r="I428" s="85">
        <v>340199.88160681806</v>
      </c>
      <c r="J428" s="85">
        <v>738157.52374719852</v>
      </c>
      <c r="K428" s="85" t="s">
        <v>254</v>
      </c>
      <c r="L428" s="85" t="s">
        <v>254</v>
      </c>
      <c r="M428" s="85">
        <v>25.212015821968436</v>
      </c>
      <c r="N428" s="85" t="s">
        <v>254</v>
      </c>
      <c r="O428" s="85">
        <v>738132.31173137657</v>
      </c>
      <c r="P428" s="85">
        <v>229085.91842044026</v>
      </c>
      <c r="Q428" s="85">
        <v>509046.39331093628</v>
      </c>
      <c r="R428" s="85"/>
      <c r="S428" s="86"/>
    </row>
    <row r="429" spans="1:19" ht="15">
      <c r="A429" s="70">
        <v>6</v>
      </c>
      <c r="B429" s="94" t="str">
        <f t="shared" si="14"/>
        <v>506</v>
      </c>
      <c r="C429" s="72" t="s">
        <v>593</v>
      </c>
      <c r="D429" s="72" t="s">
        <v>589</v>
      </c>
      <c r="E429" s="85">
        <v>30687737</v>
      </c>
      <c r="F429" s="85" t="s">
        <v>254</v>
      </c>
      <c r="G429" s="85">
        <v>26686433.015824649</v>
      </c>
      <c r="H429" s="85" t="s">
        <v>254</v>
      </c>
      <c r="I429" s="85">
        <v>1262330.220881135</v>
      </c>
      <c r="J429" s="85">
        <v>2738973.7632942148</v>
      </c>
      <c r="K429" s="85" t="s">
        <v>254</v>
      </c>
      <c r="L429" s="85" t="s">
        <v>254</v>
      </c>
      <c r="M429" s="85">
        <v>93.55056019151256</v>
      </c>
      <c r="N429" s="85" t="s">
        <v>254</v>
      </c>
      <c r="O429" s="85">
        <v>2738880.2127340231</v>
      </c>
      <c r="P429" s="85">
        <v>850035.79846818035</v>
      </c>
      <c r="Q429" s="85">
        <v>1888844.4142658426</v>
      </c>
      <c r="R429" s="85"/>
      <c r="S429" s="86"/>
    </row>
    <row r="430" spans="1:19" ht="15">
      <c r="A430" s="70">
        <v>7</v>
      </c>
      <c r="B430" s="94" t="str">
        <f t="shared" si="14"/>
        <v>507</v>
      </c>
      <c r="C430" s="72" t="s">
        <v>2434</v>
      </c>
      <c r="D430" s="72" t="s">
        <v>589</v>
      </c>
      <c r="E430" s="85">
        <v>0</v>
      </c>
      <c r="F430" s="85" t="s">
        <v>254</v>
      </c>
      <c r="G430" s="85">
        <v>0</v>
      </c>
      <c r="H430" s="85" t="s">
        <v>254</v>
      </c>
      <c r="I430" s="85">
        <v>0</v>
      </c>
      <c r="J430" s="85">
        <v>0</v>
      </c>
      <c r="K430" s="85" t="s">
        <v>254</v>
      </c>
      <c r="L430" s="85" t="s">
        <v>254</v>
      </c>
      <c r="M430" s="85">
        <v>0</v>
      </c>
      <c r="N430" s="85" t="s">
        <v>254</v>
      </c>
      <c r="O430" s="85">
        <v>0</v>
      </c>
      <c r="P430" s="85">
        <v>0</v>
      </c>
      <c r="Q430" s="85">
        <v>0</v>
      </c>
      <c r="R430" s="85"/>
      <c r="S430" s="86"/>
    </row>
    <row r="431" spans="1:19" ht="15">
      <c r="A431" s="70">
        <v>8</v>
      </c>
      <c r="B431" s="94" t="str">
        <f t="shared" si="14"/>
        <v>509</v>
      </c>
      <c r="C431" s="72" t="s">
        <v>2435</v>
      </c>
      <c r="D431" s="72" t="s">
        <v>589</v>
      </c>
      <c r="E431" s="85">
        <v>5000</v>
      </c>
      <c r="F431" s="85" t="s">
        <v>254</v>
      </c>
      <c r="G431" s="85">
        <v>4346.7067026432305</v>
      </c>
      <c r="H431" s="85" t="s">
        <v>254</v>
      </c>
      <c r="I431" s="85">
        <v>206.10078004920615</v>
      </c>
      <c r="J431" s="85">
        <v>447.19251730756343</v>
      </c>
      <c r="K431" s="85" t="s">
        <v>254</v>
      </c>
      <c r="L431" s="85" t="s">
        <v>254</v>
      </c>
      <c r="M431" s="85">
        <v>1.5274009217693046E-2</v>
      </c>
      <c r="N431" s="85" t="s">
        <v>254</v>
      </c>
      <c r="O431" s="85">
        <v>447.17724329834573</v>
      </c>
      <c r="P431" s="85">
        <v>138.78542891237529</v>
      </c>
      <c r="Q431" s="85">
        <v>308.39181438597046</v>
      </c>
      <c r="R431" s="85"/>
      <c r="S431" s="86"/>
    </row>
    <row r="432" spans="1:19" ht="15">
      <c r="A432" s="70">
        <v>9</v>
      </c>
      <c r="B432" s="94" t="str">
        <f t="shared" si="14"/>
        <v xml:space="preserve">  T</v>
      </c>
      <c r="C432" s="72" t="s">
        <v>594</v>
      </c>
      <c r="D432" s="72" t="s">
        <v>254</v>
      </c>
      <c r="E432" s="85">
        <v>436614076.58712488</v>
      </c>
      <c r="F432" s="85" t="s">
        <v>254</v>
      </c>
      <c r="G432" s="85">
        <v>383314770.95584434</v>
      </c>
      <c r="H432" s="85" t="s">
        <v>254</v>
      </c>
      <c r="I432" s="85">
        <v>16234343.042089116</v>
      </c>
      <c r="J432" s="85">
        <v>37064962.589191422</v>
      </c>
      <c r="K432" s="85" t="s">
        <v>254</v>
      </c>
      <c r="L432" s="85" t="s">
        <v>254</v>
      </c>
      <c r="M432" s="85">
        <v>1762.5608307404557</v>
      </c>
      <c r="N432" s="85" t="s">
        <v>254</v>
      </c>
      <c r="O432" s="85">
        <v>37063200.02836068</v>
      </c>
      <c r="P432" s="85">
        <v>11675853.362721462</v>
      </c>
      <c r="Q432" s="85">
        <v>25387346.665639222</v>
      </c>
      <c r="R432" s="85"/>
      <c r="S432" s="86"/>
    </row>
    <row r="433" spans="1:19" ht="15">
      <c r="A433" s="70">
        <v>10</v>
      </c>
      <c r="B433" s="94" t="str">
        <f t="shared" si="14"/>
        <v>510</v>
      </c>
      <c r="C433" s="72" t="s">
        <v>595</v>
      </c>
      <c r="D433" s="72" t="s">
        <v>589</v>
      </c>
      <c r="E433" s="85">
        <v>11797961</v>
      </c>
      <c r="F433" s="85" t="s">
        <v>254</v>
      </c>
      <c r="G433" s="85">
        <v>10261750.042761102</v>
      </c>
      <c r="H433" s="85" t="s">
        <v>254</v>
      </c>
      <c r="I433" s="85">
        <v>484643.3874158797</v>
      </c>
      <c r="J433" s="85">
        <v>1051567.5698230176</v>
      </c>
      <c r="K433" s="85" t="s">
        <v>254</v>
      </c>
      <c r="L433" s="85" t="s">
        <v>254</v>
      </c>
      <c r="M433" s="85">
        <v>35.916640222889058</v>
      </c>
      <c r="N433" s="85" t="s">
        <v>254</v>
      </c>
      <c r="O433" s="85">
        <v>1051531.6531827946</v>
      </c>
      <c r="P433" s="85">
        <v>326352.18739104626</v>
      </c>
      <c r="Q433" s="85">
        <v>725179.46579174837</v>
      </c>
      <c r="R433" s="85"/>
      <c r="S433" s="86"/>
    </row>
    <row r="434" spans="1:19" ht="15">
      <c r="A434" s="70">
        <v>11</v>
      </c>
      <c r="B434" s="94" t="str">
        <f t="shared" si="14"/>
        <v>511</v>
      </c>
      <c r="C434" s="72" t="s">
        <v>596</v>
      </c>
      <c r="D434" s="72" t="s">
        <v>589</v>
      </c>
      <c r="E434" s="85">
        <v>6848247</v>
      </c>
      <c r="F434" s="85" t="s">
        <v>254</v>
      </c>
      <c r="G434" s="85">
        <v>5959887.1456335718</v>
      </c>
      <c r="H434" s="85" t="s">
        <v>254</v>
      </c>
      <c r="I434" s="85">
        <v>280259.50930479541</v>
      </c>
      <c r="J434" s="85">
        <v>608100.34506163292</v>
      </c>
      <c r="K434" s="85" t="s">
        <v>254</v>
      </c>
      <c r="L434" s="85" t="s">
        <v>254</v>
      </c>
      <c r="M434" s="85">
        <v>20.769869611583079</v>
      </c>
      <c r="N434" s="85" t="s">
        <v>254</v>
      </c>
      <c r="O434" s="85">
        <v>608079.57519202132</v>
      </c>
      <c r="P434" s="85">
        <v>188722.89661568258</v>
      </c>
      <c r="Q434" s="85">
        <v>419356.67857633875</v>
      </c>
      <c r="R434" s="85"/>
      <c r="S434" s="86"/>
    </row>
    <row r="435" spans="1:19" ht="15">
      <c r="A435" s="70">
        <v>12</v>
      </c>
      <c r="B435" s="94" t="str">
        <f t="shared" si="14"/>
        <v>512</v>
      </c>
      <c r="C435" s="72" t="s">
        <v>597</v>
      </c>
      <c r="D435" s="72" t="s">
        <v>498</v>
      </c>
      <c r="E435" s="85">
        <v>50187056.999999993</v>
      </c>
      <c r="F435" s="85" t="s">
        <v>254</v>
      </c>
      <c r="G435" s="85">
        <v>44139000.419223778</v>
      </c>
      <c r="H435" s="85" t="s">
        <v>254</v>
      </c>
      <c r="I435" s="85">
        <v>1827952.7115409283</v>
      </c>
      <c r="J435" s="85">
        <v>4220103.8692352846</v>
      </c>
      <c r="K435" s="85" t="s">
        <v>254</v>
      </c>
      <c r="L435" s="85" t="s">
        <v>254</v>
      </c>
      <c r="M435" s="85">
        <v>212.64904787357449</v>
      </c>
      <c r="N435" s="85" t="s">
        <v>254</v>
      </c>
      <c r="O435" s="85">
        <v>4219891.2201874107</v>
      </c>
      <c r="P435" s="85">
        <v>1333542.2161761902</v>
      </c>
      <c r="Q435" s="85">
        <v>2886349.0040112203</v>
      </c>
      <c r="R435" s="85"/>
      <c r="S435" s="86"/>
    </row>
    <row r="436" spans="1:19" ht="15">
      <c r="A436" s="70">
        <v>13</v>
      </c>
      <c r="B436" s="94" t="str">
        <f t="shared" si="14"/>
        <v>513</v>
      </c>
      <c r="C436" s="72" t="s">
        <v>598</v>
      </c>
      <c r="D436" s="72" t="s">
        <v>498</v>
      </c>
      <c r="E436" s="85">
        <v>9402969</v>
      </c>
      <c r="F436" s="85" t="s">
        <v>254</v>
      </c>
      <c r="G436" s="85">
        <v>8270033.1162846461</v>
      </c>
      <c r="H436" s="85" t="s">
        <v>254</v>
      </c>
      <c r="I436" s="85">
        <v>342416.31059174211</v>
      </c>
      <c r="J436" s="85">
        <v>790519.57312361093</v>
      </c>
      <c r="K436" s="85" t="s">
        <v>254</v>
      </c>
      <c r="L436" s="85" t="s">
        <v>254</v>
      </c>
      <c r="M436" s="85">
        <v>39.833909249400072</v>
      </c>
      <c r="N436" s="85" t="s">
        <v>254</v>
      </c>
      <c r="O436" s="85">
        <v>790479.73921436153</v>
      </c>
      <c r="P436" s="85">
        <v>249802.19827265618</v>
      </c>
      <c r="Q436" s="85">
        <v>540677.54094170535</v>
      </c>
      <c r="R436" s="85"/>
      <c r="S436" s="86"/>
    </row>
    <row r="437" spans="1:19" ht="15">
      <c r="A437" s="70">
        <v>14</v>
      </c>
      <c r="B437" s="94" t="str">
        <f t="shared" si="14"/>
        <v>514</v>
      </c>
      <c r="C437" s="72" t="s">
        <v>599</v>
      </c>
      <c r="D437" s="72" t="s">
        <v>589</v>
      </c>
      <c r="E437" s="85">
        <v>2760902</v>
      </c>
      <c r="F437" s="85" t="s">
        <v>254</v>
      </c>
      <c r="G437" s="85">
        <v>2439522.2018849053</v>
      </c>
      <c r="H437" s="85" t="s">
        <v>254</v>
      </c>
      <c r="I437" s="85">
        <v>101388.80553584638</v>
      </c>
      <c r="J437" s="85">
        <v>219990.99257924818</v>
      </c>
      <c r="K437" s="85" t="s">
        <v>254</v>
      </c>
      <c r="L437" s="85" t="s">
        <v>254</v>
      </c>
      <c r="M437" s="85">
        <v>7.5138655465334816</v>
      </c>
      <c r="N437" s="85" t="s">
        <v>254</v>
      </c>
      <c r="O437" s="85">
        <v>219983.47871370165</v>
      </c>
      <c r="P437" s="85">
        <v>68273.826328296083</v>
      </c>
      <c r="Q437" s="85">
        <v>151709.65238540556</v>
      </c>
      <c r="R437" s="85"/>
      <c r="S437" s="86"/>
    </row>
    <row r="438" spans="1:19" ht="15">
      <c r="A438" s="70">
        <v>15</v>
      </c>
      <c r="B438" s="94" t="str">
        <f t="shared" si="14"/>
        <v xml:space="preserve">  T</v>
      </c>
      <c r="C438" s="72" t="s">
        <v>600</v>
      </c>
      <c r="D438" s="72" t="s">
        <v>254</v>
      </c>
      <c r="E438" s="85">
        <v>80997135.999999985</v>
      </c>
      <c r="F438" s="85" t="s">
        <v>254</v>
      </c>
      <c r="G438" s="85">
        <v>71070192.925788</v>
      </c>
      <c r="H438" s="85" t="s">
        <v>254</v>
      </c>
      <c r="I438" s="85">
        <v>3036660.7243891917</v>
      </c>
      <c r="J438" s="85">
        <v>6890282.3498227922</v>
      </c>
      <c r="K438" s="85" t="s">
        <v>254</v>
      </c>
      <c r="L438" s="85" t="s">
        <v>254</v>
      </c>
      <c r="M438" s="85">
        <v>316.68333250398018</v>
      </c>
      <c r="N438" s="85" t="s">
        <v>254</v>
      </c>
      <c r="O438" s="85">
        <v>6889965.6664902885</v>
      </c>
      <c r="P438" s="85">
        <v>2166693.3247838714</v>
      </c>
      <c r="Q438" s="85">
        <v>4723272.3417064175</v>
      </c>
      <c r="R438" s="85"/>
      <c r="S438" s="86"/>
    </row>
    <row r="439" spans="1:19" ht="15">
      <c r="A439" s="70" t="s">
        <v>254</v>
      </c>
      <c r="B439" s="94" t="str">
        <f t="shared" si="14"/>
        <v/>
      </c>
      <c r="C439" s="72" t="s">
        <v>254</v>
      </c>
      <c r="D439" s="72" t="s">
        <v>254</v>
      </c>
      <c r="E439" s="85" t="s">
        <v>254</v>
      </c>
      <c r="F439" s="85" t="s">
        <v>254</v>
      </c>
      <c r="G439" s="85" t="s">
        <v>254</v>
      </c>
      <c r="H439" s="85" t="s">
        <v>254</v>
      </c>
      <c r="I439" s="85" t="s">
        <v>254</v>
      </c>
      <c r="J439" s="85" t="s">
        <v>254</v>
      </c>
      <c r="K439" s="85" t="s">
        <v>254</v>
      </c>
      <c r="L439" s="85" t="s">
        <v>254</v>
      </c>
      <c r="M439" s="85" t="s">
        <v>254</v>
      </c>
      <c r="N439" s="85" t="s">
        <v>254</v>
      </c>
      <c r="O439" s="85" t="s">
        <v>254</v>
      </c>
      <c r="P439" s="85" t="s">
        <v>254</v>
      </c>
      <c r="Q439" s="85" t="s">
        <v>254</v>
      </c>
      <c r="R439" s="85"/>
      <c r="S439" s="86"/>
    </row>
    <row r="440" spans="1:19" ht="15">
      <c r="A440" s="70">
        <v>16</v>
      </c>
      <c r="B440" s="94" t="str">
        <f t="shared" si="14"/>
        <v>TAL</v>
      </c>
      <c r="C440" s="72" t="s">
        <v>601</v>
      </c>
      <c r="D440" s="72" t="s">
        <v>254</v>
      </c>
      <c r="E440" s="85">
        <v>517611212.58712482</v>
      </c>
      <c r="F440" s="85" t="s">
        <v>254</v>
      </c>
      <c r="G440" s="85">
        <v>454384963.88163233</v>
      </c>
      <c r="H440" s="85" t="s">
        <v>254</v>
      </c>
      <c r="I440" s="85">
        <v>19271003.766478308</v>
      </c>
      <c r="J440" s="85">
        <v>43955244.939014219</v>
      </c>
      <c r="K440" s="85" t="s">
        <v>254</v>
      </c>
      <c r="L440" s="85" t="s">
        <v>254</v>
      </c>
      <c r="M440" s="85">
        <v>2079.2441632444361</v>
      </c>
      <c r="N440" s="85" t="s">
        <v>254</v>
      </c>
      <c r="O440" s="85">
        <v>43953165.694850974</v>
      </c>
      <c r="P440" s="85">
        <v>13842546.687505333</v>
      </c>
      <c r="Q440" s="85">
        <v>30110619.007345639</v>
      </c>
      <c r="R440" s="85"/>
      <c r="S440" s="86"/>
    </row>
    <row r="441" spans="1:19" ht="15">
      <c r="A441" s="70" t="s">
        <v>254</v>
      </c>
      <c r="B441" s="94" t="str">
        <f t="shared" si="14"/>
        <v/>
      </c>
      <c r="C441" s="72" t="s">
        <v>254</v>
      </c>
      <c r="D441" s="72" t="s">
        <v>254</v>
      </c>
      <c r="E441" s="85" t="s">
        <v>254</v>
      </c>
      <c r="F441" s="85" t="s">
        <v>254</v>
      </c>
      <c r="G441" s="85" t="s">
        <v>254</v>
      </c>
      <c r="H441" s="85" t="s">
        <v>254</v>
      </c>
      <c r="I441" s="85" t="s">
        <v>254</v>
      </c>
      <c r="J441" s="85" t="s">
        <v>254</v>
      </c>
      <c r="K441" s="85" t="s">
        <v>254</v>
      </c>
      <c r="L441" s="85" t="s">
        <v>254</v>
      </c>
      <c r="M441" s="85" t="s">
        <v>254</v>
      </c>
      <c r="N441" s="85" t="s">
        <v>254</v>
      </c>
      <c r="O441" s="85" t="s">
        <v>254</v>
      </c>
      <c r="P441" s="85" t="s">
        <v>254</v>
      </c>
      <c r="Q441" s="85" t="s">
        <v>254</v>
      </c>
      <c r="R441" s="85"/>
      <c r="S441" s="86"/>
    </row>
    <row r="442" spans="1:19" ht="15">
      <c r="A442" s="70" t="s">
        <v>254</v>
      </c>
      <c r="B442" s="94" t="str">
        <f t="shared" si="14"/>
        <v>ODU</v>
      </c>
      <c r="C442" s="72" t="s">
        <v>602</v>
      </c>
      <c r="D442" s="72" t="s">
        <v>254</v>
      </c>
      <c r="E442" s="85" t="s">
        <v>254</v>
      </c>
      <c r="F442" s="85" t="s">
        <v>254</v>
      </c>
      <c r="G442" s="85" t="s">
        <v>254</v>
      </c>
      <c r="H442" s="85" t="s">
        <v>254</v>
      </c>
      <c r="I442" s="85" t="s">
        <v>254</v>
      </c>
      <c r="J442" s="85" t="s">
        <v>254</v>
      </c>
      <c r="K442" s="85" t="s">
        <v>254</v>
      </c>
      <c r="L442" s="85" t="s">
        <v>254</v>
      </c>
      <c r="M442" s="85" t="s">
        <v>254</v>
      </c>
      <c r="N442" s="85" t="s">
        <v>254</v>
      </c>
      <c r="O442" s="85" t="s">
        <v>254</v>
      </c>
      <c r="P442" s="85" t="s">
        <v>254</v>
      </c>
      <c r="Q442" s="85" t="s">
        <v>254</v>
      </c>
      <c r="R442" s="85"/>
      <c r="S442" s="86"/>
    </row>
    <row r="443" spans="1:19" ht="15">
      <c r="A443" s="70">
        <v>17</v>
      </c>
      <c r="B443" s="94" t="str">
        <f t="shared" si="14"/>
        <v>535</v>
      </c>
      <c r="C443" s="72" t="s">
        <v>603</v>
      </c>
      <c r="D443" s="72" t="s">
        <v>604</v>
      </c>
      <c r="E443" s="85">
        <v>0</v>
      </c>
      <c r="F443" s="85" t="s">
        <v>254</v>
      </c>
      <c r="G443" s="85">
        <v>0</v>
      </c>
      <c r="H443" s="85" t="s">
        <v>254</v>
      </c>
      <c r="I443" s="85">
        <v>0</v>
      </c>
      <c r="J443" s="85">
        <v>0</v>
      </c>
      <c r="K443" s="85" t="s">
        <v>254</v>
      </c>
      <c r="L443" s="85" t="s">
        <v>254</v>
      </c>
      <c r="M443" s="85">
        <v>0</v>
      </c>
      <c r="N443" s="85" t="s">
        <v>254</v>
      </c>
      <c r="O443" s="85">
        <v>0</v>
      </c>
      <c r="P443" s="85">
        <v>0</v>
      </c>
      <c r="Q443" s="85">
        <v>0</v>
      </c>
      <c r="R443" s="85"/>
      <c r="S443" s="86"/>
    </row>
    <row r="444" spans="1:19" ht="15">
      <c r="A444" s="70">
        <v>18</v>
      </c>
      <c r="B444" s="94" t="str">
        <f t="shared" si="14"/>
        <v>536</v>
      </c>
      <c r="C444" s="72" t="s">
        <v>605</v>
      </c>
      <c r="D444" s="72" t="s">
        <v>604</v>
      </c>
      <c r="E444" s="85">
        <v>0</v>
      </c>
      <c r="F444" s="85" t="s">
        <v>254</v>
      </c>
      <c r="G444" s="85">
        <v>0</v>
      </c>
      <c r="H444" s="85" t="s">
        <v>254</v>
      </c>
      <c r="I444" s="85">
        <v>0</v>
      </c>
      <c r="J444" s="85">
        <v>0</v>
      </c>
      <c r="K444" s="85" t="s">
        <v>254</v>
      </c>
      <c r="L444" s="85" t="s">
        <v>254</v>
      </c>
      <c r="M444" s="85">
        <v>0</v>
      </c>
      <c r="N444" s="85" t="s">
        <v>254</v>
      </c>
      <c r="O444" s="85">
        <v>0</v>
      </c>
      <c r="P444" s="85">
        <v>0</v>
      </c>
      <c r="Q444" s="85">
        <v>0</v>
      </c>
      <c r="R444" s="85"/>
      <c r="S444" s="86"/>
    </row>
    <row r="445" spans="1:19" ht="15">
      <c r="A445" s="70">
        <v>19</v>
      </c>
      <c r="B445" s="94" t="str">
        <f t="shared" si="14"/>
        <v>537</v>
      </c>
      <c r="C445" s="72" t="s">
        <v>606</v>
      </c>
      <c r="D445" s="72" t="s">
        <v>604</v>
      </c>
      <c r="E445" s="85">
        <v>0</v>
      </c>
      <c r="F445" s="85" t="s">
        <v>254</v>
      </c>
      <c r="G445" s="85">
        <v>0</v>
      </c>
      <c r="H445" s="85" t="s">
        <v>254</v>
      </c>
      <c r="I445" s="85">
        <v>0</v>
      </c>
      <c r="J445" s="85">
        <v>0</v>
      </c>
      <c r="K445" s="85" t="s">
        <v>254</v>
      </c>
      <c r="L445" s="85" t="s">
        <v>254</v>
      </c>
      <c r="M445" s="85">
        <v>0</v>
      </c>
      <c r="N445" s="85" t="s">
        <v>254</v>
      </c>
      <c r="O445" s="85">
        <v>0</v>
      </c>
      <c r="P445" s="85">
        <v>0</v>
      </c>
      <c r="Q445" s="85">
        <v>0</v>
      </c>
      <c r="R445" s="85"/>
      <c r="S445" s="86"/>
    </row>
    <row r="446" spans="1:19" ht="15">
      <c r="A446" s="70">
        <v>20</v>
      </c>
      <c r="B446" s="94" t="str">
        <f t="shared" si="14"/>
        <v>538</v>
      </c>
      <c r="C446" s="72" t="s">
        <v>607</v>
      </c>
      <c r="D446" s="72" t="s">
        <v>604</v>
      </c>
      <c r="E446" s="85">
        <v>0</v>
      </c>
      <c r="F446" s="85" t="s">
        <v>254</v>
      </c>
      <c r="G446" s="85">
        <v>0</v>
      </c>
      <c r="H446" s="85" t="s">
        <v>254</v>
      </c>
      <c r="I446" s="85">
        <v>0</v>
      </c>
      <c r="J446" s="85">
        <v>0</v>
      </c>
      <c r="K446" s="85" t="s">
        <v>254</v>
      </c>
      <c r="L446" s="85" t="s">
        <v>254</v>
      </c>
      <c r="M446" s="85">
        <v>0</v>
      </c>
      <c r="N446" s="85" t="s">
        <v>254</v>
      </c>
      <c r="O446" s="85">
        <v>0</v>
      </c>
      <c r="P446" s="85">
        <v>0</v>
      </c>
      <c r="Q446" s="85">
        <v>0</v>
      </c>
      <c r="R446" s="85"/>
      <c r="S446" s="86"/>
    </row>
    <row r="447" spans="1:19" ht="15">
      <c r="A447" s="70">
        <v>21</v>
      </c>
      <c r="B447" s="94" t="str">
        <f t="shared" si="14"/>
        <v>539</v>
      </c>
      <c r="C447" s="72" t="s">
        <v>2436</v>
      </c>
      <c r="D447" s="72" t="s">
        <v>604</v>
      </c>
      <c r="E447" s="85">
        <v>9756</v>
      </c>
      <c r="F447" s="85" t="s">
        <v>254</v>
      </c>
      <c r="G447" s="85">
        <v>8522.7845649540959</v>
      </c>
      <c r="H447" s="85" t="s">
        <v>254</v>
      </c>
      <c r="I447" s="85">
        <v>393.92949114170079</v>
      </c>
      <c r="J447" s="85">
        <v>839.28594390420415</v>
      </c>
      <c r="K447" s="85" t="s">
        <v>254</v>
      </c>
      <c r="L447" s="85" t="s">
        <v>254</v>
      </c>
      <c r="M447" s="85">
        <v>2.9948441178780302E-2</v>
      </c>
      <c r="N447" s="85" t="s">
        <v>254</v>
      </c>
      <c r="O447" s="85">
        <v>839.25599546302533</v>
      </c>
      <c r="P447" s="85">
        <v>260.4705517626445</v>
      </c>
      <c r="Q447" s="85">
        <v>578.78544370038082</v>
      </c>
      <c r="R447" s="85"/>
      <c r="S447" s="86"/>
    </row>
    <row r="448" spans="1:19" ht="15">
      <c r="A448" s="70">
        <v>22</v>
      </c>
      <c r="B448" s="94" t="str">
        <f t="shared" si="14"/>
        <v>540</v>
      </c>
      <c r="C448" s="72" t="s">
        <v>608</v>
      </c>
      <c r="D448" s="72" t="s">
        <v>604</v>
      </c>
      <c r="E448" s="85">
        <v>0</v>
      </c>
      <c r="F448" s="85" t="s">
        <v>254</v>
      </c>
      <c r="G448" s="85">
        <v>0</v>
      </c>
      <c r="H448" s="85" t="s">
        <v>254</v>
      </c>
      <c r="I448" s="85">
        <v>0</v>
      </c>
      <c r="J448" s="85">
        <v>0</v>
      </c>
      <c r="K448" s="85" t="s">
        <v>254</v>
      </c>
      <c r="L448" s="85" t="s">
        <v>254</v>
      </c>
      <c r="M448" s="85">
        <v>0</v>
      </c>
      <c r="N448" s="85" t="s">
        <v>254</v>
      </c>
      <c r="O448" s="85">
        <v>0</v>
      </c>
      <c r="P448" s="85">
        <v>0</v>
      </c>
      <c r="Q448" s="85">
        <v>0</v>
      </c>
      <c r="R448" s="85"/>
      <c r="S448" s="86"/>
    </row>
    <row r="449" spans="1:19" ht="15">
      <c r="A449" s="70">
        <v>23</v>
      </c>
      <c r="B449" s="94" t="str">
        <f t="shared" ref="B449:B512" si="15">MID(C449,3,3)</f>
        <v xml:space="preserve">  T</v>
      </c>
      <c r="C449" s="72" t="s">
        <v>609</v>
      </c>
      <c r="D449" s="72" t="s">
        <v>254</v>
      </c>
      <c r="E449" s="85">
        <v>9756</v>
      </c>
      <c r="F449" s="85" t="s">
        <v>254</v>
      </c>
      <c r="G449" s="85">
        <v>8522.7845649540959</v>
      </c>
      <c r="H449" s="85" t="s">
        <v>254</v>
      </c>
      <c r="I449" s="85">
        <v>393.92949114170079</v>
      </c>
      <c r="J449" s="85">
        <v>839.28594390420415</v>
      </c>
      <c r="K449" s="85" t="s">
        <v>254</v>
      </c>
      <c r="L449" s="85" t="s">
        <v>254</v>
      </c>
      <c r="M449" s="85">
        <v>2.9948441178780302E-2</v>
      </c>
      <c r="N449" s="85" t="s">
        <v>254</v>
      </c>
      <c r="O449" s="85">
        <v>839.25599546302533</v>
      </c>
      <c r="P449" s="85">
        <v>260.4705517626445</v>
      </c>
      <c r="Q449" s="85">
        <v>578.78544370038082</v>
      </c>
      <c r="R449" s="85"/>
      <c r="S449" s="86"/>
    </row>
    <row r="450" spans="1:19" ht="15">
      <c r="A450" s="70">
        <v>24</v>
      </c>
      <c r="B450" s="94" t="str">
        <f t="shared" si="15"/>
        <v>541</v>
      </c>
      <c r="C450" s="72" t="s">
        <v>610</v>
      </c>
      <c r="D450" s="72" t="s">
        <v>604</v>
      </c>
      <c r="E450" s="85">
        <v>213479</v>
      </c>
      <c r="F450" s="85" t="s">
        <v>254</v>
      </c>
      <c r="G450" s="85">
        <v>186494.00636960182</v>
      </c>
      <c r="H450" s="85" t="s">
        <v>254</v>
      </c>
      <c r="I450" s="85">
        <v>8619.8927674701863</v>
      </c>
      <c r="J450" s="85">
        <v>18365.100862928</v>
      </c>
      <c r="K450" s="85" t="s">
        <v>254</v>
      </c>
      <c r="L450" s="85" t="s">
        <v>254</v>
      </c>
      <c r="M450" s="85">
        <v>0.65532628888938504</v>
      </c>
      <c r="N450" s="85" t="s">
        <v>254</v>
      </c>
      <c r="O450" s="85">
        <v>18364.445536639112</v>
      </c>
      <c r="P450" s="85">
        <v>5699.5687699608025</v>
      </c>
      <c r="Q450" s="85">
        <v>12664.876766678311</v>
      </c>
      <c r="R450" s="85"/>
      <c r="S450" s="86"/>
    </row>
    <row r="451" spans="1:19" ht="15">
      <c r="A451" s="70">
        <v>25</v>
      </c>
      <c r="B451" s="94" t="str">
        <f t="shared" si="15"/>
        <v>542</v>
      </c>
      <c r="C451" s="72" t="s">
        <v>611</v>
      </c>
      <c r="D451" s="72" t="s">
        <v>604</v>
      </c>
      <c r="E451" s="85">
        <v>133816</v>
      </c>
      <c r="F451" s="85" t="s">
        <v>254</v>
      </c>
      <c r="G451" s="85">
        <v>116900.87529150238</v>
      </c>
      <c r="H451" s="85" t="s">
        <v>254</v>
      </c>
      <c r="I451" s="85">
        <v>5403.2460830891587</v>
      </c>
      <c r="J451" s="85">
        <v>11511.878625408464</v>
      </c>
      <c r="K451" s="85" t="s">
        <v>254</v>
      </c>
      <c r="L451" s="85" t="s">
        <v>254</v>
      </c>
      <c r="M451" s="85">
        <v>0.41078111980111365</v>
      </c>
      <c r="N451" s="85" t="s">
        <v>254</v>
      </c>
      <c r="O451" s="85">
        <v>11511.467844288663</v>
      </c>
      <c r="P451" s="85">
        <v>3572.6862807164862</v>
      </c>
      <c r="Q451" s="85">
        <v>7938.7815635721772</v>
      </c>
      <c r="R451" s="85"/>
      <c r="S451" s="86"/>
    </row>
    <row r="452" spans="1:19" ht="15">
      <c r="A452" s="70">
        <v>26</v>
      </c>
      <c r="B452" s="94" t="str">
        <f t="shared" si="15"/>
        <v>543</v>
      </c>
      <c r="C452" s="72" t="s">
        <v>612</v>
      </c>
      <c r="D452" s="72" t="s">
        <v>604</v>
      </c>
      <c r="E452" s="85">
        <v>25752</v>
      </c>
      <c r="F452" s="85" t="s">
        <v>254</v>
      </c>
      <c r="G452" s="85">
        <v>22496.79664992803</v>
      </c>
      <c r="H452" s="85" t="s">
        <v>254</v>
      </c>
      <c r="I452" s="85">
        <v>1039.8188044158549</v>
      </c>
      <c r="J452" s="85">
        <v>2215.3845456561157</v>
      </c>
      <c r="K452" s="85" t="s">
        <v>254</v>
      </c>
      <c r="L452" s="85" t="s">
        <v>254</v>
      </c>
      <c r="M452" s="85">
        <v>7.9052096887653786E-2</v>
      </c>
      <c r="N452" s="85" t="s">
        <v>254</v>
      </c>
      <c r="O452" s="85">
        <v>2215.3054935592281</v>
      </c>
      <c r="P452" s="85">
        <v>687.5397344189854</v>
      </c>
      <c r="Q452" s="85">
        <v>1527.7657591402426</v>
      </c>
      <c r="R452" s="85"/>
      <c r="S452" s="86"/>
    </row>
    <row r="453" spans="1:19" ht="15">
      <c r="A453" s="70">
        <v>27</v>
      </c>
      <c r="B453" s="94" t="str">
        <f t="shared" si="15"/>
        <v>544</v>
      </c>
      <c r="C453" s="72" t="s">
        <v>613</v>
      </c>
      <c r="D453" s="72" t="s">
        <v>498</v>
      </c>
      <c r="E453" s="85">
        <v>37559.999999999891</v>
      </c>
      <c r="F453" s="85" t="s">
        <v>254</v>
      </c>
      <c r="G453" s="85">
        <v>33029.604004650209</v>
      </c>
      <c r="H453" s="85" t="s">
        <v>254</v>
      </c>
      <c r="I453" s="85">
        <v>1369.2579646784295</v>
      </c>
      <c r="J453" s="85">
        <v>3161.1380306712545</v>
      </c>
      <c r="K453" s="85" t="s">
        <v>254</v>
      </c>
      <c r="L453" s="85" t="s">
        <v>254</v>
      </c>
      <c r="M453" s="85">
        <v>0.1592882576468429</v>
      </c>
      <c r="N453" s="85" t="s">
        <v>254</v>
      </c>
      <c r="O453" s="85">
        <v>3160.9787424136075</v>
      </c>
      <c r="P453" s="85">
        <v>998.91167271768268</v>
      </c>
      <c r="Q453" s="85">
        <v>2162.0670696959251</v>
      </c>
      <c r="R453" s="85"/>
      <c r="S453" s="86"/>
    </row>
    <row r="454" spans="1:19" ht="15">
      <c r="A454" s="70">
        <v>28</v>
      </c>
      <c r="B454" s="94" t="str">
        <f t="shared" si="15"/>
        <v>545</v>
      </c>
      <c r="C454" s="72" t="s">
        <v>614</v>
      </c>
      <c r="D454" s="72" t="s">
        <v>604</v>
      </c>
      <c r="E454" s="85">
        <v>10979.9999999999</v>
      </c>
      <c r="F454" s="85" t="s">
        <v>254</v>
      </c>
      <c r="G454" s="85">
        <v>9592.0638092655918</v>
      </c>
      <c r="H454" s="85" t="s">
        <v>254</v>
      </c>
      <c r="I454" s="85">
        <v>443.35237932921643</v>
      </c>
      <c r="J454" s="85">
        <v>944.58381140509186</v>
      </c>
      <c r="K454" s="85" t="s">
        <v>254</v>
      </c>
      <c r="L454" s="85" t="s">
        <v>254</v>
      </c>
      <c r="M454" s="85">
        <v>3.370581018275981E-2</v>
      </c>
      <c r="N454" s="85" t="s">
        <v>254</v>
      </c>
      <c r="O454" s="85">
        <v>944.55010559490916</v>
      </c>
      <c r="P454" s="85">
        <v>293.14951397640533</v>
      </c>
      <c r="Q454" s="85">
        <v>651.40059161850388</v>
      </c>
      <c r="R454" s="85"/>
      <c r="S454" s="86"/>
    </row>
    <row r="455" spans="1:19" ht="15">
      <c r="A455" s="70">
        <v>29</v>
      </c>
      <c r="B455" s="94" t="str">
        <f t="shared" si="15"/>
        <v xml:space="preserve">  T</v>
      </c>
      <c r="C455" s="72" t="s">
        <v>615</v>
      </c>
      <c r="D455" s="72" t="s">
        <v>254</v>
      </c>
      <c r="E455" s="85">
        <v>421586.99999999983</v>
      </c>
      <c r="F455" s="85" t="s">
        <v>254</v>
      </c>
      <c r="G455" s="85">
        <v>368513.34612494806</v>
      </c>
      <c r="H455" s="85" t="s">
        <v>254</v>
      </c>
      <c r="I455" s="85">
        <v>16875.567998982846</v>
      </c>
      <c r="J455" s="85">
        <v>36198.08587606893</v>
      </c>
      <c r="K455" s="85" t="s">
        <v>254</v>
      </c>
      <c r="L455" s="85" t="s">
        <v>254</v>
      </c>
      <c r="M455" s="85">
        <v>1.3381535734077552</v>
      </c>
      <c r="N455" s="85" t="s">
        <v>254</v>
      </c>
      <c r="O455" s="85">
        <v>36196.747722495522</v>
      </c>
      <c r="P455" s="85">
        <v>11251.855971790363</v>
      </c>
      <c r="Q455" s="85">
        <v>24944.891750705159</v>
      </c>
      <c r="R455" s="85"/>
      <c r="S455" s="86"/>
    </row>
    <row r="456" spans="1:19" ht="15">
      <c r="A456" s="70" t="s">
        <v>254</v>
      </c>
      <c r="B456" s="94" t="str">
        <f t="shared" si="15"/>
        <v/>
      </c>
      <c r="C456" s="72" t="s">
        <v>254</v>
      </c>
      <c r="D456" s="72" t="s">
        <v>254</v>
      </c>
      <c r="E456" s="85" t="s">
        <v>254</v>
      </c>
      <c r="F456" s="85" t="s">
        <v>254</v>
      </c>
      <c r="G456" s="85" t="s">
        <v>254</v>
      </c>
      <c r="H456" s="85" t="s">
        <v>254</v>
      </c>
      <c r="I456" s="85" t="s">
        <v>254</v>
      </c>
      <c r="J456" s="85" t="s">
        <v>254</v>
      </c>
      <c r="K456" s="85" t="s">
        <v>254</v>
      </c>
      <c r="L456" s="85" t="s">
        <v>254</v>
      </c>
      <c r="M456" s="85" t="s">
        <v>254</v>
      </c>
      <c r="N456" s="85" t="s">
        <v>254</v>
      </c>
      <c r="O456" s="85" t="s">
        <v>254</v>
      </c>
      <c r="P456" s="85" t="s">
        <v>254</v>
      </c>
      <c r="Q456" s="85" t="s">
        <v>254</v>
      </c>
      <c r="R456" s="85"/>
      <c r="S456" s="86"/>
    </row>
    <row r="457" spans="1:19" ht="15">
      <c r="A457" s="70">
        <v>30</v>
      </c>
      <c r="B457" s="94" t="str">
        <f t="shared" si="15"/>
        <v>TAL</v>
      </c>
      <c r="C457" s="72" t="s">
        <v>616</v>
      </c>
      <c r="D457" s="72" t="s">
        <v>254</v>
      </c>
      <c r="E457" s="85">
        <v>431342.99999999988</v>
      </c>
      <c r="F457" s="85" t="s">
        <v>254</v>
      </c>
      <c r="G457" s="85">
        <v>377036.13068990217</v>
      </c>
      <c r="H457" s="85" t="s">
        <v>254</v>
      </c>
      <c r="I457" s="85">
        <v>17269.497490124548</v>
      </c>
      <c r="J457" s="85">
        <v>37037.371819973137</v>
      </c>
      <c r="K457" s="85" t="s">
        <v>254</v>
      </c>
      <c r="L457" s="85" t="s">
        <v>254</v>
      </c>
      <c r="M457" s="85">
        <v>1.3681020145865355</v>
      </c>
      <c r="N457" s="85" t="s">
        <v>254</v>
      </c>
      <c r="O457" s="85">
        <v>37036.003717958549</v>
      </c>
      <c r="P457" s="85">
        <v>11512.326523553007</v>
      </c>
      <c r="Q457" s="85">
        <v>25523.67719440554</v>
      </c>
      <c r="R457" s="85"/>
      <c r="S457" s="86"/>
    </row>
    <row r="458" spans="1:19" ht="15">
      <c r="A458" s="70" t="s">
        <v>254</v>
      </c>
      <c r="B458" s="94" t="str">
        <f t="shared" si="15"/>
        <v/>
      </c>
      <c r="C458" s="72" t="s">
        <v>254</v>
      </c>
      <c r="D458" s="72" t="s">
        <v>254</v>
      </c>
      <c r="E458" s="85" t="s">
        <v>254</v>
      </c>
      <c r="F458" s="85" t="s">
        <v>254</v>
      </c>
      <c r="G458" s="85" t="s">
        <v>254</v>
      </c>
      <c r="H458" s="85" t="s">
        <v>254</v>
      </c>
      <c r="I458" s="85" t="s">
        <v>254</v>
      </c>
      <c r="J458" s="85" t="s">
        <v>254</v>
      </c>
      <c r="K458" s="85" t="s">
        <v>254</v>
      </c>
      <c r="L458" s="85" t="s">
        <v>254</v>
      </c>
      <c r="M458" s="85" t="s">
        <v>254</v>
      </c>
      <c r="N458" s="85" t="s">
        <v>254</v>
      </c>
      <c r="O458" s="85" t="s">
        <v>254</v>
      </c>
      <c r="P458" s="85" t="s">
        <v>254</v>
      </c>
      <c r="Q458" s="85" t="s">
        <v>254</v>
      </c>
      <c r="R458" s="85"/>
      <c r="S458" s="86"/>
    </row>
    <row r="459" spans="1:19" ht="15">
      <c r="A459" s="70" t="s">
        <v>254</v>
      </c>
      <c r="B459" s="94" t="str">
        <f t="shared" si="15"/>
        <v>ODU</v>
      </c>
      <c r="C459" s="72" t="s">
        <v>617</v>
      </c>
      <c r="D459" s="72" t="s">
        <v>254</v>
      </c>
      <c r="E459" s="85" t="s">
        <v>254</v>
      </c>
      <c r="F459" s="85" t="s">
        <v>254</v>
      </c>
      <c r="G459" s="85" t="s">
        <v>254</v>
      </c>
      <c r="H459" s="85" t="s">
        <v>254</v>
      </c>
      <c r="I459" s="85" t="s">
        <v>254</v>
      </c>
      <c r="J459" s="85" t="s">
        <v>254</v>
      </c>
      <c r="K459" s="85" t="s">
        <v>254</v>
      </c>
      <c r="L459" s="85" t="s">
        <v>254</v>
      </c>
      <c r="M459" s="85" t="s">
        <v>254</v>
      </c>
      <c r="N459" s="85" t="s">
        <v>254</v>
      </c>
      <c r="O459" s="85" t="s">
        <v>254</v>
      </c>
      <c r="P459" s="85" t="s">
        <v>254</v>
      </c>
      <c r="Q459" s="85" t="s">
        <v>254</v>
      </c>
      <c r="R459" s="85"/>
      <c r="S459" s="86"/>
    </row>
    <row r="460" spans="1:19" ht="15">
      <c r="A460" s="70">
        <v>31</v>
      </c>
      <c r="B460" s="94" t="str">
        <f t="shared" si="15"/>
        <v>546</v>
      </c>
      <c r="C460" s="72" t="s">
        <v>618</v>
      </c>
      <c r="D460" s="72" t="s">
        <v>619</v>
      </c>
      <c r="E460" s="85">
        <v>1225819</v>
      </c>
      <c r="F460" s="85" t="s">
        <v>254</v>
      </c>
      <c r="G460" s="85">
        <v>1071395.3885709851</v>
      </c>
      <c r="H460" s="85" t="s">
        <v>254</v>
      </c>
      <c r="I460" s="85">
        <v>49513.778841157386</v>
      </c>
      <c r="J460" s="85">
        <v>104909.8325878575</v>
      </c>
      <c r="K460" s="85" t="s">
        <v>254</v>
      </c>
      <c r="L460" s="85" t="s">
        <v>254</v>
      </c>
      <c r="M460" s="85">
        <v>3.7648049800267867</v>
      </c>
      <c r="N460" s="85" t="s">
        <v>254</v>
      </c>
      <c r="O460" s="85">
        <v>104906.06778287746</v>
      </c>
      <c r="P460" s="85">
        <v>32558.529824478726</v>
      </c>
      <c r="Q460" s="85">
        <v>72347.537958398738</v>
      </c>
      <c r="R460" s="85"/>
      <c r="S460" s="86"/>
    </row>
    <row r="461" spans="1:19" ht="15">
      <c r="A461" s="70">
        <v>32</v>
      </c>
      <c r="B461" s="94" t="str">
        <f t="shared" si="15"/>
        <v>547</v>
      </c>
      <c r="C461" s="72" t="s">
        <v>620</v>
      </c>
      <c r="D461" s="72" t="s">
        <v>498</v>
      </c>
      <c r="E461" s="85">
        <v>148706225.29642853</v>
      </c>
      <c r="F461" s="85" t="s">
        <v>254</v>
      </c>
      <c r="G461" s="85">
        <v>130769641.49540326</v>
      </c>
      <c r="H461" s="85" t="s">
        <v>254</v>
      </c>
      <c r="I461" s="85">
        <v>5421117.7684877608</v>
      </c>
      <c r="J461" s="85">
        <v>12515466.032537522</v>
      </c>
      <c r="K461" s="85" t="s">
        <v>254</v>
      </c>
      <c r="L461" s="85" t="s">
        <v>254</v>
      </c>
      <c r="M461" s="85">
        <v>630.64844325631111</v>
      </c>
      <c r="N461" s="85" t="s">
        <v>254</v>
      </c>
      <c r="O461" s="85">
        <v>12514835.384094266</v>
      </c>
      <c r="P461" s="85">
        <v>3954855.8108197134</v>
      </c>
      <c r="Q461" s="85">
        <v>8559979.5732745528</v>
      </c>
      <c r="R461" s="85"/>
      <c r="S461" s="86"/>
    </row>
    <row r="462" spans="1:19" ht="15">
      <c r="A462" s="70">
        <v>33</v>
      </c>
      <c r="B462" s="94" t="str">
        <f t="shared" si="15"/>
        <v>548</v>
      </c>
      <c r="C462" s="72" t="s">
        <v>621</v>
      </c>
      <c r="D462" s="72" t="s">
        <v>619</v>
      </c>
      <c r="E462" s="85">
        <v>699415.99999999884</v>
      </c>
      <c r="F462" s="85" t="s">
        <v>254</v>
      </c>
      <c r="G462" s="85">
        <v>611306.46293846227</v>
      </c>
      <c r="H462" s="85" t="s">
        <v>254</v>
      </c>
      <c r="I462" s="85">
        <v>28251.095098025795</v>
      </c>
      <c r="J462" s="85">
        <v>59858.441963510792</v>
      </c>
      <c r="K462" s="85" t="s">
        <v>254</v>
      </c>
      <c r="L462" s="85" t="s">
        <v>254</v>
      </c>
      <c r="M462" s="85">
        <v>2.1480861692553397</v>
      </c>
      <c r="N462" s="85" t="s">
        <v>254</v>
      </c>
      <c r="O462" s="85">
        <v>59856.293877341537</v>
      </c>
      <c r="P462" s="85">
        <v>18576.932398435314</v>
      </c>
      <c r="Q462" s="85">
        <v>41279.361478906219</v>
      </c>
      <c r="R462" s="85"/>
      <c r="S462" s="86"/>
    </row>
    <row r="463" spans="1:19" ht="15">
      <c r="A463" s="70">
        <v>34</v>
      </c>
      <c r="B463" s="94" t="str">
        <f t="shared" si="15"/>
        <v>549</v>
      </c>
      <c r="C463" s="72" t="s">
        <v>2437</v>
      </c>
      <c r="D463" s="72" t="s">
        <v>619</v>
      </c>
      <c r="E463" s="85">
        <v>4163559.9999999898</v>
      </c>
      <c r="F463" s="85" t="s">
        <v>254</v>
      </c>
      <c r="G463" s="85">
        <v>3639051.9187894785</v>
      </c>
      <c r="H463" s="85" t="s">
        <v>254</v>
      </c>
      <c r="I463" s="85">
        <v>168176.2063011658</v>
      </c>
      <c r="J463" s="85">
        <v>356331.87490934547</v>
      </c>
      <c r="K463" s="85" t="s">
        <v>254</v>
      </c>
      <c r="L463" s="85" t="s">
        <v>254</v>
      </c>
      <c r="M463" s="85">
        <v>12.787362100473473</v>
      </c>
      <c r="N463" s="85" t="s">
        <v>254</v>
      </c>
      <c r="O463" s="85">
        <v>356319.08754724497</v>
      </c>
      <c r="P463" s="85">
        <v>110586.7933487785</v>
      </c>
      <c r="Q463" s="85">
        <v>245732.29419846646</v>
      </c>
      <c r="R463" s="85"/>
      <c r="S463" s="86"/>
    </row>
    <row r="464" spans="1:19" ht="15">
      <c r="A464" s="70">
        <v>35</v>
      </c>
      <c r="B464" s="94" t="str">
        <f t="shared" si="15"/>
        <v>550</v>
      </c>
      <c r="C464" s="72" t="s">
        <v>2438</v>
      </c>
      <c r="D464" s="72" t="s">
        <v>619</v>
      </c>
      <c r="E464" s="85">
        <v>5058</v>
      </c>
      <c r="F464" s="85" t="s">
        <v>254</v>
      </c>
      <c r="G464" s="85">
        <v>4420.8140642232192</v>
      </c>
      <c r="H464" s="85" t="s">
        <v>254</v>
      </c>
      <c r="I464" s="85">
        <v>204.30479000453906</v>
      </c>
      <c r="J464" s="85">
        <v>432.88114577224144</v>
      </c>
      <c r="K464" s="85" t="s">
        <v>254</v>
      </c>
      <c r="L464" s="85" t="s">
        <v>254</v>
      </c>
      <c r="M464" s="85">
        <v>1.5534417062368496E-2</v>
      </c>
      <c r="N464" s="85" t="s">
        <v>254</v>
      </c>
      <c r="O464" s="85">
        <v>432.86561135517906</v>
      </c>
      <c r="P464" s="85">
        <v>134.3436868348536</v>
      </c>
      <c r="Q464" s="85">
        <v>298.52192452032546</v>
      </c>
      <c r="R464" s="85"/>
      <c r="S464" s="86"/>
    </row>
    <row r="465" spans="1:19" ht="15">
      <c r="A465" s="70">
        <v>36</v>
      </c>
      <c r="B465" s="94" t="str">
        <f t="shared" si="15"/>
        <v xml:space="preserve">  T</v>
      </c>
      <c r="C465" s="72" t="s">
        <v>622</v>
      </c>
      <c r="D465" s="72" t="s">
        <v>254</v>
      </c>
      <c r="E465" s="85">
        <v>154800078.29642853</v>
      </c>
      <c r="F465" s="85" t="s">
        <v>254</v>
      </c>
      <c r="G465" s="85">
        <v>136095816.07976642</v>
      </c>
      <c r="H465" s="85" t="s">
        <v>254</v>
      </c>
      <c r="I465" s="85">
        <v>5667263.1535181142</v>
      </c>
      <c r="J465" s="85">
        <v>13036999.063144008</v>
      </c>
      <c r="K465" s="85" t="s">
        <v>254</v>
      </c>
      <c r="L465" s="85" t="s">
        <v>254</v>
      </c>
      <c r="M465" s="85">
        <v>649.36423092312907</v>
      </c>
      <c r="N465" s="85" t="s">
        <v>254</v>
      </c>
      <c r="O465" s="85">
        <v>13036349.698913084</v>
      </c>
      <c r="P465" s="85">
        <v>4116712.4100782406</v>
      </c>
      <c r="Q465" s="85">
        <v>8919637.2888348438</v>
      </c>
      <c r="R465" s="85"/>
      <c r="S465" s="86"/>
    </row>
    <row r="466" spans="1:19" ht="15">
      <c r="A466" s="70">
        <v>37</v>
      </c>
      <c r="B466" s="94" t="str">
        <f t="shared" si="15"/>
        <v>551</v>
      </c>
      <c r="C466" s="72" t="s">
        <v>623</v>
      </c>
      <c r="D466" s="72" t="s">
        <v>619</v>
      </c>
      <c r="E466" s="85">
        <v>294270</v>
      </c>
      <c r="F466" s="85" t="s">
        <v>254</v>
      </c>
      <c r="G466" s="85">
        <v>257199.08158935679</v>
      </c>
      <c r="H466" s="85" t="s">
        <v>254</v>
      </c>
      <c r="I466" s="85">
        <v>11886.27334018104</v>
      </c>
      <c r="J466" s="85">
        <v>25184.645070462135</v>
      </c>
      <c r="K466" s="85" t="s">
        <v>254</v>
      </c>
      <c r="L466" s="85" t="s">
        <v>254</v>
      </c>
      <c r="M466" s="85">
        <v>0.90377874830825966</v>
      </c>
      <c r="N466" s="85" t="s">
        <v>254</v>
      </c>
      <c r="O466" s="85">
        <v>25183.741291713828</v>
      </c>
      <c r="P466" s="85">
        <v>7815.9977708367669</v>
      </c>
      <c r="Q466" s="85">
        <v>17367.743520877062</v>
      </c>
      <c r="R466" s="85"/>
      <c r="S466" s="86"/>
    </row>
    <row r="467" spans="1:19" ht="15">
      <c r="A467" s="70">
        <v>38</v>
      </c>
      <c r="B467" s="94" t="str">
        <f t="shared" si="15"/>
        <v>552</v>
      </c>
      <c r="C467" s="72" t="s">
        <v>624</v>
      </c>
      <c r="D467" s="72" t="s">
        <v>619</v>
      </c>
      <c r="E467" s="85">
        <v>1922968.9999999998</v>
      </c>
      <c r="F467" s="85" t="s">
        <v>254</v>
      </c>
      <c r="G467" s="85">
        <v>1680721.31282429</v>
      </c>
      <c r="H467" s="85" t="s">
        <v>254</v>
      </c>
      <c r="I467" s="85">
        <v>77673.344746982693</v>
      </c>
      <c r="J467" s="85">
        <v>164574.34242872705</v>
      </c>
      <c r="K467" s="85" t="s">
        <v>254</v>
      </c>
      <c r="L467" s="85" t="s">
        <v>254</v>
      </c>
      <c r="M467" s="85">
        <v>5.9059316812980791</v>
      </c>
      <c r="N467" s="85" t="s">
        <v>254</v>
      </c>
      <c r="O467" s="85">
        <v>164568.43649704574</v>
      </c>
      <c r="P467" s="85">
        <v>51075.275826241908</v>
      </c>
      <c r="Q467" s="85">
        <v>113493.16067080382</v>
      </c>
      <c r="R467" s="85"/>
      <c r="S467" s="86"/>
    </row>
    <row r="468" spans="1:19" ht="15">
      <c r="A468" s="70">
        <v>39</v>
      </c>
      <c r="B468" s="94" t="str">
        <f t="shared" si="15"/>
        <v>553</v>
      </c>
      <c r="C468" s="72" t="s">
        <v>625</v>
      </c>
      <c r="D468" s="72" t="s">
        <v>619</v>
      </c>
      <c r="E468" s="85">
        <v>5600983.9999999981</v>
      </c>
      <c r="F468" s="85" t="s">
        <v>254</v>
      </c>
      <c r="G468" s="85">
        <v>4895395.1840034043</v>
      </c>
      <c r="H468" s="85" t="s">
        <v>254</v>
      </c>
      <c r="I468" s="85">
        <v>226237.2202330532</v>
      </c>
      <c r="J468" s="85">
        <v>479351.59576354129</v>
      </c>
      <c r="K468" s="85" t="s">
        <v>254</v>
      </c>
      <c r="L468" s="85" t="s">
        <v>254</v>
      </c>
      <c r="M468" s="85">
        <v>17.202060382691368</v>
      </c>
      <c r="N468" s="85" t="s">
        <v>254</v>
      </c>
      <c r="O468" s="85">
        <v>479334.3937031586</v>
      </c>
      <c r="P468" s="85">
        <v>148765.68613345703</v>
      </c>
      <c r="Q468" s="85">
        <v>330568.7075697016</v>
      </c>
      <c r="R468" s="85"/>
      <c r="S468" s="86"/>
    </row>
    <row r="469" spans="1:19" ht="15">
      <c r="A469" s="70">
        <v>40</v>
      </c>
      <c r="B469" s="94" t="str">
        <f t="shared" si="15"/>
        <v>554</v>
      </c>
      <c r="C469" s="72" t="s">
        <v>626</v>
      </c>
      <c r="D469" s="72" t="s">
        <v>619</v>
      </c>
      <c r="E469" s="85">
        <v>5879946</v>
      </c>
      <c r="F469" s="85" t="s">
        <v>254</v>
      </c>
      <c r="G469" s="85">
        <v>5139214.7041662829</v>
      </c>
      <c r="H469" s="85" t="s">
        <v>254</v>
      </c>
      <c r="I469" s="85">
        <v>237505.16662080452</v>
      </c>
      <c r="J469" s="85">
        <v>503226.12921291182</v>
      </c>
      <c r="K469" s="85" t="s">
        <v>254</v>
      </c>
      <c r="L469" s="85" t="s">
        <v>254</v>
      </c>
      <c r="M469" s="85">
        <v>18.058824331396874</v>
      </c>
      <c r="N469" s="85" t="s">
        <v>254</v>
      </c>
      <c r="O469" s="85">
        <v>503208.07038858044</v>
      </c>
      <c r="P469" s="85">
        <v>156175.09371883157</v>
      </c>
      <c r="Q469" s="85">
        <v>347032.97666974884</v>
      </c>
      <c r="R469" s="85"/>
      <c r="S469" s="86"/>
    </row>
    <row r="470" spans="1:19" ht="15">
      <c r="A470" s="70">
        <v>41</v>
      </c>
      <c r="B470" s="94" t="str">
        <f t="shared" si="15"/>
        <v xml:space="preserve">  T</v>
      </c>
      <c r="C470" s="72" t="s">
        <v>627</v>
      </c>
      <c r="D470" s="72" t="s">
        <v>254</v>
      </c>
      <c r="E470" s="85">
        <v>13698168.999999998</v>
      </c>
      <c r="F470" s="85" t="s">
        <v>254</v>
      </c>
      <c r="G470" s="85">
        <v>11972530.282583334</v>
      </c>
      <c r="H470" s="85" t="s">
        <v>254</v>
      </c>
      <c r="I470" s="85">
        <v>553302.00494102144</v>
      </c>
      <c r="J470" s="85">
        <v>1172336.7124756423</v>
      </c>
      <c r="K470" s="85" t="s">
        <v>254</v>
      </c>
      <c r="L470" s="85" t="s">
        <v>254</v>
      </c>
      <c r="M470" s="85">
        <v>42.070595143694575</v>
      </c>
      <c r="N470" s="85" t="s">
        <v>254</v>
      </c>
      <c r="O470" s="85">
        <v>1172294.6418804987</v>
      </c>
      <c r="P470" s="85">
        <v>363832.05344936729</v>
      </c>
      <c r="Q470" s="85">
        <v>808462.58843113133</v>
      </c>
      <c r="R470" s="85"/>
      <c r="S470" s="86"/>
    </row>
    <row r="471" spans="1:19" ht="15">
      <c r="A471" s="70" t="s">
        <v>254</v>
      </c>
      <c r="B471" s="94" t="str">
        <f t="shared" si="15"/>
        <v/>
      </c>
      <c r="C471" s="72" t="s">
        <v>254</v>
      </c>
      <c r="D471" s="72" t="s">
        <v>254</v>
      </c>
      <c r="E471" s="85" t="s">
        <v>254</v>
      </c>
      <c r="F471" s="85" t="s">
        <v>254</v>
      </c>
      <c r="G471" s="85" t="s">
        <v>254</v>
      </c>
      <c r="H471" s="85" t="s">
        <v>254</v>
      </c>
      <c r="I471" s="85" t="s">
        <v>254</v>
      </c>
      <c r="J471" s="85" t="s">
        <v>254</v>
      </c>
      <c r="K471" s="85" t="s">
        <v>254</v>
      </c>
      <c r="L471" s="85" t="s">
        <v>254</v>
      </c>
      <c r="M471" s="85" t="s">
        <v>254</v>
      </c>
      <c r="N471" s="85" t="s">
        <v>254</v>
      </c>
      <c r="O471" s="85" t="s">
        <v>254</v>
      </c>
      <c r="P471" s="85" t="s">
        <v>254</v>
      </c>
      <c r="Q471" s="85" t="s">
        <v>254</v>
      </c>
      <c r="R471" s="85"/>
      <c r="S471" s="86"/>
    </row>
    <row r="472" spans="1:19" ht="15">
      <c r="A472" s="70">
        <v>42</v>
      </c>
      <c r="B472" s="94" t="str">
        <f t="shared" si="15"/>
        <v>TAL</v>
      </c>
      <c r="C472" s="72" t="s">
        <v>628</v>
      </c>
      <c r="D472" s="72" t="s">
        <v>254</v>
      </c>
      <c r="E472" s="85">
        <v>168498247.29642853</v>
      </c>
      <c r="F472" s="85" t="s">
        <v>254</v>
      </c>
      <c r="G472" s="85">
        <v>148068346.36234975</v>
      </c>
      <c r="H472" s="85" t="s">
        <v>254</v>
      </c>
      <c r="I472" s="85">
        <v>6220565.1584591353</v>
      </c>
      <c r="J472" s="85">
        <v>14209335.77561965</v>
      </c>
      <c r="K472" s="85" t="s">
        <v>254</v>
      </c>
      <c r="L472" s="85" t="s">
        <v>254</v>
      </c>
      <c r="M472" s="85">
        <v>691.43482606682369</v>
      </c>
      <c r="N472" s="85" t="s">
        <v>254</v>
      </c>
      <c r="O472" s="85">
        <v>14208644.340793584</v>
      </c>
      <c r="P472" s="85">
        <v>4480544.4635276077</v>
      </c>
      <c r="Q472" s="85">
        <v>9728099.8772659749</v>
      </c>
      <c r="R472" s="85"/>
      <c r="S472" s="86"/>
    </row>
    <row r="473" spans="1:19" ht="15">
      <c r="A473" s="70" t="s">
        <v>254</v>
      </c>
      <c r="B473" s="94" t="str">
        <f t="shared" si="15"/>
        <v/>
      </c>
      <c r="C473" s="72" t="s">
        <v>254</v>
      </c>
      <c r="D473" s="72" t="s">
        <v>254</v>
      </c>
      <c r="E473" s="85" t="s">
        <v>254</v>
      </c>
      <c r="F473" s="85" t="s">
        <v>254</v>
      </c>
      <c r="G473" s="85" t="s">
        <v>254</v>
      </c>
      <c r="H473" s="85" t="s">
        <v>254</v>
      </c>
      <c r="I473" s="85" t="s">
        <v>254</v>
      </c>
      <c r="J473" s="85" t="s">
        <v>254</v>
      </c>
      <c r="K473" s="85" t="s">
        <v>254</v>
      </c>
      <c r="L473" s="85" t="s">
        <v>254</v>
      </c>
      <c r="M473" s="85" t="s">
        <v>254</v>
      </c>
      <c r="N473" s="85" t="s">
        <v>254</v>
      </c>
      <c r="O473" s="85" t="s">
        <v>254</v>
      </c>
      <c r="P473" s="85" t="s">
        <v>254</v>
      </c>
      <c r="Q473" s="85" t="s">
        <v>254</v>
      </c>
      <c r="R473" s="85"/>
      <c r="S473" s="86"/>
    </row>
    <row r="474" spans="1:19" ht="15">
      <c r="A474" s="70" t="s">
        <v>254</v>
      </c>
      <c r="B474" s="94" t="str">
        <f t="shared" si="15"/>
        <v>ERA</v>
      </c>
      <c r="C474" s="72" t="s">
        <v>636</v>
      </c>
      <c r="D474" s="72" t="s">
        <v>254</v>
      </c>
      <c r="E474" s="85" t="s">
        <v>254</v>
      </c>
      <c r="F474" s="85" t="s">
        <v>254</v>
      </c>
      <c r="G474" s="85" t="s">
        <v>254</v>
      </c>
      <c r="H474" s="85" t="s">
        <v>254</v>
      </c>
      <c r="I474" s="85" t="s">
        <v>254</v>
      </c>
      <c r="J474" s="85" t="s">
        <v>254</v>
      </c>
      <c r="K474" s="85" t="s">
        <v>254</v>
      </c>
      <c r="L474" s="85" t="s">
        <v>254</v>
      </c>
      <c r="M474" s="85" t="s">
        <v>254</v>
      </c>
      <c r="N474" s="85" t="s">
        <v>254</v>
      </c>
      <c r="O474" s="85" t="s">
        <v>254</v>
      </c>
      <c r="P474" s="85" t="s">
        <v>254</v>
      </c>
      <c r="Q474" s="85" t="s">
        <v>254</v>
      </c>
      <c r="R474" s="85"/>
      <c r="S474" s="86"/>
    </row>
    <row r="475" spans="1:19" ht="15">
      <c r="A475" s="70" t="s">
        <v>254</v>
      </c>
      <c r="B475" s="94" t="str">
        <f t="shared" si="15"/>
        <v/>
      </c>
      <c r="C475" s="72" t="s">
        <v>254</v>
      </c>
      <c r="D475" s="72" t="s">
        <v>254</v>
      </c>
      <c r="E475" s="85" t="s">
        <v>254</v>
      </c>
      <c r="F475" s="85" t="s">
        <v>254</v>
      </c>
      <c r="G475" s="85" t="s">
        <v>254</v>
      </c>
      <c r="H475" s="85" t="s">
        <v>254</v>
      </c>
      <c r="I475" s="85" t="s">
        <v>254</v>
      </c>
      <c r="J475" s="85" t="s">
        <v>254</v>
      </c>
      <c r="K475" s="85" t="s">
        <v>254</v>
      </c>
      <c r="L475" s="85" t="s">
        <v>254</v>
      </c>
      <c r="M475" s="85" t="s">
        <v>254</v>
      </c>
      <c r="N475" s="85" t="s">
        <v>254</v>
      </c>
      <c r="O475" s="85" t="s">
        <v>254</v>
      </c>
      <c r="P475" s="85" t="s">
        <v>254</v>
      </c>
      <c r="Q475" s="85" t="s">
        <v>254</v>
      </c>
      <c r="R475" s="85"/>
      <c r="S475" s="86"/>
    </row>
    <row r="476" spans="1:19" ht="15">
      <c r="A476" s="70" t="s">
        <v>254</v>
      </c>
      <c r="B476" s="94" t="str">
        <f t="shared" si="15"/>
        <v>5-P</v>
      </c>
      <c r="C476" s="72" t="s">
        <v>629</v>
      </c>
      <c r="D476" s="72" t="s">
        <v>254</v>
      </c>
      <c r="E476" s="85" t="s">
        <v>254</v>
      </c>
      <c r="F476" s="85" t="s">
        <v>254</v>
      </c>
      <c r="G476" s="85" t="s">
        <v>254</v>
      </c>
      <c r="H476" s="85" t="s">
        <v>254</v>
      </c>
      <c r="I476" s="85" t="s">
        <v>254</v>
      </c>
      <c r="J476" s="85" t="s">
        <v>254</v>
      </c>
      <c r="K476" s="85" t="s">
        <v>254</v>
      </c>
      <c r="L476" s="85" t="s">
        <v>254</v>
      </c>
      <c r="M476" s="85" t="s">
        <v>254</v>
      </c>
      <c r="N476" s="85" t="s">
        <v>254</v>
      </c>
      <c r="O476" s="85" t="s">
        <v>254</v>
      </c>
      <c r="P476" s="85" t="s">
        <v>254</v>
      </c>
      <c r="Q476" s="85" t="s">
        <v>254</v>
      </c>
      <c r="R476" s="85"/>
      <c r="S476" s="86"/>
    </row>
    <row r="477" spans="1:19" ht="15">
      <c r="A477" s="70">
        <v>43</v>
      </c>
      <c r="B477" s="94" t="str">
        <f t="shared" si="15"/>
        <v>CAP</v>
      </c>
      <c r="C477" s="72" t="s">
        <v>630</v>
      </c>
      <c r="D477" s="72" t="s">
        <v>307</v>
      </c>
      <c r="E477" s="85">
        <v>8349412.9308000002</v>
      </c>
      <c r="F477" s="85" t="s">
        <v>254</v>
      </c>
      <c r="G477" s="85">
        <v>7312225.9596335888</v>
      </c>
      <c r="H477" s="85" t="s">
        <v>254</v>
      </c>
      <c r="I477" s="85">
        <v>337924.0528297532</v>
      </c>
      <c r="J477" s="85">
        <v>699262.91833665769</v>
      </c>
      <c r="K477" s="85" t="s">
        <v>254</v>
      </c>
      <c r="L477" s="85" t="s">
        <v>254</v>
      </c>
      <c r="M477" s="85">
        <v>25.694626840449345</v>
      </c>
      <c r="N477" s="85" t="s">
        <v>254</v>
      </c>
      <c r="O477" s="85">
        <v>699237.22370981728</v>
      </c>
      <c r="P477" s="85">
        <v>217014.48241926785</v>
      </c>
      <c r="Q477" s="85">
        <v>482222.7412905494</v>
      </c>
      <c r="R477" s="85"/>
      <c r="S477" s="86"/>
    </row>
    <row r="478" spans="1:19" ht="15">
      <c r="A478" s="70">
        <v>44</v>
      </c>
      <c r="B478" s="94" t="str">
        <f t="shared" si="15"/>
        <v>ENE</v>
      </c>
      <c r="C478" s="72" t="s">
        <v>631</v>
      </c>
      <c r="D478" s="72" t="s">
        <v>498</v>
      </c>
      <c r="E478" s="85">
        <v>49399568.732509106</v>
      </c>
      <c r="F478" s="85" t="s">
        <v>254</v>
      </c>
      <c r="G478" s="85">
        <v>43441112.705944642</v>
      </c>
      <c r="H478" s="85" t="s">
        <v>254</v>
      </c>
      <c r="I478" s="85">
        <v>1800872.0164714535</v>
      </c>
      <c r="J478" s="85">
        <v>4157584.0100930128</v>
      </c>
      <c r="K478" s="85" t="s">
        <v>254</v>
      </c>
      <c r="L478" s="85" t="s">
        <v>254</v>
      </c>
      <c r="M478" s="85">
        <v>209.49870159496427</v>
      </c>
      <c r="N478" s="85" t="s">
        <v>254</v>
      </c>
      <c r="O478" s="85">
        <v>4157374.5113914181</v>
      </c>
      <c r="P478" s="85">
        <v>1313786.0978200999</v>
      </c>
      <c r="Q478" s="85">
        <v>2843588.4135713181</v>
      </c>
      <c r="R478" s="85"/>
      <c r="S478" s="86"/>
    </row>
    <row r="479" spans="1:19" ht="15">
      <c r="A479" s="70">
        <v>45</v>
      </c>
      <c r="B479" s="94" t="str">
        <f t="shared" si="15"/>
        <v xml:space="preserve">  T</v>
      </c>
      <c r="C479" s="72" t="s">
        <v>632</v>
      </c>
      <c r="D479" s="72" t="s">
        <v>254</v>
      </c>
      <c r="E479" s="85">
        <v>57748981.663309105</v>
      </c>
      <c r="F479" s="85" t="s">
        <v>254</v>
      </c>
      <c r="G479" s="85">
        <v>50753338.665578231</v>
      </c>
      <c r="H479" s="85" t="s">
        <v>254</v>
      </c>
      <c r="I479" s="85">
        <v>2138796.0693012066</v>
      </c>
      <c r="J479" s="85">
        <v>4856846.9284296706</v>
      </c>
      <c r="K479" s="85" t="s">
        <v>254</v>
      </c>
      <c r="L479" s="85" t="s">
        <v>254</v>
      </c>
      <c r="M479" s="85">
        <v>235.1933284354136</v>
      </c>
      <c r="N479" s="85" t="s">
        <v>254</v>
      </c>
      <c r="O479" s="85">
        <v>4856611.7351012351</v>
      </c>
      <c r="P479" s="85">
        <v>1530800.5802393677</v>
      </c>
      <c r="Q479" s="85">
        <v>3325811.1548618674</v>
      </c>
      <c r="R479" s="85"/>
      <c r="S479" s="86"/>
    </row>
    <row r="480" spans="1:19" ht="15">
      <c r="A480" s="70" t="s">
        <v>254</v>
      </c>
      <c r="B480" s="94" t="str">
        <f t="shared" si="15"/>
        <v/>
      </c>
      <c r="C480" s="72" t="s">
        <v>254</v>
      </c>
      <c r="D480" s="72" t="s">
        <v>254</v>
      </c>
      <c r="E480" s="85" t="s">
        <v>254</v>
      </c>
      <c r="F480" s="85" t="s">
        <v>254</v>
      </c>
      <c r="G480" s="85" t="s">
        <v>254</v>
      </c>
      <c r="H480" s="85" t="s">
        <v>254</v>
      </c>
      <c r="I480" s="85" t="s">
        <v>254</v>
      </c>
      <c r="J480" s="85" t="s">
        <v>254</v>
      </c>
      <c r="K480" s="85" t="s">
        <v>254</v>
      </c>
      <c r="L480" s="85" t="s">
        <v>254</v>
      </c>
      <c r="M480" s="85" t="s">
        <v>254</v>
      </c>
      <c r="N480" s="85" t="s">
        <v>254</v>
      </c>
      <c r="O480" s="85" t="s">
        <v>254</v>
      </c>
      <c r="P480" s="85" t="s">
        <v>254</v>
      </c>
      <c r="Q480" s="85" t="s">
        <v>254</v>
      </c>
      <c r="R480" s="85"/>
      <c r="S480" s="86"/>
    </row>
    <row r="481" spans="1:19" ht="15">
      <c r="A481" s="70">
        <v>46</v>
      </c>
      <c r="B481" s="94" t="str">
        <f t="shared" si="15"/>
        <v>6-S</v>
      </c>
      <c r="C481" s="72" t="s">
        <v>633</v>
      </c>
      <c r="D481" s="72" t="s">
        <v>307</v>
      </c>
      <c r="E481" s="85">
        <v>2129214</v>
      </c>
      <c r="F481" s="85" t="s">
        <v>254</v>
      </c>
      <c r="G481" s="85">
        <v>1864717.1978980682</v>
      </c>
      <c r="H481" s="85" t="s">
        <v>254</v>
      </c>
      <c r="I481" s="85">
        <v>86175.235335127931</v>
      </c>
      <c r="J481" s="85">
        <v>178321.56676680394</v>
      </c>
      <c r="K481" s="85" t="s">
        <v>254</v>
      </c>
      <c r="L481" s="85" t="s">
        <v>254</v>
      </c>
      <c r="M481" s="85">
        <v>6.5524797547913991</v>
      </c>
      <c r="N481" s="85" t="s">
        <v>254</v>
      </c>
      <c r="O481" s="85">
        <v>178315.01428704915</v>
      </c>
      <c r="P481" s="85">
        <v>55341.648328990443</v>
      </c>
      <c r="Q481" s="85">
        <v>122973.36595805871</v>
      </c>
      <c r="R481" s="85"/>
      <c r="S481" s="86"/>
    </row>
    <row r="482" spans="1:19" ht="15">
      <c r="A482" s="70">
        <v>47</v>
      </c>
      <c r="B482" s="94" t="str">
        <f t="shared" si="15"/>
        <v>7-O</v>
      </c>
      <c r="C482" s="72" t="s">
        <v>634</v>
      </c>
      <c r="D482" s="72" t="s">
        <v>501</v>
      </c>
      <c r="E482" s="85">
        <v>46113</v>
      </c>
      <c r="F482" s="85" t="s">
        <v>254</v>
      </c>
      <c r="G482" s="85">
        <v>40123.893324844234</v>
      </c>
      <c r="H482" s="85" t="s">
        <v>254</v>
      </c>
      <c r="I482" s="85">
        <v>1894.4024269045826</v>
      </c>
      <c r="J482" s="85">
        <v>4094.7042482511852</v>
      </c>
      <c r="K482" s="85" t="s">
        <v>254</v>
      </c>
      <c r="L482" s="85" t="s">
        <v>254</v>
      </c>
      <c r="M482" s="85">
        <v>0.14099242447638066</v>
      </c>
      <c r="N482" s="85" t="s">
        <v>254</v>
      </c>
      <c r="O482" s="85">
        <v>4094.5632558267089</v>
      </c>
      <c r="P482" s="85">
        <v>1270.7840709363393</v>
      </c>
      <c r="Q482" s="85">
        <v>2823.7791848903694</v>
      </c>
      <c r="R482" s="85"/>
      <c r="S482" s="86"/>
    </row>
    <row r="483" spans="1:19" ht="15">
      <c r="A483" s="70" t="s">
        <v>254</v>
      </c>
      <c r="B483" s="94" t="str">
        <f t="shared" si="15"/>
        <v/>
      </c>
      <c r="C483" s="72" t="s">
        <v>254</v>
      </c>
      <c r="D483" s="72" t="s">
        <v>254</v>
      </c>
      <c r="E483" s="85" t="s">
        <v>254</v>
      </c>
      <c r="F483" s="85" t="s">
        <v>254</v>
      </c>
      <c r="G483" s="85" t="s">
        <v>254</v>
      </c>
      <c r="H483" s="85" t="s">
        <v>254</v>
      </c>
      <c r="I483" s="85" t="s">
        <v>254</v>
      </c>
      <c r="J483" s="85" t="s">
        <v>254</v>
      </c>
      <c r="K483" s="85" t="s">
        <v>254</v>
      </c>
      <c r="L483" s="85" t="s">
        <v>254</v>
      </c>
      <c r="M483" s="85" t="s">
        <v>254</v>
      </c>
      <c r="N483" s="85" t="s">
        <v>254</v>
      </c>
      <c r="O483" s="85" t="s">
        <v>254</v>
      </c>
      <c r="P483" s="85" t="s">
        <v>254</v>
      </c>
      <c r="Q483" s="85" t="s">
        <v>254</v>
      </c>
      <c r="R483" s="85"/>
      <c r="S483" s="86"/>
    </row>
    <row r="484" spans="1:19" ht="15">
      <c r="A484" s="70">
        <v>48</v>
      </c>
      <c r="B484" s="94" t="str">
        <f t="shared" si="15"/>
        <v>TAL</v>
      </c>
      <c r="C484" s="72" t="s">
        <v>635</v>
      </c>
      <c r="D484" s="72" t="s">
        <v>254</v>
      </c>
      <c r="E484" s="85">
        <v>746465111.54686248</v>
      </c>
      <c r="F484" s="85" t="s">
        <v>254</v>
      </c>
      <c r="G484" s="85">
        <v>655488526.13147306</v>
      </c>
      <c r="H484" s="85" t="s">
        <v>254</v>
      </c>
      <c r="I484" s="85">
        <v>27735704.129490804</v>
      </c>
      <c r="J484" s="85">
        <v>63240881.285898566</v>
      </c>
      <c r="K484" s="85" t="s">
        <v>254</v>
      </c>
      <c r="L484" s="85" t="s">
        <v>254</v>
      </c>
      <c r="M484" s="85">
        <v>3013.9338919405272</v>
      </c>
      <c r="N484" s="85" t="s">
        <v>254</v>
      </c>
      <c r="O484" s="85">
        <v>63237867.352006629</v>
      </c>
      <c r="P484" s="85">
        <v>19922016.490195785</v>
      </c>
      <c r="Q484" s="85">
        <v>43315850.861810841</v>
      </c>
      <c r="R484" s="85"/>
      <c r="S484" s="86"/>
    </row>
    <row r="485" spans="1:19" ht="15">
      <c r="A485" s="70" t="s">
        <v>254</v>
      </c>
      <c r="B485" s="94" t="str">
        <f t="shared" si="15"/>
        <v/>
      </c>
      <c r="C485" s="72" t="s">
        <v>254</v>
      </c>
      <c r="D485" s="72" t="s">
        <v>254</v>
      </c>
      <c r="E485" s="85" t="s">
        <v>254</v>
      </c>
      <c r="F485" s="85" t="s">
        <v>254</v>
      </c>
      <c r="G485" s="85" t="s">
        <v>254</v>
      </c>
      <c r="H485" s="85" t="s">
        <v>254</v>
      </c>
      <c r="I485" s="85" t="s">
        <v>254</v>
      </c>
      <c r="J485" s="85" t="s">
        <v>254</v>
      </c>
      <c r="K485" s="85" t="s">
        <v>254</v>
      </c>
      <c r="L485" s="85" t="s">
        <v>254</v>
      </c>
      <c r="M485" s="85" t="s">
        <v>254</v>
      </c>
      <c r="N485" s="85" t="s">
        <v>254</v>
      </c>
      <c r="O485" s="85" t="s">
        <v>254</v>
      </c>
      <c r="P485" s="85" t="s">
        <v>254</v>
      </c>
      <c r="Q485" s="85" t="s">
        <v>254</v>
      </c>
      <c r="R485" s="85"/>
      <c r="S485" s="86"/>
    </row>
    <row r="486" spans="1:19" ht="15">
      <c r="A486" s="70" t="s">
        <v>254</v>
      </c>
      <c r="B486" s="94" t="str">
        <f t="shared" si="15"/>
        <v>ERA</v>
      </c>
      <c r="C486" s="72" t="s">
        <v>636</v>
      </c>
      <c r="D486" s="72" t="s">
        <v>254</v>
      </c>
      <c r="E486" s="85" t="s">
        <v>254</v>
      </c>
      <c r="F486" s="85" t="s">
        <v>254</v>
      </c>
      <c r="G486" s="85" t="s">
        <v>254</v>
      </c>
      <c r="H486" s="85" t="s">
        <v>254</v>
      </c>
      <c r="I486" s="85" t="s">
        <v>254</v>
      </c>
      <c r="J486" s="85" t="s">
        <v>254</v>
      </c>
      <c r="K486" s="85" t="s">
        <v>254</v>
      </c>
      <c r="L486" s="85" t="s">
        <v>254</v>
      </c>
      <c r="M486" s="85" t="s">
        <v>254</v>
      </c>
      <c r="N486" s="85" t="s">
        <v>254</v>
      </c>
      <c r="O486" s="85" t="s">
        <v>254</v>
      </c>
      <c r="P486" s="85" t="s">
        <v>254</v>
      </c>
      <c r="Q486" s="85" t="s">
        <v>254</v>
      </c>
      <c r="R486" s="85"/>
      <c r="S486" s="86"/>
    </row>
    <row r="487" spans="1:19" ht="15">
      <c r="A487" s="70" t="s">
        <v>254</v>
      </c>
      <c r="B487" s="94" t="str">
        <f t="shared" si="15"/>
        <v/>
      </c>
      <c r="C487" s="72" t="s">
        <v>254</v>
      </c>
      <c r="D487" s="72" t="s">
        <v>254</v>
      </c>
      <c r="E487" s="85" t="s">
        <v>254</v>
      </c>
      <c r="F487" s="85" t="s">
        <v>254</v>
      </c>
      <c r="G487" s="85" t="s">
        <v>254</v>
      </c>
      <c r="H487" s="85" t="s">
        <v>254</v>
      </c>
      <c r="I487" s="85" t="s">
        <v>254</v>
      </c>
      <c r="J487" s="85" t="s">
        <v>254</v>
      </c>
      <c r="K487" s="85" t="s">
        <v>254</v>
      </c>
      <c r="L487" s="85" t="s">
        <v>254</v>
      </c>
      <c r="M487" s="85" t="s">
        <v>254</v>
      </c>
      <c r="N487" s="85" t="s">
        <v>254</v>
      </c>
      <c r="O487" s="85" t="s">
        <v>254</v>
      </c>
      <c r="P487" s="85" t="s">
        <v>254</v>
      </c>
      <c r="Q487" s="85" t="s">
        <v>254</v>
      </c>
      <c r="R487" s="85"/>
      <c r="S487" s="86"/>
    </row>
    <row r="488" spans="1:19" ht="15">
      <c r="A488" s="70" t="s">
        <v>254</v>
      </c>
      <c r="B488" s="94" t="str">
        <f t="shared" si="15"/>
        <v>ANS</v>
      </c>
      <c r="C488" s="72" t="s">
        <v>637</v>
      </c>
      <c r="D488" s="72" t="s">
        <v>254</v>
      </c>
      <c r="E488" s="85" t="s">
        <v>254</v>
      </c>
      <c r="F488" s="85" t="s">
        <v>254</v>
      </c>
      <c r="G488" s="85" t="s">
        <v>254</v>
      </c>
      <c r="H488" s="85" t="s">
        <v>254</v>
      </c>
      <c r="I488" s="85" t="s">
        <v>254</v>
      </c>
      <c r="J488" s="85" t="s">
        <v>254</v>
      </c>
      <c r="K488" s="85" t="s">
        <v>254</v>
      </c>
      <c r="L488" s="85" t="s">
        <v>254</v>
      </c>
      <c r="M488" s="85" t="s">
        <v>254</v>
      </c>
      <c r="N488" s="85" t="s">
        <v>254</v>
      </c>
      <c r="O488" s="85" t="s">
        <v>254</v>
      </c>
      <c r="P488" s="85" t="s">
        <v>254</v>
      </c>
      <c r="Q488" s="85" t="s">
        <v>254</v>
      </c>
      <c r="R488" s="85"/>
      <c r="S488" s="86"/>
    </row>
    <row r="489" spans="1:19" ht="15">
      <c r="A489" s="70">
        <v>1</v>
      </c>
      <c r="B489" s="94" t="str">
        <f t="shared" si="15"/>
        <v>560</v>
      </c>
      <c r="C489" s="72" t="s">
        <v>638</v>
      </c>
      <c r="D489" s="72" t="s">
        <v>639</v>
      </c>
      <c r="E489" s="85">
        <v>2001339.9999999998</v>
      </c>
      <c r="F489" s="85" t="s">
        <v>254</v>
      </c>
      <c r="G489" s="85">
        <v>1804304.989136664</v>
      </c>
      <c r="H489" s="85" t="s">
        <v>254</v>
      </c>
      <c r="I489" s="85">
        <v>197028.67066766103</v>
      </c>
      <c r="J489" s="85">
        <v>6.3401956747724348</v>
      </c>
      <c r="K489" s="85" t="s">
        <v>254</v>
      </c>
      <c r="L489" s="85" t="s">
        <v>254</v>
      </c>
      <c r="M489" s="85">
        <v>6.3401956747724348</v>
      </c>
      <c r="N489" s="85" t="s">
        <v>254</v>
      </c>
      <c r="O489" s="85">
        <v>0</v>
      </c>
      <c r="P489" s="85">
        <v>0</v>
      </c>
      <c r="Q489" s="85">
        <v>0</v>
      </c>
      <c r="R489" s="85"/>
      <c r="S489" s="86"/>
    </row>
    <row r="490" spans="1:19" ht="15">
      <c r="A490" s="70">
        <v>2</v>
      </c>
      <c r="B490" s="94" t="str">
        <f t="shared" si="15"/>
        <v>561</v>
      </c>
      <c r="C490" s="72" t="s">
        <v>640</v>
      </c>
      <c r="D490" s="72" t="s">
        <v>503</v>
      </c>
      <c r="E490" s="85">
        <v>4041991.9999999995</v>
      </c>
      <c r="F490" s="85" t="s">
        <v>254</v>
      </c>
      <c r="G490" s="85">
        <v>3644051.6512189247</v>
      </c>
      <c r="H490" s="85" t="s">
        <v>254</v>
      </c>
      <c r="I490" s="85">
        <v>397927.54385028058</v>
      </c>
      <c r="J490" s="85">
        <v>12.804930794300214</v>
      </c>
      <c r="K490" s="85" t="s">
        <v>254</v>
      </c>
      <c r="L490" s="85" t="s">
        <v>254</v>
      </c>
      <c r="M490" s="85">
        <v>12.804930794300214</v>
      </c>
      <c r="N490" s="85" t="s">
        <v>254</v>
      </c>
      <c r="O490" s="85">
        <v>0</v>
      </c>
      <c r="P490" s="85">
        <v>0</v>
      </c>
      <c r="Q490" s="85">
        <v>0</v>
      </c>
      <c r="R490" s="85"/>
      <c r="S490" s="86"/>
    </row>
    <row r="491" spans="1:19" ht="15">
      <c r="A491" s="70">
        <v>3</v>
      </c>
      <c r="B491" s="94" t="str">
        <f t="shared" si="15"/>
        <v>562</v>
      </c>
      <c r="C491" s="72" t="s">
        <v>641</v>
      </c>
      <c r="D491" s="72" t="s">
        <v>503</v>
      </c>
      <c r="E491" s="85">
        <v>1445621.9999999998</v>
      </c>
      <c r="F491" s="85" t="s">
        <v>254</v>
      </c>
      <c r="G491" s="85">
        <v>1303298.2836528139</v>
      </c>
      <c r="H491" s="85" t="s">
        <v>254</v>
      </c>
      <c r="I491" s="85">
        <v>142319.13665240564</v>
      </c>
      <c r="J491" s="85">
        <v>4.579694780375088</v>
      </c>
      <c r="K491" s="85" t="s">
        <v>254</v>
      </c>
      <c r="L491" s="85" t="s">
        <v>254</v>
      </c>
      <c r="M491" s="85">
        <v>4.579694780375088</v>
      </c>
      <c r="N491" s="85" t="s">
        <v>254</v>
      </c>
      <c r="O491" s="85">
        <v>0</v>
      </c>
      <c r="P491" s="85">
        <v>0</v>
      </c>
      <c r="Q491" s="85">
        <v>0</v>
      </c>
      <c r="R491" s="85"/>
      <c r="S491" s="86"/>
    </row>
    <row r="492" spans="1:19" ht="15">
      <c r="A492" s="70">
        <v>4</v>
      </c>
      <c r="B492" s="94" t="str">
        <f t="shared" si="15"/>
        <v>563</v>
      </c>
      <c r="C492" s="72" t="s">
        <v>642</v>
      </c>
      <c r="D492" s="72" t="s">
        <v>503</v>
      </c>
      <c r="E492" s="85">
        <v>1174638</v>
      </c>
      <c r="F492" s="85" t="s">
        <v>254</v>
      </c>
      <c r="G492" s="85">
        <v>1058993.0765534656</v>
      </c>
      <c r="H492" s="85" t="s">
        <v>254</v>
      </c>
      <c r="I492" s="85">
        <v>115641.20222237102</v>
      </c>
      <c r="J492" s="85">
        <v>3.7212241633222463</v>
      </c>
      <c r="K492" s="85" t="s">
        <v>254</v>
      </c>
      <c r="L492" s="85" t="s">
        <v>254</v>
      </c>
      <c r="M492" s="85">
        <v>3.7212241633222463</v>
      </c>
      <c r="N492" s="85" t="s">
        <v>254</v>
      </c>
      <c r="O492" s="85">
        <v>0</v>
      </c>
      <c r="P492" s="85">
        <v>0</v>
      </c>
      <c r="Q492" s="85">
        <v>0</v>
      </c>
      <c r="R492" s="85"/>
      <c r="S492" s="86"/>
    </row>
    <row r="493" spans="1:19" ht="15">
      <c r="A493" s="70">
        <v>5</v>
      </c>
      <c r="B493" s="94" t="str">
        <f t="shared" si="15"/>
        <v>564</v>
      </c>
      <c r="C493" s="72" t="s">
        <v>643</v>
      </c>
      <c r="D493" s="72" t="s">
        <v>503</v>
      </c>
      <c r="E493" s="85">
        <v>0</v>
      </c>
      <c r="F493" s="85" t="s">
        <v>254</v>
      </c>
      <c r="G493" s="85">
        <v>0</v>
      </c>
      <c r="H493" s="85" t="s">
        <v>254</v>
      </c>
      <c r="I493" s="85">
        <v>0</v>
      </c>
      <c r="J493" s="85">
        <v>0</v>
      </c>
      <c r="K493" s="85" t="s">
        <v>254</v>
      </c>
      <c r="L493" s="85" t="s">
        <v>254</v>
      </c>
      <c r="M493" s="85">
        <v>0</v>
      </c>
      <c r="N493" s="85" t="s">
        <v>254</v>
      </c>
      <c r="O493" s="85">
        <v>0</v>
      </c>
      <c r="P493" s="85">
        <v>0</v>
      </c>
      <c r="Q493" s="85">
        <v>0</v>
      </c>
      <c r="R493" s="85"/>
      <c r="S493" s="86"/>
    </row>
    <row r="494" spans="1:19" ht="15">
      <c r="A494" s="70">
        <v>6</v>
      </c>
      <c r="B494" s="94" t="str">
        <f t="shared" si="15"/>
        <v>565</v>
      </c>
      <c r="C494" s="72" t="s">
        <v>644</v>
      </c>
      <c r="D494" s="72" t="s">
        <v>503</v>
      </c>
      <c r="E494" s="85">
        <v>3503454.9999999902</v>
      </c>
      <c r="F494" s="85" t="s">
        <v>254</v>
      </c>
      <c r="G494" s="85">
        <v>3158534.4497765368</v>
      </c>
      <c r="H494" s="85" t="s">
        <v>254</v>
      </c>
      <c r="I494" s="85">
        <v>344909.45136456995</v>
      </c>
      <c r="J494" s="85">
        <v>11.098858883428004</v>
      </c>
      <c r="K494" s="85" t="s">
        <v>254</v>
      </c>
      <c r="L494" s="85" t="s">
        <v>254</v>
      </c>
      <c r="M494" s="85">
        <v>11.098858883428004</v>
      </c>
      <c r="N494" s="85" t="s">
        <v>254</v>
      </c>
      <c r="O494" s="85">
        <v>0</v>
      </c>
      <c r="P494" s="85">
        <v>0</v>
      </c>
      <c r="Q494" s="85">
        <v>0</v>
      </c>
      <c r="R494" s="85"/>
      <c r="S494" s="86"/>
    </row>
    <row r="495" spans="1:19" ht="15">
      <c r="A495" s="70">
        <v>7</v>
      </c>
      <c r="B495" s="94" t="str">
        <f t="shared" si="15"/>
        <v>566</v>
      </c>
      <c r="C495" s="72" t="s">
        <v>645</v>
      </c>
      <c r="D495" s="72" t="s">
        <v>503</v>
      </c>
      <c r="E495" s="85">
        <v>13253388</v>
      </c>
      <c r="F495" s="85" t="s">
        <v>254</v>
      </c>
      <c r="G495" s="85">
        <v>11948571.502775138</v>
      </c>
      <c r="H495" s="85" t="s">
        <v>254</v>
      </c>
      <c r="I495" s="85">
        <v>1304774.5108191166</v>
      </c>
      <c r="J495" s="85">
        <v>41.986405744991309</v>
      </c>
      <c r="K495" s="85" t="s">
        <v>254</v>
      </c>
      <c r="L495" s="85" t="s">
        <v>254</v>
      </c>
      <c r="M495" s="85">
        <v>41.986405744991309</v>
      </c>
      <c r="N495" s="85" t="s">
        <v>254</v>
      </c>
      <c r="O495" s="85">
        <v>0</v>
      </c>
      <c r="P495" s="85">
        <v>0</v>
      </c>
      <c r="Q495" s="85">
        <v>0</v>
      </c>
      <c r="R495" s="85"/>
      <c r="S495" s="86"/>
    </row>
    <row r="496" spans="1:19" ht="15">
      <c r="A496" s="70">
        <v>8</v>
      </c>
      <c r="B496" s="94" t="str">
        <f t="shared" si="15"/>
        <v>567</v>
      </c>
      <c r="C496" s="72" t="s">
        <v>646</v>
      </c>
      <c r="D496" s="72" t="s">
        <v>503</v>
      </c>
      <c r="E496" s="85">
        <v>124236</v>
      </c>
      <c r="F496" s="85" t="s">
        <v>254</v>
      </c>
      <c r="G496" s="85">
        <v>112004.77411653323</v>
      </c>
      <c r="H496" s="85" t="s">
        <v>254</v>
      </c>
      <c r="I496" s="85">
        <v>12230.832306888153</v>
      </c>
      <c r="J496" s="85">
        <v>0.39357657861784023</v>
      </c>
      <c r="K496" s="85" t="s">
        <v>254</v>
      </c>
      <c r="L496" s="85" t="s">
        <v>254</v>
      </c>
      <c r="M496" s="85">
        <v>0.39357657861784023</v>
      </c>
      <c r="N496" s="85" t="s">
        <v>254</v>
      </c>
      <c r="O496" s="85">
        <v>0</v>
      </c>
      <c r="P496" s="85">
        <v>0</v>
      </c>
      <c r="Q496" s="85">
        <v>0</v>
      </c>
      <c r="R496" s="85"/>
      <c r="S496" s="86"/>
    </row>
    <row r="497" spans="1:19" ht="15">
      <c r="A497" s="70">
        <v>9</v>
      </c>
      <c r="B497" s="94" t="str">
        <f t="shared" si="15"/>
        <v>575</v>
      </c>
      <c r="C497" s="72" t="s">
        <v>647</v>
      </c>
      <c r="D497" s="72" t="s">
        <v>503</v>
      </c>
      <c r="E497" s="85">
        <v>0</v>
      </c>
      <c r="F497" s="85" t="s">
        <v>254</v>
      </c>
      <c r="G497" s="85">
        <v>0</v>
      </c>
      <c r="H497" s="85" t="s">
        <v>254</v>
      </c>
      <c r="I497" s="85">
        <v>0</v>
      </c>
      <c r="J497" s="85">
        <v>0</v>
      </c>
      <c r="K497" s="85" t="s">
        <v>254</v>
      </c>
      <c r="L497" s="85" t="s">
        <v>254</v>
      </c>
      <c r="M497" s="85">
        <v>0</v>
      </c>
      <c r="N497" s="85" t="s">
        <v>254</v>
      </c>
      <c r="O497" s="85">
        <v>0</v>
      </c>
      <c r="P497" s="85">
        <v>0</v>
      </c>
      <c r="Q497" s="85">
        <v>0</v>
      </c>
      <c r="R497" s="85"/>
      <c r="S497" s="86"/>
    </row>
    <row r="498" spans="1:19" ht="15">
      <c r="A498" s="70">
        <v>10</v>
      </c>
      <c r="B498" s="94" t="str">
        <f t="shared" si="15"/>
        <v xml:space="preserve">  T</v>
      </c>
      <c r="C498" s="72" t="s">
        <v>648</v>
      </c>
      <c r="D498" s="72" t="s">
        <v>254</v>
      </c>
      <c r="E498" s="85">
        <v>25544670.999999989</v>
      </c>
      <c r="F498" s="85" t="s">
        <v>254</v>
      </c>
      <c r="G498" s="85">
        <v>23029758.727230076</v>
      </c>
      <c r="H498" s="85" t="s">
        <v>254</v>
      </c>
      <c r="I498" s="85">
        <v>2514831.3478832925</v>
      </c>
      <c r="J498" s="85">
        <v>80.92488661980714</v>
      </c>
      <c r="K498" s="85" t="s">
        <v>254</v>
      </c>
      <c r="L498" s="85" t="s">
        <v>254</v>
      </c>
      <c r="M498" s="85">
        <v>80.92488661980714</v>
      </c>
      <c r="N498" s="85" t="s">
        <v>254</v>
      </c>
      <c r="O498" s="85">
        <v>0</v>
      </c>
      <c r="P498" s="85">
        <v>0</v>
      </c>
      <c r="Q498" s="85">
        <v>0</v>
      </c>
      <c r="R498" s="85"/>
      <c r="S498" s="86"/>
    </row>
    <row r="499" spans="1:19" ht="15">
      <c r="A499" s="70">
        <v>11</v>
      </c>
      <c r="B499" s="94" t="str">
        <f t="shared" si="15"/>
        <v>568</v>
      </c>
      <c r="C499" s="72" t="s">
        <v>649</v>
      </c>
      <c r="D499" s="72" t="s">
        <v>503</v>
      </c>
      <c r="E499" s="85">
        <v>0</v>
      </c>
      <c r="F499" s="85" t="s">
        <v>254</v>
      </c>
      <c r="G499" s="85">
        <v>0</v>
      </c>
      <c r="H499" s="85" t="s">
        <v>254</v>
      </c>
      <c r="I499" s="85">
        <v>0</v>
      </c>
      <c r="J499" s="85">
        <v>0</v>
      </c>
      <c r="K499" s="85" t="s">
        <v>254</v>
      </c>
      <c r="L499" s="85" t="s">
        <v>254</v>
      </c>
      <c r="M499" s="85">
        <v>0</v>
      </c>
      <c r="N499" s="85" t="s">
        <v>254</v>
      </c>
      <c r="O499" s="85">
        <v>0</v>
      </c>
      <c r="P499" s="85">
        <v>0</v>
      </c>
      <c r="Q499" s="85">
        <v>0</v>
      </c>
      <c r="R499" s="85"/>
      <c r="S499" s="86"/>
    </row>
    <row r="500" spans="1:19" ht="15">
      <c r="A500" s="70">
        <v>12</v>
      </c>
      <c r="B500" s="94" t="str">
        <f t="shared" si="15"/>
        <v>569</v>
      </c>
      <c r="C500" s="72" t="s">
        <v>650</v>
      </c>
      <c r="D500" s="72" t="s">
        <v>503</v>
      </c>
      <c r="E500" s="85">
        <v>0</v>
      </c>
      <c r="F500" s="85" t="s">
        <v>254</v>
      </c>
      <c r="G500" s="85">
        <v>0</v>
      </c>
      <c r="H500" s="85" t="s">
        <v>254</v>
      </c>
      <c r="I500" s="85">
        <v>0</v>
      </c>
      <c r="J500" s="85">
        <v>0</v>
      </c>
      <c r="K500" s="85" t="s">
        <v>254</v>
      </c>
      <c r="L500" s="85" t="s">
        <v>254</v>
      </c>
      <c r="M500" s="85">
        <v>0</v>
      </c>
      <c r="N500" s="85" t="s">
        <v>254</v>
      </c>
      <c r="O500" s="85">
        <v>0</v>
      </c>
      <c r="P500" s="85">
        <v>0</v>
      </c>
      <c r="Q500" s="85">
        <v>0</v>
      </c>
      <c r="R500" s="85"/>
      <c r="S500" s="86"/>
    </row>
    <row r="501" spans="1:19" ht="15">
      <c r="A501" s="70">
        <v>13</v>
      </c>
      <c r="B501" s="94" t="str">
        <f t="shared" si="15"/>
        <v>570</v>
      </c>
      <c r="C501" s="72" t="s">
        <v>651</v>
      </c>
      <c r="D501" s="72" t="s">
        <v>503</v>
      </c>
      <c r="E501" s="85">
        <v>2203328</v>
      </c>
      <c r="F501" s="85" t="s">
        <v>254</v>
      </c>
      <c r="G501" s="85">
        <v>1986406.9588897978</v>
      </c>
      <c r="H501" s="85" t="s">
        <v>254</v>
      </c>
      <c r="I501" s="85">
        <v>216914.06102153368</v>
      </c>
      <c r="J501" s="85">
        <v>6.980088668444643</v>
      </c>
      <c r="K501" s="85" t="s">
        <v>254</v>
      </c>
      <c r="L501" s="85" t="s">
        <v>254</v>
      </c>
      <c r="M501" s="85">
        <v>6.980088668444643</v>
      </c>
      <c r="N501" s="85" t="s">
        <v>254</v>
      </c>
      <c r="O501" s="85">
        <v>0</v>
      </c>
      <c r="P501" s="85">
        <v>0</v>
      </c>
      <c r="Q501" s="85">
        <v>0</v>
      </c>
      <c r="R501" s="85"/>
      <c r="S501" s="86"/>
    </row>
    <row r="502" spans="1:19" ht="15">
      <c r="A502" s="70">
        <v>14</v>
      </c>
      <c r="B502" s="94" t="str">
        <f t="shared" si="15"/>
        <v>571</v>
      </c>
      <c r="C502" s="72" t="s">
        <v>652</v>
      </c>
      <c r="D502" s="72" t="s">
        <v>503</v>
      </c>
      <c r="E502" s="85">
        <v>11716853</v>
      </c>
      <c r="F502" s="85" t="s">
        <v>254</v>
      </c>
      <c r="G502" s="85">
        <v>10570831.60725012</v>
      </c>
      <c r="H502" s="85" t="s">
        <v>254</v>
      </c>
      <c r="I502" s="85">
        <v>1145984.5160554999</v>
      </c>
      <c r="J502" s="85">
        <v>36.876694378691852</v>
      </c>
      <c r="K502" s="85" t="s">
        <v>254</v>
      </c>
      <c r="L502" s="85" t="s">
        <v>254</v>
      </c>
      <c r="M502" s="85">
        <v>36.876694378691852</v>
      </c>
      <c r="N502" s="85" t="s">
        <v>254</v>
      </c>
      <c r="O502" s="85">
        <v>0</v>
      </c>
      <c r="P502" s="85">
        <v>0</v>
      </c>
      <c r="Q502" s="85">
        <v>0</v>
      </c>
      <c r="R502" s="85"/>
      <c r="S502" s="86"/>
    </row>
    <row r="503" spans="1:19" ht="15">
      <c r="A503" s="70">
        <v>15</v>
      </c>
      <c r="B503" s="94" t="str">
        <f t="shared" si="15"/>
        <v>572</v>
      </c>
      <c r="C503" s="72" t="s">
        <v>653</v>
      </c>
      <c r="D503" s="72" t="s">
        <v>503</v>
      </c>
      <c r="E503" s="85">
        <v>0</v>
      </c>
      <c r="F503" s="85" t="s">
        <v>254</v>
      </c>
      <c r="G503" s="85">
        <v>0</v>
      </c>
      <c r="H503" s="85" t="s">
        <v>254</v>
      </c>
      <c r="I503" s="85">
        <v>0</v>
      </c>
      <c r="J503" s="85">
        <v>0</v>
      </c>
      <c r="K503" s="85" t="s">
        <v>254</v>
      </c>
      <c r="L503" s="85" t="s">
        <v>254</v>
      </c>
      <c r="M503" s="85">
        <v>0</v>
      </c>
      <c r="N503" s="85" t="s">
        <v>254</v>
      </c>
      <c r="O503" s="85">
        <v>0</v>
      </c>
      <c r="P503" s="85">
        <v>0</v>
      </c>
      <c r="Q503" s="85">
        <v>0</v>
      </c>
      <c r="R503" s="85"/>
      <c r="S503" s="86"/>
    </row>
    <row r="504" spans="1:19" ht="15">
      <c r="A504" s="70">
        <v>16</v>
      </c>
      <c r="B504" s="94" t="str">
        <f t="shared" si="15"/>
        <v>573</v>
      </c>
      <c r="C504" s="72" t="s">
        <v>654</v>
      </c>
      <c r="D504" s="72" t="s">
        <v>503</v>
      </c>
      <c r="E504" s="85">
        <v>373911</v>
      </c>
      <c r="F504" s="85" t="s">
        <v>254</v>
      </c>
      <c r="G504" s="85">
        <v>337098.88514349348</v>
      </c>
      <c r="H504" s="85" t="s">
        <v>254</v>
      </c>
      <c r="I504" s="85">
        <v>36810.930315696387</v>
      </c>
      <c r="J504" s="85">
        <v>1.1845408101321295</v>
      </c>
      <c r="K504" s="85" t="s">
        <v>254</v>
      </c>
      <c r="L504" s="85" t="s">
        <v>254</v>
      </c>
      <c r="M504" s="85">
        <v>1.1845408101321295</v>
      </c>
      <c r="N504" s="85" t="s">
        <v>254</v>
      </c>
      <c r="O504" s="85">
        <v>0</v>
      </c>
      <c r="P504" s="85">
        <v>0</v>
      </c>
      <c r="Q504" s="85">
        <v>0</v>
      </c>
      <c r="R504" s="85"/>
      <c r="S504" s="86"/>
    </row>
    <row r="505" spans="1:19" ht="15">
      <c r="A505" s="70">
        <v>17</v>
      </c>
      <c r="B505" s="94" t="str">
        <f t="shared" si="15"/>
        <v xml:space="preserve">  T</v>
      </c>
      <c r="C505" s="72" t="s">
        <v>655</v>
      </c>
      <c r="D505" s="72" t="s">
        <v>254</v>
      </c>
      <c r="E505" s="85">
        <v>14294092</v>
      </c>
      <c r="F505" s="85" t="s">
        <v>254</v>
      </c>
      <c r="G505" s="85">
        <v>12894337.451283412</v>
      </c>
      <c r="H505" s="85" t="s">
        <v>254</v>
      </c>
      <c r="I505" s="85">
        <v>1399709.5073927299</v>
      </c>
      <c r="J505" s="85">
        <v>45.041323857268623</v>
      </c>
      <c r="K505" s="85" t="s">
        <v>254</v>
      </c>
      <c r="L505" s="85" t="s">
        <v>254</v>
      </c>
      <c r="M505" s="85">
        <v>45.041323857268623</v>
      </c>
      <c r="N505" s="85" t="s">
        <v>254</v>
      </c>
      <c r="O505" s="85">
        <v>0</v>
      </c>
      <c r="P505" s="85">
        <v>0</v>
      </c>
      <c r="Q505" s="85">
        <v>0</v>
      </c>
      <c r="R505" s="85"/>
      <c r="S505" s="86"/>
    </row>
    <row r="506" spans="1:19" ht="15">
      <c r="A506" s="70" t="s">
        <v>254</v>
      </c>
      <c r="B506" s="94" t="str">
        <f t="shared" si="15"/>
        <v/>
      </c>
      <c r="C506" s="72" t="s">
        <v>254</v>
      </c>
      <c r="D506" s="72" t="s">
        <v>254</v>
      </c>
      <c r="E506" s="85" t="s">
        <v>254</v>
      </c>
      <c r="F506" s="85" t="s">
        <v>254</v>
      </c>
      <c r="G506" s="85" t="s">
        <v>254</v>
      </c>
      <c r="H506" s="85" t="s">
        <v>254</v>
      </c>
      <c r="I506" s="85" t="s">
        <v>254</v>
      </c>
      <c r="J506" s="85" t="s">
        <v>254</v>
      </c>
      <c r="K506" s="85" t="s">
        <v>254</v>
      </c>
      <c r="L506" s="85" t="s">
        <v>254</v>
      </c>
      <c r="M506" s="85" t="s">
        <v>254</v>
      </c>
      <c r="N506" s="85" t="s">
        <v>254</v>
      </c>
      <c r="O506" s="85" t="s">
        <v>254</v>
      </c>
      <c r="P506" s="85" t="s">
        <v>254</v>
      </c>
      <c r="Q506" s="85" t="s">
        <v>254</v>
      </c>
      <c r="R506" s="85"/>
      <c r="S506" s="86"/>
    </row>
    <row r="507" spans="1:19" ht="15">
      <c r="A507" s="70">
        <v>18</v>
      </c>
      <c r="B507" s="94" t="str">
        <f t="shared" si="15"/>
        <v>TAL</v>
      </c>
      <c r="C507" s="72" t="s">
        <v>656</v>
      </c>
      <c r="D507" s="72" t="s">
        <v>254</v>
      </c>
      <c r="E507" s="85">
        <v>39838762.999999993</v>
      </c>
      <c r="F507" s="85" t="s">
        <v>254</v>
      </c>
      <c r="G507" s="85">
        <v>35924096.17851349</v>
      </c>
      <c r="H507" s="85" t="s">
        <v>254</v>
      </c>
      <c r="I507" s="85">
        <v>3914540.8552760221</v>
      </c>
      <c r="J507" s="85">
        <v>125.96621047707576</v>
      </c>
      <c r="K507" s="85" t="s">
        <v>254</v>
      </c>
      <c r="L507" s="85" t="s">
        <v>254</v>
      </c>
      <c r="M507" s="85">
        <v>125.96621047707576</v>
      </c>
      <c r="N507" s="85" t="s">
        <v>254</v>
      </c>
      <c r="O507" s="85">
        <v>0</v>
      </c>
      <c r="P507" s="85">
        <v>0</v>
      </c>
      <c r="Q507" s="85">
        <v>0</v>
      </c>
      <c r="R507" s="85"/>
      <c r="S507" s="86"/>
    </row>
    <row r="508" spans="1:19" ht="15">
      <c r="A508" s="70" t="s">
        <v>254</v>
      </c>
      <c r="B508" s="94" t="str">
        <f t="shared" si="15"/>
        <v/>
      </c>
      <c r="C508" s="72" t="s">
        <v>254</v>
      </c>
      <c r="D508" s="72" t="s">
        <v>254</v>
      </c>
      <c r="E508" s="85" t="s">
        <v>254</v>
      </c>
      <c r="F508" s="85" t="s">
        <v>254</v>
      </c>
      <c r="G508" s="85" t="s">
        <v>254</v>
      </c>
      <c r="H508" s="85" t="s">
        <v>254</v>
      </c>
      <c r="I508" s="85" t="s">
        <v>254</v>
      </c>
      <c r="J508" s="85" t="s">
        <v>254</v>
      </c>
      <c r="K508" s="85" t="s">
        <v>254</v>
      </c>
      <c r="L508" s="85" t="s">
        <v>254</v>
      </c>
      <c r="M508" s="85" t="s">
        <v>254</v>
      </c>
      <c r="N508" s="85" t="s">
        <v>254</v>
      </c>
      <c r="O508" s="85" t="s">
        <v>254</v>
      </c>
      <c r="P508" s="85" t="s">
        <v>254</v>
      </c>
      <c r="Q508" s="85" t="s">
        <v>254</v>
      </c>
      <c r="R508" s="85"/>
      <c r="S508" s="86"/>
    </row>
    <row r="509" spans="1:19" ht="15">
      <c r="A509" s="70" t="s">
        <v>254</v>
      </c>
      <c r="B509" s="94" t="str">
        <f t="shared" si="15"/>
        <v>STR</v>
      </c>
      <c r="C509" s="72" t="s">
        <v>657</v>
      </c>
      <c r="D509" s="72" t="s">
        <v>254</v>
      </c>
      <c r="E509" s="85" t="s">
        <v>254</v>
      </c>
      <c r="F509" s="85" t="s">
        <v>254</v>
      </c>
      <c r="G509" s="85" t="s">
        <v>254</v>
      </c>
      <c r="H509" s="85" t="s">
        <v>254</v>
      </c>
      <c r="I509" s="85" t="s">
        <v>254</v>
      </c>
      <c r="J509" s="85" t="s">
        <v>254</v>
      </c>
      <c r="K509" s="85" t="s">
        <v>254</v>
      </c>
      <c r="L509" s="85" t="s">
        <v>254</v>
      </c>
      <c r="M509" s="85" t="s">
        <v>254</v>
      </c>
      <c r="N509" s="85" t="s">
        <v>254</v>
      </c>
      <c r="O509" s="85" t="s">
        <v>254</v>
      </c>
      <c r="P509" s="85" t="s">
        <v>254</v>
      </c>
      <c r="Q509" s="85" t="s">
        <v>254</v>
      </c>
      <c r="R509" s="85"/>
      <c r="S509" s="86"/>
    </row>
    <row r="510" spans="1:19" ht="15">
      <c r="A510" s="70">
        <v>19</v>
      </c>
      <c r="B510" s="94" t="str">
        <f t="shared" si="15"/>
        <v>580</v>
      </c>
      <c r="C510" s="72" t="s">
        <v>658</v>
      </c>
      <c r="D510" s="72" t="s">
        <v>505</v>
      </c>
      <c r="E510" s="85">
        <v>1599414.9999999998</v>
      </c>
      <c r="F510" s="85" t="s">
        <v>254</v>
      </c>
      <c r="G510" s="85">
        <v>1510424.1157263049</v>
      </c>
      <c r="H510" s="85" t="s">
        <v>254</v>
      </c>
      <c r="I510" s="85">
        <v>84551.559484668993</v>
      </c>
      <c r="J510" s="85">
        <v>4439.3247890259354</v>
      </c>
      <c r="K510" s="85" t="s">
        <v>254</v>
      </c>
      <c r="L510" s="85" t="s">
        <v>254</v>
      </c>
      <c r="M510" s="85">
        <v>153.85010013756252</v>
      </c>
      <c r="N510" s="85" t="s">
        <v>254</v>
      </c>
      <c r="O510" s="85">
        <v>4285.4746888883728</v>
      </c>
      <c r="P510" s="85">
        <v>3714.6220243798252</v>
      </c>
      <c r="Q510" s="85">
        <v>570.8526645085476</v>
      </c>
      <c r="R510" s="85"/>
      <c r="S510" s="86"/>
    </row>
    <row r="511" spans="1:19" ht="15">
      <c r="A511" s="70">
        <v>20</v>
      </c>
      <c r="B511" s="94" t="str">
        <f t="shared" si="15"/>
        <v>581</v>
      </c>
      <c r="C511" s="72" t="s">
        <v>659</v>
      </c>
      <c r="D511" s="72" t="s">
        <v>660</v>
      </c>
      <c r="E511" s="85">
        <v>362688</v>
      </c>
      <c r="F511" s="85" t="s">
        <v>254</v>
      </c>
      <c r="G511" s="85">
        <v>341053.32063580118</v>
      </c>
      <c r="H511" s="85" t="s">
        <v>254</v>
      </c>
      <c r="I511" s="85">
        <v>14940.278172818724</v>
      </c>
      <c r="J511" s="85">
        <v>6694.4011913801223</v>
      </c>
      <c r="K511" s="85" t="s">
        <v>254</v>
      </c>
      <c r="L511" s="85" t="s">
        <v>254</v>
      </c>
      <c r="M511" s="85">
        <v>121.20010596135121</v>
      </c>
      <c r="N511" s="85" t="s">
        <v>254</v>
      </c>
      <c r="O511" s="85">
        <v>6573.2010854187711</v>
      </c>
      <c r="P511" s="85">
        <v>6573.2010854187711</v>
      </c>
      <c r="Q511" s="85">
        <v>0</v>
      </c>
      <c r="R511" s="85"/>
      <c r="S511" s="86"/>
    </row>
    <row r="512" spans="1:19" ht="15">
      <c r="A512" s="70">
        <v>21</v>
      </c>
      <c r="B512" s="94" t="str">
        <f t="shared" si="15"/>
        <v>582</v>
      </c>
      <c r="C512" s="72" t="s">
        <v>661</v>
      </c>
      <c r="D512" s="72" t="s">
        <v>660</v>
      </c>
      <c r="E512" s="85">
        <v>1912636</v>
      </c>
      <c r="F512" s="85" t="s">
        <v>254</v>
      </c>
      <c r="G512" s="85">
        <v>1798545.4687433171</v>
      </c>
      <c r="H512" s="85" t="s">
        <v>254</v>
      </c>
      <c r="I512" s="85">
        <v>78787.591217099296</v>
      </c>
      <c r="J512" s="85">
        <v>35302.940039583642</v>
      </c>
      <c r="K512" s="85" t="s">
        <v>254</v>
      </c>
      <c r="L512" s="85" t="s">
        <v>254</v>
      </c>
      <c r="M512" s="85">
        <v>639.1490368181328</v>
      </c>
      <c r="N512" s="85" t="s">
        <v>254</v>
      </c>
      <c r="O512" s="85">
        <v>34663.791002765509</v>
      </c>
      <c r="P512" s="85">
        <v>34663.791002765509</v>
      </c>
      <c r="Q512" s="85">
        <v>0</v>
      </c>
      <c r="R512" s="85"/>
      <c r="S512" s="86"/>
    </row>
    <row r="513" spans="1:19" ht="15">
      <c r="A513" s="70">
        <v>22</v>
      </c>
      <c r="B513" s="94" t="str">
        <f t="shared" ref="B513:B576" si="16">MID(C513,3,3)</f>
        <v>583</v>
      </c>
      <c r="C513" s="72" t="s">
        <v>662</v>
      </c>
      <c r="D513" s="72" t="s">
        <v>663</v>
      </c>
      <c r="E513" s="85">
        <v>5076060</v>
      </c>
      <c r="F513" s="85" t="s">
        <v>254</v>
      </c>
      <c r="G513" s="85">
        <v>4706316.5542154722</v>
      </c>
      <c r="H513" s="85" t="s">
        <v>254</v>
      </c>
      <c r="I513" s="85">
        <v>369122.97922693781</v>
      </c>
      <c r="J513" s="85">
        <v>620.46655759008536</v>
      </c>
      <c r="K513" s="85" t="s">
        <v>254</v>
      </c>
      <c r="L513" s="85" t="s">
        <v>254</v>
      </c>
      <c r="M513" s="85">
        <v>620.46655759008536</v>
      </c>
      <c r="N513" s="85" t="s">
        <v>254</v>
      </c>
      <c r="O513" s="85">
        <v>0</v>
      </c>
      <c r="P513" s="85">
        <v>0</v>
      </c>
      <c r="Q513" s="85">
        <v>0</v>
      </c>
      <c r="R513" s="85"/>
      <c r="S513" s="86"/>
    </row>
    <row r="514" spans="1:19" ht="15">
      <c r="A514" s="70">
        <v>23</v>
      </c>
      <c r="B514" s="94" t="str">
        <f t="shared" si="16"/>
        <v>584</v>
      </c>
      <c r="C514" s="72" t="s">
        <v>664</v>
      </c>
      <c r="D514" s="72" t="s">
        <v>665</v>
      </c>
      <c r="E514" s="85">
        <v>0</v>
      </c>
      <c r="F514" s="85" t="s">
        <v>254</v>
      </c>
      <c r="G514" s="85">
        <v>0</v>
      </c>
      <c r="H514" s="85" t="s">
        <v>254</v>
      </c>
      <c r="I514" s="85">
        <v>0</v>
      </c>
      <c r="J514" s="85">
        <v>0</v>
      </c>
      <c r="K514" s="85" t="s">
        <v>254</v>
      </c>
      <c r="L514" s="85" t="s">
        <v>254</v>
      </c>
      <c r="M514" s="85">
        <v>0</v>
      </c>
      <c r="N514" s="85" t="s">
        <v>254</v>
      </c>
      <c r="O514" s="85">
        <v>0</v>
      </c>
      <c r="P514" s="85">
        <v>0</v>
      </c>
      <c r="Q514" s="85">
        <v>0</v>
      </c>
      <c r="R514" s="85"/>
      <c r="S514" s="86"/>
    </row>
    <row r="515" spans="1:19" ht="15">
      <c r="A515" s="70">
        <v>24</v>
      </c>
      <c r="B515" s="94" t="str">
        <f t="shared" si="16"/>
        <v>585</v>
      </c>
      <c r="C515" s="72" t="s">
        <v>666</v>
      </c>
      <c r="D515" s="72" t="s">
        <v>667</v>
      </c>
      <c r="E515" s="85">
        <v>0</v>
      </c>
      <c r="F515" s="85" t="s">
        <v>254</v>
      </c>
      <c r="G515" s="85">
        <v>0</v>
      </c>
      <c r="H515" s="85" t="s">
        <v>254</v>
      </c>
      <c r="I515" s="85">
        <v>0</v>
      </c>
      <c r="J515" s="85">
        <v>0</v>
      </c>
      <c r="K515" s="85" t="s">
        <v>254</v>
      </c>
      <c r="L515" s="85" t="s">
        <v>254</v>
      </c>
      <c r="M515" s="85">
        <v>0</v>
      </c>
      <c r="N515" s="85" t="s">
        <v>254</v>
      </c>
      <c r="O515" s="85">
        <v>0</v>
      </c>
      <c r="P515" s="85">
        <v>0</v>
      </c>
      <c r="Q515" s="85">
        <v>0</v>
      </c>
      <c r="R515" s="85"/>
      <c r="S515" s="86"/>
    </row>
    <row r="516" spans="1:19" ht="15">
      <c r="A516" s="70">
        <v>25</v>
      </c>
      <c r="B516" s="94" t="str">
        <f t="shared" si="16"/>
        <v>586</v>
      </c>
      <c r="C516" s="72" t="s">
        <v>668</v>
      </c>
      <c r="D516" s="72" t="s">
        <v>669</v>
      </c>
      <c r="E516" s="85">
        <v>9202911.0000000019</v>
      </c>
      <c r="F516" s="85" t="s">
        <v>254</v>
      </c>
      <c r="G516" s="85">
        <v>8749182.5699744299</v>
      </c>
      <c r="H516" s="85" t="s">
        <v>254</v>
      </c>
      <c r="I516" s="85">
        <v>415180.97862841492</v>
      </c>
      <c r="J516" s="85">
        <v>38547.451397155863</v>
      </c>
      <c r="K516" s="85" t="s">
        <v>254</v>
      </c>
      <c r="L516" s="85" t="s">
        <v>254</v>
      </c>
      <c r="M516" s="85">
        <v>442.71189566488744</v>
      </c>
      <c r="N516" s="85" t="s">
        <v>254</v>
      </c>
      <c r="O516" s="85">
        <v>38104.739501490978</v>
      </c>
      <c r="P516" s="85">
        <v>6658.4798556174364</v>
      </c>
      <c r="Q516" s="85">
        <v>31446.259645873542</v>
      </c>
      <c r="R516" s="85"/>
      <c r="S516" s="86"/>
    </row>
    <row r="517" spans="1:19" ht="15">
      <c r="A517" s="70">
        <v>26</v>
      </c>
      <c r="B517" s="94" t="str">
        <f t="shared" si="16"/>
        <v>587</v>
      </c>
      <c r="C517" s="72" t="s">
        <v>670</v>
      </c>
      <c r="D517" s="72" t="s">
        <v>671</v>
      </c>
      <c r="E517" s="85">
        <v>-142800</v>
      </c>
      <c r="F517" s="85" t="s">
        <v>254</v>
      </c>
      <c r="G517" s="85">
        <v>-142800</v>
      </c>
      <c r="H517" s="85" t="s">
        <v>254</v>
      </c>
      <c r="I517" s="85">
        <v>0</v>
      </c>
      <c r="J517" s="85">
        <v>0</v>
      </c>
      <c r="K517" s="85" t="s">
        <v>254</v>
      </c>
      <c r="L517" s="85" t="s">
        <v>254</v>
      </c>
      <c r="M517" s="85">
        <v>0</v>
      </c>
      <c r="N517" s="85" t="s">
        <v>254</v>
      </c>
      <c r="O517" s="85">
        <v>0</v>
      </c>
      <c r="P517" s="85">
        <v>0</v>
      </c>
      <c r="Q517" s="85">
        <v>0</v>
      </c>
      <c r="R517" s="85"/>
      <c r="S517" s="86"/>
    </row>
    <row r="518" spans="1:19" ht="15">
      <c r="A518" s="70">
        <v>27</v>
      </c>
      <c r="B518" s="94" t="str">
        <f t="shared" si="16"/>
        <v>588</v>
      </c>
      <c r="C518" s="72" t="s">
        <v>672</v>
      </c>
      <c r="D518" s="72" t="s">
        <v>505</v>
      </c>
      <c r="E518" s="85">
        <v>7140466</v>
      </c>
      <c r="F518" s="85" t="s">
        <v>254</v>
      </c>
      <c r="G518" s="85">
        <v>6743173.0000804961</v>
      </c>
      <c r="H518" s="85" t="s">
        <v>254</v>
      </c>
      <c r="I518" s="85">
        <v>377473.97376369266</v>
      </c>
      <c r="J518" s="85">
        <v>19819.026155811254</v>
      </c>
      <c r="K518" s="85" t="s">
        <v>254</v>
      </c>
      <c r="L518" s="85" t="s">
        <v>254</v>
      </c>
      <c r="M518" s="85">
        <v>686.85201097204947</v>
      </c>
      <c r="N518" s="85" t="s">
        <v>254</v>
      </c>
      <c r="O518" s="85">
        <v>19132.174144839206</v>
      </c>
      <c r="P518" s="85">
        <v>16583.646063051372</v>
      </c>
      <c r="Q518" s="85">
        <v>2548.5280817878356</v>
      </c>
      <c r="R518" s="85"/>
      <c r="S518" s="86"/>
    </row>
    <row r="519" spans="1:19" ht="15">
      <c r="A519" s="70">
        <v>28</v>
      </c>
      <c r="B519" s="94" t="str">
        <f t="shared" si="16"/>
        <v>589</v>
      </c>
      <c r="C519" s="72" t="s">
        <v>673</v>
      </c>
      <c r="D519" s="72" t="s">
        <v>505</v>
      </c>
      <c r="E519" s="85">
        <v>0</v>
      </c>
      <c r="F519" s="85" t="s">
        <v>254</v>
      </c>
      <c r="G519" s="85">
        <v>0</v>
      </c>
      <c r="H519" s="85" t="s">
        <v>254</v>
      </c>
      <c r="I519" s="85">
        <v>0</v>
      </c>
      <c r="J519" s="85">
        <v>0</v>
      </c>
      <c r="K519" s="85" t="s">
        <v>254</v>
      </c>
      <c r="L519" s="85" t="s">
        <v>254</v>
      </c>
      <c r="M519" s="85">
        <v>0</v>
      </c>
      <c r="N519" s="85" t="s">
        <v>254</v>
      </c>
      <c r="O519" s="85">
        <v>0</v>
      </c>
      <c r="P519" s="85">
        <v>0</v>
      </c>
      <c r="Q519" s="85">
        <v>0</v>
      </c>
      <c r="R519" s="85"/>
      <c r="S519" s="86"/>
    </row>
    <row r="520" spans="1:19" ht="15">
      <c r="A520" s="70">
        <v>29</v>
      </c>
      <c r="B520" s="94" t="str">
        <f t="shared" si="16"/>
        <v xml:space="preserve">  T</v>
      </c>
      <c r="C520" s="72" t="s">
        <v>674</v>
      </c>
      <c r="D520" s="72" t="s">
        <v>254</v>
      </c>
      <c r="E520" s="85">
        <v>25151376.000000004</v>
      </c>
      <c r="F520" s="85" t="s">
        <v>254</v>
      </c>
      <c r="G520" s="85">
        <v>23705895.029375821</v>
      </c>
      <c r="H520" s="85" t="s">
        <v>254</v>
      </c>
      <c r="I520" s="85">
        <v>1340057.3604936325</v>
      </c>
      <c r="J520" s="85">
        <v>105423.61013054691</v>
      </c>
      <c r="K520" s="85" t="s">
        <v>254</v>
      </c>
      <c r="L520" s="85" t="s">
        <v>254</v>
      </c>
      <c r="M520" s="85">
        <v>2664.2297071440689</v>
      </c>
      <c r="N520" s="85" t="s">
        <v>254</v>
      </c>
      <c r="O520" s="85">
        <v>102759.38042340284</v>
      </c>
      <c r="P520" s="85">
        <v>68193.740031232912</v>
      </c>
      <c r="Q520" s="85">
        <v>34565.640392169924</v>
      </c>
      <c r="R520" s="85"/>
      <c r="S520" s="86"/>
    </row>
    <row r="521" spans="1:19" ht="15">
      <c r="A521" s="70">
        <v>30</v>
      </c>
      <c r="B521" s="94" t="str">
        <f t="shared" si="16"/>
        <v>590</v>
      </c>
      <c r="C521" s="72" t="s">
        <v>675</v>
      </c>
      <c r="D521" s="72" t="s">
        <v>505</v>
      </c>
      <c r="E521" s="85">
        <v>60834</v>
      </c>
      <c r="F521" s="85" t="s">
        <v>254</v>
      </c>
      <c r="G521" s="85">
        <v>57449.2177803097</v>
      </c>
      <c r="H521" s="85" t="s">
        <v>254</v>
      </c>
      <c r="I521" s="85">
        <v>3215.9318061230847</v>
      </c>
      <c r="J521" s="85">
        <v>168.85041356721285</v>
      </c>
      <c r="K521" s="85" t="s">
        <v>254</v>
      </c>
      <c r="L521" s="85" t="s">
        <v>254</v>
      </c>
      <c r="M521" s="85">
        <v>5.8517126522937941</v>
      </c>
      <c r="N521" s="85" t="s">
        <v>254</v>
      </c>
      <c r="O521" s="85">
        <v>162.99870091491906</v>
      </c>
      <c r="P521" s="85">
        <v>141.28623042244962</v>
      </c>
      <c r="Q521" s="85">
        <v>21.712470492469425</v>
      </c>
      <c r="R521" s="85"/>
      <c r="S521" s="86"/>
    </row>
    <row r="522" spans="1:19" ht="15">
      <c r="A522" s="70">
        <v>31</v>
      </c>
      <c r="B522" s="94" t="str">
        <f t="shared" si="16"/>
        <v>591</v>
      </c>
      <c r="C522" s="72" t="s">
        <v>676</v>
      </c>
      <c r="D522" s="72" t="s">
        <v>660</v>
      </c>
      <c r="E522" s="85">
        <v>0</v>
      </c>
      <c r="F522" s="85" t="s">
        <v>254</v>
      </c>
      <c r="G522" s="85">
        <v>0</v>
      </c>
      <c r="H522" s="85" t="s">
        <v>254</v>
      </c>
      <c r="I522" s="85">
        <v>0</v>
      </c>
      <c r="J522" s="85">
        <v>0</v>
      </c>
      <c r="K522" s="85" t="s">
        <v>254</v>
      </c>
      <c r="L522" s="85" t="s">
        <v>254</v>
      </c>
      <c r="M522" s="85">
        <v>0</v>
      </c>
      <c r="N522" s="85" t="s">
        <v>254</v>
      </c>
      <c r="O522" s="85">
        <v>0</v>
      </c>
      <c r="P522" s="85">
        <v>0</v>
      </c>
      <c r="Q522" s="85">
        <v>0</v>
      </c>
      <c r="R522" s="85"/>
      <c r="S522" s="86"/>
    </row>
    <row r="523" spans="1:19" ht="15">
      <c r="A523" s="70">
        <v>32</v>
      </c>
      <c r="B523" s="94" t="str">
        <f t="shared" si="16"/>
        <v>592</v>
      </c>
      <c r="C523" s="72" t="s">
        <v>677</v>
      </c>
      <c r="D523" s="72" t="s">
        <v>660</v>
      </c>
      <c r="E523" s="85">
        <v>1368313.0000000002</v>
      </c>
      <c r="F523" s="85" t="s">
        <v>254</v>
      </c>
      <c r="G523" s="85">
        <v>1286691.8462125435</v>
      </c>
      <c r="H523" s="85" t="s">
        <v>254</v>
      </c>
      <c r="I523" s="85">
        <v>56365.186737592936</v>
      </c>
      <c r="J523" s="85">
        <v>25255.967049863546</v>
      </c>
      <c r="K523" s="85" t="s">
        <v>254</v>
      </c>
      <c r="L523" s="85" t="s">
        <v>254</v>
      </c>
      <c r="M523" s="85">
        <v>457.25163387896583</v>
      </c>
      <c r="N523" s="85" t="s">
        <v>254</v>
      </c>
      <c r="O523" s="85">
        <v>24798.715415984581</v>
      </c>
      <c r="P523" s="85">
        <v>24798.715415984581</v>
      </c>
      <c r="Q523" s="85">
        <v>0</v>
      </c>
      <c r="R523" s="85"/>
      <c r="S523" s="86"/>
    </row>
    <row r="524" spans="1:19" ht="15">
      <c r="A524" s="70">
        <v>33</v>
      </c>
      <c r="B524" s="94" t="str">
        <f t="shared" si="16"/>
        <v>593</v>
      </c>
      <c r="C524" s="72" t="s">
        <v>678</v>
      </c>
      <c r="D524" s="72" t="s">
        <v>663</v>
      </c>
      <c r="E524" s="85">
        <v>32390400.999999996</v>
      </c>
      <c r="F524" s="85" t="s">
        <v>254</v>
      </c>
      <c r="G524" s="85">
        <v>30239214.880671129</v>
      </c>
      <c r="H524" s="85" t="s">
        <v>254</v>
      </c>
      <c r="I524" s="85">
        <v>2147972.9385059001</v>
      </c>
      <c r="J524" s="85">
        <v>3213.1808229691278</v>
      </c>
      <c r="K524" s="85" t="s">
        <v>254</v>
      </c>
      <c r="L524" s="85" t="s">
        <v>254</v>
      </c>
      <c r="M524" s="85">
        <v>3213.1808229691278</v>
      </c>
      <c r="N524" s="85" t="s">
        <v>254</v>
      </c>
      <c r="O524" s="85">
        <v>0</v>
      </c>
      <c r="P524" s="85">
        <v>0</v>
      </c>
      <c r="Q524" s="85">
        <v>0</v>
      </c>
      <c r="R524" s="85"/>
      <c r="S524" s="86"/>
    </row>
    <row r="525" spans="1:19" ht="15">
      <c r="A525" s="70">
        <v>34</v>
      </c>
      <c r="B525" s="94" t="str">
        <f t="shared" si="16"/>
        <v>594</v>
      </c>
      <c r="C525" s="72" t="s">
        <v>679</v>
      </c>
      <c r="D525" s="72" t="s">
        <v>665</v>
      </c>
      <c r="E525" s="85">
        <v>812273</v>
      </c>
      <c r="F525" s="85" t="s">
        <v>254</v>
      </c>
      <c r="G525" s="85">
        <v>790500.34303623124</v>
      </c>
      <c r="H525" s="85" t="s">
        <v>254</v>
      </c>
      <c r="I525" s="85">
        <v>21772.65696376875</v>
      </c>
      <c r="J525" s="85">
        <v>0</v>
      </c>
      <c r="K525" s="85" t="s">
        <v>254</v>
      </c>
      <c r="L525" s="85" t="s">
        <v>254</v>
      </c>
      <c r="M525" s="85">
        <v>0</v>
      </c>
      <c r="N525" s="85" t="s">
        <v>254</v>
      </c>
      <c r="O525" s="85">
        <v>0</v>
      </c>
      <c r="P525" s="85">
        <v>0</v>
      </c>
      <c r="Q525" s="85">
        <v>0</v>
      </c>
      <c r="R525" s="85"/>
      <c r="S525" s="86"/>
    </row>
    <row r="526" spans="1:19" ht="15">
      <c r="A526" s="70">
        <v>35</v>
      </c>
      <c r="B526" s="94" t="str">
        <f t="shared" si="16"/>
        <v>595</v>
      </c>
      <c r="C526" s="72" t="s">
        <v>680</v>
      </c>
      <c r="D526" s="72" t="s">
        <v>681</v>
      </c>
      <c r="E526" s="85">
        <v>100466</v>
      </c>
      <c r="F526" s="85" t="s">
        <v>254</v>
      </c>
      <c r="G526" s="85">
        <v>96331.044492663816</v>
      </c>
      <c r="H526" s="85" t="s">
        <v>254</v>
      </c>
      <c r="I526" s="85">
        <v>3972.3252199636363</v>
      </c>
      <c r="J526" s="85">
        <v>162.63028737255487</v>
      </c>
      <c r="K526" s="85" t="s">
        <v>254</v>
      </c>
      <c r="L526" s="85" t="s">
        <v>254</v>
      </c>
      <c r="M526" s="85">
        <v>0.97356579005597732</v>
      </c>
      <c r="N526" s="85" t="s">
        <v>254</v>
      </c>
      <c r="O526" s="85">
        <v>161.6567215824989</v>
      </c>
      <c r="P526" s="85">
        <v>50.171599243092665</v>
      </c>
      <c r="Q526" s="85">
        <v>111.48512233940623</v>
      </c>
      <c r="R526" s="85"/>
      <c r="S526" s="86"/>
    </row>
    <row r="527" spans="1:19" ht="15">
      <c r="A527" s="70">
        <v>36</v>
      </c>
      <c r="B527" s="94" t="str">
        <f t="shared" si="16"/>
        <v>596</v>
      </c>
      <c r="C527" s="72" t="s">
        <v>682</v>
      </c>
      <c r="D527" s="72" t="s">
        <v>667</v>
      </c>
      <c r="E527" s="85">
        <v>0</v>
      </c>
      <c r="F527" s="85" t="s">
        <v>254</v>
      </c>
      <c r="G527" s="85">
        <v>0</v>
      </c>
      <c r="H527" s="85" t="s">
        <v>254</v>
      </c>
      <c r="I527" s="85">
        <v>0</v>
      </c>
      <c r="J527" s="85">
        <v>0</v>
      </c>
      <c r="K527" s="85" t="s">
        <v>254</v>
      </c>
      <c r="L527" s="85" t="s">
        <v>254</v>
      </c>
      <c r="M527" s="85">
        <v>0</v>
      </c>
      <c r="N527" s="85" t="s">
        <v>254</v>
      </c>
      <c r="O527" s="85">
        <v>0</v>
      </c>
      <c r="P527" s="85">
        <v>0</v>
      </c>
      <c r="Q527" s="85">
        <v>0</v>
      </c>
      <c r="R527" s="85"/>
      <c r="S527" s="86"/>
    </row>
    <row r="528" spans="1:19" ht="15">
      <c r="A528" s="70">
        <v>37</v>
      </c>
      <c r="B528" s="94" t="str">
        <f t="shared" si="16"/>
        <v>597</v>
      </c>
      <c r="C528" s="72" t="s">
        <v>683</v>
      </c>
      <c r="D528" s="72" t="s">
        <v>669</v>
      </c>
      <c r="E528" s="85">
        <v>1443101.99999999</v>
      </c>
      <c r="F528" s="85" t="s">
        <v>254</v>
      </c>
      <c r="G528" s="85">
        <v>1371953.1640689725</v>
      </c>
      <c r="H528" s="85" t="s">
        <v>254</v>
      </c>
      <c r="I528" s="85">
        <v>65104.237194146364</v>
      </c>
      <c r="J528" s="85">
        <v>6044.5987368711958</v>
      </c>
      <c r="K528" s="85" t="s">
        <v>254</v>
      </c>
      <c r="L528" s="85" t="s">
        <v>254</v>
      </c>
      <c r="M528" s="85">
        <v>69.421340927646256</v>
      </c>
      <c r="N528" s="85" t="s">
        <v>254</v>
      </c>
      <c r="O528" s="85">
        <v>5975.1773959435495</v>
      </c>
      <c r="P528" s="85">
        <v>1044.1115421632533</v>
      </c>
      <c r="Q528" s="85">
        <v>4931.0658537802965</v>
      </c>
      <c r="R528" s="85"/>
      <c r="S528" s="86"/>
    </row>
    <row r="529" spans="1:19" ht="15">
      <c r="A529" s="70">
        <v>38</v>
      </c>
      <c r="B529" s="94" t="str">
        <f t="shared" si="16"/>
        <v>598</v>
      </c>
      <c r="C529" s="72" t="s">
        <v>684</v>
      </c>
      <c r="D529" s="72" t="s">
        <v>505</v>
      </c>
      <c r="E529" s="85">
        <v>582737</v>
      </c>
      <c r="F529" s="85" t="s">
        <v>254</v>
      </c>
      <c r="G529" s="85">
        <v>550313.71965749969</v>
      </c>
      <c r="H529" s="85" t="s">
        <v>254</v>
      </c>
      <c r="I529" s="85">
        <v>30805.839709779859</v>
      </c>
      <c r="J529" s="85">
        <v>1617.4406327204674</v>
      </c>
      <c r="K529" s="85" t="s">
        <v>254</v>
      </c>
      <c r="L529" s="85" t="s">
        <v>254</v>
      </c>
      <c r="M529" s="85">
        <v>56.054335994012042</v>
      </c>
      <c r="N529" s="85" t="s">
        <v>254</v>
      </c>
      <c r="O529" s="85">
        <v>1561.3862967264554</v>
      </c>
      <c r="P529" s="85">
        <v>1353.3996458836675</v>
      </c>
      <c r="Q529" s="85">
        <v>207.98665084278784</v>
      </c>
      <c r="R529" s="85"/>
      <c r="S529" s="86"/>
    </row>
    <row r="530" spans="1:19" ht="15">
      <c r="A530" s="70">
        <v>39</v>
      </c>
      <c r="B530" s="94" t="str">
        <f t="shared" si="16"/>
        <v xml:space="preserve">  T</v>
      </c>
      <c r="C530" s="72" t="s">
        <v>685</v>
      </c>
      <c r="D530" s="72" t="s">
        <v>254</v>
      </c>
      <c r="E530" s="85">
        <v>36758125.999999993</v>
      </c>
      <c r="F530" s="85" t="s">
        <v>254</v>
      </c>
      <c r="G530" s="85">
        <v>34392454.215919353</v>
      </c>
      <c r="H530" s="85" t="s">
        <v>254</v>
      </c>
      <c r="I530" s="85">
        <v>2329209.116137275</v>
      </c>
      <c r="J530" s="85">
        <v>36462.667943364104</v>
      </c>
      <c r="K530" s="85" t="s">
        <v>254</v>
      </c>
      <c r="L530" s="85" t="s">
        <v>254</v>
      </c>
      <c r="M530" s="85">
        <v>3802.7334122121015</v>
      </c>
      <c r="N530" s="85" t="s">
        <v>254</v>
      </c>
      <c r="O530" s="85">
        <v>32659.934531152001</v>
      </c>
      <c r="P530" s="85">
        <v>27387.684433697043</v>
      </c>
      <c r="Q530" s="85">
        <v>5272.2500974549594</v>
      </c>
      <c r="R530" s="85"/>
      <c r="S530" s="86"/>
    </row>
    <row r="531" spans="1:19" ht="15">
      <c r="A531" s="70" t="s">
        <v>254</v>
      </c>
      <c r="B531" s="94" t="str">
        <f t="shared" si="16"/>
        <v/>
      </c>
      <c r="C531" s="72" t="s">
        <v>254</v>
      </c>
      <c r="D531" s="72" t="s">
        <v>254</v>
      </c>
      <c r="E531" s="85" t="s">
        <v>254</v>
      </c>
      <c r="F531" s="85" t="s">
        <v>254</v>
      </c>
      <c r="G531" s="85" t="s">
        <v>254</v>
      </c>
      <c r="H531" s="85" t="s">
        <v>254</v>
      </c>
      <c r="I531" s="85" t="s">
        <v>254</v>
      </c>
      <c r="J531" s="85" t="s">
        <v>254</v>
      </c>
      <c r="K531" s="85" t="s">
        <v>254</v>
      </c>
      <c r="L531" s="85" t="s">
        <v>254</v>
      </c>
      <c r="M531" s="85" t="s">
        <v>254</v>
      </c>
      <c r="N531" s="85" t="s">
        <v>254</v>
      </c>
      <c r="O531" s="85" t="s">
        <v>254</v>
      </c>
      <c r="P531" s="85" t="s">
        <v>254</v>
      </c>
      <c r="Q531" s="85" t="s">
        <v>254</v>
      </c>
      <c r="R531" s="85"/>
      <c r="S531" s="86"/>
    </row>
    <row r="532" spans="1:19" ht="15">
      <c r="A532" s="70">
        <v>40</v>
      </c>
      <c r="B532" s="94" t="str">
        <f t="shared" si="16"/>
        <v>TAL</v>
      </c>
      <c r="C532" s="72" t="s">
        <v>686</v>
      </c>
      <c r="D532" s="72" t="s">
        <v>254</v>
      </c>
      <c r="E532" s="85">
        <v>61909501.999999993</v>
      </c>
      <c r="F532" s="85" t="s">
        <v>254</v>
      </c>
      <c r="G532" s="85">
        <v>58098349.245295174</v>
      </c>
      <c r="H532" s="85" t="s">
        <v>254</v>
      </c>
      <c r="I532" s="85">
        <v>3669266.4766309075</v>
      </c>
      <c r="J532" s="85">
        <v>141886.278073911</v>
      </c>
      <c r="K532" s="85" t="s">
        <v>254</v>
      </c>
      <c r="L532" s="85" t="s">
        <v>254</v>
      </c>
      <c r="M532" s="85">
        <v>6466.9631193561709</v>
      </c>
      <c r="N532" s="85" t="s">
        <v>254</v>
      </c>
      <c r="O532" s="85">
        <v>135419.31495455484</v>
      </c>
      <c r="P532" s="85">
        <v>95581.424464929951</v>
      </c>
      <c r="Q532" s="85">
        <v>39837.890489624886</v>
      </c>
      <c r="R532" s="85"/>
      <c r="S532" s="86"/>
    </row>
    <row r="533" spans="1:19" ht="15">
      <c r="A533" s="70" t="s">
        <v>254</v>
      </c>
      <c r="B533" s="94" t="str">
        <f t="shared" si="16"/>
        <v/>
      </c>
      <c r="C533" s="72" t="s">
        <v>254</v>
      </c>
      <c r="D533" s="72" t="s">
        <v>254</v>
      </c>
      <c r="E533" s="85" t="s">
        <v>254</v>
      </c>
      <c r="F533" s="85" t="s">
        <v>254</v>
      </c>
      <c r="G533" s="85" t="s">
        <v>254</v>
      </c>
      <c r="H533" s="85" t="s">
        <v>254</v>
      </c>
      <c r="I533" s="85" t="s">
        <v>254</v>
      </c>
      <c r="J533" s="85" t="s">
        <v>254</v>
      </c>
      <c r="K533" s="85" t="s">
        <v>254</v>
      </c>
      <c r="L533" s="85" t="s">
        <v>254</v>
      </c>
      <c r="M533" s="85" t="s">
        <v>254</v>
      </c>
      <c r="N533" s="85" t="s">
        <v>254</v>
      </c>
      <c r="O533" s="85" t="s">
        <v>254</v>
      </c>
      <c r="P533" s="85" t="s">
        <v>254</v>
      </c>
      <c r="Q533" s="85" t="s">
        <v>254</v>
      </c>
      <c r="R533" s="85"/>
      <c r="S533" s="86"/>
    </row>
    <row r="534" spans="1:19" ht="15">
      <c r="A534" s="70" t="s">
        <v>254</v>
      </c>
      <c r="B534" s="94" t="str">
        <f t="shared" si="16"/>
        <v/>
      </c>
      <c r="C534" s="72" t="s">
        <v>254</v>
      </c>
      <c r="D534" s="72" t="s">
        <v>254</v>
      </c>
      <c r="E534" s="85" t="s">
        <v>254</v>
      </c>
      <c r="F534" s="85" t="s">
        <v>254</v>
      </c>
      <c r="G534" s="85" t="s">
        <v>254</v>
      </c>
      <c r="H534" s="85" t="s">
        <v>254</v>
      </c>
      <c r="I534" s="85" t="s">
        <v>254</v>
      </c>
      <c r="J534" s="85" t="s">
        <v>254</v>
      </c>
      <c r="K534" s="85" t="s">
        <v>254</v>
      </c>
      <c r="L534" s="85" t="s">
        <v>254</v>
      </c>
      <c r="M534" s="85" t="s">
        <v>254</v>
      </c>
      <c r="N534" s="85" t="s">
        <v>254</v>
      </c>
      <c r="O534" s="85" t="s">
        <v>254</v>
      </c>
      <c r="P534" s="85" t="s">
        <v>254</v>
      </c>
      <c r="Q534" s="85" t="s">
        <v>254</v>
      </c>
      <c r="R534" s="85"/>
      <c r="S534" s="86"/>
    </row>
    <row r="535" spans="1:19" ht="15">
      <c r="A535" s="70" t="s">
        <v>254</v>
      </c>
      <c r="B535" s="94" t="str">
        <f t="shared" si="16"/>
        <v>ERA</v>
      </c>
      <c r="C535" s="72" t="s">
        <v>636</v>
      </c>
      <c r="D535" s="72" t="s">
        <v>254</v>
      </c>
      <c r="E535" s="85" t="s">
        <v>254</v>
      </c>
      <c r="F535" s="85" t="s">
        <v>254</v>
      </c>
      <c r="G535" s="85" t="s">
        <v>254</v>
      </c>
      <c r="H535" s="85" t="s">
        <v>254</v>
      </c>
      <c r="I535" s="85" t="s">
        <v>254</v>
      </c>
      <c r="J535" s="85" t="s">
        <v>254</v>
      </c>
      <c r="K535" s="85" t="s">
        <v>254</v>
      </c>
      <c r="L535" s="85" t="s">
        <v>254</v>
      </c>
      <c r="M535" s="85" t="s">
        <v>254</v>
      </c>
      <c r="N535" s="85" t="s">
        <v>254</v>
      </c>
      <c r="O535" s="85" t="s">
        <v>254</v>
      </c>
      <c r="P535" s="85" t="s">
        <v>254</v>
      </c>
      <c r="Q535" s="85" t="s">
        <v>254</v>
      </c>
      <c r="R535" s="85"/>
      <c r="S535" s="86"/>
    </row>
    <row r="536" spans="1:19" ht="15">
      <c r="A536" s="70" t="s">
        <v>254</v>
      </c>
      <c r="B536" s="94" t="str">
        <f t="shared" si="16"/>
        <v/>
      </c>
      <c r="C536" s="72" t="s">
        <v>254</v>
      </c>
      <c r="D536" s="72" t="s">
        <v>254</v>
      </c>
      <c r="E536" s="85" t="s">
        <v>254</v>
      </c>
      <c r="F536" s="85" t="s">
        <v>254</v>
      </c>
      <c r="G536" s="85" t="s">
        <v>254</v>
      </c>
      <c r="H536" s="85" t="s">
        <v>254</v>
      </c>
      <c r="I536" s="85" t="s">
        <v>254</v>
      </c>
      <c r="J536" s="85" t="s">
        <v>254</v>
      </c>
      <c r="K536" s="85" t="s">
        <v>254</v>
      </c>
      <c r="L536" s="85" t="s">
        <v>254</v>
      </c>
      <c r="M536" s="85" t="s">
        <v>254</v>
      </c>
      <c r="N536" s="85" t="s">
        <v>254</v>
      </c>
      <c r="O536" s="85" t="s">
        <v>254</v>
      </c>
      <c r="P536" s="85" t="s">
        <v>254</v>
      </c>
      <c r="Q536" s="85" t="s">
        <v>254</v>
      </c>
      <c r="R536" s="85"/>
      <c r="S536" s="86"/>
    </row>
    <row r="537" spans="1:19" ht="15">
      <c r="A537" s="70" t="s">
        <v>254</v>
      </c>
      <c r="B537" s="94" t="str">
        <f t="shared" si="16"/>
        <v>STO</v>
      </c>
      <c r="C537" s="72" t="s">
        <v>687</v>
      </c>
      <c r="D537" s="72" t="s">
        <v>254</v>
      </c>
      <c r="E537" s="85" t="s">
        <v>254</v>
      </c>
      <c r="F537" s="85" t="s">
        <v>254</v>
      </c>
      <c r="G537" s="85" t="s">
        <v>254</v>
      </c>
      <c r="H537" s="85" t="s">
        <v>254</v>
      </c>
      <c r="I537" s="85" t="s">
        <v>254</v>
      </c>
      <c r="J537" s="85" t="s">
        <v>254</v>
      </c>
      <c r="K537" s="85" t="s">
        <v>254</v>
      </c>
      <c r="L537" s="85" t="s">
        <v>254</v>
      </c>
      <c r="M537" s="85" t="s">
        <v>254</v>
      </c>
      <c r="N537" s="85" t="s">
        <v>254</v>
      </c>
      <c r="O537" s="85" t="s">
        <v>254</v>
      </c>
      <c r="P537" s="85" t="s">
        <v>254</v>
      </c>
      <c r="Q537" s="85" t="s">
        <v>254</v>
      </c>
      <c r="R537" s="85"/>
      <c r="S537" s="86"/>
    </row>
    <row r="538" spans="1:19" ht="15">
      <c r="A538" s="70">
        <v>1</v>
      </c>
      <c r="B538" s="94" t="str">
        <f t="shared" si="16"/>
        <v>901</v>
      </c>
      <c r="C538" s="72" t="s">
        <v>688</v>
      </c>
      <c r="D538" s="72" t="s">
        <v>689</v>
      </c>
      <c r="E538" s="85">
        <v>3827591.0000000005</v>
      </c>
      <c r="F538" s="85" t="s">
        <v>254</v>
      </c>
      <c r="G538" s="85">
        <v>3631553.6494342163</v>
      </c>
      <c r="H538" s="85" t="s">
        <v>254</v>
      </c>
      <c r="I538" s="85">
        <v>191535.91306471181</v>
      </c>
      <c r="J538" s="85">
        <v>4501.4375010724361</v>
      </c>
      <c r="K538" s="85" t="s">
        <v>254</v>
      </c>
      <c r="L538" s="85" t="s">
        <v>254</v>
      </c>
      <c r="M538" s="85">
        <v>30.31271044493224</v>
      </c>
      <c r="N538" s="85" t="s">
        <v>254</v>
      </c>
      <c r="O538" s="85">
        <v>4471.1247906275039</v>
      </c>
      <c r="P538" s="85">
        <v>2318.9223490373156</v>
      </c>
      <c r="Q538" s="85">
        <v>2152.2024415901888</v>
      </c>
      <c r="R538" s="85"/>
      <c r="S538" s="86"/>
    </row>
    <row r="539" spans="1:19" ht="15">
      <c r="A539" s="70">
        <v>2</v>
      </c>
      <c r="B539" s="94" t="str">
        <f t="shared" si="16"/>
        <v>902</v>
      </c>
      <c r="C539" s="72" t="s">
        <v>690</v>
      </c>
      <c r="D539" s="72" t="s">
        <v>691</v>
      </c>
      <c r="E539" s="85">
        <v>5587664.9999999991</v>
      </c>
      <c r="F539" s="85" t="s">
        <v>254</v>
      </c>
      <c r="G539" s="85">
        <v>5301482.1130486084</v>
      </c>
      <c r="H539" s="85" t="s">
        <v>254</v>
      </c>
      <c r="I539" s="85">
        <v>279611.51483393414</v>
      </c>
      <c r="J539" s="85">
        <v>6571.3721174571465</v>
      </c>
      <c r="K539" s="85" t="s">
        <v>254</v>
      </c>
      <c r="L539" s="85" t="s">
        <v>254</v>
      </c>
      <c r="M539" s="85">
        <v>44.251664090620515</v>
      </c>
      <c r="N539" s="85" t="s">
        <v>254</v>
      </c>
      <c r="O539" s="85">
        <v>6527.1204533665259</v>
      </c>
      <c r="P539" s="85">
        <v>3385.2523029324693</v>
      </c>
      <c r="Q539" s="85">
        <v>3141.8681504340561</v>
      </c>
      <c r="R539" s="85"/>
      <c r="S539" s="86"/>
    </row>
    <row r="540" spans="1:19" ht="15">
      <c r="A540" s="70">
        <v>3</v>
      </c>
      <c r="B540" s="94" t="str">
        <f t="shared" si="16"/>
        <v>903</v>
      </c>
      <c r="C540" s="72" t="s">
        <v>692</v>
      </c>
      <c r="D540" s="72" t="s">
        <v>693</v>
      </c>
      <c r="E540" s="85">
        <v>21256145</v>
      </c>
      <c r="F540" s="85" t="s">
        <v>254</v>
      </c>
      <c r="G540" s="85">
        <v>20167471.118949976</v>
      </c>
      <c r="H540" s="85" t="s">
        <v>254</v>
      </c>
      <c r="I540" s="85">
        <v>1063675.5966901656</v>
      </c>
      <c r="J540" s="85">
        <v>24998.284359858029</v>
      </c>
      <c r="K540" s="85" t="s">
        <v>254</v>
      </c>
      <c r="L540" s="85" t="s">
        <v>254</v>
      </c>
      <c r="M540" s="85">
        <v>168.33861521789922</v>
      </c>
      <c r="N540" s="85" t="s">
        <v>254</v>
      </c>
      <c r="O540" s="85">
        <v>24829.945744640128</v>
      </c>
      <c r="P540" s="85">
        <v>12877.904064169288</v>
      </c>
      <c r="Q540" s="85">
        <v>11952.041680470842</v>
      </c>
      <c r="R540" s="85"/>
      <c r="S540" s="86"/>
    </row>
    <row r="541" spans="1:19" ht="15">
      <c r="A541" s="70">
        <v>4</v>
      </c>
      <c r="B541" s="94" t="str">
        <f t="shared" si="16"/>
        <v>904</v>
      </c>
      <c r="C541" s="72" t="s">
        <v>694</v>
      </c>
      <c r="D541" s="72" t="s">
        <v>695</v>
      </c>
      <c r="E541" s="85">
        <v>5866627.3317271918</v>
      </c>
      <c r="F541" s="85" t="s">
        <v>254</v>
      </c>
      <c r="G541" s="85">
        <v>5566156.8585578762</v>
      </c>
      <c r="H541" s="85" t="s">
        <v>254</v>
      </c>
      <c r="I541" s="85">
        <v>293571.02746682218</v>
      </c>
      <c r="J541" s="85">
        <v>6899.4457024936319</v>
      </c>
      <c r="K541" s="85" t="s">
        <v>254</v>
      </c>
      <c r="L541" s="85" t="s">
        <v>254</v>
      </c>
      <c r="M541" s="85">
        <v>46.46091382150594</v>
      </c>
      <c r="N541" s="85" t="s">
        <v>254</v>
      </c>
      <c r="O541" s="85">
        <v>6852.9847886721263</v>
      </c>
      <c r="P541" s="85">
        <v>3554.2599073452047</v>
      </c>
      <c r="Q541" s="85">
        <v>3298.7248813269216</v>
      </c>
      <c r="R541" s="85"/>
      <c r="S541" s="86"/>
    </row>
    <row r="542" spans="1:19" ht="15">
      <c r="A542" s="70">
        <v>5</v>
      </c>
      <c r="B542" s="94" t="str">
        <f t="shared" si="16"/>
        <v>905</v>
      </c>
      <c r="C542" s="72" t="s">
        <v>696</v>
      </c>
      <c r="D542" s="72" t="s">
        <v>697</v>
      </c>
      <c r="E542" s="85">
        <v>0</v>
      </c>
      <c r="F542" s="85" t="s">
        <v>254</v>
      </c>
      <c r="G542" s="85">
        <v>0</v>
      </c>
      <c r="H542" s="85" t="s">
        <v>254</v>
      </c>
      <c r="I542" s="85">
        <v>0</v>
      </c>
      <c r="J542" s="85">
        <v>0</v>
      </c>
      <c r="K542" s="85" t="s">
        <v>254</v>
      </c>
      <c r="L542" s="85" t="s">
        <v>254</v>
      </c>
      <c r="M542" s="85">
        <v>0</v>
      </c>
      <c r="N542" s="85" t="s">
        <v>254</v>
      </c>
      <c r="O542" s="85">
        <v>0</v>
      </c>
      <c r="P542" s="85">
        <v>0</v>
      </c>
      <c r="Q542" s="85">
        <v>0</v>
      </c>
      <c r="R542" s="85"/>
      <c r="S542" s="86"/>
    </row>
    <row r="543" spans="1:19" ht="15">
      <c r="A543" s="70">
        <v>6</v>
      </c>
      <c r="B543" s="94" t="str">
        <f t="shared" si="16"/>
        <v>TAL</v>
      </c>
      <c r="C543" s="72" t="s">
        <v>698</v>
      </c>
      <c r="D543" s="72" t="s">
        <v>254</v>
      </c>
      <c r="E543" s="85">
        <v>36538028.331727199</v>
      </c>
      <c r="F543" s="85" t="s">
        <v>254</v>
      </c>
      <c r="G543" s="85">
        <v>34666663.739990681</v>
      </c>
      <c r="H543" s="85" t="s">
        <v>254</v>
      </c>
      <c r="I543" s="85">
        <v>1828394.0520556339</v>
      </c>
      <c r="J543" s="85">
        <v>42970.539680881244</v>
      </c>
      <c r="K543" s="85" t="s">
        <v>254</v>
      </c>
      <c r="L543" s="85" t="s">
        <v>254</v>
      </c>
      <c r="M543" s="85">
        <v>289.36390357495793</v>
      </c>
      <c r="N543" s="85" t="s">
        <v>254</v>
      </c>
      <c r="O543" s="85">
        <v>42681.175777306285</v>
      </c>
      <c r="P543" s="85">
        <v>22136.338623484276</v>
      </c>
      <c r="Q543" s="85">
        <v>20544.837153822009</v>
      </c>
      <c r="R543" s="85"/>
      <c r="S543" s="86"/>
    </row>
    <row r="544" spans="1:19" ht="15">
      <c r="A544" s="70" t="s">
        <v>254</v>
      </c>
      <c r="B544" s="94" t="str">
        <f t="shared" si="16"/>
        <v/>
      </c>
      <c r="C544" s="72" t="s">
        <v>254</v>
      </c>
      <c r="D544" s="72" t="s">
        <v>254</v>
      </c>
      <c r="E544" s="85" t="s">
        <v>254</v>
      </c>
      <c r="F544" s="85" t="s">
        <v>254</v>
      </c>
      <c r="G544" s="85" t="s">
        <v>254</v>
      </c>
      <c r="H544" s="85" t="s">
        <v>254</v>
      </c>
      <c r="I544" s="85" t="s">
        <v>254</v>
      </c>
      <c r="J544" s="85" t="s">
        <v>254</v>
      </c>
      <c r="K544" s="85" t="s">
        <v>254</v>
      </c>
      <c r="L544" s="85" t="s">
        <v>254</v>
      </c>
      <c r="M544" s="85" t="s">
        <v>254</v>
      </c>
      <c r="N544" s="85" t="s">
        <v>254</v>
      </c>
      <c r="O544" s="85" t="s">
        <v>254</v>
      </c>
      <c r="P544" s="85" t="s">
        <v>254</v>
      </c>
      <c r="Q544" s="85" t="s">
        <v>254</v>
      </c>
      <c r="R544" s="85"/>
      <c r="S544" s="86"/>
    </row>
    <row r="545" spans="1:19" ht="15">
      <c r="A545" s="70" t="s">
        <v>254</v>
      </c>
      <c r="B545" s="94" t="str">
        <f t="shared" si="16"/>
        <v>STO</v>
      </c>
      <c r="C545" s="72" t="s">
        <v>699</v>
      </c>
      <c r="D545" s="72" t="s">
        <v>254</v>
      </c>
      <c r="E545" s="85" t="s">
        <v>254</v>
      </c>
      <c r="F545" s="85" t="s">
        <v>254</v>
      </c>
      <c r="G545" s="85" t="s">
        <v>254</v>
      </c>
      <c r="H545" s="85" t="s">
        <v>254</v>
      </c>
      <c r="I545" s="85" t="s">
        <v>254</v>
      </c>
      <c r="J545" s="85" t="s">
        <v>254</v>
      </c>
      <c r="K545" s="85" t="s">
        <v>254</v>
      </c>
      <c r="L545" s="85" t="s">
        <v>254</v>
      </c>
      <c r="M545" s="85" t="s">
        <v>254</v>
      </c>
      <c r="N545" s="85" t="s">
        <v>254</v>
      </c>
      <c r="O545" s="85" t="s">
        <v>254</v>
      </c>
      <c r="P545" s="85" t="s">
        <v>254</v>
      </c>
      <c r="Q545" s="85" t="s">
        <v>254</v>
      </c>
      <c r="R545" s="85"/>
      <c r="S545" s="86"/>
    </row>
    <row r="546" spans="1:19" ht="15">
      <c r="A546" s="70">
        <v>7</v>
      </c>
      <c r="B546" s="94" t="str">
        <f t="shared" si="16"/>
        <v>907</v>
      </c>
      <c r="C546" s="72" t="s">
        <v>700</v>
      </c>
      <c r="D546" s="72" t="s">
        <v>701</v>
      </c>
      <c r="E546" s="85">
        <v>653222</v>
      </c>
      <c r="F546" s="85" t="s">
        <v>254</v>
      </c>
      <c r="G546" s="85">
        <v>651425.35319489997</v>
      </c>
      <c r="H546" s="85" t="s">
        <v>254</v>
      </c>
      <c r="I546" s="85">
        <v>1796.3927543640334</v>
      </c>
      <c r="J546" s="85">
        <v>0.25405073601527844</v>
      </c>
      <c r="K546" s="85" t="s">
        <v>254</v>
      </c>
      <c r="L546" s="85" t="s">
        <v>254</v>
      </c>
      <c r="M546" s="85">
        <v>0.25405073601527844</v>
      </c>
      <c r="N546" s="85" t="s">
        <v>254</v>
      </c>
      <c r="O546" s="85">
        <v>0</v>
      </c>
      <c r="P546" s="85">
        <v>0</v>
      </c>
      <c r="Q546" s="85">
        <v>0</v>
      </c>
      <c r="R546" s="85"/>
      <c r="S546" s="86"/>
    </row>
    <row r="547" spans="1:19" ht="15">
      <c r="A547" s="70">
        <v>8</v>
      </c>
      <c r="B547" s="94" t="str">
        <f t="shared" si="16"/>
        <v>908</v>
      </c>
      <c r="C547" s="72" t="s">
        <v>702</v>
      </c>
      <c r="D547" s="72" t="s">
        <v>703</v>
      </c>
      <c r="E547" s="85">
        <v>21099696</v>
      </c>
      <c r="F547" s="85" t="s">
        <v>254</v>
      </c>
      <c r="G547" s="85">
        <v>21099696</v>
      </c>
      <c r="H547" s="85" t="s">
        <v>254</v>
      </c>
      <c r="I547" s="85">
        <v>0</v>
      </c>
      <c r="J547" s="85">
        <v>0</v>
      </c>
      <c r="K547" s="85" t="s">
        <v>254</v>
      </c>
      <c r="L547" s="85" t="s">
        <v>254</v>
      </c>
      <c r="M547" s="85">
        <v>0</v>
      </c>
      <c r="N547" s="85" t="s">
        <v>254</v>
      </c>
      <c r="O547" s="85">
        <v>0</v>
      </c>
      <c r="P547" s="85">
        <v>0</v>
      </c>
      <c r="Q547" s="85">
        <v>0</v>
      </c>
      <c r="R547" s="85"/>
      <c r="S547" s="86"/>
    </row>
    <row r="548" spans="1:19" ht="15">
      <c r="A548" s="70">
        <v>9</v>
      </c>
      <c r="B548" s="94" t="str">
        <f t="shared" si="16"/>
        <v>909</v>
      </c>
      <c r="C548" s="72" t="s">
        <v>704</v>
      </c>
      <c r="D548" s="72" t="s">
        <v>705</v>
      </c>
      <c r="E548" s="85">
        <v>411162.00000000006</v>
      </c>
      <c r="F548" s="85" t="s">
        <v>254</v>
      </c>
      <c r="G548" s="85">
        <v>389844.86125564732</v>
      </c>
      <c r="H548" s="85" t="s">
        <v>254</v>
      </c>
      <c r="I548" s="85">
        <v>21314.124443059667</v>
      </c>
      <c r="J548" s="85">
        <v>3.0143012930362985</v>
      </c>
      <c r="K548" s="85" t="s">
        <v>254</v>
      </c>
      <c r="L548" s="85" t="s">
        <v>254</v>
      </c>
      <c r="M548" s="85">
        <v>3.0143012930362985</v>
      </c>
      <c r="N548" s="85" t="s">
        <v>254</v>
      </c>
      <c r="O548" s="85">
        <v>0</v>
      </c>
      <c r="P548" s="85">
        <v>0</v>
      </c>
      <c r="Q548" s="85">
        <v>0</v>
      </c>
      <c r="R548" s="85"/>
      <c r="S548" s="86"/>
    </row>
    <row r="549" spans="1:19" ht="15">
      <c r="A549" s="70">
        <v>10</v>
      </c>
      <c r="B549" s="94" t="str">
        <f t="shared" si="16"/>
        <v>910</v>
      </c>
      <c r="C549" s="72" t="s">
        <v>706</v>
      </c>
      <c r="D549" s="72" t="s">
        <v>707</v>
      </c>
      <c r="E549" s="85">
        <v>1862873.0000000002</v>
      </c>
      <c r="F549" s="85" t="s">
        <v>254</v>
      </c>
      <c r="G549" s="85">
        <v>1861026.9033819989</v>
      </c>
      <c r="H549" s="85" t="s">
        <v>254</v>
      </c>
      <c r="I549" s="85">
        <v>1845.835574927597</v>
      </c>
      <c r="J549" s="85">
        <v>0.26104307381241648</v>
      </c>
      <c r="K549" s="85" t="s">
        <v>254</v>
      </c>
      <c r="L549" s="85" t="s">
        <v>254</v>
      </c>
      <c r="M549" s="85">
        <v>0.26104307381241648</v>
      </c>
      <c r="N549" s="85" t="s">
        <v>254</v>
      </c>
      <c r="O549" s="85">
        <v>0</v>
      </c>
      <c r="P549" s="85">
        <v>0</v>
      </c>
      <c r="Q549" s="85">
        <v>0</v>
      </c>
      <c r="R549" s="85"/>
      <c r="S549" s="86"/>
    </row>
    <row r="550" spans="1:19" ht="15">
      <c r="A550" s="70">
        <v>11</v>
      </c>
      <c r="B550" s="94" t="str">
        <f t="shared" si="16"/>
        <v>TAL</v>
      </c>
      <c r="C550" s="72" t="s">
        <v>708</v>
      </c>
      <c r="D550" s="72" t="s">
        <v>254</v>
      </c>
      <c r="E550" s="85">
        <v>24026953</v>
      </c>
      <c r="F550" s="85" t="s">
        <v>254</v>
      </c>
      <c r="G550" s="85">
        <v>24001993.117832545</v>
      </c>
      <c r="H550" s="85" t="s">
        <v>254</v>
      </c>
      <c r="I550" s="85">
        <v>24956.3527723513</v>
      </c>
      <c r="J550" s="85">
        <v>3.5293951028639934</v>
      </c>
      <c r="K550" s="85" t="s">
        <v>254</v>
      </c>
      <c r="L550" s="85" t="s">
        <v>254</v>
      </c>
      <c r="M550" s="85">
        <v>3.5293951028639934</v>
      </c>
      <c r="N550" s="85" t="s">
        <v>254</v>
      </c>
      <c r="O550" s="85">
        <v>0</v>
      </c>
      <c r="P550" s="85">
        <v>0</v>
      </c>
      <c r="Q550" s="85">
        <v>0</v>
      </c>
      <c r="R550" s="85"/>
      <c r="S550" s="86"/>
    </row>
    <row r="551" spans="1:19" ht="15">
      <c r="A551" s="70" t="s">
        <v>254</v>
      </c>
      <c r="B551" s="94" t="str">
        <f t="shared" si="16"/>
        <v/>
      </c>
      <c r="C551" s="72" t="s">
        <v>254</v>
      </c>
      <c r="D551" s="72" t="s">
        <v>254</v>
      </c>
      <c r="E551" s="85" t="s">
        <v>254</v>
      </c>
      <c r="F551" s="85" t="s">
        <v>254</v>
      </c>
      <c r="G551" s="85" t="s">
        <v>254</v>
      </c>
      <c r="H551" s="85" t="s">
        <v>254</v>
      </c>
      <c r="I551" s="85" t="s">
        <v>254</v>
      </c>
      <c r="J551" s="85" t="s">
        <v>254</v>
      </c>
      <c r="K551" s="85" t="s">
        <v>254</v>
      </c>
      <c r="L551" s="85" t="s">
        <v>254</v>
      </c>
      <c r="M551" s="85" t="s">
        <v>254</v>
      </c>
      <c r="N551" s="85" t="s">
        <v>254</v>
      </c>
      <c r="O551" s="85" t="s">
        <v>254</v>
      </c>
      <c r="P551" s="85" t="s">
        <v>254</v>
      </c>
      <c r="Q551" s="85" t="s">
        <v>254</v>
      </c>
      <c r="R551" s="85"/>
      <c r="S551" s="86"/>
    </row>
    <row r="552" spans="1:19" ht="15">
      <c r="A552" s="70" t="s">
        <v>254</v>
      </c>
      <c r="B552" s="94" t="str">
        <f t="shared" si="16"/>
        <v>LES</v>
      </c>
      <c r="C552" s="72" t="s">
        <v>709</v>
      </c>
      <c r="D552" s="72" t="s">
        <v>254</v>
      </c>
      <c r="E552" s="85" t="s">
        <v>254</v>
      </c>
      <c r="F552" s="85" t="s">
        <v>254</v>
      </c>
      <c r="G552" s="85" t="s">
        <v>254</v>
      </c>
      <c r="H552" s="85" t="s">
        <v>254</v>
      </c>
      <c r="I552" s="85" t="s">
        <v>254</v>
      </c>
      <c r="J552" s="85" t="s">
        <v>254</v>
      </c>
      <c r="K552" s="85" t="s">
        <v>254</v>
      </c>
      <c r="L552" s="85" t="s">
        <v>254</v>
      </c>
      <c r="M552" s="85" t="s">
        <v>254</v>
      </c>
      <c r="N552" s="85" t="s">
        <v>254</v>
      </c>
      <c r="O552" s="85" t="s">
        <v>254</v>
      </c>
      <c r="P552" s="85" t="s">
        <v>254</v>
      </c>
      <c r="Q552" s="85" t="s">
        <v>254</v>
      </c>
      <c r="R552" s="85"/>
      <c r="S552" s="86"/>
    </row>
    <row r="553" spans="1:19" ht="15">
      <c r="A553" s="70">
        <v>12</v>
      </c>
      <c r="B553" s="94" t="str">
        <f t="shared" si="16"/>
        <v>911</v>
      </c>
      <c r="C553" s="72" t="s">
        <v>710</v>
      </c>
      <c r="D553" s="72" t="s">
        <v>701</v>
      </c>
      <c r="E553" s="85">
        <v>0</v>
      </c>
      <c r="F553" s="85" t="s">
        <v>254</v>
      </c>
      <c r="G553" s="85">
        <v>0</v>
      </c>
      <c r="H553" s="85" t="s">
        <v>254</v>
      </c>
      <c r="I553" s="85">
        <v>0</v>
      </c>
      <c r="J553" s="85">
        <v>0</v>
      </c>
      <c r="K553" s="85" t="s">
        <v>254</v>
      </c>
      <c r="L553" s="85" t="s">
        <v>254</v>
      </c>
      <c r="M553" s="85">
        <v>0</v>
      </c>
      <c r="N553" s="85" t="s">
        <v>254</v>
      </c>
      <c r="O553" s="85">
        <v>0</v>
      </c>
      <c r="P553" s="85">
        <v>0</v>
      </c>
      <c r="Q553" s="85">
        <v>0</v>
      </c>
      <c r="R553" s="85"/>
      <c r="S553" s="86"/>
    </row>
    <row r="554" spans="1:19" ht="15">
      <c r="A554" s="70">
        <v>13</v>
      </c>
      <c r="B554" s="94" t="str">
        <f t="shared" si="16"/>
        <v>912</v>
      </c>
      <c r="C554" s="72" t="s">
        <v>711</v>
      </c>
      <c r="D554" s="72" t="s">
        <v>712</v>
      </c>
      <c r="E554" s="85">
        <v>0</v>
      </c>
      <c r="F554" s="85" t="s">
        <v>254</v>
      </c>
      <c r="G554" s="85">
        <v>0</v>
      </c>
      <c r="H554" s="85" t="s">
        <v>254</v>
      </c>
      <c r="I554" s="85">
        <v>0</v>
      </c>
      <c r="J554" s="85">
        <v>0</v>
      </c>
      <c r="K554" s="85" t="s">
        <v>254</v>
      </c>
      <c r="L554" s="85" t="s">
        <v>254</v>
      </c>
      <c r="M554" s="85">
        <v>0</v>
      </c>
      <c r="N554" s="85" t="s">
        <v>254</v>
      </c>
      <c r="O554" s="85">
        <v>0</v>
      </c>
      <c r="P554" s="85">
        <v>0</v>
      </c>
      <c r="Q554" s="85">
        <v>0</v>
      </c>
      <c r="R554" s="85"/>
      <c r="S554" s="86"/>
    </row>
    <row r="555" spans="1:19" ht="15">
      <c r="A555" s="70">
        <v>14</v>
      </c>
      <c r="B555" s="94" t="str">
        <f t="shared" si="16"/>
        <v>913</v>
      </c>
      <c r="C555" s="72" t="s">
        <v>713</v>
      </c>
      <c r="D555" s="72" t="s">
        <v>714</v>
      </c>
      <c r="E555" s="85">
        <v>837646</v>
      </c>
      <c r="F555" s="85" t="s">
        <v>254</v>
      </c>
      <c r="G555" s="85">
        <v>794217.3368437452</v>
      </c>
      <c r="H555" s="85" t="s">
        <v>254</v>
      </c>
      <c r="I555" s="85">
        <v>43422.5222253787</v>
      </c>
      <c r="J555" s="85">
        <v>6.1409308761672605</v>
      </c>
      <c r="K555" s="85" t="s">
        <v>254</v>
      </c>
      <c r="L555" s="85" t="s">
        <v>254</v>
      </c>
      <c r="M555" s="85">
        <v>6.1409308761672605</v>
      </c>
      <c r="N555" s="85" t="s">
        <v>254</v>
      </c>
      <c r="O555" s="85">
        <v>0</v>
      </c>
      <c r="P555" s="85">
        <v>0</v>
      </c>
      <c r="Q555" s="85">
        <v>0</v>
      </c>
      <c r="R555" s="85"/>
      <c r="S555" s="86"/>
    </row>
    <row r="556" spans="1:19" ht="15">
      <c r="A556" s="70">
        <v>15</v>
      </c>
      <c r="B556" s="94" t="str">
        <f t="shared" si="16"/>
        <v>916</v>
      </c>
      <c r="C556" s="72" t="s">
        <v>715</v>
      </c>
      <c r="D556" s="72" t="s">
        <v>716</v>
      </c>
      <c r="E556" s="85">
        <v>0</v>
      </c>
      <c r="F556" s="85" t="s">
        <v>254</v>
      </c>
      <c r="G556" s="85">
        <v>0</v>
      </c>
      <c r="H556" s="85" t="s">
        <v>254</v>
      </c>
      <c r="I556" s="85">
        <v>0</v>
      </c>
      <c r="J556" s="85">
        <v>0</v>
      </c>
      <c r="K556" s="85" t="s">
        <v>254</v>
      </c>
      <c r="L556" s="85" t="s">
        <v>254</v>
      </c>
      <c r="M556" s="85">
        <v>0</v>
      </c>
      <c r="N556" s="85" t="s">
        <v>254</v>
      </c>
      <c r="O556" s="85">
        <v>0</v>
      </c>
      <c r="P556" s="85">
        <v>0</v>
      </c>
      <c r="Q556" s="85">
        <v>0</v>
      </c>
      <c r="R556" s="85"/>
      <c r="S556" s="86"/>
    </row>
    <row r="557" spans="1:19" ht="15">
      <c r="A557" s="70">
        <v>16</v>
      </c>
      <c r="B557" s="94" t="str">
        <f t="shared" si="16"/>
        <v>TAL</v>
      </c>
      <c r="C557" s="72" t="s">
        <v>717</v>
      </c>
      <c r="D557" s="72" t="s">
        <v>254</v>
      </c>
      <c r="E557" s="85">
        <v>837646</v>
      </c>
      <c r="F557" s="85" t="s">
        <v>254</v>
      </c>
      <c r="G557" s="85">
        <v>794217.3368437452</v>
      </c>
      <c r="H557" s="85" t="s">
        <v>254</v>
      </c>
      <c r="I557" s="85">
        <v>43422.5222253787</v>
      </c>
      <c r="J557" s="85">
        <v>6.1409308761672605</v>
      </c>
      <c r="K557" s="85" t="s">
        <v>254</v>
      </c>
      <c r="L557" s="85" t="s">
        <v>254</v>
      </c>
      <c r="M557" s="85">
        <v>6.1409308761672605</v>
      </c>
      <c r="N557" s="85" t="s">
        <v>254</v>
      </c>
      <c r="O557" s="85">
        <v>0</v>
      </c>
      <c r="P557" s="85">
        <v>0</v>
      </c>
      <c r="Q557" s="85">
        <v>0</v>
      </c>
      <c r="R557" s="85"/>
      <c r="S557" s="86"/>
    </row>
    <row r="558" spans="1:19" ht="15">
      <c r="A558" s="70" t="s">
        <v>254</v>
      </c>
      <c r="B558" s="94" t="str">
        <f t="shared" si="16"/>
        <v/>
      </c>
      <c r="C558" s="72" t="s">
        <v>254</v>
      </c>
      <c r="D558" s="72" t="s">
        <v>254</v>
      </c>
      <c r="E558" s="85" t="s">
        <v>254</v>
      </c>
      <c r="F558" s="85" t="s">
        <v>254</v>
      </c>
      <c r="G558" s="85" t="s">
        <v>254</v>
      </c>
      <c r="H558" s="85" t="s">
        <v>254</v>
      </c>
      <c r="I558" s="85" t="s">
        <v>254</v>
      </c>
      <c r="J558" s="85" t="s">
        <v>254</v>
      </c>
      <c r="K558" s="85" t="s">
        <v>254</v>
      </c>
      <c r="L558" s="85" t="s">
        <v>254</v>
      </c>
      <c r="M558" s="85" t="s">
        <v>254</v>
      </c>
      <c r="N558" s="85" t="s">
        <v>254</v>
      </c>
      <c r="O558" s="85" t="s">
        <v>254</v>
      </c>
      <c r="P558" s="85" t="s">
        <v>254</v>
      </c>
      <c r="Q558" s="85" t="s">
        <v>254</v>
      </c>
      <c r="R558" s="85"/>
      <c r="S558" s="86"/>
    </row>
    <row r="559" spans="1:19" ht="15">
      <c r="A559" s="70" t="s">
        <v>254</v>
      </c>
      <c r="B559" s="94" t="str">
        <f t="shared" si="16"/>
        <v>MIN</v>
      </c>
      <c r="C559" s="72" t="s">
        <v>718</v>
      </c>
      <c r="D559" s="72" t="s">
        <v>254</v>
      </c>
      <c r="E559" s="85" t="s">
        <v>254</v>
      </c>
      <c r="F559" s="85" t="s">
        <v>254</v>
      </c>
      <c r="G559" s="85" t="s">
        <v>254</v>
      </c>
      <c r="H559" s="85" t="s">
        <v>254</v>
      </c>
      <c r="I559" s="85" t="s">
        <v>254</v>
      </c>
      <c r="J559" s="85" t="s">
        <v>254</v>
      </c>
      <c r="K559" s="85" t="s">
        <v>254</v>
      </c>
      <c r="L559" s="85" t="s">
        <v>254</v>
      </c>
      <c r="M559" s="85" t="s">
        <v>254</v>
      </c>
      <c r="N559" s="85" t="s">
        <v>254</v>
      </c>
      <c r="O559" s="85" t="s">
        <v>254</v>
      </c>
      <c r="P559" s="85" t="s">
        <v>254</v>
      </c>
      <c r="Q559" s="85" t="s">
        <v>254</v>
      </c>
      <c r="R559" s="85"/>
      <c r="S559" s="86"/>
    </row>
    <row r="560" spans="1:19" ht="15">
      <c r="A560" s="70" t="s">
        <v>254</v>
      </c>
      <c r="B560" s="94" t="str">
        <f t="shared" si="16"/>
        <v/>
      </c>
      <c r="C560" s="72" t="s">
        <v>254</v>
      </c>
      <c r="D560" s="72" t="s">
        <v>254</v>
      </c>
      <c r="E560" s="85" t="s">
        <v>254</v>
      </c>
      <c r="F560" s="85" t="s">
        <v>254</v>
      </c>
      <c r="G560" s="85" t="s">
        <v>254</v>
      </c>
      <c r="H560" s="85" t="s">
        <v>254</v>
      </c>
      <c r="I560" s="85" t="s">
        <v>254</v>
      </c>
      <c r="J560" s="85" t="s">
        <v>254</v>
      </c>
      <c r="K560" s="85" t="s">
        <v>254</v>
      </c>
      <c r="L560" s="85" t="s">
        <v>254</v>
      </c>
      <c r="M560" s="85" t="s">
        <v>254</v>
      </c>
      <c r="N560" s="85" t="s">
        <v>254</v>
      </c>
      <c r="O560" s="85" t="s">
        <v>254</v>
      </c>
      <c r="P560" s="85" t="s">
        <v>254</v>
      </c>
      <c r="Q560" s="85" t="s">
        <v>254</v>
      </c>
      <c r="R560" s="85"/>
      <c r="S560" s="86"/>
    </row>
    <row r="561" spans="1:19" ht="15">
      <c r="A561" s="70" t="s">
        <v>254</v>
      </c>
      <c r="B561" s="94" t="str">
        <f t="shared" si="16"/>
        <v>LAN</v>
      </c>
      <c r="C561" s="72" t="s">
        <v>719</v>
      </c>
      <c r="D561" s="72" t="s">
        <v>254</v>
      </c>
      <c r="E561" s="85" t="s">
        <v>254</v>
      </c>
      <c r="F561" s="85" t="s">
        <v>254</v>
      </c>
      <c r="G561" s="85" t="s">
        <v>254</v>
      </c>
      <c r="H561" s="85" t="s">
        <v>254</v>
      </c>
      <c r="I561" s="85" t="s">
        <v>254</v>
      </c>
      <c r="J561" s="85" t="s">
        <v>254</v>
      </c>
      <c r="K561" s="85" t="s">
        <v>254</v>
      </c>
      <c r="L561" s="85" t="s">
        <v>254</v>
      </c>
      <c r="M561" s="85" t="s">
        <v>254</v>
      </c>
      <c r="N561" s="85" t="s">
        <v>254</v>
      </c>
      <c r="O561" s="85" t="s">
        <v>254</v>
      </c>
      <c r="P561" s="85" t="s">
        <v>254</v>
      </c>
      <c r="Q561" s="85" t="s">
        <v>254</v>
      </c>
      <c r="R561" s="85"/>
      <c r="S561" s="86"/>
    </row>
    <row r="562" spans="1:19" ht="15">
      <c r="A562" s="70">
        <v>17</v>
      </c>
      <c r="B562" s="94" t="str">
        <f t="shared" si="16"/>
        <v>924</v>
      </c>
      <c r="C562" s="72" t="s">
        <v>720</v>
      </c>
      <c r="D562" s="72" t="s">
        <v>721</v>
      </c>
      <c r="E562" s="85">
        <v>6240515</v>
      </c>
      <c r="F562" s="85" t="s">
        <v>254</v>
      </c>
      <c r="G562" s="85">
        <v>5543868.9752872689</v>
      </c>
      <c r="H562" s="85" t="s">
        <v>254</v>
      </c>
      <c r="I562" s="85">
        <v>308490.29022102396</v>
      </c>
      <c r="J562" s="85">
        <v>388155.73449170648</v>
      </c>
      <c r="K562" s="85" t="s">
        <v>254</v>
      </c>
      <c r="L562" s="85" t="s">
        <v>254</v>
      </c>
      <c r="M562" s="85">
        <v>135.06062929945958</v>
      </c>
      <c r="N562" s="85" t="s">
        <v>254</v>
      </c>
      <c r="O562" s="85">
        <v>388020.67386240704</v>
      </c>
      <c r="P562" s="85">
        <v>122298.17186242226</v>
      </c>
      <c r="Q562" s="85">
        <v>265722.50199998479</v>
      </c>
      <c r="R562" s="85"/>
      <c r="S562" s="86"/>
    </row>
    <row r="563" spans="1:19" ht="15">
      <c r="A563" s="70">
        <v>18</v>
      </c>
      <c r="B563" s="94" t="str">
        <f t="shared" si="16"/>
        <v xml:space="preserve">   </v>
      </c>
      <c r="C563" s="72" t="s">
        <v>722</v>
      </c>
      <c r="D563" s="72" t="s">
        <v>254</v>
      </c>
      <c r="E563" s="85">
        <v>6240515</v>
      </c>
      <c r="F563" s="85" t="s">
        <v>254</v>
      </c>
      <c r="G563" s="85">
        <v>5543868.9752872689</v>
      </c>
      <c r="H563" s="85" t="s">
        <v>254</v>
      </c>
      <c r="I563" s="85">
        <v>308490.29022102396</v>
      </c>
      <c r="J563" s="85">
        <v>388155.73449170648</v>
      </c>
      <c r="K563" s="85" t="s">
        <v>254</v>
      </c>
      <c r="L563" s="85" t="s">
        <v>254</v>
      </c>
      <c r="M563" s="85">
        <v>135.06062929945958</v>
      </c>
      <c r="N563" s="85" t="s">
        <v>254</v>
      </c>
      <c r="O563" s="85">
        <v>388020.67386240704</v>
      </c>
      <c r="P563" s="85">
        <v>122298.17186242226</v>
      </c>
      <c r="Q563" s="85">
        <v>265722.50199998479</v>
      </c>
      <c r="R563" s="85"/>
      <c r="S563" s="86"/>
    </row>
    <row r="564" spans="1:19" ht="15">
      <c r="A564" s="70" t="s">
        <v>254</v>
      </c>
      <c r="B564" s="94" t="str">
        <f t="shared" si="16"/>
        <v/>
      </c>
      <c r="C564" s="72" t="s">
        <v>254</v>
      </c>
      <c r="D564" s="72" t="s">
        <v>254</v>
      </c>
      <c r="E564" s="85" t="s">
        <v>254</v>
      </c>
      <c r="F564" s="85" t="s">
        <v>254</v>
      </c>
      <c r="G564" s="85" t="s">
        <v>254</v>
      </c>
      <c r="H564" s="85" t="s">
        <v>254</v>
      </c>
      <c r="I564" s="85" t="s">
        <v>254</v>
      </c>
      <c r="J564" s="85" t="s">
        <v>254</v>
      </c>
      <c r="K564" s="85" t="s">
        <v>254</v>
      </c>
      <c r="L564" s="85" t="s">
        <v>254</v>
      </c>
      <c r="M564" s="85" t="s">
        <v>254</v>
      </c>
      <c r="N564" s="85" t="s">
        <v>254</v>
      </c>
      <c r="O564" s="85" t="s">
        <v>254</v>
      </c>
      <c r="P564" s="85" t="s">
        <v>254</v>
      </c>
      <c r="Q564" s="85" t="s">
        <v>254</v>
      </c>
      <c r="R564" s="85"/>
      <c r="S564" s="86"/>
    </row>
    <row r="565" spans="1:19" ht="15">
      <c r="A565" s="70" t="s">
        <v>254</v>
      </c>
      <c r="B565" s="94" t="str">
        <f t="shared" si="16"/>
        <v>ABO</v>
      </c>
      <c r="C565" s="72" t="s">
        <v>723</v>
      </c>
      <c r="D565" s="72" t="s">
        <v>254</v>
      </c>
      <c r="E565" s="85" t="s">
        <v>254</v>
      </c>
      <c r="F565" s="85" t="s">
        <v>254</v>
      </c>
      <c r="G565" s="85" t="s">
        <v>254</v>
      </c>
      <c r="H565" s="85" t="s">
        <v>254</v>
      </c>
      <c r="I565" s="85" t="s">
        <v>254</v>
      </c>
      <c r="J565" s="85" t="s">
        <v>254</v>
      </c>
      <c r="K565" s="85" t="s">
        <v>254</v>
      </c>
      <c r="L565" s="85" t="s">
        <v>254</v>
      </c>
      <c r="M565" s="85" t="s">
        <v>254</v>
      </c>
      <c r="N565" s="85" t="s">
        <v>254</v>
      </c>
      <c r="O565" s="85" t="s">
        <v>254</v>
      </c>
      <c r="P565" s="85" t="s">
        <v>254</v>
      </c>
      <c r="Q565" s="85" t="s">
        <v>254</v>
      </c>
      <c r="R565" s="85"/>
      <c r="S565" s="86"/>
    </row>
    <row r="566" spans="1:19" ht="15">
      <c r="A566" s="70">
        <v>19</v>
      </c>
      <c r="B566" s="94" t="str">
        <f t="shared" si="16"/>
        <v>920</v>
      </c>
      <c r="C566" s="72" t="s">
        <v>724</v>
      </c>
      <c r="D566" s="72" t="s">
        <v>422</v>
      </c>
      <c r="E566" s="85">
        <v>37411569</v>
      </c>
      <c r="F566" s="85" t="s">
        <v>254</v>
      </c>
      <c r="G566" s="85">
        <v>33809231.790585563</v>
      </c>
      <c r="H566" s="85" t="s">
        <v>254</v>
      </c>
      <c r="I566" s="85">
        <v>1755544.8706008829</v>
      </c>
      <c r="J566" s="85">
        <v>1846792.3388135568</v>
      </c>
      <c r="K566" s="85" t="s">
        <v>254</v>
      </c>
      <c r="L566" s="85" t="s">
        <v>254</v>
      </c>
      <c r="M566" s="85">
        <v>842.55518194507727</v>
      </c>
      <c r="N566" s="85" t="s">
        <v>254</v>
      </c>
      <c r="O566" s="85">
        <v>1845949.7836316118</v>
      </c>
      <c r="P566" s="85">
        <v>589301.99402958783</v>
      </c>
      <c r="Q566" s="85">
        <v>1256647.789602024</v>
      </c>
      <c r="R566" s="85"/>
      <c r="S566" s="86"/>
    </row>
    <row r="567" spans="1:19" ht="15">
      <c r="A567" s="70">
        <v>20</v>
      </c>
      <c r="B567" s="94" t="str">
        <f t="shared" si="16"/>
        <v>921</v>
      </c>
      <c r="C567" s="72" t="s">
        <v>725</v>
      </c>
      <c r="D567" s="72" t="s">
        <v>422</v>
      </c>
      <c r="E567" s="85">
        <v>8043619</v>
      </c>
      <c r="F567" s="85" t="s">
        <v>254</v>
      </c>
      <c r="G567" s="85">
        <v>7269103.8220331799</v>
      </c>
      <c r="H567" s="85" t="s">
        <v>254</v>
      </c>
      <c r="I567" s="85">
        <v>377448.32558393379</v>
      </c>
      <c r="J567" s="85">
        <v>397066.85238288634</v>
      </c>
      <c r="K567" s="85" t="s">
        <v>254</v>
      </c>
      <c r="L567" s="85" t="s">
        <v>254</v>
      </c>
      <c r="M567" s="85">
        <v>181.15232937816322</v>
      </c>
      <c r="N567" s="85" t="s">
        <v>254</v>
      </c>
      <c r="O567" s="85">
        <v>396885.70005350816</v>
      </c>
      <c r="P567" s="85">
        <v>126702.00268570078</v>
      </c>
      <c r="Q567" s="85">
        <v>270183.69736780738</v>
      </c>
      <c r="R567" s="85"/>
      <c r="S567" s="86"/>
    </row>
    <row r="568" spans="1:19" ht="15">
      <c r="A568" s="70">
        <v>21</v>
      </c>
      <c r="B568" s="94" t="str">
        <f t="shared" si="16"/>
        <v>922</v>
      </c>
      <c r="C568" s="72" t="s">
        <v>726</v>
      </c>
      <c r="D568" s="72" t="s">
        <v>422</v>
      </c>
      <c r="E568" s="85">
        <v>-4884600.9999999898</v>
      </c>
      <c r="F568" s="85" t="s">
        <v>254</v>
      </c>
      <c r="G568" s="85">
        <v>-4414265.7425975818</v>
      </c>
      <c r="H568" s="85" t="s">
        <v>254</v>
      </c>
      <c r="I568" s="85">
        <v>-229210.81525562122</v>
      </c>
      <c r="J568" s="85">
        <v>-241124.44214678675</v>
      </c>
      <c r="K568" s="85" t="s">
        <v>254</v>
      </c>
      <c r="L568" s="85" t="s">
        <v>254</v>
      </c>
      <c r="M568" s="85">
        <v>-110.0073050741095</v>
      </c>
      <c r="N568" s="85" t="s">
        <v>254</v>
      </c>
      <c r="O568" s="85">
        <v>-241014.43484171265</v>
      </c>
      <c r="P568" s="85">
        <v>-76941.576797779126</v>
      </c>
      <c r="Q568" s="85">
        <v>-164072.85804393352</v>
      </c>
      <c r="R568" s="85"/>
      <c r="S568" s="86"/>
    </row>
    <row r="569" spans="1:19" ht="15">
      <c r="A569" s="70">
        <v>22</v>
      </c>
      <c r="B569" s="94" t="str">
        <f t="shared" si="16"/>
        <v>923</v>
      </c>
      <c r="C569" s="72" t="s">
        <v>727</v>
      </c>
      <c r="D569" s="72" t="s">
        <v>422</v>
      </c>
      <c r="E569" s="85">
        <v>21171836</v>
      </c>
      <c r="F569" s="85" t="s">
        <v>254</v>
      </c>
      <c r="G569" s="85">
        <v>19133212.797257014</v>
      </c>
      <c r="H569" s="85" t="s">
        <v>254</v>
      </c>
      <c r="I569" s="85">
        <v>993492.36304425285</v>
      </c>
      <c r="J569" s="85">
        <v>1045130.8396987322</v>
      </c>
      <c r="K569" s="85" t="s">
        <v>254</v>
      </c>
      <c r="L569" s="85" t="s">
        <v>254</v>
      </c>
      <c r="M569" s="85">
        <v>476.81614564444857</v>
      </c>
      <c r="N569" s="85" t="s">
        <v>254</v>
      </c>
      <c r="O569" s="85">
        <v>1044654.0235530878</v>
      </c>
      <c r="P569" s="85">
        <v>333495.90796545887</v>
      </c>
      <c r="Q569" s="85">
        <v>711158.11558762903</v>
      </c>
      <c r="R569" s="85"/>
      <c r="S569" s="86"/>
    </row>
    <row r="570" spans="1:19" ht="15">
      <c r="A570" s="70">
        <v>23</v>
      </c>
      <c r="B570" s="94" t="str">
        <f t="shared" si="16"/>
        <v>925</v>
      </c>
      <c r="C570" s="72" t="s">
        <v>728</v>
      </c>
      <c r="D570" s="72" t="s">
        <v>422</v>
      </c>
      <c r="E570" s="85">
        <v>4319943.9999999898</v>
      </c>
      <c r="F570" s="85" t="s">
        <v>254</v>
      </c>
      <c r="G570" s="85">
        <v>3904092.4577877838</v>
      </c>
      <c r="H570" s="85" t="s">
        <v>254</v>
      </c>
      <c r="I570" s="85">
        <v>202658.99593024864</v>
      </c>
      <c r="J570" s="85">
        <v>213192.54628195707</v>
      </c>
      <c r="K570" s="85" t="s">
        <v>254</v>
      </c>
      <c r="L570" s="85" t="s">
        <v>254</v>
      </c>
      <c r="M570" s="85">
        <v>97.264040383298777</v>
      </c>
      <c r="N570" s="85" t="s">
        <v>254</v>
      </c>
      <c r="O570" s="85">
        <v>213095.28224157376</v>
      </c>
      <c r="P570" s="85">
        <v>68028.651622474572</v>
      </c>
      <c r="Q570" s="85">
        <v>145066.63061909919</v>
      </c>
      <c r="R570" s="85"/>
      <c r="S570" s="86"/>
    </row>
    <row r="571" spans="1:19" ht="15">
      <c r="A571" s="70">
        <v>24</v>
      </c>
      <c r="B571" s="94" t="str">
        <f t="shared" si="16"/>
        <v>926</v>
      </c>
      <c r="C571" s="72" t="s">
        <v>729</v>
      </c>
      <c r="D571" s="72" t="s">
        <v>422</v>
      </c>
      <c r="E571" s="85">
        <v>42916267.244429894</v>
      </c>
      <c r="F571" s="85" t="s">
        <v>254</v>
      </c>
      <c r="G571" s="85">
        <v>38783885.991353229</v>
      </c>
      <c r="H571" s="85" t="s">
        <v>254</v>
      </c>
      <c r="I571" s="85">
        <v>2013853.8649981662</v>
      </c>
      <c r="J571" s="85">
        <v>2118527.3880784931</v>
      </c>
      <c r="K571" s="85" t="s">
        <v>254</v>
      </c>
      <c r="L571" s="85" t="s">
        <v>254</v>
      </c>
      <c r="M571" s="85">
        <v>966.52785015603547</v>
      </c>
      <c r="N571" s="85" t="s">
        <v>254</v>
      </c>
      <c r="O571" s="85">
        <v>2117560.8602283369</v>
      </c>
      <c r="P571" s="85">
        <v>676011.25906933274</v>
      </c>
      <c r="Q571" s="85">
        <v>1441549.6011590043</v>
      </c>
      <c r="R571" s="85"/>
      <c r="S571" s="86"/>
    </row>
    <row r="572" spans="1:19" ht="15">
      <c r="A572" s="70">
        <v>25</v>
      </c>
      <c r="B572" s="94" t="str">
        <f t="shared" si="16"/>
        <v>926</v>
      </c>
      <c r="C572" s="72" t="s">
        <v>2439</v>
      </c>
      <c r="D572" s="72" t="s">
        <v>737</v>
      </c>
      <c r="E572" s="85">
        <v>128220</v>
      </c>
      <c r="F572" s="85" t="s">
        <v>254</v>
      </c>
      <c r="G572" s="85">
        <v>128220</v>
      </c>
      <c r="H572" s="85" t="s">
        <v>254</v>
      </c>
      <c r="I572" s="85">
        <v>0</v>
      </c>
      <c r="J572" s="85">
        <v>0</v>
      </c>
      <c r="K572" s="85" t="s">
        <v>254</v>
      </c>
      <c r="L572" s="85" t="s">
        <v>254</v>
      </c>
      <c r="M572" s="85">
        <v>0</v>
      </c>
      <c r="N572" s="85" t="s">
        <v>254</v>
      </c>
      <c r="O572" s="85">
        <v>0</v>
      </c>
      <c r="P572" s="85">
        <v>0</v>
      </c>
      <c r="Q572" s="85">
        <v>0</v>
      </c>
      <c r="R572" s="85"/>
      <c r="S572" s="86"/>
    </row>
    <row r="573" spans="1:19" ht="15">
      <c r="A573" s="70">
        <v>26</v>
      </c>
      <c r="B573" s="94" t="str">
        <f t="shared" si="16"/>
        <v>926</v>
      </c>
      <c r="C573" s="72" t="s">
        <v>2440</v>
      </c>
      <c r="D573" s="72" t="s">
        <v>737</v>
      </c>
      <c r="E573" s="85">
        <v>321576.9289718871</v>
      </c>
      <c r="F573" s="85" t="s">
        <v>254</v>
      </c>
      <c r="G573" s="85">
        <v>0</v>
      </c>
      <c r="H573" s="85" t="s">
        <v>254</v>
      </c>
      <c r="I573" s="85">
        <v>321576.9289718871</v>
      </c>
      <c r="J573" s="85">
        <v>0</v>
      </c>
      <c r="K573" s="85" t="s">
        <v>254</v>
      </c>
      <c r="L573" s="85" t="s">
        <v>254</v>
      </c>
      <c r="M573" s="85">
        <v>0</v>
      </c>
      <c r="N573" s="85" t="s">
        <v>254</v>
      </c>
      <c r="O573" s="85">
        <v>0</v>
      </c>
      <c r="P573" s="85">
        <v>0</v>
      </c>
      <c r="Q573" s="85">
        <v>0</v>
      </c>
      <c r="R573" s="85"/>
      <c r="S573" s="86"/>
    </row>
    <row r="574" spans="1:19" ht="15">
      <c r="A574" s="70">
        <v>27</v>
      </c>
      <c r="B574" s="94" t="str">
        <f t="shared" si="16"/>
        <v>926</v>
      </c>
      <c r="C574" s="72" t="s">
        <v>2441</v>
      </c>
      <c r="D574" s="72" t="s">
        <v>737</v>
      </c>
      <c r="E574" s="85">
        <v>339119.82659822685</v>
      </c>
      <c r="F574" s="85" t="s">
        <v>254</v>
      </c>
      <c r="G574" s="85">
        <v>0</v>
      </c>
      <c r="H574" s="85" t="s">
        <v>254</v>
      </c>
      <c r="I574" s="85">
        <v>0</v>
      </c>
      <c r="J574" s="85">
        <v>339119.82659822685</v>
      </c>
      <c r="K574" s="85" t="s">
        <v>254</v>
      </c>
      <c r="L574" s="85" t="s">
        <v>254</v>
      </c>
      <c r="M574" s="85">
        <v>134.49130541274116</v>
      </c>
      <c r="N574" s="85" t="s">
        <v>254</v>
      </c>
      <c r="O574" s="85">
        <v>338985.33529281412</v>
      </c>
      <c r="P574" s="85">
        <v>108217.85934059296</v>
      </c>
      <c r="Q574" s="85">
        <v>230767.47595222117</v>
      </c>
      <c r="R574" s="85"/>
      <c r="S574" s="86"/>
    </row>
    <row r="575" spans="1:19" ht="15">
      <c r="A575" s="70">
        <v>28</v>
      </c>
      <c r="B575" s="94" t="str">
        <f t="shared" si="16"/>
        <v>930</v>
      </c>
      <c r="C575" s="72" t="s">
        <v>2442</v>
      </c>
      <c r="D575" s="72" t="s">
        <v>732</v>
      </c>
      <c r="E575" s="85">
        <v>46179.000000000007</v>
      </c>
      <c r="F575" s="85" t="s">
        <v>254</v>
      </c>
      <c r="G575" s="85">
        <v>43898.476935244908</v>
      </c>
      <c r="H575" s="85" t="s">
        <v>254</v>
      </c>
      <c r="I575" s="85">
        <v>2279.4290768925403</v>
      </c>
      <c r="J575" s="85">
        <v>1.093987862557301</v>
      </c>
      <c r="K575" s="85" t="s">
        <v>254</v>
      </c>
      <c r="L575" s="85" t="s">
        <v>254</v>
      </c>
      <c r="M575" s="85">
        <v>1.093987862557301</v>
      </c>
      <c r="N575" s="85" t="s">
        <v>254</v>
      </c>
      <c r="O575" s="85">
        <v>0</v>
      </c>
      <c r="P575" s="85">
        <v>0</v>
      </c>
      <c r="Q575" s="85">
        <v>0</v>
      </c>
      <c r="R575" s="85"/>
      <c r="S575" s="86"/>
    </row>
    <row r="576" spans="1:19" ht="15">
      <c r="A576" s="70">
        <v>29</v>
      </c>
      <c r="B576" s="94" t="str">
        <f t="shared" si="16"/>
        <v>930</v>
      </c>
      <c r="C576" s="72" t="s">
        <v>2443</v>
      </c>
      <c r="D576" s="72" t="s">
        <v>422</v>
      </c>
      <c r="E576" s="85">
        <v>5691533.9999999991</v>
      </c>
      <c r="F576" s="85" t="s">
        <v>254</v>
      </c>
      <c r="G576" s="85">
        <v>5153363.5442508301</v>
      </c>
      <c r="H576" s="85" t="s">
        <v>254</v>
      </c>
      <c r="I576" s="85">
        <v>262269.2791308586</v>
      </c>
      <c r="J576" s="85">
        <v>275901.17661831091</v>
      </c>
      <c r="K576" s="85" t="s">
        <v>254</v>
      </c>
      <c r="L576" s="85" t="s">
        <v>254</v>
      </c>
      <c r="M576" s="85">
        <v>125.87336495766677</v>
      </c>
      <c r="N576" s="85" t="s">
        <v>254</v>
      </c>
      <c r="O576" s="85">
        <v>275775.30325335322</v>
      </c>
      <c r="P576" s="85">
        <v>88038.654979873361</v>
      </c>
      <c r="Q576" s="85">
        <v>187736.64827347989</v>
      </c>
      <c r="R576" s="85"/>
      <c r="S576" s="86"/>
    </row>
    <row r="577" spans="1:19" ht="15">
      <c r="A577" s="70">
        <v>30</v>
      </c>
      <c r="B577" s="94" t="str">
        <f t="shared" ref="B577:B579" si="17">MID(C577,3,3)</f>
        <v>931</v>
      </c>
      <c r="C577" s="72" t="s">
        <v>733</v>
      </c>
      <c r="D577" s="72" t="s">
        <v>422</v>
      </c>
      <c r="E577" s="85">
        <v>2026239</v>
      </c>
      <c r="F577" s="85" t="s">
        <v>254</v>
      </c>
      <c r="G577" s="85">
        <v>1831133.6799085943</v>
      </c>
      <c r="H577" s="85" t="s">
        <v>254</v>
      </c>
      <c r="I577" s="85">
        <v>95081.643944456402</v>
      </c>
      <c r="J577" s="85">
        <v>100023.67614694918</v>
      </c>
      <c r="K577" s="85" t="s">
        <v>254</v>
      </c>
      <c r="L577" s="85" t="s">
        <v>254</v>
      </c>
      <c r="M577" s="85">
        <v>45.633428774644855</v>
      </c>
      <c r="N577" s="85" t="s">
        <v>254</v>
      </c>
      <c r="O577" s="85">
        <v>99978.042718174533</v>
      </c>
      <c r="P577" s="85">
        <v>31917.043711278671</v>
      </c>
      <c r="Q577" s="85">
        <v>68060.999006895858</v>
      </c>
      <c r="R577" s="85"/>
      <c r="S577" s="86"/>
    </row>
    <row r="578" spans="1:19" ht="15">
      <c r="A578" s="70">
        <v>31</v>
      </c>
      <c r="B578" s="94" t="str">
        <f t="shared" si="17"/>
        <v>935</v>
      </c>
      <c r="C578" s="72" t="s">
        <v>734</v>
      </c>
      <c r="D578" s="72" t="s">
        <v>422</v>
      </c>
      <c r="E578" s="85">
        <v>966814</v>
      </c>
      <c r="F578" s="85" t="s">
        <v>254</v>
      </c>
      <c r="G578" s="85">
        <v>873720.0683666378</v>
      </c>
      <c r="H578" s="85" t="s">
        <v>254</v>
      </c>
      <c r="I578" s="85">
        <v>45367.92772645066</v>
      </c>
      <c r="J578" s="85">
        <v>47726.00390691153</v>
      </c>
      <c r="K578" s="85" t="s">
        <v>254</v>
      </c>
      <c r="L578" s="85" t="s">
        <v>254</v>
      </c>
      <c r="M578" s="85">
        <v>21.773856789514706</v>
      </c>
      <c r="N578" s="85" t="s">
        <v>254</v>
      </c>
      <c r="O578" s="85">
        <v>47704.230050122016</v>
      </c>
      <c r="P578" s="85">
        <v>15229.123858871622</v>
      </c>
      <c r="Q578" s="85">
        <v>32475.106191250394</v>
      </c>
      <c r="R578" s="85"/>
      <c r="S578" s="86"/>
    </row>
    <row r="579" spans="1:19" ht="15">
      <c r="A579" s="70">
        <v>32</v>
      </c>
      <c r="B579" s="94" t="str">
        <f t="shared" si="17"/>
        <v xml:space="preserve">   </v>
      </c>
      <c r="C579" s="72" t="s">
        <v>735</v>
      </c>
      <c r="D579" s="72" t="s">
        <v>254</v>
      </c>
      <c r="E579" s="85">
        <v>118498317</v>
      </c>
      <c r="F579" s="85" t="s">
        <v>254</v>
      </c>
      <c r="G579" s="85">
        <v>106515596.88588049</v>
      </c>
      <c r="H579" s="85" t="s">
        <v>254</v>
      </c>
      <c r="I579" s="85">
        <v>5840362.8137524091</v>
      </c>
      <c r="J579" s="85">
        <v>6142357.3003670992</v>
      </c>
      <c r="K579" s="85" t="s">
        <v>254</v>
      </c>
      <c r="L579" s="85" t="s">
        <v>254</v>
      </c>
      <c r="M579" s="85">
        <v>2783.1741862300387</v>
      </c>
      <c r="N579" s="85" t="s">
        <v>254</v>
      </c>
      <c r="O579" s="85">
        <v>6139574.1261808695</v>
      </c>
      <c r="P579" s="85">
        <v>1960000.9204653923</v>
      </c>
      <c r="Q579" s="85">
        <v>4179573.2057154775</v>
      </c>
      <c r="R579" s="85"/>
      <c r="S579" s="86"/>
    </row>
    <row r="580" spans="1:19" ht="15">
      <c r="A580" s="70" t="s">
        <v>254</v>
      </c>
      <c r="B580" s="70"/>
      <c r="C580" s="72" t="s">
        <v>254</v>
      </c>
      <c r="D580" s="72" t="s">
        <v>254</v>
      </c>
      <c r="E580" s="85" t="s">
        <v>254</v>
      </c>
      <c r="F580" s="85" t="s">
        <v>254</v>
      </c>
      <c r="G580" s="85" t="s">
        <v>254</v>
      </c>
      <c r="H580" s="85" t="s">
        <v>254</v>
      </c>
      <c r="I580" s="85" t="s">
        <v>254</v>
      </c>
      <c r="J580" s="85" t="s">
        <v>254</v>
      </c>
      <c r="K580" s="85" t="s">
        <v>254</v>
      </c>
      <c r="L580" s="85" t="s">
        <v>254</v>
      </c>
      <c r="M580" s="85" t="s">
        <v>254</v>
      </c>
      <c r="N580" s="85" t="s">
        <v>254</v>
      </c>
      <c r="O580" s="85" t="s">
        <v>254</v>
      </c>
      <c r="P580" s="85" t="s">
        <v>254</v>
      </c>
      <c r="Q580" s="85" t="s">
        <v>254</v>
      </c>
      <c r="R580" s="85"/>
      <c r="S580" s="86"/>
    </row>
    <row r="581" spans="1:19" ht="15">
      <c r="A581" s="70" t="s">
        <v>254</v>
      </c>
      <c r="B581" s="70"/>
      <c r="C581" s="72" t="s">
        <v>736</v>
      </c>
      <c r="D581" s="72" t="s">
        <v>254</v>
      </c>
      <c r="E581" s="85" t="s">
        <v>254</v>
      </c>
      <c r="F581" s="85" t="s">
        <v>254</v>
      </c>
      <c r="G581" s="85" t="s">
        <v>254</v>
      </c>
      <c r="H581" s="85" t="s">
        <v>254</v>
      </c>
      <c r="I581" s="85" t="s">
        <v>254</v>
      </c>
      <c r="J581" s="85" t="s">
        <v>254</v>
      </c>
      <c r="K581" s="85" t="s">
        <v>254</v>
      </c>
      <c r="L581" s="85" t="s">
        <v>254</v>
      </c>
      <c r="M581" s="85" t="s">
        <v>254</v>
      </c>
      <c r="N581" s="85" t="s">
        <v>254</v>
      </c>
      <c r="O581" s="85" t="s">
        <v>254</v>
      </c>
      <c r="P581" s="85" t="s">
        <v>254</v>
      </c>
      <c r="Q581" s="85" t="s">
        <v>254</v>
      </c>
      <c r="R581" s="85"/>
      <c r="S581" s="86"/>
    </row>
    <row r="582" spans="1:19" ht="15">
      <c r="A582" s="70">
        <v>33</v>
      </c>
      <c r="B582" s="70"/>
      <c r="C582" s="72" t="s">
        <v>2444</v>
      </c>
      <c r="D582" s="72" t="s">
        <v>737</v>
      </c>
      <c r="E582" s="85">
        <v>1414752</v>
      </c>
      <c r="F582" s="85" t="s">
        <v>254</v>
      </c>
      <c r="G582" s="85">
        <v>1414752</v>
      </c>
      <c r="H582" s="85" t="s">
        <v>254</v>
      </c>
      <c r="I582" s="85">
        <v>0</v>
      </c>
      <c r="J582" s="85">
        <v>0</v>
      </c>
      <c r="K582" s="85" t="s">
        <v>254</v>
      </c>
      <c r="L582" s="85" t="s">
        <v>254</v>
      </c>
      <c r="M582" s="85">
        <v>0</v>
      </c>
      <c r="N582" s="85" t="s">
        <v>254</v>
      </c>
      <c r="O582" s="85">
        <v>0</v>
      </c>
      <c r="P582" s="85">
        <v>0</v>
      </c>
      <c r="Q582" s="85">
        <v>0</v>
      </c>
      <c r="R582" s="85"/>
      <c r="S582" s="86"/>
    </row>
    <row r="583" spans="1:19" ht="15">
      <c r="A583" s="70">
        <v>34</v>
      </c>
      <c r="B583" s="70"/>
      <c r="C583" s="72" t="s">
        <v>739</v>
      </c>
      <c r="D583" s="72" t="s">
        <v>737</v>
      </c>
      <c r="E583" s="85">
        <v>0</v>
      </c>
      <c r="F583" s="85" t="s">
        <v>254</v>
      </c>
      <c r="G583" s="85">
        <v>0</v>
      </c>
      <c r="H583" s="85" t="s">
        <v>254</v>
      </c>
      <c r="I583" s="85">
        <v>0</v>
      </c>
      <c r="J583" s="85">
        <v>0</v>
      </c>
      <c r="K583" s="85" t="s">
        <v>254</v>
      </c>
      <c r="L583" s="85" t="s">
        <v>254</v>
      </c>
      <c r="M583" s="85">
        <v>0</v>
      </c>
      <c r="N583" s="85" t="s">
        <v>254</v>
      </c>
      <c r="O583" s="85">
        <v>0</v>
      </c>
      <c r="P583" s="85">
        <v>0</v>
      </c>
      <c r="Q583" s="85">
        <v>0</v>
      </c>
      <c r="R583" s="85"/>
      <c r="S583" s="86"/>
    </row>
    <row r="584" spans="1:19" ht="15">
      <c r="A584" s="70">
        <v>35</v>
      </c>
      <c r="B584" s="70"/>
      <c r="C584" s="72" t="s">
        <v>738</v>
      </c>
      <c r="D584" s="72" t="s">
        <v>1128</v>
      </c>
      <c r="E584" s="85">
        <v>0</v>
      </c>
      <c r="F584" s="85" t="s">
        <v>254</v>
      </c>
      <c r="G584" s="85">
        <v>0</v>
      </c>
      <c r="H584" s="85" t="s">
        <v>254</v>
      </c>
      <c r="I584" s="85">
        <v>0</v>
      </c>
      <c r="J584" s="85">
        <v>0</v>
      </c>
      <c r="K584" s="85" t="s">
        <v>254</v>
      </c>
      <c r="L584" s="85" t="s">
        <v>254</v>
      </c>
      <c r="M584" s="85">
        <v>0</v>
      </c>
      <c r="N584" s="85" t="s">
        <v>254</v>
      </c>
      <c r="O584" s="85">
        <v>0</v>
      </c>
      <c r="P584" s="85">
        <v>0</v>
      </c>
      <c r="Q584" s="85">
        <v>0</v>
      </c>
      <c r="R584" s="85"/>
      <c r="S584" s="86"/>
    </row>
    <row r="585" spans="1:19" ht="15">
      <c r="A585" s="70">
        <v>36</v>
      </c>
      <c r="B585" s="70"/>
      <c r="C585" s="72" t="s">
        <v>741</v>
      </c>
      <c r="D585" s="72" t="s">
        <v>498</v>
      </c>
      <c r="E585" s="85">
        <v>438437.99999998993</v>
      </c>
      <c r="F585" s="85" t="s">
        <v>254</v>
      </c>
      <c r="G585" s="85">
        <v>385554.67307216552</v>
      </c>
      <c r="H585" s="85" t="s">
        <v>254</v>
      </c>
      <c r="I585" s="85">
        <v>15983.35259631707</v>
      </c>
      <c r="J585" s="85">
        <v>36899.974331507343</v>
      </c>
      <c r="K585" s="85" t="s">
        <v>254</v>
      </c>
      <c r="L585" s="85" t="s">
        <v>254</v>
      </c>
      <c r="M585" s="85">
        <v>1.8593723404197313</v>
      </c>
      <c r="N585" s="85" t="s">
        <v>254</v>
      </c>
      <c r="O585" s="85">
        <v>36898.114959166924</v>
      </c>
      <c r="P585" s="85">
        <v>11660.29914704437</v>
      </c>
      <c r="Q585" s="85">
        <v>25237.81581212255</v>
      </c>
      <c r="R585" s="85"/>
      <c r="S585" s="86"/>
    </row>
    <row r="586" spans="1:19" ht="15">
      <c r="A586" s="70">
        <v>37</v>
      </c>
      <c r="B586" s="70"/>
      <c r="C586" s="72" t="s">
        <v>742</v>
      </c>
      <c r="D586" s="72" t="s">
        <v>254</v>
      </c>
      <c r="E586" s="85">
        <v>1853189.9999999902</v>
      </c>
      <c r="F586" s="85" t="s">
        <v>254</v>
      </c>
      <c r="G586" s="85">
        <v>1800306.6730721656</v>
      </c>
      <c r="H586" s="85" t="s">
        <v>254</v>
      </c>
      <c r="I586" s="85">
        <v>15983.35259631707</v>
      </c>
      <c r="J586" s="85">
        <v>36899.974331507343</v>
      </c>
      <c r="K586" s="85" t="s">
        <v>254</v>
      </c>
      <c r="L586" s="85" t="s">
        <v>254</v>
      </c>
      <c r="M586" s="85">
        <v>1.8593723404197313</v>
      </c>
      <c r="N586" s="85" t="s">
        <v>254</v>
      </c>
      <c r="O586" s="85">
        <v>36898.114959166924</v>
      </c>
      <c r="P586" s="85">
        <v>11660.29914704437</v>
      </c>
      <c r="Q586" s="85">
        <v>25237.81581212255</v>
      </c>
      <c r="R586" s="85"/>
      <c r="S586" s="86"/>
    </row>
    <row r="587" spans="1:19" ht="15">
      <c r="A587" s="70" t="s">
        <v>254</v>
      </c>
      <c r="B587" s="70"/>
      <c r="C587" s="72" t="s">
        <v>254</v>
      </c>
      <c r="D587" s="72" t="s">
        <v>254</v>
      </c>
      <c r="E587" s="85" t="s">
        <v>254</v>
      </c>
      <c r="F587" s="85" t="s">
        <v>254</v>
      </c>
      <c r="G587" s="85" t="s">
        <v>254</v>
      </c>
      <c r="H587" s="85" t="s">
        <v>254</v>
      </c>
      <c r="I587" s="85" t="s">
        <v>254</v>
      </c>
      <c r="J587" s="85" t="s">
        <v>254</v>
      </c>
      <c r="K587" s="85" t="s">
        <v>254</v>
      </c>
      <c r="L587" s="85" t="s">
        <v>254</v>
      </c>
      <c r="M587" s="85" t="s">
        <v>254</v>
      </c>
      <c r="N587" s="85" t="s">
        <v>254</v>
      </c>
      <c r="O587" s="85" t="s">
        <v>254</v>
      </c>
      <c r="P587" s="85" t="s">
        <v>254</v>
      </c>
      <c r="Q587" s="85" t="s">
        <v>254</v>
      </c>
      <c r="R587" s="85"/>
      <c r="S587" s="86"/>
    </row>
    <row r="588" spans="1:19" ht="15">
      <c r="A588" s="70">
        <v>38</v>
      </c>
      <c r="B588" s="70"/>
      <c r="C588" s="72" t="s">
        <v>743</v>
      </c>
      <c r="D588" s="72" t="s">
        <v>731</v>
      </c>
      <c r="E588" s="85">
        <v>0</v>
      </c>
      <c r="F588" s="85" t="s">
        <v>254</v>
      </c>
      <c r="G588" s="85">
        <v>0</v>
      </c>
      <c r="H588" s="85" t="s">
        <v>254</v>
      </c>
      <c r="I588" s="85">
        <v>0</v>
      </c>
      <c r="J588" s="85">
        <v>0</v>
      </c>
      <c r="K588" s="85" t="s">
        <v>254</v>
      </c>
      <c r="L588" s="85" t="s">
        <v>254</v>
      </c>
      <c r="M588" s="85">
        <v>0</v>
      </c>
      <c r="N588" s="85" t="s">
        <v>254</v>
      </c>
      <c r="O588" s="85">
        <v>0</v>
      </c>
      <c r="P588" s="85">
        <v>0</v>
      </c>
      <c r="Q588" s="85">
        <v>0</v>
      </c>
      <c r="R588" s="85"/>
      <c r="S588" s="86"/>
    </row>
    <row r="589" spans="1:19" ht="15">
      <c r="A589" s="70">
        <v>39</v>
      </c>
      <c r="B589" s="70"/>
      <c r="C589" s="72" t="s">
        <v>730</v>
      </c>
      <c r="D589" s="72" t="s">
        <v>731</v>
      </c>
      <c r="E589" s="85">
        <v>0</v>
      </c>
      <c r="F589" s="85" t="s">
        <v>254</v>
      </c>
      <c r="G589" s="85">
        <v>0</v>
      </c>
      <c r="H589" s="85" t="s">
        <v>254</v>
      </c>
      <c r="I589" s="85">
        <v>0</v>
      </c>
      <c r="J589" s="85">
        <v>0</v>
      </c>
      <c r="K589" s="85" t="s">
        <v>254</v>
      </c>
      <c r="L589" s="85" t="s">
        <v>254</v>
      </c>
      <c r="M589" s="85">
        <v>0</v>
      </c>
      <c r="N589" s="85" t="s">
        <v>254</v>
      </c>
      <c r="O589" s="85">
        <v>0</v>
      </c>
      <c r="P589" s="85">
        <v>0</v>
      </c>
      <c r="Q589" s="85">
        <v>0</v>
      </c>
      <c r="R589" s="85"/>
      <c r="S589" s="86"/>
    </row>
    <row r="590" spans="1:19" ht="15">
      <c r="A590" s="70" t="s">
        <v>254</v>
      </c>
      <c r="B590" s="70"/>
      <c r="C590" s="72" t="s">
        <v>254</v>
      </c>
      <c r="D590" s="72" t="s">
        <v>254</v>
      </c>
      <c r="E590" s="85" t="s">
        <v>254</v>
      </c>
      <c r="F590" s="85" t="s">
        <v>254</v>
      </c>
      <c r="G590" s="85" t="s">
        <v>254</v>
      </c>
      <c r="H590" s="85" t="s">
        <v>254</v>
      </c>
      <c r="I590" s="85" t="s">
        <v>254</v>
      </c>
      <c r="J590" s="85" t="s">
        <v>254</v>
      </c>
      <c r="K590" s="85" t="s">
        <v>254</v>
      </c>
      <c r="L590" s="85" t="s">
        <v>254</v>
      </c>
      <c r="M590" s="85" t="s">
        <v>254</v>
      </c>
      <c r="N590" s="85" t="s">
        <v>254</v>
      </c>
      <c r="O590" s="85" t="s">
        <v>254</v>
      </c>
      <c r="P590" s="85" t="s">
        <v>254</v>
      </c>
      <c r="Q590" s="85" t="s">
        <v>254</v>
      </c>
      <c r="R590" s="85"/>
      <c r="S590" s="86"/>
    </row>
    <row r="591" spans="1:19" ht="15">
      <c r="A591" s="70">
        <v>40</v>
      </c>
      <c r="B591" s="70"/>
      <c r="C591" s="72" t="s">
        <v>745</v>
      </c>
      <c r="D591" s="72" t="s">
        <v>254</v>
      </c>
      <c r="E591" s="85">
        <v>126592021.99999997</v>
      </c>
      <c r="F591" s="85" t="s">
        <v>254</v>
      </c>
      <c r="G591" s="85">
        <v>113859772.53423992</v>
      </c>
      <c r="H591" s="85" t="s">
        <v>254</v>
      </c>
      <c r="I591" s="85">
        <v>6164836.4565697508</v>
      </c>
      <c r="J591" s="85">
        <v>6567413.0091903135</v>
      </c>
      <c r="K591" s="85" t="s">
        <v>254</v>
      </c>
      <c r="L591" s="85" t="s">
        <v>254</v>
      </c>
      <c r="M591" s="85">
        <v>2920.0941878699177</v>
      </c>
      <c r="N591" s="85" t="s">
        <v>254</v>
      </c>
      <c r="O591" s="85">
        <v>6564492.9150024438</v>
      </c>
      <c r="P591" s="85">
        <v>2093959.3914748589</v>
      </c>
      <c r="Q591" s="85">
        <v>4470533.523527585</v>
      </c>
      <c r="R591" s="85"/>
      <c r="S591" s="86"/>
    </row>
    <row r="592" spans="1:19" ht="15">
      <c r="A592" s="70" t="s">
        <v>254</v>
      </c>
      <c r="B592" s="70"/>
      <c r="C592" s="72" t="s">
        <v>254</v>
      </c>
      <c r="D592" s="72" t="s">
        <v>254</v>
      </c>
      <c r="E592" s="85" t="s">
        <v>254</v>
      </c>
      <c r="F592" s="85" t="s">
        <v>254</v>
      </c>
      <c r="G592" s="85" t="s">
        <v>254</v>
      </c>
      <c r="H592" s="85" t="s">
        <v>254</v>
      </c>
      <c r="I592" s="85" t="s">
        <v>254</v>
      </c>
      <c r="J592" s="85" t="s">
        <v>254</v>
      </c>
      <c r="K592" s="85" t="s">
        <v>254</v>
      </c>
      <c r="L592" s="85" t="s">
        <v>254</v>
      </c>
      <c r="M592" s="85" t="s">
        <v>254</v>
      </c>
      <c r="N592" s="85" t="s">
        <v>254</v>
      </c>
      <c r="O592" s="85" t="s">
        <v>254</v>
      </c>
      <c r="P592" s="85" t="s">
        <v>254</v>
      </c>
      <c r="Q592" s="85" t="s">
        <v>254</v>
      </c>
      <c r="R592" s="85"/>
      <c r="S592" s="86"/>
    </row>
    <row r="593" spans="1:19" ht="15">
      <c r="A593" s="70">
        <v>41</v>
      </c>
      <c r="B593" s="70"/>
      <c r="C593" s="72" t="s">
        <v>746</v>
      </c>
      <c r="D593" s="72" t="s">
        <v>254</v>
      </c>
      <c r="E593" s="85">
        <v>1036208025.8785896</v>
      </c>
      <c r="F593" s="85" t="s">
        <v>254</v>
      </c>
      <c r="G593" s="85">
        <v>922833618.28418863</v>
      </c>
      <c r="H593" s="85" t="s">
        <v>254</v>
      </c>
      <c r="I593" s="85">
        <v>43381120.845020853</v>
      </c>
      <c r="J593" s="85">
        <v>69993286.749380127</v>
      </c>
      <c r="K593" s="85" t="s">
        <v>254</v>
      </c>
      <c r="L593" s="85" t="s">
        <v>254</v>
      </c>
      <c r="M593" s="85">
        <v>12825.99163919768</v>
      </c>
      <c r="N593" s="85" t="s">
        <v>254</v>
      </c>
      <c r="O593" s="85">
        <v>69980460.75774093</v>
      </c>
      <c r="P593" s="85">
        <v>22133693.644759055</v>
      </c>
      <c r="Q593" s="85">
        <v>47846767.112981871</v>
      </c>
      <c r="R593" s="85"/>
      <c r="S593" s="86"/>
    </row>
    <row r="594" spans="1:19" ht="15">
      <c r="A594" s="70"/>
      <c r="B594" s="70"/>
      <c r="C594" s="72"/>
      <c r="D594" s="72"/>
      <c r="E594" s="85"/>
      <c r="F594" s="85"/>
      <c r="G594" s="85"/>
      <c r="H594" s="85"/>
      <c r="I594" s="85"/>
      <c r="J594" s="85"/>
      <c r="K594" s="85"/>
      <c r="L594" s="85"/>
      <c r="M594" s="85"/>
      <c r="N594" s="85"/>
      <c r="O594" s="85"/>
      <c r="P594" s="85"/>
      <c r="Q594" s="85"/>
      <c r="R594" s="85"/>
      <c r="S594" s="86"/>
    </row>
    <row r="595" spans="1:19" ht="15">
      <c r="A595" s="70"/>
      <c r="B595" s="70"/>
      <c r="C595" s="72"/>
      <c r="D595" s="72"/>
      <c r="E595" s="85"/>
      <c r="F595" s="85"/>
      <c r="G595" s="85"/>
      <c r="H595" s="85"/>
      <c r="I595" s="85"/>
      <c r="J595" s="85"/>
      <c r="K595" s="85"/>
      <c r="L595" s="85"/>
      <c r="M595" s="85"/>
      <c r="N595" s="85"/>
      <c r="O595" s="85"/>
      <c r="P595" s="85"/>
      <c r="Q595" s="85"/>
      <c r="R595" s="85"/>
      <c r="S595" s="86"/>
    </row>
    <row r="596" spans="1:19" ht="15">
      <c r="A596" s="70" t="s">
        <v>254</v>
      </c>
      <c r="B596" s="70"/>
      <c r="C596" s="72" t="s">
        <v>747</v>
      </c>
      <c r="D596" s="72" t="s">
        <v>254</v>
      </c>
      <c r="E596" s="85" t="s">
        <v>254</v>
      </c>
      <c r="F596" s="85" t="s">
        <v>254</v>
      </c>
      <c r="G596" s="85" t="s">
        <v>254</v>
      </c>
      <c r="H596" s="85" t="s">
        <v>254</v>
      </c>
      <c r="I596" s="85" t="s">
        <v>254</v>
      </c>
      <c r="J596" s="85" t="s">
        <v>254</v>
      </c>
      <c r="K596" s="85" t="s">
        <v>254</v>
      </c>
      <c r="L596" s="85" t="s">
        <v>254</v>
      </c>
      <c r="M596" s="85" t="s">
        <v>254</v>
      </c>
      <c r="N596" s="85" t="s">
        <v>254</v>
      </c>
      <c r="O596" s="85" t="s">
        <v>254</v>
      </c>
      <c r="P596" s="85" t="s">
        <v>254</v>
      </c>
      <c r="Q596" s="85" t="s">
        <v>254</v>
      </c>
      <c r="R596" s="85"/>
      <c r="S596" s="86"/>
    </row>
    <row r="597" spans="1:19" ht="15">
      <c r="A597" s="70" t="s">
        <v>254</v>
      </c>
      <c r="B597" s="70"/>
      <c r="C597" s="72" t="s">
        <v>254</v>
      </c>
      <c r="D597" s="72" t="s">
        <v>254</v>
      </c>
      <c r="E597" s="85" t="s">
        <v>254</v>
      </c>
      <c r="F597" s="85" t="s">
        <v>254</v>
      </c>
      <c r="G597" s="85" t="s">
        <v>254</v>
      </c>
      <c r="H597" s="85" t="s">
        <v>254</v>
      </c>
      <c r="I597" s="85" t="s">
        <v>254</v>
      </c>
      <c r="J597" s="85" t="s">
        <v>254</v>
      </c>
      <c r="K597" s="85" t="s">
        <v>254</v>
      </c>
      <c r="L597" s="85" t="s">
        <v>254</v>
      </c>
      <c r="M597" s="85" t="s">
        <v>254</v>
      </c>
      <c r="N597" s="85" t="s">
        <v>254</v>
      </c>
      <c r="O597" s="85" t="s">
        <v>254</v>
      </c>
      <c r="P597" s="85" t="s">
        <v>254</v>
      </c>
      <c r="Q597" s="85" t="s">
        <v>254</v>
      </c>
      <c r="R597" s="85"/>
      <c r="S597" s="86"/>
    </row>
    <row r="598" spans="1:19" ht="15">
      <c r="A598" s="70" t="s">
        <v>254</v>
      </c>
      <c r="B598" s="70"/>
      <c r="C598" s="72" t="s">
        <v>748</v>
      </c>
      <c r="D598" s="72" t="s">
        <v>254</v>
      </c>
      <c r="E598" s="85" t="s">
        <v>254</v>
      </c>
      <c r="F598" s="85" t="s">
        <v>254</v>
      </c>
      <c r="G598" s="85" t="s">
        <v>254</v>
      </c>
      <c r="H598" s="85" t="s">
        <v>254</v>
      </c>
      <c r="I598" s="85" t="s">
        <v>254</v>
      </c>
      <c r="J598" s="85" t="s">
        <v>254</v>
      </c>
      <c r="K598" s="85" t="s">
        <v>254</v>
      </c>
      <c r="L598" s="85" t="s">
        <v>254</v>
      </c>
      <c r="M598" s="85" t="s">
        <v>254</v>
      </c>
      <c r="N598" s="85" t="s">
        <v>254</v>
      </c>
      <c r="O598" s="85" t="s">
        <v>254</v>
      </c>
      <c r="P598" s="85" t="s">
        <v>254</v>
      </c>
      <c r="Q598" s="85" t="s">
        <v>254</v>
      </c>
      <c r="R598" s="85"/>
      <c r="S598" s="86"/>
    </row>
    <row r="599" spans="1:19" ht="15">
      <c r="A599" s="70" t="s">
        <v>254</v>
      </c>
      <c r="B599" s="70"/>
      <c r="C599" s="72" t="s">
        <v>254</v>
      </c>
      <c r="D599" s="72" t="s">
        <v>254</v>
      </c>
      <c r="E599" s="85" t="s">
        <v>254</v>
      </c>
      <c r="F599" s="85" t="s">
        <v>254</v>
      </c>
      <c r="G599" s="85" t="s">
        <v>254</v>
      </c>
      <c r="H599" s="85" t="s">
        <v>254</v>
      </c>
      <c r="I599" s="85" t="s">
        <v>254</v>
      </c>
      <c r="J599" s="85" t="s">
        <v>254</v>
      </c>
      <c r="K599" s="85" t="s">
        <v>254</v>
      </c>
      <c r="L599" s="85" t="s">
        <v>254</v>
      </c>
      <c r="M599" s="85" t="s">
        <v>254</v>
      </c>
      <c r="N599" s="85" t="s">
        <v>254</v>
      </c>
      <c r="O599" s="85" t="s">
        <v>254</v>
      </c>
      <c r="P599" s="85" t="s">
        <v>254</v>
      </c>
      <c r="Q599" s="85" t="s">
        <v>254</v>
      </c>
      <c r="R599" s="85"/>
      <c r="S599" s="86"/>
    </row>
    <row r="600" spans="1:19" ht="15">
      <c r="A600" s="70" t="s">
        <v>254</v>
      </c>
      <c r="B600" s="70"/>
      <c r="C600" s="72" t="s">
        <v>444</v>
      </c>
      <c r="D600" s="72" t="s">
        <v>254</v>
      </c>
      <c r="E600" s="85" t="s">
        <v>254</v>
      </c>
      <c r="F600" s="85" t="s">
        <v>254</v>
      </c>
      <c r="G600" s="85" t="s">
        <v>254</v>
      </c>
      <c r="H600" s="85" t="s">
        <v>254</v>
      </c>
      <c r="I600" s="85" t="s">
        <v>254</v>
      </c>
      <c r="J600" s="85" t="s">
        <v>254</v>
      </c>
      <c r="K600" s="85" t="s">
        <v>254</v>
      </c>
      <c r="L600" s="85" t="s">
        <v>254</v>
      </c>
      <c r="M600" s="85" t="s">
        <v>254</v>
      </c>
      <c r="N600" s="85" t="s">
        <v>254</v>
      </c>
      <c r="O600" s="85" t="s">
        <v>254</v>
      </c>
      <c r="P600" s="85" t="s">
        <v>254</v>
      </c>
      <c r="Q600" s="85" t="s">
        <v>254</v>
      </c>
      <c r="R600" s="85"/>
      <c r="S600" s="86"/>
    </row>
    <row r="601" spans="1:19" ht="15">
      <c r="A601" s="70" t="s">
        <v>254</v>
      </c>
      <c r="B601" s="70"/>
      <c r="C601" s="72" t="s">
        <v>445</v>
      </c>
      <c r="D601" s="72" t="s">
        <v>254</v>
      </c>
      <c r="E601" s="85" t="s">
        <v>254</v>
      </c>
      <c r="F601" s="85" t="s">
        <v>254</v>
      </c>
      <c r="G601" s="85" t="s">
        <v>254</v>
      </c>
      <c r="H601" s="85" t="s">
        <v>254</v>
      </c>
      <c r="I601" s="85" t="s">
        <v>254</v>
      </c>
      <c r="J601" s="85" t="s">
        <v>254</v>
      </c>
      <c r="K601" s="85" t="s">
        <v>254</v>
      </c>
      <c r="L601" s="85" t="s">
        <v>254</v>
      </c>
      <c r="M601" s="85" t="s">
        <v>254</v>
      </c>
      <c r="N601" s="85" t="s">
        <v>254</v>
      </c>
      <c r="O601" s="85" t="s">
        <v>254</v>
      </c>
      <c r="P601" s="85" t="s">
        <v>254</v>
      </c>
      <c r="Q601" s="85" t="s">
        <v>254</v>
      </c>
      <c r="R601" s="85"/>
      <c r="S601" s="86"/>
    </row>
    <row r="602" spans="1:19" ht="15">
      <c r="A602" s="70">
        <v>1</v>
      </c>
      <c r="B602" s="70"/>
      <c r="C602" s="72" t="s">
        <v>446</v>
      </c>
      <c r="D602" s="72" t="s">
        <v>447</v>
      </c>
      <c r="E602" s="85">
        <v>171344585.50725687</v>
      </c>
      <c r="F602" s="85" t="s">
        <v>254</v>
      </c>
      <c r="G602" s="85">
        <v>150059691.21098113</v>
      </c>
      <c r="H602" s="85" t="s">
        <v>254</v>
      </c>
      <c r="I602" s="85">
        <v>6934793.7687277133</v>
      </c>
      <c r="J602" s="85">
        <v>14350100.52754803</v>
      </c>
      <c r="K602" s="85" t="s">
        <v>254</v>
      </c>
      <c r="L602" s="85" t="s">
        <v>254</v>
      </c>
      <c r="M602" s="85">
        <v>527.29877204894592</v>
      </c>
      <c r="N602" s="85" t="s">
        <v>254</v>
      </c>
      <c r="O602" s="85">
        <v>14349573.228775982</v>
      </c>
      <c r="P602" s="85">
        <v>4453517.4924733927</v>
      </c>
      <c r="Q602" s="85">
        <v>9896055.73630259</v>
      </c>
      <c r="R602" s="85"/>
      <c r="S602" s="86"/>
    </row>
    <row r="603" spans="1:19" ht="15">
      <c r="A603" s="70">
        <v>2</v>
      </c>
      <c r="B603" s="70"/>
      <c r="C603" s="72" t="s">
        <v>448</v>
      </c>
      <c r="D603" s="72" t="s">
        <v>315</v>
      </c>
      <c r="E603" s="85">
        <v>352911.99999999959</v>
      </c>
      <c r="F603" s="85" t="s">
        <v>254</v>
      </c>
      <c r="G603" s="85">
        <v>0</v>
      </c>
      <c r="H603" s="85" t="s">
        <v>254</v>
      </c>
      <c r="I603" s="85">
        <v>114984.4831559364</v>
      </c>
      <c r="J603" s="85">
        <v>237927.51684406321</v>
      </c>
      <c r="K603" s="85" t="s">
        <v>254</v>
      </c>
      <c r="L603" s="85" t="s">
        <v>254</v>
      </c>
      <c r="M603" s="85">
        <v>0</v>
      </c>
      <c r="N603" s="85" t="s">
        <v>254</v>
      </c>
      <c r="O603" s="85">
        <v>237927.51684406321</v>
      </c>
      <c r="P603" s="85">
        <v>73842.917926011258</v>
      </c>
      <c r="Q603" s="85">
        <v>164084.59891805195</v>
      </c>
      <c r="R603" s="85"/>
      <c r="S603" s="86"/>
    </row>
    <row r="604" spans="1:19" ht="15">
      <c r="A604" s="70">
        <v>3</v>
      </c>
      <c r="B604" s="70"/>
      <c r="C604" s="72" t="s">
        <v>449</v>
      </c>
      <c r="D604" s="72" t="s">
        <v>317</v>
      </c>
      <c r="E604" s="85">
        <v>565413.99999999965</v>
      </c>
      <c r="F604" s="85" t="s">
        <v>254</v>
      </c>
      <c r="G604" s="85">
        <v>0</v>
      </c>
      <c r="H604" s="85" t="s">
        <v>254</v>
      </c>
      <c r="I604" s="85">
        <v>0</v>
      </c>
      <c r="J604" s="85">
        <v>565413.99999999965</v>
      </c>
      <c r="K604" s="85" t="s">
        <v>254</v>
      </c>
      <c r="L604" s="85" t="s">
        <v>254</v>
      </c>
      <c r="M604" s="85">
        <v>0</v>
      </c>
      <c r="N604" s="85" t="s">
        <v>254</v>
      </c>
      <c r="O604" s="85">
        <v>565413.99999999965</v>
      </c>
      <c r="P604" s="85">
        <v>175481.25643483971</v>
      </c>
      <c r="Q604" s="85">
        <v>389932.74356515991</v>
      </c>
      <c r="R604" s="85"/>
      <c r="S604" s="86"/>
    </row>
    <row r="605" spans="1:19" ht="15">
      <c r="A605" s="70">
        <v>4</v>
      </c>
      <c r="B605" s="70"/>
      <c r="C605" s="72" t="s">
        <v>450</v>
      </c>
      <c r="D605" s="72" t="s">
        <v>254</v>
      </c>
      <c r="E605" s="85">
        <v>172262911.5072569</v>
      </c>
      <c r="F605" s="85" t="s">
        <v>254</v>
      </c>
      <c r="G605" s="85">
        <v>150059691.21098113</v>
      </c>
      <c r="H605" s="85" t="s">
        <v>254</v>
      </c>
      <c r="I605" s="85">
        <v>7049778.2518836493</v>
      </c>
      <c r="J605" s="85">
        <v>15153442.044392096</v>
      </c>
      <c r="K605" s="85" t="s">
        <v>254</v>
      </c>
      <c r="L605" s="85" t="s">
        <v>254</v>
      </c>
      <c r="M605" s="85">
        <v>527.29877204894592</v>
      </c>
      <c r="N605" s="85" t="s">
        <v>254</v>
      </c>
      <c r="O605" s="85">
        <v>15152914.745620048</v>
      </c>
      <c r="P605" s="85">
        <v>4702841.6668342445</v>
      </c>
      <c r="Q605" s="85">
        <v>10450073.078785803</v>
      </c>
      <c r="R605" s="85"/>
      <c r="S605" s="86"/>
    </row>
    <row r="606" spans="1:19" ht="15">
      <c r="A606" s="70" t="s">
        <v>254</v>
      </c>
      <c r="B606" s="70"/>
      <c r="C606" s="72" t="s">
        <v>254</v>
      </c>
      <c r="D606" s="72" t="s">
        <v>254</v>
      </c>
      <c r="E606" s="85" t="s">
        <v>254</v>
      </c>
      <c r="F606" s="85" t="s">
        <v>254</v>
      </c>
      <c r="G606" s="85" t="s">
        <v>254</v>
      </c>
      <c r="H606" s="85" t="s">
        <v>254</v>
      </c>
      <c r="I606" s="85" t="s">
        <v>254</v>
      </c>
      <c r="J606" s="85" t="s">
        <v>254</v>
      </c>
      <c r="K606" s="85" t="s">
        <v>254</v>
      </c>
      <c r="L606" s="85" t="s">
        <v>254</v>
      </c>
      <c r="M606" s="85" t="s">
        <v>254</v>
      </c>
      <c r="N606" s="85" t="s">
        <v>254</v>
      </c>
      <c r="O606" s="85" t="s">
        <v>254</v>
      </c>
      <c r="P606" s="85" t="s">
        <v>254</v>
      </c>
      <c r="Q606" s="85" t="s">
        <v>254</v>
      </c>
      <c r="R606" s="85"/>
      <c r="S606" s="86"/>
    </row>
    <row r="607" spans="1:19" ht="15">
      <c r="A607" s="70" t="s">
        <v>254</v>
      </c>
      <c r="B607" s="70"/>
      <c r="C607" s="72" t="s">
        <v>451</v>
      </c>
      <c r="D607" s="72" t="s">
        <v>254</v>
      </c>
      <c r="E607" s="85" t="s">
        <v>254</v>
      </c>
      <c r="F607" s="85" t="s">
        <v>254</v>
      </c>
      <c r="G607" s="85" t="s">
        <v>254</v>
      </c>
      <c r="H607" s="85" t="s">
        <v>254</v>
      </c>
      <c r="I607" s="85" t="s">
        <v>254</v>
      </c>
      <c r="J607" s="85" t="s">
        <v>254</v>
      </c>
      <c r="K607" s="85" t="s">
        <v>254</v>
      </c>
      <c r="L607" s="85" t="s">
        <v>254</v>
      </c>
      <c r="M607" s="85" t="s">
        <v>254</v>
      </c>
      <c r="N607" s="85" t="s">
        <v>254</v>
      </c>
      <c r="O607" s="85" t="s">
        <v>254</v>
      </c>
      <c r="P607" s="85" t="s">
        <v>254</v>
      </c>
      <c r="Q607" s="85" t="s">
        <v>254</v>
      </c>
      <c r="R607" s="85"/>
      <c r="S607" s="86"/>
    </row>
    <row r="608" spans="1:19" ht="15">
      <c r="A608" s="70">
        <v>5</v>
      </c>
      <c r="B608" s="70"/>
      <c r="C608" s="72" t="s">
        <v>446</v>
      </c>
      <c r="D608" s="72" t="s">
        <v>452</v>
      </c>
      <c r="E608" s="85">
        <v>1277529.0551643101</v>
      </c>
      <c r="F608" s="85" t="s">
        <v>254</v>
      </c>
      <c r="G608" s="85">
        <v>1118830.8925168437</v>
      </c>
      <c r="H608" s="85" t="s">
        <v>254</v>
      </c>
      <c r="I608" s="85">
        <v>51705.167717405609</v>
      </c>
      <c r="J608" s="85">
        <v>106992.99493006083</v>
      </c>
      <c r="K608" s="85" t="s">
        <v>254</v>
      </c>
      <c r="L608" s="85" t="s">
        <v>254</v>
      </c>
      <c r="M608" s="85">
        <v>3.9314898690887459</v>
      </c>
      <c r="N608" s="85" t="s">
        <v>254</v>
      </c>
      <c r="O608" s="85">
        <v>106989.06344019173</v>
      </c>
      <c r="P608" s="85">
        <v>33205.006026153627</v>
      </c>
      <c r="Q608" s="85">
        <v>73784.057414038107</v>
      </c>
      <c r="R608" s="85"/>
      <c r="S608" s="86"/>
    </row>
    <row r="609" spans="1:19" ht="15">
      <c r="A609" s="70">
        <v>6</v>
      </c>
      <c r="B609" s="70"/>
      <c r="C609" s="72" t="s">
        <v>448</v>
      </c>
      <c r="D609" s="72" t="s">
        <v>315</v>
      </c>
      <c r="E609" s="85">
        <v>21.999999999999954</v>
      </c>
      <c r="F609" s="85" t="s">
        <v>254</v>
      </c>
      <c r="G609" s="85">
        <v>0</v>
      </c>
      <c r="H609" s="85" t="s">
        <v>254</v>
      </c>
      <c r="I609" s="85">
        <v>7.1679586679699145</v>
      </c>
      <c r="J609" s="85">
        <v>14.832041332030039</v>
      </c>
      <c r="K609" s="85" t="s">
        <v>254</v>
      </c>
      <c r="L609" s="85" t="s">
        <v>254</v>
      </c>
      <c r="M609" s="85">
        <v>0</v>
      </c>
      <c r="N609" s="85" t="s">
        <v>254</v>
      </c>
      <c r="O609" s="85">
        <v>14.832041332030039</v>
      </c>
      <c r="P609" s="85">
        <v>4.6032557531969616</v>
      </c>
      <c r="Q609" s="85">
        <v>10.228785578833078</v>
      </c>
      <c r="R609" s="85"/>
      <c r="S609" s="86"/>
    </row>
    <row r="610" spans="1:19" ht="15">
      <c r="A610" s="70">
        <v>7</v>
      </c>
      <c r="B610" s="70"/>
      <c r="C610" s="72" t="s">
        <v>449</v>
      </c>
      <c r="D610" s="72" t="s">
        <v>317</v>
      </c>
      <c r="E610" s="85">
        <v>2759.0000000000036</v>
      </c>
      <c r="F610" s="85" t="s">
        <v>254</v>
      </c>
      <c r="G610" s="85">
        <v>0</v>
      </c>
      <c r="H610" s="85" t="s">
        <v>254</v>
      </c>
      <c r="I610" s="85">
        <v>0</v>
      </c>
      <c r="J610" s="85">
        <v>2759.0000000000036</v>
      </c>
      <c r="K610" s="85" t="s">
        <v>254</v>
      </c>
      <c r="L610" s="85" t="s">
        <v>254</v>
      </c>
      <c r="M610" s="85">
        <v>0</v>
      </c>
      <c r="N610" s="85" t="s">
        <v>254</v>
      </c>
      <c r="O610" s="85">
        <v>2759.0000000000036</v>
      </c>
      <c r="P610" s="85">
        <v>856.28015313332139</v>
      </c>
      <c r="Q610" s="85">
        <v>1902.7198468666825</v>
      </c>
      <c r="R610" s="85"/>
      <c r="S610" s="86"/>
    </row>
    <row r="611" spans="1:19" ht="15">
      <c r="A611" s="70">
        <v>8</v>
      </c>
      <c r="B611" s="70"/>
      <c r="C611" s="72" t="s">
        <v>453</v>
      </c>
      <c r="D611" s="72" t="s">
        <v>254</v>
      </c>
      <c r="E611" s="85">
        <v>1280310.0551643101</v>
      </c>
      <c r="F611" s="85" t="s">
        <v>254</v>
      </c>
      <c r="G611" s="85">
        <v>1118830.8925168437</v>
      </c>
      <c r="H611" s="85" t="s">
        <v>254</v>
      </c>
      <c r="I611" s="85">
        <v>51712.335676073577</v>
      </c>
      <c r="J611" s="85">
        <v>109766.82697139286</v>
      </c>
      <c r="K611" s="85" t="s">
        <v>254</v>
      </c>
      <c r="L611" s="85" t="s">
        <v>254</v>
      </c>
      <c r="M611" s="85">
        <v>3.9314898690887459</v>
      </c>
      <c r="N611" s="85" t="s">
        <v>254</v>
      </c>
      <c r="O611" s="85">
        <v>109762.89548152377</v>
      </c>
      <c r="P611" s="85">
        <v>34065.889435040146</v>
      </c>
      <c r="Q611" s="85">
        <v>75697.006046483613</v>
      </c>
      <c r="R611" s="85"/>
      <c r="S611" s="86"/>
    </row>
    <row r="612" spans="1:19" ht="15">
      <c r="A612" s="70" t="s">
        <v>254</v>
      </c>
      <c r="B612" s="70"/>
      <c r="C612" s="72" t="s">
        <v>254</v>
      </c>
      <c r="D612" s="72" t="s">
        <v>254</v>
      </c>
      <c r="E612" s="85" t="s">
        <v>254</v>
      </c>
      <c r="F612" s="85" t="s">
        <v>254</v>
      </c>
      <c r="G612" s="85" t="s">
        <v>254</v>
      </c>
      <c r="H612" s="85" t="s">
        <v>254</v>
      </c>
      <c r="I612" s="85" t="s">
        <v>254</v>
      </c>
      <c r="J612" s="85" t="s">
        <v>254</v>
      </c>
      <c r="K612" s="85" t="s">
        <v>254</v>
      </c>
      <c r="L612" s="85" t="s">
        <v>254</v>
      </c>
      <c r="M612" s="85" t="s">
        <v>254</v>
      </c>
      <c r="N612" s="85" t="s">
        <v>254</v>
      </c>
      <c r="O612" s="85" t="s">
        <v>254</v>
      </c>
      <c r="P612" s="85" t="s">
        <v>254</v>
      </c>
      <c r="Q612" s="85" t="s">
        <v>254</v>
      </c>
      <c r="R612" s="85"/>
      <c r="S612" s="86"/>
    </row>
    <row r="613" spans="1:19" ht="15">
      <c r="A613" s="70" t="s">
        <v>254</v>
      </c>
      <c r="B613" s="70"/>
      <c r="C613" s="72" t="s">
        <v>454</v>
      </c>
      <c r="D613" s="72" t="s">
        <v>254</v>
      </c>
      <c r="E613" s="85" t="s">
        <v>254</v>
      </c>
      <c r="F613" s="85" t="s">
        <v>254</v>
      </c>
      <c r="G613" s="85" t="s">
        <v>254</v>
      </c>
      <c r="H613" s="85" t="s">
        <v>254</v>
      </c>
      <c r="I613" s="85" t="s">
        <v>254</v>
      </c>
      <c r="J613" s="85" t="s">
        <v>254</v>
      </c>
      <c r="K613" s="85" t="s">
        <v>254</v>
      </c>
      <c r="L613" s="85" t="s">
        <v>254</v>
      </c>
      <c r="M613" s="85" t="s">
        <v>254</v>
      </c>
      <c r="N613" s="85" t="s">
        <v>254</v>
      </c>
      <c r="O613" s="85" t="s">
        <v>254</v>
      </c>
      <c r="P613" s="85" t="s">
        <v>254</v>
      </c>
      <c r="Q613" s="85" t="s">
        <v>254</v>
      </c>
      <c r="R613" s="85"/>
      <c r="S613" s="86"/>
    </row>
    <row r="614" spans="1:19" ht="15">
      <c r="A614" s="70">
        <v>9</v>
      </c>
      <c r="B614" s="70"/>
      <c r="C614" s="72" t="s">
        <v>446</v>
      </c>
      <c r="D614" s="72" t="s">
        <v>455</v>
      </c>
      <c r="E614" s="85">
        <v>40672960.919772714</v>
      </c>
      <c r="F614" s="85" t="s">
        <v>254</v>
      </c>
      <c r="G614" s="85">
        <v>35620454.175360583</v>
      </c>
      <c r="H614" s="85" t="s">
        <v>254</v>
      </c>
      <c r="I614" s="85">
        <v>1646148.287132188</v>
      </c>
      <c r="J614" s="85">
        <v>3406358.4572799429</v>
      </c>
      <c r="K614" s="85" t="s">
        <v>254</v>
      </c>
      <c r="L614" s="85" t="s">
        <v>254</v>
      </c>
      <c r="M614" s="85">
        <v>125.1676689117357</v>
      </c>
      <c r="N614" s="85" t="s">
        <v>254</v>
      </c>
      <c r="O614" s="85">
        <v>3406233.2896110313</v>
      </c>
      <c r="P614" s="85">
        <v>1057154.7527495278</v>
      </c>
      <c r="Q614" s="85">
        <v>2349078.5368615035</v>
      </c>
      <c r="R614" s="85"/>
      <c r="S614" s="86"/>
    </row>
    <row r="615" spans="1:19" ht="15">
      <c r="A615" s="70">
        <v>10</v>
      </c>
      <c r="B615" s="70"/>
      <c r="C615" s="72" t="s">
        <v>448</v>
      </c>
      <c r="D615" s="72" t="s">
        <v>315</v>
      </c>
      <c r="E615" s="85">
        <v>78</v>
      </c>
      <c r="F615" s="85" t="s">
        <v>254</v>
      </c>
      <c r="G615" s="85">
        <v>0</v>
      </c>
      <c r="H615" s="85" t="s">
        <v>254</v>
      </c>
      <c r="I615" s="85">
        <v>25.413671640984298</v>
      </c>
      <c r="J615" s="85">
        <v>52.58632835901571</v>
      </c>
      <c r="K615" s="85" t="s">
        <v>254</v>
      </c>
      <c r="L615" s="85" t="s">
        <v>254</v>
      </c>
      <c r="M615" s="85">
        <v>0</v>
      </c>
      <c r="N615" s="85" t="s">
        <v>254</v>
      </c>
      <c r="O615" s="85">
        <v>52.58632835901571</v>
      </c>
      <c r="P615" s="85">
        <v>16.320634034061992</v>
      </c>
      <c r="Q615" s="85">
        <v>36.265694324953721</v>
      </c>
      <c r="R615" s="85"/>
      <c r="S615" s="86"/>
    </row>
    <row r="616" spans="1:19" ht="15">
      <c r="A616" s="70">
        <v>11</v>
      </c>
      <c r="B616" s="70"/>
      <c r="C616" s="72" t="s">
        <v>449</v>
      </c>
      <c r="D616" s="72" t="s">
        <v>317</v>
      </c>
      <c r="E616" s="85">
        <v>77771.999999999971</v>
      </c>
      <c r="F616" s="85" t="s">
        <v>254</v>
      </c>
      <c r="G616" s="85">
        <v>0</v>
      </c>
      <c r="H616" s="85" t="s">
        <v>254</v>
      </c>
      <c r="I616" s="85">
        <v>0</v>
      </c>
      <c r="J616" s="85">
        <v>77771.999999999971</v>
      </c>
      <c r="K616" s="85" t="s">
        <v>254</v>
      </c>
      <c r="L616" s="85" t="s">
        <v>254</v>
      </c>
      <c r="M616" s="85">
        <v>0</v>
      </c>
      <c r="N616" s="85" t="s">
        <v>254</v>
      </c>
      <c r="O616" s="85">
        <v>77771.999999999971</v>
      </c>
      <c r="P616" s="85">
        <v>24137.230905938588</v>
      </c>
      <c r="Q616" s="85">
        <v>53634.76909406139</v>
      </c>
      <c r="R616" s="85"/>
      <c r="S616" s="86"/>
    </row>
    <row r="617" spans="1:19" ht="15">
      <c r="A617" s="70">
        <v>12</v>
      </c>
      <c r="B617" s="70"/>
      <c r="C617" s="72" t="s">
        <v>456</v>
      </c>
      <c r="D617" s="72" t="s">
        <v>254</v>
      </c>
      <c r="E617" s="85">
        <v>40750810.919772714</v>
      </c>
      <c r="F617" s="85" t="s">
        <v>254</v>
      </c>
      <c r="G617" s="85">
        <v>35620454.175360583</v>
      </c>
      <c r="H617" s="85" t="s">
        <v>254</v>
      </c>
      <c r="I617" s="85">
        <v>1646173.7008038289</v>
      </c>
      <c r="J617" s="85">
        <v>3484183.0436083023</v>
      </c>
      <c r="K617" s="85" t="s">
        <v>254</v>
      </c>
      <c r="L617" s="85" t="s">
        <v>254</v>
      </c>
      <c r="M617" s="85">
        <v>125.1676689117357</v>
      </c>
      <c r="N617" s="85" t="s">
        <v>254</v>
      </c>
      <c r="O617" s="85">
        <v>3484057.8759393906</v>
      </c>
      <c r="P617" s="85">
        <v>1081308.3042895005</v>
      </c>
      <c r="Q617" s="85">
        <v>2402749.5716498899</v>
      </c>
      <c r="R617" s="85"/>
      <c r="S617" s="86"/>
    </row>
    <row r="618" spans="1:19" ht="15">
      <c r="A618" s="70" t="s">
        <v>254</v>
      </c>
      <c r="B618" s="70"/>
      <c r="C618" s="72" t="s">
        <v>254</v>
      </c>
      <c r="D618" s="72" t="s">
        <v>254</v>
      </c>
      <c r="E618" s="85" t="s">
        <v>254</v>
      </c>
      <c r="F618" s="85" t="s">
        <v>254</v>
      </c>
      <c r="G618" s="85" t="s">
        <v>254</v>
      </c>
      <c r="H618" s="85" t="s">
        <v>254</v>
      </c>
      <c r="I618" s="85" t="s">
        <v>254</v>
      </c>
      <c r="J618" s="85" t="s">
        <v>254</v>
      </c>
      <c r="K618" s="85" t="s">
        <v>254</v>
      </c>
      <c r="L618" s="85" t="s">
        <v>254</v>
      </c>
      <c r="M618" s="85" t="s">
        <v>254</v>
      </c>
      <c r="N618" s="85" t="s">
        <v>254</v>
      </c>
      <c r="O618" s="85" t="s">
        <v>254</v>
      </c>
      <c r="P618" s="85" t="s">
        <v>254</v>
      </c>
      <c r="Q618" s="85" t="s">
        <v>254</v>
      </c>
      <c r="R618" s="85"/>
      <c r="S618" s="86"/>
    </row>
    <row r="619" spans="1:19" ht="15">
      <c r="A619" s="70">
        <v>13</v>
      </c>
      <c r="B619" s="70"/>
      <c r="C619" s="72" t="s">
        <v>457</v>
      </c>
      <c r="D619" s="72" t="s">
        <v>254</v>
      </c>
      <c r="E619" s="85">
        <v>214294032.48219392</v>
      </c>
      <c r="F619" s="85" t="s">
        <v>254</v>
      </c>
      <c r="G619" s="85">
        <v>186798976.27885857</v>
      </c>
      <c r="H619" s="85" t="s">
        <v>254</v>
      </c>
      <c r="I619" s="85">
        <v>8747664.2883635517</v>
      </c>
      <c r="J619" s="85">
        <v>18747391.914971791</v>
      </c>
      <c r="K619" s="85" t="s">
        <v>254</v>
      </c>
      <c r="L619" s="85" t="s">
        <v>254</v>
      </c>
      <c r="M619" s="85">
        <v>656.39793082977042</v>
      </c>
      <c r="N619" s="85" t="s">
        <v>254</v>
      </c>
      <c r="O619" s="85">
        <v>18746735.51704096</v>
      </c>
      <c r="P619" s="85">
        <v>5818215.8605587846</v>
      </c>
      <c r="Q619" s="85">
        <v>12928519.656482177</v>
      </c>
      <c r="R619" s="85"/>
      <c r="S619" s="86"/>
    </row>
    <row r="620" spans="1:19" ht="15">
      <c r="A620" s="70" t="s">
        <v>254</v>
      </c>
      <c r="B620" s="70"/>
      <c r="C620" s="72" t="s">
        <v>254</v>
      </c>
      <c r="D620" s="72" t="s">
        <v>254</v>
      </c>
      <c r="E620" s="85" t="s">
        <v>254</v>
      </c>
      <c r="F620" s="85" t="s">
        <v>254</v>
      </c>
      <c r="G620" s="85" t="s">
        <v>254</v>
      </c>
      <c r="H620" s="85" t="s">
        <v>254</v>
      </c>
      <c r="I620" s="85" t="s">
        <v>254</v>
      </c>
      <c r="J620" s="85" t="s">
        <v>254</v>
      </c>
      <c r="K620" s="85" t="s">
        <v>254</v>
      </c>
      <c r="L620" s="85" t="s">
        <v>254</v>
      </c>
      <c r="M620" s="85" t="s">
        <v>254</v>
      </c>
      <c r="N620" s="85" t="s">
        <v>254</v>
      </c>
      <c r="O620" s="85" t="s">
        <v>254</v>
      </c>
      <c r="P620" s="85" t="s">
        <v>254</v>
      </c>
      <c r="Q620" s="85" t="s">
        <v>254</v>
      </c>
      <c r="R620" s="85"/>
      <c r="S620" s="86"/>
    </row>
    <row r="621" spans="1:19" ht="15">
      <c r="A621" s="70" t="s">
        <v>254</v>
      </c>
      <c r="B621" s="70"/>
      <c r="C621" s="72" t="s">
        <v>458</v>
      </c>
      <c r="D621" s="72" t="s">
        <v>254</v>
      </c>
      <c r="E621" s="85" t="s">
        <v>254</v>
      </c>
      <c r="F621" s="85" t="s">
        <v>254</v>
      </c>
      <c r="G621" s="85" t="s">
        <v>254</v>
      </c>
      <c r="H621" s="85" t="s">
        <v>254</v>
      </c>
      <c r="I621" s="85" t="s">
        <v>254</v>
      </c>
      <c r="J621" s="85" t="s">
        <v>254</v>
      </c>
      <c r="K621" s="85" t="s">
        <v>254</v>
      </c>
      <c r="L621" s="85" t="s">
        <v>254</v>
      </c>
      <c r="M621" s="85" t="s">
        <v>254</v>
      </c>
      <c r="N621" s="85" t="s">
        <v>254</v>
      </c>
      <c r="O621" s="85" t="s">
        <v>254</v>
      </c>
      <c r="P621" s="85" t="s">
        <v>254</v>
      </c>
      <c r="Q621" s="85" t="s">
        <v>254</v>
      </c>
      <c r="R621" s="85"/>
      <c r="S621" s="86"/>
    </row>
    <row r="622" spans="1:19" ht="15">
      <c r="A622" s="70">
        <v>14</v>
      </c>
      <c r="B622" s="70"/>
      <c r="C622" s="72" t="s">
        <v>459</v>
      </c>
      <c r="D622" s="72" t="s">
        <v>460</v>
      </c>
      <c r="E622" s="85">
        <v>21142539.272840548</v>
      </c>
      <c r="F622" s="85" t="s">
        <v>254</v>
      </c>
      <c r="G622" s="85">
        <v>20185930.110497635</v>
      </c>
      <c r="H622" s="85" t="s">
        <v>254</v>
      </c>
      <c r="I622" s="85">
        <v>956538.23046191595</v>
      </c>
      <c r="J622" s="85">
        <v>70.931881000381097</v>
      </c>
      <c r="K622" s="85" t="s">
        <v>254</v>
      </c>
      <c r="L622" s="85" t="s">
        <v>254</v>
      </c>
      <c r="M622" s="85">
        <v>70.931881000381097</v>
      </c>
      <c r="N622" s="85" t="s">
        <v>254</v>
      </c>
      <c r="O622" s="85">
        <v>0</v>
      </c>
      <c r="P622" s="85">
        <v>0</v>
      </c>
      <c r="Q622" s="85">
        <v>0</v>
      </c>
      <c r="R622" s="85"/>
      <c r="S622" s="86"/>
    </row>
    <row r="623" spans="1:19" ht="15">
      <c r="A623" s="70">
        <v>15</v>
      </c>
      <c r="B623" s="70"/>
      <c r="C623" s="72" t="s">
        <v>461</v>
      </c>
      <c r="D623" s="72" t="s">
        <v>462</v>
      </c>
      <c r="E623" s="85">
        <v>1397348.0253008001</v>
      </c>
      <c r="F623" s="85" t="s">
        <v>254</v>
      </c>
      <c r="G623" s="85">
        <v>182213.83552902148</v>
      </c>
      <c r="H623" s="85" t="s">
        <v>254</v>
      </c>
      <c r="I623" s="85">
        <v>1215133.5494856967</v>
      </c>
      <c r="J623" s="85">
        <v>0.64028608182122226</v>
      </c>
      <c r="K623" s="85" t="s">
        <v>254</v>
      </c>
      <c r="L623" s="85" t="s">
        <v>254</v>
      </c>
      <c r="M623" s="85">
        <v>0.64028608182122226</v>
      </c>
      <c r="N623" s="85" t="s">
        <v>254</v>
      </c>
      <c r="O623" s="85">
        <v>0</v>
      </c>
      <c r="P623" s="85">
        <v>0</v>
      </c>
      <c r="Q623" s="85">
        <v>0</v>
      </c>
      <c r="R623" s="85"/>
      <c r="S623" s="86"/>
    </row>
    <row r="624" spans="1:19" ht="15">
      <c r="A624" s="70">
        <v>17</v>
      </c>
      <c r="B624" s="70"/>
      <c r="C624" s="72" t="s">
        <v>463</v>
      </c>
      <c r="D624" s="72" t="s">
        <v>315</v>
      </c>
      <c r="E624" s="85">
        <v>55968</v>
      </c>
      <c r="F624" s="85" t="s">
        <v>254</v>
      </c>
      <c r="G624" s="85">
        <v>0</v>
      </c>
      <c r="H624" s="85" t="s">
        <v>254</v>
      </c>
      <c r="I624" s="85">
        <v>18235.286851315501</v>
      </c>
      <c r="J624" s="85">
        <v>37732.713148684503</v>
      </c>
      <c r="K624" s="85" t="s">
        <v>254</v>
      </c>
      <c r="L624" s="85" t="s">
        <v>254</v>
      </c>
      <c r="M624" s="85">
        <v>0</v>
      </c>
      <c r="N624" s="85" t="s">
        <v>254</v>
      </c>
      <c r="O624" s="85">
        <v>37732.713148684503</v>
      </c>
      <c r="P624" s="85">
        <v>11710.682636133095</v>
      </c>
      <c r="Q624" s="85">
        <v>26022.03051255141</v>
      </c>
      <c r="R624" s="85"/>
      <c r="S624" s="86"/>
    </row>
    <row r="625" spans="1:19" ht="15">
      <c r="A625" s="70">
        <v>18</v>
      </c>
      <c r="B625" s="70"/>
      <c r="C625" s="72" t="s">
        <v>464</v>
      </c>
      <c r="D625" s="72" t="s">
        <v>317</v>
      </c>
      <c r="E625" s="85">
        <v>25545</v>
      </c>
      <c r="F625" s="85" t="s">
        <v>254</v>
      </c>
      <c r="G625" s="85">
        <v>0</v>
      </c>
      <c r="H625" s="85" t="s">
        <v>254</v>
      </c>
      <c r="I625" s="85">
        <v>0</v>
      </c>
      <c r="J625" s="85">
        <v>25545</v>
      </c>
      <c r="K625" s="85" t="s">
        <v>254</v>
      </c>
      <c r="L625" s="85" t="s">
        <v>254</v>
      </c>
      <c r="M625" s="85">
        <v>0</v>
      </c>
      <c r="N625" s="85" t="s">
        <v>254</v>
      </c>
      <c r="O625" s="85">
        <v>25545</v>
      </c>
      <c r="P625" s="85">
        <v>7928.1176193514548</v>
      </c>
      <c r="Q625" s="85">
        <v>17616.882380648545</v>
      </c>
      <c r="R625" s="85"/>
      <c r="S625" s="86"/>
    </row>
    <row r="626" spans="1:19" ht="15">
      <c r="A626" s="70">
        <v>19</v>
      </c>
      <c r="B626" s="70"/>
      <c r="C626" s="72" t="s">
        <v>465</v>
      </c>
      <c r="D626" s="72" t="s">
        <v>254</v>
      </c>
      <c r="E626" s="85">
        <v>22621400.298141353</v>
      </c>
      <c r="F626" s="85" t="s">
        <v>254</v>
      </c>
      <c r="G626" s="85">
        <v>20368143.946026657</v>
      </c>
      <c r="H626" s="85" t="s">
        <v>254</v>
      </c>
      <c r="I626" s="85">
        <v>2189907.0667989277</v>
      </c>
      <c r="J626" s="85">
        <v>63349.285315766712</v>
      </c>
      <c r="K626" s="85" t="s">
        <v>254</v>
      </c>
      <c r="L626" s="85" t="s">
        <v>254</v>
      </c>
      <c r="M626" s="85">
        <v>71.572167082202313</v>
      </c>
      <c r="N626" s="85" t="s">
        <v>254</v>
      </c>
      <c r="O626" s="85">
        <v>63277.71314868451</v>
      </c>
      <c r="P626" s="85">
        <v>19638.800255484552</v>
      </c>
      <c r="Q626" s="85">
        <v>43638.912893199958</v>
      </c>
      <c r="R626" s="85"/>
      <c r="S626" s="86"/>
    </row>
    <row r="627" spans="1:19" ht="15">
      <c r="A627" s="70" t="s">
        <v>254</v>
      </c>
      <c r="B627" s="70"/>
      <c r="C627" s="72" t="s">
        <v>254</v>
      </c>
      <c r="D627" s="72" t="s">
        <v>254</v>
      </c>
      <c r="E627" s="85" t="s">
        <v>254</v>
      </c>
      <c r="F627" s="85" t="s">
        <v>254</v>
      </c>
      <c r="G627" s="85" t="s">
        <v>254</v>
      </c>
      <c r="H627" s="85" t="s">
        <v>254</v>
      </c>
      <c r="I627" s="85" t="s">
        <v>254</v>
      </c>
      <c r="J627" s="85" t="s">
        <v>254</v>
      </c>
      <c r="K627" s="85" t="s">
        <v>254</v>
      </c>
      <c r="L627" s="85" t="s">
        <v>254</v>
      </c>
      <c r="M627" s="85" t="s">
        <v>254</v>
      </c>
      <c r="N627" s="85" t="s">
        <v>254</v>
      </c>
      <c r="O627" s="85" t="s">
        <v>254</v>
      </c>
      <c r="P627" s="85" t="s">
        <v>254</v>
      </c>
      <c r="Q627" s="85" t="s">
        <v>254</v>
      </c>
      <c r="R627" s="85"/>
      <c r="S627" s="86"/>
    </row>
    <row r="628" spans="1:19" ht="15">
      <c r="A628" s="70" t="s">
        <v>254</v>
      </c>
      <c r="B628" s="70"/>
      <c r="C628" s="72" t="s">
        <v>749</v>
      </c>
      <c r="D628" s="72" t="s">
        <v>254</v>
      </c>
      <c r="E628" s="85" t="s">
        <v>254</v>
      </c>
      <c r="F628" s="85" t="s">
        <v>254</v>
      </c>
      <c r="G628" s="85" t="s">
        <v>254</v>
      </c>
      <c r="H628" s="85" t="s">
        <v>254</v>
      </c>
      <c r="I628" s="85" t="s">
        <v>254</v>
      </c>
      <c r="J628" s="85" t="s">
        <v>254</v>
      </c>
      <c r="K628" s="85" t="s">
        <v>254</v>
      </c>
      <c r="L628" s="85" t="s">
        <v>254</v>
      </c>
      <c r="M628" s="85" t="s">
        <v>254</v>
      </c>
      <c r="N628" s="85" t="s">
        <v>254</v>
      </c>
      <c r="O628" s="85" t="s">
        <v>254</v>
      </c>
      <c r="P628" s="85" t="s">
        <v>254</v>
      </c>
      <c r="Q628" s="85" t="s">
        <v>254</v>
      </c>
      <c r="R628" s="85"/>
      <c r="S628" s="86"/>
    </row>
    <row r="629" spans="1:19" ht="15">
      <c r="A629" s="70">
        <v>20</v>
      </c>
      <c r="B629" s="70"/>
      <c r="C629" s="72" t="s">
        <v>750</v>
      </c>
      <c r="D629" s="72" t="s">
        <v>751</v>
      </c>
      <c r="E629" s="85">
        <v>43166520.987306178</v>
      </c>
      <c r="F629" s="85" t="s">
        <v>254</v>
      </c>
      <c r="G629" s="85">
        <v>43044392.604235888</v>
      </c>
      <c r="H629" s="85" t="s">
        <v>254</v>
      </c>
      <c r="I629" s="85">
        <v>0</v>
      </c>
      <c r="J629" s="85">
        <v>122128.38307029039</v>
      </c>
      <c r="K629" s="85" t="s">
        <v>254</v>
      </c>
      <c r="L629" s="85" t="s">
        <v>254</v>
      </c>
      <c r="M629" s="85">
        <v>0</v>
      </c>
      <c r="N629" s="85" t="s">
        <v>254</v>
      </c>
      <c r="O629" s="85">
        <v>122128.38307029039</v>
      </c>
      <c r="P629" s="85">
        <v>105860.10056973965</v>
      </c>
      <c r="Q629" s="85">
        <v>16268.282500550746</v>
      </c>
      <c r="R629" s="85"/>
      <c r="S629" s="86"/>
    </row>
    <row r="630" spans="1:19" ht="15">
      <c r="A630" s="70">
        <v>21</v>
      </c>
      <c r="B630" s="70"/>
      <c r="C630" s="72" t="s">
        <v>752</v>
      </c>
      <c r="D630" s="72" t="s">
        <v>753</v>
      </c>
      <c r="E630" s="85">
        <v>2400859.7926289593</v>
      </c>
      <c r="F630" s="85" t="s">
        <v>254</v>
      </c>
      <c r="G630" s="85">
        <v>0</v>
      </c>
      <c r="H630" s="85" t="s">
        <v>254</v>
      </c>
      <c r="I630" s="85">
        <v>2400859.7926289593</v>
      </c>
      <c r="J630" s="85">
        <v>0</v>
      </c>
      <c r="K630" s="85" t="s">
        <v>254</v>
      </c>
      <c r="L630" s="85" t="s">
        <v>254</v>
      </c>
      <c r="M630" s="85">
        <v>0</v>
      </c>
      <c r="N630" s="85" t="s">
        <v>254</v>
      </c>
      <c r="O630" s="85">
        <v>0</v>
      </c>
      <c r="P630" s="85">
        <v>0</v>
      </c>
      <c r="Q630" s="85">
        <v>0</v>
      </c>
      <c r="R630" s="85"/>
      <c r="S630" s="86"/>
    </row>
    <row r="631" spans="1:19" ht="15">
      <c r="A631" s="70">
        <v>22</v>
      </c>
      <c r="B631" s="70"/>
      <c r="C631" s="72" t="s">
        <v>754</v>
      </c>
      <c r="D631" s="72" t="s">
        <v>755</v>
      </c>
      <c r="E631" s="85">
        <v>4272.6100175880001</v>
      </c>
      <c r="F631" s="85" t="s">
        <v>254</v>
      </c>
      <c r="G631" s="85">
        <v>0</v>
      </c>
      <c r="H631" s="85" t="s">
        <v>254</v>
      </c>
      <c r="I631" s="85">
        <v>0</v>
      </c>
      <c r="J631" s="85">
        <v>4272.6100175880001</v>
      </c>
      <c r="K631" s="85" t="s">
        <v>254</v>
      </c>
      <c r="L631" s="85" t="s">
        <v>254</v>
      </c>
      <c r="M631" s="85">
        <v>4272.6100175880001</v>
      </c>
      <c r="N631" s="85" t="s">
        <v>254</v>
      </c>
      <c r="O631" s="85">
        <v>0</v>
      </c>
      <c r="P631" s="85">
        <v>0</v>
      </c>
      <c r="Q631" s="85">
        <v>0</v>
      </c>
      <c r="R631" s="85"/>
      <c r="S631" s="86"/>
    </row>
    <row r="632" spans="1:19" ht="15">
      <c r="A632" s="70">
        <v>23</v>
      </c>
      <c r="B632" s="70"/>
      <c r="C632" s="72" t="s">
        <v>470</v>
      </c>
      <c r="D632" s="72" t="s">
        <v>254</v>
      </c>
      <c r="E632" s="85">
        <v>45571653.389952727</v>
      </c>
      <c r="F632" s="85" t="s">
        <v>254</v>
      </c>
      <c r="G632" s="85">
        <v>43044392.604235888</v>
      </c>
      <c r="H632" s="85" t="s">
        <v>254</v>
      </c>
      <c r="I632" s="85">
        <v>2400859.7926289593</v>
      </c>
      <c r="J632" s="85">
        <v>126400.99308787839</v>
      </c>
      <c r="K632" s="85" t="s">
        <v>254</v>
      </c>
      <c r="L632" s="85" t="s">
        <v>254</v>
      </c>
      <c r="M632" s="85">
        <v>4272.6100175880001</v>
      </c>
      <c r="N632" s="85" t="s">
        <v>254</v>
      </c>
      <c r="O632" s="85">
        <v>122128.38307029039</v>
      </c>
      <c r="P632" s="85">
        <v>105860.10056973965</v>
      </c>
      <c r="Q632" s="85">
        <v>16268.282500550746</v>
      </c>
      <c r="R632" s="85"/>
      <c r="S632" s="86"/>
    </row>
    <row r="633" spans="1:19" ht="15">
      <c r="A633" s="70" t="s">
        <v>254</v>
      </c>
      <c r="B633" s="70"/>
      <c r="C633" s="72" t="s">
        <v>254</v>
      </c>
      <c r="D633" s="72" t="s">
        <v>254</v>
      </c>
      <c r="E633" s="85" t="s">
        <v>254</v>
      </c>
      <c r="F633" s="85" t="s">
        <v>254</v>
      </c>
      <c r="G633" s="85" t="s">
        <v>254</v>
      </c>
      <c r="H633" s="85" t="s">
        <v>254</v>
      </c>
      <c r="I633" s="85" t="s">
        <v>254</v>
      </c>
      <c r="J633" s="85" t="s">
        <v>254</v>
      </c>
      <c r="K633" s="85" t="s">
        <v>254</v>
      </c>
      <c r="L633" s="85" t="s">
        <v>254</v>
      </c>
      <c r="M633" s="85" t="s">
        <v>254</v>
      </c>
      <c r="N633" s="85" t="s">
        <v>254</v>
      </c>
      <c r="O633" s="85" t="s">
        <v>254</v>
      </c>
      <c r="P633" s="85" t="s">
        <v>254</v>
      </c>
      <c r="Q633" s="85" t="s">
        <v>254</v>
      </c>
      <c r="R633" s="85"/>
      <c r="S633" s="86"/>
    </row>
    <row r="634" spans="1:19" ht="15">
      <c r="A634" s="70">
        <v>24</v>
      </c>
      <c r="B634" s="70"/>
      <c r="C634" s="72" t="s">
        <v>420</v>
      </c>
      <c r="D634" s="72" t="s">
        <v>471</v>
      </c>
      <c r="E634" s="85">
        <v>12799499.766819293</v>
      </c>
      <c r="F634" s="85" t="s">
        <v>254</v>
      </c>
      <c r="G634" s="85">
        <v>11631104.926124556</v>
      </c>
      <c r="H634" s="85" t="s">
        <v>254</v>
      </c>
      <c r="I634" s="85">
        <v>569399.65643904789</v>
      </c>
      <c r="J634" s="85">
        <v>598995.18425568868</v>
      </c>
      <c r="K634" s="85" t="s">
        <v>254</v>
      </c>
      <c r="L634" s="85" t="s">
        <v>254</v>
      </c>
      <c r="M634" s="85">
        <v>273.27733922645837</v>
      </c>
      <c r="N634" s="85" t="s">
        <v>254</v>
      </c>
      <c r="O634" s="85">
        <v>598721.90691646223</v>
      </c>
      <c r="P634" s="85">
        <v>191136.30107582643</v>
      </c>
      <c r="Q634" s="85">
        <v>407585.60584063578</v>
      </c>
      <c r="R634" s="85"/>
      <c r="S634" s="86"/>
    </row>
    <row r="635" spans="1:19" ht="15">
      <c r="A635" s="70" t="s">
        <v>254</v>
      </c>
      <c r="B635" s="70"/>
      <c r="C635" s="72" t="s">
        <v>254</v>
      </c>
      <c r="D635" s="72" t="s">
        <v>254</v>
      </c>
      <c r="E635" s="85" t="s">
        <v>254</v>
      </c>
      <c r="F635" s="85" t="s">
        <v>254</v>
      </c>
      <c r="G635" s="85" t="s">
        <v>254</v>
      </c>
      <c r="H635" s="85" t="s">
        <v>254</v>
      </c>
      <c r="I635" s="85" t="s">
        <v>254</v>
      </c>
      <c r="J635" s="85" t="s">
        <v>254</v>
      </c>
      <c r="K635" s="85" t="s">
        <v>254</v>
      </c>
      <c r="L635" s="85" t="s">
        <v>254</v>
      </c>
      <c r="M635" s="85" t="s">
        <v>254</v>
      </c>
      <c r="N635" s="85" t="s">
        <v>254</v>
      </c>
      <c r="O635" s="85" t="s">
        <v>254</v>
      </c>
      <c r="P635" s="85" t="s">
        <v>254</v>
      </c>
      <c r="Q635" s="85" t="s">
        <v>254</v>
      </c>
      <c r="R635" s="85"/>
      <c r="S635" s="86"/>
    </row>
    <row r="636" spans="1:19" ht="15">
      <c r="A636" s="70">
        <v>25</v>
      </c>
      <c r="B636" s="70"/>
      <c r="C636" s="72" t="s">
        <v>474</v>
      </c>
      <c r="D636" s="72" t="s">
        <v>475</v>
      </c>
      <c r="E636" s="85">
        <v>18435783.763599981</v>
      </c>
      <c r="F636" s="85" t="s">
        <v>254</v>
      </c>
      <c r="G636" s="85">
        <v>16377733.930414284</v>
      </c>
      <c r="H636" s="85" t="s">
        <v>254</v>
      </c>
      <c r="I636" s="85">
        <v>911350.05125535338</v>
      </c>
      <c r="J636" s="85">
        <v>1146699.7819303416</v>
      </c>
      <c r="K636" s="85" t="s">
        <v>254</v>
      </c>
      <c r="L636" s="85" t="s">
        <v>254</v>
      </c>
      <c r="M636" s="85">
        <v>398.9996292799176</v>
      </c>
      <c r="N636" s="85" t="s">
        <v>254</v>
      </c>
      <c r="O636" s="85">
        <v>1146300.7823010618</v>
      </c>
      <c r="P636" s="85">
        <v>361296.44506930612</v>
      </c>
      <c r="Q636" s="85">
        <v>785004.33723175561</v>
      </c>
      <c r="R636" s="85"/>
      <c r="S636" s="86"/>
    </row>
    <row r="637" spans="1:19" ht="15">
      <c r="A637" s="70" t="s">
        <v>254</v>
      </c>
      <c r="B637" s="70"/>
      <c r="C637" s="72" t="s">
        <v>254</v>
      </c>
      <c r="D637" s="72" t="s">
        <v>254</v>
      </c>
      <c r="E637" s="85" t="s">
        <v>254</v>
      </c>
      <c r="F637" s="85" t="s">
        <v>254</v>
      </c>
      <c r="G637" s="85" t="s">
        <v>254</v>
      </c>
      <c r="H637" s="85" t="s">
        <v>254</v>
      </c>
      <c r="I637" s="85" t="s">
        <v>254</v>
      </c>
      <c r="J637" s="85" t="s">
        <v>254</v>
      </c>
      <c r="K637" s="85" t="s">
        <v>254</v>
      </c>
      <c r="L637" s="85" t="s">
        <v>254</v>
      </c>
      <c r="M637" s="85" t="s">
        <v>254</v>
      </c>
      <c r="N637" s="85" t="s">
        <v>254</v>
      </c>
      <c r="O637" s="85" t="s">
        <v>254</v>
      </c>
      <c r="P637" s="85" t="s">
        <v>254</v>
      </c>
      <c r="Q637" s="85" t="s">
        <v>254</v>
      </c>
      <c r="R637" s="85"/>
      <c r="S637" s="86"/>
    </row>
    <row r="638" spans="1:19" ht="15">
      <c r="A638" s="70">
        <v>26</v>
      </c>
      <c r="B638" s="70"/>
      <c r="C638" s="72" t="s">
        <v>472</v>
      </c>
      <c r="D638" s="72" t="s">
        <v>473</v>
      </c>
      <c r="E638" s="85">
        <v>2029.8535296</v>
      </c>
      <c r="F638" s="85" t="s">
        <v>254</v>
      </c>
      <c r="G638" s="85">
        <v>2029.8535296</v>
      </c>
      <c r="H638" s="85" t="s">
        <v>254</v>
      </c>
      <c r="I638" s="85">
        <v>0</v>
      </c>
      <c r="J638" s="85">
        <v>0</v>
      </c>
      <c r="K638" s="85" t="s">
        <v>254</v>
      </c>
      <c r="L638" s="85" t="s">
        <v>254</v>
      </c>
      <c r="M638" s="85">
        <v>0</v>
      </c>
      <c r="N638" s="85" t="s">
        <v>254</v>
      </c>
      <c r="O638" s="85">
        <v>0</v>
      </c>
      <c r="P638" s="85">
        <v>0</v>
      </c>
      <c r="Q638" s="85">
        <v>0</v>
      </c>
      <c r="R638" s="85"/>
      <c r="S638" s="86"/>
    </row>
    <row r="639" spans="1:19" ht="15">
      <c r="A639" s="70" t="s">
        <v>254</v>
      </c>
      <c r="B639" s="70"/>
      <c r="C639" s="72" t="s">
        <v>254</v>
      </c>
      <c r="D639" s="72" t="s">
        <v>254</v>
      </c>
      <c r="E639" s="85" t="s">
        <v>254</v>
      </c>
      <c r="F639" s="85" t="s">
        <v>254</v>
      </c>
      <c r="G639" s="85" t="s">
        <v>254</v>
      </c>
      <c r="H639" s="85" t="s">
        <v>254</v>
      </c>
      <c r="I639" s="85" t="s">
        <v>254</v>
      </c>
      <c r="J639" s="85" t="s">
        <v>254</v>
      </c>
      <c r="K639" s="85" t="s">
        <v>254</v>
      </c>
      <c r="L639" s="85" t="s">
        <v>254</v>
      </c>
      <c r="M639" s="85" t="s">
        <v>254</v>
      </c>
      <c r="N639" s="85" t="s">
        <v>254</v>
      </c>
      <c r="O639" s="85" t="s">
        <v>254</v>
      </c>
      <c r="P639" s="85" t="s">
        <v>254</v>
      </c>
      <c r="Q639" s="85" t="s">
        <v>254</v>
      </c>
      <c r="R639" s="85"/>
      <c r="S639" s="86"/>
    </row>
    <row r="640" spans="1:19" ht="15">
      <c r="A640" s="70">
        <v>27</v>
      </c>
      <c r="B640" s="70"/>
      <c r="C640" s="72" t="s">
        <v>756</v>
      </c>
      <c r="D640" s="72" t="s">
        <v>254</v>
      </c>
      <c r="E640" s="85">
        <v>313724399.55423689</v>
      </c>
      <c r="F640" s="85" t="s">
        <v>254</v>
      </c>
      <c r="G640" s="85">
        <v>278222381.53918958</v>
      </c>
      <c r="H640" s="85" t="s">
        <v>254</v>
      </c>
      <c r="I640" s="85">
        <v>14819180.855485838</v>
      </c>
      <c r="J640" s="85">
        <v>20682837.159561466</v>
      </c>
      <c r="K640" s="85" t="s">
        <v>254</v>
      </c>
      <c r="L640" s="85" t="s">
        <v>254</v>
      </c>
      <c r="M640" s="85">
        <v>5672.8570840063485</v>
      </c>
      <c r="N640" s="85" t="s">
        <v>254</v>
      </c>
      <c r="O640" s="85">
        <v>20677164.30247746</v>
      </c>
      <c r="P640" s="85">
        <v>6496147.5075291423</v>
      </c>
      <c r="Q640" s="85">
        <v>14181016.794948319</v>
      </c>
      <c r="R640" s="85"/>
      <c r="S640" s="86"/>
    </row>
    <row r="641" spans="1:19" ht="15">
      <c r="A641" s="70" t="s">
        <v>254</v>
      </c>
      <c r="B641" s="70"/>
      <c r="C641" s="72" t="s">
        <v>254</v>
      </c>
      <c r="D641" s="72" t="s">
        <v>254</v>
      </c>
      <c r="E641" s="85" t="s">
        <v>254</v>
      </c>
      <c r="F641" s="85" t="s">
        <v>254</v>
      </c>
      <c r="G641" s="85" t="s">
        <v>254</v>
      </c>
      <c r="H641" s="85" t="s">
        <v>254</v>
      </c>
      <c r="I641" s="85" t="s">
        <v>254</v>
      </c>
      <c r="J641" s="85" t="s">
        <v>254</v>
      </c>
      <c r="K641" s="85" t="s">
        <v>254</v>
      </c>
      <c r="L641" s="85" t="s">
        <v>254</v>
      </c>
      <c r="M641" s="85" t="s">
        <v>254</v>
      </c>
      <c r="N641" s="85" t="s">
        <v>254</v>
      </c>
      <c r="O641" s="85" t="s">
        <v>254</v>
      </c>
      <c r="P641" s="85" t="s">
        <v>254</v>
      </c>
      <c r="Q641" s="85" t="s">
        <v>254</v>
      </c>
      <c r="R641" s="85"/>
      <c r="S641" s="86"/>
    </row>
    <row r="642" spans="1:19" ht="15">
      <c r="A642" s="70" t="s">
        <v>254</v>
      </c>
      <c r="B642" s="70"/>
      <c r="C642" s="72" t="s">
        <v>254</v>
      </c>
      <c r="D642" s="72" t="s">
        <v>254</v>
      </c>
      <c r="E642" s="85" t="s">
        <v>254</v>
      </c>
      <c r="F642" s="85" t="s">
        <v>254</v>
      </c>
      <c r="G642" s="85" t="s">
        <v>254</v>
      </c>
      <c r="H642" s="85" t="s">
        <v>254</v>
      </c>
      <c r="I642" s="85" t="s">
        <v>254</v>
      </c>
      <c r="J642" s="85" t="s">
        <v>254</v>
      </c>
      <c r="K642" s="85" t="s">
        <v>254</v>
      </c>
      <c r="L642" s="85" t="s">
        <v>254</v>
      </c>
      <c r="M642" s="85" t="s">
        <v>254</v>
      </c>
      <c r="N642" s="85" t="s">
        <v>254</v>
      </c>
      <c r="O642" s="85" t="s">
        <v>254</v>
      </c>
      <c r="P642" s="85" t="s">
        <v>254</v>
      </c>
      <c r="Q642" s="85" t="s">
        <v>254</v>
      </c>
      <c r="R642" s="85"/>
      <c r="S642" s="86"/>
    </row>
    <row r="643" spans="1:19" ht="15">
      <c r="A643" s="70" t="s">
        <v>254</v>
      </c>
      <c r="B643" s="70"/>
      <c r="C643" s="72" t="s">
        <v>2445</v>
      </c>
      <c r="D643" s="72" t="s">
        <v>254</v>
      </c>
      <c r="E643" s="85" t="s">
        <v>254</v>
      </c>
      <c r="F643" s="85" t="s">
        <v>254</v>
      </c>
      <c r="G643" s="85" t="s">
        <v>254</v>
      </c>
      <c r="H643" s="85" t="s">
        <v>254</v>
      </c>
      <c r="I643" s="85" t="s">
        <v>254</v>
      </c>
      <c r="J643" s="85" t="s">
        <v>254</v>
      </c>
      <c r="K643" s="85" t="s">
        <v>254</v>
      </c>
      <c r="L643" s="85" t="s">
        <v>254</v>
      </c>
      <c r="M643" s="85" t="s">
        <v>254</v>
      </c>
      <c r="N643" s="85" t="s">
        <v>254</v>
      </c>
      <c r="O643" s="85" t="s">
        <v>254</v>
      </c>
      <c r="P643" s="85" t="s">
        <v>254</v>
      </c>
      <c r="Q643" s="85" t="s">
        <v>254</v>
      </c>
      <c r="R643" s="85"/>
      <c r="S643" s="86"/>
    </row>
    <row r="644" spans="1:19" ht="15">
      <c r="A644" s="70" t="s">
        <v>254</v>
      </c>
      <c r="B644" s="70"/>
      <c r="C644" s="72" t="s">
        <v>254</v>
      </c>
      <c r="D644" s="72" t="s">
        <v>254</v>
      </c>
      <c r="E644" s="85" t="s">
        <v>254</v>
      </c>
      <c r="F644" s="85" t="s">
        <v>254</v>
      </c>
      <c r="G644" s="85" t="s">
        <v>254</v>
      </c>
      <c r="H644" s="85" t="s">
        <v>254</v>
      </c>
      <c r="I644" s="85" t="s">
        <v>254</v>
      </c>
      <c r="J644" s="85" t="s">
        <v>254</v>
      </c>
      <c r="K644" s="85" t="s">
        <v>254</v>
      </c>
      <c r="L644" s="85" t="s">
        <v>254</v>
      </c>
      <c r="M644" s="85" t="s">
        <v>254</v>
      </c>
      <c r="N644" s="85" t="s">
        <v>254</v>
      </c>
      <c r="O644" s="85" t="s">
        <v>254</v>
      </c>
      <c r="P644" s="85" t="s">
        <v>254</v>
      </c>
      <c r="Q644" s="85" t="s">
        <v>254</v>
      </c>
      <c r="R644" s="85"/>
      <c r="S644" s="86"/>
    </row>
    <row r="645" spans="1:19" ht="15">
      <c r="A645" s="70" t="s">
        <v>254</v>
      </c>
      <c r="B645" s="70"/>
      <c r="C645" s="72" t="s">
        <v>2446</v>
      </c>
      <c r="D645" s="72" t="s">
        <v>254</v>
      </c>
      <c r="E645" s="85" t="s">
        <v>254</v>
      </c>
      <c r="F645" s="85" t="s">
        <v>254</v>
      </c>
      <c r="G645" s="85" t="s">
        <v>254</v>
      </c>
      <c r="H645" s="85" t="s">
        <v>254</v>
      </c>
      <c r="I645" s="85" t="s">
        <v>254</v>
      </c>
      <c r="J645" s="85" t="s">
        <v>254</v>
      </c>
      <c r="K645" s="85" t="s">
        <v>254</v>
      </c>
      <c r="L645" s="85" t="s">
        <v>254</v>
      </c>
      <c r="M645" s="85" t="s">
        <v>254</v>
      </c>
      <c r="N645" s="85" t="s">
        <v>254</v>
      </c>
      <c r="O645" s="85" t="s">
        <v>254</v>
      </c>
      <c r="P645" s="85" t="s">
        <v>254</v>
      </c>
      <c r="Q645" s="85" t="s">
        <v>254</v>
      </c>
      <c r="R645" s="85"/>
      <c r="S645" s="86"/>
    </row>
    <row r="646" spans="1:19" ht="15">
      <c r="A646" s="70" t="s">
        <v>254</v>
      </c>
      <c r="B646" s="70"/>
      <c r="C646" s="72" t="s">
        <v>254</v>
      </c>
      <c r="D646" s="72" t="s">
        <v>254</v>
      </c>
      <c r="E646" s="85" t="s">
        <v>254</v>
      </c>
      <c r="F646" s="85" t="s">
        <v>254</v>
      </c>
      <c r="G646" s="85" t="s">
        <v>254</v>
      </c>
      <c r="H646" s="85" t="s">
        <v>254</v>
      </c>
      <c r="I646" s="85" t="s">
        <v>254</v>
      </c>
      <c r="J646" s="85" t="s">
        <v>254</v>
      </c>
      <c r="K646" s="85" t="s">
        <v>254</v>
      </c>
      <c r="L646" s="85" t="s">
        <v>254</v>
      </c>
      <c r="M646" s="85" t="s">
        <v>254</v>
      </c>
      <c r="N646" s="85" t="s">
        <v>254</v>
      </c>
      <c r="O646" s="85" t="s">
        <v>254</v>
      </c>
      <c r="P646" s="85" t="s">
        <v>254</v>
      </c>
      <c r="Q646" s="85" t="s">
        <v>254</v>
      </c>
      <c r="R646" s="85"/>
      <c r="S646" s="86"/>
    </row>
    <row r="647" spans="1:19" ht="15">
      <c r="A647" s="70" t="s">
        <v>254</v>
      </c>
      <c r="B647" s="70"/>
      <c r="C647" s="72" t="s">
        <v>444</v>
      </c>
      <c r="D647" s="72" t="s">
        <v>254</v>
      </c>
      <c r="E647" s="85" t="s">
        <v>254</v>
      </c>
      <c r="F647" s="85" t="s">
        <v>254</v>
      </c>
      <c r="G647" s="85" t="s">
        <v>254</v>
      </c>
      <c r="H647" s="85" t="s">
        <v>254</v>
      </c>
      <c r="I647" s="85" t="s">
        <v>254</v>
      </c>
      <c r="J647" s="85" t="s">
        <v>254</v>
      </c>
      <c r="K647" s="85" t="s">
        <v>254</v>
      </c>
      <c r="L647" s="85" t="s">
        <v>254</v>
      </c>
      <c r="M647" s="85" t="s">
        <v>254</v>
      </c>
      <c r="N647" s="85" t="s">
        <v>254</v>
      </c>
      <c r="O647" s="85" t="s">
        <v>254</v>
      </c>
      <c r="P647" s="85" t="s">
        <v>254</v>
      </c>
      <c r="Q647" s="85" t="s">
        <v>254</v>
      </c>
      <c r="R647" s="85"/>
      <c r="S647" s="86"/>
    </row>
    <row r="648" spans="1:19" ht="15">
      <c r="A648" s="70">
        <v>1</v>
      </c>
      <c r="B648" s="70"/>
      <c r="C648" s="72" t="s">
        <v>445</v>
      </c>
      <c r="D648" s="72" t="s">
        <v>737</v>
      </c>
      <c r="E648" s="85">
        <v>1781349.4960150376</v>
      </c>
      <c r="F648" s="85" t="s">
        <v>254</v>
      </c>
      <c r="G648" s="85">
        <v>1629582.8909282801</v>
      </c>
      <c r="H648" s="85" t="s">
        <v>254</v>
      </c>
      <c r="I648" s="85">
        <v>50948.295548525602</v>
      </c>
      <c r="J648" s="85">
        <v>100818.309538232</v>
      </c>
      <c r="K648" s="85" t="s">
        <v>254</v>
      </c>
      <c r="L648" s="85" t="s">
        <v>254</v>
      </c>
      <c r="M648" s="85">
        <v>0</v>
      </c>
      <c r="N648" s="85" t="s">
        <v>254</v>
      </c>
      <c r="O648" s="85">
        <v>100818.309538232</v>
      </c>
      <c r="P648" s="85">
        <v>31356.79007488702</v>
      </c>
      <c r="Q648" s="85">
        <v>69461.519463344986</v>
      </c>
      <c r="R648" s="85"/>
      <c r="S648" s="86"/>
    </row>
    <row r="649" spans="1:19" ht="15">
      <c r="A649" s="70">
        <v>2</v>
      </c>
      <c r="B649" s="70"/>
      <c r="C649" s="72" t="s">
        <v>451</v>
      </c>
      <c r="D649" s="72" t="s">
        <v>452</v>
      </c>
      <c r="E649" s="85">
        <v>0</v>
      </c>
      <c r="F649" s="85" t="s">
        <v>254</v>
      </c>
      <c r="G649" s="85">
        <v>0</v>
      </c>
      <c r="H649" s="85" t="s">
        <v>254</v>
      </c>
      <c r="I649" s="85">
        <v>0</v>
      </c>
      <c r="J649" s="85">
        <v>0</v>
      </c>
      <c r="K649" s="85" t="s">
        <v>254</v>
      </c>
      <c r="L649" s="85" t="s">
        <v>254</v>
      </c>
      <c r="M649" s="85">
        <v>0</v>
      </c>
      <c r="N649" s="85" t="s">
        <v>254</v>
      </c>
      <c r="O649" s="85">
        <v>0</v>
      </c>
      <c r="P649" s="85">
        <v>0</v>
      </c>
      <c r="Q649" s="85">
        <v>0</v>
      </c>
      <c r="R649" s="85"/>
      <c r="S649" s="86"/>
    </row>
    <row r="650" spans="1:19" ht="15">
      <c r="A650" s="70">
        <v>3</v>
      </c>
      <c r="B650" s="70"/>
      <c r="C650" s="72" t="s">
        <v>454</v>
      </c>
      <c r="D650" s="72" t="s">
        <v>455</v>
      </c>
      <c r="E650" s="85">
        <v>0</v>
      </c>
      <c r="F650" s="85" t="s">
        <v>254</v>
      </c>
      <c r="G650" s="85">
        <v>0</v>
      </c>
      <c r="H650" s="85" t="s">
        <v>254</v>
      </c>
      <c r="I650" s="85">
        <v>0</v>
      </c>
      <c r="J650" s="85">
        <v>0</v>
      </c>
      <c r="K650" s="85" t="s">
        <v>254</v>
      </c>
      <c r="L650" s="85" t="s">
        <v>254</v>
      </c>
      <c r="M650" s="85">
        <v>0</v>
      </c>
      <c r="N650" s="85" t="s">
        <v>254</v>
      </c>
      <c r="O650" s="85">
        <v>0</v>
      </c>
      <c r="P650" s="85">
        <v>0</v>
      </c>
      <c r="Q650" s="85">
        <v>0</v>
      </c>
      <c r="R650" s="85"/>
      <c r="S650" s="86"/>
    </row>
    <row r="651" spans="1:19" ht="15">
      <c r="A651" s="70" t="s">
        <v>254</v>
      </c>
      <c r="B651" s="70"/>
      <c r="C651" s="72" t="s">
        <v>254</v>
      </c>
      <c r="D651" s="72" t="s">
        <v>254</v>
      </c>
      <c r="E651" s="85" t="s">
        <v>254</v>
      </c>
      <c r="F651" s="85" t="s">
        <v>254</v>
      </c>
      <c r="G651" s="85" t="s">
        <v>254</v>
      </c>
      <c r="H651" s="85" t="s">
        <v>254</v>
      </c>
      <c r="I651" s="85" t="s">
        <v>254</v>
      </c>
      <c r="J651" s="85" t="s">
        <v>254</v>
      </c>
      <c r="K651" s="85" t="s">
        <v>254</v>
      </c>
      <c r="L651" s="85" t="s">
        <v>254</v>
      </c>
      <c r="M651" s="85" t="s">
        <v>254</v>
      </c>
      <c r="N651" s="85" t="s">
        <v>254</v>
      </c>
      <c r="O651" s="85" t="s">
        <v>254</v>
      </c>
      <c r="P651" s="85" t="s">
        <v>254</v>
      </c>
      <c r="Q651" s="85" t="s">
        <v>254</v>
      </c>
      <c r="R651" s="85"/>
      <c r="S651" s="86"/>
    </row>
    <row r="652" spans="1:19" ht="15">
      <c r="A652" s="70">
        <v>4</v>
      </c>
      <c r="B652" s="70"/>
      <c r="C652" s="72" t="s">
        <v>457</v>
      </c>
      <c r="D652" s="72" t="s">
        <v>254</v>
      </c>
      <c r="E652" s="85">
        <v>1781349.4960150376</v>
      </c>
      <c r="F652" s="85" t="s">
        <v>254</v>
      </c>
      <c r="G652" s="85">
        <v>1629582.8909282801</v>
      </c>
      <c r="H652" s="85" t="s">
        <v>254</v>
      </c>
      <c r="I652" s="85">
        <v>50948.295548525602</v>
      </c>
      <c r="J652" s="85">
        <v>100818.309538232</v>
      </c>
      <c r="K652" s="85" t="s">
        <v>254</v>
      </c>
      <c r="L652" s="85" t="s">
        <v>254</v>
      </c>
      <c r="M652" s="85">
        <v>0</v>
      </c>
      <c r="N652" s="85" t="s">
        <v>254</v>
      </c>
      <c r="O652" s="85">
        <v>100818.309538232</v>
      </c>
      <c r="P652" s="85">
        <v>31356.79007488702</v>
      </c>
      <c r="Q652" s="85">
        <v>69461.519463344986</v>
      </c>
      <c r="R652" s="85"/>
      <c r="S652" s="86"/>
    </row>
    <row r="653" spans="1:19" ht="15">
      <c r="A653" s="70" t="s">
        <v>254</v>
      </c>
      <c r="B653" s="70"/>
      <c r="C653" s="72" t="s">
        <v>254</v>
      </c>
      <c r="D653" s="72" t="s">
        <v>254</v>
      </c>
      <c r="E653" s="85" t="s">
        <v>254</v>
      </c>
      <c r="F653" s="85" t="s">
        <v>254</v>
      </c>
      <c r="G653" s="85" t="s">
        <v>254</v>
      </c>
      <c r="H653" s="85" t="s">
        <v>254</v>
      </c>
      <c r="I653" s="85" t="s">
        <v>254</v>
      </c>
      <c r="J653" s="85" t="s">
        <v>254</v>
      </c>
      <c r="K653" s="85" t="s">
        <v>254</v>
      </c>
      <c r="L653" s="85" t="s">
        <v>254</v>
      </c>
      <c r="M653" s="85" t="s">
        <v>254</v>
      </c>
      <c r="N653" s="85" t="s">
        <v>254</v>
      </c>
      <c r="O653" s="85" t="s">
        <v>254</v>
      </c>
      <c r="P653" s="85" t="s">
        <v>254</v>
      </c>
      <c r="Q653" s="85" t="s">
        <v>254</v>
      </c>
      <c r="R653" s="85"/>
      <c r="S653" s="86"/>
    </row>
    <row r="654" spans="1:19" ht="15">
      <c r="A654" s="70" t="s">
        <v>254</v>
      </c>
      <c r="B654" s="70"/>
      <c r="C654" s="72" t="s">
        <v>458</v>
      </c>
      <c r="D654" s="72" t="s">
        <v>254</v>
      </c>
      <c r="E654" s="85" t="s">
        <v>254</v>
      </c>
      <c r="F654" s="85" t="s">
        <v>254</v>
      </c>
      <c r="G654" s="85" t="s">
        <v>254</v>
      </c>
      <c r="H654" s="85" t="s">
        <v>254</v>
      </c>
      <c r="I654" s="85" t="s">
        <v>254</v>
      </c>
      <c r="J654" s="85" t="s">
        <v>254</v>
      </c>
      <c r="K654" s="85" t="s">
        <v>254</v>
      </c>
      <c r="L654" s="85" t="s">
        <v>254</v>
      </c>
      <c r="M654" s="85" t="s">
        <v>254</v>
      </c>
      <c r="N654" s="85" t="s">
        <v>254</v>
      </c>
      <c r="O654" s="85" t="s">
        <v>254</v>
      </c>
      <c r="P654" s="85" t="s">
        <v>254</v>
      </c>
      <c r="Q654" s="85" t="s">
        <v>254</v>
      </c>
      <c r="R654" s="85"/>
      <c r="S654" s="86"/>
    </row>
    <row r="655" spans="1:19" ht="15">
      <c r="A655" s="70">
        <v>5</v>
      </c>
      <c r="B655" s="70"/>
      <c r="C655" s="72" t="s">
        <v>459</v>
      </c>
      <c r="D655" s="72" t="s">
        <v>460</v>
      </c>
      <c r="E655" s="85">
        <v>0</v>
      </c>
      <c r="F655" s="85" t="s">
        <v>254</v>
      </c>
      <c r="G655" s="85">
        <v>0</v>
      </c>
      <c r="H655" s="85" t="s">
        <v>254</v>
      </c>
      <c r="I655" s="85">
        <v>0</v>
      </c>
      <c r="J655" s="85">
        <v>0</v>
      </c>
      <c r="K655" s="85" t="s">
        <v>254</v>
      </c>
      <c r="L655" s="85" t="s">
        <v>254</v>
      </c>
      <c r="M655" s="85">
        <v>0</v>
      </c>
      <c r="N655" s="85" t="s">
        <v>254</v>
      </c>
      <c r="O655" s="85">
        <v>0</v>
      </c>
      <c r="P655" s="85">
        <v>0</v>
      </c>
      <c r="Q655" s="85">
        <v>0</v>
      </c>
      <c r="R655" s="85"/>
      <c r="S655" s="86"/>
    </row>
    <row r="656" spans="1:19" ht="15">
      <c r="A656" s="70">
        <v>6</v>
      </c>
      <c r="B656" s="70"/>
      <c r="C656" s="72" t="s">
        <v>461</v>
      </c>
      <c r="D656" s="72" t="s">
        <v>462</v>
      </c>
      <c r="E656" s="85">
        <v>0</v>
      </c>
      <c r="F656" s="85" t="s">
        <v>254</v>
      </c>
      <c r="G656" s="85">
        <v>0</v>
      </c>
      <c r="H656" s="85" t="s">
        <v>254</v>
      </c>
      <c r="I656" s="85">
        <v>0</v>
      </c>
      <c r="J656" s="85">
        <v>0</v>
      </c>
      <c r="K656" s="85" t="s">
        <v>254</v>
      </c>
      <c r="L656" s="85" t="s">
        <v>254</v>
      </c>
      <c r="M656" s="85">
        <v>0</v>
      </c>
      <c r="N656" s="85" t="s">
        <v>254</v>
      </c>
      <c r="O656" s="85">
        <v>0</v>
      </c>
      <c r="P656" s="85">
        <v>0</v>
      </c>
      <c r="Q656" s="85">
        <v>0</v>
      </c>
      <c r="R656" s="85"/>
      <c r="S656" s="86"/>
    </row>
    <row r="657" spans="1:19" ht="15">
      <c r="A657" s="70" t="s">
        <v>254</v>
      </c>
      <c r="B657" s="70"/>
      <c r="C657" s="72" t="s">
        <v>254</v>
      </c>
      <c r="D657" s="72" t="s">
        <v>254</v>
      </c>
      <c r="E657" s="85" t="s">
        <v>254</v>
      </c>
      <c r="F657" s="85" t="s">
        <v>254</v>
      </c>
      <c r="G657" s="85" t="s">
        <v>254</v>
      </c>
      <c r="H657" s="85" t="s">
        <v>254</v>
      </c>
      <c r="I657" s="85" t="s">
        <v>254</v>
      </c>
      <c r="J657" s="85" t="s">
        <v>254</v>
      </c>
      <c r="K657" s="85" t="s">
        <v>254</v>
      </c>
      <c r="L657" s="85" t="s">
        <v>254</v>
      </c>
      <c r="M657" s="85" t="s">
        <v>254</v>
      </c>
      <c r="N657" s="85" t="s">
        <v>254</v>
      </c>
      <c r="O657" s="85" t="s">
        <v>254</v>
      </c>
      <c r="P657" s="85" t="s">
        <v>254</v>
      </c>
      <c r="Q657" s="85" t="s">
        <v>254</v>
      </c>
      <c r="R657" s="85"/>
      <c r="S657" s="86"/>
    </row>
    <row r="658" spans="1:19" ht="15">
      <c r="A658" s="70">
        <v>7</v>
      </c>
      <c r="B658" s="70"/>
      <c r="C658" s="72" t="s">
        <v>465</v>
      </c>
      <c r="D658" s="72" t="s">
        <v>254</v>
      </c>
      <c r="E658" s="85">
        <v>0</v>
      </c>
      <c r="F658" s="85" t="s">
        <v>254</v>
      </c>
      <c r="G658" s="85">
        <v>0</v>
      </c>
      <c r="H658" s="85" t="s">
        <v>254</v>
      </c>
      <c r="I658" s="85">
        <v>0</v>
      </c>
      <c r="J658" s="85">
        <v>0</v>
      </c>
      <c r="K658" s="85" t="s">
        <v>254</v>
      </c>
      <c r="L658" s="85" t="s">
        <v>254</v>
      </c>
      <c r="M658" s="85">
        <v>0</v>
      </c>
      <c r="N658" s="85" t="s">
        <v>254</v>
      </c>
      <c r="O658" s="85">
        <v>0</v>
      </c>
      <c r="P658" s="85">
        <v>0</v>
      </c>
      <c r="Q658" s="85">
        <v>0</v>
      </c>
      <c r="R658" s="85"/>
      <c r="S658" s="86"/>
    </row>
    <row r="659" spans="1:19" ht="15">
      <c r="A659" s="70" t="s">
        <v>254</v>
      </c>
      <c r="B659" s="70"/>
      <c r="C659" s="72" t="s">
        <v>254</v>
      </c>
      <c r="D659" s="72" t="s">
        <v>254</v>
      </c>
      <c r="E659" s="85" t="s">
        <v>254</v>
      </c>
      <c r="F659" s="85" t="s">
        <v>254</v>
      </c>
      <c r="G659" s="85" t="s">
        <v>254</v>
      </c>
      <c r="H659" s="85" t="s">
        <v>254</v>
      </c>
      <c r="I659" s="85" t="s">
        <v>254</v>
      </c>
      <c r="J659" s="85" t="s">
        <v>254</v>
      </c>
      <c r="K659" s="85" t="s">
        <v>254</v>
      </c>
      <c r="L659" s="85" t="s">
        <v>254</v>
      </c>
      <c r="M659" s="85" t="s">
        <v>254</v>
      </c>
      <c r="N659" s="85" t="s">
        <v>254</v>
      </c>
      <c r="O659" s="85" t="s">
        <v>254</v>
      </c>
      <c r="P659" s="85" t="s">
        <v>254</v>
      </c>
      <c r="Q659" s="85" t="s">
        <v>254</v>
      </c>
      <c r="R659" s="85"/>
      <c r="S659" s="86"/>
    </row>
    <row r="660" spans="1:19" ht="15">
      <c r="A660" s="70" t="s">
        <v>254</v>
      </c>
      <c r="B660" s="70"/>
      <c r="C660" s="72" t="s">
        <v>749</v>
      </c>
      <c r="D660" s="72" t="s">
        <v>254</v>
      </c>
      <c r="E660" s="85" t="s">
        <v>254</v>
      </c>
      <c r="F660" s="85" t="s">
        <v>254</v>
      </c>
      <c r="G660" s="85" t="s">
        <v>254</v>
      </c>
      <c r="H660" s="85" t="s">
        <v>254</v>
      </c>
      <c r="I660" s="85" t="s">
        <v>254</v>
      </c>
      <c r="J660" s="85" t="s">
        <v>254</v>
      </c>
      <c r="K660" s="85" t="s">
        <v>254</v>
      </c>
      <c r="L660" s="85" t="s">
        <v>254</v>
      </c>
      <c r="M660" s="85" t="s">
        <v>254</v>
      </c>
      <c r="N660" s="85" t="s">
        <v>254</v>
      </c>
      <c r="O660" s="85" t="s">
        <v>254</v>
      </c>
      <c r="P660" s="85" t="s">
        <v>254</v>
      </c>
      <c r="Q660" s="85" t="s">
        <v>254</v>
      </c>
      <c r="R660" s="85"/>
      <c r="S660" s="86"/>
    </row>
    <row r="661" spans="1:19" ht="15">
      <c r="A661" s="70">
        <v>8</v>
      </c>
      <c r="B661" s="70"/>
      <c r="C661" s="72" t="s">
        <v>757</v>
      </c>
      <c r="D661" s="72" t="s">
        <v>751</v>
      </c>
      <c r="E661" s="85">
        <v>0</v>
      </c>
      <c r="F661" s="85" t="s">
        <v>254</v>
      </c>
      <c r="G661" s="85">
        <v>0</v>
      </c>
      <c r="H661" s="85" t="s">
        <v>254</v>
      </c>
      <c r="I661" s="85">
        <v>0</v>
      </c>
      <c r="J661" s="85">
        <v>0</v>
      </c>
      <c r="K661" s="85" t="s">
        <v>254</v>
      </c>
      <c r="L661" s="85" t="s">
        <v>254</v>
      </c>
      <c r="M661" s="85">
        <v>0</v>
      </c>
      <c r="N661" s="85" t="s">
        <v>254</v>
      </c>
      <c r="O661" s="85">
        <v>0</v>
      </c>
      <c r="P661" s="85">
        <v>0</v>
      </c>
      <c r="Q661" s="85">
        <v>0</v>
      </c>
      <c r="R661" s="85"/>
      <c r="S661" s="86"/>
    </row>
    <row r="662" spans="1:19" ht="15">
      <c r="A662" s="70">
        <v>9</v>
      </c>
      <c r="B662" s="70"/>
      <c r="C662" s="72" t="s">
        <v>758</v>
      </c>
      <c r="D662" s="72" t="s">
        <v>753</v>
      </c>
      <c r="E662" s="85">
        <v>0</v>
      </c>
      <c r="F662" s="85" t="s">
        <v>254</v>
      </c>
      <c r="G662" s="85">
        <v>0</v>
      </c>
      <c r="H662" s="85" t="s">
        <v>254</v>
      </c>
      <c r="I662" s="85">
        <v>0</v>
      </c>
      <c r="J662" s="85">
        <v>0</v>
      </c>
      <c r="K662" s="85" t="s">
        <v>254</v>
      </c>
      <c r="L662" s="85" t="s">
        <v>254</v>
      </c>
      <c r="M662" s="85">
        <v>0</v>
      </c>
      <c r="N662" s="85" t="s">
        <v>254</v>
      </c>
      <c r="O662" s="85">
        <v>0</v>
      </c>
      <c r="P662" s="85">
        <v>0</v>
      </c>
      <c r="Q662" s="85">
        <v>0</v>
      </c>
      <c r="R662" s="85"/>
      <c r="S662" s="86"/>
    </row>
    <row r="663" spans="1:19" ht="15">
      <c r="A663" s="70" t="s">
        <v>254</v>
      </c>
      <c r="B663" s="70"/>
      <c r="C663" s="72" t="s">
        <v>254</v>
      </c>
      <c r="D663" s="72" t="s">
        <v>254</v>
      </c>
      <c r="E663" s="85" t="s">
        <v>254</v>
      </c>
      <c r="F663" s="85" t="s">
        <v>254</v>
      </c>
      <c r="G663" s="85" t="s">
        <v>254</v>
      </c>
      <c r="H663" s="85" t="s">
        <v>254</v>
      </c>
      <c r="I663" s="85" t="s">
        <v>254</v>
      </c>
      <c r="J663" s="85" t="s">
        <v>254</v>
      </c>
      <c r="K663" s="85" t="s">
        <v>254</v>
      </c>
      <c r="L663" s="85" t="s">
        <v>254</v>
      </c>
      <c r="M663" s="85" t="s">
        <v>254</v>
      </c>
      <c r="N663" s="85" t="s">
        <v>254</v>
      </c>
      <c r="O663" s="85" t="s">
        <v>254</v>
      </c>
      <c r="P663" s="85" t="s">
        <v>254</v>
      </c>
      <c r="Q663" s="85" t="s">
        <v>254</v>
      </c>
      <c r="R663" s="85"/>
      <c r="S663" s="86"/>
    </row>
    <row r="664" spans="1:19" ht="15">
      <c r="A664" s="70">
        <v>10</v>
      </c>
      <c r="B664" s="70"/>
      <c r="C664" s="72" t="s">
        <v>470</v>
      </c>
      <c r="D664" s="72" t="s">
        <v>254</v>
      </c>
      <c r="E664" s="85">
        <v>0</v>
      </c>
      <c r="F664" s="85" t="s">
        <v>254</v>
      </c>
      <c r="G664" s="85">
        <v>0</v>
      </c>
      <c r="H664" s="85" t="s">
        <v>254</v>
      </c>
      <c r="I664" s="85">
        <v>0</v>
      </c>
      <c r="J664" s="85">
        <v>0</v>
      </c>
      <c r="K664" s="85" t="s">
        <v>254</v>
      </c>
      <c r="L664" s="85" t="s">
        <v>254</v>
      </c>
      <c r="M664" s="85">
        <v>0</v>
      </c>
      <c r="N664" s="85" t="s">
        <v>254</v>
      </c>
      <c r="O664" s="85">
        <v>0</v>
      </c>
      <c r="P664" s="85">
        <v>0</v>
      </c>
      <c r="Q664" s="85">
        <v>0</v>
      </c>
      <c r="R664" s="85"/>
      <c r="S664" s="86"/>
    </row>
    <row r="665" spans="1:19" ht="15">
      <c r="A665" s="70" t="s">
        <v>254</v>
      </c>
      <c r="B665" s="70"/>
      <c r="C665" s="72" t="s">
        <v>254</v>
      </c>
      <c r="D665" s="72" t="s">
        <v>254</v>
      </c>
      <c r="E665" s="85" t="s">
        <v>254</v>
      </c>
      <c r="F665" s="85" t="s">
        <v>254</v>
      </c>
      <c r="G665" s="85" t="s">
        <v>254</v>
      </c>
      <c r="H665" s="85" t="s">
        <v>254</v>
      </c>
      <c r="I665" s="85" t="s">
        <v>254</v>
      </c>
      <c r="J665" s="85" t="s">
        <v>254</v>
      </c>
      <c r="K665" s="85" t="s">
        <v>254</v>
      </c>
      <c r="L665" s="85" t="s">
        <v>254</v>
      </c>
      <c r="M665" s="85" t="s">
        <v>254</v>
      </c>
      <c r="N665" s="85" t="s">
        <v>254</v>
      </c>
      <c r="O665" s="85" t="s">
        <v>254</v>
      </c>
      <c r="P665" s="85" t="s">
        <v>254</v>
      </c>
      <c r="Q665" s="85" t="s">
        <v>254</v>
      </c>
      <c r="R665" s="85"/>
      <c r="S665" s="86"/>
    </row>
    <row r="666" spans="1:19" ht="15">
      <c r="A666" s="70">
        <v>11</v>
      </c>
      <c r="B666" s="70"/>
      <c r="C666" s="72" t="s">
        <v>2447</v>
      </c>
      <c r="D666" s="72" t="s">
        <v>254</v>
      </c>
      <c r="E666" s="85">
        <v>1781349.4960150376</v>
      </c>
      <c r="F666" s="85" t="s">
        <v>254</v>
      </c>
      <c r="G666" s="85">
        <v>1629582.8909282801</v>
      </c>
      <c r="H666" s="85" t="s">
        <v>254</v>
      </c>
      <c r="I666" s="85">
        <v>50948.295548525602</v>
      </c>
      <c r="J666" s="85">
        <v>100818.309538232</v>
      </c>
      <c r="K666" s="85" t="s">
        <v>254</v>
      </c>
      <c r="L666" s="85" t="s">
        <v>254</v>
      </c>
      <c r="M666" s="85">
        <v>0</v>
      </c>
      <c r="N666" s="85" t="s">
        <v>254</v>
      </c>
      <c r="O666" s="85">
        <v>100818.309538232</v>
      </c>
      <c r="P666" s="85">
        <v>31356.79007488702</v>
      </c>
      <c r="Q666" s="85">
        <v>69461.519463344986</v>
      </c>
      <c r="R666" s="85"/>
      <c r="S666" s="86"/>
    </row>
    <row r="667" spans="1:19" ht="15">
      <c r="A667" s="70" t="s">
        <v>254</v>
      </c>
      <c r="B667" s="70"/>
      <c r="C667" s="72" t="s">
        <v>254</v>
      </c>
      <c r="D667" s="72" t="s">
        <v>254</v>
      </c>
      <c r="E667" s="85" t="s">
        <v>254</v>
      </c>
      <c r="F667" s="85" t="s">
        <v>254</v>
      </c>
      <c r="G667" s="85" t="s">
        <v>254</v>
      </c>
      <c r="H667" s="85" t="s">
        <v>254</v>
      </c>
      <c r="I667" s="85" t="s">
        <v>254</v>
      </c>
      <c r="J667" s="85" t="s">
        <v>254</v>
      </c>
      <c r="K667" s="85" t="s">
        <v>254</v>
      </c>
      <c r="L667" s="85" t="s">
        <v>254</v>
      </c>
      <c r="M667" s="85" t="s">
        <v>254</v>
      </c>
      <c r="N667" s="85" t="s">
        <v>254</v>
      </c>
      <c r="O667" s="85" t="s">
        <v>254</v>
      </c>
      <c r="P667" s="85" t="s">
        <v>254</v>
      </c>
      <c r="Q667" s="85" t="s">
        <v>254</v>
      </c>
      <c r="R667" s="85"/>
      <c r="S667" s="86"/>
    </row>
    <row r="668" spans="1:19" ht="15">
      <c r="A668" s="70" t="s">
        <v>254</v>
      </c>
      <c r="B668" s="70"/>
      <c r="C668" s="72" t="s">
        <v>759</v>
      </c>
      <c r="D668" s="72" t="s">
        <v>254</v>
      </c>
      <c r="E668" s="85" t="s">
        <v>254</v>
      </c>
      <c r="F668" s="85" t="s">
        <v>254</v>
      </c>
      <c r="G668" s="85" t="s">
        <v>254</v>
      </c>
      <c r="H668" s="85" t="s">
        <v>254</v>
      </c>
      <c r="I668" s="85" t="s">
        <v>254</v>
      </c>
      <c r="J668" s="85" t="s">
        <v>254</v>
      </c>
      <c r="K668" s="85" t="s">
        <v>254</v>
      </c>
      <c r="L668" s="85" t="s">
        <v>254</v>
      </c>
      <c r="M668" s="85" t="s">
        <v>254</v>
      </c>
      <c r="N668" s="85" t="s">
        <v>254</v>
      </c>
      <c r="O668" s="85" t="s">
        <v>254</v>
      </c>
      <c r="P668" s="85" t="s">
        <v>254</v>
      </c>
      <c r="Q668" s="85" t="s">
        <v>254</v>
      </c>
      <c r="R668" s="85"/>
      <c r="S668" s="86"/>
    </row>
    <row r="669" spans="1:19" ht="15">
      <c r="A669" s="70" t="s">
        <v>254</v>
      </c>
      <c r="B669" s="70"/>
      <c r="C669" s="72" t="s">
        <v>254</v>
      </c>
      <c r="D669" s="72" t="s">
        <v>254</v>
      </c>
      <c r="E669" s="85" t="s">
        <v>254</v>
      </c>
      <c r="F669" s="85" t="s">
        <v>254</v>
      </c>
      <c r="G669" s="85" t="s">
        <v>254</v>
      </c>
      <c r="H669" s="85" t="s">
        <v>254</v>
      </c>
      <c r="I669" s="85" t="s">
        <v>254</v>
      </c>
      <c r="J669" s="85" t="s">
        <v>254</v>
      </c>
      <c r="K669" s="85" t="s">
        <v>254</v>
      </c>
      <c r="L669" s="85" t="s">
        <v>254</v>
      </c>
      <c r="M669" s="85" t="s">
        <v>254</v>
      </c>
      <c r="N669" s="85" t="s">
        <v>254</v>
      </c>
      <c r="O669" s="85" t="s">
        <v>254</v>
      </c>
      <c r="P669" s="85" t="s">
        <v>254</v>
      </c>
      <c r="Q669" s="85" t="s">
        <v>254</v>
      </c>
      <c r="R669" s="85"/>
      <c r="S669" s="86"/>
    </row>
    <row r="670" spans="1:19" ht="15">
      <c r="A670" s="70" t="s">
        <v>254</v>
      </c>
      <c r="B670" s="70"/>
      <c r="C670" s="72" t="s">
        <v>444</v>
      </c>
      <c r="D670" s="72" t="s">
        <v>254</v>
      </c>
      <c r="E670" s="85" t="s">
        <v>254</v>
      </c>
      <c r="F670" s="85" t="s">
        <v>254</v>
      </c>
      <c r="G670" s="85" t="s">
        <v>254</v>
      </c>
      <c r="H670" s="85" t="s">
        <v>254</v>
      </c>
      <c r="I670" s="85" t="s">
        <v>254</v>
      </c>
      <c r="J670" s="85" t="s">
        <v>254</v>
      </c>
      <c r="K670" s="85" t="s">
        <v>254</v>
      </c>
      <c r="L670" s="85" t="s">
        <v>254</v>
      </c>
      <c r="M670" s="85" t="s">
        <v>254</v>
      </c>
      <c r="N670" s="85" t="s">
        <v>254</v>
      </c>
      <c r="O670" s="85" t="s">
        <v>254</v>
      </c>
      <c r="P670" s="85" t="s">
        <v>254</v>
      </c>
      <c r="Q670" s="85" t="s">
        <v>254</v>
      </c>
      <c r="R670" s="85"/>
      <c r="S670" s="86"/>
    </row>
    <row r="671" spans="1:19" ht="15">
      <c r="A671" s="70">
        <v>12</v>
      </c>
      <c r="B671" s="70"/>
      <c r="C671" s="72" t="s">
        <v>445</v>
      </c>
      <c r="D671" s="72" t="s">
        <v>447</v>
      </c>
      <c r="E671" s="85">
        <v>0</v>
      </c>
      <c r="F671" s="85" t="s">
        <v>254</v>
      </c>
      <c r="G671" s="85">
        <v>0</v>
      </c>
      <c r="H671" s="85" t="s">
        <v>254</v>
      </c>
      <c r="I671" s="85">
        <v>0</v>
      </c>
      <c r="J671" s="85">
        <v>0</v>
      </c>
      <c r="K671" s="85" t="s">
        <v>254</v>
      </c>
      <c r="L671" s="85" t="s">
        <v>254</v>
      </c>
      <c r="M671" s="85">
        <v>0</v>
      </c>
      <c r="N671" s="85" t="s">
        <v>254</v>
      </c>
      <c r="O671" s="85">
        <v>0</v>
      </c>
      <c r="P671" s="85">
        <v>0</v>
      </c>
      <c r="Q671" s="85">
        <v>0</v>
      </c>
      <c r="R671" s="85"/>
      <c r="S671" s="86"/>
    </row>
    <row r="672" spans="1:19" ht="15">
      <c r="A672" s="70">
        <v>13</v>
      </c>
      <c r="B672" s="70"/>
      <c r="C672" s="72" t="s">
        <v>451</v>
      </c>
      <c r="D672" s="72" t="s">
        <v>452</v>
      </c>
      <c r="E672" s="85">
        <v>0</v>
      </c>
      <c r="F672" s="85" t="s">
        <v>254</v>
      </c>
      <c r="G672" s="85">
        <v>0</v>
      </c>
      <c r="H672" s="85" t="s">
        <v>254</v>
      </c>
      <c r="I672" s="85">
        <v>0</v>
      </c>
      <c r="J672" s="85">
        <v>0</v>
      </c>
      <c r="K672" s="85" t="s">
        <v>254</v>
      </c>
      <c r="L672" s="85" t="s">
        <v>254</v>
      </c>
      <c r="M672" s="85">
        <v>0</v>
      </c>
      <c r="N672" s="85" t="s">
        <v>254</v>
      </c>
      <c r="O672" s="85">
        <v>0</v>
      </c>
      <c r="P672" s="85">
        <v>0</v>
      </c>
      <c r="Q672" s="85">
        <v>0</v>
      </c>
      <c r="R672" s="85"/>
      <c r="S672" s="86"/>
    </row>
    <row r="673" spans="1:19" ht="15">
      <c r="A673" s="70">
        <v>14</v>
      </c>
      <c r="B673" s="70"/>
      <c r="C673" s="72" t="s">
        <v>454</v>
      </c>
      <c r="D673" s="72" t="s">
        <v>455</v>
      </c>
      <c r="E673" s="85">
        <v>0</v>
      </c>
      <c r="F673" s="85" t="s">
        <v>254</v>
      </c>
      <c r="G673" s="85">
        <v>0</v>
      </c>
      <c r="H673" s="85" t="s">
        <v>254</v>
      </c>
      <c r="I673" s="85">
        <v>0</v>
      </c>
      <c r="J673" s="85">
        <v>0</v>
      </c>
      <c r="K673" s="85" t="s">
        <v>254</v>
      </c>
      <c r="L673" s="85" t="s">
        <v>254</v>
      </c>
      <c r="M673" s="85">
        <v>0</v>
      </c>
      <c r="N673" s="85" t="s">
        <v>254</v>
      </c>
      <c r="O673" s="85">
        <v>0</v>
      </c>
      <c r="P673" s="85">
        <v>0</v>
      </c>
      <c r="Q673" s="85">
        <v>0</v>
      </c>
      <c r="R673" s="85"/>
      <c r="S673" s="86"/>
    </row>
    <row r="674" spans="1:19" ht="15">
      <c r="A674" s="70" t="s">
        <v>254</v>
      </c>
      <c r="B674" s="70"/>
      <c r="C674" s="72" t="s">
        <v>254</v>
      </c>
      <c r="D674" s="72" t="s">
        <v>254</v>
      </c>
      <c r="E674" s="85" t="s">
        <v>254</v>
      </c>
      <c r="F674" s="85" t="s">
        <v>254</v>
      </c>
      <c r="G674" s="85" t="s">
        <v>254</v>
      </c>
      <c r="H674" s="85" t="s">
        <v>254</v>
      </c>
      <c r="I674" s="85" t="s">
        <v>254</v>
      </c>
      <c r="J674" s="85" t="s">
        <v>254</v>
      </c>
      <c r="K674" s="85" t="s">
        <v>254</v>
      </c>
      <c r="L674" s="85" t="s">
        <v>254</v>
      </c>
      <c r="M674" s="85" t="s">
        <v>254</v>
      </c>
      <c r="N674" s="85" t="s">
        <v>254</v>
      </c>
      <c r="O674" s="85" t="s">
        <v>254</v>
      </c>
      <c r="P674" s="85" t="s">
        <v>254</v>
      </c>
      <c r="Q674" s="85" t="s">
        <v>254</v>
      </c>
      <c r="R674" s="85"/>
      <c r="S674" s="86"/>
    </row>
    <row r="675" spans="1:19" ht="15">
      <c r="A675" s="70">
        <v>15</v>
      </c>
      <c r="B675" s="70"/>
      <c r="C675" s="72" t="s">
        <v>457</v>
      </c>
      <c r="D675" s="72" t="s">
        <v>254</v>
      </c>
      <c r="E675" s="85">
        <v>0</v>
      </c>
      <c r="F675" s="85" t="s">
        <v>254</v>
      </c>
      <c r="G675" s="85">
        <v>0</v>
      </c>
      <c r="H675" s="85" t="s">
        <v>254</v>
      </c>
      <c r="I675" s="85">
        <v>0</v>
      </c>
      <c r="J675" s="85">
        <v>0</v>
      </c>
      <c r="K675" s="85" t="s">
        <v>254</v>
      </c>
      <c r="L675" s="85" t="s">
        <v>254</v>
      </c>
      <c r="M675" s="85">
        <v>0</v>
      </c>
      <c r="N675" s="85" t="s">
        <v>254</v>
      </c>
      <c r="O675" s="85">
        <v>0</v>
      </c>
      <c r="P675" s="85">
        <v>0</v>
      </c>
      <c r="Q675" s="85">
        <v>0</v>
      </c>
      <c r="R675" s="85"/>
      <c r="S675" s="86"/>
    </row>
    <row r="676" spans="1:19" ht="15">
      <c r="A676" s="70" t="s">
        <v>254</v>
      </c>
      <c r="B676" s="70"/>
      <c r="C676" s="72" t="s">
        <v>254</v>
      </c>
      <c r="D676" s="72" t="s">
        <v>254</v>
      </c>
      <c r="E676" s="85" t="s">
        <v>254</v>
      </c>
      <c r="F676" s="85" t="s">
        <v>254</v>
      </c>
      <c r="G676" s="85" t="s">
        <v>254</v>
      </c>
      <c r="H676" s="85" t="s">
        <v>254</v>
      </c>
      <c r="I676" s="85" t="s">
        <v>254</v>
      </c>
      <c r="J676" s="85" t="s">
        <v>254</v>
      </c>
      <c r="K676" s="85" t="s">
        <v>254</v>
      </c>
      <c r="L676" s="85" t="s">
        <v>254</v>
      </c>
      <c r="M676" s="85" t="s">
        <v>254</v>
      </c>
      <c r="N676" s="85" t="s">
        <v>254</v>
      </c>
      <c r="O676" s="85" t="s">
        <v>254</v>
      </c>
      <c r="P676" s="85" t="s">
        <v>254</v>
      </c>
      <c r="Q676" s="85" t="s">
        <v>254</v>
      </c>
      <c r="R676" s="85"/>
      <c r="S676" s="86"/>
    </row>
    <row r="677" spans="1:19" ht="15">
      <c r="A677" s="70" t="s">
        <v>254</v>
      </c>
      <c r="B677" s="70"/>
      <c r="C677" s="72" t="s">
        <v>458</v>
      </c>
      <c r="D677" s="72" t="s">
        <v>254</v>
      </c>
      <c r="E677" s="85" t="s">
        <v>254</v>
      </c>
      <c r="F677" s="85" t="s">
        <v>254</v>
      </c>
      <c r="G677" s="85" t="s">
        <v>254</v>
      </c>
      <c r="H677" s="85" t="s">
        <v>254</v>
      </c>
      <c r="I677" s="85" t="s">
        <v>254</v>
      </c>
      <c r="J677" s="85" t="s">
        <v>254</v>
      </c>
      <c r="K677" s="85" t="s">
        <v>254</v>
      </c>
      <c r="L677" s="85" t="s">
        <v>254</v>
      </c>
      <c r="M677" s="85" t="s">
        <v>254</v>
      </c>
      <c r="N677" s="85" t="s">
        <v>254</v>
      </c>
      <c r="O677" s="85" t="s">
        <v>254</v>
      </c>
      <c r="P677" s="85" t="s">
        <v>254</v>
      </c>
      <c r="Q677" s="85" t="s">
        <v>254</v>
      </c>
      <c r="R677" s="85"/>
      <c r="S677" s="86"/>
    </row>
    <row r="678" spans="1:19" ht="15">
      <c r="A678" s="70">
        <v>16</v>
      </c>
      <c r="B678" s="70"/>
      <c r="C678" s="72" t="s">
        <v>459</v>
      </c>
      <c r="D678" s="72" t="s">
        <v>460</v>
      </c>
      <c r="E678" s="85">
        <v>0</v>
      </c>
      <c r="F678" s="85" t="s">
        <v>254</v>
      </c>
      <c r="G678" s="85">
        <v>0</v>
      </c>
      <c r="H678" s="85" t="s">
        <v>254</v>
      </c>
      <c r="I678" s="85">
        <v>0</v>
      </c>
      <c r="J678" s="85">
        <v>0</v>
      </c>
      <c r="K678" s="85" t="s">
        <v>254</v>
      </c>
      <c r="L678" s="85" t="s">
        <v>254</v>
      </c>
      <c r="M678" s="85">
        <v>0</v>
      </c>
      <c r="N678" s="85" t="s">
        <v>254</v>
      </c>
      <c r="O678" s="85">
        <v>0</v>
      </c>
      <c r="P678" s="85">
        <v>0</v>
      </c>
      <c r="Q678" s="85">
        <v>0</v>
      </c>
      <c r="R678" s="85"/>
      <c r="S678" s="86"/>
    </row>
    <row r="679" spans="1:19" ht="15">
      <c r="A679" s="70">
        <v>17</v>
      </c>
      <c r="B679" s="70"/>
      <c r="C679" s="72" t="s">
        <v>461</v>
      </c>
      <c r="D679" s="72" t="s">
        <v>462</v>
      </c>
      <c r="E679" s="85">
        <v>0</v>
      </c>
      <c r="F679" s="85" t="s">
        <v>254</v>
      </c>
      <c r="G679" s="85">
        <v>0</v>
      </c>
      <c r="H679" s="85" t="s">
        <v>254</v>
      </c>
      <c r="I679" s="85">
        <v>0</v>
      </c>
      <c r="J679" s="85">
        <v>0</v>
      </c>
      <c r="K679" s="85" t="s">
        <v>254</v>
      </c>
      <c r="L679" s="85" t="s">
        <v>254</v>
      </c>
      <c r="M679" s="85">
        <v>0</v>
      </c>
      <c r="N679" s="85" t="s">
        <v>254</v>
      </c>
      <c r="O679" s="85">
        <v>0</v>
      </c>
      <c r="P679" s="85">
        <v>0</v>
      </c>
      <c r="Q679" s="85">
        <v>0</v>
      </c>
      <c r="R679" s="85"/>
      <c r="S679" s="86"/>
    </row>
    <row r="680" spans="1:19" ht="15">
      <c r="A680" s="70" t="s">
        <v>254</v>
      </c>
      <c r="B680" s="70"/>
      <c r="C680" s="72" t="s">
        <v>254</v>
      </c>
      <c r="D680" s="72" t="s">
        <v>254</v>
      </c>
      <c r="E680" s="85" t="s">
        <v>254</v>
      </c>
      <c r="F680" s="85" t="s">
        <v>254</v>
      </c>
      <c r="G680" s="85" t="s">
        <v>254</v>
      </c>
      <c r="H680" s="85" t="s">
        <v>254</v>
      </c>
      <c r="I680" s="85" t="s">
        <v>254</v>
      </c>
      <c r="J680" s="85" t="s">
        <v>254</v>
      </c>
      <c r="K680" s="85" t="s">
        <v>254</v>
      </c>
      <c r="L680" s="85" t="s">
        <v>254</v>
      </c>
      <c r="M680" s="85" t="s">
        <v>254</v>
      </c>
      <c r="N680" s="85" t="s">
        <v>254</v>
      </c>
      <c r="O680" s="85" t="s">
        <v>254</v>
      </c>
      <c r="P680" s="85" t="s">
        <v>254</v>
      </c>
      <c r="Q680" s="85" t="s">
        <v>254</v>
      </c>
      <c r="R680" s="85"/>
      <c r="S680" s="86"/>
    </row>
    <row r="681" spans="1:19" ht="15">
      <c r="A681" s="70">
        <v>18</v>
      </c>
      <c r="B681" s="70"/>
      <c r="C681" s="72" t="s">
        <v>465</v>
      </c>
      <c r="D681" s="72" t="s">
        <v>254</v>
      </c>
      <c r="E681" s="85">
        <v>0</v>
      </c>
      <c r="F681" s="85" t="s">
        <v>254</v>
      </c>
      <c r="G681" s="85">
        <v>0</v>
      </c>
      <c r="H681" s="85" t="s">
        <v>254</v>
      </c>
      <c r="I681" s="85">
        <v>0</v>
      </c>
      <c r="J681" s="85">
        <v>0</v>
      </c>
      <c r="K681" s="85" t="s">
        <v>254</v>
      </c>
      <c r="L681" s="85" t="s">
        <v>254</v>
      </c>
      <c r="M681" s="85">
        <v>0</v>
      </c>
      <c r="N681" s="85" t="s">
        <v>254</v>
      </c>
      <c r="O681" s="85">
        <v>0</v>
      </c>
      <c r="P681" s="85">
        <v>0</v>
      </c>
      <c r="Q681" s="85">
        <v>0</v>
      </c>
      <c r="R681" s="85"/>
      <c r="S681" s="86"/>
    </row>
    <row r="682" spans="1:19" ht="15">
      <c r="A682" s="70" t="s">
        <v>254</v>
      </c>
      <c r="B682" s="70"/>
      <c r="C682" s="72" t="s">
        <v>254</v>
      </c>
      <c r="D682" s="72" t="s">
        <v>254</v>
      </c>
      <c r="E682" s="85" t="s">
        <v>254</v>
      </c>
      <c r="F682" s="85" t="s">
        <v>254</v>
      </c>
      <c r="G682" s="85" t="s">
        <v>254</v>
      </c>
      <c r="H682" s="85" t="s">
        <v>254</v>
      </c>
      <c r="I682" s="85" t="s">
        <v>254</v>
      </c>
      <c r="J682" s="85" t="s">
        <v>254</v>
      </c>
      <c r="K682" s="85" t="s">
        <v>254</v>
      </c>
      <c r="L682" s="85" t="s">
        <v>254</v>
      </c>
      <c r="M682" s="85" t="s">
        <v>254</v>
      </c>
      <c r="N682" s="85" t="s">
        <v>254</v>
      </c>
      <c r="O682" s="85" t="s">
        <v>254</v>
      </c>
      <c r="P682" s="85" t="s">
        <v>254</v>
      </c>
      <c r="Q682" s="85" t="s">
        <v>254</v>
      </c>
      <c r="R682" s="85"/>
      <c r="S682" s="86"/>
    </row>
    <row r="683" spans="1:19" ht="15">
      <c r="A683" s="70" t="s">
        <v>254</v>
      </c>
      <c r="B683" s="70"/>
      <c r="C683" s="72" t="s">
        <v>361</v>
      </c>
      <c r="D683" s="72" t="s">
        <v>254</v>
      </c>
      <c r="E683" s="85" t="s">
        <v>254</v>
      </c>
      <c r="F683" s="85" t="s">
        <v>254</v>
      </c>
      <c r="G683" s="85" t="s">
        <v>254</v>
      </c>
      <c r="H683" s="85" t="s">
        <v>254</v>
      </c>
      <c r="I683" s="85" t="s">
        <v>254</v>
      </c>
      <c r="J683" s="85" t="s">
        <v>254</v>
      </c>
      <c r="K683" s="85" t="s">
        <v>254</v>
      </c>
      <c r="L683" s="85" t="s">
        <v>254</v>
      </c>
      <c r="M683" s="85" t="s">
        <v>254</v>
      </c>
      <c r="N683" s="85" t="s">
        <v>254</v>
      </c>
      <c r="O683" s="85" t="s">
        <v>254</v>
      </c>
      <c r="P683" s="85" t="s">
        <v>254</v>
      </c>
      <c r="Q683" s="85" t="s">
        <v>254</v>
      </c>
      <c r="R683" s="85"/>
      <c r="S683" s="86"/>
    </row>
    <row r="684" spans="1:19" ht="15">
      <c r="A684" s="70">
        <v>19</v>
      </c>
      <c r="B684" s="70"/>
      <c r="C684" s="72" t="s">
        <v>459</v>
      </c>
      <c r="D684" s="72" t="s">
        <v>751</v>
      </c>
      <c r="E684" s="85">
        <v>0</v>
      </c>
      <c r="F684" s="85" t="s">
        <v>254</v>
      </c>
      <c r="G684" s="85">
        <v>0</v>
      </c>
      <c r="H684" s="85" t="s">
        <v>254</v>
      </c>
      <c r="I684" s="85">
        <v>0</v>
      </c>
      <c r="J684" s="85">
        <v>0</v>
      </c>
      <c r="K684" s="85" t="s">
        <v>254</v>
      </c>
      <c r="L684" s="85" t="s">
        <v>254</v>
      </c>
      <c r="M684" s="85">
        <v>0</v>
      </c>
      <c r="N684" s="85" t="s">
        <v>254</v>
      </c>
      <c r="O684" s="85">
        <v>0</v>
      </c>
      <c r="P684" s="85">
        <v>0</v>
      </c>
      <c r="Q684" s="85">
        <v>0</v>
      </c>
      <c r="R684" s="85"/>
      <c r="S684" s="86"/>
    </row>
    <row r="685" spans="1:19" ht="15">
      <c r="A685" s="70">
        <v>20</v>
      </c>
      <c r="B685" s="70"/>
      <c r="C685" s="72" t="s">
        <v>461</v>
      </c>
      <c r="D685" s="72" t="s">
        <v>528</v>
      </c>
      <c r="E685" s="85">
        <v>0</v>
      </c>
      <c r="F685" s="85" t="s">
        <v>254</v>
      </c>
      <c r="G685" s="85">
        <v>0</v>
      </c>
      <c r="H685" s="85" t="s">
        <v>254</v>
      </c>
      <c r="I685" s="85">
        <v>0</v>
      </c>
      <c r="J685" s="85">
        <v>0</v>
      </c>
      <c r="K685" s="85" t="s">
        <v>254</v>
      </c>
      <c r="L685" s="85" t="s">
        <v>254</v>
      </c>
      <c r="M685" s="85">
        <v>0</v>
      </c>
      <c r="N685" s="85" t="s">
        <v>254</v>
      </c>
      <c r="O685" s="85">
        <v>0</v>
      </c>
      <c r="P685" s="85">
        <v>0</v>
      </c>
      <c r="Q685" s="85">
        <v>0</v>
      </c>
      <c r="R685" s="85"/>
      <c r="S685" s="86"/>
    </row>
    <row r="686" spans="1:19" ht="15">
      <c r="A686" s="70" t="s">
        <v>254</v>
      </c>
      <c r="B686" s="70"/>
      <c r="C686" s="72" t="s">
        <v>254</v>
      </c>
      <c r="D686" s="72" t="s">
        <v>254</v>
      </c>
      <c r="E686" s="85" t="s">
        <v>254</v>
      </c>
      <c r="F686" s="85" t="s">
        <v>254</v>
      </c>
      <c r="G686" s="85" t="s">
        <v>254</v>
      </c>
      <c r="H686" s="85" t="s">
        <v>254</v>
      </c>
      <c r="I686" s="85" t="s">
        <v>254</v>
      </c>
      <c r="J686" s="85" t="s">
        <v>254</v>
      </c>
      <c r="K686" s="85" t="s">
        <v>254</v>
      </c>
      <c r="L686" s="85" t="s">
        <v>254</v>
      </c>
      <c r="M686" s="85" t="s">
        <v>254</v>
      </c>
      <c r="N686" s="85" t="s">
        <v>254</v>
      </c>
      <c r="O686" s="85" t="s">
        <v>254</v>
      </c>
      <c r="P686" s="85" t="s">
        <v>254</v>
      </c>
      <c r="Q686" s="85" t="s">
        <v>254</v>
      </c>
      <c r="R686" s="85"/>
      <c r="S686" s="86"/>
    </row>
    <row r="687" spans="1:19" ht="15">
      <c r="A687" s="70">
        <v>21</v>
      </c>
      <c r="B687" s="70"/>
      <c r="C687" s="72" t="s">
        <v>470</v>
      </c>
      <c r="D687" s="72" t="s">
        <v>254</v>
      </c>
      <c r="E687" s="85">
        <v>0</v>
      </c>
      <c r="F687" s="85" t="s">
        <v>254</v>
      </c>
      <c r="G687" s="85">
        <v>0</v>
      </c>
      <c r="H687" s="85" t="s">
        <v>254</v>
      </c>
      <c r="I687" s="85">
        <v>0</v>
      </c>
      <c r="J687" s="85">
        <v>0</v>
      </c>
      <c r="K687" s="85" t="s">
        <v>254</v>
      </c>
      <c r="L687" s="85" t="s">
        <v>254</v>
      </c>
      <c r="M687" s="85">
        <v>0</v>
      </c>
      <c r="N687" s="85" t="s">
        <v>254</v>
      </c>
      <c r="O687" s="85">
        <v>0</v>
      </c>
      <c r="P687" s="85">
        <v>0</v>
      </c>
      <c r="Q687" s="85">
        <v>0</v>
      </c>
      <c r="R687" s="85"/>
      <c r="S687" s="86"/>
    </row>
    <row r="688" spans="1:19" ht="15">
      <c r="A688" s="70" t="s">
        <v>254</v>
      </c>
      <c r="B688" s="70"/>
      <c r="C688" s="72" t="s">
        <v>254</v>
      </c>
      <c r="D688" s="72" t="s">
        <v>254</v>
      </c>
      <c r="E688" s="85" t="s">
        <v>254</v>
      </c>
      <c r="F688" s="85" t="s">
        <v>254</v>
      </c>
      <c r="G688" s="85" t="s">
        <v>254</v>
      </c>
      <c r="H688" s="85" t="s">
        <v>254</v>
      </c>
      <c r="I688" s="85" t="s">
        <v>254</v>
      </c>
      <c r="J688" s="85" t="s">
        <v>254</v>
      </c>
      <c r="K688" s="85" t="s">
        <v>254</v>
      </c>
      <c r="L688" s="85" t="s">
        <v>254</v>
      </c>
      <c r="M688" s="85" t="s">
        <v>254</v>
      </c>
      <c r="N688" s="85" t="s">
        <v>254</v>
      </c>
      <c r="O688" s="85" t="s">
        <v>254</v>
      </c>
      <c r="P688" s="85" t="s">
        <v>254</v>
      </c>
      <c r="Q688" s="85" t="s">
        <v>254</v>
      </c>
      <c r="R688" s="85"/>
      <c r="S688" s="86"/>
    </row>
    <row r="689" spans="1:19" ht="15">
      <c r="A689" s="70">
        <v>22</v>
      </c>
      <c r="B689" s="70"/>
      <c r="C689" s="72" t="s">
        <v>760</v>
      </c>
      <c r="D689" s="72" t="s">
        <v>254</v>
      </c>
      <c r="E689" s="85">
        <v>0</v>
      </c>
      <c r="F689" s="85" t="s">
        <v>254</v>
      </c>
      <c r="G689" s="85">
        <v>0</v>
      </c>
      <c r="H689" s="85" t="s">
        <v>254</v>
      </c>
      <c r="I689" s="85">
        <v>0</v>
      </c>
      <c r="J689" s="85">
        <v>0</v>
      </c>
      <c r="K689" s="85" t="s">
        <v>254</v>
      </c>
      <c r="L689" s="85" t="s">
        <v>254</v>
      </c>
      <c r="M689" s="85">
        <v>0</v>
      </c>
      <c r="N689" s="85" t="s">
        <v>254</v>
      </c>
      <c r="O689" s="85">
        <v>0</v>
      </c>
      <c r="P689" s="85">
        <v>0</v>
      </c>
      <c r="Q689" s="85">
        <v>0</v>
      </c>
      <c r="R689" s="85"/>
      <c r="S689" s="86"/>
    </row>
    <row r="690" spans="1:19" ht="15">
      <c r="A690" s="70" t="s">
        <v>254</v>
      </c>
      <c r="B690" s="70"/>
      <c r="C690" s="72" t="s">
        <v>254</v>
      </c>
      <c r="D690" s="72" t="s">
        <v>254</v>
      </c>
      <c r="E690" s="85" t="s">
        <v>254</v>
      </c>
      <c r="F690" s="85" t="s">
        <v>254</v>
      </c>
      <c r="G690" s="85" t="s">
        <v>254</v>
      </c>
      <c r="H690" s="85" t="s">
        <v>254</v>
      </c>
      <c r="I690" s="85" t="s">
        <v>254</v>
      </c>
      <c r="J690" s="85" t="s">
        <v>254</v>
      </c>
      <c r="K690" s="85" t="s">
        <v>254</v>
      </c>
      <c r="L690" s="85" t="s">
        <v>254</v>
      </c>
      <c r="M690" s="85" t="s">
        <v>254</v>
      </c>
      <c r="N690" s="85" t="s">
        <v>254</v>
      </c>
      <c r="O690" s="85" t="s">
        <v>254</v>
      </c>
      <c r="P690" s="85" t="s">
        <v>254</v>
      </c>
      <c r="Q690" s="85" t="s">
        <v>254</v>
      </c>
      <c r="R690" s="85"/>
      <c r="S690" s="86"/>
    </row>
    <row r="691" spans="1:19" ht="15">
      <c r="A691" s="70" t="s">
        <v>254</v>
      </c>
      <c r="B691" s="70"/>
      <c r="C691" s="72" t="s">
        <v>761</v>
      </c>
      <c r="D691" s="72" t="s">
        <v>254</v>
      </c>
      <c r="E691" s="85" t="s">
        <v>254</v>
      </c>
      <c r="F691" s="85" t="s">
        <v>254</v>
      </c>
      <c r="G691" s="85" t="s">
        <v>254</v>
      </c>
      <c r="H691" s="85" t="s">
        <v>254</v>
      </c>
      <c r="I691" s="85" t="s">
        <v>254</v>
      </c>
      <c r="J691" s="85" t="s">
        <v>254</v>
      </c>
      <c r="K691" s="85" t="s">
        <v>254</v>
      </c>
      <c r="L691" s="85" t="s">
        <v>254</v>
      </c>
      <c r="M691" s="85" t="s">
        <v>254</v>
      </c>
      <c r="N691" s="85" t="s">
        <v>254</v>
      </c>
      <c r="O691" s="85" t="s">
        <v>254</v>
      </c>
      <c r="P691" s="85" t="s">
        <v>254</v>
      </c>
      <c r="Q691" s="85" t="s">
        <v>254</v>
      </c>
      <c r="R691" s="85"/>
      <c r="S691" s="86"/>
    </row>
    <row r="692" spans="1:19" ht="15">
      <c r="A692" s="70" t="s">
        <v>254</v>
      </c>
      <c r="B692" s="70"/>
      <c r="C692" s="72" t="s">
        <v>254</v>
      </c>
      <c r="D692" s="72" t="s">
        <v>254</v>
      </c>
      <c r="E692" s="85" t="s">
        <v>254</v>
      </c>
      <c r="F692" s="85" t="s">
        <v>254</v>
      </c>
      <c r="G692" s="85" t="s">
        <v>254</v>
      </c>
      <c r="H692" s="85" t="s">
        <v>254</v>
      </c>
      <c r="I692" s="85" t="s">
        <v>254</v>
      </c>
      <c r="J692" s="85" t="s">
        <v>254</v>
      </c>
      <c r="K692" s="85" t="s">
        <v>254</v>
      </c>
      <c r="L692" s="85" t="s">
        <v>254</v>
      </c>
      <c r="M692" s="85" t="s">
        <v>254</v>
      </c>
      <c r="N692" s="85" t="s">
        <v>254</v>
      </c>
      <c r="O692" s="85" t="s">
        <v>254</v>
      </c>
      <c r="P692" s="85" t="s">
        <v>254</v>
      </c>
      <c r="Q692" s="85" t="s">
        <v>254</v>
      </c>
      <c r="R692" s="85"/>
      <c r="S692" s="86"/>
    </row>
    <row r="693" spans="1:19" ht="15">
      <c r="A693" s="70" t="s">
        <v>254</v>
      </c>
      <c r="B693" s="70"/>
      <c r="C693" s="72" t="s">
        <v>762</v>
      </c>
      <c r="D693" s="72" t="s">
        <v>254</v>
      </c>
      <c r="E693" s="85" t="s">
        <v>254</v>
      </c>
      <c r="F693" s="85" t="s">
        <v>254</v>
      </c>
      <c r="G693" s="85" t="s">
        <v>254</v>
      </c>
      <c r="H693" s="85" t="s">
        <v>254</v>
      </c>
      <c r="I693" s="85" t="s">
        <v>254</v>
      </c>
      <c r="J693" s="85" t="s">
        <v>254</v>
      </c>
      <c r="K693" s="85" t="s">
        <v>254</v>
      </c>
      <c r="L693" s="85" t="s">
        <v>254</v>
      </c>
      <c r="M693" s="85" t="s">
        <v>254</v>
      </c>
      <c r="N693" s="85" t="s">
        <v>254</v>
      </c>
      <c r="O693" s="85" t="s">
        <v>254</v>
      </c>
      <c r="P693" s="85" t="s">
        <v>254</v>
      </c>
      <c r="Q693" s="85" t="s">
        <v>254</v>
      </c>
      <c r="R693" s="85"/>
      <c r="S693" s="86"/>
    </row>
    <row r="694" spans="1:19" ht="15">
      <c r="A694" s="70">
        <v>1</v>
      </c>
      <c r="B694" s="70"/>
      <c r="C694" s="72" t="s">
        <v>763</v>
      </c>
      <c r="D694" s="72" t="s">
        <v>764</v>
      </c>
      <c r="E694" s="85">
        <v>29910218.736850802</v>
      </c>
      <c r="F694" s="85" t="s">
        <v>254</v>
      </c>
      <c r="G694" s="85">
        <v>26672024.893674199</v>
      </c>
      <c r="H694" s="85" t="s">
        <v>254</v>
      </c>
      <c r="I694" s="85">
        <v>1388944.6423189638</v>
      </c>
      <c r="J694" s="85">
        <v>1849249.2008576407</v>
      </c>
      <c r="K694" s="85" t="s">
        <v>254</v>
      </c>
      <c r="L694" s="85" t="s">
        <v>254</v>
      </c>
      <c r="M694" s="85">
        <v>236.15781771706537</v>
      </c>
      <c r="N694" s="85" t="s">
        <v>254</v>
      </c>
      <c r="O694" s="85">
        <v>1849013.0430399235</v>
      </c>
      <c r="P694" s="85">
        <v>582536.230664136</v>
      </c>
      <c r="Q694" s="85">
        <v>1266476.8123757876</v>
      </c>
      <c r="R694" s="85"/>
      <c r="S694" s="86"/>
    </row>
    <row r="695" spans="1:19" ht="15">
      <c r="A695" s="70">
        <v>2</v>
      </c>
      <c r="B695" s="70"/>
      <c r="C695" s="72" t="s">
        <v>765</v>
      </c>
      <c r="D695" s="72" t="s">
        <v>515</v>
      </c>
      <c r="E695" s="85">
        <v>3194472</v>
      </c>
      <c r="F695" s="85" t="s">
        <v>254</v>
      </c>
      <c r="G695" s="85">
        <v>3194472</v>
      </c>
      <c r="H695" s="85" t="s">
        <v>254</v>
      </c>
      <c r="I695" s="85">
        <v>0</v>
      </c>
      <c r="J695" s="85">
        <v>0</v>
      </c>
      <c r="K695" s="85" t="s">
        <v>254</v>
      </c>
      <c r="L695" s="85" t="s">
        <v>254</v>
      </c>
      <c r="M695" s="85">
        <v>0</v>
      </c>
      <c r="N695" s="85" t="s">
        <v>254</v>
      </c>
      <c r="O695" s="85">
        <v>0</v>
      </c>
      <c r="P695" s="85">
        <v>0</v>
      </c>
      <c r="Q695" s="85">
        <v>0</v>
      </c>
      <c r="R695" s="85"/>
      <c r="S695" s="86"/>
    </row>
    <row r="696" spans="1:19" ht="15">
      <c r="A696" s="70">
        <v>3</v>
      </c>
      <c r="B696" s="70"/>
      <c r="C696" s="72" t="s">
        <v>766</v>
      </c>
      <c r="D696" s="72" t="s">
        <v>740</v>
      </c>
      <c r="E696" s="85">
        <v>0</v>
      </c>
      <c r="F696" s="85" t="s">
        <v>254</v>
      </c>
      <c r="G696" s="85">
        <v>0</v>
      </c>
      <c r="H696" s="85" t="s">
        <v>254</v>
      </c>
      <c r="I696" s="85">
        <v>0</v>
      </c>
      <c r="J696" s="85">
        <v>0</v>
      </c>
      <c r="K696" s="85" t="s">
        <v>254</v>
      </c>
      <c r="L696" s="85" t="s">
        <v>254</v>
      </c>
      <c r="M696" s="85">
        <v>0</v>
      </c>
      <c r="N696" s="85" t="s">
        <v>254</v>
      </c>
      <c r="O696" s="85">
        <v>0</v>
      </c>
      <c r="P696" s="85">
        <v>0</v>
      </c>
      <c r="Q696" s="85">
        <v>0</v>
      </c>
      <c r="R696" s="85"/>
      <c r="S696" s="86"/>
    </row>
    <row r="697" spans="1:19" ht="15">
      <c r="A697" s="70">
        <v>4</v>
      </c>
      <c r="B697" s="70"/>
      <c r="C697" s="72" t="s">
        <v>796</v>
      </c>
      <c r="D697" s="72" t="s">
        <v>422</v>
      </c>
      <c r="E697" s="85">
        <v>0</v>
      </c>
      <c r="F697" s="85" t="s">
        <v>254</v>
      </c>
      <c r="G697" s="85">
        <v>0</v>
      </c>
      <c r="H697" s="85" t="s">
        <v>254</v>
      </c>
      <c r="I697" s="85">
        <v>0</v>
      </c>
      <c r="J697" s="85">
        <v>0</v>
      </c>
      <c r="K697" s="85" t="s">
        <v>254</v>
      </c>
      <c r="L697" s="85" t="s">
        <v>254</v>
      </c>
      <c r="M697" s="85">
        <v>0</v>
      </c>
      <c r="N697" s="85" t="s">
        <v>254</v>
      </c>
      <c r="O697" s="85">
        <v>0</v>
      </c>
      <c r="P697" s="85">
        <v>0</v>
      </c>
      <c r="Q697" s="85">
        <v>0</v>
      </c>
      <c r="R697" s="85"/>
      <c r="S697" s="86"/>
    </row>
    <row r="698" spans="1:19" ht="15">
      <c r="A698" s="70">
        <v>5</v>
      </c>
      <c r="B698" s="70"/>
      <c r="C698" s="72" t="s">
        <v>2448</v>
      </c>
      <c r="D698" s="72" t="s">
        <v>422</v>
      </c>
      <c r="E698" s="85">
        <v>10760830</v>
      </c>
      <c r="F698" s="85" t="s">
        <v>254</v>
      </c>
      <c r="G698" s="85">
        <v>9732302.3484011702</v>
      </c>
      <c r="H698" s="85" t="s">
        <v>254</v>
      </c>
      <c r="I698" s="85">
        <v>501237.48501851154</v>
      </c>
      <c r="J698" s="85">
        <v>527290.16658031777</v>
      </c>
      <c r="K698" s="85" t="s">
        <v>254</v>
      </c>
      <c r="L698" s="85" t="s">
        <v>254</v>
      </c>
      <c r="M698" s="85">
        <v>240.56362640444178</v>
      </c>
      <c r="N698" s="85" t="s">
        <v>254</v>
      </c>
      <c r="O698" s="85">
        <v>527049.60295391339</v>
      </c>
      <c r="P698" s="85">
        <v>168255.59651043417</v>
      </c>
      <c r="Q698" s="85">
        <v>358794.00644347927</v>
      </c>
      <c r="R698" s="85"/>
      <c r="S698" s="86"/>
    </row>
    <row r="699" spans="1:19" ht="15">
      <c r="A699" s="70">
        <v>6</v>
      </c>
      <c r="B699" s="70"/>
      <c r="C699" s="72" t="s">
        <v>767</v>
      </c>
      <c r="D699" s="72" t="s">
        <v>721</v>
      </c>
      <c r="E699" s="85">
        <v>0</v>
      </c>
      <c r="F699" s="85" t="s">
        <v>254</v>
      </c>
      <c r="G699" s="85">
        <v>0</v>
      </c>
      <c r="H699" s="85" t="s">
        <v>254</v>
      </c>
      <c r="I699" s="85">
        <v>0</v>
      </c>
      <c r="J699" s="85">
        <v>0</v>
      </c>
      <c r="K699" s="85" t="s">
        <v>254</v>
      </c>
      <c r="L699" s="85" t="s">
        <v>254</v>
      </c>
      <c r="M699" s="85">
        <v>0</v>
      </c>
      <c r="N699" s="85" t="s">
        <v>254</v>
      </c>
      <c r="O699" s="85">
        <v>0</v>
      </c>
      <c r="P699" s="85">
        <v>0</v>
      </c>
      <c r="Q699" s="85">
        <v>0</v>
      </c>
      <c r="R699" s="85"/>
      <c r="S699" s="86"/>
    </row>
    <row r="700" spans="1:19" ht="15">
      <c r="A700" s="70">
        <v>7</v>
      </c>
      <c r="B700" s="70"/>
      <c r="C700" s="72" t="s">
        <v>768</v>
      </c>
      <c r="D700" s="72" t="s">
        <v>254</v>
      </c>
      <c r="E700" s="85">
        <v>43865520.736850806</v>
      </c>
      <c r="F700" s="85" t="s">
        <v>254</v>
      </c>
      <c r="G700" s="85">
        <v>39598799.242075369</v>
      </c>
      <c r="H700" s="85" t="s">
        <v>254</v>
      </c>
      <c r="I700" s="85">
        <v>1890182.1273374753</v>
      </c>
      <c r="J700" s="85">
        <v>2376539.3674379587</v>
      </c>
      <c r="K700" s="85" t="s">
        <v>254</v>
      </c>
      <c r="L700" s="85" t="s">
        <v>254</v>
      </c>
      <c r="M700" s="85">
        <v>476.72144412150715</v>
      </c>
      <c r="N700" s="85" t="s">
        <v>254</v>
      </c>
      <c r="O700" s="85">
        <v>2376062.6459938372</v>
      </c>
      <c r="P700" s="85">
        <v>750791.82717457018</v>
      </c>
      <c r="Q700" s="85">
        <v>1625270.818819267</v>
      </c>
      <c r="R700" s="85"/>
      <c r="S700" s="86"/>
    </row>
    <row r="701" spans="1:19" ht="15">
      <c r="A701" s="70" t="s">
        <v>254</v>
      </c>
      <c r="B701" s="70"/>
      <c r="C701" s="72" t="s">
        <v>254</v>
      </c>
      <c r="D701" s="72" t="s">
        <v>254</v>
      </c>
      <c r="E701" s="85" t="s">
        <v>254</v>
      </c>
      <c r="F701" s="85" t="s">
        <v>254</v>
      </c>
      <c r="G701" s="85" t="s">
        <v>254</v>
      </c>
      <c r="H701" s="85" t="s">
        <v>254</v>
      </c>
      <c r="I701" s="85" t="s">
        <v>254</v>
      </c>
      <c r="J701" s="85" t="s">
        <v>254</v>
      </c>
      <c r="K701" s="85" t="s">
        <v>254</v>
      </c>
      <c r="L701" s="85" t="s">
        <v>254</v>
      </c>
      <c r="M701" s="85" t="s">
        <v>254</v>
      </c>
      <c r="N701" s="85" t="s">
        <v>254</v>
      </c>
      <c r="O701" s="85" t="s">
        <v>254</v>
      </c>
      <c r="P701" s="85" t="s">
        <v>254</v>
      </c>
      <c r="Q701" s="85" t="s">
        <v>254</v>
      </c>
      <c r="R701" s="85"/>
      <c r="S701" s="86"/>
    </row>
    <row r="702" spans="1:19" ht="15">
      <c r="A702" s="70">
        <v>8</v>
      </c>
      <c r="B702" s="70"/>
      <c r="C702" s="72" t="s">
        <v>769</v>
      </c>
      <c r="D702" s="72" t="s">
        <v>307</v>
      </c>
      <c r="E702" s="85">
        <v>0</v>
      </c>
      <c r="F702" s="85" t="s">
        <v>254</v>
      </c>
      <c r="G702" s="85">
        <v>0</v>
      </c>
      <c r="H702" s="85" t="s">
        <v>254</v>
      </c>
      <c r="I702" s="85">
        <v>0</v>
      </c>
      <c r="J702" s="85">
        <v>0</v>
      </c>
      <c r="K702" s="85" t="s">
        <v>254</v>
      </c>
      <c r="L702" s="85" t="s">
        <v>254</v>
      </c>
      <c r="M702" s="85">
        <v>0</v>
      </c>
      <c r="N702" s="85" t="s">
        <v>254</v>
      </c>
      <c r="O702" s="85">
        <v>0</v>
      </c>
      <c r="P702" s="85">
        <v>0</v>
      </c>
      <c r="Q702" s="85">
        <v>0</v>
      </c>
      <c r="R702" s="85"/>
      <c r="S702" s="86"/>
    </row>
    <row r="703" spans="1:19" ht="15">
      <c r="A703" s="70">
        <v>9</v>
      </c>
      <c r="B703" s="70"/>
      <c r="C703" s="72" t="s">
        <v>770</v>
      </c>
      <c r="D703" s="72" t="s">
        <v>721</v>
      </c>
      <c r="E703" s="85">
        <v>0</v>
      </c>
      <c r="F703" s="85" t="s">
        <v>254</v>
      </c>
      <c r="G703" s="85">
        <v>0</v>
      </c>
      <c r="H703" s="85" t="s">
        <v>254</v>
      </c>
      <c r="I703" s="85">
        <v>0</v>
      </c>
      <c r="J703" s="85">
        <v>0</v>
      </c>
      <c r="K703" s="85" t="s">
        <v>254</v>
      </c>
      <c r="L703" s="85" t="s">
        <v>254</v>
      </c>
      <c r="M703" s="85">
        <v>0</v>
      </c>
      <c r="N703" s="85" t="s">
        <v>254</v>
      </c>
      <c r="O703" s="85">
        <v>0</v>
      </c>
      <c r="P703" s="85">
        <v>0</v>
      </c>
      <c r="Q703" s="85">
        <v>0</v>
      </c>
      <c r="R703" s="85"/>
      <c r="S703" s="86"/>
    </row>
    <row r="704" spans="1:19" ht="15">
      <c r="A704" s="70">
        <v>10</v>
      </c>
      <c r="B704" s="70"/>
      <c r="C704" s="72" t="s">
        <v>771</v>
      </c>
      <c r="D704" s="72" t="s">
        <v>422</v>
      </c>
      <c r="E704" s="85">
        <v>957051.45900000015</v>
      </c>
      <c r="F704" s="85" t="s">
        <v>254</v>
      </c>
      <c r="G704" s="85">
        <v>0</v>
      </c>
      <c r="H704" s="85" t="s">
        <v>254</v>
      </c>
      <c r="I704" s="85">
        <v>22454.909332304956</v>
      </c>
      <c r="J704" s="85">
        <v>0</v>
      </c>
      <c r="K704" s="85" t="s">
        <v>254</v>
      </c>
      <c r="L704" s="85" t="s">
        <v>254</v>
      </c>
      <c r="M704" s="85">
        <v>0</v>
      </c>
      <c r="N704" s="85" t="s">
        <v>254</v>
      </c>
      <c r="O704" s="85">
        <v>0</v>
      </c>
      <c r="P704" s="85">
        <v>0</v>
      </c>
      <c r="Q704" s="85">
        <v>0</v>
      </c>
      <c r="R704" s="85"/>
      <c r="S704" s="86"/>
    </row>
    <row r="705" spans="1:19" ht="15">
      <c r="A705" s="70" t="s">
        <v>254</v>
      </c>
      <c r="B705" s="70"/>
      <c r="C705" s="72" t="s">
        <v>254</v>
      </c>
      <c r="D705" s="72" t="s">
        <v>254</v>
      </c>
      <c r="E705" s="85" t="s">
        <v>254</v>
      </c>
      <c r="F705" s="85" t="s">
        <v>254</v>
      </c>
      <c r="G705" s="85" t="s">
        <v>254</v>
      </c>
      <c r="H705" s="85" t="s">
        <v>254</v>
      </c>
      <c r="I705" s="85" t="s">
        <v>254</v>
      </c>
      <c r="J705" s="85" t="s">
        <v>254</v>
      </c>
      <c r="K705" s="85" t="s">
        <v>254</v>
      </c>
      <c r="L705" s="85" t="s">
        <v>254</v>
      </c>
      <c r="M705" s="85" t="s">
        <v>254</v>
      </c>
      <c r="N705" s="85" t="s">
        <v>254</v>
      </c>
      <c r="O705" s="85" t="s">
        <v>254</v>
      </c>
      <c r="P705" s="85" t="s">
        <v>254</v>
      </c>
      <c r="Q705" s="85" t="s">
        <v>254</v>
      </c>
      <c r="R705" s="85"/>
      <c r="S705" s="86"/>
    </row>
    <row r="706" spans="1:19" ht="15">
      <c r="A706" s="70" t="s">
        <v>254</v>
      </c>
      <c r="B706" s="70"/>
      <c r="C706" s="72" t="s">
        <v>772</v>
      </c>
      <c r="D706" s="72" t="s">
        <v>254</v>
      </c>
      <c r="E706" s="85" t="s">
        <v>254</v>
      </c>
      <c r="F706" s="85" t="s">
        <v>254</v>
      </c>
      <c r="G706" s="85" t="s">
        <v>254</v>
      </c>
      <c r="H706" s="85" t="s">
        <v>254</v>
      </c>
      <c r="I706" s="85" t="s">
        <v>254</v>
      </c>
      <c r="J706" s="85" t="s">
        <v>254</v>
      </c>
      <c r="K706" s="85" t="s">
        <v>254</v>
      </c>
      <c r="L706" s="85" t="s">
        <v>254</v>
      </c>
      <c r="M706" s="85" t="s">
        <v>254</v>
      </c>
      <c r="N706" s="85" t="s">
        <v>254</v>
      </c>
      <c r="O706" s="85" t="s">
        <v>254</v>
      </c>
      <c r="P706" s="85" t="s">
        <v>254</v>
      </c>
      <c r="Q706" s="85" t="s">
        <v>254</v>
      </c>
      <c r="R706" s="85"/>
      <c r="S706" s="86"/>
    </row>
    <row r="707" spans="1:19" ht="15">
      <c r="A707" s="70">
        <v>11</v>
      </c>
      <c r="B707" s="70"/>
      <c r="C707" s="72" t="s">
        <v>531</v>
      </c>
      <c r="D707" s="72" t="s">
        <v>501</v>
      </c>
      <c r="E707" s="85">
        <v>0</v>
      </c>
      <c r="F707" s="85" t="s">
        <v>254</v>
      </c>
      <c r="G707" s="85">
        <v>0</v>
      </c>
      <c r="H707" s="85" t="s">
        <v>254</v>
      </c>
      <c r="I707" s="85">
        <v>0</v>
      </c>
      <c r="J707" s="85">
        <v>0</v>
      </c>
      <c r="K707" s="85" t="s">
        <v>254</v>
      </c>
      <c r="L707" s="85" t="s">
        <v>254</v>
      </c>
      <c r="M707" s="85">
        <v>0</v>
      </c>
      <c r="N707" s="85" t="s">
        <v>254</v>
      </c>
      <c r="O707" s="85">
        <v>0</v>
      </c>
      <c r="P707" s="85">
        <v>0</v>
      </c>
      <c r="Q707" s="85">
        <v>0</v>
      </c>
      <c r="R707" s="85"/>
      <c r="S707" s="86"/>
    </row>
    <row r="708" spans="1:19" ht="15">
      <c r="A708" s="70">
        <v>12</v>
      </c>
      <c r="B708" s="70"/>
      <c r="C708" s="72" t="s">
        <v>532</v>
      </c>
      <c r="D708" s="72" t="s">
        <v>503</v>
      </c>
      <c r="E708" s="85">
        <v>0</v>
      </c>
      <c r="F708" s="85" t="s">
        <v>254</v>
      </c>
      <c r="G708" s="85">
        <v>0</v>
      </c>
      <c r="H708" s="85" t="s">
        <v>254</v>
      </c>
      <c r="I708" s="85">
        <v>0</v>
      </c>
      <c r="J708" s="85">
        <v>0</v>
      </c>
      <c r="K708" s="85" t="s">
        <v>254</v>
      </c>
      <c r="L708" s="85" t="s">
        <v>254</v>
      </c>
      <c r="M708" s="85">
        <v>0</v>
      </c>
      <c r="N708" s="85" t="s">
        <v>254</v>
      </c>
      <c r="O708" s="85">
        <v>0</v>
      </c>
      <c r="P708" s="85">
        <v>0</v>
      </c>
      <c r="Q708" s="85">
        <v>0</v>
      </c>
      <c r="R708" s="85"/>
      <c r="S708" s="86"/>
    </row>
    <row r="709" spans="1:19" ht="15">
      <c r="A709" s="70">
        <v>13</v>
      </c>
      <c r="B709" s="70"/>
      <c r="C709" s="72" t="s">
        <v>773</v>
      </c>
      <c r="D709" s="72" t="s">
        <v>462</v>
      </c>
      <c r="E709" s="85">
        <v>0</v>
      </c>
      <c r="F709" s="85" t="s">
        <v>254</v>
      </c>
      <c r="G709" s="85">
        <v>0</v>
      </c>
      <c r="H709" s="85" t="s">
        <v>254</v>
      </c>
      <c r="I709" s="85">
        <v>0</v>
      </c>
      <c r="J709" s="85">
        <v>0</v>
      </c>
      <c r="K709" s="85" t="s">
        <v>254</v>
      </c>
      <c r="L709" s="85" t="s">
        <v>254</v>
      </c>
      <c r="M709" s="85">
        <v>0</v>
      </c>
      <c r="N709" s="85" t="s">
        <v>254</v>
      </c>
      <c r="O709" s="85">
        <v>0</v>
      </c>
      <c r="P709" s="85">
        <v>0</v>
      </c>
      <c r="Q709" s="85">
        <v>0</v>
      </c>
      <c r="R709" s="85"/>
      <c r="S709" s="86"/>
    </row>
    <row r="710" spans="1:19" ht="15">
      <c r="A710" s="70">
        <v>14</v>
      </c>
      <c r="B710" s="70"/>
      <c r="C710" s="72" t="s">
        <v>774</v>
      </c>
      <c r="D710" s="72" t="s">
        <v>775</v>
      </c>
      <c r="E710" s="85">
        <v>0</v>
      </c>
      <c r="F710" s="85" t="s">
        <v>254</v>
      </c>
      <c r="G710" s="85">
        <v>0</v>
      </c>
      <c r="H710" s="85" t="s">
        <v>254</v>
      </c>
      <c r="I710" s="85">
        <v>0</v>
      </c>
      <c r="J710" s="85">
        <v>0</v>
      </c>
      <c r="K710" s="85" t="s">
        <v>254</v>
      </c>
      <c r="L710" s="85" t="s">
        <v>254</v>
      </c>
      <c r="M710" s="85">
        <v>0</v>
      </c>
      <c r="N710" s="85" t="s">
        <v>254</v>
      </c>
      <c r="O710" s="85">
        <v>0</v>
      </c>
      <c r="P710" s="85">
        <v>0</v>
      </c>
      <c r="Q710" s="85">
        <v>0</v>
      </c>
      <c r="R710" s="85"/>
      <c r="S710" s="86"/>
    </row>
    <row r="711" spans="1:19" ht="15">
      <c r="A711" s="70">
        <v>15</v>
      </c>
      <c r="B711" s="70"/>
      <c r="C711" s="72" t="s">
        <v>536</v>
      </c>
      <c r="D711" s="72" t="s">
        <v>528</v>
      </c>
      <c r="E711" s="85">
        <v>0</v>
      </c>
      <c r="F711" s="85" t="s">
        <v>254</v>
      </c>
      <c r="G711" s="85">
        <v>0</v>
      </c>
      <c r="H711" s="85" t="s">
        <v>254</v>
      </c>
      <c r="I711" s="85">
        <v>0</v>
      </c>
      <c r="J711" s="85">
        <v>0</v>
      </c>
      <c r="K711" s="85" t="s">
        <v>254</v>
      </c>
      <c r="L711" s="85" t="s">
        <v>254</v>
      </c>
      <c r="M711" s="85">
        <v>0</v>
      </c>
      <c r="N711" s="85" t="s">
        <v>254</v>
      </c>
      <c r="O711" s="85">
        <v>0</v>
      </c>
      <c r="P711" s="85">
        <v>0</v>
      </c>
      <c r="Q711" s="85">
        <v>0</v>
      </c>
      <c r="R711" s="85"/>
      <c r="S711" s="86"/>
    </row>
    <row r="712" spans="1:19" ht="15">
      <c r="A712" s="70">
        <v>16</v>
      </c>
      <c r="B712" s="70"/>
      <c r="C712" s="72" t="s">
        <v>537</v>
      </c>
      <c r="D712" s="72" t="s">
        <v>471</v>
      </c>
      <c r="E712" s="85">
        <v>0</v>
      </c>
      <c r="F712" s="85" t="s">
        <v>254</v>
      </c>
      <c r="G712" s="85">
        <v>0</v>
      </c>
      <c r="H712" s="85" t="s">
        <v>254</v>
      </c>
      <c r="I712" s="85">
        <v>0</v>
      </c>
      <c r="J712" s="85">
        <v>0</v>
      </c>
      <c r="K712" s="85" t="s">
        <v>254</v>
      </c>
      <c r="L712" s="85" t="s">
        <v>254</v>
      </c>
      <c r="M712" s="85">
        <v>0</v>
      </c>
      <c r="N712" s="85" t="s">
        <v>254</v>
      </c>
      <c r="O712" s="85">
        <v>0</v>
      </c>
      <c r="P712" s="85">
        <v>0</v>
      </c>
      <c r="Q712" s="85">
        <v>0</v>
      </c>
      <c r="R712" s="85"/>
      <c r="S712" s="86"/>
    </row>
    <row r="713" spans="1:19" ht="15">
      <c r="A713" s="70">
        <v>17</v>
      </c>
      <c r="B713" s="70"/>
      <c r="C713" s="72" t="s">
        <v>776</v>
      </c>
      <c r="D713" s="72" t="s">
        <v>254</v>
      </c>
      <c r="E713" s="85">
        <v>0</v>
      </c>
      <c r="F713" s="85" t="s">
        <v>254</v>
      </c>
      <c r="G713" s="85">
        <v>0</v>
      </c>
      <c r="H713" s="85" t="s">
        <v>254</v>
      </c>
      <c r="I713" s="85">
        <v>0</v>
      </c>
      <c r="J713" s="85">
        <v>0</v>
      </c>
      <c r="K713" s="85" t="s">
        <v>254</v>
      </c>
      <c r="L713" s="85" t="s">
        <v>254</v>
      </c>
      <c r="M713" s="85">
        <v>0</v>
      </c>
      <c r="N713" s="85" t="s">
        <v>254</v>
      </c>
      <c r="O713" s="85">
        <v>0</v>
      </c>
      <c r="P713" s="85">
        <v>0</v>
      </c>
      <c r="Q713" s="85">
        <v>0</v>
      </c>
      <c r="R713" s="85"/>
      <c r="S713" s="86"/>
    </row>
    <row r="714" spans="1:19" ht="15">
      <c r="A714" s="70" t="s">
        <v>254</v>
      </c>
      <c r="B714" s="70"/>
      <c r="C714" s="72" t="s">
        <v>254</v>
      </c>
      <c r="D714" s="72" t="s">
        <v>254</v>
      </c>
      <c r="E714" s="85" t="s">
        <v>254</v>
      </c>
      <c r="F714" s="85" t="s">
        <v>254</v>
      </c>
      <c r="G714" s="85" t="s">
        <v>254</v>
      </c>
      <c r="H714" s="85" t="s">
        <v>254</v>
      </c>
      <c r="I714" s="85" t="s">
        <v>254</v>
      </c>
      <c r="J714" s="85" t="s">
        <v>254</v>
      </c>
      <c r="K714" s="85" t="s">
        <v>254</v>
      </c>
      <c r="L714" s="85" t="s">
        <v>254</v>
      </c>
      <c r="M714" s="85" t="s">
        <v>254</v>
      </c>
      <c r="N714" s="85" t="s">
        <v>254</v>
      </c>
      <c r="O714" s="85" t="s">
        <v>254</v>
      </c>
      <c r="P714" s="85" t="s">
        <v>254</v>
      </c>
      <c r="Q714" s="85" t="s">
        <v>254</v>
      </c>
      <c r="R714" s="85"/>
      <c r="S714" s="86"/>
    </row>
    <row r="715" spans="1:19" ht="15">
      <c r="A715" s="70">
        <v>18</v>
      </c>
      <c r="B715" s="70"/>
      <c r="C715" s="72" t="s">
        <v>777</v>
      </c>
      <c r="D715" s="72" t="s">
        <v>254</v>
      </c>
      <c r="E715" s="85">
        <v>1395579295.6656921</v>
      </c>
      <c r="F715" s="85" t="s">
        <v>254</v>
      </c>
      <c r="G715" s="85">
        <v>1242284381.9563818</v>
      </c>
      <c r="H715" s="85" t="s">
        <v>254</v>
      </c>
      <c r="I715" s="85">
        <v>60141432.123392694</v>
      </c>
      <c r="J715" s="85">
        <v>93153481.585917801</v>
      </c>
      <c r="K715" s="85" t="s">
        <v>254</v>
      </c>
      <c r="L715" s="85" t="s">
        <v>254</v>
      </c>
      <c r="M715" s="85">
        <v>18975.570167325535</v>
      </c>
      <c r="N715" s="85" t="s">
        <v>254</v>
      </c>
      <c r="O715" s="85">
        <v>93134506.015750468</v>
      </c>
      <c r="P715" s="85">
        <v>29411989.769537657</v>
      </c>
      <c r="Q715" s="85">
        <v>63722516.246212803</v>
      </c>
      <c r="R715" s="85"/>
      <c r="S715" s="86"/>
    </row>
    <row r="716" spans="1:19" ht="15">
      <c r="A716" s="70" t="s">
        <v>254</v>
      </c>
      <c r="B716" s="70"/>
      <c r="C716" s="72" t="s">
        <v>254</v>
      </c>
      <c r="D716" s="72" t="s">
        <v>254</v>
      </c>
      <c r="E716" s="85" t="s">
        <v>254</v>
      </c>
      <c r="F716" s="85" t="s">
        <v>254</v>
      </c>
      <c r="G716" s="85" t="s">
        <v>254</v>
      </c>
      <c r="H716" s="85" t="s">
        <v>254</v>
      </c>
      <c r="I716" s="85" t="s">
        <v>254</v>
      </c>
      <c r="J716" s="85" t="s">
        <v>254</v>
      </c>
      <c r="K716" s="85" t="s">
        <v>254</v>
      </c>
      <c r="L716" s="85" t="s">
        <v>254</v>
      </c>
      <c r="M716" s="85" t="s">
        <v>254</v>
      </c>
      <c r="N716" s="85" t="s">
        <v>254</v>
      </c>
      <c r="O716" s="85" t="s">
        <v>254</v>
      </c>
      <c r="P716" s="85" t="s">
        <v>254</v>
      </c>
      <c r="Q716" s="85" t="s">
        <v>254</v>
      </c>
      <c r="R716" s="85"/>
      <c r="S716" s="86"/>
    </row>
    <row r="717" spans="1:19" ht="15">
      <c r="A717" s="70" t="s">
        <v>254</v>
      </c>
      <c r="B717" s="70"/>
      <c r="C717" s="72" t="s">
        <v>254</v>
      </c>
      <c r="D717" s="72" t="s">
        <v>254</v>
      </c>
      <c r="E717" s="85" t="s">
        <v>254</v>
      </c>
      <c r="F717" s="85" t="s">
        <v>254</v>
      </c>
      <c r="G717" s="85" t="s">
        <v>254</v>
      </c>
      <c r="H717" s="85" t="s">
        <v>254</v>
      </c>
      <c r="I717" s="85" t="s">
        <v>254</v>
      </c>
      <c r="J717" s="85" t="s">
        <v>254</v>
      </c>
      <c r="K717" s="85" t="s">
        <v>254</v>
      </c>
      <c r="L717" s="85" t="s">
        <v>254</v>
      </c>
      <c r="M717" s="85" t="s">
        <v>254</v>
      </c>
      <c r="N717" s="85" t="s">
        <v>254</v>
      </c>
      <c r="O717" s="85" t="s">
        <v>254</v>
      </c>
      <c r="P717" s="85" t="s">
        <v>254</v>
      </c>
      <c r="Q717" s="85" t="s">
        <v>254</v>
      </c>
      <c r="R717" s="85"/>
      <c r="S717" s="86"/>
    </row>
    <row r="718" spans="1:19" ht="15">
      <c r="A718" s="70" t="s">
        <v>254</v>
      </c>
      <c r="B718" s="70"/>
      <c r="C718" s="72" t="s">
        <v>254</v>
      </c>
      <c r="D718" s="72" t="s">
        <v>254</v>
      </c>
      <c r="E718" s="85" t="s">
        <v>254</v>
      </c>
      <c r="F718" s="85" t="s">
        <v>254</v>
      </c>
      <c r="G718" s="85" t="s">
        <v>254</v>
      </c>
      <c r="H718" s="85" t="s">
        <v>254</v>
      </c>
      <c r="I718" s="85" t="s">
        <v>254</v>
      </c>
      <c r="J718" s="85" t="s">
        <v>254</v>
      </c>
      <c r="K718" s="85" t="s">
        <v>254</v>
      </c>
      <c r="L718" s="85" t="s">
        <v>254</v>
      </c>
      <c r="M718" s="85" t="s">
        <v>254</v>
      </c>
      <c r="N718" s="85" t="s">
        <v>254</v>
      </c>
      <c r="O718" s="85" t="s">
        <v>254</v>
      </c>
      <c r="P718" s="85" t="s">
        <v>254</v>
      </c>
      <c r="Q718" s="85" t="s">
        <v>254</v>
      </c>
      <c r="R718" s="85"/>
      <c r="S718" s="86"/>
    </row>
    <row r="719" spans="1:19" ht="15">
      <c r="A719" s="70" t="s">
        <v>254</v>
      </c>
      <c r="B719" s="70"/>
      <c r="C719" s="72" t="s">
        <v>254</v>
      </c>
      <c r="D719" s="72" t="s">
        <v>254</v>
      </c>
      <c r="E719" s="85" t="s">
        <v>254</v>
      </c>
      <c r="F719" s="85" t="s">
        <v>254</v>
      </c>
      <c r="G719" s="85" t="s">
        <v>254</v>
      </c>
      <c r="H719" s="85" t="s">
        <v>254</v>
      </c>
      <c r="I719" s="85" t="s">
        <v>254</v>
      </c>
      <c r="J719" s="85" t="s">
        <v>254</v>
      </c>
      <c r="K719" s="85" t="s">
        <v>254</v>
      </c>
      <c r="L719" s="85" t="s">
        <v>254</v>
      </c>
      <c r="M719" s="85" t="s">
        <v>254</v>
      </c>
      <c r="N719" s="85" t="s">
        <v>254</v>
      </c>
      <c r="O719" s="85" t="s">
        <v>254</v>
      </c>
      <c r="P719" s="85" t="s">
        <v>254</v>
      </c>
      <c r="Q719" s="85" t="s">
        <v>254</v>
      </c>
      <c r="R719" s="85"/>
      <c r="S719" s="86"/>
    </row>
    <row r="720" spans="1:19" ht="15">
      <c r="A720" s="70" t="s">
        <v>254</v>
      </c>
      <c r="B720" s="70"/>
      <c r="C720" s="72" t="s">
        <v>254</v>
      </c>
      <c r="D720" s="72" t="s">
        <v>254</v>
      </c>
      <c r="E720" s="85" t="s">
        <v>254</v>
      </c>
      <c r="F720" s="85" t="s">
        <v>254</v>
      </c>
      <c r="G720" s="85" t="s">
        <v>254</v>
      </c>
      <c r="H720" s="85" t="s">
        <v>254</v>
      </c>
      <c r="I720" s="85" t="s">
        <v>254</v>
      </c>
      <c r="J720" s="85" t="s">
        <v>254</v>
      </c>
      <c r="K720" s="85" t="s">
        <v>254</v>
      </c>
      <c r="L720" s="85" t="s">
        <v>254</v>
      </c>
      <c r="M720" s="85" t="s">
        <v>254</v>
      </c>
      <c r="N720" s="85" t="s">
        <v>254</v>
      </c>
      <c r="O720" s="85" t="s">
        <v>254</v>
      </c>
      <c r="P720" s="85" t="s">
        <v>254</v>
      </c>
      <c r="Q720" s="85" t="s">
        <v>254</v>
      </c>
      <c r="R720" s="85"/>
      <c r="S720" s="86"/>
    </row>
    <row r="721" spans="1:19" ht="15">
      <c r="A721" s="70" t="s">
        <v>254</v>
      </c>
      <c r="B721" s="70"/>
      <c r="C721" s="72" t="s">
        <v>254</v>
      </c>
      <c r="D721" s="72" t="s">
        <v>254</v>
      </c>
      <c r="E721" s="85" t="s">
        <v>254</v>
      </c>
      <c r="F721" s="85" t="s">
        <v>254</v>
      </c>
      <c r="G721" s="85" t="s">
        <v>254</v>
      </c>
      <c r="H721" s="85" t="s">
        <v>254</v>
      </c>
      <c r="I721" s="85" t="s">
        <v>254</v>
      </c>
      <c r="J721" s="85" t="s">
        <v>254</v>
      </c>
      <c r="K721" s="85" t="s">
        <v>254</v>
      </c>
      <c r="L721" s="85" t="s">
        <v>254</v>
      </c>
      <c r="M721" s="85" t="s">
        <v>254</v>
      </c>
      <c r="N721" s="85" t="s">
        <v>254</v>
      </c>
      <c r="O721" s="85" t="s">
        <v>254</v>
      </c>
      <c r="P721" s="85" t="s">
        <v>254</v>
      </c>
      <c r="Q721" s="85" t="s">
        <v>254</v>
      </c>
      <c r="R721" s="85"/>
      <c r="S721" s="86"/>
    </row>
    <row r="722" spans="1:19" ht="15">
      <c r="A722" s="70" t="s">
        <v>254</v>
      </c>
      <c r="B722" s="70"/>
      <c r="C722" s="72" t="s">
        <v>254</v>
      </c>
      <c r="D722" s="72" t="s">
        <v>254</v>
      </c>
      <c r="E722" s="85" t="s">
        <v>254</v>
      </c>
      <c r="F722" s="85" t="s">
        <v>254</v>
      </c>
      <c r="G722" s="85" t="s">
        <v>254</v>
      </c>
      <c r="H722" s="85" t="s">
        <v>254</v>
      </c>
      <c r="I722" s="85" t="s">
        <v>254</v>
      </c>
      <c r="J722" s="85" t="s">
        <v>254</v>
      </c>
      <c r="K722" s="85" t="s">
        <v>254</v>
      </c>
      <c r="L722" s="85" t="s">
        <v>254</v>
      </c>
      <c r="M722" s="85" t="s">
        <v>254</v>
      </c>
      <c r="N722" s="85" t="s">
        <v>254</v>
      </c>
      <c r="O722" s="85" t="s">
        <v>254</v>
      </c>
      <c r="P722" s="85" t="s">
        <v>254</v>
      </c>
      <c r="Q722" s="85" t="s">
        <v>254</v>
      </c>
      <c r="R722" s="85"/>
      <c r="S722" s="86"/>
    </row>
    <row r="723" spans="1:19" ht="15">
      <c r="A723" s="70" t="s">
        <v>254</v>
      </c>
      <c r="B723" s="70"/>
      <c r="C723" s="72" t="s">
        <v>254</v>
      </c>
      <c r="D723" s="72" t="s">
        <v>254</v>
      </c>
      <c r="E723" s="85" t="s">
        <v>254</v>
      </c>
      <c r="F723" s="85" t="s">
        <v>254</v>
      </c>
      <c r="G723" s="85" t="s">
        <v>254</v>
      </c>
      <c r="H723" s="85" t="s">
        <v>254</v>
      </c>
      <c r="I723" s="85" t="s">
        <v>254</v>
      </c>
      <c r="J723" s="85" t="s">
        <v>254</v>
      </c>
      <c r="K723" s="85" t="s">
        <v>254</v>
      </c>
      <c r="L723" s="85" t="s">
        <v>254</v>
      </c>
      <c r="M723" s="85" t="s">
        <v>254</v>
      </c>
      <c r="N723" s="85" t="s">
        <v>254</v>
      </c>
      <c r="O723" s="85" t="s">
        <v>254</v>
      </c>
      <c r="P723" s="85" t="s">
        <v>254</v>
      </c>
      <c r="Q723" s="85" t="s">
        <v>254</v>
      </c>
      <c r="R723" s="85"/>
      <c r="S723" s="86"/>
    </row>
    <row r="724" spans="1:19" ht="15">
      <c r="A724" s="70" t="s">
        <v>254</v>
      </c>
      <c r="B724" s="70"/>
      <c r="C724" s="72" t="s">
        <v>778</v>
      </c>
      <c r="D724" s="72" t="s">
        <v>254</v>
      </c>
      <c r="E724" s="85" t="s">
        <v>254</v>
      </c>
      <c r="F724" s="85" t="s">
        <v>254</v>
      </c>
      <c r="G724" s="85" t="s">
        <v>254</v>
      </c>
      <c r="H724" s="85" t="s">
        <v>254</v>
      </c>
      <c r="I724" s="85" t="s">
        <v>254</v>
      </c>
      <c r="J724" s="85" t="s">
        <v>254</v>
      </c>
      <c r="K724" s="85" t="s">
        <v>254</v>
      </c>
      <c r="L724" s="85" t="s">
        <v>254</v>
      </c>
      <c r="M724" s="85" t="s">
        <v>254</v>
      </c>
      <c r="N724" s="85" t="s">
        <v>254</v>
      </c>
      <c r="O724" s="85" t="s">
        <v>254</v>
      </c>
      <c r="P724" s="85" t="s">
        <v>254</v>
      </c>
      <c r="Q724" s="85" t="s">
        <v>254</v>
      </c>
      <c r="R724" s="85"/>
      <c r="S724" s="86"/>
    </row>
    <row r="725" spans="1:19" ht="15">
      <c r="A725" s="70" t="s">
        <v>254</v>
      </c>
      <c r="B725" s="70"/>
      <c r="C725" s="72" t="s">
        <v>254</v>
      </c>
      <c r="D725" s="72" t="s">
        <v>254</v>
      </c>
      <c r="E725" s="85" t="s">
        <v>254</v>
      </c>
      <c r="F725" s="85" t="s">
        <v>254</v>
      </c>
      <c r="G725" s="85" t="s">
        <v>254</v>
      </c>
      <c r="H725" s="85" t="s">
        <v>254</v>
      </c>
      <c r="I725" s="85" t="s">
        <v>254</v>
      </c>
      <c r="J725" s="85" t="s">
        <v>254</v>
      </c>
      <c r="K725" s="85" t="s">
        <v>254</v>
      </c>
      <c r="L725" s="85" t="s">
        <v>254</v>
      </c>
      <c r="M725" s="85" t="s">
        <v>254</v>
      </c>
      <c r="N725" s="85" t="s">
        <v>254</v>
      </c>
      <c r="O725" s="85" t="s">
        <v>254</v>
      </c>
      <c r="P725" s="85" t="s">
        <v>254</v>
      </c>
      <c r="Q725" s="85" t="s">
        <v>254</v>
      </c>
      <c r="R725" s="85"/>
      <c r="S725" s="86"/>
    </row>
    <row r="726" spans="1:19" ht="15">
      <c r="A726" s="70">
        <v>1</v>
      </c>
      <c r="B726" s="70"/>
      <c r="C726" s="72" t="s">
        <v>779</v>
      </c>
      <c r="D726" s="72" t="s">
        <v>254</v>
      </c>
      <c r="E726" s="85">
        <v>438467328</v>
      </c>
      <c r="F726" s="85" t="s">
        <v>254</v>
      </c>
      <c r="G726" s="85">
        <v>400332116.389112</v>
      </c>
      <c r="H726" s="85" t="s">
        <v>254</v>
      </c>
      <c r="I726" s="85">
        <v>15811503.360261835</v>
      </c>
      <c r="J726" s="85">
        <v>22323708.192526754</v>
      </c>
      <c r="K726" s="85" t="s">
        <v>254</v>
      </c>
      <c r="L726" s="85" t="s">
        <v>254</v>
      </c>
      <c r="M726" s="85">
        <v>-18782.212141005195</v>
      </c>
      <c r="N726" s="85" t="s">
        <v>254</v>
      </c>
      <c r="O726" s="85">
        <v>22342490.404667757</v>
      </c>
      <c r="P726" s="85">
        <v>6510866.4304752946</v>
      </c>
      <c r="Q726" s="85">
        <v>15831623.974192463</v>
      </c>
      <c r="R726" s="85"/>
      <c r="S726" s="86"/>
    </row>
    <row r="727" spans="1:19" ht="15">
      <c r="A727" s="70" t="s">
        <v>254</v>
      </c>
      <c r="B727" s="70"/>
      <c r="C727" s="72" t="s">
        <v>254</v>
      </c>
      <c r="D727" s="72" t="s">
        <v>254</v>
      </c>
      <c r="E727" s="85" t="s">
        <v>254</v>
      </c>
      <c r="F727" s="85" t="s">
        <v>254</v>
      </c>
      <c r="G727" s="85" t="s">
        <v>254</v>
      </c>
      <c r="H727" s="85" t="s">
        <v>254</v>
      </c>
      <c r="I727" s="85" t="s">
        <v>254</v>
      </c>
      <c r="J727" s="85" t="s">
        <v>254</v>
      </c>
      <c r="K727" s="85" t="s">
        <v>254</v>
      </c>
      <c r="L727" s="85" t="s">
        <v>254</v>
      </c>
      <c r="M727" s="85" t="s">
        <v>254</v>
      </c>
      <c r="N727" s="85" t="s">
        <v>254</v>
      </c>
      <c r="O727" s="85" t="s">
        <v>254</v>
      </c>
      <c r="P727" s="85" t="s">
        <v>254</v>
      </c>
      <c r="Q727" s="85" t="s">
        <v>254</v>
      </c>
      <c r="R727" s="85"/>
      <c r="S727" s="86"/>
    </row>
    <row r="728" spans="1:19" ht="15">
      <c r="A728" s="70" t="s">
        <v>254</v>
      </c>
      <c r="B728" s="70"/>
      <c r="C728" s="72" t="s">
        <v>780</v>
      </c>
      <c r="D728" s="72" t="s">
        <v>254</v>
      </c>
      <c r="E728" s="85" t="s">
        <v>254</v>
      </c>
      <c r="F728" s="85" t="s">
        <v>254</v>
      </c>
      <c r="G728" s="85" t="s">
        <v>254</v>
      </c>
      <c r="H728" s="85" t="s">
        <v>254</v>
      </c>
      <c r="I728" s="85" t="s">
        <v>254</v>
      </c>
      <c r="J728" s="85" t="s">
        <v>254</v>
      </c>
      <c r="K728" s="85" t="s">
        <v>254</v>
      </c>
      <c r="L728" s="85" t="s">
        <v>254</v>
      </c>
      <c r="M728" s="85" t="s">
        <v>254</v>
      </c>
      <c r="N728" s="85" t="s">
        <v>254</v>
      </c>
      <c r="O728" s="85" t="s">
        <v>254</v>
      </c>
      <c r="P728" s="85" t="s">
        <v>254</v>
      </c>
      <c r="Q728" s="85" t="s">
        <v>254</v>
      </c>
      <c r="R728" s="85"/>
      <c r="S728" s="86"/>
    </row>
    <row r="729" spans="1:19" ht="15">
      <c r="A729" s="70" t="s">
        <v>254</v>
      </c>
      <c r="B729" s="70"/>
      <c r="C729" s="72" t="s">
        <v>781</v>
      </c>
      <c r="D729" s="72" t="s">
        <v>254</v>
      </c>
      <c r="E729" s="85" t="s">
        <v>254</v>
      </c>
      <c r="F729" s="85" t="s">
        <v>254</v>
      </c>
      <c r="G729" s="85" t="s">
        <v>254</v>
      </c>
      <c r="H729" s="85" t="s">
        <v>254</v>
      </c>
      <c r="I729" s="85" t="s">
        <v>254</v>
      </c>
      <c r="J729" s="85" t="s">
        <v>254</v>
      </c>
      <c r="K729" s="85" t="s">
        <v>254</v>
      </c>
      <c r="L729" s="85" t="s">
        <v>254</v>
      </c>
      <c r="M729" s="85" t="s">
        <v>254</v>
      </c>
      <c r="N729" s="85" t="s">
        <v>254</v>
      </c>
      <c r="O729" s="85" t="s">
        <v>254</v>
      </c>
      <c r="P729" s="85" t="s">
        <v>254</v>
      </c>
      <c r="Q729" s="85" t="s">
        <v>254</v>
      </c>
      <c r="R729" s="85"/>
      <c r="S729" s="86"/>
    </row>
    <row r="730" spans="1:19" ht="15">
      <c r="A730" s="70">
        <v>2</v>
      </c>
      <c r="B730" s="70"/>
      <c r="C730" s="72" t="s">
        <v>254</v>
      </c>
      <c r="D730" s="72" t="s">
        <v>254</v>
      </c>
      <c r="E730" s="85" t="s">
        <v>254</v>
      </c>
      <c r="F730" s="85" t="s">
        <v>254</v>
      </c>
      <c r="G730" s="85" t="s">
        <v>254</v>
      </c>
      <c r="H730" s="85" t="s">
        <v>254</v>
      </c>
      <c r="I730" s="85" t="s">
        <v>254</v>
      </c>
      <c r="J730" s="85" t="s">
        <v>254</v>
      </c>
      <c r="K730" s="85" t="s">
        <v>254</v>
      </c>
      <c r="L730" s="85" t="s">
        <v>254</v>
      </c>
      <c r="M730" s="85" t="s">
        <v>254</v>
      </c>
      <c r="N730" s="85" t="s">
        <v>254</v>
      </c>
      <c r="O730" s="85" t="s">
        <v>254</v>
      </c>
      <c r="P730" s="85" t="s">
        <v>254</v>
      </c>
      <c r="Q730" s="85" t="s">
        <v>254</v>
      </c>
      <c r="R730" s="85"/>
      <c r="S730" s="86"/>
    </row>
    <row r="731" spans="1:19" ht="15">
      <c r="A731" s="70">
        <v>3</v>
      </c>
      <c r="B731" s="70"/>
      <c r="C731" s="72" t="s">
        <v>254</v>
      </c>
      <c r="D731" s="72" t="s">
        <v>254</v>
      </c>
      <c r="E731" s="85" t="s">
        <v>254</v>
      </c>
      <c r="F731" s="85" t="s">
        <v>254</v>
      </c>
      <c r="G731" s="85" t="s">
        <v>254</v>
      </c>
      <c r="H731" s="85" t="s">
        <v>254</v>
      </c>
      <c r="I731" s="85" t="s">
        <v>254</v>
      </c>
      <c r="J731" s="85" t="s">
        <v>254</v>
      </c>
      <c r="K731" s="85" t="s">
        <v>254</v>
      </c>
      <c r="L731" s="85" t="s">
        <v>254</v>
      </c>
      <c r="M731" s="85" t="s">
        <v>254</v>
      </c>
      <c r="N731" s="85" t="s">
        <v>254</v>
      </c>
      <c r="O731" s="85" t="s">
        <v>254</v>
      </c>
      <c r="P731" s="85" t="s">
        <v>254</v>
      </c>
      <c r="Q731" s="85" t="s">
        <v>254</v>
      </c>
      <c r="R731" s="85"/>
      <c r="S731" s="86"/>
    </row>
    <row r="732" spans="1:19" ht="15">
      <c r="A732" s="70">
        <v>4</v>
      </c>
      <c r="B732" s="70"/>
      <c r="C732" s="72" t="s">
        <v>782</v>
      </c>
      <c r="D732" s="72" t="s">
        <v>254</v>
      </c>
      <c r="E732" s="85">
        <v>0</v>
      </c>
      <c r="F732" s="85" t="s">
        <v>254</v>
      </c>
      <c r="G732" s="85">
        <v>0</v>
      </c>
      <c r="H732" s="85" t="s">
        <v>254</v>
      </c>
      <c r="I732" s="85">
        <v>0</v>
      </c>
      <c r="J732" s="85">
        <v>0</v>
      </c>
      <c r="K732" s="85" t="s">
        <v>254</v>
      </c>
      <c r="L732" s="85" t="s">
        <v>254</v>
      </c>
      <c r="M732" s="85">
        <v>0</v>
      </c>
      <c r="N732" s="85" t="s">
        <v>254</v>
      </c>
      <c r="O732" s="85">
        <v>0</v>
      </c>
      <c r="P732" s="85">
        <v>0</v>
      </c>
      <c r="Q732" s="85">
        <v>0</v>
      </c>
      <c r="R732" s="85"/>
      <c r="S732" s="86"/>
    </row>
    <row r="733" spans="1:19" ht="15">
      <c r="A733" s="70" t="s">
        <v>254</v>
      </c>
      <c r="B733" s="70"/>
      <c r="C733" s="72" t="s">
        <v>254</v>
      </c>
      <c r="D733" s="72" t="s">
        <v>254</v>
      </c>
      <c r="E733" s="85" t="s">
        <v>254</v>
      </c>
      <c r="F733" s="85" t="s">
        <v>254</v>
      </c>
      <c r="G733" s="85" t="s">
        <v>254</v>
      </c>
      <c r="H733" s="85" t="s">
        <v>254</v>
      </c>
      <c r="I733" s="85" t="s">
        <v>254</v>
      </c>
      <c r="J733" s="85" t="s">
        <v>254</v>
      </c>
      <c r="K733" s="85" t="s">
        <v>254</v>
      </c>
      <c r="L733" s="85" t="s">
        <v>254</v>
      </c>
      <c r="M733" s="85" t="s">
        <v>254</v>
      </c>
      <c r="N733" s="85" t="s">
        <v>254</v>
      </c>
      <c r="O733" s="85" t="s">
        <v>254</v>
      </c>
      <c r="P733" s="85" t="s">
        <v>254</v>
      </c>
      <c r="Q733" s="85" t="s">
        <v>254</v>
      </c>
      <c r="R733" s="85"/>
      <c r="S733" s="86"/>
    </row>
    <row r="734" spans="1:19" ht="15">
      <c r="A734" s="70" t="s">
        <v>254</v>
      </c>
      <c r="B734" s="70"/>
      <c r="C734" s="72" t="s">
        <v>783</v>
      </c>
      <c r="D734" s="72" t="s">
        <v>254</v>
      </c>
      <c r="E734" s="85" t="s">
        <v>254</v>
      </c>
      <c r="F734" s="85" t="s">
        <v>254</v>
      </c>
      <c r="G734" s="85" t="s">
        <v>254</v>
      </c>
      <c r="H734" s="85" t="s">
        <v>254</v>
      </c>
      <c r="I734" s="85" t="s">
        <v>254</v>
      </c>
      <c r="J734" s="85" t="s">
        <v>254</v>
      </c>
      <c r="K734" s="85" t="s">
        <v>254</v>
      </c>
      <c r="L734" s="85" t="s">
        <v>254</v>
      </c>
      <c r="M734" s="85" t="s">
        <v>254</v>
      </c>
      <c r="N734" s="85" t="s">
        <v>254</v>
      </c>
      <c r="O734" s="85" t="s">
        <v>254</v>
      </c>
      <c r="P734" s="85" t="s">
        <v>254</v>
      </c>
      <c r="Q734" s="85" t="s">
        <v>254</v>
      </c>
      <c r="R734" s="85"/>
      <c r="S734" s="86"/>
    </row>
    <row r="735" spans="1:19" ht="15">
      <c r="A735" s="70" t="s">
        <v>254</v>
      </c>
      <c r="B735" s="70"/>
      <c r="C735" s="72" t="s">
        <v>784</v>
      </c>
      <c r="D735" s="72" t="s">
        <v>254</v>
      </c>
      <c r="E735" s="85" t="s">
        <v>254</v>
      </c>
      <c r="F735" s="85" t="s">
        <v>254</v>
      </c>
      <c r="G735" s="85" t="s">
        <v>254</v>
      </c>
      <c r="H735" s="85" t="s">
        <v>254</v>
      </c>
      <c r="I735" s="85" t="s">
        <v>254</v>
      </c>
      <c r="J735" s="85" t="s">
        <v>254</v>
      </c>
      <c r="K735" s="85" t="s">
        <v>254</v>
      </c>
      <c r="L735" s="85" t="s">
        <v>254</v>
      </c>
      <c r="M735" s="85" t="s">
        <v>254</v>
      </c>
      <c r="N735" s="85" t="s">
        <v>254</v>
      </c>
      <c r="O735" s="85" t="s">
        <v>254</v>
      </c>
      <c r="P735" s="85" t="s">
        <v>254</v>
      </c>
      <c r="Q735" s="85" t="s">
        <v>254</v>
      </c>
      <c r="R735" s="85"/>
      <c r="S735" s="86"/>
    </row>
    <row r="736" spans="1:19" ht="15">
      <c r="A736" s="70">
        <v>5</v>
      </c>
      <c r="B736" s="70"/>
      <c r="C736" s="72" t="s">
        <v>785</v>
      </c>
      <c r="D736" s="72" t="s">
        <v>786</v>
      </c>
      <c r="E736" s="85">
        <v>96310062</v>
      </c>
      <c r="F736" s="85" t="s">
        <v>254</v>
      </c>
      <c r="G736" s="85">
        <v>86095343.87817052</v>
      </c>
      <c r="H736" s="85" t="s">
        <v>254</v>
      </c>
      <c r="I736" s="85">
        <v>4202101.8436461985</v>
      </c>
      <c r="J736" s="85">
        <v>6012616.2781832777</v>
      </c>
      <c r="K736" s="85" t="s">
        <v>254</v>
      </c>
      <c r="L736" s="85" t="s">
        <v>254</v>
      </c>
      <c r="M736" s="85">
        <v>446.02849548090467</v>
      </c>
      <c r="N736" s="85" t="s">
        <v>254</v>
      </c>
      <c r="O736" s="85">
        <v>6012170.2496877965</v>
      </c>
      <c r="P736" s="85">
        <v>1893138.8184348731</v>
      </c>
      <c r="Q736" s="85">
        <v>4119031.4312529238</v>
      </c>
      <c r="R736" s="85"/>
      <c r="S736" s="86"/>
    </row>
    <row r="737" spans="1:19" ht="15">
      <c r="A737" s="70">
        <v>6</v>
      </c>
      <c r="B737" s="70"/>
      <c r="C737" s="72" t="s">
        <v>787</v>
      </c>
      <c r="D737" s="72" t="s">
        <v>788</v>
      </c>
      <c r="E737" s="85">
        <v>0</v>
      </c>
      <c r="F737" s="85" t="s">
        <v>254</v>
      </c>
      <c r="G737" s="85">
        <v>0</v>
      </c>
      <c r="H737" s="85" t="s">
        <v>254</v>
      </c>
      <c r="I737" s="85">
        <v>5481.5275514018986</v>
      </c>
      <c r="J737" s="85">
        <v>0</v>
      </c>
      <c r="K737" s="85" t="s">
        <v>254</v>
      </c>
      <c r="L737" s="85" t="s">
        <v>254</v>
      </c>
      <c r="M737" s="85">
        <v>0</v>
      </c>
      <c r="N737" s="85" t="s">
        <v>254</v>
      </c>
      <c r="O737" s="85">
        <v>0</v>
      </c>
      <c r="P737" s="85">
        <v>0</v>
      </c>
      <c r="Q737" s="85">
        <v>0</v>
      </c>
      <c r="R737" s="85"/>
      <c r="S737" s="86"/>
    </row>
    <row r="738" spans="1:19" ht="15">
      <c r="A738" s="70">
        <v>7</v>
      </c>
      <c r="B738" s="70"/>
      <c r="C738" s="72" t="s">
        <v>789</v>
      </c>
      <c r="D738" s="72" t="s">
        <v>790</v>
      </c>
      <c r="E738" s="85">
        <v>0</v>
      </c>
      <c r="F738" s="85" t="s">
        <v>254</v>
      </c>
      <c r="G738" s="85">
        <v>0</v>
      </c>
      <c r="H738" s="85" t="s">
        <v>254</v>
      </c>
      <c r="I738" s="85">
        <v>0</v>
      </c>
      <c r="J738" s="85">
        <v>0</v>
      </c>
      <c r="K738" s="85" t="s">
        <v>254</v>
      </c>
      <c r="L738" s="85" t="s">
        <v>254</v>
      </c>
      <c r="M738" s="85">
        <v>0</v>
      </c>
      <c r="N738" s="85" t="s">
        <v>254</v>
      </c>
      <c r="O738" s="85">
        <v>0</v>
      </c>
      <c r="P738" s="85">
        <v>0</v>
      </c>
      <c r="Q738" s="85">
        <v>0</v>
      </c>
      <c r="R738" s="85"/>
      <c r="S738" s="86"/>
    </row>
    <row r="739" spans="1:19" ht="15">
      <c r="A739" s="70">
        <v>8</v>
      </c>
      <c r="B739" s="70"/>
      <c r="C739" s="72" t="s">
        <v>791</v>
      </c>
      <c r="D739" s="72" t="s">
        <v>254</v>
      </c>
      <c r="E739" s="85">
        <v>96310062</v>
      </c>
      <c r="F739" s="85" t="s">
        <v>254</v>
      </c>
      <c r="G739" s="85">
        <v>86095343.87817052</v>
      </c>
      <c r="H739" s="85" t="s">
        <v>254</v>
      </c>
      <c r="I739" s="85">
        <v>4207583.3711976008</v>
      </c>
      <c r="J739" s="85">
        <v>6012616.2781832777</v>
      </c>
      <c r="K739" s="85" t="s">
        <v>254</v>
      </c>
      <c r="L739" s="85" t="s">
        <v>254</v>
      </c>
      <c r="M739" s="85">
        <v>446.02849548090467</v>
      </c>
      <c r="N739" s="85" t="s">
        <v>254</v>
      </c>
      <c r="O739" s="85">
        <v>6012170.2496877965</v>
      </c>
      <c r="P739" s="85">
        <v>1893138.8184348731</v>
      </c>
      <c r="Q739" s="85">
        <v>4119031.4312529238</v>
      </c>
      <c r="R739" s="85"/>
      <c r="S739" s="86"/>
    </row>
    <row r="740" spans="1:19" ht="15">
      <c r="A740" s="70" t="s">
        <v>254</v>
      </c>
      <c r="B740" s="70"/>
      <c r="C740" s="72" t="s">
        <v>254</v>
      </c>
      <c r="D740" s="72" t="s">
        <v>254</v>
      </c>
      <c r="E740" s="85" t="s">
        <v>254</v>
      </c>
      <c r="F740" s="85" t="s">
        <v>254</v>
      </c>
      <c r="G740" s="85" t="s">
        <v>254</v>
      </c>
      <c r="H740" s="85" t="s">
        <v>254</v>
      </c>
      <c r="I740" s="85" t="s">
        <v>254</v>
      </c>
      <c r="J740" s="85" t="s">
        <v>254</v>
      </c>
      <c r="K740" s="85" t="s">
        <v>254</v>
      </c>
      <c r="L740" s="85" t="s">
        <v>254</v>
      </c>
      <c r="M740" s="85" t="s">
        <v>254</v>
      </c>
      <c r="N740" s="85" t="s">
        <v>254</v>
      </c>
      <c r="O740" s="85" t="s">
        <v>254</v>
      </c>
      <c r="P740" s="85" t="s">
        <v>254</v>
      </c>
      <c r="Q740" s="85" t="s">
        <v>254</v>
      </c>
      <c r="R740" s="85"/>
      <c r="S740" s="86"/>
    </row>
    <row r="741" spans="1:19" ht="15">
      <c r="A741" s="70" t="s">
        <v>254</v>
      </c>
      <c r="B741" s="70"/>
      <c r="C741" s="72" t="s">
        <v>792</v>
      </c>
      <c r="D741" s="72" t="s">
        <v>254</v>
      </c>
      <c r="E741" s="85" t="s">
        <v>254</v>
      </c>
      <c r="F741" s="85" t="s">
        <v>254</v>
      </c>
      <c r="G741" s="85" t="s">
        <v>254</v>
      </c>
      <c r="H741" s="85" t="s">
        <v>254</v>
      </c>
      <c r="I741" s="85" t="s">
        <v>254</v>
      </c>
      <c r="J741" s="85" t="s">
        <v>254</v>
      </c>
      <c r="K741" s="85" t="s">
        <v>254</v>
      </c>
      <c r="L741" s="85" t="s">
        <v>254</v>
      </c>
      <c r="M741" s="85" t="s">
        <v>254</v>
      </c>
      <c r="N741" s="85" t="s">
        <v>254</v>
      </c>
      <c r="O741" s="85" t="s">
        <v>254</v>
      </c>
      <c r="P741" s="85" t="s">
        <v>254</v>
      </c>
      <c r="Q741" s="85" t="s">
        <v>254</v>
      </c>
      <c r="R741" s="85"/>
      <c r="S741" s="86"/>
    </row>
    <row r="742" spans="1:19" ht="15">
      <c r="A742" s="70">
        <v>9</v>
      </c>
      <c r="B742" s="70"/>
      <c r="C742" s="72" t="s">
        <v>793</v>
      </c>
      <c r="D742" s="72" t="s">
        <v>933</v>
      </c>
      <c r="E742" s="85">
        <v>-5466051.0000000009</v>
      </c>
      <c r="F742" s="85" t="s">
        <v>254</v>
      </c>
      <c r="G742" s="85">
        <v>-4988960.3078382481</v>
      </c>
      <c r="H742" s="85" t="s">
        <v>254</v>
      </c>
      <c r="I742" s="85">
        <v>0</v>
      </c>
      <c r="J742" s="85">
        <v>-477090.69216175243</v>
      </c>
      <c r="K742" s="85" t="s">
        <v>254</v>
      </c>
      <c r="L742" s="85" t="s">
        <v>254</v>
      </c>
      <c r="M742" s="85">
        <v>-17.530841379817065</v>
      </c>
      <c r="N742" s="85" t="s">
        <v>254</v>
      </c>
      <c r="O742" s="85">
        <v>-477073.1613203726</v>
      </c>
      <c r="P742" s="85">
        <v>-148063.89258108221</v>
      </c>
      <c r="Q742" s="85">
        <v>-329009.26873929042</v>
      </c>
      <c r="R742" s="85"/>
      <c r="S742" s="86"/>
    </row>
    <row r="743" spans="1:19" ht="15">
      <c r="A743" s="70">
        <v>10</v>
      </c>
      <c r="B743" s="70"/>
      <c r="C743" s="72" t="s">
        <v>2449</v>
      </c>
      <c r="D743" s="72" t="s">
        <v>447</v>
      </c>
      <c r="E743" s="85">
        <v>0</v>
      </c>
      <c r="F743" s="85" t="s">
        <v>254</v>
      </c>
      <c r="G743" s="85">
        <v>0</v>
      </c>
      <c r="H743" s="85" t="s">
        <v>254</v>
      </c>
      <c r="I743" s="85">
        <v>0</v>
      </c>
      <c r="J743" s="85">
        <v>0</v>
      </c>
      <c r="K743" s="85" t="s">
        <v>254</v>
      </c>
      <c r="L743" s="85" t="s">
        <v>254</v>
      </c>
      <c r="M743" s="85">
        <v>0</v>
      </c>
      <c r="N743" s="85" t="s">
        <v>254</v>
      </c>
      <c r="O743" s="85">
        <v>0</v>
      </c>
      <c r="P743" s="85">
        <v>0</v>
      </c>
      <c r="Q743" s="85">
        <v>0</v>
      </c>
      <c r="R743" s="85"/>
      <c r="S743" s="86"/>
    </row>
    <row r="744" spans="1:19" ht="15">
      <c r="A744" s="70">
        <v>11</v>
      </c>
      <c r="B744" s="70"/>
      <c r="C744" s="72" t="s">
        <v>794</v>
      </c>
      <c r="D744" s="72" t="s">
        <v>315</v>
      </c>
      <c r="E744" s="85">
        <v>221702.97428384691</v>
      </c>
      <c r="F744" s="85" t="s">
        <v>254</v>
      </c>
      <c r="G744" s="85">
        <v>0</v>
      </c>
      <c r="H744" s="85" t="s">
        <v>254</v>
      </c>
      <c r="I744" s="85">
        <v>72234.443465118864</v>
      </c>
      <c r="J744" s="85">
        <v>149468.53081872806</v>
      </c>
      <c r="K744" s="85" t="s">
        <v>254</v>
      </c>
      <c r="L744" s="85" t="s">
        <v>254</v>
      </c>
      <c r="M744" s="85">
        <v>0</v>
      </c>
      <c r="N744" s="85" t="s">
        <v>254</v>
      </c>
      <c r="O744" s="85">
        <v>149468.53081872806</v>
      </c>
      <c r="P744" s="85">
        <v>46388.885994227203</v>
      </c>
      <c r="Q744" s="85">
        <v>103079.64482450087</v>
      </c>
      <c r="R744" s="85"/>
      <c r="S744" s="86"/>
    </row>
    <row r="745" spans="1:19" ht="15">
      <c r="A745" s="70">
        <v>12</v>
      </c>
      <c r="B745" s="70"/>
      <c r="C745" s="72" t="s">
        <v>795</v>
      </c>
      <c r="D745" s="72" t="s">
        <v>317</v>
      </c>
      <c r="E745" s="85">
        <v>628297.02571615297</v>
      </c>
      <c r="F745" s="85" t="s">
        <v>254</v>
      </c>
      <c r="G745" s="85">
        <v>0</v>
      </c>
      <c r="H745" s="85" t="s">
        <v>254</v>
      </c>
      <c r="I745" s="85">
        <v>0</v>
      </c>
      <c r="J745" s="85">
        <v>628297.02571615297</v>
      </c>
      <c r="K745" s="85" t="s">
        <v>254</v>
      </c>
      <c r="L745" s="85" t="s">
        <v>254</v>
      </c>
      <c r="M745" s="85">
        <v>0</v>
      </c>
      <c r="N745" s="85" t="s">
        <v>254</v>
      </c>
      <c r="O745" s="85">
        <v>628297.02571615297</v>
      </c>
      <c r="P745" s="85">
        <v>194997.56194035418</v>
      </c>
      <c r="Q745" s="85">
        <v>433299.46377579885</v>
      </c>
      <c r="R745" s="85"/>
      <c r="S745" s="86"/>
    </row>
    <row r="746" spans="1:19" ht="15">
      <c r="A746" s="70">
        <v>13</v>
      </c>
      <c r="B746" s="70"/>
      <c r="C746" s="72" t="s">
        <v>796</v>
      </c>
      <c r="D746" s="72" t="s">
        <v>786</v>
      </c>
      <c r="E746" s="85">
        <v>0</v>
      </c>
      <c r="F746" s="85" t="s">
        <v>254</v>
      </c>
      <c r="G746" s="85">
        <v>0</v>
      </c>
      <c r="H746" s="85" t="s">
        <v>254</v>
      </c>
      <c r="I746" s="85">
        <v>-98122.113322598103</v>
      </c>
      <c r="J746" s="85">
        <v>0</v>
      </c>
      <c r="K746" s="85" t="s">
        <v>254</v>
      </c>
      <c r="L746" s="85" t="s">
        <v>254</v>
      </c>
      <c r="M746" s="85">
        <v>0</v>
      </c>
      <c r="N746" s="85" t="s">
        <v>254</v>
      </c>
      <c r="O746" s="85">
        <v>0</v>
      </c>
      <c r="P746" s="85">
        <v>0</v>
      </c>
      <c r="Q746" s="85">
        <v>0</v>
      </c>
      <c r="R746" s="85"/>
      <c r="S746" s="86"/>
    </row>
    <row r="747" spans="1:19" ht="15">
      <c r="A747" s="70" t="s">
        <v>254</v>
      </c>
      <c r="B747" s="70"/>
      <c r="C747" s="72" t="s">
        <v>254</v>
      </c>
      <c r="D747" s="72" t="s">
        <v>254</v>
      </c>
      <c r="E747" s="85" t="s">
        <v>254</v>
      </c>
      <c r="F747" s="85" t="s">
        <v>254</v>
      </c>
      <c r="G747" s="85" t="s">
        <v>254</v>
      </c>
      <c r="H747" s="85" t="s">
        <v>254</v>
      </c>
      <c r="I747" s="85" t="s">
        <v>254</v>
      </c>
      <c r="J747" s="85" t="s">
        <v>254</v>
      </c>
      <c r="K747" s="85" t="s">
        <v>254</v>
      </c>
      <c r="L747" s="85" t="s">
        <v>254</v>
      </c>
      <c r="M747" s="85" t="s">
        <v>254</v>
      </c>
      <c r="N747" s="85" t="s">
        <v>254</v>
      </c>
      <c r="O747" s="85" t="s">
        <v>254</v>
      </c>
      <c r="P747" s="85" t="s">
        <v>254</v>
      </c>
      <c r="Q747" s="85" t="s">
        <v>254</v>
      </c>
      <c r="R747" s="85"/>
      <c r="S747" s="86"/>
    </row>
    <row r="748" spans="1:19" ht="15">
      <c r="A748" s="70">
        <v>14</v>
      </c>
      <c r="B748" s="70"/>
      <c r="C748" s="72" t="s">
        <v>797</v>
      </c>
      <c r="D748" s="72" t="s">
        <v>254</v>
      </c>
      <c r="E748" s="85">
        <v>337541215</v>
      </c>
      <c r="F748" s="85" t="s">
        <v>254</v>
      </c>
      <c r="G748" s="85">
        <v>309247812</v>
      </c>
      <c r="H748" s="85" t="s">
        <v>254</v>
      </c>
      <c r="I748" s="85">
        <v>11578032</v>
      </c>
      <c r="J748" s="85">
        <v>16611766</v>
      </c>
      <c r="K748" s="85" t="s">
        <v>254</v>
      </c>
      <c r="L748" s="85" t="s">
        <v>254</v>
      </c>
      <c r="M748" s="85">
        <v>-19246</v>
      </c>
      <c r="N748" s="85" t="s">
        <v>254</v>
      </c>
      <c r="O748" s="85">
        <v>16631012</v>
      </c>
      <c r="P748" s="85">
        <v>4711050</v>
      </c>
      <c r="Q748" s="85">
        <v>11919962</v>
      </c>
      <c r="R748" s="85"/>
      <c r="S748" s="86"/>
    </row>
    <row r="749" spans="1:19" ht="15">
      <c r="A749" s="70">
        <v>15</v>
      </c>
      <c r="B749" s="70"/>
      <c r="C749" s="72" t="s">
        <v>2450</v>
      </c>
      <c r="D749" s="72" t="s">
        <v>254</v>
      </c>
      <c r="E749" s="85">
        <v>343007266</v>
      </c>
      <c r="F749" s="85" t="s">
        <v>254</v>
      </c>
      <c r="G749" s="85">
        <v>314236773</v>
      </c>
      <c r="H749" s="85" t="s">
        <v>254</v>
      </c>
      <c r="I749" s="85">
        <v>11738874.047384588</v>
      </c>
      <c r="J749" s="85">
        <v>17088858</v>
      </c>
      <c r="K749" s="85" t="s">
        <v>254</v>
      </c>
      <c r="L749" s="85" t="s">
        <v>254</v>
      </c>
      <c r="M749" s="85">
        <v>-19228</v>
      </c>
      <c r="N749" s="85" t="s">
        <v>254</v>
      </c>
      <c r="O749" s="85">
        <v>17108086</v>
      </c>
      <c r="P749" s="85">
        <v>4859114</v>
      </c>
      <c r="Q749" s="85">
        <v>12248972</v>
      </c>
      <c r="R749" s="85"/>
      <c r="S749" s="86"/>
    </row>
    <row r="750" spans="1:19" ht="15">
      <c r="A750" s="70" t="s">
        <v>254</v>
      </c>
      <c r="B750" s="70"/>
      <c r="C750" s="72" t="s">
        <v>254</v>
      </c>
      <c r="D750" s="72" t="s">
        <v>254</v>
      </c>
      <c r="E750" s="85" t="s">
        <v>254</v>
      </c>
      <c r="F750" s="85" t="s">
        <v>254</v>
      </c>
      <c r="G750" s="85" t="s">
        <v>254</v>
      </c>
      <c r="H750" s="85" t="s">
        <v>254</v>
      </c>
      <c r="I750" s="85" t="s">
        <v>254</v>
      </c>
      <c r="J750" s="85" t="s">
        <v>254</v>
      </c>
      <c r="K750" s="85" t="s">
        <v>254</v>
      </c>
      <c r="L750" s="85" t="s">
        <v>254</v>
      </c>
      <c r="M750" s="85" t="s">
        <v>254</v>
      </c>
      <c r="N750" s="85" t="s">
        <v>254</v>
      </c>
      <c r="O750" s="85" t="s">
        <v>254</v>
      </c>
      <c r="P750" s="85" t="s">
        <v>254</v>
      </c>
      <c r="Q750" s="85" t="s">
        <v>254</v>
      </c>
      <c r="R750" s="85"/>
      <c r="S750" s="86"/>
    </row>
    <row r="751" spans="1:19" ht="15">
      <c r="A751" s="70">
        <v>16</v>
      </c>
      <c r="B751" s="70"/>
      <c r="C751" s="72" t="s">
        <v>798</v>
      </c>
      <c r="D751" s="72" t="s">
        <v>254</v>
      </c>
      <c r="E751" s="85">
        <v>20252472.899999999</v>
      </c>
      <c r="F751" s="85" t="s">
        <v>254</v>
      </c>
      <c r="G751" s="85">
        <v>18554868.719999999</v>
      </c>
      <c r="H751" s="85" t="s">
        <v>254</v>
      </c>
      <c r="I751" s="85">
        <v>704332.44284307526</v>
      </c>
      <c r="J751" s="85">
        <v>996705.96</v>
      </c>
      <c r="K751" s="85" t="s">
        <v>254</v>
      </c>
      <c r="L751" s="85" t="s">
        <v>254</v>
      </c>
      <c r="M751" s="85">
        <v>-1154.76</v>
      </c>
      <c r="N751" s="85" t="s">
        <v>254</v>
      </c>
      <c r="O751" s="85">
        <v>997860.72</v>
      </c>
      <c r="P751" s="85">
        <v>282663</v>
      </c>
      <c r="Q751" s="85">
        <v>715197.72</v>
      </c>
      <c r="R751" s="85"/>
      <c r="S751" s="86"/>
    </row>
    <row r="752" spans="1:19" ht="15">
      <c r="A752" s="70">
        <v>17</v>
      </c>
      <c r="B752" s="70"/>
      <c r="C752" s="72" t="s">
        <v>799</v>
      </c>
      <c r="D752" s="72" t="s">
        <v>786</v>
      </c>
      <c r="E752" s="85">
        <v>106507</v>
      </c>
      <c r="F752" s="85" t="s">
        <v>254</v>
      </c>
      <c r="G752" s="85">
        <v>95211</v>
      </c>
      <c r="H752" s="85" t="s">
        <v>254</v>
      </c>
      <c r="I752" s="85">
        <v>4647</v>
      </c>
      <c r="J752" s="85">
        <v>6649</v>
      </c>
      <c r="K752" s="85" t="s">
        <v>254</v>
      </c>
      <c r="L752" s="85" t="s">
        <v>254</v>
      </c>
      <c r="M752" s="85">
        <v>0</v>
      </c>
      <c r="N752" s="85" t="s">
        <v>254</v>
      </c>
      <c r="O752" s="85">
        <v>6649</v>
      </c>
      <c r="P752" s="85">
        <v>2094</v>
      </c>
      <c r="Q752" s="85">
        <v>4555</v>
      </c>
      <c r="R752" s="85"/>
      <c r="S752" s="86"/>
    </row>
    <row r="753" spans="1:19" ht="15">
      <c r="A753" s="70">
        <v>18</v>
      </c>
      <c r="B753" s="70"/>
      <c r="C753" s="72" t="s">
        <v>800</v>
      </c>
      <c r="D753" s="72" t="s">
        <v>379</v>
      </c>
      <c r="E753" s="85">
        <v>-1620000</v>
      </c>
      <c r="F753" s="85" t="s">
        <v>254</v>
      </c>
      <c r="G753" s="85">
        <v>-1478607</v>
      </c>
      <c r="H753" s="85" t="s">
        <v>254</v>
      </c>
      <c r="I753" s="85">
        <v>0</v>
      </c>
      <c r="J753" s="85">
        <v>-141393</v>
      </c>
      <c r="K753" s="85" t="s">
        <v>254</v>
      </c>
      <c r="L753" s="85" t="s">
        <v>254</v>
      </c>
      <c r="M753" s="85">
        <v>0</v>
      </c>
      <c r="N753" s="85" t="s">
        <v>254</v>
      </c>
      <c r="O753" s="85">
        <v>-141393</v>
      </c>
      <c r="P753" s="85">
        <v>-43883</v>
      </c>
      <c r="Q753" s="85">
        <v>-97510</v>
      </c>
      <c r="R753" s="85"/>
      <c r="S753" s="86"/>
    </row>
    <row r="754" spans="1:19" ht="15">
      <c r="A754" s="70">
        <v>19</v>
      </c>
      <c r="B754" s="70"/>
      <c r="C754" s="72" t="s">
        <v>801</v>
      </c>
      <c r="D754" s="72" t="s">
        <v>802</v>
      </c>
      <c r="E754" s="85">
        <v>-392308</v>
      </c>
      <c r="F754" s="85" t="s">
        <v>254</v>
      </c>
      <c r="G754" s="85">
        <v>-366638</v>
      </c>
      <c r="H754" s="85" t="s">
        <v>254</v>
      </c>
      <c r="I754" s="85">
        <v>0</v>
      </c>
      <c r="J754" s="85">
        <v>-25670</v>
      </c>
      <c r="K754" s="85" t="s">
        <v>254</v>
      </c>
      <c r="L754" s="85" t="s">
        <v>254</v>
      </c>
      <c r="M754" s="85">
        <v>-9</v>
      </c>
      <c r="N754" s="85" t="s">
        <v>254</v>
      </c>
      <c r="O754" s="85">
        <v>-25661</v>
      </c>
      <c r="P754" s="85">
        <v>-8088</v>
      </c>
      <c r="Q754" s="85">
        <v>-17573</v>
      </c>
      <c r="R754" s="85"/>
      <c r="S754" s="86"/>
    </row>
    <row r="755" spans="1:19" ht="15">
      <c r="A755" s="70">
        <v>20</v>
      </c>
      <c r="B755" s="70"/>
      <c r="C755" s="72" t="s">
        <v>803</v>
      </c>
      <c r="D755" s="72" t="s">
        <v>254</v>
      </c>
      <c r="E755" s="85">
        <v>18346671.899999999</v>
      </c>
      <c r="F755" s="85" t="s">
        <v>254</v>
      </c>
      <c r="G755" s="85">
        <v>16804834.719999999</v>
      </c>
      <c r="H755" s="85" t="s">
        <v>254</v>
      </c>
      <c r="I755" s="85">
        <v>708979.44284307526</v>
      </c>
      <c r="J755" s="85">
        <v>836291.96</v>
      </c>
      <c r="K755" s="85" t="s">
        <v>254</v>
      </c>
      <c r="L755" s="85" t="s">
        <v>254</v>
      </c>
      <c r="M755" s="85">
        <v>-1163.76</v>
      </c>
      <c r="N755" s="85" t="s">
        <v>254</v>
      </c>
      <c r="O755" s="85">
        <v>837455.72</v>
      </c>
      <c r="P755" s="85">
        <v>232786</v>
      </c>
      <c r="Q755" s="85">
        <v>604669.72</v>
      </c>
      <c r="R755" s="85"/>
      <c r="S755" s="86"/>
    </row>
    <row r="756" spans="1:19" ht="15">
      <c r="A756" s="70">
        <v>21</v>
      </c>
      <c r="B756" s="70"/>
      <c r="C756" s="72" t="s">
        <v>804</v>
      </c>
      <c r="D756" s="72" t="s">
        <v>933</v>
      </c>
      <c r="E756" s="85">
        <v>0</v>
      </c>
      <c r="F756" s="85" t="s">
        <v>254</v>
      </c>
      <c r="G756" s="85">
        <v>0</v>
      </c>
      <c r="H756" s="85" t="s">
        <v>254</v>
      </c>
      <c r="I756" s="85">
        <v>0</v>
      </c>
      <c r="J756" s="85">
        <v>0</v>
      </c>
      <c r="K756" s="85" t="s">
        <v>254</v>
      </c>
      <c r="L756" s="85" t="s">
        <v>254</v>
      </c>
      <c r="M756" s="85">
        <v>0</v>
      </c>
      <c r="N756" s="85" t="s">
        <v>254</v>
      </c>
      <c r="O756" s="85">
        <v>0</v>
      </c>
      <c r="P756" s="85">
        <v>0</v>
      </c>
      <c r="Q756" s="85">
        <v>0</v>
      </c>
      <c r="R756" s="85"/>
      <c r="S756" s="86"/>
    </row>
    <row r="757" spans="1:19" ht="15">
      <c r="A757" s="70">
        <v>22</v>
      </c>
      <c r="B757" s="70"/>
      <c r="C757" s="72" t="s">
        <v>805</v>
      </c>
      <c r="D757" s="72" t="s">
        <v>786</v>
      </c>
      <c r="E757" s="85">
        <v>0</v>
      </c>
      <c r="F757" s="85" t="s">
        <v>254</v>
      </c>
      <c r="G757" s="85">
        <v>0</v>
      </c>
      <c r="H757" s="85" t="s">
        <v>254</v>
      </c>
      <c r="I757" s="85">
        <v>98122.113322598103</v>
      </c>
      <c r="J757" s="85">
        <v>0</v>
      </c>
      <c r="K757" s="85" t="s">
        <v>254</v>
      </c>
      <c r="L757" s="85" t="s">
        <v>254</v>
      </c>
      <c r="M757" s="85">
        <v>0</v>
      </c>
      <c r="N757" s="85" t="s">
        <v>254</v>
      </c>
      <c r="O757" s="85">
        <v>0</v>
      </c>
      <c r="P757" s="85">
        <v>0</v>
      </c>
      <c r="Q757" s="85">
        <v>0</v>
      </c>
      <c r="R757" s="85"/>
      <c r="S757" s="86"/>
    </row>
    <row r="758" spans="1:19" ht="15">
      <c r="A758" s="70">
        <v>23</v>
      </c>
      <c r="B758" s="70"/>
      <c r="C758" s="72" t="s">
        <v>2451</v>
      </c>
      <c r="D758" s="72" t="s">
        <v>254</v>
      </c>
      <c r="E758" s="85">
        <v>324660594.10000002</v>
      </c>
      <c r="F758" s="85" t="s">
        <v>254</v>
      </c>
      <c r="G758" s="85">
        <v>297431938.27999997</v>
      </c>
      <c r="H758" s="85" t="s">
        <v>254</v>
      </c>
      <c r="I758" s="85">
        <v>10967174.670479523</v>
      </c>
      <c r="J758" s="85">
        <v>16252566.039999999</v>
      </c>
      <c r="K758" s="85" t="s">
        <v>254</v>
      </c>
      <c r="L758" s="85" t="s">
        <v>254</v>
      </c>
      <c r="M758" s="85">
        <v>-18064.240000000002</v>
      </c>
      <c r="N758" s="85" t="s">
        <v>254</v>
      </c>
      <c r="O758" s="85">
        <v>16270630.279999999</v>
      </c>
      <c r="P758" s="85">
        <v>4626328</v>
      </c>
      <c r="Q758" s="85">
        <v>11644302.279999999</v>
      </c>
      <c r="R758" s="85"/>
      <c r="S758" s="86"/>
    </row>
    <row r="759" spans="1:19" ht="15">
      <c r="A759" s="70" t="s">
        <v>254</v>
      </c>
      <c r="B759" s="70"/>
      <c r="C759" s="72" t="s">
        <v>254</v>
      </c>
      <c r="D759" s="72" t="s">
        <v>254</v>
      </c>
      <c r="E759" s="88" t="s">
        <v>254</v>
      </c>
      <c r="F759" s="88" t="s">
        <v>254</v>
      </c>
      <c r="G759" s="88" t="s">
        <v>254</v>
      </c>
      <c r="H759" s="88" t="s">
        <v>254</v>
      </c>
      <c r="I759" s="88" t="s">
        <v>254</v>
      </c>
      <c r="J759" s="88" t="s">
        <v>254</v>
      </c>
      <c r="K759" s="88" t="s">
        <v>254</v>
      </c>
      <c r="L759" s="88" t="s">
        <v>254</v>
      </c>
      <c r="M759" s="88" t="s">
        <v>254</v>
      </c>
      <c r="N759" s="88" t="s">
        <v>254</v>
      </c>
      <c r="O759" s="88" t="s">
        <v>254</v>
      </c>
      <c r="P759" s="88" t="s">
        <v>254</v>
      </c>
      <c r="Q759" s="88" t="s">
        <v>254</v>
      </c>
      <c r="R759" s="88"/>
      <c r="S759" s="86"/>
    </row>
    <row r="760" spans="1:19" ht="15">
      <c r="A760" s="70">
        <v>24</v>
      </c>
      <c r="B760" s="70"/>
      <c r="C760" s="72" t="s">
        <v>806</v>
      </c>
      <c r="D760" s="72" t="s">
        <v>254</v>
      </c>
      <c r="E760" s="85">
        <v>113631208</v>
      </c>
      <c r="F760" s="85" t="s">
        <v>254</v>
      </c>
      <c r="G760" s="85">
        <v>104101178</v>
      </c>
      <c r="H760" s="85" t="s">
        <v>254</v>
      </c>
      <c r="I760" s="85">
        <v>3838511</v>
      </c>
      <c r="J760" s="85">
        <v>5688399</v>
      </c>
      <c r="K760" s="85" t="s">
        <v>254</v>
      </c>
      <c r="L760" s="85" t="s">
        <v>254</v>
      </c>
      <c r="M760" s="85">
        <v>-6322</v>
      </c>
      <c r="N760" s="85" t="s">
        <v>254</v>
      </c>
      <c r="O760" s="85">
        <v>5694721</v>
      </c>
      <c r="P760" s="85">
        <v>1619215</v>
      </c>
      <c r="Q760" s="85">
        <v>4075506</v>
      </c>
      <c r="R760" s="85"/>
      <c r="S760" s="86"/>
    </row>
    <row r="761" spans="1:19" ht="15">
      <c r="A761" s="70">
        <v>25</v>
      </c>
      <c r="B761" s="70"/>
      <c r="C761" s="72" t="s">
        <v>807</v>
      </c>
      <c r="D761" s="72" t="s">
        <v>786</v>
      </c>
      <c r="E761" s="85">
        <v>0</v>
      </c>
      <c r="F761" s="85" t="s">
        <v>254</v>
      </c>
      <c r="G761" s="85">
        <v>0</v>
      </c>
      <c r="H761" s="85" t="s">
        <v>254</v>
      </c>
      <c r="I761" s="85">
        <v>0</v>
      </c>
      <c r="J761" s="85">
        <v>0</v>
      </c>
      <c r="K761" s="85" t="s">
        <v>254</v>
      </c>
      <c r="L761" s="85" t="s">
        <v>254</v>
      </c>
      <c r="M761" s="85">
        <v>0</v>
      </c>
      <c r="N761" s="85" t="s">
        <v>254</v>
      </c>
      <c r="O761" s="85">
        <v>0</v>
      </c>
      <c r="P761" s="85">
        <v>0</v>
      </c>
      <c r="Q761" s="85">
        <v>0</v>
      </c>
      <c r="R761" s="85"/>
      <c r="S761" s="86"/>
    </row>
    <row r="762" spans="1:19" ht="15">
      <c r="A762" s="70">
        <v>26</v>
      </c>
      <c r="B762" s="70"/>
      <c r="C762" s="72" t="s">
        <v>801</v>
      </c>
      <c r="D762" s="72" t="s">
        <v>721</v>
      </c>
      <c r="E762" s="89">
        <v>-694999</v>
      </c>
      <c r="F762" s="89" t="s">
        <v>254</v>
      </c>
      <c r="G762" s="89">
        <v>-617415</v>
      </c>
      <c r="H762" s="89" t="s">
        <v>254</v>
      </c>
      <c r="I762" s="89">
        <v>-34356</v>
      </c>
      <c r="J762" s="89">
        <v>-43228</v>
      </c>
      <c r="K762" s="89" t="s">
        <v>254</v>
      </c>
      <c r="L762" s="89" t="s">
        <v>254</v>
      </c>
      <c r="M762" s="89">
        <v>-15</v>
      </c>
      <c r="N762" s="89" t="s">
        <v>254</v>
      </c>
      <c r="O762" s="89">
        <v>-43213</v>
      </c>
      <c r="P762" s="89">
        <v>-13620</v>
      </c>
      <c r="Q762" s="89">
        <v>-29593</v>
      </c>
      <c r="R762" s="89"/>
      <c r="S762" s="86"/>
    </row>
    <row r="763" spans="1:19" ht="15">
      <c r="A763" s="70">
        <v>27</v>
      </c>
      <c r="B763" s="70"/>
      <c r="C763" s="72" t="s">
        <v>772</v>
      </c>
      <c r="D763" s="72" t="s">
        <v>254</v>
      </c>
      <c r="E763" s="89">
        <v>0</v>
      </c>
      <c r="F763" s="89" t="s">
        <v>254</v>
      </c>
      <c r="G763" s="89">
        <v>0</v>
      </c>
      <c r="H763" s="89" t="s">
        <v>254</v>
      </c>
      <c r="I763" s="89">
        <v>0</v>
      </c>
      <c r="J763" s="89">
        <v>0</v>
      </c>
      <c r="K763" s="89" t="s">
        <v>254</v>
      </c>
      <c r="L763" s="89" t="s">
        <v>254</v>
      </c>
      <c r="M763" s="89">
        <v>0</v>
      </c>
      <c r="N763" s="89" t="s">
        <v>254</v>
      </c>
      <c r="O763" s="89">
        <v>0</v>
      </c>
      <c r="P763" s="89">
        <v>0</v>
      </c>
      <c r="Q763" s="89">
        <v>0</v>
      </c>
      <c r="R763" s="89"/>
      <c r="S763" s="86"/>
    </row>
    <row r="764" spans="1:19" ht="15">
      <c r="A764" s="70">
        <v>28</v>
      </c>
      <c r="B764" s="70"/>
      <c r="C764" s="72" t="s">
        <v>808</v>
      </c>
      <c r="D764" s="72" t="s">
        <v>786</v>
      </c>
      <c r="E764" s="89">
        <v>452398</v>
      </c>
      <c r="F764" s="89" t="s">
        <v>254</v>
      </c>
      <c r="G764" s="89">
        <v>404416</v>
      </c>
      <c r="H764" s="89" t="s">
        <v>254</v>
      </c>
      <c r="I764" s="89">
        <v>19739</v>
      </c>
      <c r="J764" s="89">
        <v>28243</v>
      </c>
      <c r="K764" s="89" t="s">
        <v>254</v>
      </c>
      <c r="L764" s="89" t="s">
        <v>254</v>
      </c>
      <c r="M764" s="89">
        <v>2</v>
      </c>
      <c r="N764" s="89" t="s">
        <v>254</v>
      </c>
      <c r="O764" s="89">
        <v>28241</v>
      </c>
      <c r="P764" s="89">
        <v>8893</v>
      </c>
      <c r="Q764" s="89">
        <v>19348</v>
      </c>
      <c r="R764" s="89"/>
      <c r="S764" s="86"/>
    </row>
    <row r="765" spans="1:19" ht="15">
      <c r="A765" s="70">
        <v>29</v>
      </c>
      <c r="B765" s="70"/>
      <c r="C765" s="72" t="s">
        <v>809</v>
      </c>
      <c r="D765" s="72" t="s">
        <v>254</v>
      </c>
      <c r="E765" s="89">
        <v>113388607</v>
      </c>
      <c r="F765" s="89" t="s">
        <v>254</v>
      </c>
      <c r="G765" s="89">
        <v>103888179</v>
      </c>
      <c r="H765" s="89" t="s">
        <v>254</v>
      </c>
      <c r="I765" s="89">
        <v>3823894</v>
      </c>
      <c r="J765" s="89">
        <v>5673414</v>
      </c>
      <c r="K765" s="89" t="s">
        <v>254</v>
      </c>
      <c r="L765" s="89" t="s">
        <v>254</v>
      </c>
      <c r="M765" s="89">
        <v>-6335</v>
      </c>
      <c r="N765" s="89" t="s">
        <v>254</v>
      </c>
      <c r="O765" s="89">
        <v>5679749</v>
      </c>
      <c r="P765" s="89">
        <v>1614488</v>
      </c>
      <c r="Q765" s="89">
        <v>4065261</v>
      </c>
      <c r="R765" s="89"/>
      <c r="S765" s="86"/>
    </row>
    <row r="766" spans="1:19" ht="15">
      <c r="A766" s="70" t="s">
        <v>254</v>
      </c>
      <c r="B766" s="70"/>
      <c r="C766" s="72" t="s">
        <v>254</v>
      </c>
      <c r="D766" s="72" t="s">
        <v>254</v>
      </c>
      <c r="E766" s="89" t="s">
        <v>254</v>
      </c>
      <c r="F766" s="89" t="s">
        <v>254</v>
      </c>
      <c r="G766" s="89" t="s">
        <v>254</v>
      </c>
      <c r="H766" s="89" t="s">
        <v>254</v>
      </c>
      <c r="I766" s="89" t="s">
        <v>254</v>
      </c>
      <c r="J766" s="89" t="s">
        <v>254</v>
      </c>
      <c r="K766" s="89" t="s">
        <v>254</v>
      </c>
      <c r="L766" s="89" t="s">
        <v>254</v>
      </c>
      <c r="M766" s="89" t="s">
        <v>254</v>
      </c>
      <c r="N766" s="89" t="s">
        <v>254</v>
      </c>
      <c r="O766" s="89" t="s">
        <v>254</v>
      </c>
      <c r="P766" s="89" t="s">
        <v>254</v>
      </c>
      <c r="Q766" s="89" t="s">
        <v>254</v>
      </c>
      <c r="R766" s="89"/>
      <c r="S766" s="86"/>
    </row>
    <row r="767" spans="1:19" ht="15">
      <c r="A767" s="70">
        <v>30</v>
      </c>
      <c r="B767" s="70"/>
      <c r="C767" s="72" t="s">
        <v>294</v>
      </c>
      <c r="D767" s="72" t="s">
        <v>254</v>
      </c>
      <c r="E767" s="85">
        <v>306732049.04190075</v>
      </c>
      <c r="F767" s="85" t="s">
        <v>254</v>
      </c>
      <c r="G767" s="85">
        <v>279639102.66911197</v>
      </c>
      <c r="H767" s="85" t="s">
        <v>254</v>
      </c>
      <c r="I767" s="85">
        <v>11278629.917418759</v>
      </c>
      <c r="J767" s="85">
        <v>15814002.232526751</v>
      </c>
      <c r="K767" s="85" t="s">
        <v>254</v>
      </c>
      <c r="L767" s="85" t="s">
        <v>254</v>
      </c>
      <c r="M767" s="85">
        <v>-11283.452141005197</v>
      </c>
      <c r="N767" s="85" t="s">
        <v>254</v>
      </c>
      <c r="O767" s="85">
        <v>15825285.684667757</v>
      </c>
      <c r="P767" s="85">
        <v>4663592.4304752946</v>
      </c>
      <c r="Q767" s="85">
        <v>11161693.254192462</v>
      </c>
      <c r="R767" s="85"/>
      <c r="S767" s="86"/>
    </row>
    <row r="768" spans="1:19" ht="15">
      <c r="A768" s="70">
        <v>31</v>
      </c>
      <c r="B768" s="70"/>
      <c r="C768" s="72" t="s">
        <v>295</v>
      </c>
      <c r="D768" s="72" t="s">
        <v>254</v>
      </c>
      <c r="E768" s="85">
        <v>5.7910649249355364E-2</v>
      </c>
      <c r="F768" s="85" t="s">
        <v>254</v>
      </c>
      <c r="G768" s="85">
        <v>5.7993917864322522E-2</v>
      </c>
      <c r="H768" s="85" t="s">
        <v>254</v>
      </c>
      <c r="I768" s="85">
        <v>4.7924102337008022E-2</v>
      </c>
      <c r="J768" s="85">
        <v>4.6961560714882424E-2</v>
      </c>
      <c r="K768" s="85" t="s">
        <v>254</v>
      </c>
      <c r="L768" s="85" t="s">
        <v>254</v>
      </c>
      <c r="M768" s="85">
        <v>-0.45169324940706401</v>
      </c>
      <c r="N768" s="85" t="s">
        <v>254</v>
      </c>
      <c r="O768" s="85">
        <v>4.6998554719623817E-2</v>
      </c>
      <c r="P768" s="85">
        <v>4.398477171842257E-2</v>
      </c>
      <c r="Q768" s="85">
        <v>4.8383712780478358E-2</v>
      </c>
      <c r="R768" s="85"/>
      <c r="S768" s="86"/>
    </row>
    <row r="769" spans="1:19" ht="15">
      <c r="A769" s="70" t="s">
        <v>254</v>
      </c>
      <c r="B769" s="70"/>
      <c r="C769" s="72" t="s">
        <v>254</v>
      </c>
      <c r="D769" s="72" t="s">
        <v>254</v>
      </c>
      <c r="E769" s="85" t="s">
        <v>254</v>
      </c>
      <c r="F769" s="85" t="s">
        <v>254</v>
      </c>
      <c r="G769" s="85" t="s">
        <v>254</v>
      </c>
      <c r="H769" s="85" t="s">
        <v>254</v>
      </c>
      <c r="I769" s="85" t="s">
        <v>254</v>
      </c>
      <c r="J769" s="85" t="s">
        <v>254</v>
      </c>
      <c r="K769" s="85" t="s">
        <v>254</v>
      </c>
      <c r="L769" s="85" t="s">
        <v>254</v>
      </c>
      <c r="M769" s="85" t="s">
        <v>254</v>
      </c>
      <c r="N769" s="85" t="s">
        <v>254</v>
      </c>
      <c r="O769" s="85" t="s">
        <v>254</v>
      </c>
      <c r="P769" s="85" t="s">
        <v>254</v>
      </c>
      <c r="Q769" s="85" t="s">
        <v>254</v>
      </c>
      <c r="R769" s="85"/>
      <c r="S769" s="86"/>
    </row>
    <row r="770" spans="1:19" ht="15">
      <c r="A770" s="70" t="s">
        <v>254</v>
      </c>
      <c r="B770" s="70"/>
      <c r="C770" s="72" t="s">
        <v>254</v>
      </c>
      <c r="D770" s="72" t="s">
        <v>254</v>
      </c>
      <c r="E770" s="85" t="s">
        <v>254</v>
      </c>
      <c r="F770" s="85" t="s">
        <v>254</v>
      </c>
      <c r="G770" s="85" t="s">
        <v>254</v>
      </c>
      <c r="H770" s="85" t="s">
        <v>254</v>
      </c>
      <c r="I770" s="85" t="s">
        <v>254</v>
      </c>
      <c r="J770" s="85" t="s">
        <v>254</v>
      </c>
      <c r="K770" s="85" t="s">
        <v>254</v>
      </c>
      <c r="L770" s="85" t="s">
        <v>254</v>
      </c>
      <c r="M770" s="85" t="s">
        <v>254</v>
      </c>
      <c r="N770" s="85" t="s">
        <v>254</v>
      </c>
      <c r="O770" s="85" t="s">
        <v>254</v>
      </c>
      <c r="P770" s="85" t="s">
        <v>254</v>
      </c>
      <c r="Q770" s="85" t="s">
        <v>254</v>
      </c>
      <c r="R770" s="85"/>
      <c r="S770" s="86"/>
    </row>
    <row r="771" spans="1:19" ht="15">
      <c r="A771" s="70" t="s">
        <v>254</v>
      </c>
      <c r="B771" s="70"/>
      <c r="C771" s="72" t="s">
        <v>810</v>
      </c>
      <c r="D771" s="72" t="s">
        <v>254</v>
      </c>
      <c r="E771" s="85">
        <v>0.06</v>
      </c>
      <c r="F771" s="85" t="s">
        <v>254</v>
      </c>
      <c r="G771" s="85">
        <v>0.06</v>
      </c>
      <c r="H771" s="85" t="s">
        <v>254</v>
      </c>
      <c r="I771" s="85">
        <v>0.06</v>
      </c>
      <c r="J771" s="85">
        <v>0.06</v>
      </c>
      <c r="K771" s="85" t="s">
        <v>254</v>
      </c>
      <c r="L771" s="85" t="s">
        <v>254</v>
      </c>
      <c r="M771" s="85">
        <v>0.06</v>
      </c>
      <c r="N771" s="85" t="s">
        <v>254</v>
      </c>
      <c r="O771" s="85">
        <v>0.06</v>
      </c>
      <c r="P771" s="85">
        <v>0.06</v>
      </c>
      <c r="Q771" s="85">
        <v>0.06</v>
      </c>
      <c r="R771" s="85"/>
      <c r="S771" s="86"/>
    </row>
    <row r="772" spans="1:19" ht="15">
      <c r="A772" s="70" t="s">
        <v>254</v>
      </c>
      <c r="B772" s="70"/>
      <c r="C772" s="72" t="s">
        <v>811</v>
      </c>
      <c r="D772" s="72" t="s">
        <v>254</v>
      </c>
      <c r="E772" s="85">
        <v>0.35</v>
      </c>
      <c r="F772" s="85" t="s">
        <v>254</v>
      </c>
      <c r="G772" s="85">
        <v>0.35</v>
      </c>
      <c r="H772" s="85" t="s">
        <v>254</v>
      </c>
      <c r="I772" s="85">
        <v>0.35</v>
      </c>
      <c r="J772" s="85">
        <v>0.35</v>
      </c>
      <c r="K772" s="85" t="s">
        <v>254</v>
      </c>
      <c r="L772" s="85" t="s">
        <v>254</v>
      </c>
      <c r="M772" s="85">
        <v>0.35</v>
      </c>
      <c r="N772" s="85" t="s">
        <v>254</v>
      </c>
      <c r="O772" s="85">
        <v>0.35</v>
      </c>
      <c r="P772" s="85">
        <v>0.35</v>
      </c>
      <c r="Q772" s="85">
        <v>0.35</v>
      </c>
      <c r="R772" s="85"/>
      <c r="S772" s="86"/>
    </row>
    <row r="773" spans="1:19" ht="15">
      <c r="A773" s="70" t="s">
        <v>254</v>
      </c>
      <c r="B773" s="70"/>
      <c r="C773" s="72" t="s">
        <v>812</v>
      </c>
      <c r="D773" s="72" t="s">
        <v>254</v>
      </c>
      <c r="E773" s="85">
        <v>0.61099999999999999</v>
      </c>
      <c r="F773" s="85" t="s">
        <v>254</v>
      </c>
      <c r="G773" s="85">
        <v>0.61099999999999999</v>
      </c>
      <c r="H773" s="85" t="s">
        <v>254</v>
      </c>
      <c r="I773" s="85">
        <v>0.61099999999999999</v>
      </c>
      <c r="J773" s="85">
        <v>0.61099999999999999</v>
      </c>
      <c r="K773" s="85" t="s">
        <v>254</v>
      </c>
      <c r="L773" s="85" t="s">
        <v>254</v>
      </c>
      <c r="M773" s="85">
        <v>0.61099999999999999</v>
      </c>
      <c r="N773" s="85" t="s">
        <v>254</v>
      </c>
      <c r="O773" s="85">
        <v>0.61099999999999999</v>
      </c>
      <c r="P773" s="85">
        <v>0.61099999999999999</v>
      </c>
      <c r="Q773" s="85">
        <v>0.61099999999999999</v>
      </c>
      <c r="R773" s="85"/>
      <c r="S773" s="86"/>
    </row>
    <row r="774" spans="1:19" ht="15">
      <c r="A774" s="70" t="s">
        <v>254</v>
      </c>
      <c r="B774" s="70"/>
      <c r="C774" s="72" t="s">
        <v>813</v>
      </c>
      <c r="D774" s="72" t="s">
        <v>254</v>
      </c>
      <c r="E774" s="85">
        <v>0.38899999999999996</v>
      </c>
      <c r="F774" s="85" t="s">
        <v>254</v>
      </c>
      <c r="G774" s="85">
        <v>0.38899999999999996</v>
      </c>
      <c r="H774" s="85" t="s">
        <v>254</v>
      </c>
      <c r="I774" s="85">
        <v>0.38899999999999996</v>
      </c>
      <c r="J774" s="85">
        <v>0.38899999999999996</v>
      </c>
      <c r="K774" s="85" t="s">
        <v>254</v>
      </c>
      <c r="L774" s="85" t="s">
        <v>254</v>
      </c>
      <c r="M774" s="85">
        <v>0.38899999999999996</v>
      </c>
      <c r="N774" s="85" t="s">
        <v>254</v>
      </c>
      <c r="O774" s="85">
        <v>0.38899999999999996</v>
      </c>
      <c r="P774" s="85">
        <v>0.38899999999999996</v>
      </c>
      <c r="Q774" s="85">
        <v>0.38899999999999996</v>
      </c>
      <c r="R774" s="85"/>
      <c r="S774" s="86"/>
    </row>
    <row r="775" spans="1:19" ht="15">
      <c r="A775" s="70" t="s">
        <v>254</v>
      </c>
      <c r="B775" s="70"/>
      <c r="C775" s="72" t="s">
        <v>814</v>
      </c>
      <c r="D775" s="72" t="s">
        <v>254</v>
      </c>
      <c r="E775" s="85">
        <v>1.6366612111292962</v>
      </c>
      <c r="F775" s="85" t="s">
        <v>254</v>
      </c>
      <c r="G775" s="85">
        <v>1.6366612111292962</v>
      </c>
      <c r="H775" s="85" t="s">
        <v>254</v>
      </c>
      <c r="I775" s="85">
        <v>1.6366612111292962</v>
      </c>
      <c r="J775" s="85">
        <v>1.6366612111292962</v>
      </c>
      <c r="K775" s="85" t="s">
        <v>254</v>
      </c>
      <c r="L775" s="85" t="s">
        <v>254</v>
      </c>
      <c r="M775" s="85">
        <v>1.6366612111292962</v>
      </c>
      <c r="N775" s="85" t="s">
        <v>254</v>
      </c>
      <c r="O775" s="85">
        <v>1.6366612111292962</v>
      </c>
      <c r="P775" s="85">
        <v>1.6366612111292962</v>
      </c>
      <c r="Q775" s="85">
        <v>1.6366612111292962</v>
      </c>
      <c r="R775" s="85"/>
      <c r="S775" s="86"/>
    </row>
    <row r="776" spans="1:19" ht="15">
      <c r="A776" s="70" t="s">
        <v>254</v>
      </c>
      <c r="B776" s="70"/>
      <c r="C776" s="72" t="s">
        <v>254</v>
      </c>
      <c r="D776" s="72" t="s">
        <v>254</v>
      </c>
      <c r="E776" s="85" t="s">
        <v>254</v>
      </c>
      <c r="F776" s="85" t="s">
        <v>254</v>
      </c>
      <c r="G776" s="85" t="s">
        <v>254</v>
      </c>
      <c r="H776" s="85" t="s">
        <v>254</v>
      </c>
      <c r="I776" s="85" t="s">
        <v>254</v>
      </c>
      <c r="J776" s="85" t="s">
        <v>254</v>
      </c>
      <c r="K776" s="85" t="s">
        <v>254</v>
      </c>
      <c r="L776" s="85" t="s">
        <v>254</v>
      </c>
      <c r="M776" s="85" t="s">
        <v>254</v>
      </c>
      <c r="N776" s="85" t="s">
        <v>254</v>
      </c>
      <c r="O776" s="85" t="s">
        <v>254</v>
      </c>
      <c r="P776" s="85" t="s">
        <v>254</v>
      </c>
      <c r="Q776" s="85" t="s">
        <v>254</v>
      </c>
      <c r="R776" s="85"/>
      <c r="S776" s="86"/>
    </row>
    <row r="777" spans="1:19" ht="15">
      <c r="A777" s="70" t="s">
        <v>254</v>
      </c>
      <c r="B777" s="70"/>
      <c r="C777" s="72" t="s">
        <v>815</v>
      </c>
      <c r="D777" s="72" t="s">
        <v>254</v>
      </c>
      <c r="E777" s="85" t="s">
        <v>254</v>
      </c>
      <c r="F777" s="85" t="s">
        <v>254</v>
      </c>
      <c r="G777" s="85" t="s">
        <v>254</v>
      </c>
      <c r="H777" s="85" t="s">
        <v>254</v>
      </c>
      <c r="I777" s="85" t="s">
        <v>254</v>
      </c>
      <c r="J777" s="85" t="s">
        <v>254</v>
      </c>
      <c r="K777" s="85" t="s">
        <v>254</v>
      </c>
      <c r="L777" s="85" t="s">
        <v>254</v>
      </c>
      <c r="M777" s="85" t="s">
        <v>254</v>
      </c>
      <c r="N777" s="85" t="s">
        <v>254</v>
      </c>
      <c r="O777" s="85" t="s">
        <v>254</v>
      </c>
      <c r="P777" s="85" t="s">
        <v>254</v>
      </c>
      <c r="Q777" s="85" t="s">
        <v>254</v>
      </c>
      <c r="R777" s="85"/>
      <c r="S777" s="86"/>
    </row>
    <row r="778" spans="1:19" ht="15">
      <c r="A778" s="70" t="s">
        <v>254</v>
      </c>
      <c r="B778" s="70"/>
      <c r="C778" s="72" t="s">
        <v>254</v>
      </c>
      <c r="D778" s="72" t="s">
        <v>254</v>
      </c>
      <c r="E778" s="85" t="s">
        <v>254</v>
      </c>
      <c r="F778" s="85" t="s">
        <v>254</v>
      </c>
      <c r="G778" s="85" t="s">
        <v>254</v>
      </c>
      <c r="H778" s="85" t="s">
        <v>254</v>
      </c>
      <c r="I778" s="85" t="s">
        <v>254</v>
      </c>
      <c r="J778" s="85" t="s">
        <v>254</v>
      </c>
      <c r="K778" s="85" t="s">
        <v>254</v>
      </c>
      <c r="L778" s="85" t="s">
        <v>254</v>
      </c>
      <c r="M778" s="85" t="s">
        <v>254</v>
      </c>
      <c r="N778" s="85" t="s">
        <v>254</v>
      </c>
      <c r="O778" s="85" t="s">
        <v>254</v>
      </c>
      <c r="P778" s="85" t="s">
        <v>254</v>
      </c>
      <c r="Q778" s="85" t="s">
        <v>254</v>
      </c>
      <c r="R778" s="85"/>
      <c r="S778" s="86"/>
    </row>
    <row r="779" spans="1:19" ht="15">
      <c r="A779" s="70" t="s">
        <v>254</v>
      </c>
      <c r="B779" s="70"/>
      <c r="C779" s="72" t="s">
        <v>816</v>
      </c>
      <c r="D779" s="72" t="s">
        <v>254</v>
      </c>
      <c r="E779" s="85" t="s">
        <v>254</v>
      </c>
      <c r="F779" s="85" t="s">
        <v>254</v>
      </c>
      <c r="G779" s="85" t="s">
        <v>254</v>
      </c>
      <c r="H779" s="85" t="s">
        <v>254</v>
      </c>
      <c r="I779" s="85" t="s">
        <v>254</v>
      </c>
      <c r="J779" s="85" t="s">
        <v>254</v>
      </c>
      <c r="K779" s="85" t="s">
        <v>254</v>
      </c>
      <c r="L779" s="85" t="s">
        <v>254</v>
      </c>
      <c r="M779" s="85" t="s">
        <v>254</v>
      </c>
      <c r="N779" s="85" t="s">
        <v>254</v>
      </c>
      <c r="O779" s="85" t="s">
        <v>254</v>
      </c>
      <c r="P779" s="85" t="s">
        <v>254</v>
      </c>
      <c r="Q779" s="85" t="s">
        <v>254</v>
      </c>
      <c r="R779" s="85"/>
      <c r="S779" s="86"/>
    </row>
    <row r="780" spans="1:19" ht="15">
      <c r="A780" s="70" t="s">
        <v>254</v>
      </c>
      <c r="B780" s="70"/>
      <c r="C780" s="72" t="s">
        <v>817</v>
      </c>
      <c r="D780" s="72" t="s">
        <v>254</v>
      </c>
      <c r="E780" s="85" t="s">
        <v>254</v>
      </c>
      <c r="F780" s="85" t="s">
        <v>254</v>
      </c>
      <c r="G780" s="85" t="s">
        <v>254</v>
      </c>
      <c r="H780" s="85" t="s">
        <v>254</v>
      </c>
      <c r="I780" s="85" t="s">
        <v>254</v>
      </c>
      <c r="J780" s="85" t="s">
        <v>254</v>
      </c>
      <c r="K780" s="85" t="s">
        <v>254</v>
      </c>
      <c r="L780" s="85" t="s">
        <v>254</v>
      </c>
      <c r="M780" s="85" t="s">
        <v>254</v>
      </c>
      <c r="N780" s="85" t="s">
        <v>254</v>
      </c>
      <c r="O780" s="85" t="s">
        <v>254</v>
      </c>
      <c r="P780" s="85" t="s">
        <v>254</v>
      </c>
      <c r="Q780" s="85" t="s">
        <v>254</v>
      </c>
      <c r="R780" s="85"/>
      <c r="S780" s="86"/>
    </row>
    <row r="781" spans="1:19" ht="15">
      <c r="A781" s="70" t="s">
        <v>254</v>
      </c>
      <c r="B781" s="70"/>
      <c r="C781" s="72" t="s">
        <v>818</v>
      </c>
      <c r="D781" s="72" t="s">
        <v>254</v>
      </c>
      <c r="E781" s="85" t="s">
        <v>254</v>
      </c>
      <c r="F781" s="85" t="s">
        <v>254</v>
      </c>
      <c r="G781" s="85" t="s">
        <v>254</v>
      </c>
      <c r="H781" s="85" t="s">
        <v>254</v>
      </c>
      <c r="I781" s="85" t="s">
        <v>254</v>
      </c>
      <c r="J781" s="85" t="s">
        <v>254</v>
      </c>
      <c r="K781" s="85" t="s">
        <v>254</v>
      </c>
      <c r="L781" s="85" t="s">
        <v>254</v>
      </c>
      <c r="M781" s="85" t="s">
        <v>254</v>
      </c>
      <c r="N781" s="85" t="s">
        <v>254</v>
      </c>
      <c r="O781" s="85" t="s">
        <v>254</v>
      </c>
      <c r="P781" s="85" t="s">
        <v>254</v>
      </c>
      <c r="Q781" s="85" t="s">
        <v>254</v>
      </c>
      <c r="R781" s="85"/>
      <c r="S781" s="86"/>
    </row>
    <row r="782" spans="1:19" ht="15">
      <c r="A782" s="70">
        <v>1</v>
      </c>
      <c r="B782" s="70"/>
      <c r="C782" s="72" t="s">
        <v>819</v>
      </c>
      <c r="D782" s="72" t="s">
        <v>498</v>
      </c>
      <c r="E782" s="85">
        <v>2863708.9999999995</v>
      </c>
      <c r="F782" s="85" t="s">
        <v>254</v>
      </c>
      <c r="G782" s="85">
        <v>2518295.3741893796</v>
      </c>
      <c r="H782" s="85" t="s">
        <v>254</v>
      </c>
      <c r="I782" s="85">
        <v>104397.13409934269</v>
      </c>
      <c r="J782" s="85">
        <v>241016.49171127722</v>
      </c>
      <c r="K782" s="85" t="s">
        <v>254</v>
      </c>
      <c r="L782" s="85" t="s">
        <v>254</v>
      </c>
      <c r="M782" s="85">
        <v>12.144707588327586</v>
      </c>
      <c r="N782" s="85" t="s">
        <v>254</v>
      </c>
      <c r="O782" s="85">
        <v>241004.34700368889</v>
      </c>
      <c r="P782" s="85">
        <v>76160.605627441168</v>
      </c>
      <c r="Q782" s="85">
        <v>164843.74137624772</v>
      </c>
      <c r="R782" s="85"/>
      <c r="S782" s="86"/>
    </row>
    <row r="783" spans="1:19" ht="15">
      <c r="A783" s="70">
        <v>2</v>
      </c>
      <c r="B783" s="70"/>
      <c r="C783" s="72" t="s">
        <v>820</v>
      </c>
      <c r="D783" s="72" t="s">
        <v>498</v>
      </c>
      <c r="E783" s="85">
        <v>8497622</v>
      </c>
      <c r="F783" s="85" t="s">
        <v>254</v>
      </c>
      <c r="G783" s="85">
        <v>7472659.4686156679</v>
      </c>
      <c r="H783" s="85" t="s">
        <v>254</v>
      </c>
      <c r="I783" s="85">
        <v>309782.65719719586</v>
      </c>
      <c r="J783" s="85">
        <v>715179.87418713525</v>
      </c>
      <c r="K783" s="85" t="s">
        <v>254</v>
      </c>
      <c r="L783" s="85" t="s">
        <v>254</v>
      </c>
      <c r="M783" s="85">
        <v>36.037577276929824</v>
      </c>
      <c r="N783" s="85" t="s">
        <v>254</v>
      </c>
      <c r="O783" s="85">
        <v>715143.83660985832</v>
      </c>
      <c r="P783" s="85">
        <v>225995.04276205014</v>
      </c>
      <c r="Q783" s="85">
        <v>489148.79384780821</v>
      </c>
      <c r="R783" s="85"/>
      <c r="S783" s="86"/>
    </row>
    <row r="784" spans="1:19" ht="15">
      <c r="A784" s="70">
        <v>3</v>
      </c>
      <c r="B784" s="70"/>
      <c r="C784" s="72" t="s">
        <v>821</v>
      </c>
      <c r="D784" s="72" t="s">
        <v>498</v>
      </c>
      <c r="E784" s="85">
        <v>10477664.999999998</v>
      </c>
      <c r="F784" s="85" t="s">
        <v>254</v>
      </c>
      <c r="G784" s="85">
        <v>9213874.4899729565</v>
      </c>
      <c r="H784" s="85" t="s">
        <v>254</v>
      </c>
      <c r="I784" s="85">
        <v>381965.55517791415</v>
      </c>
      <c r="J784" s="85">
        <v>881824.95484912721</v>
      </c>
      <c r="K784" s="85" t="s">
        <v>254</v>
      </c>
      <c r="L784" s="85" t="s">
        <v>254</v>
      </c>
      <c r="M784" s="85">
        <v>44.434744463719724</v>
      </c>
      <c r="N784" s="85" t="s">
        <v>254</v>
      </c>
      <c r="O784" s="85">
        <v>881780.52010466345</v>
      </c>
      <c r="P784" s="85">
        <v>278654.46941761306</v>
      </c>
      <c r="Q784" s="85">
        <v>603126.05068705045</v>
      </c>
      <c r="R784" s="85"/>
      <c r="S784" s="86"/>
    </row>
    <row r="785" spans="1:19" ht="15">
      <c r="A785" s="70">
        <v>4</v>
      </c>
      <c r="B785" s="70"/>
      <c r="C785" s="72" t="s">
        <v>822</v>
      </c>
      <c r="D785" s="72" t="s">
        <v>498</v>
      </c>
      <c r="E785" s="85">
        <v>2265346</v>
      </c>
      <c r="F785" s="85" t="s">
        <v>254</v>
      </c>
      <c r="G785" s="85">
        <v>1992105.4662811111</v>
      </c>
      <c r="H785" s="85" t="s">
        <v>254</v>
      </c>
      <c r="I785" s="85">
        <v>82583.680864015711</v>
      </c>
      <c r="J785" s="85">
        <v>190656.85285487282</v>
      </c>
      <c r="K785" s="85" t="s">
        <v>254</v>
      </c>
      <c r="L785" s="85" t="s">
        <v>254</v>
      </c>
      <c r="M785" s="85">
        <v>9.6071090869873803</v>
      </c>
      <c r="N785" s="85" t="s">
        <v>254</v>
      </c>
      <c r="O785" s="85">
        <v>190647.24574578583</v>
      </c>
      <c r="P785" s="85">
        <v>60247.086319071292</v>
      </c>
      <c r="Q785" s="85">
        <v>130400.15942671454</v>
      </c>
      <c r="R785" s="85"/>
      <c r="S785" s="86"/>
    </row>
    <row r="786" spans="1:19" ht="15">
      <c r="A786" s="70">
        <v>5</v>
      </c>
      <c r="B786" s="70"/>
      <c r="C786" s="72" t="s">
        <v>823</v>
      </c>
      <c r="D786" s="72" t="s">
        <v>498</v>
      </c>
      <c r="E786" s="85">
        <v>0</v>
      </c>
      <c r="F786" s="85" t="s">
        <v>254</v>
      </c>
      <c r="G786" s="85">
        <v>0</v>
      </c>
      <c r="H786" s="85" t="s">
        <v>254</v>
      </c>
      <c r="I786" s="85">
        <v>0</v>
      </c>
      <c r="J786" s="85">
        <v>0</v>
      </c>
      <c r="K786" s="85" t="s">
        <v>254</v>
      </c>
      <c r="L786" s="85" t="s">
        <v>254</v>
      </c>
      <c r="M786" s="85">
        <v>0</v>
      </c>
      <c r="N786" s="85" t="s">
        <v>254</v>
      </c>
      <c r="O786" s="85">
        <v>0</v>
      </c>
      <c r="P786" s="85">
        <v>0</v>
      </c>
      <c r="Q786" s="85">
        <v>0</v>
      </c>
      <c r="R786" s="85"/>
      <c r="S786" s="86"/>
    </row>
    <row r="787" spans="1:19" ht="15">
      <c r="A787" s="70" t="s">
        <v>254</v>
      </c>
      <c r="B787" s="70"/>
      <c r="C787" s="72" t="s">
        <v>254</v>
      </c>
      <c r="D787" s="72" t="s">
        <v>254</v>
      </c>
      <c r="E787" s="85" t="s">
        <v>254</v>
      </c>
      <c r="F787" s="85" t="s">
        <v>254</v>
      </c>
      <c r="G787" s="85" t="s">
        <v>254</v>
      </c>
      <c r="H787" s="85" t="s">
        <v>254</v>
      </c>
      <c r="I787" s="85" t="s">
        <v>254</v>
      </c>
      <c r="J787" s="85" t="s">
        <v>254</v>
      </c>
      <c r="K787" s="85" t="s">
        <v>254</v>
      </c>
      <c r="L787" s="85" t="s">
        <v>254</v>
      </c>
      <c r="M787" s="85" t="s">
        <v>254</v>
      </c>
      <c r="N787" s="85" t="s">
        <v>254</v>
      </c>
      <c r="O787" s="85" t="s">
        <v>254</v>
      </c>
      <c r="P787" s="85" t="s">
        <v>254</v>
      </c>
      <c r="Q787" s="85" t="s">
        <v>254</v>
      </c>
      <c r="R787" s="85"/>
      <c r="S787" s="86"/>
    </row>
    <row r="788" spans="1:19" ht="15">
      <c r="A788" s="70">
        <v>6</v>
      </c>
      <c r="B788" s="70"/>
      <c r="C788" s="72" t="s">
        <v>824</v>
      </c>
      <c r="D788" s="72" t="s">
        <v>254</v>
      </c>
      <c r="E788" s="85">
        <v>24104341.999999996</v>
      </c>
      <c r="F788" s="85" t="s">
        <v>254</v>
      </c>
      <c r="G788" s="85">
        <v>21196934.799059115</v>
      </c>
      <c r="H788" s="85" t="s">
        <v>254</v>
      </c>
      <c r="I788" s="85">
        <v>878729.02733846835</v>
      </c>
      <c r="J788" s="85">
        <v>2028678.1736024125</v>
      </c>
      <c r="K788" s="85" t="s">
        <v>254</v>
      </c>
      <c r="L788" s="85" t="s">
        <v>254</v>
      </c>
      <c r="M788" s="85">
        <v>102.22413841596452</v>
      </c>
      <c r="N788" s="85" t="s">
        <v>254</v>
      </c>
      <c r="O788" s="85">
        <v>2028575.9494639963</v>
      </c>
      <c r="P788" s="85">
        <v>641057.20412617561</v>
      </c>
      <c r="Q788" s="85">
        <v>1387518.7453378208</v>
      </c>
      <c r="R788" s="85"/>
      <c r="S788" s="86"/>
    </row>
    <row r="789" spans="1:19" ht="15">
      <c r="A789" s="70" t="s">
        <v>254</v>
      </c>
      <c r="B789" s="70"/>
      <c r="C789" s="72" t="s">
        <v>254</v>
      </c>
      <c r="D789" s="72" t="s">
        <v>254</v>
      </c>
      <c r="E789" s="85" t="s">
        <v>254</v>
      </c>
      <c r="F789" s="85" t="s">
        <v>254</v>
      </c>
      <c r="G789" s="85" t="s">
        <v>254</v>
      </c>
      <c r="H789" s="85" t="s">
        <v>254</v>
      </c>
      <c r="I789" s="85" t="s">
        <v>254</v>
      </c>
      <c r="J789" s="85" t="s">
        <v>254</v>
      </c>
      <c r="K789" s="85" t="s">
        <v>254</v>
      </c>
      <c r="L789" s="85" t="s">
        <v>254</v>
      </c>
      <c r="M789" s="85" t="s">
        <v>254</v>
      </c>
      <c r="N789" s="85" t="s">
        <v>254</v>
      </c>
      <c r="O789" s="85" t="s">
        <v>254</v>
      </c>
      <c r="P789" s="85" t="s">
        <v>254</v>
      </c>
      <c r="Q789" s="85" t="s">
        <v>254</v>
      </c>
      <c r="R789" s="85"/>
      <c r="S789" s="86"/>
    </row>
    <row r="790" spans="1:19" ht="15">
      <c r="A790" s="70" t="s">
        <v>254</v>
      </c>
      <c r="B790" s="70"/>
      <c r="C790" s="72" t="s">
        <v>825</v>
      </c>
      <c r="D790" s="72" t="s">
        <v>254</v>
      </c>
      <c r="E790" s="85" t="s">
        <v>254</v>
      </c>
      <c r="F790" s="85" t="s">
        <v>254</v>
      </c>
      <c r="G790" s="85" t="s">
        <v>254</v>
      </c>
      <c r="H790" s="85" t="s">
        <v>254</v>
      </c>
      <c r="I790" s="85" t="s">
        <v>254</v>
      </c>
      <c r="J790" s="85" t="s">
        <v>254</v>
      </c>
      <c r="K790" s="85" t="s">
        <v>254</v>
      </c>
      <c r="L790" s="85" t="s">
        <v>254</v>
      </c>
      <c r="M790" s="85" t="s">
        <v>254</v>
      </c>
      <c r="N790" s="85" t="s">
        <v>254</v>
      </c>
      <c r="O790" s="85" t="s">
        <v>254</v>
      </c>
      <c r="P790" s="85" t="s">
        <v>254</v>
      </c>
      <c r="Q790" s="85" t="s">
        <v>254</v>
      </c>
      <c r="R790" s="85"/>
      <c r="S790" s="86"/>
    </row>
    <row r="791" spans="1:19" ht="15">
      <c r="A791" s="70">
        <v>7</v>
      </c>
      <c r="B791" s="70"/>
      <c r="C791" s="72" t="s">
        <v>826</v>
      </c>
      <c r="D791" s="72" t="s">
        <v>501</v>
      </c>
      <c r="E791" s="85">
        <v>8247485.0000000009</v>
      </c>
      <c r="F791" s="85" t="s">
        <v>254</v>
      </c>
      <c r="G791" s="85">
        <v>7176310.5488311965</v>
      </c>
      <c r="H791" s="85" t="s">
        <v>254</v>
      </c>
      <c r="I791" s="85">
        <v>338821.06130286778</v>
      </c>
      <c r="J791" s="85">
        <v>732353.38986593636</v>
      </c>
      <c r="K791" s="85" t="s">
        <v>254</v>
      </c>
      <c r="L791" s="85" t="s">
        <v>254</v>
      </c>
      <c r="M791" s="85">
        <v>25.217030034536513</v>
      </c>
      <c r="N791" s="85" t="s">
        <v>254</v>
      </c>
      <c r="O791" s="85">
        <v>732328.17283590185</v>
      </c>
      <c r="P791" s="85">
        <v>227284.55236671641</v>
      </c>
      <c r="Q791" s="85">
        <v>505043.62046918547</v>
      </c>
      <c r="R791" s="85"/>
      <c r="S791" s="86"/>
    </row>
    <row r="792" spans="1:19" ht="15">
      <c r="A792" s="70">
        <v>8</v>
      </c>
      <c r="B792" s="70"/>
      <c r="C792" s="72" t="s">
        <v>827</v>
      </c>
      <c r="D792" s="72" t="s">
        <v>501</v>
      </c>
      <c r="E792" s="85">
        <v>9489635</v>
      </c>
      <c r="F792" s="85" t="s">
        <v>254</v>
      </c>
      <c r="G792" s="85">
        <v>8257131.4473512508</v>
      </c>
      <c r="H792" s="85" t="s">
        <v>254</v>
      </c>
      <c r="I792" s="85">
        <v>389850.74869209697</v>
      </c>
      <c r="J792" s="85">
        <v>842652.80395665288</v>
      </c>
      <c r="K792" s="85" t="s">
        <v>254</v>
      </c>
      <c r="L792" s="85" t="s">
        <v>254</v>
      </c>
      <c r="M792" s="85">
        <v>29.014955566671407</v>
      </c>
      <c r="N792" s="85" t="s">
        <v>254</v>
      </c>
      <c r="O792" s="85">
        <v>842623.78900108626</v>
      </c>
      <c r="P792" s="85">
        <v>261515.77639711075</v>
      </c>
      <c r="Q792" s="85">
        <v>581108.01260397548</v>
      </c>
      <c r="R792" s="85"/>
      <c r="S792" s="86"/>
    </row>
    <row r="793" spans="1:19" ht="15">
      <c r="A793" s="70">
        <v>9</v>
      </c>
      <c r="B793" s="70"/>
      <c r="C793" s="72" t="s">
        <v>828</v>
      </c>
      <c r="D793" s="72" t="s">
        <v>501</v>
      </c>
      <c r="E793" s="85">
        <v>6769476</v>
      </c>
      <c r="F793" s="85" t="s">
        <v>254</v>
      </c>
      <c r="G793" s="85">
        <v>5890263.7626936706</v>
      </c>
      <c r="H793" s="85" t="s">
        <v>254</v>
      </c>
      <c r="I793" s="85">
        <v>278101.87503030221</v>
      </c>
      <c r="J793" s="85">
        <v>601110.3622760271</v>
      </c>
      <c r="K793" s="85" t="s">
        <v>254</v>
      </c>
      <c r="L793" s="85" t="s">
        <v>254</v>
      </c>
      <c r="M793" s="85">
        <v>20.69795575379332</v>
      </c>
      <c r="N793" s="85" t="s">
        <v>254</v>
      </c>
      <c r="O793" s="85">
        <v>601089.66432027332</v>
      </c>
      <c r="P793" s="85">
        <v>186553.51569808612</v>
      </c>
      <c r="Q793" s="85">
        <v>414536.1486221872</v>
      </c>
      <c r="R793" s="85"/>
      <c r="S793" s="86"/>
    </row>
    <row r="794" spans="1:19" ht="15">
      <c r="A794" s="70">
        <v>10</v>
      </c>
      <c r="B794" s="70"/>
      <c r="C794" s="72" t="s">
        <v>829</v>
      </c>
      <c r="D794" s="72" t="s">
        <v>501</v>
      </c>
      <c r="E794" s="85">
        <v>1963285</v>
      </c>
      <c r="F794" s="85" t="s">
        <v>254</v>
      </c>
      <c r="G794" s="85">
        <v>1708295.6629641708</v>
      </c>
      <c r="H794" s="85" t="s">
        <v>254</v>
      </c>
      <c r="I794" s="85">
        <v>80655.170314344403</v>
      </c>
      <c r="J794" s="85">
        <v>174334.16672148477</v>
      </c>
      <c r="K794" s="85" t="s">
        <v>254</v>
      </c>
      <c r="L794" s="85" t="s">
        <v>254</v>
      </c>
      <c r="M794" s="85">
        <v>6.0028259295233664</v>
      </c>
      <c r="N794" s="85" t="s">
        <v>254</v>
      </c>
      <c r="O794" s="85">
        <v>174328.16389555525</v>
      </c>
      <c r="P794" s="85">
        <v>54104.293902115474</v>
      </c>
      <c r="Q794" s="85">
        <v>120223.86999343979</v>
      </c>
      <c r="R794" s="85"/>
      <c r="S794" s="86"/>
    </row>
    <row r="795" spans="1:19" ht="15">
      <c r="A795" s="70">
        <v>11</v>
      </c>
      <c r="B795" s="70"/>
      <c r="C795" s="72" t="s">
        <v>830</v>
      </c>
      <c r="D795" s="72" t="s">
        <v>501</v>
      </c>
      <c r="E795" s="85">
        <v>0</v>
      </c>
      <c r="F795" s="85" t="s">
        <v>254</v>
      </c>
      <c r="G795" s="85">
        <v>0</v>
      </c>
      <c r="H795" s="85" t="s">
        <v>254</v>
      </c>
      <c r="I795" s="85">
        <v>0</v>
      </c>
      <c r="J795" s="85">
        <v>0</v>
      </c>
      <c r="K795" s="85" t="s">
        <v>254</v>
      </c>
      <c r="L795" s="85" t="s">
        <v>254</v>
      </c>
      <c r="M795" s="85">
        <v>0</v>
      </c>
      <c r="N795" s="85" t="s">
        <v>254</v>
      </c>
      <c r="O795" s="85">
        <v>0</v>
      </c>
      <c r="P795" s="85">
        <v>0</v>
      </c>
      <c r="Q795" s="85">
        <v>0</v>
      </c>
      <c r="R795" s="85"/>
      <c r="S795" s="86"/>
    </row>
    <row r="796" spans="1:19" ht="15">
      <c r="A796" s="70">
        <v>12</v>
      </c>
      <c r="B796" s="70"/>
      <c r="C796" s="72" t="s">
        <v>831</v>
      </c>
      <c r="D796" s="72" t="s">
        <v>501</v>
      </c>
      <c r="E796" s="85">
        <v>1423795</v>
      </c>
      <c r="F796" s="85" t="s">
        <v>254</v>
      </c>
      <c r="G796" s="85">
        <v>1238874.0419501355</v>
      </c>
      <c r="H796" s="85" t="s">
        <v>254</v>
      </c>
      <c r="I796" s="85">
        <v>58491.980643519404</v>
      </c>
      <c r="J796" s="85">
        <v>126428.97740634519</v>
      </c>
      <c r="K796" s="85" t="s">
        <v>254</v>
      </c>
      <c r="L796" s="85" t="s">
        <v>254</v>
      </c>
      <c r="M796" s="85">
        <v>4.353312710241112</v>
      </c>
      <c r="N796" s="85" t="s">
        <v>254</v>
      </c>
      <c r="O796" s="85">
        <v>126424.62409363495</v>
      </c>
      <c r="P796" s="85">
        <v>39237.004885364324</v>
      </c>
      <c r="Q796" s="85">
        <v>87187.619208270626</v>
      </c>
      <c r="R796" s="85"/>
      <c r="S796" s="86"/>
    </row>
    <row r="797" spans="1:19" ht="15">
      <c r="A797" s="70">
        <v>13</v>
      </c>
      <c r="B797" s="70"/>
      <c r="C797" s="72" t="s">
        <v>832</v>
      </c>
      <c r="D797" s="72" t="s">
        <v>501</v>
      </c>
      <c r="E797" s="85">
        <v>456883.00000000006</v>
      </c>
      <c r="F797" s="85" t="s">
        <v>254</v>
      </c>
      <c r="G797" s="85">
        <v>397543.52902510809</v>
      </c>
      <c r="H797" s="85" t="s">
        <v>254</v>
      </c>
      <c r="I797" s="85">
        <v>18769.550105424642</v>
      </c>
      <c r="J797" s="85">
        <v>40569.920869467314</v>
      </c>
      <c r="K797" s="85" t="s">
        <v>254</v>
      </c>
      <c r="L797" s="85" t="s">
        <v>254</v>
      </c>
      <c r="M797" s="85">
        <v>1.3969388647895868</v>
      </c>
      <c r="N797" s="85" t="s">
        <v>254</v>
      </c>
      <c r="O797" s="85">
        <v>40568.523930602525</v>
      </c>
      <c r="P797" s="85">
        <v>12590.801697603874</v>
      </c>
      <c r="Q797" s="85">
        <v>27977.722232998651</v>
      </c>
      <c r="R797" s="85"/>
      <c r="S797" s="86"/>
    </row>
    <row r="798" spans="1:19" ht="15">
      <c r="A798" s="70">
        <v>14</v>
      </c>
      <c r="B798" s="70"/>
      <c r="C798" s="72" t="s">
        <v>833</v>
      </c>
      <c r="D798" s="72" t="s">
        <v>501</v>
      </c>
      <c r="E798" s="85">
        <v>0</v>
      </c>
      <c r="F798" s="85" t="s">
        <v>254</v>
      </c>
      <c r="G798" s="85">
        <v>0</v>
      </c>
      <c r="H798" s="85" t="s">
        <v>254</v>
      </c>
      <c r="I798" s="85">
        <v>0</v>
      </c>
      <c r="J798" s="85">
        <v>0</v>
      </c>
      <c r="K798" s="85" t="s">
        <v>254</v>
      </c>
      <c r="L798" s="85" t="s">
        <v>254</v>
      </c>
      <c r="M798" s="85">
        <v>0</v>
      </c>
      <c r="N798" s="85" t="s">
        <v>254</v>
      </c>
      <c r="O798" s="85">
        <v>0</v>
      </c>
      <c r="P798" s="85">
        <v>0</v>
      </c>
      <c r="Q798" s="85">
        <v>0</v>
      </c>
      <c r="R798" s="85"/>
      <c r="S798" s="86"/>
    </row>
    <row r="799" spans="1:19" ht="15">
      <c r="A799" s="70">
        <v>15</v>
      </c>
      <c r="B799" s="70"/>
      <c r="C799" s="72" t="s">
        <v>834</v>
      </c>
      <c r="D799" s="72" t="s">
        <v>501</v>
      </c>
      <c r="E799" s="85">
        <v>0</v>
      </c>
      <c r="F799" s="85" t="s">
        <v>254</v>
      </c>
      <c r="G799" s="85">
        <v>0</v>
      </c>
      <c r="H799" s="85" t="s">
        <v>254</v>
      </c>
      <c r="I799" s="85">
        <v>0</v>
      </c>
      <c r="J799" s="85">
        <v>0</v>
      </c>
      <c r="K799" s="85" t="s">
        <v>254</v>
      </c>
      <c r="L799" s="85" t="s">
        <v>254</v>
      </c>
      <c r="M799" s="85">
        <v>0</v>
      </c>
      <c r="N799" s="85" t="s">
        <v>254</v>
      </c>
      <c r="O799" s="85">
        <v>0</v>
      </c>
      <c r="P799" s="85">
        <v>0</v>
      </c>
      <c r="Q799" s="85">
        <v>0</v>
      </c>
      <c r="R799" s="85"/>
      <c r="S799" s="86"/>
    </row>
    <row r="800" spans="1:19" ht="15">
      <c r="A800" s="70">
        <v>16</v>
      </c>
      <c r="B800" s="70"/>
      <c r="C800" s="72" t="s">
        <v>835</v>
      </c>
      <c r="D800" s="72" t="s">
        <v>501</v>
      </c>
      <c r="E800" s="85">
        <v>0</v>
      </c>
      <c r="F800" s="85" t="s">
        <v>254</v>
      </c>
      <c r="G800" s="85">
        <v>0</v>
      </c>
      <c r="H800" s="85" t="s">
        <v>254</v>
      </c>
      <c r="I800" s="85">
        <v>0</v>
      </c>
      <c r="J800" s="85">
        <v>0</v>
      </c>
      <c r="K800" s="85" t="s">
        <v>254</v>
      </c>
      <c r="L800" s="85" t="s">
        <v>254</v>
      </c>
      <c r="M800" s="85">
        <v>0</v>
      </c>
      <c r="N800" s="85" t="s">
        <v>254</v>
      </c>
      <c r="O800" s="85">
        <v>0</v>
      </c>
      <c r="P800" s="85">
        <v>0</v>
      </c>
      <c r="Q800" s="85">
        <v>0</v>
      </c>
      <c r="R800" s="85"/>
      <c r="S800" s="86"/>
    </row>
    <row r="801" spans="1:19" ht="15">
      <c r="A801" s="70">
        <v>17</v>
      </c>
      <c r="B801" s="70"/>
      <c r="C801" s="72" t="s">
        <v>836</v>
      </c>
      <c r="D801" s="72" t="s">
        <v>501</v>
      </c>
      <c r="E801" s="85">
        <v>191573.00000000003</v>
      </c>
      <c r="F801" s="85" t="s">
        <v>254</v>
      </c>
      <c r="G801" s="85">
        <v>166691.70550431299</v>
      </c>
      <c r="H801" s="85" t="s">
        <v>254</v>
      </c>
      <c r="I801" s="85">
        <v>7870.1528013660272</v>
      </c>
      <c r="J801" s="85">
        <v>17011.141694321002</v>
      </c>
      <c r="K801" s="85" t="s">
        <v>254</v>
      </c>
      <c r="L801" s="85" t="s">
        <v>254</v>
      </c>
      <c r="M801" s="85">
        <v>0.58574245297884919</v>
      </c>
      <c r="N801" s="85" t="s">
        <v>254</v>
      </c>
      <c r="O801" s="85">
        <v>17010.555951868024</v>
      </c>
      <c r="P801" s="85">
        <v>5279.3771132107504</v>
      </c>
      <c r="Q801" s="85">
        <v>11731.178838657272</v>
      </c>
      <c r="R801" s="85"/>
      <c r="S801" s="86"/>
    </row>
    <row r="802" spans="1:19" ht="15">
      <c r="A802" s="70">
        <v>18</v>
      </c>
      <c r="B802" s="70"/>
      <c r="C802" s="72" t="s">
        <v>837</v>
      </c>
      <c r="D802" s="72" t="s">
        <v>501</v>
      </c>
      <c r="E802" s="85">
        <v>54228</v>
      </c>
      <c r="F802" s="85" t="s">
        <v>254</v>
      </c>
      <c r="G802" s="85">
        <v>47184.925882498494</v>
      </c>
      <c r="H802" s="85" t="s">
        <v>254</v>
      </c>
      <c r="I802" s="85">
        <v>2227.7807734517751</v>
      </c>
      <c r="J802" s="85">
        <v>4815.2933440497318</v>
      </c>
      <c r="K802" s="85" t="s">
        <v>254</v>
      </c>
      <c r="L802" s="85" t="s">
        <v>254</v>
      </c>
      <c r="M802" s="85">
        <v>0.16580437608711579</v>
      </c>
      <c r="N802" s="85" t="s">
        <v>254</v>
      </c>
      <c r="O802" s="85">
        <v>4815.1275396736446</v>
      </c>
      <c r="P802" s="85">
        <v>1494.4175958782946</v>
      </c>
      <c r="Q802" s="85">
        <v>3320.7099437953498</v>
      </c>
      <c r="R802" s="85"/>
      <c r="S802" s="86"/>
    </row>
    <row r="803" spans="1:19" ht="15">
      <c r="A803" s="70">
        <v>19</v>
      </c>
      <c r="B803" s="70"/>
      <c r="C803" s="72" t="s">
        <v>2452</v>
      </c>
      <c r="D803" s="72" t="s">
        <v>501</v>
      </c>
      <c r="E803" s="85">
        <v>0</v>
      </c>
      <c r="F803" s="85" t="s">
        <v>254</v>
      </c>
      <c r="G803" s="85">
        <v>0</v>
      </c>
      <c r="H803" s="85" t="s">
        <v>254</v>
      </c>
      <c r="I803" s="85">
        <v>0</v>
      </c>
      <c r="J803" s="85">
        <v>0</v>
      </c>
      <c r="K803" s="85" t="s">
        <v>254</v>
      </c>
      <c r="L803" s="85" t="s">
        <v>254</v>
      </c>
      <c r="M803" s="85">
        <v>0</v>
      </c>
      <c r="N803" s="85" t="s">
        <v>254</v>
      </c>
      <c r="O803" s="85">
        <v>0</v>
      </c>
      <c r="P803" s="85">
        <v>0</v>
      </c>
      <c r="Q803" s="85">
        <v>0</v>
      </c>
      <c r="R803" s="85"/>
      <c r="S803" s="86"/>
    </row>
    <row r="804" spans="1:19" ht="15">
      <c r="A804" s="70">
        <v>20</v>
      </c>
      <c r="B804" s="70"/>
      <c r="C804" s="72" t="s">
        <v>838</v>
      </c>
      <c r="D804" s="72" t="s">
        <v>501</v>
      </c>
      <c r="E804" s="85">
        <v>0</v>
      </c>
      <c r="F804" s="85" t="s">
        <v>254</v>
      </c>
      <c r="G804" s="85">
        <v>0</v>
      </c>
      <c r="H804" s="85" t="s">
        <v>254</v>
      </c>
      <c r="I804" s="85">
        <v>0</v>
      </c>
      <c r="J804" s="85">
        <v>0</v>
      </c>
      <c r="K804" s="85" t="s">
        <v>254</v>
      </c>
      <c r="L804" s="85" t="s">
        <v>254</v>
      </c>
      <c r="M804" s="85">
        <v>0</v>
      </c>
      <c r="N804" s="85" t="s">
        <v>254</v>
      </c>
      <c r="O804" s="85">
        <v>0</v>
      </c>
      <c r="P804" s="85">
        <v>0</v>
      </c>
      <c r="Q804" s="85">
        <v>0</v>
      </c>
      <c r="R804" s="85"/>
      <c r="S804" s="86"/>
    </row>
    <row r="805" spans="1:19" ht="15">
      <c r="A805" s="70">
        <v>21</v>
      </c>
      <c r="B805" s="70"/>
      <c r="C805" s="72" t="s">
        <v>839</v>
      </c>
      <c r="D805" s="72" t="s">
        <v>501</v>
      </c>
      <c r="E805" s="85">
        <v>0</v>
      </c>
      <c r="F805" s="85" t="s">
        <v>254</v>
      </c>
      <c r="G805" s="85">
        <v>0</v>
      </c>
      <c r="H805" s="85" t="s">
        <v>254</v>
      </c>
      <c r="I805" s="85">
        <v>0</v>
      </c>
      <c r="J805" s="85">
        <v>0</v>
      </c>
      <c r="K805" s="85" t="s">
        <v>254</v>
      </c>
      <c r="L805" s="85" t="s">
        <v>254</v>
      </c>
      <c r="M805" s="85">
        <v>0</v>
      </c>
      <c r="N805" s="85" t="s">
        <v>254</v>
      </c>
      <c r="O805" s="85">
        <v>0</v>
      </c>
      <c r="P805" s="85">
        <v>0</v>
      </c>
      <c r="Q805" s="85">
        <v>0</v>
      </c>
      <c r="R805" s="85"/>
      <c r="S805" s="86"/>
    </row>
    <row r="806" spans="1:19" ht="15">
      <c r="A806" s="70">
        <v>22</v>
      </c>
      <c r="B806" s="70"/>
      <c r="C806" s="72" t="s">
        <v>840</v>
      </c>
      <c r="D806" s="72" t="s">
        <v>501</v>
      </c>
      <c r="E806" s="85">
        <v>974885.00000000012</v>
      </c>
      <c r="F806" s="85" t="s">
        <v>254</v>
      </c>
      <c r="G806" s="85">
        <v>848267.98828943621</v>
      </c>
      <c r="H806" s="85" t="s">
        <v>254</v>
      </c>
      <c r="I806" s="85">
        <v>40049.975277099169</v>
      </c>
      <c r="J806" s="85">
        <v>86567.036433464687</v>
      </c>
      <c r="K806" s="85" t="s">
        <v>254</v>
      </c>
      <c r="L806" s="85" t="s">
        <v>254</v>
      </c>
      <c r="M806" s="85">
        <v>2.9807516261283444</v>
      </c>
      <c r="N806" s="85" t="s">
        <v>254</v>
      </c>
      <c r="O806" s="85">
        <v>86564.055681838552</v>
      </c>
      <c r="P806" s="85">
        <v>26865.923470491467</v>
      </c>
      <c r="Q806" s="85">
        <v>59698.132211347081</v>
      </c>
      <c r="R806" s="85"/>
      <c r="S806" s="86"/>
    </row>
    <row r="807" spans="1:19" ht="15">
      <c r="A807" s="70">
        <v>23</v>
      </c>
      <c r="B807" s="70"/>
      <c r="C807" s="72" t="s">
        <v>841</v>
      </c>
      <c r="D807" s="72" t="s">
        <v>501</v>
      </c>
      <c r="E807" s="85">
        <v>375868</v>
      </c>
      <c r="F807" s="85" t="s">
        <v>254</v>
      </c>
      <c r="G807" s="85">
        <v>327050.66979425657</v>
      </c>
      <c r="H807" s="85" t="s">
        <v>254</v>
      </c>
      <c r="I807" s="85">
        <v>15441.312675292687</v>
      </c>
      <c r="J807" s="85">
        <v>33376.017530450779</v>
      </c>
      <c r="K807" s="85" t="s">
        <v>254</v>
      </c>
      <c r="L807" s="85" t="s">
        <v>254</v>
      </c>
      <c r="M807" s="85">
        <v>1.1492321168236341</v>
      </c>
      <c r="N807" s="85" t="s">
        <v>254</v>
      </c>
      <c r="O807" s="85">
        <v>33374.868298333953</v>
      </c>
      <c r="P807" s="85">
        <v>10358.186784089085</v>
      </c>
      <c r="Q807" s="85">
        <v>23016.681514244865</v>
      </c>
      <c r="R807" s="85"/>
      <c r="S807" s="86"/>
    </row>
    <row r="808" spans="1:19" ht="15">
      <c r="A808" s="70">
        <v>24</v>
      </c>
      <c r="B808" s="70"/>
      <c r="C808" s="72" t="s">
        <v>842</v>
      </c>
      <c r="D808" s="72" t="s">
        <v>501</v>
      </c>
      <c r="E808" s="85">
        <v>1910954</v>
      </c>
      <c r="F808" s="85" t="s">
        <v>254</v>
      </c>
      <c r="G808" s="85">
        <v>1662761.3567689022</v>
      </c>
      <c r="H808" s="85" t="s">
        <v>254</v>
      </c>
      <c r="I808" s="85">
        <v>78505.321607855047</v>
      </c>
      <c r="J808" s="85">
        <v>169687.32162324281</v>
      </c>
      <c r="K808" s="85" t="s">
        <v>254</v>
      </c>
      <c r="L808" s="85" t="s">
        <v>254</v>
      </c>
      <c r="M808" s="85">
        <v>5.8428217102083471</v>
      </c>
      <c r="N808" s="85" t="s">
        <v>254</v>
      </c>
      <c r="O808" s="85">
        <v>169681.47880153259</v>
      </c>
      <c r="P808" s="85">
        <v>52662.153915210052</v>
      </c>
      <c r="Q808" s="85">
        <v>117019.32488632255</v>
      </c>
      <c r="R808" s="85"/>
      <c r="S808" s="86"/>
    </row>
    <row r="809" spans="1:19" ht="15">
      <c r="A809" s="70">
        <v>25</v>
      </c>
      <c r="B809" s="70"/>
      <c r="C809" s="72" t="s">
        <v>843</v>
      </c>
      <c r="D809" s="72" t="s">
        <v>501</v>
      </c>
      <c r="E809" s="85">
        <v>0</v>
      </c>
      <c r="F809" s="85" t="s">
        <v>254</v>
      </c>
      <c r="G809" s="85">
        <v>0</v>
      </c>
      <c r="H809" s="85" t="s">
        <v>254</v>
      </c>
      <c r="I809" s="85">
        <v>0</v>
      </c>
      <c r="J809" s="85">
        <v>0</v>
      </c>
      <c r="K809" s="85" t="s">
        <v>254</v>
      </c>
      <c r="L809" s="85" t="s">
        <v>254</v>
      </c>
      <c r="M809" s="85">
        <v>0</v>
      </c>
      <c r="N809" s="85" t="s">
        <v>254</v>
      </c>
      <c r="O809" s="85">
        <v>0</v>
      </c>
      <c r="P809" s="85">
        <v>0</v>
      </c>
      <c r="Q809" s="85">
        <v>0</v>
      </c>
      <c r="R809" s="85"/>
      <c r="S809" s="86"/>
    </row>
    <row r="810" spans="1:19" ht="15">
      <c r="A810" s="70">
        <v>26</v>
      </c>
      <c r="B810" s="70"/>
      <c r="C810" s="72" t="s">
        <v>844</v>
      </c>
      <c r="D810" s="72" t="s">
        <v>501</v>
      </c>
      <c r="E810" s="85">
        <v>231372.00000000003</v>
      </c>
      <c r="F810" s="85" t="s">
        <v>254</v>
      </c>
      <c r="G810" s="85">
        <v>201321.65433513024</v>
      </c>
      <c r="H810" s="85" t="s">
        <v>254</v>
      </c>
      <c r="I810" s="85">
        <v>9505.1651013329665</v>
      </c>
      <c r="J810" s="85">
        <v>20545.180563536815</v>
      </c>
      <c r="K810" s="85" t="s">
        <v>254</v>
      </c>
      <c r="L810" s="85" t="s">
        <v>254</v>
      </c>
      <c r="M810" s="85">
        <v>0.70742955860493018</v>
      </c>
      <c r="N810" s="85" t="s">
        <v>254</v>
      </c>
      <c r="O810" s="85">
        <v>20544.473133978208</v>
      </c>
      <c r="P810" s="85">
        <v>6376.1596959790659</v>
      </c>
      <c r="Q810" s="85">
        <v>14168.313437999144</v>
      </c>
      <c r="R810" s="85"/>
      <c r="S810" s="86"/>
    </row>
    <row r="811" spans="1:19" ht="15">
      <c r="A811" s="70">
        <v>27</v>
      </c>
      <c r="B811" s="70"/>
      <c r="C811" s="72" t="s">
        <v>845</v>
      </c>
      <c r="D811" s="72" t="s">
        <v>501</v>
      </c>
      <c r="E811" s="85">
        <v>0</v>
      </c>
      <c r="F811" s="85" t="s">
        <v>254</v>
      </c>
      <c r="G811" s="85">
        <v>0</v>
      </c>
      <c r="H811" s="85" t="s">
        <v>254</v>
      </c>
      <c r="I811" s="85">
        <v>0</v>
      </c>
      <c r="J811" s="85">
        <v>0</v>
      </c>
      <c r="K811" s="85" t="s">
        <v>254</v>
      </c>
      <c r="L811" s="85" t="s">
        <v>254</v>
      </c>
      <c r="M811" s="85">
        <v>0</v>
      </c>
      <c r="N811" s="85" t="s">
        <v>254</v>
      </c>
      <c r="O811" s="85">
        <v>0</v>
      </c>
      <c r="P811" s="85">
        <v>0</v>
      </c>
      <c r="Q811" s="85">
        <v>0</v>
      </c>
      <c r="R811" s="85"/>
      <c r="S811" s="86"/>
    </row>
    <row r="812" spans="1:19" ht="15">
      <c r="A812" s="70">
        <v>28</v>
      </c>
      <c r="B812" s="70"/>
      <c r="C812" s="72" t="s">
        <v>846</v>
      </c>
      <c r="D812" s="72" t="s">
        <v>501</v>
      </c>
      <c r="E812" s="85">
        <v>1169573</v>
      </c>
      <c r="F812" s="85" t="s">
        <v>254</v>
      </c>
      <c r="G812" s="85">
        <v>1017670.1209554366</v>
      </c>
      <c r="H812" s="85" t="s">
        <v>254</v>
      </c>
      <c r="I812" s="85">
        <v>48048.097708717141</v>
      </c>
      <c r="J812" s="85">
        <v>103854.78133584636</v>
      </c>
      <c r="K812" s="85" t="s">
        <v>254</v>
      </c>
      <c r="L812" s="85" t="s">
        <v>254</v>
      </c>
      <c r="M812" s="85">
        <v>3.5760183217772417</v>
      </c>
      <c r="N812" s="85" t="s">
        <v>254</v>
      </c>
      <c r="O812" s="85">
        <v>103851.20531752458</v>
      </c>
      <c r="P812" s="85">
        <v>32231.143889949191</v>
      </c>
      <c r="Q812" s="85">
        <v>71620.061427575391</v>
      </c>
      <c r="R812" s="85"/>
      <c r="S812" s="86"/>
    </row>
    <row r="813" spans="1:19" ht="15">
      <c r="A813" s="70">
        <v>29</v>
      </c>
      <c r="B813" s="70"/>
      <c r="C813" s="72" t="s">
        <v>847</v>
      </c>
      <c r="D813" s="72" t="s">
        <v>501</v>
      </c>
      <c r="E813" s="85">
        <v>1839458.0000000002</v>
      </c>
      <c r="F813" s="85" t="s">
        <v>254</v>
      </c>
      <c r="G813" s="85">
        <v>1600551.1800908926</v>
      </c>
      <c r="H813" s="85" t="s">
        <v>254</v>
      </c>
      <c r="I813" s="85">
        <v>75568.141291805994</v>
      </c>
      <c r="J813" s="85">
        <v>163338.6786173016</v>
      </c>
      <c r="K813" s="85" t="s">
        <v>254</v>
      </c>
      <c r="L813" s="85" t="s">
        <v>254</v>
      </c>
      <c r="M813" s="85">
        <v>5.6242197025236749</v>
      </c>
      <c r="N813" s="85" t="s">
        <v>254</v>
      </c>
      <c r="O813" s="85">
        <v>163333.05439759907</v>
      </c>
      <c r="P813" s="85">
        <v>50691.864020046771</v>
      </c>
      <c r="Q813" s="85">
        <v>112641.19037755231</v>
      </c>
      <c r="R813" s="85"/>
      <c r="S813" s="86"/>
    </row>
    <row r="814" spans="1:19" ht="15">
      <c r="A814" s="70">
        <v>30</v>
      </c>
      <c r="B814" s="70"/>
      <c r="C814" s="72" t="s">
        <v>848</v>
      </c>
      <c r="D814" s="72" t="s">
        <v>501</v>
      </c>
      <c r="E814" s="85">
        <v>0</v>
      </c>
      <c r="F814" s="85" t="s">
        <v>254</v>
      </c>
      <c r="G814" s="85">
        <v>0</v>
      </c>
      <c r="H814" s="85" t="s">
        <v>254</v>
      </c>
      <c r="I814" s="85">
        <v>0</v>
      </c>
      <c r="J814" s="85">
        <v>0</v>
      </c>
      <c r="K814" s="85" t="s">
        <v>254</v>
      </c>
      <c r="L814" s="85" t="s">
        <v>254</v>
      </c>
      <c r="M814" s="85">
        <v>0</v>
      </c>
      <c r="N814" s="85" t="s">
        <v>254</v>
      </c>
      <c r="O814" s="85">
        <v>0</v>
      </c>
      <c r="P814" s="85">
        <v>0</v>
      </c>
      <c r="Q814" s="85">
        <v>0</v>
      </c>
      <c r="R814" s="85"/>
      <c r="S814" s="86"/>
    </row>
    <row r="815" spans="1:19" ht="15">
      <c r="A815" s="70">
        <v>31</v>
      </c>
      <c r="B815" s="70"/>
      <c r="C815" s="72" t="s">
        <v>849</v>
      </c>
      <c r="D815" s="72" t="s">
        <v>501</v>
      </c>
      <c r="E815" s="85">
        <v>2102223</v>
      </c>
      <c r="F815" s="85" t="s">
        <v>254</v>
      </c>
      <c r="G815" s="85">
        <v>1829188.5454651404</v>
      </c>
      <c r="H815" s="85" t="s">
        <v>254</v>
      </c>
      <c r="I815" s="85">
        <v>86362.985559270324</v>
      </c>
      <c r="J815" s="85">
        <v>186671.46897558935</v>
      </c>
      <c r="K815" s="85" t="s">
        <v>254</v>
      </c>
      <c r="L815" s="85" t="s">
        <v>254</v>
      </c>
      <c r="M815" s="85">
        <v>6.4276346704836023</v>
      </c>
      <c r="N815" s="85" t="s">
        <v>254</v>
      </c>
      <c r="O815" s="85">
        <v>186665.04134091886</v>
      </c>
      <c r="P815" s="85">
        <v>57933.153383124147</v>
      </c>
      <c r="Q815" s="85">
        <v>128731.88795779471</v>
      </c>
      <c r="R815" s="85"/>
      <c r="S815" s="86"/>
    </row>
    <row r="816" spans="1:19" ht="15">
      <c r="A816" s="70">
        <v>32</v>
      </c>
      <c r="B816" s="70"/>
      <c r="C816" s="72" t="s">
        <v>850</v>
      </c>
      <c r="D816" s="72" t="s">
        <v>501</v>
      </c>
      <c r="E816" s="85">
        <v>0</v>
      </c>
      <c r="F816" s="85" t="s">
        <v>254</v>
      </c>
      <c r="G816" s="85">
        <v>0</v>
      </c>
      <c r="H816" s="85" t="s">
        <v>254</v>
      </c>
      <c r="I816" s="85">
        <v>0</v>
      </c>
      <c r="J816" s="85">
        <v>0</v>
      </c>
      <c r="K816" s="85" t="s">
        <v>254</v>
      </c>
      <c r="L816" s="85" t="s">
        <v>254</v>
      </c>
      <c r="M816" s="85">
        <v>0</v>
      </c>
      <c r="N816" s="85" t="s">
        <v>254</v>
      </c>
      <c r="O816" s="85">
        <v>0</v>
      </c>
      <c r="P816" s="85">
        <v>0</v>
      </c>
      <c r="Q816" s="85">
        <v>0</v>
      </c>
      <c r="R816" s="85"/>
      <c r="S816" s="86"/>
    </row>
    <row r="817" spans="1:19" ht="15">
      <c r="A817" s="70" t="s">
        <v>254</v>
      </c>
      <c r="B817" s="70"/>
      <c r="C817" s="72" t="s">
        <v>254</v>
      </c>
      <c r="D817" s="72" t="s">
        <v>254</v>
      </c>
      <c r="E817" s="85" t="s">
        <v>254</v>
      </c>
      <c r="F817" s="85" t="s">
        <v>254</v>
      </c>
      <c r="G817" s="85" t="s">
        <v>254</v>
      </c>
      <c r="H817" s="85" t="s">
        <v>254</v>
      </c>
      <c r="I817" s="85" t="s">
        <v>254</v>
      </c>
      <c r="J817" s="85" t="s">
        <v>254</v>
      </c>
      <c r="K817" s="85" t="s">
        <v>254</v>
      </c>
      <c r="L817" s="85" t="s">
        <v>254</v>
      </c>
      <c r="M817" s="85" t="s">
        <v>254</v>
      </c>
      <c r="N817" s="85" t="s">
        <v>254</v>
      </c>
      <c r="O817" s="85" t="s">
        <v>254</v>
      </c>
      <c r="P817" s="85" t="s">
        <v>254</v>
      </c>
      <c r="Q817" s="85" t="s">
        <v>254</v>
      </c>
      <c r="R817" s="85"/>
      <c r="S817" s="86"/>
    </row>
    <row r="818" spans="1:19" ht="15">
      <c r="A818" s="70">
        <v>33</v>
      </c>
      <c r="B818" s="70"/>
      <c r="C818" s="72" t="s">
        <v>851</v>
      </c>
      <c r="D818" s="72" t="s">
        <v>254</v>
      </c>
      <c r="E818" s="85">
        <v>37200693</v>
      </c>
      <c r="F818" s="85" t="s">
        <v>254</v>
      </c>
      <c r="G818" s="85">
        <v>32369107.139901541</v>
      </c>
      <c r="H818" s="85" t="s">
        <v>254</v>
      </c>
      <c r="I818" s="85">
        <v>1528269.3188847466</v>
      </c>
      <c r="J818" s="85">
        <v>3303316.5412137164</v>
      </c>
      <c r="K818" s="85">
        <v>0</v>
      </c>
      <c r="L818" s="85">
        <v>0</v>
      </c>
      <c r="M818" s="85">
        <v>113.74267339517104</v>
      </c>
      <c r="N818" s="85" t="s">
        <v>254</v>
      </c>
      <c r="O818" s="85">
        <v>3303202.7985403216</v>
      </c>
      <c r="P818" s="85">
        <v>1025178.3248149756</v>
      </c>
      <c r="Q818" s="85">
        <v>2278024.4737253459</v>
      </c>
      <c r="R818" s="85"/>
      <c r="S818" s="86"/>
    </row>
    <row r="819" spans="1:19" ht="15">
      <c r="A819" s="70" t="s">
        <v>254</v>
      </c>
      <c r="B819" s="70"/>
      <c r="C819" s="72" t="s">
        <v>254</v>
      </c>
      <c r="D819" s="72" t="s">
        <v>254</v>
      </c>
      <c r="E819" s="85" t="s">
        <v>254</v>
      </c>
      <c r="F819" s="85" t="s">
        <v>254</v>
      </c>
      <c r="G819" s="85" t="s">
        <v>254</v>
      </c>
      <c r="H819" s="85" t="s">
        <v>254</v>
      </c>
      <c r="I819" s="85" t="s">
        <v>254</v>
      </c>
      <c r="J819" s="85" t="s">
        <v>254</v>
      </c>
      <c r="K819" s="85" t="s">
        <v>254</v>
      </c>
      <c r="L819" s="85" t="s">
        <v>254</v>
      </c>
      <c r="M819" s="85" t="s">
        <v>254</v>
      </c>
      <c r="N819" s="85" t="s">
        <v>254</v>
      </c>
      <c r="O819" s="85" t="s">
        <v>254</v>
      </c>
      <c r="P819" s="85" t="s">
        <v>254</v>
      </c>
      <c r="Q819" s="85" t="s">
        <v>254</v>
      </c>
      <c r="R819" s="85"/>
      <c r="S819" s="86"/>
    </row>
    <row r="820" spans="1:19" ht="15">
      <c r="A820" s="70">
        <v>34</v>
      </c>
      <c r="B820" s="70"/>
      <c r="C820" s="72" t="s">
        <v>852</v>
      </c>
      <c r="D820" s="72" t="s">
        <v>254</v>
      </c>
      <c r="E820" s="85">
        <v>61305035</v>
      </c>
      <c r="F820" s="85" t="s">
        <v>254</v>
      </c>
      <c r="G820" s="85">
        <v>53566041.938960657</v>
      </c>
      <c r="H820" s="85" t="s">
        <v>254</v>
      </c>
      <c r="I820" s="85">
        <v>2406998.3462232151</v>
      </c>
      <c r="J820" s="85">
        <v>5331994.7148161288</v>
      </c>
      <c r="K820" s="85">
        <v>0</v>
      </c>
      <c r="L820" s="85">
        <v>0</v>
      </c>
      <c r="M820" s="85">
        <v>215.96681181113556</v>
      </c>
      <c r="N820" s="85" t="s">
        <v>254</v>
      </c>
      <c r="O820" s="85">
        <v>5331778.7480043173</v>
      </c>
      <c r="P820" s="85">
        <v>1666235.5289411512</v>
      </c>
      <c r="Q820" s="85">
        <v>3665543.2190631665</v>
      </c>
      <c r="R820" s="85"/>
      <c r="S820" s="86"/>
    </row>
    <row r="821" spans="1:19" ht="15">
      <c r="A821" s="70" t="s">
        <v>254</v>
      </c>
      <c r="B821" s="70"/>
      <c r="C821" s="72" t="s">
        <v>254</v>
      </c>
      <c r="D821" s="72" t="s">
        <v>254</v>
      </c>
      <c r="E821" s="85" t="s">
        <v>254</v>
      </c>
      <c r="F821" s="85" t="s">
        <v>254</v>
      </c>
      <c r="G821" s="85" t="s">
        <v>254</v>
      </c>
      <c r="H821" s="85" t="s">
        <v>254</v>
      </c>
      <c r="I821" s="85" t="s">
        <v>254</v>
      </c>
      <c r="J821" s="85" t="s">
        <v>254</v>
      </c>
      <c r="K821" s="85" t="s">
        <v>254</v>
      </c>
      <c r="L821" s="85" t="s">
        <v>254</v>
      </c>
      <c r="M821" s="85" t="s">
        <v>254</v>
      </c>
      <c r="N821" s="85" t="s">
        <v>254</v>
      </c>
      <c r="O821" s="85" t="s">
        <v>254</v>
      </c>
      <c r="P821" s="85" t="s">
        <v>254</v>
      </c>
      <c r="Q821" s="85" t="s">
        <v>254</v>
      </c>
      <c r="R821" s="85"/>
      <c r="S821" s="86"/>
    </row>
    <row r="822" spans="1:19" ht="15">
      <c r="A822" s="70" t="s">
        <v>254</v>
      </c>
      <c r="B822" s="70"/>
      <c r="C822" s="72" t="s">
        <v>254</v>
      </c>
      <c r="D822" s="72" t="s">
        <v>254</v>
      </c>
      <c r="E822" s="85" t="s">
        <v>254</v>
      </c>
      <c r="F822" s="85" t="s">
        <v>254</v>
      </c>
      <c r="G822" s="85" t="s">
        <v>254</v>
      </c>
      <c r="H822" s="85" t="s">
        <v>254</v>
      </c>
      <c r="I822" s="85" t="s">
        <v>254</v>
      </c>
      <c r="J822" s="85" t="s">
        <v>254</v>
      </c>
      <c r="K822" s="85" t="s">
        <v>254</v>
      </c>
      <c r="L822" s="85" t="s">
        <v>254</v>
      </c>
      <c r="M822" s="85" t="s">
        <v>254</v>
      </c>
      <c r="N822" s="85" t="s">
        <v>254</v>
      </c>
      <c r="O822" s="85" t="s">
        <v>254</v>
      </c>
      <c r="P822" s="85" t="s">
        <v>254</v>
      </c>
      <c r="Q822" s="85" t="s">
        <v>254</v>
      </c>
      <c r="R822" s="85"/>
      <c r="S822" s="86"/>
    </row>
    <row r="823" spans="1:19" ht="15">
      <c r="A823" s="70" t="s">
        <v>254</v>
      </c>
      <c r="B823" s="70"/>
      <c r="C823" s="72" t="s">
        <v>254</v>
      </c>
      <c r="D823" s="72" t="s">
        <v>254</v>
      </c>
      <c r="E823" s="85" t="s">
        <v>254</v>
      </c>
      <c r="F823" s="85" t="s">
        <v>254</v>
      </c>
      <c r="G823" s="85" t="s">
        <v>254</v>
      </c>
      <c r="H823" s="85" t="s">
        <v>254</v>
      </c>
      <c r="I823" s="85" t="s">
        <v>254</v>
      </c>
      <c r="J823" s="85" t="s">
        <v>254</v>
      </c>
      <c r="K823" s="85" t="s">
        <v>254</v>
      </c>
      <c r="L823" s="85" t="s">
        <v>254</v>
      </c>
      <c r="M823" s="85" t="s">
        <v>254</v>
      </c>
      <c r="N823" s="85" t="s">
        <v>254</v>
      </c>
      <c r="O823" s="85" t="s">
        <v>254</v>
      </c>
      <c r="P823" s="85" t="s">
        <v>254</v>
      </c>
      <c r="Q823" s="85" t="s">
        <v>254</v>
      </c>
      <c r="R823" s="85"/>
      <c r="S823" s="86"/>
    </row>
    <row r="824" spans="1:19" ht="15">
      <c r="A824" s="70" t="s">
        <v>254</v>
      </c>
      <c r="B824" s="70"/>
      <c r="C824" s="72" t="s">
        <v>254</v>
      </c>
      <c r="D824" s="72" t="s">
        <v>254</v>
      </c>
      <c r="E824" s="85" t="s">
        <v>254</v>
      </c>
      <c r="F824" s="85" t="s">
        <v>254</v>
      </c>
      <c r="G824" s="85" t="s">
        <v>254</v>
      </c>
      <c r="H824" s="85" t="s">
        <v>254</v>
      </c>
      <c r="I824" s="85" t="s">
        <v>254</v>
      </c>
      <c r="J824" s="85" t="s">
        <v>254</v>
      </c>
      <c r="K824" s="85" t="s">
        <v>254</v>
      </c>
      <c r="L824" s="85" t="s">
        <v>254</v>
      </c>
      <c r="M824" s="85" t="s">
        <v>254</v>
      </c>
      <c r="N824" s="85" t="s">
        <v>254</v>
      </c>
      <c r="O824" s="85" t="s">
        <v>254</v>
      </c>
      <c r="P824" s="85" t="s">
        <v>254</v>
      </c>
      <c r="Q824" s="85" t="s">
        <v>254</v>
      </c>
      <c r="R824" s="85"/>
      <c r="S824" s="86"/>
    </row>
    <row r="825" spans="1:19" ht="15">
      <c r="A825" s="70" t="s">
        <v>254</v>
      </c>
      <c r="B825" s="70"/>
      <c r="C825" s="72" t="s">
        <v>853</v>
      </c>
      <c r="D825" s="72" t="s">
        <v>254</v>
      </c>
      <c r="E825" s="85" t="s">
        <v>254</v>
      </c>
      <c r="F825" s="85" t="s">
        <v>254</v>
      </c>
      <c r="G825" s="85" t="s">
        <v>254</v>
      </c>
      <c r="H825" s="85" t="s">
        <v>254</v>
      </c>
      <c r="I825" s="85" t="s">
        <v>254</v>
      </c>
      <c r="J825" s="85" t="s">
        <v>254</v>
      </c>
      <c r="K825" s="85" t="s">
        <v>254</v>
      </c>
      <c r="L825" s="85" t="s">
        <v>254</v>
      </c>
      <c r="M825" s="85" t="s">
        <v>254</v>
      </c>
      <c r="N825" s="85" t="s">
        <v>254</v>
      </c>
      <c r="O825" s="85" t="s">
        <v>254</v>
      </c>
      <c r="P825" s="85" t="s">
        <v>254</v>
      </c>
      <c r="Q825" s="85" t="s">
        <v>254</v>
      </c>
      <c r="R825" s="85"/>
      <c r="S825" s="86"/>
    </row>
    <row r="826" spans="1:19" ht="15">
      <c r="A826" s="70">
        <v>1</v>
      </c>
      <c r="B826" s="70"/>
      <c r="C826" s="72" t="s">
        <v>854</v>
      </c>
      <c r="D826" s="72" t="s">
        <v>503</v>
      </c>
      <c r="E826" s="85">
        <v>1828692</v>
      </c>
      <c r="F826" s="85" t="s">
        <v>254</v>
      </c>
      <c r="G826" s="85">
        <v>1648654.4511149053</v>
      </c>
      <c r="H826" s="85" t="s">
        <v>254</v>
      </c>
      <c r="I826" s="85">
        <v>180031.75563401839</v>
      </c>
      <c r="J826" s="85">
        <v>5.7932510762244078</v>
      </c>
      <c r="K826" s="85" t="s">
        <v>254</v>
      </c>
      <c r="L826" s="85" t="s">
        <v>254</v>
      </c>
      <c r="M826" s="85">
        <v>5.7932510762244078</v>
      </c>
      <c r="N826" s="85" t="s">
        <v>254</v>
      </c>
      <c r="O826" s="85">
        <v>0</v>
      </c>
      <c r="P826" s="85">
        <v>0</v>
      </c>
      <c r="Q826" s="85">
        <v>0</v>
      </c>
      <c r="R826" s="85"/>
      <c r="S826" s="86"/>
    </row>
    <row r="827" spans="1:19" ht="15">
      <c r="A827" s="70">
        <v>2</v>
      </c>
      <c r="B827" s="70"/>
      <c r="C827" s="72" t="s">
        <v>855</v>
      </c>
      <c r="D827" s="72" t="s">
        <v>503</v>
      </c>
      <c r="E827" s="85">
        <v>3400216.9999999995</v>
      </c>
      <c r="F827" s="85" t="s">
        <v>254</v>
      </c>
      <c r="G827" s="85">
        <v>3065460.3901622416</v>
      </c>
      <c r="H827" s="85" t="s">
        <v>254</v>
      </c>
      <c r="I827" s="85">
        <v>334745.83803430822</v>
      </c>
      <c r="J827" s="85">
        <v>10.771803450032332</v>
      </c>
      <c r="K827" s="85" t="s">
        <v>254</v>
      </c>
      <c r="L827" s="85" t="s">
        <v>254</v>
      </c>
      <c r="M827" s="85">
        <v>10.771803450032332</v>
      </c>
      <c r="N827" s="85" t="s">
        <v>254</v>
      </c>
      <c r="O827" s="85">
        <v>0</v>
      </c>
      <c r="P827" s="85">
        <v>0</v>
      </c>
      <c r="Q827" s="85">
        <v>0</v>
      </c>
      <c r="R827" s="85"/>
      <c r="S827" s="86"/>
    </row>
    <row r="828" spans="1:19" ht="15">
      <c r="A828" s="70">
        <v>3</v>
      </c>
      <c r="B828" s="70"/>
      <c r="C828" s="72" t="s">
        <v>856</v>
      </c>
      <c r="D828" s="72" t="s">
        <v>503</v>
      </c>
      <c r="E828" s="85">
        <v>560297</v>
      </c>
      <c r="F828" s="85" t="s">
        <v>254</v>
      </c>
      <c r="G828" s="85">
        <v>505134.89586892055</v>
      </c>
      <c r="H828" s="85" t="s">
        <v>254</v>
      </c>
      <c r="I828" s="85">
        <v>55160.329124026139</v>
      </c>
      <c r="J828" s="85">
        <v>1.775007053268296</v>
      </c>
      <c r="K828" s="85" t="s">
        <v>254</v>
      </c>
      <c r="L828" s="85" t="s">
        <v>254</v>
      </c>
      <c r="M828" s="85">
        <v>1.775007053268296</v>
      </c>
      <c r="N828" s="85" t="s">
        <v>254</v>
      </c>
      <c r="O828" s="85">
        <v>0</v>
      </c>
      <c r="P828" s="85">
        <v>0</v>
      </c>
      <c r="Q828" s="85">
        <v>0</v>
      </c>
      <c r="R828" s="85"/>
      <c r="S828" s="86"/>
    </row>
    <row r="829" spans="1:19" ht="15">
      <c r="A829" s="70">
        <v>4</v>
      </c>
      <c r="B829" s="70"/>
      <c r="C829" s="72" t="s">
        <v>857</v>
      </c>
      <c r="D829" s="72" t="s">
        <v>503</v>
      </c>
      <c r="E829" s="85">
        <v>0</v>
      </c>
      <c r="F829" s="85" t="s">
        <v>254</v>
      </c>
      <c r="G829" s="85">
        <v>0</v>
      </c>
      <c r="H829" s="85" t="s">
        <v>254</v>
      </c>
      <c r="I829" s="85">
        <v>0</v>
      </c>
      <c r="J829" s="85">
        <v>0</v>
      </c>
      <c r="K829" s="85" t="s">
        <v>254</v>
      </c>
      <c r="L829" s="85" t="s">
        <v>254</v>
      </c>
      <c r="M829" s="85">
        <v>0</v>
      </c>
      <c r="N829" s="85" t="s">
        <v>254</v>
      </c>
      <c r="O829" s="85">
        <v>0</v>
      </c>
      <c r="P829" s="85">
        <v>0</v>
      </c>
      <c r="Q829" s="85">
        <v>0</v>
      </c>
      <c r="R829" s="85"/>
      <c r="S829" s="86"/>
    </row>
    <row r="830" spans="1:19" ht="15">
      <c r="A830" s="70">
        <v>5</v>
      </c>
      <c r="B830" s="70"/>
      <c r="C830" s="72" t="s">
        <v>858</v>
      </c>
      <c r="D830" s="72" t="s">
        <v>503</v>
      </c>
      <c r="E830" s="85">
        <v>0</v>
      </c>
      <c r="F830" s="85" t="s">
        <v>254</v>
      </c>
      <c r="G830" s="85">
        <v>0</v>
      </c>
      <c r="H830" s="85" t="s">
        <v>254</v>
      </c>
      <c r="I830" s="85">
        <v>0</v>
      </c>
      <c r="J830" s="85">
        <v>0</v>
      </c>
      <c r="K830" s="85" t="s">
        <v>254</v>
      </c>
      <c r="L830" s="85" t="s">
        <v>254</v>
      </c>
      <c r="M830" s="85">
        <v>0</v>
      </c>
      <c r="N830" s="85" t="s">
        <v>254</v>
      </c>
      <c r="O830" s="85">
        <v>0</v>
      </c>
      <c r="P830" s="85">
        <v>0</v>
      </c>
      <c r="Q830" s="85">
        <v>0</v>
      </c>
      <c r="R830" s="85"/>
      <c r="S830" s="86"/>
    </row>
    <row r="831" spans="1:19" ht="15">
      <c r="A831" s="70">
        <v>6</v>
      </c>
      <c r="B831" s="70"/>
      <c r="C831" s="72" t="s">
        <v>859</v>
      </c>
      <c r="D831" s="72" t="s">
        <v>503</v>
      </c>
      <c r="E831" s="85">
        <v>130932</v>
      </c>
      <c r="F831" s="85" t="s">
        <v>254</v>
      </c>
      <c r="G831" s="85">
        <v>118041.54258528871</v>
      </c>
      <c r="H831" s="85" t="s">
        <v>254</v>
      </c>
      <c r="I831" s="85">
        <v>12890.042625370099</v>
      </c>
      <c r="J831" s="85">
        <v>0.41478934118605765</v>
      </c>
      <c r="K831" s="85" t="s">
        <v>254</v>
      </c>
      <c r="L831" s="85" t="s">
        <v>254</v>
      </c>
      <c r="M831" s="85">
        <v>0.41478934118605765</v>
      </c>
      <c r="N831" s="85" t="s">
        <v>254</v>
      </c>
      <c r="O831" s="85">
        <v>0</v>
      </c>
      <c r="P831" s="85">
        <v>0</v>
      </c>
      <c r="Q831" s="85">
        <v>0</v>
      </c>
      <c r="R831" s="85"/>
      <c r="S831" s="86"/>
    </row>
    <row r="832" spans="1:19" ht="15">
      <c r="A832" s="70">
        <v>7</v>
      </c>
      <c r="B832" s="70"/>
      <c r="C832" s="72" t="s">
        <v>860</v>
      </c>
      <c r="D832" s="72" t="s">
        <v>503</v>
      </c>
      <c r="E832" s="85">
        <v>0</v>
      </c>
      <c r="F832" s="85" t="s">
        <v>254</v>
      </c>
      <c r="G832" s="85">
        <v>0</v>
      </c>
      <c r="H832" s="85" t="s">
        <v>254</v>
      </c>
      <c r="I832" s="85">
        <v>0</v>
      </c>
      <c r="J832" s="85">
        <v>0</v>
      </c>
      <c r="K832" s="85" t="s">
        <v>254</v>
      </c>
      <c r="L832" s="85" t="s">
        <v>254</v>
      </c>
      <c r="M832" s="85">
        <v>0</v>
      </c>
      <c r="N832" s="85" t="s">
        <v>254</v>
      </c>
      <c r="O832" s="85">
        <v>0</v>
      </c>
      <c r="P832" s="85">
        <v>0</v>
      </c>
      <c r="Q832" s="85">
        <v>0</v>
      </c>
      <c r="R832" s="85"/>
      <c r="S832" s="86"/>
    </row>
    <row r="833" spans="1:19" ht="15">
      <c r="A833" s="70">
        <v>8</v>
      </c>
      <c r="B833" s="70"/>
      <c r="C833" s="72" t="s">
        <v>861</v>
      </c>
      <c r="D833" s="72" t="s">
        <v>503</v>
      </c>
      <c r="E833" s="85">
        <v>0</v>
      </c>
      <c r="F833" s="85" t="s">
        <v>254</v>
      </c>
      <c r="G833" s="85">
        <v>0</v>
      </c>
      <c r="H833" s="85" t="s">
        <v>254</v>
      </c>
      <c r="I833" s="85">
        <v>0</v>
      </c>
      <c r="J833" s="85">
        <v>0</v>
      </c>
      <c r="K833" s="85" t="s">
        <v>254</v>
      </c>
      <c r="L833" s="85" t="s">
        <v>254</v>
      </c>
      <c r="M833" s="85">
        <v>0</v>
      </c>
      <c r="N833" s="85" t="s">
        <v>254</v>
      </c>
      <c r="O833" s="85">
        <v>0</v>
      </c>
      <c r="P833" s="85">
        <v>0</v>
      </c>
      <c r="Q833" s="85">
        <v>0</v>
      </c>
      <c r="R833" s="85"/>
      <c r="S833" s="86"/>
    </row>
    <row r="834" spans="1:19" ht="15">
      <c r="A834" s="70">
        <v>9</v>
      </c>
      <c r="B834" s="70"/>
      <c r="C834" s="72" t="s">
        <v>862</v>
      </c>
      <c r="D834" s="72" t="s">
        <v>503</v>
      </c>
      <c r="E834" s="85">
        <v>1040337.9999999999</v>
      </c>
      <c r="F834" s="85" t="s">
        <v>254</v>
      </c>
      <c r="G834" s="85">
        <v>937915.11876465706</v>
      </c>
      <c r="H834" s="85" t="s">
        <v>254</v>
      </c>
      <c r="I834" s="85">
        <v>102419.58547026149</v>
      </c>
      <c r="J834" s="85">
        <v>3.2957650813462012</v>
      </c>
      <c r="K834" s="85" t="s">
        <v>254</v>
      </c>
      <c r="L834" s="85" t="s">
        <v>254</v>
      </c>
      <c r="M834" s="85">
        <v>3.2957650813462012</v>
      </c>
      <c r="N834" s="85" t="s">
        <v>254</v>
      </c>
      <c r="O834" s="85">
        <v>0</v>
      </c>
      <c r="P834" s="85">
        <v>0</v>
      </c>
      <c r="Q834" s="85">
        <v>0</v>
      </c>
      <c r="R834" s="85"/>
      <c r="S834" s="86"/>
    </row>
    <row r="835" spans="1:19" ht="15">
      <c r="A835" s="70">
        <v>10</v>
      </c>
      <c r="B835" s="70"/>
      <c r="C835" s="72" t="s">
        <v>863</v>
      </c>
      <c r="D835" s="72" t="s">
        <v>503</v>
      </c>
      <c r="E835" s="85">
        <v>517767.99999999994</v>
      </c>
      <c r="F835" s="85" t="s">
        <v>254</v>
      </c>
      <c r="G835" s="85">
        <v>466792.94153682649</v>
      </c>
      <c r="H835" s="85" t="s">
        <v>254</v>
      </c>
      <c r="I835" s="85">
        <v>50973.418186941504</v>
      </c>
      <c r="J835" s="85">
        <v>1.6402762319923525</v>
      </c>
      <c r="K835" s="85" t="s">
        <v>254</v>
      </c>
      <c r="L835" s="85" t="s">
        <v>254</v>
      </c>
      <c r="M835" s="85">
        <v>1.6402762319923525</v>
      </c>
      <c r="N835" s="85" t="s">
        <v>254</v>
      </c>
      <c r="O835" s="85">
        <v>0</v>
      </c>
      <c r="P835" s="85">
        <v>0</v>
      </c>
      <c r="Q835" s="85">
        <v>0</v>
      </c>
      <c r="R835" s="85"/>
      <c r="S835" s="86"/>
    </row>
    <row r="836" spans="1:19" ht="15">
      <c r="A836" s="70">
        <v>11</v>
      </c>
      <c r="B836" s="70"/>
      <c r="C836" s="72" t="s">
        <v>864</v>
      </c>
      <c r="D836" s="72" t="s">
        <v>503</v>
      </c>
      <c r="E836" s="85">
        <v>0</v>
      </c>
      <c r="F836" s="85" t="s">
        <v>254</v>
      </c>
      <c r="G836" s="85">
        <v>0</v>
      </c>
      <c r="H836" s="85" t="s">
        <v>254</v>
      </c>
      <c r="I836" s="85">
        <v>0</v>
      </c>
      <c r="J836" s="85">
        <v>0</v>
      </c>
      <c r="K836" s="85" t="s">
        <v>254</v>
      </c>
      <c r="L836" s="85" t="s">
        <v>254</v>
      </c>
      <c r="M836" s="85">
        <v>0</v>
      </c>
      <c r="N836" s="85" t="s">
        <v>254</v>
      </c>
      <c r="O836" s="85">
        <v>0</v>
      </c>
      <c r="P836" s="85">
        <v>0</v>
      </c>
      <c r="Q836" s="85">
        <v>0</v>
      </c>
      <c r="R836" s="85"/>
      <c r="S836" s="86"/>
    </row>
    <row r="837" spans="1:19" ht="15">
      <c r="A837" s="70">
        <v>12</v>
      </c>
      <c r="B837" s="70"/>
      <c r="C837" s="72" t="s">
        <v>865</v>
      </c>
      <c r="D837" s="72" t="s">
        <v>503</v>
      </c>
      <c r="E837" s="85">
        <v>0</v>
      </c>
      <c r="F837" s="85" t="s">
        <v>254</v>
      </c>
      <c r="G837" s="85">
        <v>0</v>
      </c>
      <c r="H837" s="85" t="s">
        <v>254</v>
      </c>
      <c r="I837" s="85">
        <v>0</v>
      </c>
      <c r="J837" s="85">
        <v>0</v>
      </c>
      <c r="K837" s="85" t="s">
        <v>254</v>
      </c>
      <c r="L837" s="85" t="s">
        <v>254</v>
      </c>
      <c r="M837" s="85">
        <v>0</v>
      </c>
      <c r="N837" s="85" t="s">
        <v>254</v>
      </c>
      <c r="O837" s="85">
        <v>0</v>
      </c>
      <c r="P837" s="85">
        <v>0</v>
      </c>
      <c r="Q837" s="85">
        <v>0</v>
      </c>
      <c r="R837" s="85"/>
      <c r="S837" s="86"/>
    </row>
    <row r="838" spans="1:19" ht="15">
      <c r="A838" s="70" t="s">
        <v>254</v>
      </c>
      <c r="B838" s="70"/>
      <c r="C838" s="72" t="s">
        <v>254</v>
      </c>
      <c r="D838" s="72" t="s">
        <v>254</v>
      </c>
      <c r="E838" s="85" t="s">
        <v>254</v>
      </c>
      <c r="F838" s="85" t="s">
        <v>254</v>
      </c>
      <c r="G838" s="85" t="s">
        <v>254</v>
      </c>
      <c r="H838" s="85" t="s">
        <v>254</v>
      </c>
      <c r="I838" s="85" t="s">
        <v>254</v>
      </c>
      <c r="J838" s="85" t="s">
        <v>254</v>
      </c>
      <c r="K838" s="85" t="s">
        <v>254</v>
      </c>
      <c r="L838" s="85" t="s">
        <v>254</v>
      </c>
      <c r="M838" s="85" t="s">
        <v>254</v>
      </c>
      <c r="N838" s="85" t="s">
        <v>254</v>
      </c>
      <c r="O838" s="85" t="s">
        <v>254</v>
      </c>
      <c r="P838" s="85" t="s">
        <v>254</v>
      </c>
      <c r="Q838" s="85" t="s">
        <v>254</v>
      </c>
      <c r="R838" s="85"/>
      <c r="S838" s="86"/>
    </row>
    <row r="839" spans="1:19" ht="15">
      <c r="A839" s="70">
        <v>13</v>
      </c>
      <c r="B839" s="70"/>
      <c r="C839" s="72" t="s">
        <v>866</v>
      </c>
      <c r="D839" s="72" t="s">
        <v>503</v>
      </c>
      <c r="E839" s="85">
        <v>7478244</v>
      </c>
      <c r="F839" s="85" t="s">
        <v>254</v>
      </c>
      <c r="G839" s="85">
        <v>6741999.3400328392</v>
      </c>
      <c r="H839" s="85" t="s">
        <v>254</v>
      </c>
      <c r="I839" s="85">
        <v>736220.96907492587</v>
      </c>
      <c r="J839" s="85">
        <v>23.690892234049645</v>
      </c>
      <c r="K839" s="85">
        <v>0</v>
      </c>
      <c r="L839" s="85">
        <v>0</v>
      </c>
      <c r="M839" s="85">
        <v>23.690892234049645</v>
      </c>
      <c r="N839" s="85" t="s">
        <v>254</v>
      </c>
      <c r="O839" s="85">
        <v>0</v>
      </c>
      <c r="P839" s="85">
        <v>0</v>
      </c>
      <c r="Q839" s="85">
        <v>0</v>
      </c>
      <c r="R839" s="85"/>
      <c r="S839" s="86"/>
    </row>
    <row r="840" spans="1:19" ht="15">
      <c r="A840" s="70" t="s">
        <v>254</v>
      </c>
      <c r="B840" s="70"/>
      <c r="C840" s="72" t="s">
        <v>254</v>
      </c>
      <c r="D840" s="72" t="s">
        <v>254</v>
      </c>
      <c r="E840" s="85" t="s">
        <v>254</v>
      </c>
      <c r="F840" s="85" t="s">
        <v>254</v>
      </c>
      <c r="G840" s="85" t="s">
        <v>254</v>
      </c>
      <c r="H840" s="85" t="s">
        <v>254</v>
      </c>
      <c r="I840" s="85" t="s">
        <v>254</v>
      </c>
      <c r="J840" s="85" t="s">
        <v>254</v>
      </c>
      <c r="K840" s="85" t="s">
        <v>254</v>
      </c>
      <c r="L840" s="85" t="s">
        <v>254</v>
      </c>
      <c r="M840" s="85" t="s">
        <v>254</v>
      </c>
      <c r="N840" s="85" t="s">
        <v>254</v>
      </c>
      <c r="O840" s="85" t="s">
        <v>254</v>
      </c>
      <c r="P840" s="85" t="s">
        <v>254</v>
      </c>
      <c r="Q840" s="85" t="s">
        <v>254</v>
      </c>
      <c r="R840" s="85"/>
      <c r="S840" s="86"/>
    </row>
    <row r="841" spans="1:19" ht="15">
      <c r="A841" s="70" t="s">
        <v>254</v>
      </c>
      <c r="B841" s="70"/>
      <c r="C841" s="72" t="s">
        <v>867</v>
      </c>
      <c r="D841" s="72" t="s">
        <v>254</v>
      </c>
      <c r="E841" s="85" t="s">
        <v>254</v>
      </c>
      <c r="F841" s="85" t="s">
        <v>254</v>
      </c>
      <c r="G841" s="85" t="s">
        <v>254</v>
      </c>
      <c r="H841" s="85" t="s">
        <v>254</v>
      </c>
      <c r="I841" s="85" t="s">
        <v>254</v>
      </c>
      <c r="J841" s="85" t="s">
        <v>254</v>
      </c>
      <c r="K841" s="85" t="s">
        <v>254</v>
      </c>
      <c r="L841" s="85" t="s">
        <v>254</v>
      </c>
      <c r="M841" s="85" t="s">
        <v>254</v>
      </c>
      <c r="N841" s="85" t="s">
        <v>254</v>
      </c>
      <c r="O841" s="85" t="s">
        <v>254</v>
      </c>
      <c r="P841" s="85" t="s">
        <v>254</v>
      </c>
      <c r="Q841" s="85" t="s">
        <v>254</v>
      </c>
      <c r="R841" s="85"/>
      <c r="S841" s="86"/>
    </row>
    <row r="842" spans="1:19" ht="15">
      <c r="A842" s="70">
        <v>1</v>
      </c>
      <c r="B842" s="70"/>
      <c r="C842" s="72" t="s">
        <v>868</v>
      </c>
      <c r="D842" s="72" t="s">
        <v>505</v>
      </c>
      <c r="E842" s="85">
        <v>1145442.9999999998</v>
      </c>
      <c r="F842" s="85" t="s">
        <v>254</v>
      </c>
      <c r="G842" s="85">
        <v>1081710.9570623545</v>
      </c>
      <c r="H842" s="85" t="s">
        <v>254</v>
      </c>
      <c r="I842" s="85">
        <v>60552.759571967064</v>
      </c>
      <c r="J842" s="85">
        <v>3179.2833656782227</v>
      </c>
      <c r="K842" s="85" t="s">
        <v>254</v>
      </c>
      <c r="L842" s="85" t="s">
        <v>254</v>
      </c>
      <c r="M842" s="85">
        <v>110.18186040012758</v>
      </c>
      <c r="N842" s="85" t="s">
        <v>254</v>
      </c>
      <c r="O842" s="85">
        <v>3069.1015052780949</v>
      </c>
      <c r="P842" s="85">
        <v>2660.2775361439649</v>
      </c>
      <c r="Q842" s="85">
        <v>408.82396913412987</v>
      </c>
      <c r="R842" s="85"/>
      <c r="S842" s="86"/>
    </row>
    <row r="843" spans="1:19" ht="15">
      <c r="A843" s="70">
        <v>2</v>
      </c>
      <c r="B843" s="70"/>
      <c r="C843" s="72" t="s">
        <v>869</v>
      </c>
      <c r="D843" s="72" t="s">
        <v>505</v>
      </c>
      <c r="E843" s="85">
        <v>362685.99999999994</v>
      </c>
      <c r="F843" s="85" t="s">
        <v>254</v>
      </c>
      <c r="G843" s="85">
        <v>342506.27938109287</v>
      </c>
      <c r="H843" s="85" t="s">
        <v>254</v>
      </c>
      <c r="I843" s="85">
        <v>19173.051961658894</v>
      </c>
      <c r="J843" s="85">
        <v>1006.6686572482191</v>
      </c>
      <c r="K843" s="85" t="s">
        <v>254</v>
      </c>
      <c r="L843" s="85" t="s">
        <v>254</v>
      </c>
      <c r="M843" s="85">
        <v>34.887304057103378</v>
      </c>
      <c r="N843" s="85" t="s">
        <v>254</v>
      </c>
      <c r="O843" s="85">
        <v>971.78135319111573</v>
      </c>
      <c r="P843" s="85">
        <v>842.33385552481457</v>
      </c>
      <c r="Q843" s="85">
        <v>129.44749766630119</v>
      </c>
      <c r="R843" s="85"/>
      <c r="S843" s="86"/>
    </row>
    <row r="844" spans="1:19" ht="15">
      <c r="A844" s="70">
        <v>3</v>
      </c>
      <c r="B844" s="70"/>
      <c r="C844" s="72" t="s">
        <v>870</v>
      </c>
      <c r="D844" s="72" t="s">
        <v>505</v>
      </c>
      <c r="E844" s="85">
        <v>922281.99999999988</v>
      </c>
      <c r="F844" s="85" t="s">
        <v>254</v>
      </c>
      <c r="G844" s="85">
        <v>870966.55608474847</v>
      </c>
      <c r="H844" s="85" t="s">
        <v>254</v>
      </c>
      <c r="I844" s="85">
        <v>48755.564618713397</v>
      </c>
      <c r="J844" s="85">
        <v>2559.879296538058</v>
      </c>
      <c r="K844" s="85" t="s">
        <v>254</v>
      </c>
      <c r="L844" s="85" t="s">
        <v>254</v>
      </c>
      <c r="M844" s="85">
        <v>88.715672952342857</v>
      </c>
      <c r="N844" s="85" t="s">
        <v>254</v>
      </c>
      <c r="O844" s="85">
        <v>2471.163623585715</v>
      </c>
      <c r="P844" s="85">
        <v>2141.98880833872</v>
      </c>
      <c r="Q844" s="85">
        <v>329.17481524699491</v>
      </c>
      <c r="R844" s="85"/>
      <c r="S844" s="86"/>
    </row>
    <row r="845" spans="1:19" ht="15">
      <c r="A845" s="70">
        <v>4</v>
      </c>
      <c r="B845" s="70"/>
      <c r="C845" s="72" t="s">
        <v>871</v>
      </c>
      <c r="D845" s="72" t="s">
        <v>505</v>
      </c>
      <c r="E845" s="85">
        <v>2298073</v>
      </c>
      <c r="F845" s="85" t="s">
        <v>254</v>
      </c>
      <c r="G845" s="85">
        <v>2170209.0319895069</v>
      </c>
      <c r="H845" s="85" t="s">
        <v>254</v>
      </c>
      <c r="I845" s="85">
        <v>121485.45309354465</v>
      </c>
      <c r="J845" s="85">
        <v>6378.5149169485085</v>
      </c>
      <c r="K845" s="85" t="s">
        <v>254</v>
      </c>
      <c r="L845" s="85" t="s">
        <v>254</v>
      </c>
      <c r="M845" s="85">
        <v>221.05504898567835</v>
      </c>
      <c r="N845" s="85" t="s">
        <v>254</v>
      </c>
      <c r="O845" s="85">
        <v>6157.4598679628298</v>
      </c>
      <c r="P845" s="85">
        <v>5337.2467930040784</v>
      </c>
      <c r="Q845" s="85">
        <v>820.21307495875158</v>
      </c>
      <c r="R845" s="85"/>
      <c r="S845" s="86"/>
    </row>
    <row r="846" spans="1:19" ht="15">
      <c r="A846" s="70">
        <v>5</v>
      </c>
      <c r="B846" s="70"/>
      <c r="C846" s="72" t="s">
        <v>872</v>
      </c>
      <c r="D846" s="72" t="s">
        <v>505</v>
      </c>
      <c r="E846" s="85">
        <v>0</v>
      </c>
      <c r="F846" s="85" t="s">
        <v>254</v>
      </c>
      <c r="G846" s="85">
        <v>0</v>
      </c>
      <c r="H846" s="85" t="s">
        <v>254</v>
      </c>
      <c r="I846" s="85">
        <v>0</v>
      </c>
      <c r="J846" s="85">
        <v>0</v>
      </c>
      <c r="K846" s="85" t="s">
        <v>254</v>
      </c>
      <c r="L846" s="85" t="s">
        <v>254</v>
      </c>
      <c r="M846" s="85">
        <v>0</v>
      </c>
      <c r="N846" s="85" t="s">
        <v>254</v>
      </c>
      <c r="O846" s="85">
        <v>0</v>
      </c>
      <c r="P846" s="85">
        <v>0</v>
      </c>
      <c r="Q846" s="85">
        <v>0</v>
      </c>
      <c r="R846" s="85"/>
      <c r="S846" s="86"/>
    </row>
    <row r="847" spans="1:19" ht="15">
      <c r="A847" s="70">
        <v>6</v>
      </c>
      <c r="B847" s="70"/>
      <c r="C847" s="72" t="s">
        <v>873</v>
      </c>
      <c r="D847" s="72" t="s">
        <v>505</v>
      </c>
      <c r="E847" s="85">
        <v>0</v>
      </c>
      <c r="F847" s="85" t="s">
        <v>254</v>
      </c>
      <c r="G847" s="85">
        <v>0</v>
      </c>
      <c r="H847" s="85" t="s">
        <v>254</v>
      </c>
      <c r="I847" s="85">
        <v>0</v>
      </c>
      <c r="J847" s="85">
        <v>0</v>
      </c>
      <c r="K847" s="85" t="s">
        <v>254</v>
      </c>
      <c r="L847" s="85" t="s">
        <v>254</v>
      </c>
      <c r="M847" s="85">
        <v>0</v>
      </c>
      <c r="N847" s="85" t="s">
        <v>254</v>
      </c>
      <c r="O847" s="85">
        <v>0</v>
      </c>
      <c r="P847" s="85">
        <v>0</v>
      </c>
      <c r="Q847" s="85">
        <v>0</v>
      </c>
      <c r="R847" s="85"/>
      <c r="S847" s="86"/>
    </row>
    <row r="848" spans="1:19" ht="15">
      <c r="A848" s="70">
        <v>7</v>
      </c>
      <c r="B848" s="70"/>
      <c r="C848" s="72" t="s">
        <v>874</v>
      </c>
      <c r="D848" s="72" t="s">
        <v>505</v>
      </c>
      <c r="E848" s="85">
        <v>6054447</v>
      </c>
      <c r="F848" s="85" t="s">
        <v>254</v>
      </c>
      <c r="G848" s="85">
        <v>5717579.7126991935</v>
      </c>
      <c r="H848" s="85" t="s">
        <v>254</v>
      </c>
      <c r="I848" s="85">
        <v>320062.60768298141</v>
      </c>
      <c r="J848" s="85">
        <v>16804.679617825084</v>
      </c>
      <c r="K848" s="85" t="s">
        <v>254</v>
      </c>
      <c r="L848" s="85" t="s">
        <v>254</v>
      </c>
      <c r="M848" s="85">
        <v>582.3862332337543</v>
      </c>
      <c r="N848" s="85" t="s">
        <v>254</v>
      </c>
      <c r="O848" s="85">
        <v>16222.29338459133</v>
      </c>
      <c r="P848" s="85">
        <v>14061.38004935577</v>
      </c>
      <c r="Q848" s="85">
        <v>2160.9133352355598</v>
      </c>
      <c r="R848" s="85"/>
      <c r="S848" s="86"/>
    </row>
    <row r="849" spans="1:19" ht="15">
      <c r="A849" s="70">
        <v>8</v>
      </c>
      <c r="B849" s="70"/>
      <c r="C849" s="72" t="s">
        <v>875</v>
      </c>
      <c r="D849" s="72" t="s">
        <v>505</v>
      </c>
      <c r="E849" s="85">
        <v>0</v>
      </c>
      <c r="F849" s="85" t="s">
        <v>254</v>
      </c>
      <c r="G849" s="85">
        <v>0</v>
      </c>
      <c r="H849" s="85" t="s">
        <v>254</v>
      </c>
      <c r="I849" s="85">
        <v>0</v>
      </c>
      <c r="J849" s="85">
        <v>0</v>
      </c>
      <c r="K849" s="85" t="s">
        <v>254</v>
      </c>
      <c r="L849" s="85" t="s">
        <v>254</v>
      </c>
      <c r="M849" s="85">
        <v>0</v>
      </c>
      <c r="N849" s="85" t="s">
        <v>254</v>
      </c>
      <c r="O849" s="85">
        <v>0</v>
      </c>
      <c r="P849" s="85">
        <v>0</v>
      </c>
      <c r="Q849" s="85">
        <v>0</v>
      </c>
      <c r="R849" s="85"/>
      <c r="S849" s="86"/>
    </row>
    <row r="850" spans="1:19" ht="15">
      <c r="A850" s="70">
        <v>9</v>
      </c>
      <c r="B850" s="70"/>
      <c r="C850" s="72" t="s">
        <v>876</v>
      </c>
      <c r="D850" s="72" t="s">
        <v>505</v>
      </c>
      <c r="E850" s="85">
        <v>3343041</v>
      </c>
      <c r="F850" s="85" t="s">
        <v>254</v>
      </c>
      <c r="G850" s="85">
        <v>3157035.3824753314</v>
      </c>
      <c r="H850" s="85" t="s">
        <v>254</v>
      </c>
      <c r="I850" s="85">
        <v>176726.69693055731</v>
      </c>
      <c r="J850" s="85">
        <v>9278.9205941110049</v>
      </c>
      <c r="K850" s="85" t="s">
        <v>254</v>
      </c>
      <c r="L850" s="85" t="s">
        <v>254</v>
      </c>
      <c r="M850" s="85">
        <v>321.57207017189234</v>
      </c>
      <c r="N850" s="85" t="s">
        <v>254</v>
      </c>
      <c r="O850" s="85">
        <v>8957.3485239391121</v>
      </c>
      <c r="P850" s="85">
        <v>7764.1723548952305</v>
      </c>
      <c r="Q850" s="85">
        <v>1193.1761690438814</v>
      </c>
      <c r="R850" s="85"/>
      <c r="S850" s="86"/>
    </row>
    <row r="851" spans="1:19" ht="15">
      <c r="A851" s="70">
        <v>10</v>
      </c>
      <c r="B851" s="70"/>
      <c r="C851" s="72" t="s">
        <v>877</v>
      </c>
      <c r="D851" s="72" t="s">
        <v>505</v>
      </c>
      <c r="E851" s="85">
        <v>0</v>
      </c>
      <c r="F851" s="85" t="s">
        <v>254</v>
      </c>
      <c r="G851" s="85">
        <v>0</v>
      </c>
      <c r="H851" s="85" t="s">
        <v>254</v>
      </c>
      <c r="I851" s="85">
        <v>0</v>
      </c>
      <c r="J851" s="85">
        <v>0</v>
      </c>
      <c r="K851" s="85" t="s">
        <v>254</v>
      </c>
      <c r="L851" s="85" t="s">
        <v>254</v>
      </c>
      <c r="M851" s="85">
        <v>0</v>
      </c>
      <c r="N851" s="85" t="s">
        <v>254</v>
      </c>
      <c r="O851" s="85">
        <v>0</v>
      </c>
      <c r="P851" s="85">
        <v>0</v>
      </c>
      <c r="Q851" s="85">
        <v>0</v>
      </c>
      <c r="R851" s="85"/>
      <c r="S851" s="86"/>
    </row>
    <row r="852" spans="1:19" ht="15">
      <c r="A852" s="70">
        <v>11</v>
      </c>
      <c r="B852" s="70"/>
      <c r="C852" s="72" t="s">
        <v>878</v>
      </c>
      <c r="D852" s="72" t="s">
        <v>505</v>
      </c>
      <c r="E852" s="85">
        <v>0</v>
      </c>
      <c r="F852" s="85" t="s">
        <v>254</v>
      </c>
      <c r="G852" s="85">
        <v>0</v>
      </c>
      <c r="H852" s="85" t="s">
        <v>254</v>
      </c>
      <c r="I852" s="85">
        <v>0</v>
      </c>
      <c r="J852" s="85">
        <v>0</v>
      </c>
      <c r="K852" s="85" t="s">
        <v>254</v>
      </c>
      <c r="L852" s="85" t="s">
        <v>254</v>
      </c>
      <c r="M852" s="85">
        <v>0</v>
      </c>
      <c r="N852" s="85" t="s">
        <v>254</v>
      </c>
      <c r="O852" s="85">
        <v>0</v>
      </c>
      <c r="P852" s="85">
        <v>0</v>
      </c>
      <c r="Q852" s="85">
        <v>0</v>
      </c>
      <c r="R852" s="85"/>
      <c r="S852" s="86"/>
    </row>
    <row r="853" spans="1:19" ht="15">
      <c r="A853" s="70">
        <v>13</v>
      </c>
      <c r="B853" s="70"/>
      <c r="C853" s="72" t="s">
        <v>879</v>
      </c>
      <c r="D853" s="72" t="s">
        <v>505</v>
      </c>
      <c r="E853" s="85">
        <v>640930</v>
      </c>
      <c r="F853" s="85" t="s">
        <v>254</v>
      </c>
      <c r="G853" s="85">
        <v>605268.88174267509</v>
      </c>
      <c r="H853" s="85" t="s">
        <v>254</v>
      </c>
      <c r="I853" s="85">
        <v>33882.157551672892</v>
      </c>
      <c r="J853" s="85">
        <v>1778.9607056519994</v>
      </c>
      <c r="K853" s="85" t="s">
        <v>254</v>
      </c>
      <c r="L853" s="85" t="s">
        <v>254</v>
      </c>
      <c r="M853" s="85">
        <v>61.652006940767691</v>
      </c>
      <c r="N853" s="85" t="s">
        <v>254</v>
      </c>
      <c r="O853" s="85">
        <v>1717.3086987112317</v>
      </c>
      <c r="P853" s="85">
        <v>1488.5521856964961</v>
      </c>
      <c r="Q853" s="85">
        <v>228.75651301473567</v>
      </c>
      <c r="R853" s="85"/>
      <c r="S853" s="86"/>
    </row>
    <row r="854" spans="1:19" ht="15">
      <c r="A854" s="70">
        <v>14</v>
      </c>
      <c r="B854" s="70"/>
      <c r="C854" s="72" t="s">
        <v>880</v>
      </c>
      <c r="D854" s="72" t="s">
        <v>505</v>
      </c>
      <c r="E854" s="85">
        <v>6521196</v>
      </c>
      <c r="F854" s="85" t="s">
        <v>254</v>
      </c>
      <c r="G854" s="85">
        <v>6158358.9636072675</v>
      </c>
      <c r="H854" s="85" t="s">
        <v>254</v>
      </c>
      <c r="I854" s="85">
        <v>344736.85160210793</v>
      </c>
      <c r="J854" s="85">
        <v>18100.184790624553</v>
      </c>
      <c r="K854" s="85" t="s">
        <v>254</v>
      </c>
      <c r="L854" s="85" t="s">
        <v>254</v>
      </c>
      <c r="M854" s="85">
        <v>627.28351154432858</v>
      </c>
      <c r="N854" s="85" t="s">
        <v>254</v>
      </c>
      <c r="O854" s="85">
        <v>17472.901279080226</v>
      </c>
      <c r="P854" s="85">
        <v>15145.398965807884</v>
      </c>
      <c r="Q854" s="85">
        <v>2327.5023132723418</v>
      </c>
      <c r="R854" s="85"/>
      <c r="S854" s="86"/>
    </row>
    <row r="855" spans="1:19" ht="15">
      <c r="A855" s="70">
        <v>15</v>
      </c>
      <c r="B855" s="70"/>
      <c r="C855" s="72" t="s">
        <v>881</v>
      </c>
      <c r="D855" s="72" t="s">
        <v>505</v>
      </c>
      <c r="E855" s="85">
        <v>438181.99999999994</v>
      </c>
      <c r="F855" s="85" t="s">
        <v>254</v>
      </c>
      <c r="G855" s="85">
        <v>413801.70867297339</v>
      </c>
      <c r="H855" s="85" t="s">
        <v>254</v>
      </c>
      <c r="I855" s="85">
        <v>23164.076514295055</v>
      </c>
      <c r="J855" s="85">
        <v>1216.2148127315063</v>
      </c>
      <c r="K855" s="85" t="s">
        <v>254</v>
      </c>
      <c r="L855" s="85" t="s">
        <v>254</v>
      </c>
      <c r="M855" s="85">
        <v>42.149376227231471</v>
      </c>
      <c r="N855" s="85" t="s">
        <v>254</v>
      </c>
      <c r="O855" s="85">
        <v>1174.0654365042749</v>
      </c>
      <c r="P855" s="85">
        <v>1017.6724039019269</v>
      </c>
      <c r="Q855" s="85">
        <v>156.393032602348</v>
      </c>
      <c r="R855" s="85"/>
      <c r="S855" s="86"/>
    </row>
    <row r="856" spans="1:19" ht="15">
      <c r="A856" s="70">
        <v>16</v>
      </c>
      <c r="B856" s="70"/>
      <c r="C856" s="72" t="s">
        <v>882</v>
      </c>
      <c r="D856" s="72" t="s">
        <v>505</v>
      </c>
      <c r="E856" s="85">
        <v>54449.999999999993</v>
      </c>
      <c r="F856" s="85" t="s">
        <v>254</v>
      </c>
      <c r="G856" s="85">
        <v>51420.421279841255</v>
      </c>
      <c r="H856" s="85" t="s">
        <v>254</v>
      </c>
      <c r="I856" s="85">
        <v>2878.4476911497181</v>
      </c>
      <c r="J856" s="85">
        <v>151.1310290090203</v>
      </c>
      <c r="K856" s="85" t="s">
        <v>254</v>
      </c>
      <c r="L856" s="85" t="s">
        <v>254</v>
      </c>
      <c r="M856" s="85">
        <v>5.2376262273958165</v>
      </c>
      <c r="N856" s="85" t="s">
        <v>254</v>
      </c>
      <c r="O856" s="85">
        <v>145.89340278162447</v>
      </c>
      <c r="P856" s="85">
        <v>126.45946750998426</v>
      </c>
      <c r="Q856" s="85">
        <v>19.433935271640205</v>
      </c>
      <c r="R856" s="85"/>
      <c r="S856" s="86"/>
    </row>
    <row r="857" spans="1:19" ht="15">
      <c r="A857" s="70">
        <v>17</v>
      </c>
      <c r="B857" s="70"/>
      <c r="C857" s="72" t="s">
        <v>883</v>
      </c>
      <c r="D857" s="72" t="s">
        <v>505</v>
      </c>
      <c r="E857" s="85">
        <v>0</v>
      </c>
      <c r="F857" s="85" t="s">
        <v>254</v>
      </c>
      <c r="G857" s="85">
        <v>0</v>
      </c>
      <c r="H857" s="85" t="s">
        <v>254</v>
      </c>
      <c r="I857" s="85">
        <v>0</v>
      </c>
      <c r="J857" s="85">
        <v>0</v>
      </c>
      <c r="K857" s="85" t="s">
        <v>254</v>
      </c>
      <c r="L857" s="85" t="s">
        <v>254</v>
      </c>
      <c r="M857" s="85">
        <v>0</v>
      </c>
      <c r="N857" s="85" t="s">
        <v>254</v>
      </c>
      <c r="O857" s="85">
        <v>0</v>
      </c>
      <c r="P857" s="85">
        <v>0</v>
      </c>
      <c r="Q857" s="85">
        <v>0</v>
      </c>
      <c r="R857" s="85"/>
      <c r="S857" s="86"/>
    </row>
    <row r="858" spans="1:19" ht="15">
      <c r="A858" s="70">
        <v>18</v>
      </c>
      <c r="B858" s="70"/>
      <c r="C858" s="72" t="s">
        <v>884</v>
      </c>
      <c r="D858" s="72" t="s">
        <v>505</v>
      </c>
      <c r="E858" s="85">
        <v>0</v>
      </c>
      <c r="F858" s="85" t="s">
        <v>254</v>
      </c>
      <c r="G858" s="85">
        <v>0</v>
      </c>
      <c r="H858" s="85" t="s">
        <v>254</v>
      </c>
      <c r="I858" s="85">
        <v>0</v>
      </c>
      <c r="J858" s="85">
        <v>0</v>
      </c>
      <c r="K858" s="85" t="s">
        <v>254</v>
      </c>
      <c r="L858" s="85" t="s">
        <v>254</v>
      </c>
      <c r="M858" s="85">
        <v>0</v>
      </c>
      <c r="N858" s="85" t="s">
        <v>254</v>
      </c>
      <c r="O858" s="85">
        <v>0</v>
      </c>
      <c r="P858" s="85">
        <v>0</v>
      </c>
      <c r="Q858" s="85">
        <v>0</v>
      </c>
      <c r="R858" s="85"/>
      <c r="S858" s="86"/>
    </row>
    <row r="859" spans="1:19" ht="15">
      <c r="A859" s="70">
        <v>19</v>
      </c>
      <c r="B859" s="70"/>
      <c r="C859" s="72" t="s">
        <v>885</v>
      </c>
      <c r="D859" s="72" t="s">
        <v>505</v>
      </c>
      <c r="E859" s="85">
        <v>0</v>
      </c>
      <c r="F859" s="85" t="s">
        <v>254</v>
      </c>
      <c r="G859" s="85">
        <v>0</v>
      </c>
      <c r="H859" s="85" t="s">
        <v>254</v>
      </c>
      <c r="I859" s="85">
        <v>0</v>
      </c>
      <c r="J859" s="85">
        <v>0</v>
      </c>
      <c r="K859" s="85" t="s">
        <v>254</v>
      </c>
      <c r="L859" s="85" t="s">
        <v>254</v>
      </c>
      <c r="M859" s="85">
        <v>0</v>
      </c>
      <c r="N859" s="85" t="s">
        <v>254</v>
      </c>
      <c r="O859" s="85">
        <v>0</v>
      </c>
      <c r="P859" s="85">
        <v>0</v>
      </c>
      <c r="Q859" s="85">
        <v>0</v>
      </c>
      <c r="R859" s="85"/>
      <c r="S859" s="86"/>
    </row>
    <row r="860" spans="1:19" ht="15">
      <c r="A860" s="70" t="s">
        <v>254</v>
      </c>
      <c r="B860" s="70"/>
      <c r="C860" s="72" t="s">
        <v>254</v>
      </c>
      <c r="D860" s="72" t="s">
        <v>254</v>
      </c>
      <c r="E860" s="85" t="s">
        <v>254</v>
      </c>
      <c r="F860" s="85" t="s">
        <v>254</v>
      </c>
      <c r="G860" s="85" t="s">
        <v>254</v>
      </c>
      <c r="H860" s="85" t="s">
        <v>254</v>
      </c>
      <c r="I860" s="85" t="s">
        <v>254</v>
      </c>
      <c r="J860" s="85" t="s">
        <v>254</v>
      </c>
      <c r="K860" s="85" t="s">
        <v>254</v>
      </c>
      <c r="L860" s="85" t="s">
        <v>254</v>
      </c>
      <c r="M860" s="85" t="s">
        <v>254</v>
      </c>
      <c r="N860" s="85" t="s">
        <v>254</v>
      </c>
      <c r="O860" s="85" t="s">
        <v>254</v>
      </c>
      <c r="P860" s="85" t="s">
        <v>254</v>
      </c>
      <c r="Q860" s="85" t="s">
        <v>254</v>
      </c>
      <c r="R860" s="85"/>
      <c r="S860" s="86"/>
    </row>
    <row r="861" spans="1:19" ht="15">
      <c r="A861" s="70">
        <v>20</v>
      </c>
      <c r="B861" s="70"/>
      <c r="C861" s="72" t="s">
        <v>886</v>
      </c>
      <c r="D861" s="72" t="s">
        <v>505</v>
      </c>
      <c r="E861" s="85">
        <v>21780730</v>
      </c>
      <c r="F861" s="85" t="s">
        <v>254</v>
      </c>
      <c r="G861" s="85">
        <v>20568857.894994985</v>
      </c>
      <c r="H861" s="85" t="s">
        <v>254</v>
      </c>
      <c r="I861" s="85">
        <v>1151417.6672186484</v>
      </c>
      <c r="J861" s="85">
        <v>60454.437786366172</v>
      </c>
      <c r="K861" s="85" t="s">
        <v>254</v>
      </c>
      <c r="L861" s="85" t="s">
        <v>254</v>
      </c>
      <c r="M861" s="85">
        <v>2095.1207107406221</v>
      </c>
      <c r="N861" s="85" t="s">
        <v>254</v>
      </c>
      <c r="O861" s="85">
        <v>58359.317075625557</v>
      </c>
      <c r="P861" s="85">
        <v>50585.482420178872</v>
      </c>
      <c r="Q861" s="85">
        <v>7773.8346554466852</v>
      </c>
      <c r="R861" s="85"/>
      <c r="S861" s="86"/>
    </row>
    <row r="862" spans="1:19" ht="15">
      <c r="A862" s="70" t="s">
        <v>254</v>
      </c>
      <c r="B862" s="70"/>
      <c r="C862" s="72" t="s">
        <v>254</v>
      </c>
      <c r="D862" s="72" t="s">
        <v>254</v>
      </c>
      <c r="E862" s="85" t="s">
        <v>254</v>
      </c>
      <c r="F862" s="85" t="s">
        <v>254</v>
      </c>
      <c r="G862" s="85" t="s">
        <v>254</v>
      </c>
      <c r="H862" s="85" t="s">
        <v>254</v>
      </c>
      <c r="I862" s="85" t="s">
        <v>254</v>
      </c>
      <c r="J862" s="85" t="s">
        <v>254</v>
      </c>
      <c r="K862" s="85" t="s">
        <v>254</v>
      </c>
      <c r="L862" s="85" t="s">
        <v>254</v>
      </c>
      <c r="M862" s="85" t="s">
        <v>254</v>
      </c>
      <c r="N862" s="85" t="s">
        <v>254</v>
      </c>
      <c r="O862" s="85" t="s">
        <v>254</v>
      </c>
      <c r="P862" s="85" t="s">
        <v>254</v>
      </c>
      <c r="Q862" s="85" t="s">
        <v>254</v>
      </c>
      <c r="R862" s="85"/>
      <c r="S862" s="86"/>
    </row>
    <row r="863" spans="1:19" ht="15">
      <c r="A863" s="70">
        <v>21</v>
      </c>
      <c r="B863" s="70"/>
      <c r="C863" s="72" t="s">
        <v>887</v>
      </c>
      <c r="D863" s="72" t="s">
        <v>254</v>
      </c>
      <c r="E863" s="85">
        <v>90564009</v>
      </c>
      <c r="F863" s="85" t="s">
        <v>254</v>
      </c>
      <c r="G863" s="85">
        <v>80876899.173988476</v>
      </c>
      <c r="H863" s="85" t="s">
        <v>254</v>
      </c>
      <c r="I863" s="85">
        <v>4294636.9825167898</v>
      </c>
      <c r="J863" s="85">
        <v>5392472.8434947291</v>
      </c>
      <c r="K863" s="85" t="s">
        <v>254</v>
      </c>
      <c r="L863" s="85" t="s">
        <v>254</v>
      </c>
      <c r="M863" s="85">
        <v>2334.7784147858074</v>
      </c>
      <c r="N863" s="85" t="s">
        <v>254</v>
      </c>
      <c r="O863" s="85">
        <v>5390138.0650799433</v>
      </c>
      <c r="P863" s="85">
        <v>1716821.01136133</v>
      </c>
      <c r="Q863" s="85">
        <v>3673317.053718613</v>
      </c>
      <c r="R863" s="85"/>
      <c r="S863" s="86"/>
    </row>
    <row r="864" spans="1:19" ht="15">
      <c r="A864" s="70" t="s">
        <v>254</v>
      </c>
      <c r="B864" s="70"/>
      <c r="C864" s="72" t="s">
        <v>254</v>
      </c>
      <c r="D864" s="72" t="s">
        <v>254</v>
      </c>
      <c r="E864" s="85" t="s">
        <v>254</v>
      </c>
      <c r="F864" s="85" t="s">
        <v>254</v>
      </c>
      <c r="G864" s="85" t="s">
        <v>254</v>
      </c>
      <c r="H864" s="85" t="s">
        <v>254</v>
      </c>
      <c r="I864" s="85" t="s">
        <v>254</v>
      </c>
      <c r="J864" s="85" t="s">
        <v>254</v>
      </c>
      <c r="K864" s="85" t="s">
        <v>254</v>
      </c>
      <c r="L864" s="85" t="s">
        <v>254</v>
      </c>
      <c r="M864" s="85" t="s">
        <v>254</v>
      </c>
      <c r="N864" s="85" t="s">
        <v>254</v>
      </c>
      <c r="O864" s="85" t="s">
        <v>254</v>
      </c>
      <c r="P864" s="85" t="s">
        <v>254</v>
      </c>
      <c r="Q864" s="85" t="s">
        <v>254</v>
      </c>
      <c r="R864" s="85"/>
      <c r="S864" s="86"/>
    </row>
    <row r="865" spans="1:19" ht="15">
      <c r="A865" s="70" t="s">
        <v>254</v>
      </c>
      <c r="B865" s="70"/>
      <c r="C865" s="72" t="s">
        <v>254</v>
      </c>
      <c r="D865" s="72" t="s">
        <v>254</v>
      </c>
      <c r="E865" s="85" t="s">
        <v>254</v>
      </c>
      <c r="F865" s="85" t="s">
        <v>254</v>
      </c>
      <c r="G865" s="85" t="s">
        <v>254</v>
      </c>
      <c r="H865" s="85" t="s">
        <v>254</v>
      </c>
      <c r="I865" s="85" t="s">
        <v>254</v>
      </c>
      <c r="J865" s="85" t="s">
        <v>254</v>
      </c>
      <c r="K865" s="85" t="s">
        <v>254</v>
      </c>
      <c r="L865" s="85" t="s">
        <v>254</v>
      </c>
      <c r="M865" s="85" t="s">
        <v>254</v>
      </c>
      <c r="N865" s="85" t="s">
        <v>254</v>
      </c>
      <c r="O865" s="85" t="s">
        <v>254</v>
      </c>
      <c r="P865" s="85" t="s">
        <v>254</v>
      </c>
      <c r="Q865" s="85" t="s">
        <v>254</v>
      </c>
      <c r="R865" s="85"/>
      <c r="S865" s="86"/>
    </row>
    <row r="866" spans="1:19" ht="15">
      <c r="A866" s="70" t="s">
        <v>254</v>
      </c>
      <c r="B866" s="70"/>
      <c r="C866" s="72" t="s">
        <v>254</v>
      </c>
      <c r="D866" s="72" t="s">
        <v>254</v>
      </c>
      <c r="E866" s="85" t="s">
        <v>254</v>
      </c>
      <c r="F866" s="85" t="s">
        <v>254</v>
      </c>
      <c r="G866" s="85" t="s">
        <v>254</v>
      </c>
      <c r="H866" s="85" t="s">
        <v>254</v>
      </c>
      <c r="I866" s="85" t="s">
        <v>254</v>
      </c>
      <c r="J866" s="85" t="s">
        <v>254</v>
      </c>
      <c r="K866" s="85" t="s">
        <v>254</v>
      </c>
      <c r="L866" s="85" t="s">
        <v>254</v>
      </c>
      <c r="M866" s="85" t="s">
        <v>254</v>
      </c>
      <c r="N866" s="85" t="s">
        <v>254</v>
      </c>
      <c r="O866" s="85" t="s">
        <v>254</v>
      </c>
      <c r="P866" s="85" t="s">
        <v>254</v>
      </c>
      <c r="Q866" s="85" t="s">
        <v>254</v>
      </c>
      <c r="R866" s="85"/>
      <c r="S866" s="86"/>
    </row>
    <row r="867" spans="1:19" ht="15">
      <c r="A867" s="70" t="s">
        <v>254</v>
      </c>
      <c r="B867" s="70"/>
      <c r="C867" s="72" t="s">
        <v>254</v>
      </c>
      <c r="D867" s="72" t="s">
        <v>254</v>
      </c>
      <c r="E867" s="85" t="s">
        <v>254</v>
      </c>
      <c r="F867" s="85" t="s">
        <v>254</v>
      </c>
      <c r="G867" s="85" t="s">
        <v>254</v>
      </c>
      <c r="H867" s="85" t="s">
        <v>254</v>
      </c>
      <c r="I867" s="85" t="s">
        <v>254</v>
      </c>
      <c r="J867" s="85" t="s">
        <v>254</v>
      </c>
      <c r="K867" s="85" t="s">
        <v>254</v>
      </c>
      <c r="L867" s="85" t="s">
        <v>254</v>
      </c>
      <c r="M867" s="85" t="s">
        <v>254</v>
      </c>
      <c r="N867" s="85" t="s">
        <v>254</v>
      </c>
      <c r="O867" s="85" t="s">
        <v>254</v>
      </c>
      <c r="P867" s="85" t="s">
        <v>254</v>
      </c>
      <c r="Q867" s="85" t="s">
        <v>254</v>
      </c>
      <c r="R867" s="85"/>
      <c r="S867" s="86"/>
    </row>
    <row r="868" spans="1:19" ht="15">
      <c r="A868" s="70" t="s">
        <v>254</v>
      </c>
      <c r="B868" s="70"/>
      <c r="C868" s="72" t="s">
        <v>888</v>
      </c>
      <c r="D868" s="72" t="s">
        <v>254</v>
      </c>
      <c r="E868" s="85" t="s">
        <v>254</v>
      </c>
      <c r="F868" s="85" t="s">
        <v>254</v>
      </c>
      <c r="G868" s="85" t="s">
        <v>254</v>
      </c>
      <c r="H868" s="85" t="s">
        <v>254</v>
      </c>
      <c r="I868" s="85" t="s">
        <v>254</v>
      </c>
      <c r="J868" s="85" t="s">
        <v>254</v>
      </c>
      <c r="K868" s="85" t="s">
        <v>254</v>
      </c>
      <c r="L868" s="85" t="s">
        <v>254</v>
      </c>
      <c r="M868" s="85" t="s">
        <v>254</v>
      </c>
      <c r="N868" s="85" t="s">
        <v>254</v>
      </c>
      <c r="O868" s="85" t="s">
        <v>254</v>
      </c>
      <c r="P868" s="85" t="s">
        <v>254</v>
      </c>
      <c r="Q868" s="85" t="s">
        <v>254</v>
      </c>
      <c r="R868" s="85"/>
      <c r="S868" s="86"/>
    </row>
    <row r="869" spans="1:19" ht="15">
      <c r="A869" s="70">
        <v>1</v>
      </c>
      <c r="B869" s="70"/>
      <c r="C869" s="72" t="s">
        <v>889</v>
      </c>
      <c r="D869" s="72" t="s">
        <v>890</v>
      </c>
      <c r="E869" s="85">
        <v>3435471.9999999995</v>
      </c>
      <c r="F869" s="85" t="s">
        <v>254</v>
      </c>
      <c r="G869" s="85">
        <v>3259517.7695655213</v>
      </c>
      <c r="H869" s="85" t="s">
        <v>254</v>
      </c>
      <c r="I869" s="85">
        <v>171913.94439172093</v>
      </c>
      <c r="J869" s="85">
        <v>4040.286042757526</v>
      </c>
      <c r="K869" s="85" t="s">
        <v>254</v>
      </c>
      <c r="L869" s="85" t="s">
        <v>254</v>
      </c>
      <c r="M869" s="85">
        <v>27.20731341924261</v>
      </c>
      <c r="N869" s="85" t="s">
        <v>254</v>
      </c>
      <c r="O869" s="85">
        <v>4013.0787293382837</v>
      </c>
      <c r="P869" s="85">
        <v>2081.3594765720591</v>
      </c>
      <c r="Q869" s="85">
        <v>1931.7192527662248</v>
      </c>
      <c r="R869" s="85"/>
      <c r="S869" s="86"/>
    </row>
    <row r="870" spans="1:19" ht="15">
      <c r="A870" s="70">
        <v>2</v>
      </c>
      <c r="B870" s="70"/>
      <c r="C870" s="72" t="s">
        <v>891</v>
      </c>
      <c r="D870" s="72" t="s">
        <v>890</v>
      </c>
      <c r="E870" s="85">
        <v>795102</v>
      </c>
      <c r="F870" s="85" t="s">
        <v>254</v>
      </c>
      <c r="G870" s="85">
        <v>754379.33932137571</v>
      </c>
      <c r="H870" s="85" t="s">
        <v>254</v>
      </c>
      <c r="I870" s="85">
        <v>39787.581157333283</v>
      </c>
      <c r="J870" s="85">
        <v>935.07952129098851</v>
      </c>
      <c r="K870" s="85" t="s">
        <v>254</v>
      </c>
      <c r="L870" s="85" t="s">
        <v>254</v>
      </c>
      <c r="M870" s="85">
        <v>6.2968317932053122</v>
      </c>
      <c r="N870" s="85" t="s">
        <v>254</v>
      </c>
      <c r="O870" s="85">
        <v>928.78268949778317</v>
      </c>
      <c r="P870" s="85">
        <v>481.70763218020625</v>
      </c>
      <c r="Q870" s="85">
        <v>447.07505731757698</v>
      </c>
      <c r="R870" s="85"/>
      <c r="S870" s="86"/>
    </row>
    <row r="871" spans="1:19" ht="15">
      <c r="A871" s="70">
        <v>3</v>
      </c>
      <c r="B871" s="70"/>
      <c r="C871" s="72" t="s">
        <v>892</v>
      </c>
      <c r="D871" s="72" t="s">
        <v>890</v>
      </c>
      <c r="E871" s="85">
        <v>12639528</v>
      </c>
      <c r="F871" s="85" t="s">
        <v>254</v>
      </c>
      <c r="G871" s="85">
        <v>11992170.541608535</v>
      </c>
      <c r="H871" s="85" t="s">
        <v>254</v>
      </c>
      <c r="I871" s="85">
        <v>632492.74444082205</v>
      </c>
      <c r="J871" s="85">
        <v>14864.713950642868</v>
      </c>
      <c r="K871" s="85" t="s">
        <v>254</v>
      </c>
      <c r="L871" s="85" t="s">
        <v>254</v>
      </c>
      <c r="M871" s="85">
        <v>100.09908384271294</v>
      </c>
      <c r="N871" s="85" t="s">
        <v>254</v>
      </c>
      <c r="O871" s="85">
        <v>14764.614866800155</v>
      </c>
      <c r="P871" s="85">
        <v>7657.5799139675382</v>
      </c>
      <c r="Q871" s="85">
        <v>7107.0349528326169</v>
      </c>
      <c r="R871" s="85"/>
      <c r="S871" s="86"/>
    </row>
    <row r="872" spans="1:19" ht="15">
      <c r="A872" s="70">
        <v>4</v>
      </c>
      <c r="B872" s="70"/>
      <c r="C872" s="72" t="s">
        <v>893</v>
      </c>
      <c r="D872" s="72" t="s">
        <v>890</v>
      </c>
      <c r="E872" s="85">
        <v>0</v>
      </c>
      <c r="F872" s="85" t="s">
        <v>254</v>
      </c>
      <c r="G872" s="85">
        <v>0</v>
      </c>
      <c r="H872" s="85" t="s">
        <v>254</v>
      </c>
      <c r="I872" s="85">
        <v>0</v>
      </c>
      <c r="J872" s="85">
        <v>0</v>
      </c>
      <c r="K872" s="85" t="s">
        <v>254</v>
      </c>
      <c r="L872" s="85" t="s">
        <v>254</v>
      </c>
      <c r="M872" s="85">
        <v>0</v>
      </c>
      <c r="N872" s="85" t="s">
        <v>254</v>
      </c>
      <c r="O872" s="85">
        <v>0</v>
      </c>
      <c r="P872" s="85">
        <v>0</v>
      </c>
      <c r="Q872" s="85">
        <v>0</v>
      </c>
      <c r="R872" s="85"/>
      <c r="S872" s="86"/>
    </row>
    <row r="873" spans="1:19" ht="15">
      <c r="A873" s="70">
        <v>5</v>
      </c>
      <c r="B873" s="70"/>
      <c r="C873" s="72" t="s">
        <v>894</v>
      </c>
      <c r="D873" s="72" t="s">
        <v>890</v>
      </c>
      <c r="E873" s="85">
        <v>0</v>
      </c>
      <c r="F873" s="85" t="s">
        <v>254</v>
      </c>
      <c r="G873" s="85">
        <v>0</v>
      </c>
      <c r="H873" s="85" t="s">
        <v>254</v>
      </c>
      <c r="I873" s="85">
        <v>0</v>
      </c>
      <c r="J873" s="85">
        <v>0</v>
      </c>
      <c r="K873" s="85" t="s">
        <v>254</v>
      </c>
      <c r="L873" s="85" t="s">
        <v>254</v>
      </c>
      <c r="M873" s="85">
        <v>0</v>
      </c>
      <c r="N873" s="85" t="s">
        <v>254</v>
      </c>
      <c r="O873" s="85">
        <v>0</v>
      </c>
      <c r="P873" s="85">
        <v>0</v>
      </c>
      <c r="Q873" s="85">
        <v>0</v>
      </c>
      <c r="R873" s="85"/>
      <c r="S873" s="86"/>
    </row>
    <row r="874" spans="1:19" ht="15">
      <c r="A874" s="70" t="s">
        <v>254</v>
      </c>
      <c r="B874" s="70"/>
      <c r="C874" s="72" t="s">
        <v>254</v>
      </c>
      <c r="D874" s="72" t="s">
        <v>254</v>
      </c>
      <c r="E874" s="85" t="s">
        <v>254</v>
      </c>
      <c r="F874" s="85" t="s">
        <v>254</v>
      </c>
      <c r="G874" s="85" t="s">
        <v>254</v>
      </c>
      <c r="H874" s="85" t="s">
        <v>254</v>
      </c>
      <c r="I874" s="85" t="s">
        <v>254</v>
      </c>
      <c r="J874" s="85" t="s">
        <v>254</v>
      </c>
      <c r="K874" s="85" t="s">
        <v>254</v>
      </c>
      <c r="L874" s="85" t="s">
        <v>254</v>
      </c>
      <c r="M874" s="85" t="s">
        <v>254</v>
      </c>
      <c r="N874" s="85" t="s">
        <v>254</v>
      </c>
      <c r="O874" s="85" t="s">
        <v>254</v>
      </c>
      <c r="P874" s="85" t="s">
        <v>254</v>
      </c>
      <c r="Q874" s="85" t="s">
        <v>254</v>
      </c>
      <c r="R874" s="85"/>
      <c r="S874" s="86"/>
    </row>
    <row r="875" spans="1:19" ht="15">
      <c r="A875" s="70">
        <v>6</v>
      </c>
      <c r="B875" s="70"/>
      <c r="C875" s="72" t="s">
        <v>895</v>
      </c>
      <c r="D875" s="72" t="s">
        <v>254</v>
      </c>
      <c r="E875" s="85">
        <v>16870102</v>
      </c>
      <c r="F875" s="85" t="s">
        <v>254</v>
      </c>
      <c r="G875" s="85">
        <v>16006067.650495432</v>
      </c>
      <c r="H875" s="85" t="s">
        <v>254</v>
      </c>
      <c r="I875" s="85">
        <v>844194.26998987631</v>
      </c>
      <c r="J875" s="85">
        <v>19840.079514691381</v>
      </c>
      <c r="K875" s="85" t="s">
        <v>254</v>
      </c>
      <c r="L875" s="85" t="s">
        <v>254</v>
      </c>
      <c r="M875" s="85">
        <v>133.60322905516085</v>
      </c>
      <c r="N875" s="85" t="s">
        <v>254</v>
      </c>
      <c r="O875" s="85">
        <v>19706.476285636221</v>
      </c>
      <c r="P875" s="85">
        <v>10220.647022719804</v>
      </c>
      <c r="Q875" s="85">
        <v>9485.8292629164189</v>
      </c>
      <c r="R875" s="85"/>
      <c r="S875" s="86"/>
    </row>
    <row r="876" spans="1:19" ht="15">
      <c r="A876" s="70" t="s">
        <v>254</v>
      </c>
      <c r="B876" s="70"/>
      <c r="C876" s="72" t="s">
        <v>254</v>
      </c>
      <c r="D876" s="72" t="s">
        <v>254</v>
      </c>
      <c r="E876" s="85" t="s">
        <v>254</v>
      </c>
      <c r="F876" s="85" t="s">
        <v>254</v>
      </c>
      <c r="G876" s="85" t="s">
        <v>254</v>
      </c>
      <c r="H876" s="85" t="s">
        <v>254</v>
      </c>
      <c r="I876" s="85" t="s">
        <v>254</v>
      </c>
      <c r="J876" s="85" t="s">
        <v>254</v>
      </c>
      <c r="K876" s="85" t="s">
        <v>254</v>
      </c>
      <c r="L876" s="85" t="s">
        <v>254</v>
      </c>
      <c r="M876" s="85" t="s">
        <v>254</v>
      </c>
      <c r="N876" s="85" t="s">
        <v>254</v>
      </c>
      <c r="O876" s="85" t="s">
        <v>254</v>
      </c>
      <c r="P876" s="85" t="s">
        <v>254</v>
      </c>
      <c r="Q876" s="85" t="s">
        <v>254</v>
      </c>
      <c r="R876" s="85"/>
      <c r="S876" s="86"/>
    </row>
    <row r="877" spans="1:19" ht="15">
      <c r="A877" s="70" t="s">
        <v>254</v>
      </c>
      <c r="B877" s="70"/>
      <c r="C877" s="72" t="s">
        <v>896</v>
      </c>
      <c r="D877" s="72" t="s">
        <v>254</v>
      </c>
      <c r="E877" s="85" t="s">
        <v>254</v>
      </c>
      <c r="F877" s="85" t="s">
        <v>254</v>
      </c>
      <c r="G877" s="85" t="s">
        <v>254</v>
      </c>
      <c r="H877" s="85" t="s">
        <v>254</v>
      </c>
      <c r="I877" s="85" t="s">
        <v>254</v>
      </c>
      <c r="J877" s="85" t="s">
        <v>254</v>
      </c>
      <c r="K877" s="85" t="s">
        <v>254</v>
      </c>
      <c r="L877" s="85" t="s">
        <v>254</v>
      </c>
      <c r="M877" s="85" t="s">
        <v>254</v>
      </c>
      <c r="N877" s="85" t="s">
        <v>254</v>
      </c>
      <c r="O877" s="85" t="s">
        <v>254</v>
      </c>
      <c r="P877" s="85" t="s">
        <v>254</v>
      </c>
      <c r="Q877" s="85" t="s">
        <v>254</v>
      </c>
      <c r="R877" s="85"/>
      <c r="S877" s="86"/>
    </row>
    <row r="878" spans="1:19" ht="15">
      <c r="A878" s="70">
        <v>7</v>
      </c>
      <c r="B878" s="70"/>
      <c r="C878" s="72" t="s">
        <v>897</v>
      </c>
      <c r="D878" s="72" t="s">
        <v>898</v>
      </c>
      <c r="E878" s="85">
        <v>616001</v>
      </c>
      <c r="F878" s="85" t="s">
        <v>254</v>
      </c>
      <c r="G878" s="85">
        <v>614306.72725874442</v>
      </c>
      <c r="H878" s="85" t="s">
        <v>254</v>
      </c>
      <c r="I878" s="85">
        <v>1694.0331664901039</v>
      </c>
      <c r="J878" s="85">
        <v>0.23957476544903186</v>
      </c>
      <c r="K878" s="85" t="s">
        <v>254</v>
      </c>
      <c r="L878" s="85" t="s">
        <v>254</v>
      </c>
      <c r="M878" s="85">
        <v>0.23957476544903186</v>
      </c>
      <c r="N878" s="85" t="s">
        <v>254</v>
      </c>
      <c r="O878" s="85">
        <v>0</v>
      </c>
      <c r="P878" s="85">
        <v>0</v>
      </c>
      <c r="Q878" s="85">
        <v>0</v>
      </c>
      <c r="R878" s="85"/>
      <c r="S878" s="86"/>
    </row>
    <row r="879" spans="1:19" ht="15">
      <c r="A879" s="70">
        <v>8</v>
      </c>
      <c r="B879" s="70"/>
      <c r="C879" s="72" t="s">
        <v>899</v>
      </c>
      <c r="D879" s="72" t="s">
        <v>898</v>
      </c>
      <c r="E879" s="85">
        <v>1590341.9999999998</v>
      </c>
      <c r="F879" s="85" t="s">
        <v>254</v>
      </c>
      <c r="G879" s="85">
        <v>1585967.8624582202</v>
      </c>
      <c r="H879" s="85" t="s">
        <v>254</v>
      </c>
      <c r="I879" s="85">
        <v>4373.5190268558081</v>
      </c>
      <c r="J879" s="85">
        <v>0.61851492389418883</v>
      </c>
      <c r="K879" s="85" t="s">
        <v>254</v>
      </c>
      <c r="L879" s="85" t="s">
        <v>254</v>
      </c>
      <c r="M879" s="85">
        <v>0.61851492389418883</v>
      </c>
      <c r="N879" s="85" t="s">
        <v>254</v>
      </c>
      <c r="O879" s="85">
        <v>0</v>
      </c>
      <c r="P879" s="85">
        <v>0</v>
      </c>
      <c r="Q879" s="85">
        <v>0</v>
      </c>
      <c r="R879" s="85"/>
      <c r="S879" s="86"/>
    </row>
    <row r="880" spans="1:19" ht="15">
      <c r="A880" s="70">
        <v>9</v>
      </c>
      <c r="B880" s="70"/>
      <c r="C880" s="72" t="s">
        <v>900</v>
      </c>
      <c r="D880" s="72" t="s">
        <v>898</v>
      </c>
      <c r="E880" s="85">
        <v>0</v>
      </c>
      <c r="F880" s="85" t="s">
        <v>254</v>
      </c>
      <c r="G880" s="85">
        <v>0</v>
      </c>
      <c r="H880" s="85" t="s">
        <v>254</v>
      </c>
      <c r="I880" s="85">
        <v>0</v>
      </c>
      <c r="J880" s="85">
        <v>0</v>
      </c>
      <c r="K880" s="85" t="s">
        <v>254</v>
      </c>
      <c r="L880" s="85" t="s">
        <v>254</v>
      </c>
      <c r="M880" s="85">
        <v>0</v>
      </c>
      <c r="N880" s="85" t="s">
        <v>254</v>
      </c>
      <c r="O880" s="85">
        <v>0</v>
      </c>
      <c r="P880" s="85">
        <v>0</v>
      </c>
      <c r="Q880" s="85">
        <v>0</v>
      </c>
      <c r="R880" s="85"/>
      <c r="S880" s="86"/>
    </row>
    <row r="881" spans="1:19" ht="15">
      <c r="A881" s="70">
        <v>10</v>
      </c>
      <c r="B881" s="70"/>
      <c r="C881" s="72" t="s">
        <v>901</v>
      </c>
      <c r="D881" s="72" t="s">
        <v>898</v>
      </c>
      <c r="E881" s="85">
        <v>0</v>
      </c>
      <c r="F881" s="85" t="s">
        <v>254</v>
      </c>
      <c r="G881" s="85">
        <v>0</v>
      </c>
      <c r="H881" s="85" t="s">
        <v>254</v>
      </c>
      <c r="I881" s="85">
        <v>0</v>
      </c>
      <c r="J881" s="85">
        <v>0</v>
      </c>
      <c r="K881" s="85" t="s">
        <v>254</v>
      </c>
      <c r="L881" s="85" t="s">
        <v>254</v>
      </c>
      <c r="M881" s="85">
        <v>0</v>
      </c>
      <c r="N881" s="85" t="s">
        <v>254</v>
      </c>
      <c r="O881" s="85">
        <v>0</v>
      </c>
      <c r="P881" s="85">
        <v>0</v>
      </c>
      <c r="Q881" s="85">
        <v>0</v>
      </c>
      <c r="R881" s="85"/>
      <c r="S881" s="86"/>
    </row>
    <row r="882" spans="1:19" ht="15">
      <c r="A882" s="70">
        <v>11</v>
      </c>
      <c r="B882" s="70"/>
      <c r="C882" s="72" t="s">
        <v>902</v>
      </c>
      <c r="D882" s="72" t="s">
        <v>898</v>
      </c>
      <c r="E882" s="85">
        <v>0</v>
      </c>
      <c r="F882" s="85" t="s">
        <v>254</v>
      </c>
      <c r="G882" s="85">
        <v>0</v>
      </c>
      <c r="H882" s="85" t="s">
        <v>254</v>
      </c>
      <c r="I882" s="85">
        <v>0</v>
      </c>
      <c r="J882" s="85">
        <v>0</v>
      </c>
      <c r="K882" s="85" t="s">
        <v>254</v>
      </c>
      <c r="L882" s="85" t="s">
        <v>254</v>
      </c>
      <c r="M882" s="85">
        <v>0</v>
      </c>
      <c r="N882" s="85" t="s">
        <v>254</v>
      </c>
      <c r="O882" s="85">
        <v>0</v>
      </c>
      <c r="P882" s="85">
        <v>0</v>
      </c>
      <c r="Q882" s="85">
        <v>0</v>
      </c>
      <c r="R882" s="85"/>
      <c r="S882" s="86"/>
    </row>
    <row r="883" spans="1:19" ht="15">
      <c r="A883" s="70">
        <v>12</v>
      </c>
      <c r="B883" s="70"/>
      <c r="C883" s="72" t="s">
        <v>903</v>
      </c>
      <c r="D883" s="72" t="s">
        <v>898</v>
      </c>
      <c r="E883" s="85">
        <v>0</v>
      </c>
      <c r="F883" s="85" t="s">
        <v>254</v>
      </c>
      <c r="G883" s="85">
        <v>0</v>
      </c>
      <c r="H883" s="85" t="s">
        <v>254</v>
      </c>
      <c r="I883" s="85">
        <v>0</v>
      </c>
      <c r="J883" s="85">
        <v>0</v>
      </c>
      <c r="K883" s="85" t="s">
        <v>254</v>
      </c>
      <c r="L883" s="85" t="s">
        <v>254</v>
      </c>
      <c r="M883" s="85">
        <v>0</v>
      </c>
      <c r="N883" s="85" t="s">
        <v>254</v>
      </c>
      <c r="O883" s="85">
        <v>0</v>
      </c>
      <c r="P883" s="85">
        <v>0</v>
      </c>
      <c r="Q883" s="85">
        <v>0</v>
      </c>
      <c r="R883" s="85"/>
      <c r="S883" s="86"/>
    </row>
    <row r="884" spans="1:19" ht="15">
      <c r="A884" s="70">
        <v>13</v>
      </c>
      <c r="B884" s="70"/>
      <c r="C884" s="72" t="s">
        <v>904</v>
      </c>
      <c r="D884" s="72" t="s">
        <v>898</v>
      </c>
      <c r="E884" s="85">
        <v>0</v>
      </c>
      <c r="F884" s="85" t="s">
        <v>254</v>
      </c>
      <c r="G884" s="85">
        <v>0</v>
      </c>
      <c r="H884" s="85" t="s">
        <v>254</v>
      </c>
      <c r="I884" s="85">
        <v>0</v>
      </c>
      <c r="J884" s="85">
        <v>0</v>
      </c>
      <c r="K884" s="85" t="s">
        <v>254</v>
      </c>
      <c r="L884" s="85" t="s">
        <v>254</v>
      </c>
      <c r="M884" s="85">
        <v>0</v>
      </c>
      <c r="N884" s="85" t="s">
        <v>254</v>
      </c>
      <c r="O884" s="85">
        <v>0</v>
      </c>
      <c r="P884" s="85">
        <v>0</v>
      </c>
      <c r="Q884" s="85">
        <v>0</v>
      </c>
      <c r="R884" s="85"/>
      <c r="S884" s="86"/>
    </row>
    <row r="885" spans="1:19" ht="15">
      <c r="A885" s="70" t="s">
        <v>254</v>
      </c>
      <c r="B885" s="70"/>
      <c r="C885" s="72" t="s">
        <v>254</v>
      </c>
      <c r="D885" s="72" t="s">
        <v>254</v>
      </c>
      <c r="E885" s="85" t="s">
        <v>254</v>
      </c>
      <c r="F885" s="85" t="s">
        <v>254</v>
      </c>
      <c r="G885" s="85" t="s">
        <v>254</v>
      </c>
      <c r="H885" s="85" t="s">
        <v>254</v>
      </c>
      <c r="I885" s="85" t="s">
        <v>254</v>
      </c>
      <c r="J885" s="85" t="s">
        <v>254</v>
      </c>
      <c r="K885" s="85" t="s">
        <v>254</v>
      </c>
      <c r="L885" s="85" t="s">
        <v>254</v>
      </c>
      <c r="M885" s="85" t="s">
        <v>254</v>
      </c>
      <c r="N885" s="85" t="s">
        <v>254</v>
      </c>
      <c r="O885" s="85" t="s">
        <v>254</v>
      </c>
      <c r="P885" s="85" t="s">
        <v>254</v>
      </c>
      <c r="Q885" s="85" t="s">
        <v>254</v>
      </c>
      <c r="R885" s="85"/>
      <c r="S885" s="86"/>
    </row>
    <row r="886" spans="1:19" ht="15">
      <c r="A886" s="70">
        <v>14</v>
      </c>
      <c r="B886" s="70"/>
      <c r="C886" s="72" t="s">
        <v>905</v>
      </c>
      <c r="D886" s="72" t="s">
        <v>254</v>
      </c>
      <c r="E886" s="85">
        <v>2206342.9999999995</v>
      </c>
      <c r="F886" s="85" t="s">
        <v>254</v>
      </c>
      <c r="G886" s="85">
        <v>2200274.5897169644</v>
      </c>
      <c r="H886" s="85" t="s">
        <v>254</v>
      </c>
      <c r="I886" s="85">
        <v>6067.5521933459122</v>
      </c>
      <c r="J886" s="85">
        <v>0.85808968934322072</v>
      </c>
      <c r="K886" s="85" t="s">
        <v>254</v>
      </c>
      <c r="L886" s="85" t="s">
        <v>254</v>
      </c>
      <c r="M886" s="85">
        <v>0.85808968934322072</v>
      </c>
      <c r="N886" s="85" t="s">
        <v>254</v>
      </c>
      <c r="O886" s="85">
        <v>0</v>
      </c>
      <c r="P886" s="85">
        <v>0</v>
      </c>
      <c r="Q886" s="85">
        <v>0</v>
      </c>
      <c r="R886" s="85"/>
      <c r="S886" s="86"/>
    </row>
    <row r="887" spans="1:19" ht="15">
      <c r="A887" s="70" t="s">
        <v>254</v>
      </c>
      <c r="B887" s="70"/>
      <c r="C887" s="72" t="s">
        <v>254</v>
      </c>
      <c r="D887" s="72" t="s">
        <v>254</v>
      </c>
      <c r="E887" s="85" t="s">
        <v>254</v>
      </c>
      <c r="F887" s="85" t="s">
        <v>254</v>
      </c>
      <c r="G887" s="85" t="s">
        <v>254</v>
      </c>
      <c r="H887" s="85" t="s">
        <v>254</v>
      </c>
      <c r="I887" s="85" t="s">
        <v>254</v>
      </c>
      <c r="J887" s="85" t="s">
        <v>254</v>
      </c>
      <c r="K887" s="85" t="s">
        <v>254</v>
      </c>
      <c r="L887" s="85" t="s">
        <v>254</v>
      </c>
      <c r="M887" s="85" t="s">
        <v>254</v>
      </c>
      <c r="N887" s="85" t="s">
        <v>254</v>
      </c>
      <c r="O887" s="85" t="s">
        <v>254</v>
      </c>
      <c r="P887" s="85" t="s">
        <v>254</v>
      </c>
      <c r="Q887" s="85" t="s">
        <v>254</v>
      </c>
      <c r="R887" s="85"/>
      <c r="S887" s="86"/>
    </row>
    <row r="888" spans="1:19" ht="15">
      <c r="A888" s="70">
        <v>15</v>
      </c>
      <c r="B888" s="70"/>
      <c r="C888" s="72" t="s">
        <v>906</v>
      </c>
      <c r="D888" s="72" t="s">
        <v>254</v>
      </c>
      <c r="E888" s="85">
        <v>109640454</v>
      </c>
      <c r="F888" s="85" t="s">
        <v>254</v>
      </c>
      <c r="G888" s="85">
        <v>99083241.414200872</v>
      </c>
      <c r="H888" s="85" t="s">
        <v>254</v>
      </c>
      <c r="I888" s="85">
        <v>5144898.8047000123</v>
      </c>
      <c r="J888" s="85">
        <v>5412313.781099109</v>
      </c>
      <c r="K888" s="85" t="s">
        <v>254</v>
      </c>
      <c r="L888" s="85" t="s">
        <v>254</v>
      </c>
      <c r="M888" s="85">
        <v>2469.2397335303112</v>
      </c>
      <c r="N888" s="85" t="s">
        <v>254</v>
      </c>
      <c r="O888" s="85">
        <v>5409844.5413655788</v>
      </c>
      <c r="P888" s="85">
        <v>1727041.6583840498</v>
      </c>
      <c r="Q888" s="85">
        <v>3682802.8829815295</v>
      </c>
      <c r="R888" s="85"/>
      <c r="S888" s="86"/>
    </row>
    <row r="889" spans="1:19" ht="15">
      <c r="A889" s="70" t="s">
        <v>254</v>
      </c>
      <c r="B889" s="70"/>
      <c r="C889" s="72" t="s">
        <v>254</v>
      </c>
      <c r="D889" s="72" t="s">
        <v>254</v>
      </c>
      <c r="E889" s="85" t="s">
        <v>254</v>
      </c>
      <c r="F889" s="85" t="s">
        <v>254</v>
      </c>
      <c r="G889" s="85" t="s">
        <v>254</v>
      </c>
      <c r="H889" s="85" t="s">
        <v>254</v>
      </c>
      <c r="I889" s="85" t="s">
        <v>254</v>
      </c>
      <c r="J889" s="85" t="s">
        <v>254</v>
      </c>
      <c r="K889" s="85" t="s">
        <v>254</v>
      </c>
      <c r="L889" s="85" t="s">
        <v>254</v>
      </c>
      <c r="M889" s="85" t="s">
        <v>254</v>
      </c>
      <c r="N889" s="85" t="s">
        <v>254</v>
      </c>
      <c r="O889" s="85" t="s">
        <v>254</v>
      </c>
      <c r="P889" s="85" t="s">
        <v>254</v>
      </c>
      <c r="Q889" s="85" t="s">
        <v>254</v>
      </c>
      <c r="R889" s="85"/>
      <c r="S889" s="86"/>
    </row>
    <row r="890" spans="1:19" ht="15">
      <c r="A890" s="70" t="s">
        <v>254</v>
      </c>
      <c r="B890" s="70"/>
      <c r="C890" s="72" t="s">
        <v>907</v>
      </c>
      <c r="D890" s="72" t="s">
        <v>254</v>
      </c>
      <c r="E890" s="85" t="s">
        <v>254</v>
      </c>
      <c r="F890" s="85" t="s">
        <v>254</v>
      </c>
      <c r="G890" s="85" t="s">
        <v>254</v>
      </c>
      <c r="H890" s="85" t="s">
        <v>254</v>
      </c>
      <c r="I890" s="85" t="s">
        <v>254</v>
      </c>
      <c r="J890" s="85" t="s">
        <v>254</v>
      </c>
      <c r="K890" s="85" t="s">
        <v>254</v>
      </c>
      <c r="L890" s="85" t="s">
        <v>254</v>
      </c>
      <c r="M890" s="85" t="s">
        <v>254</v>
      </c>
      <c r="N890" s="85" t="s">
        <v>254</v>
      </c>
      <c r="O890" s="85" t="s">
        <v>254</v>
      </c>
      <c r="P890" s="85" t="s">
        <v>254</v>
      </c>
      <c r="Q890" s="85" t="s">
        <v>254</v>
      </c>
      <c r="R890" s="85"/>
      <c r="S890" s="86"/>
    </row>
    <row r="891" spans="1:19" ht="15">
      <c r="A891" s="70">
        <v>16</v>
      </c>
      <c r="B891" s="70"/>
      <c r="C891" s="72" t="s">
        <v>908</v>
      </c>
      <c r="D891" s="72" t="s">
        <v>909</v>
      </c>
      <c r="E891" s="85">
        <v>37411574</v>
      </c>
      <c r="F891" s="85" t="s">
        <v>254</v>
      </c>
      <c r="G891" s="85">
        <v>33809236.309138604</v>
      </c>
      <c r="H891" s="85" t="s">
        <v>254</v>
      </c>
      <c r="I891" s="85">
        <v>1755545.1052268178</v>
      </c>
      <c r="J891" s="85">
        <v>1846792.5856345792</v>
      </c>
      <c r="K891" s="85" t="s">
        <v>254</v>
      </c>
      <c r="L891" s="85" t="s">
        <v>254</v>
      </c>
      <c r="M891" s="85">
        <v>842.55529455131159</v>
      </c>
      <c r="N891" s="85" t="s">
        <v>254</v>
      </c>
      <c r="O891" s="85">
        <v>1845950.0303400278</v>
      </c>
      <c r="P891" s="85">
        <v>589302.0727889142</v>
      </c>
      <c r="Q891" s="85">
        <v>1256647.9575511136</v>
      </c>
      <c r="R891" s="85"/>
      <c r="S891" s="86"/>
    </row>
    <row r="892" spans="1:19" ht="15">
      <c r="A892" s="70">
        <v>17</v>
      </c>
      <c r="B892" s="70"/>
      <c r="C892" s="72" t="s">
        <v>910</v>
      </c>
      <c r="D892" s="72" t="s">
        <v>909</v>
      </c>
      <c r="E892" s="85">
        <v>0</v>
      </c>
      <c r="F892" s="85" t="s">
        <v>254</v>
      </c>
      <c r="G892" s="85">
        <v>0</v>
      </c>
      <c r="H892" s="85" t="s">
        <v>254</v>
      </c>
      <c r="I892" s="85">
        <v>0</v>
      </c>
      <c r="J892" s="85">
        <v>0</v>
      </c>
      <c r="K892" s="85" t="s">
        <v>254</v>
      </c>
      <c r="L892" s="85" t="s">
        <v>254</v>
      </c>
      <c r="M892" s="85">
        <v>0</v>
      </c>
      <c r="N892" s="85" t="s">
        <v>254</v>
      </c>
      <c r="O892" s="85">
        <v>0</v>
      </c>
      <c r="P892" s="85">
        <v>0</v>
      </c>
      <c r="Q892" s="85">
        <v>0</v>
      </c>
      <c r="R892" s="85"/>
      <c r="S892" s="86"/>
    </row>
    <row r="893" spans="1:19" ht="15">
      <c r="A893" s="70">
        <v>18</v>
      </c>
      <c r="B893" s="70"/>
      <c r="C893" s="72" t="s">
        <v>911</v>
      </c>
      <c r="D893" s="72" t="s">
        <v>909</v>
      </c>
      <c r="E893" s="85">
        <v>-3497982</v>
      </c>
      <c r="F893" s="85" t="s">
        <v>254</v>
      </c>
      <c r="G893" s="85">
        <v>-3161163.4421773665</v>
      </c>
      <c r="H893" s="85" t="s">
        <v>254</v>
      </c>
      <c r="I893" s="85">
        <v>-164143.45940835084</v>
      </c>
      <c r="J893" s="85">
        <v>-172675.09841428261</v>
      </c>
      <c r="K893" s="85" t="s">
        <v>254</v>
      </c>
      <c r="L893" s="85" t="s">
        <v>254</v>
      </c>
      <c r="M893" s="85">
        <v>-78.778916234456901</v>
      </c>
      <c r="N893" s="85" t="s">
        <v>254</v>
      </c>
      <c r="O893" s="85">
        <v>-172596.31949804813</v>
      </c>
      <c r="P893" s="85">
        <v>-55099.741143698244</v>
      </c>
      <c r="Q893" s="85">
        <v>-117496.5783543499</v>
      </c>
      <c r="R893" s="85"/>
      <c r="S893" s="86"/>
    </row>
    <row r="894" spans="1:19" ht="15">
      <c r="A894" s="70">
        <v>19</v>
      </c>
      <c r="B894" s="70"/>
      <c r="C894" s="72" t="s">
        <v>912</v>
      </c>
      <c r="D894" s="72" t="s">
        <v>909</v>
      </c>
      <c r="E894" s="85">
        <v>0</v>
      </c>
      <c r="F894" s="85" t="s">
        <v>254</v>
      </c>
      <c r="G894" s="85">
        <v>0</v>
      </c>
      <c r="H894" s="85" t="s">
        <v>254</v>
      </c>
      <c r="I894" s="85">
        <v>0</v>
      </c>
      <c r="J894" s="85">
        <v>0</v>
      </c>
      <c r="K894" s="85" t="s">
        <v>254</v>
      </c>
      <c r="L894" s="85" t="s">
        <v>254</v>
      </c>
      <c r="M894" s="85">
        <v>0</v>
      </c>
      <c r="N894" s="85" t="s">
        <v>254</v>
      </c>
      <c r="O894" s="85">
        <v>0</v>
      </c>
      <c r="P894" s="85">
        <v>0</v>
      </c>
      <c r="Q894" s="85">
        <v>0</v>
      </c>
      <c r="R894" s="85"/>
      <c r="S894" s="86"/>
    </row>
    <row r="895" spans="1:19" ht="15">
      <c r="A895" s="70">
        <v>20</v>
      </c>
      <c r="B895" s="70"/>
      <c r="C895" s="72" t="s">
        <v>913</v>
      </c>
      <c r="D895" s="72" t="s">
        <v>909</v>
      </c>
      <c r="E895" s="85">
        <v>0</v>
      </c>
      <c r="F895" s="85" t="s">
        <v>254</v>
      </c>
      <c r="G895" s="85">
        <v>0</v>
      </c>
      <c r="H895" s="85" t="s">
        <v>254</v>
      </c>
      <c r="I895" s="85">
        <v>0</v>
      </c>
      <c r="J895" s="85">
        <v>0</v>
      </c>
      <c r="K895" s="85" t="s">
        <v>254</v>
      </c>
      <c r="L895" s="85" t="s">
        <v>254</v>
      </c>
      <c r="M895" s="85">
        <v>0</v>
      </c>
      <c r="N895" s="85" t="s">
        <v>254</v>
      </c>
      <c r="O895" s="85">
        <v>0</v>
      </c>
      <c r="P895" s="85">
        <v>0</v>
      </c>
      <c r="Q895" s="85">
        <v>0</v>
      </c>
      <c r="R895" s="85"/>
      <c r="S895" s="86"/>
    </row>
    <row r="896" spans="1:19" ht="15">
      <c r="A896" s="70">
        <v>21</v>
      </c>
      <c r="B896" s="70"/>
      <c r="C896" s="72" t="s">
        <v>914</v>
      </c>
      <c r="D896" s="72" t="s">
        <v>909</v>
      </c>
      <c r="E896" s="85">
        <v>619974</v>
      </c>
      <c r="F896" s="85" t="s">
        <v>254</v>
      </c>
      <c r="G896" s="85">
        <v>560277.08087133395</v>
      </c>
      <c r="H896" s="85" t="s">
        <v>254</v>
      </c>
      <c r="I896" s="85">
        <v>29092.395873744608</v>
      </c>
      <c r="J896" s="85">
        <v>30604.523254921391</v>
      </c>
      <c r="K896" s="85" t="s">
        <v>254</v>
      </c>
      <c r="L896" s="85" t="s">
        <v>254</v>
      </c>
      <c r="M896" s="85">
        <v>13.962587518615358</v>
      </c>
      <c r="N896" s="85" t="s">
        <v>254</v>
      </c>
      <c r="O896" s="85">
        <v>30590.560667402777</v>
      </c>
      <c r="P896" s="85">
        <v>9765.7469123120645</v>
      </c>
      <c r="Q896" s="85">
        <v>20824.813755090712</v>
      </c>
      <c r="R896" s="85"/>
      <c r="S896" s="86"/>
    </row>
    <row r="897" spans="1:19" ht="15">
      <c r="A897" s="70">
        <v>22</v>
      </c>
      <c r="B897" s="70"/>
      <c r="C897" s="72" t="s">
        <v>915</v>
      </c>
      <c r="D897" s="72" t="s">
        <v>909</v>
      </c>
      <c r="E897" s="85">
        <v>43576961</v>
      </c>
      <c r="F897" s="85" t="s">
        <v>254</v>
      </c>
      <c r="G897" s="85">
        <v>39380961.947313868</v>
      </c>
      <c r="H897" s="85" t="s">
        <v>254</v>
      </c>
      <c r="I897" s="85">
        <v>2044857.043015884</v>
      </c>
      <c r="J897" s="85">
        <v>2151142.0096702487</v>
      </c>
      <c r="K897" s="85" t="s">
        <v>254</v>
      </c>
      <c r="L897" s="85" t="s">
        <v>254</v>
      </c>
      <c r="M897" s="85">
        <v>981.40749734309543</v>
      </c>
      <c r="N897" s="85" t="s">
        <v>254</v>
      </c>
      <c r="O897" s="85">
        <v>2150160.6021729056</v>
      </c>
      <c r="P897" s="85">
        <v>686418.41808477975</v>
      </c>
      <c r="Q897" s="85">
        <v>1463742.1840881256</v>
      </c>
      <c r="R897" s="85"/>
      <c r="S897" s="86"/>
    </row>
    <row r="898" spans="1:19" ht="15">
      <c r="A898" s="70">
        <v>23</v>
      </c>
      <c r="B898" s="70"/>
      <c r="C898" s="72" t="s">
        <v>916</v>
      </c>
      <c r="D898" s="72" t="s">
        <v>909</v>
      </c>
      <c r="E898" s="85">
        <v>0</v>
      </c>
      <c r="F898" s="85" t="s">
        <v>254</v>
      </c>
      <c r="G898" s="85">
        <v>0</v>
      </c>
      <c r="H898" s="85" t="s">
        <v>254</v>
      </c>
      <c r="I898" s="85">
        <v>0</v>
      </c>
      <c r="J898" s="85">
        <v>0</v>
      </c>
      <c r="K898" s="85" t="s">
        <v>254</v>
      </c>
      <c r="L898" s="85" t="s">
        <v>254</v>
      </c>
      <c r="M898" s="85">
        <v>0</v>
      </c>
      <c r="N898" s="85" t="s">
        <v>254</v>
      </c>
      <c r="O898" s="85">
        <v>0</v>
      </c>
      <c r="P898" s="85">
        <v>0</v>
      </c>
      <c r="Q898" s="85">
        <v>0</v>
      </c>
      <c r="R898" s="85"/>
      <c r="S898" s="86"/>
    </row>
    <row r="899" spans="1:19" ht="15">
      <c r="A899" s="70">
        <v>24</v>
      </c>
      <c r="B899" s="70"/>
      <c r="C899" s="72" t="s">
        <v>917</v>
      </c>
      <c r="D899" s="72" t="s">
        <v>909</v>
      </c>
      <c r="E899" s="85">
        <v>0</v>
      </c>
      <c r="F899" s="85" t="s">
        <v>254</v>
      </c>
      <c r="G899" s="85">
        <v>0</v>
      </c>
      <c r="H899" s="85" t="s">
        <v>254</v>
      </c>
      <c r="I899" s="85">
        <v>0</v>
      </c>
      <c r="J899" s="85">
        <v>0</v>
      </c>
      <c r="K899" s="85" t="s">
        <v>254</v>
      </c>
      <c r="L899" s="85" t="s">
        <v>254</v>
      </c>
      <c r="M899" s="85">
        <v>0</v>
      </c>
      <c r="N899" s="85" t="s">
        <v>254</v>
      </c>
      <c r="O899" s="85">
        <v>0</v>
      </c>
      <c r="P899" s="85">
        <v>0</v>
      </c>
      <c r="Q899" s="85">
        <v>0</v>
      </c>
      <c r="R899" s="85"/>
      <c r="S899" s="86"/>
    </row>
    <row r="900" spans="1:19" ht="15">
      <c r="A900" s="70">
        <v>25</v>
      </c>
      <c r="B900" s="70"/>
      <c r="C900" s="72" t="s">
        <v>918</v>
      </c>
      <c r="D900" s="72" t="s">
        <v>909</v>
      </c>
      <c r="E900" s="85">
        <v>0</v>
      </c>
      <c r="F900" s="85" t="s">
        <v>254</v>
      </c>
      <c r="G900" s="85">
        <v>0</v>
      </c>
      <c r="H900" s="85" t="s">
        <v>254</v>
      </c>
      <c r="I900" s="85">
        <v>0</v>
      </c>
      <c r="J900" s="85">
        <v>0</v>
      </c>
      <c r="K900" s="85" t="s">
        <v>254</v>
      </c>
      <c r="L900" s="85" t="s">
        <v>254</v>
      </c>
      <c r="M900" s="85">
        <v>0</v>
      </c>
      <c r="N900" s="85" t="s">
        <v>254</v>
      </c>
      <c r="O900" s="85">
        <v>0</v>
      </c>
      <c r="P900" s="85">
        <v>0</v>
      </c>
      <c r="Q900" s="85">
        <v>0</v>
      </c>
      <c r="R900" s="85"/>
      <c r="S900" s="86"/>
    </row>
    <row r="901" spans="1:19" ht="15">
      <c r="A901" s="70">
        <v>26</v>
      </c>
      <c r="B901" s="70"/>
      <c r="C901" s="72" t="s">
        <v>919</v>
      </c>
      <c r="D901" s="72" t="s">
        <v>909</v>
      </c>
      <c r="E901" s="85">
        <v>0</v>
      </c>
      <c r="F901" s="85" t="s">
        <v>254</v>
      </c>
      <c r="G901" s="85">
        <v>0</v>
      </c>
      <c r="H901" s="85" t="s">
        <v>254</v>
      </c>
      <c r="I901" s="85">
        <v>0</v>
      </c>
      <c r="J901" s="85">
        <v>0</v>
      </c>
      <c r="K901" s="85" t="s">
        <v>254</v>
      </c>
      <c r="L901" s="85" t="s">
        <v>254</v>
      </c>
      <c r="M901" s="85">
        <v>0</v>
      </c>
      <c r="N901" s="85" t="s">
        <v>254</v>
      </c>
      <c r="O901" s="85">
        <v>0</v>
      </c>
      <c r="P901" s="85">
        <v>0</v>
      </c>
      <c r="Q901" s="85">
        <v>0</v>
      </c>
      <c r="R901" s="85"/>
      <c r="S901" s="86"/>
    </row>
    <row r="902" spans="1:19" ht="15">
      <c r="A902" s="70">
        <v>27</v>
      </c>
      <c r="B902" s="70"/>
      <c r="C902" s="72" t="s">
        <v>920</v>
      </c>
      <c r="D902" s="72" t="s">
        <v>909</v>
      </c>
      <c r="E902" s="85">
        <v>656236</v>
      </c>
      <c r="F902" s="85" t="s">
        <v>254</v>
      </c>
      <c r="G902" s="85">
        <v>593047.4349612738</v>
      </c>
      <c r="H902" s="85" t="s">
        <v>254</v>
      </c>
      <c r="I902" s="85">
        <v>30793.997004072215</v>
      </c>
      <c r="J902" s="85">
        <v>32394.568034654025</v>
      </c>
      <c r="K902" s="85" t="s">
        <v>254</v>
      </c>
      <c r="L902" s="85" t="s">
        <v>254</v>
      </c>
      <c r="M902" s="85">
        <v>14.779252973295764</v>
      </c>
      <c r="N902" s="85" t="s">
        <v>254</v>
      </c>
      <c r="O902" s="85">
        <v>32379.788781680731</v>
      </c>
      <c r="P902" s="85">
        <v>10336.941050347305</v>
      </c>
      <c r="Q902" s="85">
        <v>22042.847731333426</v>
      </c>
      <c r="R902" s="85"/>
      <c r="S902" s="86"/>
    </row>
    <row r="903" spans="1:19" ht="15">
      <c r="A903" s="70" t="s">
        <v>254</v>
      </c>
      <c r="B903" s="70"/>
      <c r="C903" s="72" t="s">
        <v>254</v>
      </c>
      <c r="D903" s="72" t="s">
        <v>254</v>
      </c>
      <c r="E903" s="85" t="s">
        <v>254</v>
      </c>
      <c r="F903" s="85" t="s">
        <v>254</v>
      </c>
      <c r="G903" s="85" t="s">
        <v>254</v>
      </c>
      <c r="H903" s="85" t="s">
        <v>254</v>
      </c>
      <c r="I903" s="85" t="s">
        <v>254</v>
      </c>
      <c r="J903" s="85" t="s">
        <v>254</v>
      </c>
      <c r="K903" s="85" t="s">
        <v>254</v>
      </c>
      <c r="L903" s="85" t="s">
        <v>254</v>
      </c>
      <c r="M903" s="85" t="s">
        <v>254</v>
      </c>
      <c r="N903" s="85" t="s">
        <v>254</v>
      </c>
      <c r="O903" s="85" t="s">
        <v>254</v>
      </c>
      <c r="P903" s="85" t="s">
        <v>254</v>
      </c>
      <c r="Q903" s="85" t="s">
        <v>254</v>
      </c>
      <c r="R903" s="85"/>
      <c r="S903" s="86"/>
    </row>
    <row r="904" spans="1:19" ht="15">
      <c r="A904" s="70">
        <v>28</v>
      </c>
      <c r="B904" s="70"/>
      <c r="C904" s="72" t="s">
        <v>921</v>
      </c>
      <c r="D904" s="72" t="s">
        <v>254</v>
      </c>
      <c r="E904" s="85">
        <v>78766763</v>
      </c>
      <c r="F904" s="85" t="s">
        <v>254</v>
      </c>
      <c r="G904" s="85">
        <v>71182359.330107704</v>
      </c>
      <c r="H904" s="85" t="s">
        <v>254</v>
      </c>
      <c r="I904" s="85">
        <v>3696145.0817121677</v>
      </c>
      <c r="J904" s="85">
        <v>3888258.5881801206</v>
      </c>
      <c r="K904" s="85" t="s">
        <v>254</v>
      </c>
      <c r="L904" s="85" t="s">
        <v>254</v>
      </c>
      <c r="M904" s="85">
        <v>1773.9257161518613</v>
      </c>
      <c r="N904" s="85" t="s">
        <v>254</v>
      </c>
      <c r="O904" s="85">
        <v>3886484.6624639686</v>
      </c>
      <c r="P904" s="85">
        <v>1240723.4376926553</v>
      </c>
      <c r="Q904" s="85">
        <v>2645761.2247713134</v>
      </c>
      <c r="R904" s="85"/>
      <c r="S904" s="86"/>
    </row>
    <row r="905" spans="1:19" ht="15">
      <c r="A905" s="70" t="s">
        <v>254</v>
      </c>
      <c r="B905" s="70"/>
      <c r="C905" s="72" t="s">
        <v>254</v>
      </c>
      <c r="D905" s="72" t="s">
        <v>254</v>
      </c>
      <c r="E905" s="85" t="s">
        <v>254</v>
      </c>
      <c r="F905" s="85" t="s">
        <v>254</v>
      </c>
      <c r="G905" s="85" t="s">
        <v>254</v>
      </c>
      <c r="H905" s="85" t="s">
        <v>254</v>
      </c>
      <c r="I905" s="85" t="s">
        <v>254</v>
      </c>
      <c r="J905" s="85" t="s">
        <v>254</v>
      </c>
      <c r="K905" s="85" t="s">
        <v>254</v>
      </c>
      <c r="L905" s="85" t="s">
        <v>254</v>
      </c>
      <c r="M905" s="85" t="s">
        <v>254</v>
      </c>
      <c r="N905" s="85" t="s">
        <v>254</v>
      </c>
      <c r="O905" s="85" t="s">
        <v>254</v>
      </c>
      <c r="P905" s="85" t="s">
        <v>254</v>
      </c>
      <c r="Q905" s="85" t="s">
        <v>254</v>
      </c>
      <c r="R905" s="85"/>
      <c r="S905" s="86"/>
    </row>
    <row r="906" spans="1:19" ht="15">
      <c r="A906" s="70">
        <v>29</v>
      </c>
      <c r="B906" s="70"/>
      <c r="C906" s="72" t="s">
        <v>922</v>
      </c>
      <c r="D906" s="72" t="s">
        <v>254</v>
      </c>
      <c r="E906" s="85">
        <v>188407217</v>
      </c>
      <c r="F906" s="85" t="s">
        <v>254</v>
      </c>
      <c r="G906" s="85">
        <v>170265600.74430859</v>
      </c>
      <c r="H906" s="85" t="s">
        <v>254</v>
      </c>
      <c r="I906" s="85">
        <v>8841043.886412181</v>
      </c>
      <c r="J906" s="85">
        <v>9300572.36927923</v>
      </c>
      <c r="K906" s="85" t="s">
        <v>254</v>
      </c>
      <c r="L906" s="85" t="s">
        <v>254</v>
      </c>
      <c r="M906" s="85">
        <v>4243.1654496821729</v>
      </c>
      <c r="N906" s="85" t="s">
        <v>254</v>
      </c>
      <c r="O906" s="85">
        <v>9296329.2038295474</v>
      </c>
      <c r="P906" s="85">
        <v>2967765.096076705</v>
      </c>
      <c r="Q906" s="85">
        <v>6328564.1077528428</v>
      </c>
      <c r="R906" s="85"/>
      <c r="S906" s="86"/>
    </row>
    <row r="907" spans="1:19" ht="15">
      <c r="A907" s="70" t="s">
        <v>254</v>
      </c>
      <c r="B907" s="70"/>
      <c r="C907" s="72" t="s">
        <v>254</v>
      </c>
      <c r="D907" s="72" t="s">
        <v>254</v>
      </c>
      <c r="E907" s="85" t="s">
        <v>254</v>
      </c>
      <c r="F907" s="85" t="s">
        <v>254</v>
      </c>
      <c r="G907" s="85" t="s">
        <v>254</v>
      </c>
      <c r="H907" s="85" t="s">
        <v>254</v>
      </c>
      <c r="I907" s="85" t="s">
        <v>254</v>
      </c>
      <c r="J907" s="85" t="s">
        <v>254</v>
      </c>
      <c r="K907" s="85" t="s">
        <v>254</v>
      </c>
      <c r="L907" s="85" t="s">
        <v>254</v>
      </c>
      <c r="M907" s="85" t="s">
        <v>254</v>
      </c>
      <c r="N907" s="85" t="s">
        <v>254</v>
      </c>
      <c r="O907" s="85" t="s">
        <v>254</v>
      </c>
      <c r="P907" s="85" t="s">
        <v>254</v>
      </c>
      <c r="Q907" s="85" t="s">
        <v>254</v>
      </c>
      <c r="R907" s="85"/>
      <c r="S907" s="86"/>
    </row>
    <row r="908" spans="1:19" ht="15">
      <c r="A908" s="70" t="s">
        <v>254</v>
      </c>
      <c r="B908" s="70"/>
      <c r="C908" s="72" t="s">
        <v>923</v>
      </c>
      <c r="D908" s="72" t="s">
        <v>254</v>
      </c>
      <c r="E908" s="85" t="s">
        <v>254</v>
      </c>
      <c r="F908" s="85" t="s">
        <v>254</v>
      </c>
      <c r="G908" s="85" t="s">
        <v>254</v>
      </c>
      <c r="H908" s="85" t="s">
        <v>254</v>
      </c>
      <c r="I908" s="85" t="s">
        <v>254</v>
      </c>
      <c r="J908" s="85" t="s">
        <v>254</v>
      </c>
      <c r="K908" s="85" t="s">
        <v>254</v>
      </c>
      <c r="L908" s="85" t="s">
        <v>254</v>
      </c>
      <c r="M908" s="85" t="s">
        <v>254</v>
      </c>
      <c r="N908" s="85" t="s">
        <v>254</v>
      </c>
      <c r="O908" s="85" t="s">
        <v>254</v>
      </c>
      <c r="P908" s="85" t="s">
        <v>254</v>
      </c>
      <c r="Q908" s="85" t="s">
        <v>254</v>
      </c>
      <c r="R908" s="85"/>
      <c r="S908" s="86"/>
    </row>
    <row r="909" spans="1:19" ht="15">
      <c r="A909" s="70" t="s">
        <v>254</v>
      </c>
      <c r="B909" s="70"/>
      <c r="C909" s="72" t="s">
        <v>254</v>
      </c>
      <c r="D909" s="72" t="s">
        <v>254</v>
      </c>
      <c r="E909" s="85" t="s">
        <v>254</v>
      </c>
      <c r="F909" s="85" t="s">
        <v>254</v>
      </c>
      <c r="G909" s="85" t="s">
        <v>254</v>
      </c>
      <c r="H909" s="85" t="s">
        <v>254</v>
      </c>
      <c r="I909" s="85" t="s">
        <v>254</v>
      </c>
      <c r="J909" s="85" t="s">
        <v>254</v>
      </c>
      <c r="K909" s="85" t="s">
        <v>254</v>
      </c>
      <c r="L909" s="85" t="s">
        <v>254</v>
      </c>
      <c r="M909" s="85" t="s">
        <v>254</v>
      </c>
      <c r="N909" s="85" t="s">
        <v>254</v>
      </c>
      <c r="O909" s="85" t="s">
        <v>254</v>
      </c>
      <c r="P909" s="85" t="s">
        <v>254</v>
      </c>
      <c r="Q909" s="85" t="s">
        <v>254</v>
      </c>
      <c r="R909" s="85"/>
      <c r="S909" s="86"/>
    </row>
    <row r="910" spans="1:19" ht="15">
      <c r="A910" s="70" t="s">
        <v>254</v>
      </c>
      <c r="B910" s="70"/>
      <c r="C910" s="72" t="s">
        <v>924</v>
      </c>
      <c r="D910" s="72" t="s">
        <v>254</v>
      </c>
      <c r="E910" s="85" t="s">
        <v>254</v>
      </c>
      <c r="F910" s="85" t="s">
        <v>254</v>
      </c>
      <c r="G910" s="85" t="s">
        <v>254</v>
      </c>
      <c r="H910" s="85" t="s">
        <v>254</v>
      </c>
      <c r="I910" s="85" t="s">
        <v>254</v>
      </c>
      <c r="J910" s="85" t="s">
        <v>254</v>
      </c>
      <c r="K910" s="85" t="s">
        <v>254</v>
      </c>
      <c r="L910" s="85" t="s">
        <v>254</v>
      </c>
      <c r="M910" s="85" t="s">
        <v>254</v>
      </c>
      <c r="N910" s="85" t="s">
        <v>254</v>
      </c>
      <c r="O910" s="85" t="s">
        <v>254</v>
      </c>
      <c r="P910" s="85" t="s">
        <v>254</v>
      </c>
      <c r="Q910" s="85" t="s">
        <v>254</v>
      </c>
      <c r="R910" s="85"/>
      <c r="S910" s="86"/>
    </row>
    <row r="911" spans="1:19" ht="15">
      <c r="A911" s="70" t="s">
        <v>254</v>
      </c>
      <c r="B911" s="70"/>
      <c r="C911" s="72" t="s">
        <v>925</v>
      </c>
      <c r="D911" s="72" t="s">
        <v>254</v>
      </c>
      <c r="E911" s="85" t="s">
        <v>254</v>
      </c>
      <c r="F911" s="85" t="s">
        <v>254</v>
      </c>
      <c r="G911" s="85" t="s">
        <v>254</v>
      </c>
      <c r="H911" s="85" t="s">
        <v>254</v>
      </c>
      <c r="I911" s="85" t="s">
        <v>254</v>
      </c>
      <c r="J911" s="85" t="s">
        <v>254</v>
      </c>
      <c r="K911" s="85" t="s">
        <v>254</v>
      </c>
      <c r="L911" s="85" t="s">
        <v>254</v>
      </c>
      <c r="M911" s="85" t="s">
        <v>254</v>
      </c>
      <c r="N911" s="85" t="s">
        <v>254</v>
      </c>
      <c r="O911" s="85" t="s">
        <v>254</v>
      </c>
      <c r="P911" s="85" t="s">
        <v>254</v>
      </c>
      <c r="Q911" s="85" t="s">
        <v>254</v>
      </c>
      <c r="R911" s="85"/>
      <c r="S911" s="86"/>
    </row>
    <row r="912" spans="1:19" ht="15">
      <c r="A912" s="70" t="s">
        <v>254</v>
      </c>
      <c r="B912" s="70"/>
      <c r="C912" s="72" t="s">
        <v>926</v>
      </c>
      <c r="D912" s="72" t="s">
        <v>254</v>
      </c>
      <c r="E912" s="85" t="s">
        <v>254</v>
      </c>
      <c r="F912" s="85" t="s">
        <v>254</v>
      </c>
      <c r="G912" s="85" t="s">
        <v>254</v>
      </c>
      <c r="H912" s="85" t="s">
        <v>254</v>
      </c>
      <c r="I912" s="85" t="s">
        <v>254</v>
      </c>
      <c r="J912" s="85" t="s">
        <v>254</v>
      </c>
      <c r="K912" s="85" t="s">
        <v>254</v>
      </c>
      <c r="L912" s="85" t="s">
        <v>254</v>
      </c>
      <c r="M912" s="85" t="s">
        <v>254</v>
      </c>
      <c r="N912" s="85" t="s">
        <v>254</v>
      </c>
      <c r="O912" s="85" t="s">
        <v>254</v>
      </c>
      <c r="P912" s="85" t="s">
        <v>254</v>
      </c>
      <c r="Q912" s="85" t="s">
        <v>254</v>
      </c>
      <c r="R912" s="85"/>
      <c r="S912" s="86"/>
    </row>
    <row r="913" spans="1:19" ht="15">
      <c r="A913" s="70">
        <v>1</v>
      </c>
      <c r="B913" s="70"/>
      <c r="C913" s="72" t="s">
        <v>927</v>
      </c>
      <c r="D913" s="72" t="s">
        <v>307</v>
      </c>
      <c r="E913" s="85">
        <v>3574426</v>
      </c>
      <c r="F913" s="85" t="s">
        <v>254</v>
      </c>
      <c r="G913" s="85">
        <v>3130401</v>
      </c>
      <c r="H913" s="85" t="s">
        <v>254</v>
      </c>
      <c r="I913" s="85">
        <v>144667</v>
      </c>
      <c r="J913" s="85">
        <v>299358</v>
      </c>
      <c r="K913" s="85" t="s">
        <v>254</v>
      </c>
      <c r="L913" s="85" t="s">
        <v>254</v>
      </c>
      <c r="M913" s="85">
        <v>11</v>
      </c>
      <c r="N913" s="85" t="s">
        <v>254</v>
      </c>
      <c r="O913" s="85">
        <v>299347</v>
      </c>
      <c r="P913" s="85">
        <v>92905</v>
      </c>
      <c r="Q913" s="85">
        <v>206442</v>
      </c>
      <c r="R913" s="85"/>
      <c r="S913" s="86"/>
    </row>
    <row r="914" spans="1:19" ht="15">
      <c r="A914" s="70">
        <v>2</v>
      </c>
      <c r="B914" s="70"/>
      <c r="C914" s="72" t="s">
        <v>928</v>
      </c>
      <c r="D914" s="72" t="s">
        <v>315</v>
      </c>
      <c r="E914" s="85">
        <v>444014</v>
      </c>
      <c r="F914" s="85" t="s">
        <v>254</v>
      </c>
      <c r="G914" s="85">
        <v>0</v>
      </c>
      <c r="H914" s="85" t="s">
        <v>254</v>
      </c>
      <c r="I914" s="85">
        <v>144667</v>
      </c>
      <c r="J914" s="85">
        <v>299347</v>
      </c>
      <c r="K914" s="85" t="s">
        <v>254</v>
      </c>
      <c r="L914" s="85" t="s">
        <v>254</v>
      </c>
      <c r="M914" s="85">
        <v>0</v>
      </c>
      <c r="N914" s="85" t="s">
        <v>254</v>
      </c>
      <c r="O914" s="85">
        <v>299347</v>
      </c>
      <c r="P914" s="85">
        <v>92905</v>
      </c>
      <c r="Q914" s="85">
        <v>206442</v>
      </c>
      <c r="R914" s="85"/>
      <c r="S914" s="86"/>
    </row>
    <row r="915" spans="1:19" ht="15">
      <c r="A915" s="70">
        <v>3</v>
      </c>
      <c r="B915" s="70"/>
      <c r="C915" s="72" t="s">
        <v>929</v>
      </c>
      <c r="D915" s="72" t="s">
        <v>401</v>
      </c>
      <c r="E915" s="85">
        <v>144667</v>
      </c>
      <c r="F915" s="85" t="s">
        <v>254</v>
      </c>
      <c r="G915" s="85">
        <v>0</v>
      </c>
      <c r="H915" s="85" t="s">
        <v>254</v>
      </c>
      <c r="I915" s="85">
        <v>144667</v>
      </c>
      <c r="J915" s="85">
        <v>0</v>
      </c>
      <c r="K915" s="85" t="s">
        <v>254</v>
      </c>
      <c r="L915" s="85" t="s">
        <v>254</v>
      </c>
      <c r="M915" s="85">
        <v>0</v>
      </c>
      <c r="N915" s="85" t="s">
        <v>254</v>
      </c>
      <c r="O915" s="85">
        <v>0</v>
      </c>
      <c r="P915" s="85">
        <v>0</v>
      </c>
      <c r="Q915" s="85">
        <v>0</v>
      </c>
      <c r="R915" s="85"/>
      <c r="S915" s="86"/>
    </row>
    <row r="916" spans="1:19" ht="15">
      <c r="A916" s="70">
        <v>4</v>
      </c>
      <c r="B916" s="70"/>
      <c r="C916" s="72" t="s">
        <v>930</v>
      </c>
      <c r="D916" s="72" t="s">
        <v>379</v>
      </c>
      <c r="E916" s="85">
        <v>3429748</v>
      </c>
      <c r="F916" s="85" t="s">
        <v>254</v>
      </c>
      <c r="G916" s="85">
        <v>3130401</v>
      </c>
      <c r="H916" s="85" t="s">
        <v>254</v>
      </c>
      <c r="I916" s="85">
        <v>0</v>
      </c>
      <c r="J916" s="85">
        <v>299347</v>
      </c>
      <c r="K916" s="85" t="s">
        <v>254</v>
      </c>
      <c r="L916" s="85" t="s">
        <v>254</v>
      </c>
      <c r="M916" s="85">
        <v>0</v>
      </c>
      <c r="N916" s="85" t="s">
        <v>254</v>
      </c>
      <c r="O916" s="85">
        <v>299347</v>
      </c>
      <c r="P916" s="85">
        <v>92905</v>
      </c>
      <c r="Q916" s="85">
        <v>206442</v>
      </c>
      <c r="R916" s="85"/>
      <c r="S916" s="86"/>
    </row>
    <row r="917" spans="1:19" ht="15">
      <c r="A917" s="70">
        <v>5</v>
      </c>
      <c r="B917" s="70"/>
      <c r="C917" s="72" t="s">
        <v>931</v>
      </c>
      <c r="D917" s="72" t="s">
        <v>317</v>
      </c>
      <c r="E917" s="85">
        <v>299347</v>
      </c>
      <c r="F917" s="85" t="s">
        <v>254</v>
      </c>
      <c r="G917" s="85">
        <v>0</v>
      </c>
      <c r="H917" s="85" t="s">
        <v>254</v>
      </c>
      <c r="I917" s="85">
        <v>0</v>
      </c>
      <c r="J917" s="85">
        <v>299347</v>
      </c>
      <c r="K917" s="85" t="s">
        <v>254</v>
      </c>
      <c r="L917" s="85" t="s">
        <v>254</v>
      </c>
      <c r="M917" s="85">
        <v>0</v>
      </c>
      <c r="N917" s="85" t="s">
        <v>254</v>
      </c>
      <c r="O917" s="85">
        <v>299347</v>
      </c>
      <c r="P917" s="85">
        <v>92905</v>
      </c>
      <c r="Q917" s="85">
        <v>206442</v>
      </c>
      <c r="R917" s="85"/>
      <c r="S917" s="86"/>
    </row>
    <row r="918" spans="1:19" ht="15">
      <c r="A918" s="70">
        <v>6</v>
      </c>
      <c r="B918" s="70"/>
      <c r="C918" s="72" t="s">
        <v>932</v>
      </c>
      <c r="D918" s="72" t="s">
        <v>933</v>
      </c>
      <c r="E918" s="85">
        <v>3429759</v>
      </c>
      <c r="F918" s="85" t="s">
        <v>254</v>
      </c>
      <c r="G918" s="85">
        <v>3130401</v>
      </c>
      <c r="H918" s="85" t="s">
        <v>254</v>
      </c>
      <c r="I918" s="85">
        <v>0</v>
      </c>
      <c r="J918" s="85">
        <v>299358</v>
      </c>
      <c r="K918" s="85" t="s">
        <v>254</v>
      </c>
      <c r="L918" s="85" t="s">
        <v>254</v>
      </c>
      <c r="M918" s="85">
        <v>11</v>
      </c>
      <c r="N918" s="85" t="s">
        <v>254</v>
      </c>
      <c r="O918" s="85">
        <v>299347</v>
      </c>
      <c r="P918" s="85">
        <v>92905</v>
      </c>
      <c r="Q918" s="85">
        <v>206442</v>
      </c>
      <c r="R918" s="85"/>
      <c r="S918" s="86"/>
    </row>
    <row r="919" spans="1:19" ht="15">
      <c r="A919" s="70" t="s">
        <v>254</v>
      </c>
      <c r="B919" s="70"/>
      <c r="C919" s="72" t="s">
        <v>934</v>
      </c>
      <c r="D919" s="72" t="s">
        <v>254</v>
      </c>
      <c r="E919" s="85" t="s">
        <v>254</v>
      </c>
      <c r="F919" s="85" t="s">
        <v>254</v>
      </c>
      <c r="G919" s="85" t="s">
        <v>254</v>
      </c>
      <c r="H919" s="85" t="s">
        <v>254</v>
      </c>
      <c r="I919" s="85" t="s">
        <v>254</v>
      </c>
      <c r="J919" s="85" t="s">
        <v>254</v>
      </c>
      <c r="K919" s="85" t="s">
        <v>254</v>
      </c>
      <c r="L919" s="85" t="s">
        <v>254</v>
      </c>
      <c r="M919" s="85" t="s">
        <v>254</v>
      </c>
      <c r="N919" s="85" t="s">
        <v>254</v>
      </c>
      <c r="O919" s="85" t="s">
        <v>254</v>
      </c>
      <c r="P919" s="85" t="s">
        <v>254</v>
      </c>
      <c r="Q919" s="85" t="s">
        <v>254</v>
      </c>
      <c r="R919" s="85"/>
      <c r="S919" s="86"/>
    </row>
    <row r="920" spans="1:19" ht="15">
      <c r="A920" s="70">
        <v>7</v>
      </c>
      <c r="B920" s="70"/>
      <c r="C920" s="72" t="s">
        <v>935</v>
      </c>
      <c r="D920" s="72" t="s">
        <v>575</v>
      </c>
      <c r="E920" s="85">
        <v>3574426</v>
      </c>
      <c r="F920" s="85" t="s">
        <v>254</v>
      </c>
      <c r="G920" s="85">
        <v>3130401</v>
      </c>
      <c r="H920" s="85" t="s">
        <v>254</v>
      </c>
      <c r="I920" s="85">
        <v>144667</v>
      </c>
      <c r="J920" s="85">
        <v>299358</v>
      </c>
      <c r="K920" s="85" t="s">
        <v>254</v>
      </c>
      <c r="L920" s="85" t="s">
        <v>254</v>
      </c>
      <c r="M920" s="85">
        <v>11</v>
      </c>
      <c r="N920" s="85" t="s">
        <v>254</v>
      </c>
      <c r="O920" s="85">
        <v>299347</v>
      </c>
      <c r="P920" s="85">
        <v>92905</v>
      </c>
      <c r="Q920" s="85">
        <v>206442</v>
      </c>
      <c r="R920" s="85"/>
      <c r="S920" s="86"/>
    </row>
    <row r="921" spans="1:19" ht="15">
      <c r="A921" s="70">
        <v>8</v>
      </c>
      <c r="B921" s="70"/>
      <c r="C921" s="72" t="s">
        <v>936</v>
      </c>
      <c r="D921" s="72" t="s">
        <v>355</v>
      </c>
      <c r="E921" s="85">
        <v>144667</v>
      </c>
      <c r="F921" s="85" t="s">
        <v>254</v>
      </c>
      <c r="G921" s="85">
        <v>0</v>
      </c>
      <c r="H921" s="85" t="s">
        <v>254</v>
      </c>
      <c r="I921" s="85">
        <v>144667</v>
      </c>
      <c r="J921" s="85">
        <v>0</v>
      </c>
      <c r="K921" s="85" t="s">
        <v>254</v>
      </c>
      <c r="L921" s="85" t="s">
        <v>254</v>
      </c>
      <c r="M921" s="85">
        <v>0</v>
      </c>
      <c r="N921" s="85" t="s">
        <v>254</v>
      </c>
      <c r="O921" s="85">
        <v>0</v>
      </c>
      <c r="P921" s="85">
        <v>0</v>
      </c>
      <c r="Q921" s="85">
        <v>0</v>
      </c>
      <c r="R921" s="85"/>
      <c r="S921" s="86"/>
    </row>
    <row r="922" spans="1:19" ht="15">
      <c r="A922" s="70">
        <v>9</v>
      </c>
      <c r="B922" s="70"/>
      <c r="C922" s="72" t="s">
        <v>937</v>
      </c>
      <c r="D922" s="72" t="s">
        <v>344</v>
      </c>
      <c r="E922" s="85">
        <v>3275079</v>
      </c>
      <c r="F922" s="85" t="s">
        <v>254</v>
      </c>
      <c r="G922" s="85">
        <v>3130401</v>
      </c>
      <c r="H922" s="85" t="s">
        <v>254</v>
      </c>
      <c r="I922" s="85">
        <v>144667</v>
      </c>
      <c r="J922" s="85">
        <v>11</v>
      </c>
      <c r="K922" s="85" t="s">
        <v>254</v>
      </c>
      <c r="L922" s="85" t="s">
        <v>254</v>
      </c>
      <c r="M922" s="85">
        <v>11</v>
      </c>
      <c r="N922" s="85" t="s">
        <v>254</v>
      </c>
      <c r="O922" s="85">
        <v>0</v>
      </c>
      <c r="P922" s="85">
        <v>0</v>
      </c>
      <c r="Q922" s="85">
        <v>0</v>
      </c>
      <c r="R922" s="85"/>
      <c r="S922" s="86"/>
    </row>
    <row r="923" spans="1:19" ht="15">
      <c r="A923" s="70">
        <v>10</v>
      </c>
      <c r="B923" s="70"/>
      <c r="C923" s="72" t="s">
        <v>938</v>
      </c>
      <c r="D923" s="72" t="s">
        <v>939</v>
      </c>
      <c r="E923" s="85">
        <v>444014</v>
      </c>
      <c r="F923" s="85" t="s">
        <v>254</v>
      </c>
      <c r="G923" s="85">
        <v>0</v>
      </c>
      <c r="H923" s="85" t="s">
        <v>254</v>
      </c>
      <c r="I923" s="85">
        <v>144667</v>
      </c>
      <c r="J923" s="85">
        <v>299347</v>
      </c>
      <c r="K923" s="85" t="s">
        <v>254</v>
      </c>
      <c r="L923" s="85" t="s">
        <v>254</v>
      </c>
      <c r="M923" s="85">
        <v>0</v>
      </c>
      <c r="N923" s="85" t="s">
        <v>254</v>
      </c>
      <c r="O923" s="85">
        <v>299347</v>
      </c>
      <c r="P923" s="85">
        <v>92905</v>
      </c>
      <c r="Q923" s="85">
        <v>206442</v>
      </c>
      <c r="R923" s="85"/>
      <c r="S923" s="86"/>
    </row>
    <row r="924" spans="1:19" ht="15">
      <c r="A924" s="70">
        <v>11</v>
      </c>
      <c r="B924" s="70"/>
      <c r="C924" s="72" t="s">
        <v>940</v>
      </c>
      <c r="D924" s="72" t="s">
        <v>358</v>
      </c>
      <c r="E924" s="85">
        <v>3130412</v>
      </c>
      <c r="F924" s="85" t="s">
        <v>254</v>
      </c>
      <c r="G924" s="85">
        <v>3130401</v>
      </c>
      <c r="H924" s="85" t="s">
        <v>254</v>
      </c>
      <c r="I924" s="85">
        <v>0</v>
      </c>
      <c r="J924" s="85">
        <v>11</v>
      </c>
      <c r="K924" s="85" t="s">
        <v>254</v>
      </c>
      <c r="L924" s="85" t="s">
        <v>254</v>
      </c>
      <c r="M924" s="85">
        <v>11</v>
      </c>
      <c r="N924" s="85" t="s">
        <v>254</v>
      </c>
      <c r="O924" s="85">
        <v>0</v>
      </c>
      <c r="P924" s="85">
        <v>0</v>
      </c>
      <c r="Q924" s="85">
        <v>0</v>
      </c>
      <c r="R924" s="85"/>
      <c r="S924" s="86"/>
    </row>
    <row r="925" spans="1:19" ht="15">
      <c r="A925" s="70" t="s">
        <v>254</v>
      </c>
      <c r="B925" s="70"/>
      <c r="C925" s="72" t="s">
        <v>254</v>
      </c>
      <c r="D925" s="72" t="s">
        <v>254</v>
      </c>
      <c r="E925" s="85" t="s">
        <v>254</v>
      </c>
      <c r="F925" s="85" t="s">
        <v>254</v>
      </c>
      <c r="G925" s="85" t="s">
        <v>254</v>
      </c>
      <c r="H925" s="85" t="s">
        <v>254</v>
      </c>
      <c r="I925" s="85" t="s">
        <v>254</v>
      </c>
      <c r="J925" s="85" t="s">
        <v>254</v>
      </c>
      <c r="K925" s="85" t="s">
        <v>254</v>
      </c>
      <c r="L925" s="85" t="s">
        <v>254</v>
      </c>
      <c r="M925" s="85" t="s">
        <v>254</v>
      </c>
      <c r="N925" s="85" t="s">
        <v>254</v>
      </c>
      <c r="O925" s="85" t="s">
        <v>254</v>
      </c>
      <c r="P925" s="85" t="s">
        <v>254</v>
      </c>
      <c r="Q925" s="85" t="s">
        <v>254</v>
      </c>
      <c r="R925" s="85"/>
      <c r="S925" s="86"/>
    </row>
    <row r="926" spans="1:19" ht="15">
      <c r="A926" s="70" t="s">
        <v>254</v>
      </c>
      <c r="B926" s="70"/>
      <c r="C926" s="72" t="s">
        <v>941</v>
      </c>
      <c r="D926" s="72" t="s">
        <v>254</v>
      </c>
      <c r="E926" s="85" t="s">
        <v>254</v>
      </c>
      <c r="F926" s="85" t="s">
        <v>254</v>
      </c>
      <c r="G926" s="85" t="s">
        <v>254</v>
      </c>
      <c r="H926" s="85" t="s">
        <v>254</v>
      </c>
      <c r="I926" s="85" t="s">
        <v>254</v>
      </c>
      <c r="J926" s="85" t="s">
        <v>254</v>
      </c>
      <c r="K926" s="85" t="s">
        <v>254</v>
      </c>
      <c r="L926" s="85" t="s">
        <v>254</v>
      </c>
      <c r="M926" s="85" t="s">
        <v>254</v>
      </c>
      <c r="N926" s="85" t="s">
        <v>254</v>
      </c>
      <c r="O926" s="85" t="s">
        <v>254</v>
      </c>
      <c r="P926" s="85" t="s">
        <v>254</v>
      </c>
      <c r="Q926" s="85" t="s">
        <v>254</v>
      </c>
      <c r="R926" s="85"/>
      <c r="S926" s="86"/>
    </row>
    <row r="927" spans="1:19" ht="15">
      <c r="A927" s="70">
        <v>12</v>
      </c>
      <c r="B927" s="70"/>
      <c r="C927" s="72" t="s">
        <v>942</v>
      </c>
      <c r="D927" s="72" t="s">
        <v>364</v>
      </c>
      <c r="E927" s="85">
        <v>8379661.4015384596</v>
      </c>
      <c r="F927" s="85" t="s">
        <v>254</v>
      </c>
      <c r="G927" s="85">
        <v>8370504.4015384596</v>
      </c>
      <c r="H927" s="85" t="s">
        <v>254</v>
      </c>
      <c r="I927" s="85">
        <v>0</v>
      </c>
      <c r="J927" s="85">
        <v>9157</v>
      </c>
      <c r="K927" s="85" t="s">
        <v>254</v>
      </c>
      <c r="L927" s="85" t="s">
        <v>254</v>
      </c>
      <c r="M927" s="85">
        <v>0</v>
      </c>
      <c r="N927" s="85" t="s">
        <v>254</v>
      </c>
      <c r="O927" s="85">
        <v>9157</v>
      </c>
      <c r="P927" s="85">
        <v>9157</v>
      </c>
      <c r="Q927" s="85">
        <v>0</v>
      </c>
      <c r="R927" s="85"/>
      <c r="S927" s="86"/>
    </row>
    <row r="928" spans="1:19" ht="15">
      <c r="A928" s="70">
        <v>13</v>
      </c>
      <c r="B928" s="70"/>
      <c r="C928" s="72" t="s">
        <v>943</v>
      </c>
      <c r="D928" s="72" t="s">
        <v>366</v>
      </c>
      <c r="E928" s="85">
        <v>13503119.586923074</v>
      </c>
      <c r="F928" s="85" t="s">
        <v>254</v>
      </c>
      <c r="G928" s="85">
        <v>13150928.586923074</v>
      </c>
      <c r="H928" s="85" t="s">
        <v>254</v>
      </c>
      <c r="I928" s="85">
        <v>0</v>
      </c>
      <c r="J928" s="85">
        <v>352191</v>
      </c>
      <c r="K928" s="85" t="s">
        <v>254</v>
      </c>
      <c r="L928" s="85" t="s">
        <v>254</v>
      </c>
      <c r="M928" s="85">
        <v>0</v>
      </c>
      <c r="N928" s="85" t="s">
        <v>254</v>
      </c>
      <c r="O928" s="85">
        <v>352191</v>
      </c>
      <c r="P928" s="85">
        <v>352191</v>
      </c>
      <c r="Q928" s="85">
        <v>0</v>
      </c>
      <c r="R928" s="85"/>
      <c r="S928" s="86"/>
    </row>
    <row r="929" spans="1:19" ht="15">
      <c r="A929" s="70">
        <v>14</v>
      </c>
      <c r="B929" s="70"/>
      <c r="C929" s="72" t="s">
        <v>944</v>
      </c>
      <c r="D929" s="72" t="s">
        <v>368</v>
      </c>
      <c r="E929" s="85">
        <v>191808017.08615381</v>
      </c>
      <c r="F929" s="85" t="s">
        <v>254</v>
      </c>
      <c r="G929" s="85">
        <v>188128728.08615381</v>
      </c>
      <c r="H929" s="85" t="s">
        <v>254</v>
      </c>
      <c r="I929" s="85">
        <v>0</v>
      </c>
      <c r="J929" s="85">
        <v>3679289</v>
      </c>
      <c r="K929" s="85" t="s">
        <v>254</v>
      </c>
      <c r="L929" s="85" t="s">
        <v>254</v>
      </c>
      <c r="M929" s="85">
        <v>0</v>
      </c>
      <c r="N929" s="85" t="s">
        <v>254</v>
      </c>
      <c r="O929" s="85">
        <v>3679289</v>
      </c>
      <c r="P929" s="85">
        <v>3679289</v>
      </c>
      <c r="Q929" s="85">
        <v>0</v>
      </c>
      <c r="R929" s="85"/>
      <c r="S929" s="86"/>
    </row>
    <row r="930" spans="1:19" ht="15">
      <c r="A930" s="70">
        <v>15</v>
      </c>
      <c r="B930" s="70"/>
      <c r="C930" s="72" t="s">
        <v>945</v>
      </c>
      <c r="D930" s="72" t="s">
        <v>370</v>
      </c>
      <c r="E930" s="85">
        <v>358366452.37769139</v>
      </c>
      <c r="F930" s="85" t="s">
        <v>254</v>
      </c>
      <c r="G930" s="85">
        <v>358366452.37769139</v>
      </c>
      <c r="H930" s="85" t="s">
        <v>254</v>
      </c>
      <c r="I930" s="85">
        <v>0</v>
      </c>
      <c r="J930" s="85">
        <v>0</v>
      </c>
      <c r="K930" s="85" t="s">
        <v>254</v>
      </c>
      <c r="L930" s="85" t="s">
        <v>254</v>
      </c>
      <c r="M930" s="85">
        <v>0</v>
      </c>
      <c r="N930" s="85" t="s">
        <v>254</v>
      </c>
      <c r="O930" s="85">
        <v>0</v>
      </c>
      <c r="P930" s="85">
        <v>0</v>
      </c>
      <c r="Q930" s="85">
        <v>0</v>
      </c>
      <c r="R930" s="85"/>
      <c r="S930" s="86"/>
    </row>
    <row r="931" spans="1:19" ht="15">
      <c r="A931" s="70">
        <v>16</v>
      </c>
      <c r="B931" s="70"/>
      <c r="C931" s="72" t="s">
        <v>946</v>
      </c>
      <c r="D931" s="72" t="s">
        <v>372</v>
      </c>
      <c r="E931" s="85">
        <v>358797886.37922984</v>
      </c>
      <c r="F931" s="85" t="s">
        <v>254</v>
      </c>
      <c r="G931" s="85">
        <v>358797886.37922984</v>
      </c>
      <c r="H931" s="85" t="s">
        <v>254</v>
      </c>
      <c r="I931" s="85">
        <v>0</v>
      </c>
      <c r="J931" s="85">
        <v>0</v>
      </c>
      <c r="K931" s="85" t="s">
        <v>254</v>
      </c>
      <c r="L931" s="85" t="s">
        <v>254</v>
      </c>
      <c r="M931" s="85">
        <v>0</v>
      </c>
      <c r="N931" s="85" t="s">
        <v>254</v>
      </c>
      <c r="O931" s="85">
        <v>0</v>
      </c>
      <c r="P931" s="85">
        <v>0</v>
      </c>
      <c r="Q931" s="85">
        <v>0</v>
      </c>
      <c r="R931" s="85"/>
      <c r="S931" s="86"/>
    </row>
    <row r="932" spans="1:19" ht="15">
      <c r="A932" s="70">
        <v>17</v>
      </c>
      <c r="B932" s="70"/>
      <c r="C932" s="72" t="s">
        <v>947</v>
      </c>
      <c r="D932" s="72" t="s">
        <v>374</v>
      </c>
      <c r="E932" s="85">
        <v>2381227.6699999906</v>
      </c>
      <c r="F932" s="85" t="s">
        <v>254</v>
      </c>
      <c r="G932" s="85">
        <v>2381227.6699999906</v>
      </c>
      <c r="H932" s="85" t="s">
        <v>254</v>
      </c>
      <c r="I932" s="85">
        <v>0</v>
      </c>
      <c r="J932" s="85">
        <v>0</v>
      </c>
      <c r="K932" s="85" t="s">
        <v>254</v>
      </c>
      <c r="L932" s="85" t="s">
        <v>254</v>
      </c>
      <c r="M932" s="85">
        <v>0</v>
      </c>
      <c r="N932" s="85" t="s">
        <v>254</v>
      </c>
      <c r="O932" s="85">
        <v>0</v>
      </c>
      <c r="P932" s="85">
        <v>0</v>
      </c>
      <c r="Q932" s="85">
        <v>0</v>
      </c>
      <c r="R932" s="85"/>
      <c r="S932" s="86"/>
    </row>
    <row r="933" spans="1:19" ht="15">
      <c r="A933" s="70">
        <v>18</v>
      </c>
      <c r="B933" s="70"/>
      <c r="C933" s="72" t="s">
        <v>948</v>
      </c>
      <c r="D933" s="72" t="s">
        <v>376</v>
      </c>
      <c r="E933" s="85">
        <v>200004753.54538465</v>
      </c>
      <c r="F933" s="85" t="s">
        <v>254</v>
      </c>
      <c r="G933" s="85">
        <v>200004753.54538465</v>
      </c>
      <c r="H933" s="85" t="s">
        <v>254</v>
      </c>
      <c r="I933" s="85">
        <v>0</v>
      </c>
      <c r="J933" s="85">
        <v>0</v>
      </c>
      <c r="K933" s="85" t="s">
        <v>254</v>
      </c>
      <c r="L933" s="85" t="s">
        <v>254</v>
      </c>
      <c r="M933" s="85">
        <v>0</v>
      </c>
      <c r="N933" s="85" t="s">
        <v>254</v>
      </c>
      <c r="O933" s="85">
        <v>0</v>
      </c>
      <c r="P933" s="85">
        <v>0</v>
      </c>
      <c r="Q933" s="85">
        <v>0</v>
      </c>
      <c r="R933" s="85"/>
      <c r="S933" s="86"/>
    </row>
    <row r="934" spans="1:19" ht="15">
      <c r="A934" s="70">
        <v>19</v>
      </c>
      <c r="B934" s="70"/>
      <c r="C934" s="72" t="s">
        <v>949</v>
      </c>
      <c r="D934" s="72" t="s">
        <v>381</v>
      </c>
      <c r="E934" s="85">
        <v>309061044.88846046</v>
      </c>
      <c r="F934" s="85" t="s">
        <v>254</v>
      </c>
      <c r="G934" s="85">
        <v>309061044.88846046</v>
      </c>
      <c r="H934" s="85" t="s">
        <v>254</v>
      </c>
      <c r="I934" s="85">
        <v>0</v>
      </c>
      <c r="J934" s="85">
        <v>0</v>
      </c>
      <c r="K934" s="85" t="s">
        <v>254</v>
      </c>
      <c r="L934" s="85" t="s">
        <v>254</v>
      </c>
      <c r="M934" s="85">
        <v>0</v>
      </c>
      <c r="N934" s="85" t="s">
        <v>254</v>
      </c>
      <c r="O934" s="85">
        <v>0</v>
      </c>
      <c r="P934" s="85">
        <v>0</v>
      </c>
      <c r="Q934" s="85">
        <v>0</v>
      </c>
      <c r="R934" s="85"/>
      <c r="S934" s="86"/>
    </row>
    <row r="935" spans="1:19" ht="15">
      <c r="A935" s="70">
        <v>20</v>
      </c>
      <c r="B935" s="70"/>
      <c r="C935" s="72" t="s">
        <v>950</v>
      </c>
      <c r="D935" s="72" t="s">
        <v>392</v>
      </c>
      <c r="E935" s="85">
        <v>904896.86000000022</v>
      </c>
      <c r="F935" s="85" t="s">
        <v>254</v>
      </c>
      <c r="G935" s="85">
        <v>904896.86000000022</v>
      </c>
      <c r="H935" s="85" t="s">
        <v>254</v>
      </c>
      <c r="I935" s="85">
        <v>0</v>
      </c>
      <c r="J935" s="85">
        <v>0</v>
      </c>
      <c r="K935" s="85" t="s">
        <v>254</v>
      </c>
      <c r="L935" s="85" t="s">
        <v>254</v>
      </c>
      <c r="M935" s="85">
        <v>0</v>
      </c>
      <c r="N935" s="85" t="s">
        <v>254</v>
      </c>
      <c r="O935" s="85">
        <v>0</v>
      </c>
      <c r="P935" s="85">
        <v>0</v>
      </c>
      <c r="Q935" s="85">
        <v>0</v>
      </c>
      <c r="R935" s="85"/>
      <c r="S935" s="86"/>
    </row>
    <row r="936" spans="1:19" ht="15">
      <c r="A936" s="70">
        <v>21</v>
      </c>
      <c r="B936" s="70"/>
      <c r="C936" s="72" t="s">
        <v>951</v>
      </c>
      <c r="D936" s="72" t="s">
        <v>395</v>
      </c>
      <c r="E936" s="85">
        <v>457132.68999999977</v>
      </c>
      <c r="F936" s="85" t="s">
        <v>254</v>
      </c>
      <c r="G936" s="85">
        <v>0</v>
      </c>
      <c r="H936" s="85" t="s">
        <v>254</v>
      </c>
      <c r="I936" s="85">
        <v>457132.68999999977</v>
      </c>
      <c r="J936" s="85">
        <v>0</v>
      </c>
      <c r="K936" s="85" t="s">
        <v>254</v>
      </c>
      <c r="L936" s="85" t="s">
        <v>254</v>
      </c>
      <c r="M936" s="85">
        <v>0</v>
      </c>
      <c r="N936" s="85" t="s">
        <v>254</v>
      </c>
      <c r="O936" s="85">
        <v>0</v>
      </c>
      <c r="P936" s="85">
        <v>0</v>
      </c>
      <c r="Q936" s="85">
        <v>0</v>
      </c>
      <c r="R936" s="85"/>
      <c r="S936" s="86"/>
    </row>
    <row r="937" spans="1:19" ht="15">
      <c r="A937" s="70">
        <v>22</v>
      </c>
      <c r="B937" s="70"/>
      <c r="C937" s="72" t="s">
        <v>952</v>
      </c>
      <c r="D937" s="72" t="s">
        <v>396</v>
      </c>
      <c r="E937" s="85">
        <v>493671.5199999999</v>
      </c>
      <c r="F937" s="85" t="s">
        <v>254</v>
      </c>
      <c r="G937" s="85">
        <v>0</v>
      </c>
      <c r="H937" s="85" t="s">
        <v>254</v>
      </c>
      <c r="I937" s="85">
        <v>493671.5199999999</v>
      </c>
      <c r="J937" s="85">
        <v>0</v>
      </c>
      <c r="K937" s="85" t="s">
        <v>254</v>
      </c>
      <c r="L937" s="85" t="s">
        <v>254</v>
      </c>
      <c r="M937" s="85">
        <v>0</v>
      </c>
      <c r="N937" s="85" t="s">
        <v>254</v>
      </c>
      <c r="O937" s="85">
        <v>0</v>
      </c>
      <c r="P937" s="85">
        <v>0</v>
      </c>
      <c r="Q937" s="85">
        <v>0</v>
      </c>
      <c r="R937" s="85"/>
      <c r="S937" s="86"/>
    </row>
    <row r="938" spans="1:19" ht="15">
      <c r="A938" s="70">
        <v>23</v>
      </c>
      <c r="B938" s="70"/>
      <c r="C938" s="72" t="s">
        <v>953</v>
      </c>
      <c r="D938" s="72" t="s">
        <v>397</v>
      </c>
      <c r="E938" s="85">
        <v>8233190.0100000016</v>
      </c>
      <c r="F938" s="85" t="s">
        <v>254</v>
      </c>
      <c r="G938" s="85">
        <v>0</v>
      </c>
      <c r="H938" s="85" t="s">
        <v>254</v>
      </c>
      <c r="I938" s="85">
        <v>8233190.0100000016</v>
      </c>
      <c r="J938" s="85">
        <v>0</v>
      </c>
      <c r="K938" s="85" t="s">
        <v>254</v>
      </c>
      <c r="L938" s="85" t="s">
        <v>254</v>
      </c>
      <c r="M938" s="85">
        <v>0</v>
      </c>
      <c r="N938" s="85" t="s">
        <v>254</v>
      </c>
      <c r="O938" s="85">
        <v>0</v>
      </c>
      <c r="P938" s="85">
        <v>0</v>
      </c>
      <c r="Q938" s="85">
        <v>0</v>
      </c>
      <c r="R938" s="85"/>
      <c r="S938" s="86"/>
    </row>
    <row r="939" spans="1:19" ht="15">
      <c r="A939" s="70">
        <v>24</v>
      </c>
      <c r="B939" s="70"/>
      <c r="C939" s="72" t="s">
        <v>2453</v>
      </c>
      <c r="D939" s="72" t="s">
        <v>2426</v>
      </c>
      <c r="E939" s="85">
        <v>437970.09</v>
      </c>
      <c r="F939" s="85" t="s">
        <v>254</v>
      </c>
      <c r="G939" s="85">
        <v>113882.25</v>
      </c>
      <c r="H939" s="85" t="s">
        <v>254</v>
      </c>
      <c r="I939" s="85">
        <v>324087.84000000003</v>
      </c>
      <c r="J939" s="85">
        <v>0</v>
      </c>
      <c r="K939" s="85" t="s">
        <v>254</v>
      </c>
      <c r="L939" s="85" t="s">
        <v>254</v>
      </c>
      <c r="M939" s="85">
        <v>0</v>
      </c>
      <c r="N939" s="85" t="s">
        <v>254</v>
      </c>
      <c r="O939" s="85">
        <v>0</v>
      </c>
      <c r="P939" s="85">
        <v>0</v>
      </c>
      <c r="Q939" s="85">
        <v>0</v>
      </c>
      <c r="R939" s="85"/>
      <c r="S939" s="86"/>
    </row>
    <row r="940" spans="1:19" ht="15">
      <c r="A940" s="70">
        <v>25</v>
      </c>
      <c r="B940" s="70"/>
      <c r="C940" s="72" t="s">
        <v>954</v>
      </c>
      <c r="D940" s="72" t="s">
        <v>398</v>
      </c>
      <c r="E940" s="85">
        <v>28832784.46153846</v>
      </c>
      <c r="F940" s="85" t="s">
        <v>254</v>
      </c>
      <c r="G940" s="85">
        <v>0</v>
      </c>
      <c r="H940" s="85" t="s">
        <v>254</v>
      </c>
      <c r="I940" s="85">
        <v>28832784.46153846</v>
      </c>
      <c r="J940" s="85">
        <v>0</v>
      </c>
      <c r="K940" s="85" t="s">
        <v>254</v>
      </c>
      <c r="L940" s="85" t="s">
        <v>254</v>
      </c>
      <c r="M940" s="85">
        <v>0</v>
      </c>
      <c r="N940" s="85" t="s">
        <v>254</v>
      </c>
      <c r="O940" s="85">
        <v>0</v>
      </c>
      <c r="P940" s="85">
        <v>0</v>
      </c>
      <c r="Q940" s="85">
        <v>0</v>
      </c>
      <c r="R940" s="85"/>
      <c r="S940" s="86"/>
    </row>
    <row r="941" spans="1:19" ht="15">
      <c r="A941" s="70">
        <v>26</v>
      </c>
      <c r="B941" s="70"/>
      <c r="C941" s="72" t="s">
        <v>955</v>
      </c>
      <c r="D941" s="72" t="s">
        <v>399</v>
      </c>
      <c r="E941" s="85">
        <v>27415416.07230768</v>
      </c>
      <c r="F941" s="85" t="s">
        <v>254</v>
      </c>
      <c r="G941" s="85">
        <v>0</v>
      </c>
      <c r="H941" s="85" t="s">
        <v>254</v>
      </c>
      <c r="I941" s="85">
        <v>27415416.07230768</v>
      </c>
      <c r="J941" s="85">
        <v>0</v>
      </c>
      <c r="K941" s="85" t="s">
        <v>254</v>
      </c>
      <c r="L941" s="85" t="s">
        <v>254</v>
      </c>
      <c r="M941" s="85">
        <v>0</v>
      </c>
      <c r="N941" s="85" t="s">
        <v>254</v>
      </c>
      <c r="O941" s="85">
        <v>0</v>
      </c>
      <c r="P941" s="85">
        <v>0</v>
      </c>
      <c r="Q941" s="85">
        <v>0</v>
      </c>
      <c r="R941" s="85"/>
      <c r="S941" s="86"/>
    </row>
    <row r="942" spans="1:19" ht="15">
      <c r="A942" s="70">
        <v>27</v>
      </c>
      <c r="B942" s="70"/>
      <c r="C942" s="72" t="s">
        <v>956</v>
      </c>
      <c r="D942" s="72" t="s">
        <v>400</v>
      </c>
      <c r="E942" s="85">
        <v>5574293.0184615385</v>
      </c>
      <c r="F942" s="85" t="s">
        <v>254</v>
      </c>
      <c r="G942" s="85">
        <v>0</v>
      </c>
      <c r="H942" s="85" t="s">
        <v>254</v>
      </c>
      <c r="I942" s="85">
        <v>5574293.0184615385</v>
      </c>
      <c r="J942" s="85">
        <v>0</v>
      </c>
      <c r="K942" s="85" t="s">
        <v>254</v>
      </c>
      <c r="L942" s="85" t="s">
        <v>254</v>
      </c>
      <c r="M942" s="85">
        <v>0</v>
      </c>
      <c r="N942" s="85" t="s">
        <v>254</v>
      </c>
      <c r="O942" s="85">
        <v>0</v>
      </c>
      <c r="P942" s="85">
        <v>0</v>
      </c>
      <c r="Q942" s="85">
        <v>0</v>
      </c>
      <c r="R942" s="85"/>
      <c r="S942" s="86"/>
    </row>
    <row r="943" spans="1:19" ht="15">
      <c r="A943" s="70">
        <v>28</v>
      </c>
      <c r="B943" s="70"/>
      <c r="C943" s="72" t="s">
        <v>957</v>
      </c>
      <c r="D943" s="72" t="s">
        <v>402</v>
      </c>
      <c r="E943" s="85">
        <v>12723148.669999996</v>
      </c>
      <c r="F943" s="85" t="s">
        <v>254</v>
      </c>
      <c r="G943" s="85">
        <v>0</v>
      </c>
      <c r="H943" s="85" t="s">
        <v>254</v>
      </c>
      <c r="I943" s="85">
        <v>12723148.669999996</v>
      </c>
      <c r="J943" s="85">
        <v>0</v>
      </c>
      <c r="K943" s="85" t="s">
        <v>254</v>
      </c>
      <c r="L943" s="85" t="s">
        <v>254</v>
      </c>
      <c r="M943" s="85">
        <v>0</v>
      </c>
      <c r="N943" s="85" t="s">
        <v>254</v>
      </c>
      <c r="O943" s="85">
        <v>0</v>
      </c>
      <c r="P943" s="85">
        <v>0</v>
      </c>
      <c r="Q943" s="85">
        <v>0</v>
      </c>
      <c r="R943" s="85"/>
    </row>
    <row r="944" spans="1:19" ht="15">
      <c r="A944" s="70">
        <v>29</v>
      </c>
      <c r="B944" s="70"/>
      <c r="C944" s="72" t="s">
        <v>958</v>
      </c>
      <c r="D944" s="72" t="s">
        <v>409</v>
      </c>
      <c r="E944" s="85">
        <v>5040.2300000000005</v>
      </c>
      <c r="F944" s="85" t="s">
        <v>254</v>
      </c>
      <c r="G944" s="85">
        <v>0</v>
      </c>
      <c r="H944" s="85" t="s">
        <v>254</v>
      </c>
      <c r="I944" s="85">
        <v>0</v>
      </c>
      <c r="J944" s="85">
        <v>5040.2300000000005</v>
      </c>
      <c r="K944" s="85" t="s">
        <v>254</v>
      </c>
      <c r="L944" s="85" t="s">
        <v>254</v>
      </c>
      <c r="M944" s="85">
        <v>5040.2300000000005</v>
      </c>
      <c r="N944" s="85" t="s">
        <v>254</v>
      </c>
      <c r="O944" s="85">
        <v>0</v>
      </c>
      <c r="P944" s="85">
        <v>0</v>
      </c>
      <c r="Q944" s="85">
        <v>0</v>
      </c>
      <c r="R944" s="85"/>
    </row>
    <row r="945" spans="1:18" ht="15">
      <c r="A945" s="70">
        <v>30</v>
      </c>
      <c r="B945" s="70"/>
      <c r="C945" s="72" t="s">
        <v>959</v>
      </c>
      <c r="D945" s="72" t="s">
        <v>410</v>
      </c>
      <c r="E945" s="85">
        <v>2575.8900000000003</v>
      </c>
      <c r="F945" s="85" t="s">
        <v>254</v>
      </c>
      <c r="G945" s="85">
        <v>0</v>
      </c>
      <c r="H945" s="85" t="s">
        <v>254</v>
      </c>
      <c r="I945" s="85">
        <v>0</v>
      </c>
      <c r="J945" s="85">
        <v>2575.8900000000003</v>
      </c>
      <c r="K945" s="85" t="s">
        <v>254</v>
      </c>
      <c r="L945" s="85" t="s">
        <v>254</v>
      </c>
      <c r="M945" s="85">
        <v>2575.8900000000003</v>
      </c>
      <c r="N945" s="85" t="s">
        <v>254</v>
      </c>
      <c r="O945" s="85">
        <v>0</v>
      </c>
      <c r="P945" s="85">
        <v>0</v>
      </c>
      <c r="Q945" s="85">
        <v>0</v>
      </c>
      <c r="R945" s="85"/>
    </row>
    <row r="946" spans="1:18" ht="15">
      <c r="A946" s="70">
        <v>31</v>
      </c>
      <c r="B946" s="70"/>
      <c r="C946" s="72" t="s">
        <v>960</v>
      </c>
      <c r="D946" s="72" t="s">
        <v>411</v>
      </c>
      <c r="E946" s="85">
        <v>66887.25</v>
      </c>
      <c r="F946" s="85" t="s">
        <v>254</v>
      </c>
      <c r="G946" s="85">
        <v>0</v>
      </c>
      <c r="H946" s="85" t="s">
        <v>254</v>
      </c>
      <c r="I946" s="85">
        <v>0</v>
      </c>
      <c r="J946" s="85">
        <v>66887.25</v>
      </c>
      <c r="K946" s="85" t="s">
        <v>254</v>
      </c>
      <c r="L946" s="85" t="s">
        <v>254</v>
      </c>
      <c r="M946" s="85">
        <v>66887.25</v>
      </c>
      <c r="N946" s="85" t="s">
        <v>254</v>
      </c>
      <c r="O946" s="85">
        <v>0</v>
      </c>
      <c r="P946" s="85">
        <v>0</v>
      </c>
      <c r="Q946" s="85">
        <v>0</v>
      </c>
      <c r="R946" s="85"/>
    </row>
    <row r="947" spans="1:18" ht="15">
      <c r="A947" s="70">
        <v>32</v>
      </c>
      <c r="B947" s="70"/>
      <c r="C947" s="72" t="s">
        <v>961</v>
      </c>
      <c r="D947" s="72" t="s">
        <v>412</v>
      </c>
      <c r="E947" s="85">
        <v>47785.56</v>
      </c>
      <c r="F947" s="85" t="s">
        <v>254</v>
      </c>
      <c r="G947" s="85">
        <v>0</v>
      </c>
      <c r="H947" s="85" t="s">
        <v>254</v>
      </c>
      <c r="I947" s="85">
        <v>0</v>
      </c>
      <c r="J947" s="85">
        <v>47785.56</v>
      </c>
      <c r="K947" s="85" t="s">
        <v>254</v>
      </c>
      <c r="L947" s="85" t="s">
        <v>254</v>
      </c>
      <c r="M947" s="85">
        <v>47785.56</v>
      </c>
      <c r="N947" s="85" t="s">
        <v>254</v>
      </c>
      <c r="O947" s="85">
        <v>0</v>
      </c>
      <c r="P947" s="85">
        <v>0</v>
      </c>
      <c r="Q947" s="85">
        <v>0</v>
      </c>
      <c r="R947" s="85"/>
    </row>
    <row r="948" spans="1:18" ht="15">
      <c r="A948" s="70">
        <v>33</v>
      </c>
      <c r="B948" s="70"/>
      <c r="C948" s="72" t="s">
        <v>962</v>
      </c>
      <c r="D948" s="72" t="s">
        <v>413</v>
      </c>
      <c r="E948" s="85">
        <v>46763.22</v>
      </c>
      <c r="F948" s="85" t="s">
        <v>254</v>
      </c>
      <c r="G948" s="85">
        <v>0</v>
      </c>
      <c r="H948" s="85" t="s">
        <v>254</v>
      </c>
      <c r="I948" s="85">
        <v>0</v>
      </c>
      <c r="J948" s="85">
        <v>46763.22</v>
      </c>
      <c r="K948" s="85" t="s">
        <v>254</v>
      </c>
      <c r="L948" s="85" t="s">
        <v>254</v>
      </c>
      <c r="M948" s="85">
        <v>46763.22</v>
      </c>
      <c r="N948" s="85" t="s">
        <v>254</v>
      </c>
      <c r="O948" s="85">
        <v>0</v>
      </c>
      <c r="P948" s="85">
        <v>0</v>
      </c>
      <c r="Q948" s="85">
        <v>0</v>
      </c>
      <c r="R948" s="85"/>
    </row>
    <row r="949" spans="1:18" ht="15">
      <c r="A949" s="70">
        <v>34</v>
      </c>
      <c r="B949" s="70"/>
      <c r="C949" s="72" t="s">
        <v>963</v>
      </c>
      <c r="D949" s="72" t="s">
        <v>414</v>
      </c>
      <c r="E949" s="85">
        <v>3118.2799999999988</v>
      </c>
      <c r="F949" s="85" t="s">
        <v>254</v>
      </c>
      <c r="G949" s="85">
        <v>0</v>
      </c>
      <c r="H949" s="85" t="s">
        <v>254</v>
      </c>
      <c r="I949" s="85">
        <v>0</v>
      </c>
      <c r="J949" s="85">
        <v>3118.2799999999988</v>
      </c>
      <c r="K949" s="85" t="s">
        <v>254</v>
      </c>
      <c r="L949" s="85" t="s">
        <v>254</v>
      </c>
      <c r="M949" s="85">
        <v>3118.2799999999988</v>
      </c>
      <c r="N949" s="85" t="s">
        <v>254</v>
      </c>
      <c r="O949" s="85">
        <v>0</v>
      </c>
      <c r="P949" s="85">
        <v>0</v>
      </c>
      <c r="Q949" s="85">
        <v>0</v>
      </c>
      <c r="R949" s="85"/>
    </row>
    <row r="950" spans="1:18" ht="15">
      <c r="A950" s="70">
        <v>35</v>
      </c>
      <c r="B950" s="70"/>
      <c r="C950" s="72" t="s">
        <v>964</v>
      </c>
      <c r="D950" s="72" t="s">
        <v>415</v>
      </c>
      <c r="E950" s="85">
        <v>254.62</v>
      </c>
      <c r="F950" s="85" t="s">
        <v>254</v>
      </c>
      <c r="G950" s="85">
        <v>0</v>
      </c>
      <c r="H950" s="85" t="s">
        <v>254</v>
      </c>
      <c r="I950" s="85">
        <v>0</v>
      </c>
      <c r="J950" s="85">
        <v>254.62</v>
      </c>
      <c r="K950" s="85" t="s">
        <v>254</v>
      </c>
      <c r="L950" s="85" t="s">
        <v>254</v>
      </c>
      <c r="M950" s="85">
        <v>254.62</v>
      </c>
      <c r="N950" s="85" t="s">
        <v>254</v>
      </c>
      <c r="O950" s="85">
        <v>0</v>
      </c>
      <c r="P950" s="85">
        <v>0</v>
      </c>
      <c r="Q950" s="85">
        <v>0</v>
      </c>
      <c r="R950" s="85"/>
    </row>
    <row r="951" spans="1:18" ht="15">
      <c r="A951" s="70">
        <v>36</v>
      </c>
      <c r="B951" s="70"/>
      <c r="C951" s="72" t="s">
        <v>965</v>
      </c>
      <c r="D951" s="72" t="s">
        <v>416</v>
      </c>
      <c r="E951" s="85">
        <v>4199.21</v>
      </c>
      <c r="F951" s="85" t="s">
        <v>254</v>
      </c>
      <c r="G951" s="85">
        <v>0</v>
      </c>
      <c r="H951" s="85" t="s">
        <v>254</v>
      </c>
      <c r="I951" s="85">
        <v>0</v>
      </c>
      <c r="J951" s="85">
        <v>4199.21</v>
      </c>
      <c r="K951" s="85" t="s">
        <v>254</v>
      </c>
      <c r="L951" s="85" t="s">
        <v>254</v>
      </c>
      <c r="M951" s="85">
        <v>4199.21</v>
      </c>
      <c r="N951" s="85" t="s">
        <v>254</v>
      </c>
      <c r="O951" s="85">
        <v>0</v>
      </c>
      <c r="P951" s="85">
        <v>0</v>
      </c>
      <c r="Q951" s="85">
        <v>0</v>
      </c>
      <c r="R951" s="85"/>
    </row>
    <row r="952" spans="1:18" ht="15">
      <c r="A952" s="70">
        <v>37</v>
      </c>
      <c r="B952" s="70"/>
      <c r="C952" s="72" t="s">
        <v>966</v>
      </c>
      <c r="D952" s="72" t="s">
        <v>417</v>
      </c>
      <c r="E952" s="85">
        <v>0</v>
      </c>
      <c r="F952" s="85" t="s">
        <v>254</v>
      </c>
      <c r="G952" s="85">
        <v>0</v>
      </c>
      <c r="H952" s="85" t="s">
        <v>254</v>
      </c>
      <c r="I952" s="85">
        <v>0</v>
      </c>
      <c r="J952" s="85">
        <v>0</v>
      </c>
      <c r="K952" s="85" t="s">
        <v>254</v>
      </c>
      <c r="L952" s="85" t="s">
        <v>254</v>
      </c>
      <c r="M952" s="85">
        <v>0</v>
      </c>
      <c r="N952" s="85" t="s">
        <v>254</v>
      </c>
      <c r="O952" s="85">
        <v>0</v>
      </c>
      <c r="P952" s="85">
        <v>0</v>
      </c>
      <c r="Q952" s="85">
        <v>0</v>
      </c>
      <c r="R952" s="85"/>
    </row>
    <row r="953" spans="1:18" ht="15">
      <c r="A953" s="70">
        <v>38</v>
      </c>
      <c r="B953" s="70"/>
      <c r="C953" s="72" t="s">
        <v>967</v>
      </c>
      <c r="D953" s="72" t="s">
        <v>467</v>
      </c>
      <c r="E953" s="85">
        <v>42620005.168044701</v>
      </c>
      <c r="F953" s="85" t="s">
        <v>254</v>
      </c>
      <c r="G953" s="85">
        <v>0</v>
      </c>
      <c r="H953" s="85" t="s">
        <v>254</v>
      </c>
      <c r="I953" s="85">
        <v>42473285.895150907</v>
      </c>
      <c r="J953" s="85">
        <v>146719.27289379371</v>
      </c>
      <c r="K953" s="85" t="s">
        <v>254</v>
      </c>
      <c r="L953" s="85" t="s">
        <v>254</v>
      </c>
      <c r="M953" s="85">
        <v>146719.27289379371</v>
      </c>
      <c r="N953" s="85" t="s">
        <v>254</v>
      </c>
      <c r="O953" s="85">
        <v>0</v>
      </c>
      <c r="P953" s="85">
        <v>0</v>
      </c>
      <c r="Q953" s="85">
        <v>0</v>
      </c>
      <c r="R953" s="85"/>
    </row>
    <row r="954" spans="1:18" ht="15">
      <c r="A954" s="70">
        <v>39</v>
      </c>
      <c r="B954" s="70"/>
      <c r="C954" s="72" t="s">
        <v>968</v>
      </c>
      <c r="D954" s="72" t="s">
        <v>490</v>
      </c>
      <c r="E954" s="85">
        <v>0</v>
      </c>
      <c r="F954" s="85" t="s">
        <v>254</v>
      </c>
      <c r="G954" s="85">
        <v>0</v>
      </c>
      <c r="H954" s="85" t="s">
        <v>254</v>
      </c>
      <c r="I954" s="85">
        <v>0</v>
      </c>
      <c r="J954" s="85">
        <v>0</v>
      </c>
      <c r="K954" s="85" t="s">
        <v>254</v>
      </c>
      <c r="L954" s="85" t="s">
        <v>254</v>
      </c>
      <c r="M954" s="85">
        <v>0</v>
      </c>
      <c r="N954" s="85" t="s">
        <v>254</v>
      </c>
      <c r="O954" s="85">
        <v>0</v>
      </c>
      <c r="P954" s="85">
        <v>0</v>
      </c>
      <c r="Q954" s="85">
        <v>0</v>
      </c>
      <c r="R954" s="85"/>
    </row>
    <row r="955" spans="1:18" ht="15">
      <c r="A955" s="70">
        <v>40</v>
      </c>
      <c r="B955" s="70"/>
      <c r="C955" s="72" t="s">
        <v>2454</v>
      </c>
      <c r="D955" s="72" t="s">
        <v>526</v>
      </c>
      <c r="E955" s="85">
        <v>8770086</v>
      </c>
      <c r="F955" s="85" t="s">
        <v>254</v>
      </c>
      <c r="G955" s="85">
        <v>0</v>
      </c>
      <c r="H955" s="85" t="s">
        <v>254</v>
      </c>
      <c r="I955" s="85">
        <v>8770086</v>
      </c>
      <c r="J955" s="85">
        <v>0</v>
      </c>
      <c r="K955" s="85" t="s">
        <v>254</v>
      </c>
      <c r="L955" s="85" t="s">
        <v>254</v>
      </c>
      <c r="M955" s="85">
        <v>0</v>
      </c>
      <c r="N955" s="85" t="s">
        <v>254</v>
      </c>
      <c r="O955" s="85">
        <v>0</v>
      </c>
      <c r="P955" s="85">
        <v>0</v>
      </c>
      <c r="Q955" s="85">
        <v>0</v>
      </c>
      <c r="R955" s="85"/>
    </row>
    <row r="956" spans="1:18" ht="15">
      <c r="A956" s="70">
        <v>41</v>
      </c>
      <c r="B956" s="70"/>
      <c r="C956" s="72" t="s">
        <v>2455</v>
      </c>
      <c r="D956" s="72" t="s">
        <v>535</v>
      </c>
      <c r="E956" s="85">
        <v>0</v>
      </c>
      <c r="F956" s="85" t="s">
        <v>254</v>
      </c>
      <c r="G956" s="85">
        <v>0</v>
      </c>
      <c r="H956" s="85" t="s">
        <v>254</v>
      </c>
      <c r="I956" s="85">
        <v>0</v>
      </c>
      <c r="J956" s="85">
        <v>0</v>
      </c>
      <c r="K956" s="85" t="s">
        <v>254</v>
      </c>
      <c r="L956" s="85" t="s">
        <v>254</v>
      </c>
      <c r="M956" s="85">
        <v>0</v>
      </c>
      <c r="N956" s="85" t="s">
        <v>254</v>
      </c>
      <c r="O956" s="85">
        <v>0</v>
      </c>
      <c r="P956" s="85">
        <v>0</v>
      </c>
      <c r="Q956" s="85">
        <v>0</v>
      </c>
      <c r="R956" s="85"/>
    </row>
    <row r="957" spans="1:18" ht="15">
      <c r="A957" s="70">
        <v>42</v>
      </c>
      <c r="B957" s="70"/>
      <c r="C957" s="72" t="s">
        <v>969</v>
      </c>
      <c r="D957" s="72" t="s">
        <v>572</v>
      </c>
      <c r="E957" s="85">
        <v>3545605.71</v>
      </c>
      <c r="F957" s="85" t="s">
        <v>254</v>
      </c>
      <c r="G957" s="85">
        <v>3308819.11</v>
      </c>
      <c r="H957" s="85" t="s">
        <v>254</v>
      </c>
      <c r="I957" s="85">
        <v>236728.6</v>
      </c>
      <c r="J957" s="85">
        <v>58</v>
      </c>
      <c r="K957" s="85" t="s">
        <v>254</v>
      </c>
      <c r="L957" s="85" t="s">
        <v>254</v>
      </c>
      <c r="M957" s="85">
        <v>58</v>
      </c>
      <c r="N957" s="85" t="s">
        <v>254</v>
      </c>
      <c r="O957" s="85">
        <v>0</v>
      </c>
      <c r="P957" s="85">
        <v>0</v>
      </c>
      <c r="Q957" s="85">
        <v>0</v>
      </c>
      <c r="R957" s="85"/>
    </row>
    <row r="958" spans="1:18" ht="15">
      <c r="A958" s="70">
        <v>43</v>
      </c>
      <c r="B958" s="70"/>
      <c r="C958" s="72" t="s">
        <v>970</v>
      </c>
      <c r="D958" s="72" t="s">
        <v>582</v>
      </c>
      <c r="E958" s="85">
        <v>31159.913393999996</v>
      </c>
      <c r="F958" s="85" t="s">
        <v>254</v>
      </c>
      <c r="G958" s="85">
        <v>22317.831393999993</v>
      </c>
      <c r="H958" s="85" t="s">
        <v>254</v>
      </c>
      <c r="I958" s="85">
        <v>2038.25</v>
      </c>
      <c r="J958" s="85">
        <v>6803.8320000000003</v>
      </c>
      <c r="K958" s="85" t="s">
        <v>254</v>
      </c>
      <c r="L958" s="85" t="s">
        <v>254</v>
      </c>
      <c r="M958" s="85">
        <v>0</v>
      </c>
      <c r="N958" s="85" t="s">
        <v>254</v>
      </c>
      <c r="O958" s="85">
        <v>6803.8320000000003</v>
      </c>
      <c r="P958" s="85">
        <v>2763.36</v>
      </c>
      <c r="Q958" s="85">
        <v>4040.4720000000002</v>
      </c>
      <c r="R958" s="85"/>
    </row>
    <row r="959" spans="1:18" ht="15">
      <c r="A959" s="70">
        <v>44</v>
      </c>
      <c r="B959" s="70"/>
      <c r="C959" s="72" t="s">
        <v>971</v>
      </c>
      <c r="D959" s="72" t="s">
        <v>580</v>
      </c>
      <c r="E959" s="85">
        <v>17812.882574000007</v>
      </c>
      <c r="F959" s="85" t="s">
        <v>254</v>
      </c>
      <c r="G959" s="85">
        <v>17812.882574000007</v>
      </c>
      <c r="H959" s="85" t="s">
        <v>254</v>
      </c>
      <c r="I959" s="85">
        <v>0</v>
      </c>
      <c r="J959" s="85">
        <v>0</v>
      </c>
      <c r="K959" s="85" t="s">
        <v>254</v>
      </c>
      <c r="L959" s="85" t="s">
        <v>254</v>
      </c>
      <c r="M959" s="85">
        <v>0</v>
      </c>
      <c r="N959" s="85" t="s">
        <v>254</v>
      </c>
      <c r="O959" s="85">
        <v>0</v>
      </c>
      <c r="P959" s="85">
        <v>0</v>
      </c>
      <c r="Q959" s="85">
        <v>0</v>
      </c>
      <c r="R959" s="85"/>
    </row>
    <row r="960" spans="1:18" ht="15">
      <c r="A960" s="70">
        <v>45</v>
      </c>
      <c r="B960" s="70"/>
      <c r="C960" s="72" t="s">
        <v>972</v>
      </c>
      <c r="D960" s="72" t="s">
        <v>568</v>
      </c>
      <c r="E960" s="85">
        <v>2176006</v>
      </c>
      <c r="F960" s="85" t="s">
        <v>254</v>
      </c>
      <c r="G960" s="85">
        <v>2059708</v>
      </c>
      <c r="H960" s="85" t="s">
        <v>254</v>
      </c>
      <c r="I960" s="85">
        <v>116298</v>
      </c>
      <c r="J960" s="85">
        <v>0</v>
      </c>
      <c r="K960" s="85" t="s">
        <v>254</v>
      </c>
      <c r="L960" s="85" t="s">
        <v>254</v>
      </c>
      <c r="M960" s="85">
        <v>0</v>
      </c>
      <c r="N960" s="85" t="s">
        <v>254</v>
      </c>
      <c r="O960" s="85">
        <v>0</v>
      </c>
      <c r="P960" s="85">
        <v>0</v>
      </c>
      <c r="Q960" s="85">
        <v>0</v>
      </c>
      <c r="R960" s="85"/>
    </row>
    <row r="961" spans="1:18" ht="15">
      <c r="A961" s="70">
        <v>46</v>
      </c>
      <c r="B961" s="70"/>
      <c r="C961" s="72" t="s">
        <v>973</v>
      </c>
      <c r="D961" s="72" t="s">
        <v>570</v>
      </c>
      <c r="E961" s="85">
        <v>58860.92</v>
      </c>
      <c r="F961" s="85" t="s">
        <v>254</v>
      </c>
      <c r="G961" s="85">
        <v>58590.92</v>
      </c>
      <c r="H961" s="85" t="s">
        <v>254</v>
      </c>
      <c r="I961" s="85">
        <v>270</v>
      </c>
      <c r="J961" s="85">
        <v>0</v>
      </c>
      <c r="K961" s="85" t="s">
        <v>254</v>
      </c>
      <c r="L961" s="85" t="s">
        <v>254</v>
      </c>
      <c r="M961" s="85">
        <v>0</v>
      </c>
      <c r="N961" s="85" t="s">
        <v>254</v>
      </c>
      <c r="O961" s="85">
        <v>0</v>
      </c>
      <c r="P961" s="85">
        <v>0</v>
      </c>
      <c r="Q961" s="85">
        <v>0</v>
      </c>
      <c r="R961" s="85"/>
    </row>
    <row r="962" spans="1:18" ht="15">
      <c r="A962" s="70">
        <v>47</v>
      </c>
      <c r="B962" s="70"/>
      <c r="C962" s="72" t="s">
        <v>974</v>
      </c>
      <c r="D962" s="72" t="s">
        <v>578</v>
      </c>
      <c r="E962" s="85">
        <v>149400</v>
      </c>
      <c r="F962" s="85" t="s">
        <v>254</v>
      </c>
      <c r="G962" s="85">
        <v>149530</v>
      </c>
      <c r="H962" s="85" t="s">
        <v>254</v>
      </c>
      <c r="I962" s="85">
        <v>-130</v>
      </c>
      <c r="J962" s="85">
        <v>0</v>
      </c>
      <c r="K962" s="85" t="s">
        <v>254</v>
      </c>
      <c r="L962" s="85" t="s">
        <v>254</v>
      </c>
      <c r="M962" s="85">
        <v>0</v>
      </c>
      <c r="N962" s="85" t="s">
        <v>254</v>
      </c>
      <c r="O962" s="85">
        <v>0</v>
      </c>
      <c r="P962" s="85">
        <v>0</v>
      </c>
      <c r="Q962" s="85">
        <v>0</v>
      </c>
      <c r="R962" s="85"/>
    </row>
    <row r="963" spans="1:18" ht="15">
      <c r="A963" s="70">
        <v>48</v>
      </c>
      <c r="B963" s="70"/>
      <c r="C963" s="72" t="s">
        <v>975</v>
      </c>
      <c r="D963" s="72" t="s">
        <v>976</v>
      </c>
      <c r="E963" s="85">
        <v>17604</v>
      </c>
      <c r="F963" s="85" t="s">
        <v>254</v>
      </c>
      <c r="G963" s="85">
        <v>0</v>
      </c>
      <c r="H963" s="85" t="s">
        <v>254</v>
      </c>
      <c r="I963" s="85">
        <v>17604</v>
      </c>
      <c r="J963" s="85">
        <v>0</v>
      </c>
      <c r="K963" s="85" t="s">
        <v>254</v>
      </c>
      <c r="L963" s="85" t="s">
        <v>254</v>
      </c>
      <c r="M963" s="85">
        <v>0</v>
      </c>
      <c r="N963" s="85" t="s">
        <v>254</v>
      </c>
      <c r="O963" s="85">
        <v>0</v>
      </c>
      <c r="P963" s="85">
        <v>0</v>
      </c>
      <c r="Q963" s="85">
        <v>0</v>
      </c>
      <c r="R963" s="85"/>
    </row>
    <row r="964" spans="1:18" ht="15">
      <c r="A964" s="70">
        <v>49</v>
      </c>
      <c r="B964" s="70"/>
      <c r="C964" s="72" t="s">
        <v>977</v>
      </c>
      <c r="D964" s="72" t="s">
        <v>775</v>
      </c>
      <c r="E964" s="85">
        <v>0</v>
      </c>
      <c r="F964" s="85" t="s">
        <v>254</v>
      </c>
      <c r="G964" s="85">
        <v>0</v>
      </c>
      <c r="H964" s="85" t="s">
        <v>254</v>
      </c>
      <c r="I964" s="85">
        <v>0</v>
      </c>
      <c r="J964" s="85">
        <v>0</v>
      </c>
      <c r="K964" s="85" t="s">
        <v>254</v>
      </c>
      <c r="L964" s="85" t="s">
        <v>254</v>
      </c>
      <c r="M964" s="85">
        <v>0</v>
      </c>
      <c r="N964" s="85" t="s">
        <v>254</v>
      </c>
      <c r="O964" s="85">
        <v>0</v>
      </c>
      <c r="P964" s="85">
        <v>0</v>
      </c>
      <c r="Q964" s="85">
        <v>0</v>
      </c>
      <c r="R964" s="85"/>
    </row>
    <row r="965" spans="1:18" ht="15">
      <c r="A965" s="70">
        <v>50</v>
      </c>
      <c r="B965" s="70"/>
      <c r="C965" s="72" t="s">
        <v>978</v>
      </c>
      <c r="D965" s="72" t="s">
        <v>544</v>
      </c>
      <c r="E965" s="85">
        <v>1750692.31</v>
      </c>
      <c r="F965" s="85" t="s">
        <v>254</v>
      </c>
      <c r="G965" s="85">
        <v>0</v>
      </c>
      <c r="H965" s="85" t="s">
        <v>254</v>
      </c>
      <c r="I965" s="85">
        <v>1750692.31</v>
      </c>
      <c r="J965" s="85">
        <v>0</v>
      </c>
      <c r="K965" s="85" t="s">
        <v>254</v>
      </c>
      <c r="L965" s="85" t="s">
        <v>254</v>
      </c>
      <c r="M965" s="85">
        <v>0</v>
      </c>
      <c r="N965" s="85" t="s">
        <v>254</v>
      </c>
      <c r="O965" s="85">
        <v>0</v>
      </c>
      <c r="P965" s="85">
        <v>0</v>
      </c>
      <c r="Q965" s="85">
        <v>0</v>
      </c>
      <c r="R965" s="85"/>
    </row>
    <row r="966" spans="1:18" ht="15">
      <c r="A966" s="70" t="s">
        <v>254</v>
      </c>
      <c r="B966" s="70"/>
      <c r="C966" s="72" t="s">
        <v>254</v>
      </c>
      <c r="D966" s="72" t="s">
        <v>254</v>
      </c>
      <c r="E966" s="85" t="s">
        <v>254</v>
      </c>
      <c r="F966" s="85" t="s">
        <v>254</v>
      </c>
      <c r="G966" s="85" t="s">
        <v>254</v>
      </c>
      <c r="H966" s="85" t="s">
        <v>254</v>
      </c>
      <c r="I966" s="85" t="s">
        <v>254</v>
      </c>
      <c r="J966" s="85" t="s">
        <v>254</v>
      </c>
      <c r="K966" s="85" t="s">
        <v>254</v>
      </c>
      <c r="L966" s="85" t="s">
        <v>254</v>
      </c>
      <c r="M966" s="85" t="s">
        <v>254</v>
      </c>
      <c r="N966" s="85" t="s">
        <v>254</v>
      </c>
      <c r="O966" s="85" t="s">
        <v>254</v>
      </c>
      <c r="P966" s="85" t="s">
        <v>254</v>
      </c>
      <c r="Q966" s="85" t="s">
        <v>254</v>
      </c>
      <c r="R966" s="85"/>
    </row>
    <row r="967" spans="1:18" ht="15">
      <c r="A967" s="70" t="s">
        <v>254</v>
      </c>
      <c r="B967" s="70"/>
      <c r="C967" s="72" t="s">
        <v>254</v>
      </c>
      <c r="D967" s="72" t="s">
        <v>254</v>
      </c>
      <c r="E967" s="85" t="s">
        <v>254</v>
      </c>
      <c r="F967" s="85" t="s">
        <v>254</v>
      </c>
      <c r="G967" s="85" t="s">
        <v>254</v>
      </c>
      <c r="H967" s="85" t="s">
        <v>254</v>
      </c>
      <c r="I967" s="85" t="s">
        <v>254</v>
      </c>
      <c r="J967" s="85" t="s">
        <v>254</v>
      </c>
      <c r="K967" s="85" t="s">
        <v>254</v>
      </c>
      <c r="L967" s="85" t="s">
        <v>254</v>
      </c>
      <c r="M967" s="85" t="s">
        <v>254</v>
      </c>
      <c r="N967" s="85" t="s">
        <v>254</v>
      </c>
      <c r="O967" s="85" t="s">
        <v>254</v>
      </c>
      <c r="P967" s="85" t="s">
        <v>254</v>
      </c>
      <c r="Q967" s="85" t="s">
        <v>254</v>
      </c>
      <c r="R967" s="85"/>
    </row>
    <row r="968" spans="1:18" ht="15">
      <c r="A968" s="70" t="s">
        <v>254</v>
      </c>
      <c r="B968" s="70"/>
      <c r="C968" s="72" t="s">
        <v>498</v>
      </c>
      <c r="D968" s="72" t="s">
        <v>254</v>
      </c>
      <c r="E968" s="85" t="s">
        <v>254</v>
      </c>
      <c r="F968" s="85" t="s">
        <v>254</v>
      </c>
      <c r="G968" s="85" t="s">
        <v>254</v>
      </c>
      <c r="H968" s="85" t="s">
        <v>254</v>
      </c>
      <c r="I968" s="85" t="s">
        <v>254</v>
      </c>
      <c r="J968" s="85" t="s">
        <v>254</v>
      </c>
      <c r="K968" s="85" t="s">
        <v>254</v>
      </c>
      <c r="L968" s="85" t="s">
        <v>254</v>
      </c>
      <c r="M968" s="85" t="s">
        <v>254</v>
      </c>
      <c r="N968" s="85" t="s">
        <v>254</v>
      </c>
      <c r="O968" s="85" t="s">
        <v>254</v>
      </c>
      <c r="P968" s="85" t="s">
        <v>254</v>
      </c>
      <c r="Q968" s="85" t="s">
        <v>254</v>
      </c>
      <c r="R968" s="85"/>
    </row>
    <row r="969" spans="1:18" ht="15">
      <c r="A969" s="70" t="s">
        <v>254</v>
      </c>
      <c r="B969" s="70"/>
      <c r="C969" s="72" t="s">
        <v>925</v>
      </c>
      <c r="D969" s="72" t="s">
        <v>254</v>
      </c>
      <c r="E969" s="85" t="s">
        <v>254</v>
      </c>
      <c r="F969" s="85" t="s">
        <v>254</v>
      </c>
      <c r="G969" s="85" t="s">
        <v>254</v>
      </c>
      <c r="H969" s="85" t="s">
        <v>254</v>
      </c>
      <c r="I969" s="85" t="s">
        <v>254</v>
      </c>
      <c r="J969" s="85" t="s">
        <v>254</v>
      </c>
      <c r="K969" s="85" t="s">
        <v>254</v>
      </c>
      <c r="L969" s="85" t="s">
        <v>254</v>
      </c>
      <c r="M969" s="85" t="s">
        <v>254</v>
      </c>
      <c r="N969" s="85" t="s">
        <v>254</v>
      </c>
      <c r="O969" s="85" t="s">
        <v>254</v>
      </c>
      <c r="P969" s="85" t="s">
        <v>254</v>
      </c>
      <c r="Q969" s="85" t="s">
        <v>254</v>
      </c>
      <c r="R969" s="85"/>
    </row>
    <row r="970" spans="1:18" ht="15">
      <c r="A970" s="70">
        <v>1</v>
      </c>
      <c r="B970" s="70"/>
      <c r="C970" s="72" t="s">
        <v>979</v>
      </c>
      <c r="D970" s="72" t="s">
        <v>498</v>
      </c>
      <c r="E970" s="85">
        <v>21478924.125000004</v>
      </c>
      <c r="F970" s="85" t="s">
        <v>254</v>
      </c>
      <c r="G970" s="85">
        <v>18888188.453000002</v>
      </c>
      <c r="H970" s="85" t="s">
        <v>254</v>
      </c>
      <c r="I970" s="85">
        <v>783018.848</v>
      </c>
      <c r="J970" s="85">
        <v>1807716.824</v>
      </c>
      <c r="K970" s="85" t="s">
        <v>254</v>
      </c>
      <c r="L970" s="85" t="s">
        <v>254</v>
      </c>
      <c r="M970" s="85">
        <v>91.09</v>
      </c>
      <c r="N970" s="85" t="s">
        <v>254</v>
      </c>
      <c r="O970" s="85">
        <v>1807625.7339999999</v>
      </c>
      <c r="P970" s="85">
        <v>571233.973</v>
      </c>
      <c r="Q970" s="85">
        <v>1236391.7609999999</v>
      </c>
      <c r="R970" s="85"/>
    </row>
    <row r="971" spans="1:18" ht="15">
      <c r="A971" s="70">
        <v>2</v>
      </c>
      <c r="B971" s="70"/>
      <c r="C971" s="72" t="s">
        <v>980</v>
      </c>
      <c r="D971" s="72" t="s">
        <v>744</v>
      </c>
      <c r="E971" s="85">
        <v>19671298.391000003</v>
      </c>
      <c r="F971" s="85" t="s">
        <v>254</v>
      </c>
      <c r="G971" s="85">
        <v>18888188.453000002</v>
      </c>
      <c r="H971" s="85" t="s">
        <v>254</v>
      </c>
      <c r="I971" s="85">
        <v>783018.848</v>
      </c>
      <c r="J971" s="85">
        <v>91.09</v>
      </c>
      <c r="K971" s="85" t="s">
        <v>254</v>
      </c>
      <c r="L971" s="85" t="s">
        <v>254</v>
      </c>
      <c r="M971" s="85">
        <v>91.09</v>
      </c>
      <c r="N971" s="85" t="s">
        <v>254</v>
      </c>
      <c r="O971" s="85">
        <v>0</v>
      </c>
      <c r="P971" s="85">
        <v>0</v>
      </c>
      <c r="Q971" s="85">
        <v>0</v>
      </c>
      <c r="R971" s="85"/>
    </row>
    <row r="972" spans="1:18" ht="15">
      <c r="A972" s="70">
        <v>3</v>
      </c>
      <c r="B972" s="70"/>
      <c r="C972" s="72" t="s">
        <v>254</v>
      </c>
      <c r="D972" s="72" t="s">
        <v>254</v>
      </c>
      <c r="E972" s="85" t="s">
        <v>254</v>
      </c>
      <c r="F972" s="85" t="s">
        <v>254</v>
      </c>
      <c r="G972" s="85" t="s">
        <v>254</v>
      </c>
      <c r="H972" s="85" t="s">
        <v>254</v>
      </c>
      <c r="I972" s="85" t="s">
        <v>254</v>
      </c>
      <c r="J972" s="85" t="s">
        <v>254</v>
      </c>
      <c r="K972" s="85" t="s">
        <v>254</v>
      </c>
      <c r="L972" s="85" t="s">
        <v>254</v>
      </c>
      <c r="M972" s="85" t="s">
        <v>254</v>
      </c>
      <c r="N972" s="85" t="s">
        <v>254</v>
      </c>
      <c r="O972" s="85" t="s">
        <v>254</v>
      </c>
      <c r="P972" s="85" t="s">
        <v>254</v>
      </c>
      <c r="Q972" s="85" t="s">
        <v>254</v>
      </c>
      <c r="R972" s="85"/>
    </row>
    <row r="973" spans="1:18" ht="15">
      <c r="A973" s="70">
        <v>4</v>
      </c>
      <c r="B973" s="70"/>
      <c r="C973" s="72" t="s">
        <v>254</v>
      </c>
      <c r="D973" s="72" t="s">
        <v>254</v>
      </c>
      <c r="E973" s="85" t="s">
        <v>254</v>
      </c>
      <c r="F973" s="85" t="s">
        <v>254</v>
      </c>
      <c r="G973" s="85" t="s">
        <v>254</v>
      </c>
      <c r="H973" s="85" t="s">
        <v>254</v>
      </c>
      <c r="I973" s="85" t="s">
        <v>254</v>
      </c>
      <c r="J973" s="85" t="s">
        <v>254</v>
      </c>
      <c r="K973" s="85" t="s">
        <v>254</v>
      </c>
      <c r="L973" s="85" t="s">
        <v>254</v>
      </c>
      <c r="M973" s="85" t="s">
        <v>254</v>
      </c>
      <c r="N973" s="85" t="s">
        <v>254</v>
      </c>
      <c r="O973" s="85" t="s">
        <v>254</v>
      </c>
      <c r="P973" s="85" t="s">
        <v>254</v>
      </c>
      <c r="Q973" s="85" t="s">
        <v>254</v>
      </c>
      <c r="R973" s="85"/>
    </row>
    <row r="974" spans="1:18" ht="15">
      <c r="A974" s="70" t="s">
        <v>254</v>
      </c>
      <c r="B974" s="70"/>
      <c r="C974" s="72" t="s">
        <v>254</v>
      </c>
      <c r="D974" s="72" t="s">
        <v>254</v>
      </c>
      <c r="E974" s="85" t="s">
        <v>254</v>
      </c>
      <c r="F974" s="85" t="s">
        <v>254</v>
      </c>
      <c r="G974" s="85" t="s">
        <v>254</v>
      </c>
      <c r="H974" s="85" t="s">
        <v>254</v>
      </c>
      <c r="I974" s="85" t="s">
        <v>254</v>
      </c>
      <c r="J974" s="85" t="s">
        <v>254</v>
      </c>
      <c r="K974" s="85" t="s">
        <v>254</v>
      </c>
      <c r="L974" s="85" t="s">
        <v>254</v>
      </c>
      <c r="M974" s="85" t="s">
        <v>254</v>
      </c>
      <c r="N974" s="85" t="s">
        <v>254</v>
      </c>
      <c r="O974" s="85" t="s">
        <v>254</v>
      </c>
      <c r="P974" s="85" t="s">
        <v>254</v>
      </c>
      <c r="Q974" s="85" t="s">
        <v>254</v>
      </c>
      <c r="R974" s="85"/>
    </row>
    <row r="975" spans="1:18" ht="15">
      <c r="A975" s="70" t="s">
        <v>254</v>
      </c>
      <c r="B975" s="70"/>
      <c r="C975" s="72" t="s">
        <v>981</v>
      </c>
      <c r="D975" s="72" t="s">
        <v>254</v>
      </c>
      <c r="E975" s="85" t="s">
        <v>254</v>
      </c>
      <c r="F975" s="85" t="s">
        <v>254</v>
      </c>
      <c r="G975" s="85" t="s">
        <v>254</v>
      </c>
      <c r="H975" s="85" t="s">
        <v>254</v>
      </c>
      <c r="I975" s="85" t="s">
        <v>254</v>
      </c>
      <c r="J975" s="85" t="s">
        <v>254</v>
      </c>
      <c r="K975" s="85" t="s">
        <v>254</v>
      </c>
      <c r="L975" s="85" t="s">
        <v>254</v>
      </c>
      <c r="M975" s="85" t="s">
        <v>254</v>
      </c>
      <c r="N975" s="85" t="s">
        <v>254</v>
      </c>
      <c r="O975" s="85" t="s">
        <v>254</v>
      </c>
      <c r="P975" s="85" t="s">
        <v>254</v>
      </c>
      <c r="Q975" s="85" t="s">
        <v>254</v>
      </c>
      <c r="R975" s="85"/>
    </row>
    <row r="976" spans="1:18" ht="15">
      <c r="A976" s="70" t="s">
        <v>254</v>
      </c>
      <c r="B976" s="70"/>
      <c r="C976" s="72" t="s">
        <v>925</v>
      </c>
      <c r="D976" s="72" t="s">
        <v>254</v>
      </c>
      <c r="E976" s="85" t="s">
        <v>254</v>
      </c>
      <c r="F976" s="85" t="s">
        <v>254</v>
      </c>
      <c r="G976" s="85" t="s">
        <v>254</v>
      </c>
      <c r="H976" s="85" t="s">
        <v>254</v>
      </c>
      <c r="I976" s="85" t="s">
        <v>254</v>
      </c>
      <c r="J976" s="85" t="s">
        <v>254</v>
      </c>
      <c r="K976" s="85" t="s">
        <v>254</v>
      </c>
      <c r="L976" s="85" t="s">
        <v>254</v>
      </c>
      <c r="M976" s="85" t="s">
        <v>254</v>
      </c>
      <c r="N976" s="85" t="s">
        <v>254</v>
      </c>
      <c r="O976" s="85" t="s">
        <v>254</v>
      </c>
      <c r="P976" s="85" t="s">
        <v>254</v>
      </c>
      <c r="Q976" s="85" t="s">
        <v>254</v>
      </c>
      <c r="R976" s="85"/>
    </row>
    <row r="977" spans="1:18" ht="15">
      <c r="A977" s="70">
        <v>1</v>
      </c>
      <c r="B977" s="70"/>
      <c r="C977" s="72" t="s">
        <v>982</v>
      </c>
      <c r="D977" s="72" t="s">
        <v>384</v>
      </c>
      <c r="E977" s="85">
        <v>97262576.699999869</v>
      </c>
      <c r="F977" s="85" t="s">
        <v>254</v>
      </c>
      <c r="G977" s="85">
        <v>97262576.699999869</v>
      </c>
      <c r="H977" s="85" t="s">
        <v>254</v>
      </c>
      <c r="I977" s="85">
        <v>0</v>
      </c>
      <c r="J977" s="85">
        <v>0</v>
      </c>
      <c r="K977" s="85" t="s">
        <v>254</v>
      </c>
      <c r="L977" s="85" t="s">
        <v>254</v>
      </c>
      <c r="M977" s="85">
        <v>0</v>
      </c>
      <c r="N977" s="85" t="s">
        <v>254</v>
      </c>
      <c r="O977" s="85">
        <v>0</v>
      </c>
      <c r="P977" s="85">
        <v>0</v>
      </c>
      <c r="Q977" s="85">
        <v>0</v>
      </c>
      <c r="R977" s="85"/>
    </row>
    <row r="978" spans="1:18" ht="15">
      <c r="A978" s="70">
        <v>2</v>
      </c>
      <c r="B978" s="70"/>
      <c r="C978" s="72" t="s">
        <v>983</v>
      </c>
      <c r="D978" s="72" t="s">
        <v>386</v>
      </c>
      <c r="E978" s="85">
        <v>83349160.264615372</v>
      </c>
      <c r="F978" s="85" t="s">
        <v>254</v>
      </c>
      <c r="G978" s="85">
        <v>82987729.264615372</v>
      </c>
      <c r="H978" s="85" t="s">
        <v>254</v>
      </c>
      <c r="I978" s="85">
        <v>0</v>
      </c>
      <c r="J978" s="85">
        <v>361431</v>
      </c>
      <c r="K978" s="85" t="s">
        <v>254</v>
      </c>
      <c r="L978" s="85" t="s">
        <v>254</v>
      </c>
      <c r="M978" s="85">
        <v>0</v>
      </c>
      <c r="N978" s="85" t="s">
        <v>254</v>
      </c>
      <c r="O978" s="85">
        <v>361431</v>
      </c>
      <c r="P978" s="85">
        <v>63157</v>
      </c>
      <c r="Q978" s="85">
        <v>298274</v>
      </c>
      <c r="R978" s="85"/>
    </row>
    <row r="979" spans="1:18" ht="15">
      <c r="A979" s="70">
        <v>3</v>
      </c>
      <c r="B979" s="70"/>
      <c r="C979" s="72" t="s">
        <v>984</v>
      </c>
      <c r="D979" s="72" t="s">
        <v>388</v>
      </c>
      <c r="E979" s="85">
        <v>282792.23923076928</v>
      </c>
      <c r="F979" s="85" t="s">
        <v>254</v>
      </c>
      <c r="G979" s="85">
        <v>282792.23923076928</v>
      </c>
      <c r="H979" s="85" t="s">
        <v>254</v>
      </c>
      <c r="I979" s="85">
        <v>0</v>
      </c>
      <c r="J979" s="85">
        <v>0</v>
      </c>
      <c r="K979" s="85" t="s">
        <v>254</v>
      </c>
      <c r="L979" s="85" t="s">
        <v>254</v>
      </c>
      <c r="M979" s="85">
        <v>0</v>
      </c>
      <c r="N979" s="85" t="s">
        <v>254</v>
      </c>
      <c r="O979" s="85">
        <v>0</v>
      </c>
      <c r="P979" s="85">
        <v>0</v>
      </c>
      <c r="Q979" s="85">
        <v>0</v>
      </c>
      <c r="R979" s="85"/>
    </row>
    <row r="980" spans="1:18" ht="15">
      <c r="A980" s="70">
        <v>4</v>
      </c>
      <c r="B980" s="70"/>
      <c r="C980" s="72" t="s">
        <v>985</v>
      </c>
      <c r="D980" s="72" t="s">
        <v>390</v>
      </c>
      <c r="E980" s="85">
        <v>114827799.3</v>
      </c>
      <c r="F980" s="85" t="s">
        <v>254</v>
      </c>
      <c r="G980" s="85">
        <v>114827799.3</v>
      </c>
      <c r="H980" s="85" t="s">
        <v>254</v>
      </c>
      <c r="I980" s="85">
        <v>0</v>
      </c>
      <c r="J980" s="85">
        <v>0</v>
      </c>
      <c r="K980" s="85" t="s">
        <v>254</v>
      </c>
      <c r="L980" s="85" t="s">
        <v>254</v>
      </c>
      <c r="M980" s="85">
        <v>0</v>
      </c>
      <c r="N980" s="85" t="s">
        <v>254</v>
      </c>
      <c r="O980" s="85">
        <v>0</v>
      </c>
      <c r="P980" s="85">
        <v>0</v>
      </c>
      <c r="Q980" s="85">
        <v>0</v>
      </c>
      <c r="R980" s="85"/>
    </row>
    <row r="981" spans="1:18" ht="15">
      <c r="A981" s="70">
        <v>5</v>
      </c>
      <c r="B981" s="70"/>
      <c r="C981" s="72" t="s">
        <v>539</v>
      </c>
      <c r="D981" s="72" t="s">
        <v>540</v>
      </c>
      <c r="E981" s="85">
        <v>1575372.0999999999</v>
      </c>
      <c r="F981" s="85" t="s">
        <v>254</v>
      </c>
      <c r="G981" s="85">
        <v>1548687.19</v>
      </c>
      <c r="H981" s="85" t="s">
        <v>254</v>
      </c>
      <c r="I981" s="85">
        <v>26684.91</v>
      </c>
      <c r="J981" s="85">
        <v>0</v>
      </c>
      <c r="K981" s="85" t="s">
        <v>254</v>
      </c>
      <c r="L981" s="85" t="s">
        <v>254</v>
      </c>
      <c r="M981" s="85">
        <v>0</v>
      </c>
      <c r="N981" s="85" t="s">
        <v>254</v>
      </c>
      <c r="O981" s="85">
        <v>0</v>
      </c>
      <c r="P981" s="85">
        <v>0</v>
      </c>
      <c r="Q981" s="85">
        <v>0</v>
      </c>
      <c r="R981" s="85"/>
    </row>
    <row r="982" spans="1:18" ht="15">
      <c r="A982" s="70">
        <v>6</v>
      </c>
      <c r="B982" s="70"/>
      <c r="C982" s="72" t="s">
        <v>986</v>
      </c>
      <c r="D982" s="72" t="s">
        <v>542</v>
      </c>
      <c r="E982" s="85">
        <v>27610573.629999999</v>
      </c>
      <c r="F982" s="85" t="s">
        <v>254</v>
      </c>
      <c r="G982" s="85">
        <v>26251787.18</v>
      </c>
      <c r="H982" s="85" t="s">
        <v>254</v>
      </c>
      <c r="I982" s="85">
        <v>1359505.3</v>
      </c>
      <c r="J982" s="85">
        <v>-718.85</v>
      </c>
      <c r="K982" s="85" t="s">
        <v>254</v>
      </c>
      <c r="L982" s="85" t="s">
        <v>254</v>
      </c>
      <c r="M982" s="85">
        <v>0</v>
      </c>
      <c r="N982" s="85" t="s">
        <v>254</v>
      </c>
      <c r="O982" s="85">
        <v>-718.85</v>
      </c>
      <c r="P982" s="85">
        <v>-718.85</v>
      </c>
      <c r="Q982" s="85">
        <v>0</v>
      </c>
      <c r="R982" s="85"/>
    </row>
    <row r="983" spans="1:18" ht="15">
      <c r="A983" s="70">
        <v>7</v>
      </c>
      <c r="B983" s="70"/>
      <c r="C983" s="72" t="s">
        <v>987</v>
      </c>
      <c r="D983" s="72" t="s">
        <v>691</v>
      </c>
      <c r="E983" s="85">
        <v>757621</v>
      </c>
      <c r="F983" s="85" t="s">
        <v>254</v>
      </c>
      <c r="G983" s="85">
        <v>718818</v>
      </c>
      <c r="H983" s="85" t="s">
        <v>254</v>
      </c>
      <c r="I983" s="85">
        <v>37912</v>
      </c>
      <c r="J983" s="85">
        <v>891</v>
      </c>
      <c r="K983" s="85" t="s">
        <v>254</v>
      </c>
      <c r="L983" s="85" t="s">
        <v>254</v>
      </c>
      <c r="M983" s="85">
        <v>6</v>
      </c>
      <c r="N983" s="85" t="s">
        <v>254</v>
      </c>
      <c r="O983" s="85">
        <v>885</v>
      </c>
      <c r="P983" s="85">
        <v>459</v>
      </c>
      <c r="Q983" s="85">
        <v>426</v>
      </c>
      <c r="R983" s="85"/>
    </row>
    <row r="984" spans="1:18" ht="15">
      <c r="A984" s="70">
        <v>8</v>
      </c>
      <c r="B984" s="70"/>
      <c r="C984" s="72" t="s">
        <v>988</v>
      </c>
      <c r="D984" s="72" t="s">
        <v>693</v>
      </c>
      <c r="E984" s="85">
        <v>757621</v>
      </c>
      <c r="F984" s="85" t="s">
        <v>254</v>
      </c>
      <c r="G984" s="85">
        <v>718818</v>
      </c>
      <c r="H984" s="85" t="s">
        <v>254</v>
      </c>
      <c r="I984" s="85">
        <v>37912</v>
      </c>
      <c r="J984" s="85">
        <v>891</v>
      </c>
      <c r="K984" s="85" t="s">
        <v>254</v>
      </c>
      <c r="L984" s="85" t="s">
        <v>254</v>
      </c>
      <c r="M984" s="85">
        <v>6</v>
      </c>
      <c r="N984" s="85" t="s">
        <v>254</v>
      </c>
      <c r="O984" s="85">
        <v>885</v>
      </c>
      <c r="P984" s="85">
        <v>459</v>
      </c>
      <c r="Q984" s="85">
        <v>426</v>
      </c>
      <c r="R984" s="85"/>
    </row>
    <row r="985" spans="1:18" ht="15">
      <c r="A985" s="70">
        <v>9</v>
      </c>
      <c r="B985" s="70"/>
      <c r="C985" s="72" t="s">
        <v>989</v>
      </c>
      <c r="D985" s="72" t="s">
        <v>695</v>
      </c>
      <c r="E985" s="85">
        <v>757621</v>
      </c>
      <c r="F985" s="85" t="s">
        <v>254</v>
      </c>
      <c r="G985" s="85">
        <v>718818</v>
      </c>
      <c r="H985" s="85" t="s">
        <v>254</v>
      </c>
      <c r="I985" s="85">
        <v>37912</v>
      </c>
      <c r="J985" s="85">
        <v>891</v>
      </c>
      <c r="K985" s="85" t="s">
        <v>254</v>
      </c>
      <c r="L985" s="85" t="s">
        <v>254</v>
      </c>
      <c r="M985" s="85">
        <v>6</v>
      </c>
      <c r="N985" s="85" t="s">
        <v>254</v>
      </c>
      <c r="O985" s="85">
        <v>885</v>
      </c>
      <c r="P985" s="85">
        <v>459</v>
      </c>
      <c r="Q985" s="85">
        <v>426</v>
      </c>
      <c r="R985" s="85"/>
    </row>
    <row r="986" spans="1:18" ht="15">
      <c r="A986" s="70">
        <v>10</v>
      </c>
      <c r="B986" s="70"/>
      <c r="C986" s="72" t="s">
        <v>990</v>
      </c>
      <c r="D986" s="72" t="s">
        <v>403</v>
      </c>
      <c r="E986" s="85">
        <v>5498987.4100000011</v>
      </c>
      <c r="F986" s="85" t="s">
        <v>254</v>
      </c>
      <c r="G986" s="85">
        <v>0</v>
      </c>
      <c r="H986" s="85" t="s">
        <v>254</v>
      </c>
      <c r="I986" s="85">
        <v>5498987.4100000011</v>
      </c>
      <c r="J986" s="85">
        <v>0</v>
      </c>
      <c r="K986" s="85" t="s">
        <v>254</v>
      </c>
      <c r="L986" s="85" t="s">
        <v>254</v>
      </c>
      <c r="M986" s="85">
        <v>0</v>
      </c>
      <c r="N986" s="85" t="s">
        <v>254</v>
      </c>
      <c r="O986" s="85">
        <v>0</v>
      </c>
      <c r="P986" s="85">
        <v>0</v>
      </c>
      <c r="Q986" s="85">
        <v>0</v>
      </c>
      <c r="R986" s="85"/>
    </row>
    <row r="987" spans="1:18" ht="15">
      <c r="A987" s="70">
        <v>11</v>
      </c>
      <c r="B987" s="70"/>
      <c r="C987" s="72" t="s">
        <v>991</v>
      </c>
      <c r="D987" s="72" t="s">
        <v>404</v>
      </c>
      <c r="E987" s="85">
        <v>3938073.7999999989</v>
      </c>
      <c r="F987" s="85" t="s">
        <v>254</v>
      </c>
      <c r="G987" s="85">
        <v>0</v>
      </c>
      <c r="H987" s="85" t="s">
        <v>254</v>
      </c>
      <c r="I987" s="85">
        <v>3938073.7999999989</v>
      </c>
      <c r="J987" s="85">
        <v>0</v>
      </c>
      <c r="K987" s="85" t="s">
        <v>254</v>
      </c>
      <c r="L987" s="85" t="s">
        <v>254</v>
      </c>
      <c r="M987" s="85">
        <v>0</v>
      </c>
      <c r="N987" s="85" t="s">
        <v>254</v>
      </c>
      <c r="O987" s="85">
        <v>0</v>
      </c>
      <c r="P987" s="85">
        <v>0</v>
      </c>
      <c r="Q987" s="85">
        <v>0</v>
      </c>
      <c r="R987" s="85"/>
    </row>
    <row r="988" spans="1:18" ht="15">
      <c r="A988" s="70">
        <v>12</v>
      </c>
      <c r="B988" s="70"/>
      <c r="C988" s="72" t="s">
        <v>992</v>
      </c>
      <c r="D988" s="72" t="s">
        <v>405</v>
      </c>
      <c r="E988" s="85">
        <v>0</v>
      </c>
      <c r="F988" s="85" t="s">
        <v>254</v>
      </c>
      <c r="G988" s="85">
        <v>0</v>
      </c>
      <c r="H988" s="85" t="s">
        <v>254</v>
      </c>
      <c r="I988" s="85">
        <v>0</v>
      </c>
      <c r="J988" s="85">
        <v>0</v>
      </c>
      <c r="K988" s="85" t="s">
        <v>254</v>
      </c>
      <c r="L988" s="85" t="s">
        <v>254</v>
      </c>
      <c r="M988" s="85">
        <v>0</v>
      </c>
      <c r="N988" s="85" t="s">
        <v>254</v>
      </c>
      <c r="O988" s="85">
        <v>0</v>
      </c>
      <c r="P988" s="85">
        <v>0</v>
      </c>
      <c r="Q988" s="85">
        <v>0</v>
      </c>
      <c r="R988" s="85"/>
    </row>
    <row r="989" spans="1:18" ht="15">
      <c r="A989" s="70">
        <v>13</v>
      </c>
      <c r="B989" s="70"/>
      <c r="C989" s="72" t="s">
        <v>993</v>
      </c>
      <c r="D989" s="72" t="s">
        <v>406</v>
      </c>
      <c r="E989" s="85">
        <v>3900880.5453846096</v>
      </c>
      <c r="F989" s="85" t="s">
        <v>254</v>
      </c>
      <c r="G989" s="85">
        <v>0</v>
      </c>
      <c r="H989" s="85" t="s">
        <v>254</v>
      </c>
      <c r="I989" s="85">
        <v>3900880.5453846096</v>
      </c>
      <c r="J989" s="85">
        <v>0</v>
      </c>
      <c r="K989" s="85" t="s">
        <v>254</v>
      </c>
      <c r="L989" s="85" t="s">
        <v>254</v>
      </c>
      <c r="M989" s="85">
        <v>0</v>
      </c>
      <c r="N989" s="85" t="s">
        <v>254</v>
      </c>
      <c r="O989" s="85">
        <v>0</v>
      </c>
      <c r="P989" s="85">
        <v>0</v>
      </c>
      <c r="Q989" s="85">
        <v>0</v>
      </c>
      <c r="R989" s="85"/>
    </row>
    <row r="990" spans="1:18" ht="15">
      <c r="A990" s="70">
        <v>14</v>
      </c>
      <c r="B990" s="70"/>
      <c r="C990" s="72" t="s">
        <v>994</v>
      </c>
      <c r="D990" s="72" t="s">
        <v>703</v>
      </c>
      <c r="E990" s="85">
        <v>517331</v>
      </c>
      <c r="F990" s="85" t="s">
        <v>254</v>
      </c>
      <c r="G990" s="85">
        <v>517331</v>
      </c>
      <c r="H990" s="85" t="s">
        <v>254</v>
      </c>
      <c r="I990" s="85">
        <v>0</v>
      </c>
      <c r="J990" s="85">
        <v>0</v>
      </c>
      <c r="K990" s="85" t="s">
        <v>254</v>
      </c>
      <c r="L990" s="85" t="s">
        <v>254</v>
      </c>
      <c r="M990" s="85">
        <v>0</v>
      </c>
      <c r="N990" s="85" t="s">
        <v>254</v>
      </c>
      <c r="O990" s="85">
        <v>0</v>
      </c>
      <c r="P990" s="85">
        <v>0</v>
      </c>
      <c r="Q990" s="85">
        <v>0</v>
      </c>
      <c r="R990" s="85"/>
    </row>
    <row r="991" spans="1:18" ht="15">
      <c r="A991" s="70">
        <v>15</v>
      </c>
      <c r="B991" s="70"/>
      <c r="C991" s="72" t="s">
        <v>995</v>
      </c>
      <c r="D991" s="72" t="s">
        <v>705</v>
      </c>
      <c r="E991" s="85">
        <v>545615</v>
      </c>
      <c r="F991" s="85" t="s">
        <v>254</v>
      </c>
      <c r="G991" s="85">
        <v>517327</v>
      </c>
      <c r="H991" s="85" t="s">
        <v>254</v>
      </c>
      <c r="I991" s="85">
        <v>28284</v>
      </c>
      <c r="J991" s="85">
        <v>4</v>
      </c>
      <c r="K991" s="85" t="s">
        <v>254</v>
      </c>
      <c r="L991" s="85" t="s">
        <v>254</v>
      </c>
      <c r="M991" s="85">
        <v>4</v>
      </c>
      <c r="N991" s="85" t="s">
        <v>254</v>
      </c>
      <c r="O991" s="85">
        <v>0</v>
      </c>
      <c r="P991" s="85">
        <v>0</v>
      </c>
      <c r="Q991" s="85">
        <v>0</v>
      </c>
      <c r="R991" s="85"/>
    </row>
    <row r="992" spans="1:18" ht="15">
      <c r="A992" s="70">
        <v>16</v>
      </c>
      <c r="B992" s="70"/>
      <c r="C992" s="72" t="s">
        <v>996</v>
      </c>
      <c r="D992" s="72" t="s">
        <v>712</v>
      </c>
      <c r="E992" s="85">
        <v>545615</v>
      </c>
      <c r="F992" s="85" t="s">
        <v>254</v>
      </c>
      <c r="G992" s="85">
        <v>517327</v>
      </c>
      <c r="H992" s="85" t="s">
        <v>254</v>
      </c>
      <c r="I992" s="85">
        <v>28284</v>
      </c>
      <c r="J992" s="85">
        <v>4</v>
      </c>
      <c r="K992" s="85" t="s">
        <v>254</v>
      </c>
      <c r="L992" s="85" t="s">
        <v>254</v>
      </c>
      <c r="M992" s="85">
        <v>4</v>
      </c>
      <c r="N992" s="85" t="s">
        <v>254</v>
      </c>
      <c r="O992" s="85">
        <v>0</v>
      </c>
      <c r="P992" s="85">
        <v>0</v>
      </c>
      <c r="Q992" s="85">
        <v>0</v>
      </c>
      <c r="R992" s="85"/>
    </row>
    <row r="993" spans="1:18" ht="15">
      <c r="A993" s="70">
        <v>17</v>
      </c>
      <c r="B993" s="70"/>
      <c r="C993" s="72" t="s">
        <v>997</v>
      </c>
      <c r="D993" s="72" t="s">
        <v>714</v>
      </c>
      <c r="E993" s="85">
        <v>545615</v>
      </c>
      <c r="F993" s="85" t="s">
        <v>254</v>
      </c>
      <c r="G993" s="85">
        <v>517327</v>
      </c>
      <c r="H993" s="85" t="s">
        <v>254</v>
      </c>
      <c r="I993" s="85">
        <v>28284</v>
      </c>
      <c r="J993" s="85">
        <v>4</v>
      </c>
      <c r="K993" s="85" t="s">
        <v>254</v>
      </c>
      <c r="L993" s="85" t="s">
        <v>254</v>
      </c>
      <c r="M993" s="85">
        <v>4</v>
      </c>
      <c r="N993" s="85" t="s">
        <v>254</v>
      </c>
      <c r="O993" s="85">
        <v>0</v>
      </c>
      <c r="P993" s="85">
        <v>0</v>
      </c>
      <c r="Q993" s="85">
        <v>0</v>
      </c>
      <c r="R993" s="85"/>
    </row>
    <row r="994" spans="1:18" ht="15">
      <c r="A994" s="70">
        <v>18</v>
      </c>
      <c r="B994" s="70"/>
      <c r="C994" s="72" t="s">
        <v>998</v>
      </c>
      <c r="D994" s="72" t="s">
        <v>999</v>
      </c>
      <c r="E994" s="85">
        <v>0</v>
      </c>
      <c r="F994" s="85" t="s">
        <v>254</v>
      </c>
      <c r="G994" s="85">
        <v>0</v>
      </c>
      <c r="H994" s="85" t="s">
        <v>254</v>
      </c>
      <c r="I994" s="85">
        <v>0</v>
      </c>
      <c r="J994" s="85">
        <v>0</v>
      </c>
      <c r="K994" s="85" t="s">
        <v>254</v>
      </c>
      <c r="L994" s="85" t="s">
        <v>254</v>
      </c>
      <c r="M994" s="85">
        <v>0</v>
      </c>
      <c r="N994" s="85" t="s">
        <v>254</v>
      </c>
      <c r="O994" s="85">
        <v>0</v>
      </c>
      <c r="P994" s="85">
        <v>0</v>
      </c>
      <c r="Q994" s="85">
        <v>0</v>
      </c>
      <c r="R994" s="85"/>
    </row>
    <row r="995" spans="1:18" ht="15">
      <c r="A995" s="70">
        <v>19</v>
      </c>
      <c r="B995" s="70"/>
      <c r="C995" s="72" t="s">
        <v>1000</v>
      </c>
      <c r="D995" s="72" t="s">
        <v>788</v>
      </c>
      <c r="E995" s="85">
        <v>66010.960000000006</v>
      </c>
      <c r="F995" s="85" t="s">
        <v>254</v>
      </c>
      <c r="G995" s="85">
        <v>62518.41</v>
      </c>
      <c r="H995" s="85" t="s">
        <v>254</v>
      </c>
      <c r="I995" s="85">
        <v>3492.55</v>
      </c>
      <c r="J995" s="85">
        <v>0</v>
      </c>
      <c r="K995" s="85" t="s">
        <v>254</v>
      </c>
      <c r="L995" s="85" t="s">
        <v>254</v>
      </c>
      <c r="M995" s="85">
        <v>0</v>
      </c>
      <c r="N995" s="85" t="s">
        <v>254</v>
      </c>
      <c r="O995" s="85">
        <v>0</v>
      </c>
      <c r="P995" s="85">
        <v>0</v>
      </c>
      <c r="Q995" s="85">
        <v>0</v>
      </c>
      <c r="R995" s="85"/>
    </row>
    <row r="996" spans="1:18" ht="15">
      <c r="A996" s="70">
        <v>20</v>
      </c>
      <c r="B996" s="70"/>
      <c r="C996" s="72" t="s">
        <v>1001</v>
      </c>
      <c r="D996" s="72" t="s">
        <v>566</v>
      </c>
      <c r="E996" s="85">
        <v>3813250.77</v>
      </c>
      <c r="F996" s="85" t="s">
        <v>254</v>
      </c>
      <c r="G996" s="85">
        <v>3676663.1</v>
      </c>
      <c r="H996" s="85" t="s">
        <v>254</v>
      </c>
      <c r="I996" s="85">
        <v>136549.35999999999</v>
      </c>
      <c r="J996" s="85">
        <v>38.31</v>
      </c>
      <c r="K996" s="85" t="s">
        <v>254</v>
      </c>
      <c r="L996" s="85" t="s">
        <v>254</v>
      </c>
      <c r="M996" s="85">
        <v>0</v>
      </c>
      <c r="N996" s="85" t="s">
        <v>254</v>
      </c>
      <c r="O996" s="85">
        <v>38.31</v>
      </c>
      <c r="P996" s="85">
        <v>38.31</v>
      </c>
      <c r="Q996" s="85">
        <v>0</v>
      </c>
      <c r="R996" s="85"/>
    </row>
    <row r="997" spans="1:18" ht="15">
      <c r="A997" s="70">
        <v>21</v>
      </c>
      <c r="B997" s="70"/>
      <c r="C997" s="72" t="s">
        <v>254</v>
      </c>
      <c r="D997" s="72" t="s">
        <v>254</v>
      </c>
      <c r="E997" s="85" t="s">
        <v>254</v>
      </c>
      <c r="F997" s="85" t="s">
        <v>254</v>
      </c>
      <c r="G997" s="85" t="s">
        <v>254</v>
      </c>
      <c r="H997" s="85" t="s">
        <v>254</v>
      </c>
      <c r="I997" s="85" t="s">
        <v>254</v>
      </c>
      <c r="J997" s="85" t="s">
        <v>254</v>
      </c>
      <c r="K997" s="85" t="s">
        <v>254</v>
      </c>
      <c r="L997" s="85" t="s">
        <v>254</v>
      </c>
      <c r="M997" s="85" t="s">
        <v>254</v>
      </c>
      <c r="N997" s="85" t="s">
        <v>254</v>
      </c>
      <c r="O997" s="85" t="s">
        <v>254</v>
      </c>
      <c r="P997" s="85" t="s">
        <v>254</v>
      </c>
      <c r="Q997" s="85" t="s">
        <v>254</v>
      </c>
      <c r="R997" s="85"/>
    </row>
    <row r="998" spans="1:18" ht="15">
      <c r="A998" s="70">
        <v>22</v>
      </c>
      <c r="B998" s="70"/>
      <c r="C998" s="72" t="s">
        <v>254</v>
      </c>
      <c r="D998" s="72" t="s">
        <v>254</v>
      </c>
      <c r="E998" s="85" t="s">
        <v>254</v>
      </c>
      <c r="F998" s="85" t="s">
        <v>254</v>
      </c>
      <c r="G998" s="85" t="s">
        <v>254</v>
      </c>
      <c r="H998" s="85" t="s">
        <v>254</v>
      </c>
      <c r="I998" s="85" t="s">
        <v>254</v>
      </c>
      <c r="J998" s="85" t="s">
        <v>254</v>
      </c>
      <c r="K998" s="85" t="s">
        <v>254</v>
      </c>
      <c r="L998" s="85" t="s">
        <v>254</v>
      </c>
      <c r="M998" s="85" t="s">
        <v>254</v>
      </c>
      <c r="N998" s="85" t="s">
        <v>254</v>
      </c>
      <c r="O998" s="85" t="s">
        <v>254</v>
      </c>
      <c r="P998" s="85" t="s">
        <v>254</v>
      </c>
      <c r="Q998" s="85" t="s">
        <v>254</v>
      </c>
      <c r="R998" s="85"/>
    </row>
    <row r="999" spans="1:18" ht="15">
      <c r="A999" s="70">
        <v>23</v>
      </c>
      <c r="B999" s="70"/>
      <c r="C999" s="72" t="s">
        <v>254</v>
      </c>
      <c r="D999" s="72" t="s">
        <v>254</v>
      </c>
      <c r="E999" s="85" t="s">
        <v>254</v>
      </c>
      <c r="F999" s="85" t="s">
        <v>254</v>
      </c>
      <c r="G999" s="85" t="s">
        <v>254</v>
      </c>
      <c r="H999" s="85" t="s">
        <v>254</v>
      </c>
      <c r="I999" s="85" t="s">
        <v>254</v>
      </c>
      <c r="J999" s="85" t="s">
        <v>254</v>
      </c>
      <c r="K999" s="85" t="s">
        <v>254</v>
      </c>
      <c r="L999" s="85" t="s">
        <v>254</v>
      </c>
      <c r="M999" s="85" t="s">
        <v>254</v>
      </c>
      <c r="N999" s="85" t="s">
        <v>254</v>
      </c>
      <c r="O999" s="85" t="s">
        <v>254</v>
      </c>
      <c r="P999" s="85" t="s">
        <v>254</v>
      </c>
      <c r="Q999" s="85" t="s">
        <v>254</v>
      </c>
      <c r="R999" s="85"/>
    </row>
    <row r="1000" spans="1:18" ht="15">
      <c r="A1000" s="70">
        <v>24</v>
      </c>
      <c r="B1000" s="70"/>
      <c r="C1000" s="72" t="s">
        <v>254</v>
      </c>
      <c r="D1000" s="72" t="s">
        <v>254</v>
      </c>
      <c r="E1000" s="85" t="s">
        <v>254</v>
      </c>
      <c r="F1000" s="85" t="s">
        <v>254</v>
      </c>
      <c r="G1000" s="85" t="s">
        <v>254</v>
      </c>
      <c r="H1000" s="85" t="s">
        <v>254</v>
      </c>
      <c r="I1000" s="85" t="s">
        <v>254</v>
      </c>
      <c r="J1000" s="85" t="s">
        <v>254</v>
      </c>
      <c r="K1000" s="85" t="s">
        <v>254</v>
      </c>
      <c r="L1000" s="85" t="s">
        <v>254</v>
      </c>
      <c r="M1000" s="85" t="s">
        <v>254</v>
      </c>
      <c r="N1000" s="85" t="s">
        <v>254</v>
      </c>
      <c r="O1000" s="85" t="s">
        <v>254</v>
      </c>
      <c r="P1000" s="85" t="s">
        <v>254</v>
      </c>
      <c r="Q1000" s="85" t="s">
        <v>254</v>
      </c>
      <c r="R1000" s="85"/>
    </row>
    <row r="1001" spans="1:18" ht="15">
      <c r="A1001" s="70">
        <v>25</v>
      </c>
      <c r="B1001" s="70"/>
      <c r="C1001" s="72" t="s">
        <v>254</v>
      </c>
      <c r="D1001" s="72" t="s">
        <v>254</v>
      </c>
      <c r="E1001" s="85" t="s">
        <v>254</v>
      </c>
      <c r="F1001" s="85" t="s">
        <v>254</v>
      </c>
      <c r="G1001" s="85" t="s">
        <v>254</v>
      </c>
      <c r="H1001" s="85" t="s">
        <v>254</v>
      </c>
      <c r="I1001" s="85" t="s">
        <v>254</v>
      </c>
      <c r="J1001" s="85" t="s">
        <v>254</v>
      </c>
      <c r="K1001" s="85" t="s">
        <v>254</v>
      </c>
      <c r="L1001" s="85" t="s">
        <v>254</v>
      </c>
      <c r="M1001" s="85" t="s">
        <v>254</v>
      </c>
      <c r="N1001" s="85" t="s">
        <v>254</v>
      </c>
      <c r="O1001" s="85" t="s">
        <v>254</v>
      </c>
      <c r="P1001" s="85" t="s">
        <v>254</v>
      </c>
      <c r="Q1001" s="85" t="s">
        <v>254</v>
      </c>
      <c r="R1001" s="85"/>
    </row>
    <row r="1002" spans="1:18" ht="15">
      <c r="A1002" s="70" t="s">
        <v>254</v>
      </c>
      <c r="B1002" s="70"/>
      <c r="C1002" s="72" t="s">
        <v>254</v>
      </c>
      <c r="D1002" s="72" t="s">
        <v>254</v>
      </c>
      <c r="E1002" s="85" t="s">
        <v>254</v>
      </c>
      <c r="F1002" s="85" t="s">
        <v>254</v>
      </c>
      <c r="G1002" s="85" t="s">
        <v>254</v>
      </c>
      <c r="H1002" s="85" t="s">
        <v>254</v>
      </c>
      <c r="I1002" s="85" t="s">
        <v>254</v>
      </c>
      <c r="J1002" s="85" t="s">
        <v>254</v>
      </c>
      <c r="K1002" s="85" t="s">
        <v>254</v>
      </c>
      <c r="L1002" s="85" t="s">
        <v>254</v>
      </c>
      <c r="M1002" s="85" t="s">
        <v>254</v>
      </c>
      <c r="N1002" s="85" t="s">
        <v>254</v>
      </c>
      <c r="O1002" s="85" t="s">
        <v>254</v>
      </c>
      <c r="P1002" s="85" t="s">
        <v>254</v>
      </c>
      <c r="Q1002" s="85" t="s">
        <v>254</v>
      </c>
      <c r="R1002" s="85"/>
    </row>
    <row r="1003" spans="1:18" ht="15">
      <c r="A1003" s="70" t="s">
        <v>254</v>
      </c>
      <c r="B1003" s="70"/>
      <c r="C1003" s="72" t="s">
        <v>1002</v>
      </c>
      <c r="D1003" s="72" t="s">
        <v>254</v>
      </c>
      <c r="E1003" s="85" t="s">
        <v>254</v>
      </c>
      <c r="F1003" s="85" t="s">
        <v>254</v>
      </c>
      <c r="G1003" s="85" t="s">
        <v>254</v>
      </c>
      <c r="H1003" s="85" t="s">
        <v>254</v>
      </c>
      <c r="I1003" s="85" t="s">
        <v>254</v>
      </c>
      <c r="J1003" s="85" t="s">
        <v>254</v>
      </c>
      <c r="K1003" s="85" t="s">
        <v>254</v>
      </c>
      <c r="L1003" s="85" t="s">
        <v>254</v>
      </c>
      <c r="M1003" s="85" t="s">
        <v>254</v>
      </c>
      <c r="N1003" s="85" t="s">
        <v>254</v>
      </c>
      <c r="O1003" s="85" t="s">
        <v>254</v>
      </c>
      <c r="P1003" s="85" t="s">
        <v>254</v>
      </c>
      <c r="Q1003" s="85" t="s">
        <v>254</v>
      </c>
      <c r="R1003" s="85"/>
    </row>
    <row r="1004" spans="1:18" ht="15">
      <c r="A1004" s="70" t="s">
        <v>254</v>
      </c>
      <c r="B1004" s="70"/>
      <c r="C1004" s="72" t="s">
        <v>925</v>
      </c>
      <c r="D1004" s="72" t="s">
        <v>254</v>
      </c>
      <c r="E1004" s="85" t="s">
        <v>254</v>
      </c>
      <c r="F1004" s="85" t="s">
        <v>254</v>
      </c>
      <c r="G1004" s="85" t="s">
        <v>254</v>
      </c>
      <c r="H1004" s="85" t="s">
        <v>254</v>
      </c>
      <c r="I1004" s="85" t="s">
        <v>254</v>
      </c>
      <c r="J1004" s="85" t="s">
        <v>254</v>
      </c>
      <c r="K1004" s="85" t="s">
        <v>254</v>
      </c>
      <c r="L1004" s="85" t="s">
        <v>254</v>
      </c>
      <c r="M1004" s="85" t="s">
        <v>254</v>
      </c>
      <c r="N1004" s="85" t="s">
        <v>254</v>
      </c>
      <c r="O1004" s="85" t="s">
        <v>254</v>
      </c>
      <c r="P1004" s="85" t="s">
        <v>254</v>
      </c>
      <c r="Q1004" s="85" t="s">
        <v>254</v>
      </c>
      <c r="R1004" s="85"/>
    </row>
    <row r="1005" spans="1:18" ht="15">
      <c r="A1005" s="70">
        <v>1</v>
      </c>
      <c r="B1005" s="70"/>
      <c r="C1005" s="72" t="s">
        <v>1003</v>
      </c>
      <c r="D1005" s="72" t="s">
        <v>299</v>
      </c>
      <c r="E1005" s="85">
        <v>9411035828.0815353</v>
      </c>
      <c r="F1005" s="85" t="s">
        <v>254</v>
      </c>
      <c r="G1005" s="85">
        <v>8360449589.6852503</v>
      </c>
      <c r="H1005" s="85" t="s">
        <v>254</v>
      </c>
      <c r="I1005" s="85">
        <v>465222856.49836028</v>
      </c>
      <c r="J1005" s="85">
        <v>585363381.89792442</v>
      </c>
      <c r="K1005" s="85" t="s">
        <v>254</v>
      </c>
      <c r="L1005" s="85" t="s">
        <v>254</v>
      </c>
      <c r="M1005" s="85">
        <v>203679.96580424803</v>
      </c>
      <c r="N1005" s="85" t="s">
        <v>254</v>
      </c>
      <c r="O1005" s="85">
        <v>585159701.9321202</v>
      </c>
      <c r="P1005" s="85">
        <v>184433373.30844113</v>
      </c>
      <c r="Q1005" s="85">
        <v>400726328.62367904</v>
      </c>
      <c r="R1005" s="85"/>
    </row>
    <row r="1006" spans="1:18" ht="15">
      <c r="A1006" s="70">
        <v>2</v>
      </c>
      <c r="B1006" s="70"/>
      <c r="C1006" s="72" t="s">
        <v>1004</v>
      </c>
      <c r="D1006" s="72" t="s">
        <v>301</v>
      </c>
      <c r="E1006" s="85">
        <v>8360449589.6852503</v>
      </c>
      <c r="F1006" s="85" t="s">
        <v>254</v>
      </c>
      <c r="G1006" s="85">
        <v>8360449589.6852503</v>
      </c>
      <c r="H1006" s="85" t="s">
        <v>254</v>
      </c>
      <c r="I1006" s="85">
        <v>0</v>
      </c>
      <c r="J1006" s="85">
        <v>0</v>
      </c>
      <c r="K1006" s="85" t="s">
        <v>254</v>
      </c>
      <c r="L1006" s="85" t="s">
        <v>254</v>
      </c>
      <c r="M1006" s="85">
        <v>0</v>
      </c>
      <c r="N1006" s="85" t="s">
        <v>254</v>
      </c>
      <c r="O1006" s="85">
        <v>0</v>
      </c>
      <c r="P1006" s="85">
        <v>0</v>
      </c>
      <c r="Q1006" s="85">
        <v>0</v>
      </c>
      <c r="R1006" s="85"/>
    </row>
    <row r="1007" spans="1:18" ht="15">
      <c r="A1007" s="70">
        <v>3</v>
      </c>
      <c r="B1007" s="70"/>
      <c r="C1007" s="72" t="s">
        <v>1005</v>
      </c>
      <c r="D1007" s="72" t="s">
        <v>422</v>
      </c>
      <c r="E1007" s="85">
        <v>188407217</v>
      </c>
      <c r="F1007" s="85" t="s">
        <v>254</v>
      </c>
      <c r="G1007" s="85">
        <v>170265600.74430859</v>
      </c>
      <c r="H1007" s="85" t="s">
        <v>254</v>
      </c>
      <c r="I1007" s="85">
        <v>8841043.886412181</v>
      </c>
      <c r="J1007" s="85">
        <v>9300572.36927923</v>
      </c>
      <c r="K1007" s="85" t="s">
        <v>254</v>
      </c>
      <c r="L1007" s="85" t="s">
        <v>254</v>
      </c>
      <c r="M1007" s="85">
        <v>4243.1654496821729</v>
      </c>
      <c r="N1007" s="85" t="s">
        <v>254</v>
      </c>
      <c r="O1007" s="85">
        <v>9296329.2038295474</v>
      </c>
      <c r="P1007" s="85">
        <v>2967765.096076705</v>
      </c>
      <c r="Q1007" s="85">
        <v>6328564.1077528428</v>
      </c>
      <c r="R1007" s="85"/>
    </row>
    <row r="1008" spans="1:18" ht="15">
      <c r="A1008" s="70">
        <v>4</v>
      </c>
      <c r="B1008" s="70"/>
      <c r="C1008" s="72" t="s">
        <v>1006</v>
      </c>
      <c r="D1008" s="72" t="s">
        <v>447</v>
      </c>
      <c r="E1008" s="85">
        <v>5279167993.4476919</v>
      </c>
      <c r="F1008" s="85" t="s">
        <v>254</v>
      </c>
      <c r="G1008" s="85">
        <v>4623375268.0448971</v>
      </c>
      <c r="H1008" s="85" t="s">
        <v>254</v>
      </c>
      <c r="I1008" s="85">
        <v>213662668.10617903</v>
      </c>
      <c r="J1008" s="85">
        <v>442130057.29661602</v>
      </c>
      <c r="K1008" s="85" t="s">
        <v>254</v>
      </c>
      <c r="L1008" s="85" t="s">
        <v>254</v>
      </c>
      <c r="M1008" s="85">
        <v>16246.202307146548</v>
      </c>
      <c r="N1008" s="85" t="s">
        <v>254</v>
      </c>
      <c r="O1008" s="85">
        <v>442113811.09430885</v>
      </c>
      <c r="P1008" s="85">
        <v>137213947.75867727</v>
      </c>
      <c r="Q1008" s="85">
        <v>304899863.33563161</v>
      </c>
      <c r="R1008" s="85"/>
    </row>
    <row r="1009" spans="1:18" ht="15">
      <c r="A1009" s="70">
        <v>5</v>
      </c>
      <c r="B1009" s="70"/>
      <c r="C1009" s="72" t="s">
        <v>1007</v>
      </c>
      <c r="D1009" s="72" t="s">
        <v>909</v>
      </c>
      <c r="E1009" s="85">
        <v>109640454</v>
      </c>
      <c r="F1009" s="85" t="s">
        <v>254</v>
      </c>
      <c r="G1009" s="85">
        <v>99083241.414200872</v>
      </c>
      <c r="H1009" s="85" t="s">
        <v>254</v>
      </c>
      <c r="I1009" s="85">
        <v>5144898.8047000123</v>
      </c>
      <c r="J1009" s="85">
        <v>5412313.781099109</v>
      </c>
      <c r="K1009" s="85" t="s">
        <v>254</v>
      </c>
      <c r="L1009" s="85" t="s">
        <v>254</v>
      </c>
      <c r="M1009" s="85">
        <v>2469.2397335303112</v>
      </c>
      <c r="N1009" s="85" t="s">
        <v>254</v>
      </c>
      <c r="O1009" s="85">
        <v>5409844.5413655788</v>
      </c>
      <c r="P1009" s="85">
        <v>1727041.6583840498</v>
      </c>
      <c r="Q1009" s="85">
        <v>3682802.8829815295</v>
      </c>
      <c r="R1009" s="85"/>
    </row>
    <row r="1010" spans="1:18" ht="15">
      <c r="A1010" s="70">
        <v>6</v>
      </c>
      <c r="B1010" s="70"/>
      <c r="C1010" s="72" t="s">
        <v>1008</v>
      </c>
      <c r="D1010" s="72" t="s">
        <v>452</v>
      </c>
      <c r="E1010" s="85">
        <v>42479827.080769226</v>
      </c>
      <c r="F1010" s="85" t="s">
        <v>254</v>
      </c>
      <c r="G1010" s="85">
        <v>37202866.466802523</v>
      </c>
      <c r="H1010" s="85" t="s">
        <v>254</v>
      </c>
      <c r="I1010" s="85">
        <v>1719277.2054292471</v>
      </c>
      <c r="J1010" s="85">
        <v>3557683.4085374586</v>
      </c>
      <c r="K1010" s="85" t="s">
        <v>254</v>
      </c>
      <c r="L1010" s="85" t="s">
        <v>254</v>
      </c>
      <c r="M1010" s="85">
        <v>130.72814988713193</v>
      </c>
      <c r="N1010" s="85" t="s">
        <v>254</v>
      </c>
      <c r="O1010" s="85">
        <v>3557552.6803875715</v>
      </c>
      <c r="P1010" s="85">
        <v>1104118.0695694536</v>
      </c>
      <c r="Q1010" s="85">
        <v>2453434.6108181179</v>
      </c>
      <c r="R1010" s="85"/>
    </row>
    <row r="1011" spans="1:18" ht="15">
      <c r="A1011" s="70">
        <v>7</v>
      </c>
      <c r="B1011" s="70"/>
      <c r="C1011" s="72" t="s">
        <v>1009</v>
      </c>
      <c r="D1011" s="72" t="s">
        <v>455</v>
      </c>
      <c r="E1011" s="85">
        <v>1022068717.5784615</v>
      </c>
      <c r="F1011" s="85" t="s">
        <v>254</v>
      </c>
      <c r="G1011" s="85">
        <v>895104538.62419689</v>
      </c>
      <c r="H1011" s="85" t="s">
        <v>254</v>
      </c>
      <c r="I1011" s="85">
        <v>41365974.611286752</v>
      </c>
      <c r="J1011" s="85">
        <v>85598204.342977881</v>
      </c>
      <c r="K1011" s="85" t="s">
        <v>254</v>
      </c>
      <c r="L1011" s="85" t="s">
        <v>254</v>
      </c>
      <c r="M1011" s="85">
        <v>3145.3318360383109</v>
      </c>
      <c r="N1011" s="85" t="s">
        <v>254</v>
      </c>
      <c r="O1011" s="85">
        <v>85595059.011141837</v>
      </c>
      <c r="P1011" s="85">
        <v>26565186.747921754</v>
      </c>
      <c r="Q1011" s="85">
        <v>59029872.263220079</v>
      </c>
      <c r="R1011" s="85"/>
    </row>
    <row r="1012" spans="1:18" ht="15">
      <c r="A1012" s="70">
        <v>8</v>
      </c>
      <c r="B1012" s="70"/>
      <c r="C1012" s="72" t="s">
        <v>1010</v>
      </c>
      <c r="D1012" s="72" t="s">
        <v>1011</v>
      </c>
      <c r="E1012" s="85">
        <v>918343861.11076915</v>
      </c>
      <c r="F1012" s="85" t="s">
        <v>254</v>
      </c>
      <c r="G1012" s="85">
        <v>873403033.89332759</v>
      </c>
      <c r="H1012" s="85" t="s">
        <v>254</v>
      </c>
      <c r="I1012" s="85">
        <v>41387411.327948786</v>
      </c>
      <c r="J1012" s="85">
        <v>3553415.8894928005</v>
      </c>
      <c r="K1012" s="85" t="s">
        <v>254</v>
      </c>
      <c r="L1012" s="85" t="s">
        <v>254</v>
      </c>
      <c r="M1012" s="85">
        <v>3069.0743367468272</v>
      </c>
      <c r="N1012" s="85" t="s">
        <v>254</v>
      </c>
      <c r="O1012" s="85">
        <v>3550346.8151560538</v>
      </c>
      <c r="P1012" s="85">
        <v>1101881.6652983767</v>
      </c>
      <c r="Q1012" s="85">
        <v>2448465.1498576771</v>
      </c>
      <c r="R1012" s="85"/>
    </row>
    <row r="1013" spans="1:18" ht="15">
      <c r="A1013" s="70">
        <v>9</v>
      </c>
      <c r="B1013" s="70"/>
      <c r="C1013" s="72" t="s">
        <v>1012</v>
      </c>
      <c r="D1013" s="72" t="s">
        <v>487</v>
      </c>
      <c r="E1013" s="85">
        <v>54886258.943076827</v>
      </c>
      <c r="F1013" s="85" t="s">
        <v>254</v>
      </c>
      <c r="G1013" s="85">
        <v>0</v>
      </c>
      <c r="H1013" s="85" t="s">
        <v>254</v>
      </c>
      <c r="I1013" s="85">
        <v>54886258.943076827</v>
      </c>
      <c r="J1013" s="85">
        <v>0</v>
      </c>
      <c r="K1013" s="85" t="s">
        <v>254</v>
      </c>
      <c r="L1013" s="85" t="s">
        <v>254</v>
      </c>
      <c r="M1013" s="85">
        <v>0</v>
      </c>
      <c r="N1013" s="85" t="s">
        <v>254</v>
      </c>
      <c r="O1013" s="85">
        <v>0</v>
      </c>
      <c r="P1013" s="85">
        <v>0</v>
      </c>
      <c r="Q1013" s="85">
        <v>0</v>
      </c>
      <c r="R1013" s="85"/>
    </row>
    <row r="1014" spans="1:18" ht="15">
      <c r="A1014" s="70">
        <v>10</v>
      </c>
      <c r="B1014" s="70"/>
      <c r="C1014" s="72" t="s">
        <v>1013</v>
      </c>
      <c r="D1014" s="72" t="s">
        <v>1014</v>
      </c>
      <c r="E1014" s="85">
        <v>63116688.353076823</v>
      </c>
      <c r="F1014" s="85" t="s">
        <v>254</v>
      </c>
      <c r="G1014" s="85">
        <v>8230400.4889750648</v>
      </c>
      <c r="H1014" s="85" t="s">
        <v>254</v>
      </c>
      <c r="I1014" s="85">
        <v>54886258.943076827</v>
      </c>
      <c r="J1014" s="85">
        <v>28.921024935375918</v>
      </c>
      <c r="K1014" s="85" t="s">
        <v>254</v>
      </c>
      <c r="L1014" s="85" t="s">
        <v>254</v>
      </c>
      <c r="M1014" s="85">
        <v>28.921024935375918</v>
      </c>
      <c r="N1014" s="85" t="s">
        <v>254</v>
      </c>
      <c r="O1014" s="85">
        <v>0</v>
      </c>
      <c r="P1014" s="85">
        <v>0</v>
      </c>
      <c r="Q1014" s="85">
        <v>0</v>
      </c>
      <c r="R1014" s="85"/>
    </row>
    <row r="1015" spans="1:18" ht="15">
      <c r="A1015" s="70">
        <v>11</v>
      </c>
      <c r="B1015" s="70"/>
      <c r="C1015" s="72" t="s">
        <v>419</v>
      </c>
      <c r="D1015" s="72" t="s">
        <v>505</v>
      </c>
      <c r="E1015" s="85">
        <v>1836173590.7569203</v>
      </c>
      <c r="F1015" s="85" t="s">
        <v>254</v>
      </c>
      <c r="G1015" s="85">
        <v>1734009542.3257976</v>
      </c>
      <c r="H1015" s="85" t="s">
        <v>254</v>
      </c>
      <c r="I1015" s="85">
        <v>97067578.19769229</v>
      </c>
      <c r="J1015" s="85">
        <v>5096470.2334303223</v>
      </c>
      <c r="K1015" s="85" t="s">
        <v>254</v>
      </c>
      <c r="L1015" s="85" t="s">
        <v>254</v>
      </c>
      <c r="M1015" s="85">
        <v>176624.25999999998</v>
      </c>
      <c r="N1015" s="85" t="s">
        <v>254</v>
      </c>
      <c r="O1015" s="85">
        <v>4919845.9734303225</v>
      </c>
      <c r="P1015" s="85">
        <v>4264490.9925255449</v>
      </c>
      <c r="Q1015" s="85">
        <v>655354.980904778</v>
      </c>
      <c r="R1015" s="85"/>
    </row>
    <row r="1016" spans="1:18" ht="15">
      <c r="A1016" s="70">
        <v>12</v>
      </c>
      <c r="B1016" s="70"/>
      <c r="C1016" s="72" t="s">
        <v>1015</v>
      </c>
      <c r="D1016" s="72" t="s">
        <v>469</v>
      </c>
      <c r="E1016" s="85">
        <v>1738929388.299228</v>
      </c>
      <c r="F1016" s="85" t="s">
        <v>254</v>
      </c>
      <c r="G1016" s="85">
        <v>1734009542.3257976</v>
      </c>
      <c r="H1016" s="85" t="s">
        <v>254</v>
      </c>
      <c r="I1016" s="85">
        <v>0</v>
      </c>
      <c r="J1016" s="85">
        <v>4919845.9734303225</v>
      </c>
      <c r="K1016" s="85" t="s">
        <v>254</v>
      </c>
      <c r="L1016" s="85" t="s">
        <v>254</v>
      </c>
      <c r="M1016" s="85">
        <v>0</v>
      </c>
      <c r="N1016" s="85" t="s">
        <v>254</v>
      </c>
      <c r="O1016" s="85">
        <v>4919845.9734303225</v>
      </c>
      <c r="P1016" s="85">
        <v>4264490.9925255449</v>
      </c>
      <c r="Q1016" s="85">
        <v>655354.980904778</v>
      </c>
      <c r="R1016" s="85"/>
    </row>
    <row r="1017" spans="1:18" ht="15">
      <c r="A1017" s="70">
        <v>13</v>
      </c>
      <c r="B1017" s="70"/>
      <c r="C1017" s="72" t="s">
        <v>1016</v>
      </c>
      <c r="D1017" s="72" t="s">
        <v>471</v>
      </c>
      <c r="E1017" s="85">
        <v>207698615.21384597</v>
      </c>
      <c r="F1017" s="85" t="s">
        <v>254</v>
      </c>
      <c r="G1017" s="85">
        <v>188738968.75450593</v>
      </c>
      <c r="H1017" s="85" t="s">
        <v>254</v>
      </c>
      <c r="I1017" s="85">
        <v>9239698.6054259427</v>
      </c>
      <c r="J1017" s="85">
        <v>9719947.8539140876</v>
      </c>
      <c r="K1017" s="85" t="s">
        <v>254</v>
      </c>
      <c r="L1017" s="85" t="s">
        <v>254</v>
      </c>
      <c r="M1017" s="85">
        <v>4434.495563162518</v>
      </c>
      <c r="N1017" s="85" t="s">
        <v>254</v>
      </c>
      <c r="O1017" s="85">
        <v>9715513.3583509251</v>
      </c>
      <c r="P1017" s="85">
        <v>3101585.6692664423</v>
      </c>
      <c r="Q1017" s="85">
        <v>6613927.6890844833</v>
      </c>
      <c r="R1017" s="85"/>
    </row>
    <row r="1018" spans="1:18" ht="15">
      <c r="A1018" s="70">
        <v>14</v>
      </c>
      <c r="B1018" s="70"/>
      <c r="C1018" s="72" t="s">
        <v>1017</v>
      </c>
      <c r="D1018" s="72" t="s">
        <v>473</v>
      </c>
      <c r="E1018" s="85">
        <v>55918.829999999994</v>
      </c>
      <c r="F1018" s="85" t="s">
        <v>254</v>
      </c>
      <c r="G1018" s="85">
        <v>55918.829999999994</v>
      </c>
      <c r="H1018" s="85" t="s">
        <v>254</v>
      </c>
      <c r="I1018" s="85">
        <v>0</v>
      </c>
      <c r="J1018" s="85">
        <v>0</v>
      </c>
      <c r="K1018" s="85" t="s">
        <v>254</v>
      </c>
      <c r="L1018" s="85" t="s">
        <v>254</v>
      </c>
      <c r="M1018" s="85">
        <v>0</v>
      </c>
      <c r="N1018" s="85" t="s">
        <v>254</v>
      </c>
      <c r="O1018" s="85">
        <v>0</v>
      </c>
      <c r="P1018" s="85">
        <v>0</v>
      </c>
      <c r="Q1018" s="85">
        <v>0</v>
      </c>
      <c r="R1018" s="85"/>
    </row>
    <row r="1019" spans="1:18" ht="15">
      <c r="A1019" s="70">
        <v>15</v>
      </c>
      <c r="B1019" s="70"/>
      <c r="C1019" s="72" t="s">
        <v>1018</v>
      </c>
      <c r="D1019" s="72" t="s">
        <v>475</v>
      </c>
      <c r="E1019" s="85">
        <v>115922918.5592307</v>
      </c>
      <c r="F1019" s="85" t="s">
        <v>254</v>
      </c>
      <c r="G1019" s="85">
        <v>102982045.18696477</v>
      </c>
      <c r="H1019" s="85" t="s">
        <v>254</v>
      </c>
      <c r="I1019" s="85">
        <v>5730505.3652894096</v>
      </c>
      <c r="J1019" s="85">
        <v>7210368.0069765281</v>
      </c>
      <c r="K1019" s="85" t="s">
        <v>254</v>
      </c>
      <c r="L1019" s="85" t="s">
        <v>254</v>
      </c>
      <c r="M1019" s="85">
        <v>2508.8817553557165</v>
      </c>
      <c r="N1019" s="85" t="s">
        <v>254</v>
      </c>
      <c r="O1019" s="85">
        <v>7207859.1252211723</v>
      </c>
      <c r="P1019" s="85">
        <v>2271806.770710913</v>
      </c>
      <c r="Q1019" s="85">
        <v>4936052.3545102598</v>
      </c>
      <c r="R1019" s="85"/>
    </row>
    <row r="1020" spans="1:18" ht="15">
      <c r="A1020" s="70">
        <v>16</v>
      </c>
      <c r="B1020" s="70"/>
      <c r="C1020" s="72" t="s">
        <v>1019</v>
      </c>
      <c r="D1020" s="72" t="s">
        <v>481</v>
      </c>
      <c r="E1020" s="85">
        <v>6343716538.1069231</v>
      </c>
      <c r="F1020" s="85" t="s">
        <v>254</v>
      </c>
      <c r="G1020" s="85">
        <v>5555682673.1358967</v>
      </c>
      <c r="H1020" s="85" t="s">
        <v>254</v>
      </c>
      <c r="I1020" s="85">
        <v>256747919.92289504</v>
      </c>
      <c r="J1020" s="85">
        <v>531285945.04813135</v>
      </c>
      <c r="K1020" s="85" t="s">
        <v>254</v>
      </c>
      <c r="L1020" s="85" t="s">
        <v>254</v>
      </c>
      <c r="M1020" s="85">
        <v>19522.262293071992</v>
      </c>
      <c r="N1020" s="85" t="s">
        <v>254</v>
      </c>
      <c r="O1020" s="85">
        <v>531266422.78583825</v>
      </c>
      <c r="P1020" s="85">
        <v>164883252.57616851</v>
      </c>
      <c r="Q1020" s="85">
        <v>366383170.20966971</v>
      </c>
      <c r="R1020" s="85"/>
    </row>
    <row r="1021" spans="1:18" ht="15">
      <c r="A1021" s="70">
        <v>17</v>
      </c>
      <c r="B1021" s="70"/>
      <c r="C1021" s="72" t="s">
        <v>339</v>
      </c>
      <c r="D1021" s="72" t="s">
        <v>501</v>
      </c>
      <c r="E1021" s="85">
        <v>6385265102.5569229</v>
      </c>
      <c r="F1021" s="85" t="s">
        <v>254</v>
      </c>
      <c r="G1021" s="85">
        <v>5555953761.9726448</v>
      </c>
      <c r="H1021" s="85" t="s">
        <v>254</v>
      </c>
      <c r="I1021" s="85">
        <v>262317821.58421645</v>
      </c>
      <c r="J1021" s="85">
        <v>566993519.00006235</v>
      </c>
      <c r="K1021" s="85" t="s">
        <v>254</v>
      </c>
      <c r="L1021" s="85" t="s">
        <v>254</v>
      </c>
      <c r="M1021" s="85">
        <v>19523.214879403335</v>
      </c>
      <c r="N1021" s="85" t="s">
        <v>254</v>
      </c>
      <c r="O1021" s="85">
        <v>566973995.78518295</v>
      </c>
      <c r="P1021" s="85">
        <v>175965414.98135078</v>
      </c>
      <c r="Q1021" s="85">
        <v>391008580.80383211</v>
      </c>
      <c r="R1021" s="85"/>
    </row>
    <row r="1022" spans="1:18" ht="15">
      <c r="A1022" s="70">
        <v>18</v>
      </c>
      <c r="B1022" s="70"/>
      <c r="C1022" s="72" t="s">
        <v>360</v>
      </c>
      <c r="D1022" s="72" t="s">
        <v>1020</v>
      </c>
      <c r="E1022" s="85">
        <v>981460549.46384609</v>
      </c>
      <c r="F1022" s="85" t="s">
        <v>254</v>
      </c>
      <c r="G1022" s="85">
        <v>881633434.38230264</v>
      </c>
      <c r="H1022" s="85" t="s">
        <v>254</v>
      </c>
      <c r="I1022" s="85">
        <v>96273670.271025613</v>
      </c>
      <c r="J1022" s="85">
        <v>3553444.8105177358</v>
      </c>
      <c r="K1022" s="85" t="s">
        <v>254</v>
      </c>
      <c r="L1022" s="85" t="s">
        <v>254</v>
      </c>
      <c r="M1022" s="85">
        <v>3097.9953616822031</v>
      </c>
      <c r="N1022" s="85" t="s">
        <v>254</v>
      </c>
      <c r="O1022" s="85">
        <v>3550346.8151560538</v>
      </c>
      <c r="P1022" s="85">
        <v>1101881.6652983767</v>
      </c>
      <c r="Q1022" s="85">
        <v>2448465.1498576771</v>
      </c>
      <c r="R1022" s="85"/>
    </row>
    <row r="1023" spans="1:18" ht="15">
      <c r="A1023" s="70">
        <v>19</v>
      </c>
      <c r="B1023" s="70"/>
      <c r="C1023" s="72" t="s">
        <v>1021</v>
      </c>
      <c r="D1023" s="72" t="s">
        <v>503</v>
      </c>
      <c r="E1023" s="85">
        <v>977910202.64868999</v>
      </c>
      <c r="F1023" s="85" t="s">
        <v>254</v>
      </c>
      <c r="G1023" s="85">
        <v>881633434.38230264</v>
      </c>
      <c r="H1023" s="85" t="s">
        <v>254</v>
      </c>
      <c r="I1023" s="85">
        <v>96273670.271025613</v>
      </c>
      <c r="J1023" s="85">
        <v>3097.9953616822031</v>
      </c>
      <c r="K1023" s="85" t="s">
        <v>254</v>
      </c>
      <c r="L1023" s="85" t="s">
        <v>254</v>
      </c>
      <c r="M1023" s="85">
        <v>3097.9953616822031</v>
      </c>
      <c r="N1023" s="85" t="s">
        <v>254</v>
      </c>
      <c r="O1023" s="85">
        <v>0</v>
      </c>
      <c r="P1023" s="85">
        <v>0</v>
      </c>
      <c r="Q1023" s="85">
        <v>0</v>
      </c>
      <c r="R1023" s="85"/>
    </row>
    <row r="1024" spans="1:18" ht="15">
      <c r="A1024" s="70">
        <v>20</v>
      </c>
      <c r="B1024" s="70"/>
      <c r="C1024" s="72" t="s">
        <v>1022</v>
      </c>
      <c r="D1024" s="72" t="s">
        <v>508</v>
      </c>
      <c r="E1024" s="85">
        <v>44048859</v>
      </c>
      <c r="F1024" s="85" t="s">
        <v>254</v>
      </c>
      <c r="G1024" s="85">
        <v>39006996.400727212</v>
      </c>
      <c r="H1024" s="85" t="s">
        <v>254</v>
      </c>
      <c r="I1024" s="85">
        <v>2320071.6635289136</v>
      </c>
      <c r="J1024" s="85">
        <v>2721790.9357438744</v>
      </c>
      <c r="K1024" s="85" t="s">
        <v>254</v>
      </c>
      <c r="L1024" s="85" t="s">
        <v>254</v>
      </c>
      <c r="M1024" s="85">
        <v>684.43720707364128</v>
      </c>
      <c r="N1024" s="85" t="s">
        <v>254</v>
      </c>
      <c r="O1024" s="85">
        <v>2721106.498536801</v>
      </c>
      <c r="P1024" s="85">
        <v>853306.61168336053</v>
      </c>
      <c r="Q1024" s="85">
        <v>1867799.8868534407</v>
      </c>
      <c r="R1024" s="85"/>
    </row>
    <row r="1025" spans="1:18" ht="15">
      <c r="A1025" s="70">
        <v>21</v>
      </c>
      <c r="B1025" s="70"/>
      <c r="C1025" s="72" t="s">
        <v>1023</v>
      </c>
      <c r="D1025" s="72" t="s">
        <v>513</v>
      </c>
      <c r="E1025" s="85">
        <v>10560458.999999989</v>
      </c>
      <c r="F1025" s="85" t="s">
        <v>254</v>
      </c>
      <c r="G1025" s="85">
        <v>9447961.4330750518</v>
      </c>
      <c r="H1025" s="85" t="s">
        <v>254</v>
      </c>
      <c r="I1025" s="85">
        <v>511149.28615127259</v>
      </c>
      <c r="J1025" s="85">
        <v>601348.28077366354</v>
      </c>
      <c r="K1025" s="85" t="s">
        <v>254</v>
      </c>
      <c r="L1025" s="85" t="s">
        <v>254</v>
      </c>
      <c r="M1025" s="85">
        <v>232.32466968275835</v>
      </c>
      <c r="N1025" s="85" t="s">
        <v>254</v>
      </c>
      <c r="O1025" s="85">
        <v>601115.95610398077</v>
      </c>
      <c r="P1025" s="85">
        <v>190326.82348489683</v>
      </c>
      <c r="Q1025" s="85">
        <v>410789.13261908398</v>
      </c>
      <c r="R1025" s="85"/>
    </row>
    <row r="1026" spans="1:18" ht="15">
      <c r="A1026" s="70">
        <v>22</v>
      </c>
      <c r="B1026" s="70"/>
      <c r="C1026" s="72" t="s">
        <v>1024</v>
      </c>
      <c r="D1026" s="72" t="s">
        <v>515</v>
      </c>
      <c r="E1026" s="85">
        <v>1611170006.6446187</v>
      </c>
      <c r="F1026" s="85" t="s">
        <v>254</v>
      </c>
      <c r="G1026" s="85">
        <v>1611170006.6446187</v>
      </c>
      <c r="H1026" s="85" t="s">
        <v>254</v>
      </c>
      <c r="I1026" s="85">
        <v>0</v>
      </c>
      <c r="J1026" s="85">
        <v>0</v>
      </c>
      <c r="K1026" s="85" t="s">
        <v>254</v>
      </c>
      <c r="L1026" s="85" t="s">
        <v>254</v>
      </c>
      <c r="M1026" s="85">
        <v>0</v>
      </c>
      <c r="N1026" s="85" t="s">
        <v>254</v>
      </c>
      <c r="O1026" s="85">
        <v>0</v>
      </c>
      <c r="P1026" s="85">
        <v>0</v>
      </c>
      <c r="Q1026" s="85">
        <v>0</v>
      </c>
      <c r="R1026" s="85"/>
    </row>
    <row r="1027" spans="1:18" ht="15">
      <c r="A1027" s="70">
        <v>23</v>
      </c>
      <c r="B1027" s="70"/>
      <c r="C1027" s="72" t="s">
        <v>1025</v>
      </c>
      <c r="D1027" s="72" t="s">
        <v>1026</v>
      </c>
      <c r="E1027" s="85">
        <v>18078755.017977506</v>
      </c>
      <c r="F1027" s="85" t="s">
        <v>254</v>
      </c>
      <c r="G1027" s="85">
        <v>0</v>
      </c>
      <c r="H1027" s="85" t="s">
        <v>254</v>
      </c>
      <c r="I1027" s="85">
        <v>0</v>
      </c>
      <c r="J1027" s="85">
        <v>18078755.017977506</v>
      </c>
      <c r="K1027" s="85" t="s">
        <v>254</v>
      </c>
      <c r="L1027" s="85" t="s">
        <v>254</v>
      </c>
      <c r="M1027" s="85">
        <v>0</v>
      </c>
      <c r="N1027" s="85" t="s">
        <v>254</v>
      </c>
      <c r="O1027" s="85">
        <v>18078755.017977506</v>
      </c>
      <c r="P1027" s="85">
        <v>5610902.180229635</v>
      </c>
      <c r="Q1027" s="85">
        <v>12467852.83774787</v>
      </c>
      <c r="R1027" s="85"/>
    </row>
    <row r="1028" spans="1:18" ht="15">
      <c r="A1028" s="70">
        <v>24</v>
      </c>
      <c r="B1028" s="70"/>
      <c r="C1028" s="72" t="s">
        <v>1027</v>
      </c>
      <c r="D1028" s="72" t="s">
        <v>1028</v>
      </c>
      <c r="E1028" s="85">
        <v>0</v>
      </c>
      <c r="F1028" s="85" t="s">
        <v>254</v>
      </c>
      <c r="G1028" s="85">
        <v>0</v>
      </c>
      <c r="H1028" s="85" t="s">
        <v>254</v>
      </c>
      <c r="I1028" s="85">
        <v>0</v>
      </c>
      <c r="J1028" s="85">
        <v>0</v>
      </c>
      <c r="K1028" s="85" t="s">
        <v>254</v>
      </c>
      <c r="L1028" s="85" t="s">
        <v>254</v>
      </c>
      <c r="M1028" s="85">
        <v>0</v>
      </c>
      <c r="N1028" s="85" t="s">
        <v>254</v>
      </c>
      <c r="O1028" s="85">
        <v>0</v>
      </c>
      <c r="P1028" s="85">
        <v>0</v>
      </c>
      <c r="Q1028" s="85">
        <v>0</v>
      </c>
      <c r="R1028" s="85"/>
    </row>
    <row r="1029" spans="1:18" ht="15">
      <c r="A1029" s="70">
        <v>25</v>
      </c>
      <c r="B1029" s="70"/>
      <c r="C1029" s="72" t="s">
        <v>1029</v>
      </c>
      <c r="D1029" s="72" t="s">
        <v>1030</v>
      </c>
      <c r="E1029" s="85">
        <v>1744332.1247257967</v>
      </c>
      <c r="F1029" s="85" t="s">
        <v>254</v>
      </c>
      <c r="G1029" s="85">
        <v>0</v>
      </c>
      <c r="H1029" s="85" t="s">
        <v>254</v>
      </c>
      <c r="I1029" s="85">
        <v>0</v>
      </c>
      <c r="J1029" s="85">
        <v>1744332.1247257967</v>
      </c>
      <c r="K1029" s="85" t="s">
        <v>254</v>
      </c>
      <c r="L1029" s="85" t="s">
        <v>254</v>
      </c>
      <c r="M1029" s="85">
        <v>0</v>
      </c>
      <c r="N1029" s="85" t="s">
        <v>254</v>
      </c>
      <c r="O1029" s="85">
        <v>1744332.1247257967</v>
      </c>
      <c r="P1029" s="85">
        <v>541368.96660948708</v>
      </c>
      <c r="Q1029" s="85">
        <v>1202963.1581163097</v>
      </c>
      <c r="R1029" s="85"/>
    </row>
    <row r="1030" spans="1:18" ht="15">
      <c r="A1030" s="70">
        <v>26</v>
      </c>
      <c r="B1030" s="70"/>
      <c r="C1030" s="72" t="s">
        <v>1031</v>
      </c>
      <c r="D1030" s="72" t="s">
        <v>1032</v>
      </c>
      <c r="E1030" s="85">
        <v>2233.5705878643466</v>
      </c>
      <c r="F1030" s="85" t="s">
        <v>254</v>
      </c>
      <c r="G1030" s="85">
        <v>0</v>
      </c>
      <c r="H1030" s="85" t="s">
        <v>254</v>
      </c>
      <c r="I1030" s="85">
        <v>0</v>
      </c>
      <c r="J1030" s="85">
        <v>2233.5705878643466</v>
      </c>
      <c r="K1030" s="85" t="s">
        <v>254</v>
      </c>
      <c r="L1030" s="85" t="s">
        <v>254</v>
      </c>
      <c r="M1030" s="85">
        <v>0</v>
      </c>
      <c r="N1030" s="85" t="s">
        <v>254</v>
      </c>
      <c r="O1030" s="85">
        <v>2233.5705878643466</v>
      </c>
      <c r="P1030" s="85">
        <v>693.20846865188935</v>
      </c>
      <c r="Q1030" s="85">
        <v>1540.3621192124572</v>
      </c>
      <c r="R1030" s="85"/>
    </row>
    <row r="1031" spans="1:18" ht="15">
      <c r="A1031" s="70">
        <v>27</v>
      </c>
      <c r="B1031" s="70"/>
      <c r="C1031" s="72" t="s">
        <v>1033</v>
      </c>
      <c r="D1031" s="72" t="s">
        <v>1034</v>
      </c>
      <c r="E1031" s="85">
        <v>918343861.11076915</v>
      </c>
      <c r="F1031" s="85" t="s">
        <v>254</v>
      </c>
      <c r="G1031" s="85">
        <v>873403033.89332759</v>
      </c>
      <c r="H1031" s="85" t="s">
        <v>254</v>
      </c>
      <c r="I1031" s="85">
        <v>41387411.327948786</v>
      </c>
      <c r="J1031" s="85">
        <v>3553415.8894928005</v>
      </c>
      <c r="K1031" s="85" t="s">
        <v>254</v>
      </c>
      <c r="L1031" s="85" t="s">
        <v>254</v>
      </c>
      <c r="M1031" s="85">
        <v>3069.0743367468272</v>
      </c>
      <c r="N1031" s="85" t="s">
        <v>254</v>
      </c>
      <c r="O1031" s="85">
        <v>3550346.8151560538</v>
      </c>
      <c r="P1031" s="85">
        <v>1101881.6652983767</v>
      </c>
      <c r="Q1031" s="85">
        <v>2448465.1498576771</v>
      </c>
      <c r="R1031" s="85"/>
    </row>
    <row r="1032" spans="1:18" ht="15">
      <c r="A1032" s="70">
        <v>28</v>
      </c>
      <c r="B1032" s="70"/>
      <c r="C1032" s="72" t="s">
        <v>1035</v>
      </c>
      <c r="D1032" s="72" t="s">
        <v>462</v>
      </c>
      <c r="E1032" s="85">
        <v>63116688.353076823</v>
      </c>
      <c r="F1032" s="85" t="s">
        <v>254</v>
      </c>
      <c r="G1032" s="85">
        <v>8230400.4889750648</v>
      </c>
      <c r="H1032" s="85" t="s">
        <v>254</v>
      </c>
      <c r="I1032" s="85">
        <v>54886258.943076827</v>
      </c>
      <c r="J1032" s="85">
        <v>28.921024935375918</v>
      </c>
      <c r="K1032" s="85" t="s">
        <v>254</v>
      </c>
      <c r="L1032" s="85" t="s">
        <v>254</v>
      </c>
      <c r="M1032" s="85">
        <v>28.921024935375918</v>
      </c>
      <c r="N1032" s="85" t="s">
        <v>254</v>
      </c>
      <c r="O1032" s="85">
        <v>0</v>
      </c>
      <c r="P1032" s="85">
        <v>0</v>
      </c>
      <c r="Q1032" s="85">
        <v>0</v>
      </c>
      <c r="R1032" s="85"/>
    </row>
    <row r="1033" spans="1:18" ht="15">
      <c r="A1033" s="70">
        <v>29</v>
      </c>
      <c r="B1033" s="70"/>
      <c r="C1033" s="72" t="s">
        <v>1036</v>
      </c>
      <c r="D1033" s="72" t="s">
        <v>663</v>
      </c>
      <c r="E1033" s="85">
        <v>773507088.0707674</v>
      </c>
      <c r="F1033" s="85" t="s">
        <v>254</v>
      </c>
      <c r="G1033" s="85">
        <v>717164338.75692129</v>
      </c>
      <c r="H1033" s="85" t="s">
        <v>254</v>
      </c>
      <c r="I1033" s="85">
        <v>56248200.53384614</v>
      </c>
      <c r="J1033" s="85">
        <v>94548.78</v>
      </c>
      <c r="K1033" s="85" t="s">
        <v>254</v>
      </c>
      <c r="L1033" s="85" t="s">
        <v>254</v>
      </c>
      <c r="M1033" s="85">
        <v>94548.78</v>
      </c>
      <c r="N1033" s="85" t="s">
        <v>254</v>
      </c>
      <c r="O1033" s="85">
        <v>0</v>
      </c>
      <c r="P1033" s="85">
        <v>0</v>
      </c>
      <c r="Q1033" s="85">
        <v>0</v>
      </c>
      <c r="R1033" s="85"/>
    </row>
    <row r="1034" spans="1:18" ht="15">
      <c r="A1034" s="70">
        <v>30</v>
      </c>
      <c r="B1034" s="70"/>
      <c r="C1034" s="72" t="s">
        <v>442</v>
      </c>
      <c r="D1034" s="72" t="s">
        <v>721</v>
      </c>
      <c r="E1034" s="85">
        <v>9527059121.0507679</v>
      </c>
      <c r="F1034" s="85" t="s">
        <v>254</v>
      </c>
      <c r="G1034" s="85">
        <v>8463527046.5532007</v>
      </c>
      <c r="H1034" s="85" t="s">
        <v>254</v>
      </c>
      <c r="I1034" s="85">
        <v>470955559.46998042</v>
      </c>
      <c r="J1034" s="85">
        <v>592576515.02758551</v>
      </c>
      <c r="K1034" s="85" t="s">
        <v>254</v>
      </c>
      <c r="L1034" s="85" t="s">
        <v>254</v>
      </c>
      <c r="M1034" s="85">
        <v>206189.80969716009</v>
      </c>
      <c r="N1034" s="85" t="s">
        <v>254</v>
      </c>
      <c r="O1034" s="85">
        <v>592370325.21788836</v>
      </c>
      <c r="P1034" s="85">
        <v>186706051.30020908</v>
      </c>
      <c r="Q1034" s="85">
        <v>405664273.91767925</v>
      </c>
      <c r="R1034" s="85"/>
    </row>
    <row r="1035" spans="1:18" ht="15">
      <c r="A1035" s="70">
        <v>31</v>
      </c>
      <c r="B1035" s="70"/>
      <c r="C1035" s="72" t="s">
        <v>1037</v>
      </c>
      <c r="D1035" s="72" t="s">
        <v>492</v>
      </c>
      <c r="E1035" s="85">
        <v>8463527046.5532007</v>
      </c>
      <c r="F1035" s="85" t="s">
        <v>254</v>
      </c>
      <c r="G1035" s="85">
        <v>8463527046.5532007</v>
      </c>
      <c r="H1035" s="85" t="s">
        <v>254</v>
      </c>
      <c r="I1035" s="85">
        <v>0</v>
      </c>
      <c r="J1035" s="85">
        <v>0</v>
      </c>
      <c r="K1035" s="85" t="s">
        <v>254</v>
      </c>
      <c r="L1035" s="85" t="s">
        <v>254</v>
      </c>
      <c r="M1035" s="85">
        <v>0</v>
      </c>
      <c r="N1035" s="85" t="s">
        <v>254</v>
      </c>
      <c r="O1035" s="85">
        <v>0</v>
      </c>
      <c r="P1035" s="85">
        <v>0</v>
      </c>
      <c r="Q1035" s="85">
        <v>0</v>
      </c>
      <c r="R1035" s="85"/>
    </row>
    <row r="1036" spans="1:18" ht="15">
      <c r="A1036" s="70">
        <v>32</v>
      </c>
      <c r="B1036" s="70"/>
      <c r="C1036" s="72" t="s">
        <v>1038</v>
      </c>
      <c r="D1036" s="72" t="s">
        <v>802</v>
      </c>
      <c r="E1036" s="85">
        <v>9056103561.5807858</v>
      </c>
      <c r="F1036" s="85" t="s">
        <v>254</v>
      </c>
      <c r="G1036" s="85">
        <v>8463527046.5532007</v>
      </c>
      <c r="H1036" s="85" t="s">
        <v>254</v>
      </c>
      <c r="I1036" s="85">
        <v>0</v>
      </c>
      <c r="J1036" s="85">
        <v>592576515.02758551</v>
      </c>
      <c r="K1036" s="85" t="s">
        <v>254</v>
      </c>
      <c r="L1036" s="85" t="s">
        <v>254</v>
      </c>
      <c r="M1036" s="85">
        <v>206189.80969716009</v>
      </c>
      <c r="N1036" s="85" t="s">
        <v>254</v>
      </c>
      <c r="O1036" s="85">
        <v>592370325.21788836</v>
      </c>
      <c r="P1036" s="85">
        <v>186706051.30020908</v>
      </c>
      <c r="Q1036" s="85">
        <v>405664273.91767925</v>
      </c>
      <c r="R1036" s="85"/>
    </row>
    <row r="1037" spans="1:18" ht="15">
      <c r="A1037" s="70">
        <v>33</v>
      </c>
      <c r="B1037" s="70"/>
      <c r="C1037" s="72" t="s">
        <v>1039</v>
      </c>
      <c r="D1037" s="72" t="s">
        <v>1040</v>
      </c>
      <c r="E1037" s="85">
        <v>470955559.46998042</v>
      </c>
      <c r="F1037" s="85" t="s">
        <v>254</v>
      </c>
      <c r="G1037" s="85">
        <v>0</v>
      </c>
      <c r="H1037" s="85" t="s">
        <v>254</v>
      </c>
      <c r="I1037" s="85">
        <v>470955559.46998042</v>
      </c>
      <c r="J1037" s="85">
        <v>0</v>
      </c>
      <c r="K1037" s="85" t="s">
        <v>254</v>
      </c>
      <c r="L1037" s="85" t="s">
        <v>254</v>
      </c>
      <c r="M1037" s="85">
        <v>0</v>
      </c>
      <c r="N1037" s="85" t="s">
        <v>254</v>
      </c>
      <c r="O1037" s="85">
        <v>0</v>
      </c>
      <c r="P1037" s="85">
        <v>0</v>
      </c>
      <c r="Q1037" s="85">
        <v>0</v>
      </c>
      <c r="R1037" s="85"/>
    </row>
    <row r="1038" spans="1:18" ht="15">
      <c r="A1038" s="70">
        <v>34</v>
      </c>
      <c r="B1038" s="70"/>
      <c r="C1038" s="72" t="s">
        <v>318</v>
      </c>
      <c r="D1038" s="72" t="s">
        <v>589</v>
      </c>
      <c r="E1038" s="85">
        <v>5318250786.5476923</v>
      </c>
      <c r="F1038" s="85" t="s">
        <v>254</v>
      </c>
      <c r="G1038" s="85">
        <v>4623375268.0448971</v>
      </c>
      <c r="H1038" s="85" t="s">
        <v>254</v>
      </c>
      <c r="I1038" s="85">
        <v>219219127.12095672</v>
      </c>
      <c r="J1038" s="85">
        <v>475656391.38183838</v>
      </c>
      <c r="K1038" s="85" t="s">
        <v>254</v>
      </c>
      <c r="L1038" s="85" t="s">
        <v>254</v>
      </c>
      <c r="M1038" s="85">
        <v>16246.202307146548</v>
      </c>
      <c r="N1038" s="85" t="s">
        <v>254</v>
      </c>
      <c r="O1038" s="85">
        <v>475640145.17953122</v>
      </c>
      <c r="P1038" s="85">
        <v>147619143.29491976</v>
      </c>
      <c r="Q1038" s="85">
        <v>328021001.88461149</v>
      </c>
      <c r="R1038" s="85"/>
    </row>
    <row r="1039" spans="1:18" ht="15">
      <c r="A1039" s="70">
        <v>35</v>
      </c>
      <c r="B1039" s="70"/>
      <c r="C1039" s="72" t="s">
        <v>1041</v>
      </c>
      <c r="D1039" s="72" t="s">
        <v>604</v>
      </c>
      <c r="E1039" s="85">
        <v>42585983.780769229</v>
      </c>
      <c r="F1039" s="85" t="s">
        <v>254</v>
      </c>
      <c r="G1039" s="85">
        <v>37202866.466802523</v>
      </c>
      <c r="H1039" s="85" t="s">
        <v>254</v>
      </c>
      <c r="I1039" s="85">
        <v>1719544.3747977805</v>
      </c>
      <c r="J1039" s="85">
        <v>3663572.9391689245</v>
      </c>
      <c r="K1039" s="85" t="s">
        <v>254</v>
      </c>
      <c r="L1039" s="85" t="s">
        <v>254</v>
      </c>
      <c r="M1039" s="85">
        <v>130.72814988713193</v>
      </c>
      <c r="N1039" s="85" t="s">
        <v>254</v>
      </c>
      <c r="O1039" s="85">
        <v>3663442.2110190373</v>
      </c>
      <c r="P1039" s="85">
        <v>1136981.8258232872</v>
      </c>
      <c r="Q1039" s="85">
        <v>2526460.3851957503</v>
      </c>
      <c r="R1039" s="85"/>
    </row>
    <row r="1040" spans="1:18" ht="15">
      <c r="A1040" s="70">
        <v>36</v>
      </c>
      <c r="B1040" s="70"/>
      <c r="C1040" s="72" t="s">
        <v>1042</v>
      </c>
      <c r="D1040" s="72" t="s">
        <v>619</v>
      </c>
      <c r="E1040" s="85">
        <v>1024118791.3784616</v>
      </c>
      <c r="F1040" s="85" t="s">
        <v>254</v>
      </c>
      <c r="G1040" s="85">
        <v>895104538.62419689</v>
      </c>
      <c r="H1040" s="85" t="s">
        <v>254</v>
      </c>
      <c r="I1040" s="85">
        <v>41366622.106025882</v>
      </c>
      <c r="J1040" s="85">
        <v>87647630.648238748</v>
      </c>
      <c r="K1040" s="85" t="s">
        <v>254</v>
      </c>
      <c r="L1040" s="85" t="s">
        <v>254</v>
      </c>
      <c r="M1040" s="85">
        <v>3145.3318360383109</v>
      </c>
      <c r="N1040" s="85" t="s">
        <v>254</v>
      </c>
      <c r="O1040" s="85">
        <v>87644485.316402704</v>
      </c>
      <c r="P1040" s="85">
        <v>27201244.403051957</v>
      </c>
      <c r="Q1040" s="85">
        <v>60443240.913350739</v>
      </c>
      <c r="R1040" s="85"/>
    </row>
    <row r="1041" spans="1:18" ht="15">
      <c r="A1041" s="70">
        <v>37</v>
      </c>
      <c r="B1041" s="70"/>
      <c r="C1041" s="72" t="s">
        <v>1043</v>
      </c>
      <c r="D1041" s="72" t="s">
        <v>660</v>
      </c>
      <c r="E1041" s="85">
        <v>222949295.66461533</v>
      </c>
      <c r="F1041" s="85" t="s">
        <v>254</v>
      </c>
      <c r="G1041" s="85">
        <v>209650161.07461533</v>
      </c>
      <c r="H1041" s="85" t="s">
        <v>254</v>
      </c>
      <c r="I1041" s="85">
        <v>9183994.2200000007</v>
      </c>
      <c r="J1041" s="85">
        <v>4115140.3700000006</v>
      </c>
      <c r="K1041" s="85" t="s">
        <v>254</v>
      </c>
      <c r="L1041" s="85" t="s">
        <v>254</v>
      </c>
      <c r="M1041" s="85">
        <v>74503.37</v>
      </c>
      <c r="N1041" s="85" t="s">
        <v>254</v>
      </c>
      <c r="O1041" s="85">
        <v>4040637.0000000005</v>
      </c>
      <c r="P1041" s="85">
        <v>4040637.0000000005</v>
      </c>
      <c r="Q1041" s="85">
        <v>0</v>
      </c>
      <c r="R1041" s="85"/>
    </row>
    <row r="1042" spans="1:18" ht="15">
      <c r="A1042" s="70">
        <v>38</v>
      </c>
      <c r="B1042" s="70"/>
      <c r="C1042" s="72" t="s">
        <v>1044</v>
      </c>
      <c r="D1042" s="72" t="s">
        <v>665</v>
      </c>
      <c r="E1042" s="85">
        <v>207960274.23384616</v>
      </c>
      <c r="F1042" s="85" t="s">
        <v>254</v>
      </c>
      <c r="G1042" s="85">
        <v>202385981.21538463</v>
      </c>
      <c r="H1042" s="85" t="s">
        <v>254</v>
      </c>
      <c r="I1042" s="85">
        <v>5574293.0184615385</v>
      </c>
      <c r="J1042" s="85">
        <v>0</v>
      </c>
      <c r="K1042" s="85" t="s">
        <v>254</v>
      </c>
      <c r="L1042" s="85" t="s">
        <v>254</v>
      </c>
      <c r="M1042" s="85">
        <v>0</v>
      </c>
      <c r="N1042" s="85" t="s">
        <v>254</v>
      </c>
      <c r="O1042" s="85">
        <v>0</v>
      </c>
      <c r="P1042" s="85">
        <v>0</v>
      </c>
      <c r="Q1042" s="85">
        <v>0</v>
      </c>
      <c r="R1042" s="85"/>
    </row>
    <row r="1043" spans="1:18" ht="15">
      <c r="A1043" s="70">
        <v>39</v>
      </c>
      <c r="B1043" s="70"/>
      <c r="C1043" s="72" t="s">
        <v>1045</v>
      </c>
      <c r="D1043" s="72" t="s">
        <v>667</v>
      </c>
      <c r="E1043" s="85">
        <v>118728679.84538461</v>
      </c>
      <c r="F1043" s="85" t="s">
        <v>254</v>
      </c>
      <c r="G1043" s="85">
        <v>114827799.3</v>
      </c>
      <c r="H1043" s="85" t="s">
        <v>254</v>
      </c>
      <c r="I1043" s="85">
        <v>3900880.5453846096</v>
      </c>
      <c r="J1043" s="85">
        <v>0</v>
      </c>
      <c r="K1043" s="85" t="s">
        <v>254</v>
      </c>
      <c r="L1043" s="85" t="s">
        <v>254</v>
      </c>
      <c r="M1043" s="85">
        <v>0</v>
      </c>
      <c r="N1043" s="85" t="s">
        <v>254</v>
      </c>
      <c r="O1043" s="85">
        <v>0</v>
      </c>
      <c r="P1043" s="85">
        <v>0</v>
      </c>
      <c r="Q1043" s="85">
        <v>0</v>
      </c>
      <c r="R1043" s="85"/>
    </row>
    <row r="1044" spans="1:18" ht="15">
      <c r="A1044" s="70">
        <v>40</v>
      </c>
      <c r="B1044" s="70"/>
      <c r="C1044" s="72" t="s">
        <v>1046</v>
      </c>
      <c r="D1044" s="72" t="s">
        <v>669</v>
      </c>
      <c r="E1044" s="85">
        <v>87291433.274615362</v>
      </c>
      <c r="F1044" s="85" t="s">
        <v>254</v>
      </c>
      <c r="G1044" s="85">
        <v>82987729.264615372</v>
      </c>
      <c r="H1044" s="85" t="s">
        <v>254</v>
      </c>
      <c r="I1044" s="85">
        <v>3938073.7999999989</v>
      </c>
      <c r="J1044" s="85">
        <v>365630.21</v>
      </c>
      <c r="K1044" s="85" t="s">
        <v>254</v>
      </c>
      <c r="L1044" s="85" t="s">
        <v>254</v>
      </c>
      <c r="M1044" s="85">
        <v>4199.21</v>
      </c>
      <c r="N1044" s="85" t="s">
        <v>254</v>
      </c>
      <c r="O1044" s="85">
        <v>361431</v>
      </c>
      <c r="P1044" s="85">
        <v>63157</v>
      </c>
      <c r="Q1044" s="85">
        <v>298274</v>
      </c>
      <c r="R1044" s="85"/>
    </row>
    <row r="1045" spans="1:18" ht="15">
      <c r="A1045" s="70">
        <v>41</v>
      </c>
      <c r="B1045" s="70"/>
      <c r="C1045" s="72" t="s">
        <v>1047</v>
      </c>
      <c r="D1045" s="72" t="s">
        <v>671</v>
      </c>
      <c r="E1045" s="85">
        <v>282792.23923076928</v>
      </c>
      <c r="F1045" s="85" t="s">
        <v>254</v>
      </c>
      <c r="G1045" s="85">
        <v>282792.23923076928</v>
      </c>
      <c r="H1045" s="85" t="s">
        <v>254</v>
      </c>
      <c r="I1045" s="85">
        <v>0</v>
      </c>
      <c r="J1045" s="85">
        <v>0</v>
      </c>
      <c r="K1045" s="85" t="s">
        <v>254</v>
      </c>
      <c r="L1045" s="85" t="s">
        <v>254</v>
      </c>
      <c r="M1045" s="85">
        <v>0</v>
      </c>
      <c r="N1045" s="85" t="s">
        <v>254</v>
      </c>
      <c r="O1045" s="85">
        <v>0</v>
      </c>
      <c r="P1045" s="85">
        <v>0</v>
      </c>
      <c r="Q1045" s="85">
        <v>0</v>
      </c>
      <c r="R1045" s="85"/>
    </row>
    <row r="1046" spans="1:18" ht="15">
      <c r="A1046" s="70">
        <v>42</v>
      </c>
      <c r="B1046" s="70"/>
      <c r="C1046" s="72" t="s">
        <v>1048</v>
      </c>
      <c r="D1046" s="72" t="s">
        <v>681</v>
      </c>
      <c r="E1046" s="85">
        <v>321787311.83846045</v>
      </c>
      <c r="F1046" s="85" t="s">
        <v>254</v>
      </c>
      <c r="G1046" s="85">
        <v>308543266.91503012</v>
      </c>
      <c r="H1046" s="85" t="s">
        <v>254</v>
      </c>
      <c r="I1046" s="85">
        <v>12723148.669999996</v>
      </c>
      <c r="J1046" s="85">
        <v>520896.25343032228</v>
      </c>
      <c r="K1046" s="85" t="s">
        <v>254</v>
      </c>
      <c r="L1046" s="85" t="s">
        <v>254</v>
      </c>
      <c r="M1046" s="85">
        <v>3118.2799999999988</v>
      </c>
      <c r="N1046" s="85" t="s">
        <v>254</v>
      </c>
      <c r="O1046" s="85">
        <v>517777.97343032225</v>
      </c>
      <c r="P1046" s="85">
        <v>160696.99252554422</v>
      </c>
      <c r="Q1046" s="85">
        <v>357080.980904778</v>
      </c>
      <c r="R1046" s="85"/>
    </row>
    <row r="1047" spans="1:18" ht="15">
      <c r="A1047" s="70">
        <v>43</v>
      </c>
      <c r="B1047" s="70"/>
      <c r="C1047" s="72" t="s">
        <v>1049</v>
      </c>
      <c r="D1047" s="72" t="s">
        <v>697</v>
      </c>
      <c r="E1047" s="85">
        <v>32710437.331727192</v>
      </c>
      <c r="F1047" s="85" t="s">
        <v>254</v>
      </c>
      <c r="G1047" s="85">
        <v>31035110.090556461</v>
      </c>
      <c r="H1047" s="85" t="s">
        <v>254</v>
      </c>
      <c r="I1047" s="85">
        <v>1636858.1389909219</v>
      </c>
      <c r="J1047" s="85">
        <v>38469.102179808804</v>
      </c>
      <c r="K1047" s="85" t="s">
        <v>254</v>
      </c>
      <c r="L1047" s="85" t="s">
        <v>254</v>
      </c>
      <c r="M1047" s="85">
        <v>259.05119313002569</v>
      </c>
      <c r="N1047" s="85" t="s">
        <v>254</v>
      </c>
      <c r="O1047" s="85">
        <v>38210.050986678776</v>
      </c>
      <c r="P1047" s="85">
        <v>19817.416274446961</v>
      </c>
      <c r="Q1047" s="85">
        <v>18392.634712231818</v>
      </c>
      <c r="R1047" s="85"/>
    </row>
    <row r="1048" spans="1:18" ht="15">
      <c r="A1048" s="70">
        <v>44</v>
      </c>
      <c r="B1048" s="70"/>
      <c r="C1048" s="72" t="s">
        <v>1050</v>
      </c>
      <c r="D1048" s="72" t="s">
        <v>707</v>
      </c>
      <c r="E1048" s="85">
        <v>21510857.999999996</v>
      </c>
      <c r="F1048" s="85" t="s">
        <v>254</v>
      </c>
      <c r="G1048" s="85">
        <v>21489540.861255646</v>
      </c>
      <c r="H1048" s="85" t="s">
        <v>254</v>
      </c>
      <c r="I1048" s="85">
        <v>21314.124443059667</v>
      </c>
      <c r="J1048" s="85">
        <v>3.0143012930362985</v>
      </c>
      <c r="K1048" s="85" t="s">
        <v>254</v>
      </c>
      <c r="L1048" s="85" t="s">
        <v>254</v>
      </c>
      <c r="M1048" s="85">
        <v>3.0143012930362985</v>
      </c>
      <c r="N1048" s="85" t="s">
        <v>254</v>
      </c>
      <c r="O1048" s="85">
        <v>0</v>
      </c>
      <c r="P1048" s="85">
        <v>0</v>
      </c>
      <c r="Q1048" s="85">
        <v>0</v>
      </c>
      <c r="R1048" s="85"/>
    </row>
    <row r="1049" spans="1:18" ht="15">
      <c r="A1049" s="70">
        <v>45</v>
      </c>
      <c r="B1049" s="70"/>
      <c r="C1049" s="72" t="s">
        <v>1051</v>
      </c>
      <c r="D1049" s="72" t="s">
        <v>1052</v>
      </c>
      <c r="E1049" s="85">
        <v>2817634140.2207665</v>
      </c>
      <c r="F1049" s="85" t="s">
        <v>254</v>
      </c>
      <c r="G1049" s="85">
        <v>2615642976.7081003</v>
      </c>
      <c r="H1049" s="85" t="s">
        <v>254</v>
      </c>
      <c r="I1049" s="85">
        <v>193341248.4687179</v>
      </c>
      <c r="J1049" s="85">
        <v>8649915.0439480599</v>
      </c>
      <c r="K1049" s="85" t="s">
        <v>254</v>
      </c>
      <c r="L1049" s="85" t="s">
        <v>254</v>
      </c>
      <c r="M1049" s="85">
        <v>179722.25536168218</v>
      </c>
      <c r="N1049" s="85" t="s">
        <v>254</v>
      </c>
      <c r="O1049" s="85">
        <v>8470192.7885863781</v>
      </c>
      <c r="P1049" s="85">
        <v>5366372.6578239221</v>
      </c>
      <c r="Q1049" s="85">
        <v>3103820.1307624551</v>
      </c>
      <c r="R1049" s="85"/>
    </row>
    <row r="1050" spans="1:18" ht="15">
      <c r="A1050" s="70" t="s">
        <v>254</v>
      </c>
      <c r="B1050" s="70"/>
      <c r="C1050" s="72" t="s">
        <v>254</v>
      </c>
      <c r="D1050" s="72" t="s">
        <v>254</v>
      </c>
      <c r="E1050" s="85" t="s">
        <v>254</v>
      </c>
      <c r="F1050" s="85" t="s">
        <v>254</v>
      </c>
      <c r="G1050" s="85" t="s">
        <v>254</v>
      </c>
      <c r="H1050" s="85" t="s">
        <v>254</v>
      </c>
      <c r="I1050" s="85" t="s">
        <v>254</v>
      </c>
      <c r="J1050" s="85" t="s">
        <v>254</v>
      </c>
      <c r="K1050" s="85" t="s">
        <v>254</v>
      </c>
      <c r="L1050" s="85" t="s">
        <v>254</v>
      </c>
      <c r="M1050" s="85" t="s">
        <v>254</v>
      </c>
      <c r="N1050" s="85" t="s">
        <v>254</v>
      </c>
      <c r="O1050" s="85" t="s">
        <v>254</v>
      </c>
      <c r="P1050" s="85" t="s">
        <v>254</v>
      </c>
      <c r="Q1050" s="85" t="s">
        <v>254</v>
      </c>
      <c r="R1050" s="85"/>
    </row>
    <row r="1051" spans="1:18" ht="15">
      <c r="A1051" s="70" t="s">
        <v>254</v>
      </c>
      <c r="B1051" s="70"/>
      <c r="C1051" s="72" t="s">
        <v>1053</v>
      </c>
      <c r="D1051" s="72" t="s">
        <v>254</v>
      </c>
      <c r="E1051" s="85" t="s">
        <v>254</v>
      </c>
      <c r="F1051" s="85" t="s">
        <v>254</v>
      </c>
      <c r="G1051" s="85" t="s">
        <v>254</v>
      </c>
      <c r="H1051" s="85" t="s">
        <v>254</v>
      </c>
      <c r="I1051" s="85" t="s">
        <v>254</v>
      </c>
      <c r="J1051" s="85" t="s">
        <v>254</v>
      </c>
      <c r="K1051" s="85" t="s">
        <v>254</v>
      </c>
      <c r="L1051" s="85" t="s">
        <v>254</v>
      </c>
      <c r="M1051" s="85" t="s">
        <v>254</v>
      </c>
      <c r="N1051" s="85" t="s">
        <v>254</v>
      </c>
      <c r="O1051" s="85" t="s">
        <v>254</v>
      </c>
      <c r="P1051" s="85" t="s">
        <v>254</v>
      </c>
      <c r="Q1051" s="85" t="s">
        <v>254</v>
      </c>
      <c r="R1051" s="85"/>
    </row>
    <row r="1052" spans="1:18" ht="15">
      <c r="A1052" s="70" t="s">
        <v>254</v>
      </c>
      <c r="B1052" s="70"/>
      <c r="C1052" s="72" t="s">
        <v>925</v>
      </c>
      <c r="D1052" s="72" t="s">
        <v>254</v>
      </c>
      <c r="E1052" s="85" t="s">
        <v>254</v>
      </c>
      <c r="F1052" s="85" t="s">
        <v>254</v>
      </c>
      <c r="G1052" s="85" t="s">
        <v>254</v>
      </c>
      <c r="H1052" s="85" t="s">
        <v>254</v>
      </c>
      <c r="I1052" s="85" t="s">
        <v>254</v>
      </c>
      <c r="J1052" s="85" t="s">
        <v>254</v>
      </c>
      <c r="K1052" s="85" t="s">
        <v>254</v>
      </c>
      <c r="L1052" s="85" t="s">
        <v>254</v>
      </c>
      <c r="M1052" s="85" t="s">
        <v>254</v>
      </c>
      <c r="N1052" s="85" t="s">
        <v>254</v>
      </c>
      <c r="O1052" s="85" t="s">
        <v>254</v>
      </c>
      <c r="P1052" s="85" t="s">
        <v>254</v>
      </c>
      <c r="Q1052" s="85" t="s">
        <v>254</v>
      </c>
      <c r="R1052" s="85"/>
    </row>
    <row r="1053" spans="1:18" ht="15">
      <c r="A1053" s="70">
        <v>1</v>
      </c>
      <c r="B1053" s="70"/>
      <c r="C1053" s="72" t="s">
        <v>1054</v>
      </c>
      <c r="D1053" s="72" t="s">
        <v>716</v>
      </c>
      <c r="E1053" s="85">
        <v>837646</v>
      </c>
      <c r="F1053" s="85" t="s">
        <v>254</v>
      </c>
      <c r="G1053" s="85">
        <v>794217.3368437452</v>
      </c>
      <c r="H1053" s="85" t="s">
        <v>254</v>
      </c>
      <c r="I1053" s="85">
        <v>43422.5222253787</v>
      </c>
      <c r="J1053" s="85">
        <v>6.1409308761672605</v>
      </c>
      <c r="K1053" s="85" t="s">
        <v>254</v>
      </c>
      <c r="L1053" s="85" t="s">
        <v>254</v>
      </c>
      <c r="M1053" s="85">
        <v>6.1409308761672605</v>
      </c>
      <c r="N1053" s="85" t="s">
        <v>254</v>
      </c>
      <c r="O1053" s="85">
        <v>0</v>
      </c>
      <c r="P1053" s="85">
        <v>0</v>
      </c>
      <c r="Q1053" s="85">
        <v>0</v>
      </c>
      <c r="R1053" s="85"/>
    </row>
    <row r="1054" spans="1:18" ht="15">
      <c r="A1054" s="70">
        <v>2</v>
      </c>
      <c r="B1054" s="70"/>
      <c r="C1054" s="72" t="s">
        <v>1055</v>
      </c>
      <c r="D1054" s="72" t="s">
        <v>591</v>
      </c>
      <c r="E1054" s="85">
        <v>115357386.76034714</v>
      </c>
      <c r="F1054" s="85" t="s">
        <v>254</v>
      </c>
      <c r="G1054" s="85">
        <v>0</v>
      </c>
      <c r="H1054" s="85" t="s">
        <v>254</v>
      </c>
      <c r="I1054" s="85">
        <v>0</v>
      </c>
      <c r="J1054" s="85">
        <v>115357386.76034714</v>
      </c>
      <c r="K1054" s="85" t="s">
        <v>254</v>
      </c>
      <c r="L1054" s="85" t="s">
        <v>254</v>
      </c>
      <c r="M1054" s="85">
        <v>0</v>
      </c>
      <c r="N1054" s="85" t="s">
        <v>254</v>
      </c>
      <c r="O1054" s="85">
        <v>115357386.76034714</v>
      </c>
      <c r="P1054" s="85">
        <v>35884986.826446235</v>
      </c>
      <c r="Q1054" s="85">
        <v>79472399.933900908</v>
      </c>
      <c r="R1054" s="85"/>
    </row>
    <row r="1055" spans="1:18" ht="15">
      <c r="A1055" s="70">
        <v>3</v>
      </c>
      <c r="B1055" s="70"/>
      <c r="C1055" s="72" t="s">
        <v>1056</v>
      </c>
      <c r="D1055" s="72" t="s">
        <v>740</v>
      </c>
      <c r="E1055" s="85">
        <v>74476153.136714563</v>
      </c>
      <c r="F1055" s="85" t="s">
        <v>254</v>
      </c>
      <c r="G1055" s="85">
        <v>0</v>
      </c>
      <c r="H1055" s="85" t="s">
        <v>254</v>
      </c>
      <c r="I1055" s="85">
        <v>74476153.136714563</v>
      </c>
      <c r="J1055" s="85">
        <v>0</v>
      </c>
      <c r="K1055" s="85" t="s">
        <v>254</v>
      </c>
      <c r="L1055" s="85" t="s">
        <v>254</v>
      </c>
      <c r="M1055" s="85">
        <v>0</v>
      </c>
      <c r="N1055" s="85" t="s">
        <v>254</v>
      </c>
      <c r="O1055" s="85">
        <v>0</v>
      </c>
      <c r="P1055" s="85">
        <v>0</v>
      </c>
      <c r="Q1055" s="85">
        <v>0</v>
      </c>
      <c r="R1055" s="85"/>
    </row>
    <row r="1056" spans="1:18" ht="15">
      <c r="A1056" s="70">
        <v>4</v>
      </c>
      <c r="B1056" s="70"/>
      <c r="C1056" s="72" t="s">
        <v>1057</v>
      </c>
      <c r="D1056" s="72" t="s">
        <v>1058</v>
      </c>
      <c r="E1056" s="85">
        <v>1801003609.2728405</v>
      </c>
      <c r="F1056" s="85" t="s">
        <v>254</v>
      </c>
      <c r="G1056" s="85">
        <v>1611170006.6446187</v>
      </c>
      <c r="H1056" s="85" t="s">
        <v>254</v>
      </c>
      <c r="I1056" s="85">
        <v>74476153.136714563</v>
      </c>
      <c r="J1056" s="85">
        <v>115357449.49150735</v>
      </c>
      <c r="K1056" s="85" t="s">
        <v>254</v>
      </c>
      <c r="L1056" s="85" t="s">
        <v>254</v>
      </c>
      <c r="M1056" s="85">
        <v>62.731160203622458</v>
      </c>
      <c r="N1056" s="85" t="s">
        <v>254</v>
      </c>
      <c r="O1056" s="85">
        <v>115357386.76034714</v>
      </c>
      <c r="P1056" s="85">
        <v>35884986.826446235</v>
      </c>
      <c r="Q1056" s="85">
        <v>79472399.933900908</v>
      </c>
      <c r="R1056" s="85"/>
    </row>
    <row r="1057" spans="1:18" ht="15">
      <c r="A1057" s="70">
        <v>5</v>
      </c>
      <c r="B1057" s="70"/>
      <c r="C1057" s="72" t="s">
        <v>1059</v>
      </c>
      <c r="D1057" s="72" t="s">
        <v>731</v>
      </c>
      <c r="E1057" s="85">
        <v>1</v>
      </c>
      <c r="F1057" s="85" t="s">
        <v>254</v>
      </c>
      <c r="G1057" s="85">
        <v>0</v>
      </c>
      <c r="H1057" s="85" t="s">
        <v>254</v>
      </c>
      <c r="I1057" s="85">
        <v>1</v>
      </c>
      <c r="J1057" s="85">
        <v>0</v>
      </c>
      <c r="K1057" s="85" t="s">
        <v>254</v>
      </c>
      <c r="L1057" s="85" t="s">
        <v>254</v>
      </c>
      <c r="M1057" s="85">
        <v>0</v>
      </c>
      <c r="N1057" s="85" t="s">
        <v>254</v>
      </c>
      <c r="O1057" s="85">
        <v>0</v>
      </c>
      <c r="P1057" s="85">
        <v>0</v>
      </c>
      <c r="Q1057" s="85">
        <v>0</v>
      </c>
      <c r="R1057" s="85"/>
    </row>
    <row r="1058" spans="1:18" ht="15">
      <c r="A1058" s="70">
        <v>6</v>
      </c>
      <c r="B1058" s="70"/>
      <c r="C1058" s="72" t="s">
        <v>1060</v>
      </c>
      <c r="D1058" s="72" t="s">
        <v>1061</v>
      </c>
      <c r="E1058" s="85">
        <v>1685646222.5124934</v>
      </c>
      <c r="F1058" s="85" t="s">
        <v>254</v>
      </c>
      <c r="G1058" s="85">
        <v>1611170006.6446187</v>
      </c>
      <c r="H1058" s="85" t="s">
        <v>254</v>
      </c>
      <c r="I1058" s="85">
        <v>74476153.136714563</v>
      </c>
      <c r="J1058" s="85">
        <v>62.731160203622458</v>
      </c>
      <c r="K1058" s="85" t="s">
        <v>254</v>
      </c>
      <c r="L1058" s="85" t="s">
        <v>254</v>
      </c>
      <c r="M1058" s="85">
        <v>62.731160203622458</v>
      </c>
      <c r="N1058" s="85" t="s">
        <v>254</v>
      </c>
      <c r="O1058" s="85">
        <v>0</v>
      </c>
      <c r="P1058" s="85">
        <v>0</v>
      </c>
      <c r="Q1058" s="85">
        <v>0</v>
      </c>
      <c r="R1058" s="85"/>
    </row>
    <row r="1059" spans="1:18" ht="15">
      <c r="A1059" s="70">
        <v>7</v>
      </c>
      <c r="B1059" s="70"/>
      <c r="C1059" s="72" t="s">
        <v>1062</v>
      </c>
      <c r="D1059" s="72" t="s">
        <v>751</v>
      </c>
      <c r="E1059" s="85">
        <v>1738929388.299228</v>
      </c>
      <c r="F1059" s="85" t="s">
        <v>254</v>
      </c>
      <c r="G1059" s="85">
        <v>1734009542.3257976</v>
      </c>
      <c r="H1059" s="85" t="s">
        <v>254</v>
      </c>
      <c r="I1059" s="85">
        <v>0</v>
      </c>
      <c r="J1059" s="85">
        <v>4919845.9734303225</v>
      </c>
      <c r="K1059" s="85" t="s">
        <v>254</v>
      </c>
      <c r="L1059" s="85" t="s">
        <v>254</v>
      </c>
      <c r="M1059" s="85">
        <v>0</v>
      </c>
      <c r="N1059" s="85" t="s">
        <v>254</v>
      </c>
      <c r="O1059" s="85">
        <v>4919845.9734303225</v>
      </c>
      <c r="P1059" s="85">
        <v>4264490.9925255449</v>
      </c>
      <c r="Q1059" s="85">
        <v>655354.980904778</v>
      </c>
      <c r="R1059" s="85"/>
    </row>
    <row r="1060" spans="1:18" ht="15">
      <c r="A1060" s="70">
        <v>8</v>
      </c>
      <c r="B1060" s="70"/>
      <c r="C1060" s="72" t="s">
        <v>1063</v>
      </c>
      <c r="D1060" s="72" t="s">
        <v>753</v>
      </c>
      <c r="E1060" s="85">
        <v>97067578.19769229</v>
      </c>
      <c r="F1060" s="85" t="s">
        <v>254</v>
      </c>
      <c r="G1060" s="85">
        <v>0</v>
      </c>
      <c r="H1060" s="85" t="s">
        <v>254</v>
      </c>
      <c r="I1060" s="85">
        <v>97067578.19769229</v>
      </c>
      <c r="J1060" s="85">
        <v>0</v>
      </c>
      <c r="K1060" s="85" t="s">
        <v>254</v>
      </c>
      <c r="L1060" s="85" t="s">
        <v>254</v>
      </c>
      <c r="M1060" s="85">
        <v>0</v>
      </c>
      <c r="N1060" s="85" t="s">
        <v>254</v>
      </c>
      <c r="O1060" s="85">
        <v>0</v>
      </c>
      <c r="P1060" s="85">
        <v>0</v>
      </c>
      <c r="Q1060" s="85">
        <v>0</v>
      </c>
      <c r="R1060" s="85"/>
    </row>
    <row r="1061" spans="1:18" ht="15">
      <c r="A1061" s="70">
        <v>9</v>
      </c>
      <c r="B1061" s="70"/>
      <c r="C1061" s="72" t="s">
        <v>1064</v>
      </c>
      <c r="D1061" s="72" t="s">
        <v>755</v>
      </c>
      <c r="E1061" s="85">
        <v>176624.25999999998</v>
      </c>
      <c r="F1061" s="85" t="s">
        <v>254</v>
      </c>
      <c r="G1061" s="85">
        <v>0</v>
      </c>
      <c r="H1061" s="85" t="s">
        <v>254</v>
      </c>
      <c r="I1061" s="85">
        <v>0</v>
      </c>
      <c r="J1061" s="85">
        <v>176624.25999999998</v>
      </c>
      <c r="K1061" s="85" t="s">
        <v>254</v>
      </c>
      <c r="L1061" s="85" t="s">
        <v>254</v>
      </c>
      <c r="M1061" s="85">
        <v>176624.25999999998</v>
      </c>
      <c r="N1061" s="85" t="s">
        <v>254</v>
      </c>
      <c r="O1061" s="85">
        <v>0</v>
      </c>
      <c r="P1061" s="85">
        <v>0</v>
      </c>
      <c r="Q1061" s="85">
        <v>0</v>
      </c>
      <c r="R1061" s="85"/>
    </row>
    <row r="1062" spans="1:18" ht="15">
      <c r="A1062" s="70">
        <v>10</v>
      </c>
      <c r="B1062" s="70"/>
      <c r="C1062" s="72" t="s">
        <v>477</v>
      </c>
      <c r="D1062" s="72" t="s">
        <v>764</v>
      </c>
      <c r="E1062" s="85">
        <v>6225458640.2517805</v>
      </c>
      <c r="F1062" s="85" t="s">
        <v>254</v>
      </c>
      <c r="G1062" s="85">
        <v>5551466851.1186314</v>
      </c>
      <c r="H1062" s="85" t="s">
        <v>254</v>
      </c>
      <c r="I1062" s="85">
        <v>289092416.89037615</v>
      </c>
      <c r="J1062" s="85">
        <v>384899372.242773</v>
      </c>
      <c r="K1062" s="85" t="s">
        <v>254</v>
      </c>
      <c r="L1062" s="85" t="s">
        <v>254</v>
      </c>
      <c r="M1062" s="85">
        <v>49153.459548537678</v>
      </c>
      <c r="N1062" s="85" t="s">
        <v>254</v>
      </c>
      <c r="O1062" s="85">
        <v>384850218.78322446</v>
      </c>
      <c r="P1062" s="85">
        <v>121248033.73569658</v>
      </c>
      <c r="Q1062" s="85">
        <v>263602185.04752791</v>
      </c>
      <c r="R1062" s="85"/>
    </row>
    <row r="1063" spans="1:18" ht="15">
      <c r="A1063" s="70">
        <v>11</v>
      </c>
      <c r="B1063" s="70"/>
      <c r="C1063" s="72" t="s">
        <v>550</v>
      </c>
      <c r="D1063" s="72" t="s">
        <v>786</v>
      </c>
      <c r="E1063" s="85">
        <v>5393956604.5190477</v>
      </c>
      <c r="F1063" s="85" t="s">
        <v>254</v>
      </c>
      <c r="G1063" s="85">
        <v>4821869481.6123829</v>
      </c>
      <c r="H1063" s="85" t="s">
        <v>254</v>
      </c>
      <c r="I1063" s="85">
        <v>235343582.19390494</v>
      </c>
      <c r="J1063" s="85">
        <v>336743540.71275979</v>
      </c>
      <c r="K1063" s="85" t="s">
        <v>254</v>
      </c>
      <c r="L1063" s="85" t="s">
        <v>254</v>
      </c>
      <c r="M1063" s="85">
        <v>24980.342645848574</v>
      </c>
      <c r="N1063" s="85" t="s">
        <v>254</v>
      </c>
      <c r="O1063" s="85">
        <v>336718560.37011397</v>
      </c>
      <c r="P1063" s="85">
        <v>106027432.86540684</v>
      </c>
      <c r="Q1063" s="85">
        <v>230691127.50470716</v>
      </c>
      <c r="R1063" s="85"/>
    </row>
    <row r="1064" spans="1:18" ht="15">
      <c r="A1064" s="70">
        <v>12</v>
      </c>
      <c r="B1064" s="70"/>
      <c r="C1064" s="72" t="s">
        <v>1065</v>
      </c>
      <c r="D1064" s="72" t="s">
        <v>790</v>
      </c>
      <c r="E1064" s="85">
        <v>0</v>
      </c>
      <c r="F1064" s="85" t="s">
        <v>254</v>
      </c>
      <c r="G1064" s="85">
        <v>0</v>
      </c>
      <c r="H1064" s="85" t="s">
        <v>254</v>
      </c>
      <c r="I1064" s="85">
        <v>0</v>
      </c>
      <c r="J1064" s="85">
        <v>0</v>
      </c>
      <c r="K1064" s="85" t="s">
        <v>254</v>
      </c>
      <c r="L1064" s="85" t="s">
        <v>254</v>
      </c>
      <c r="M1064" s="85">
        <v>0</v>
      </c>
      <c r="N1064" s="85" t="s">
        <v>254</v>
      </c>
      <c r="O1064" s="85">
        <v>0</v>
      </c>
      <c r="P1064" s="85">
        <v>0</v>
      </c>
      <c r="Q1064" s="85">
        <v>0</v>
      </c>
      <c r="R1064" s="85"/>
    </row>
    <row r="1065" spans="1:18" ht="15">
      <c r="A1065" s="70">
        <v>13</v>
      </c>
      <c r="B1065" s="70"/>
      <c r="C1065" s="72" t="s">
        <v>1066</v>
      </c>
      <c r="D1065" s="72" t="s">
        <v>1067</v>
      </c>
      <c r="E1065" s="85">
        <v>-1087307</v>
      </c>
      <c r="F1065" s="85" t="s">
        <v>254</v>
      </c>
      <c r="G1065" s="85">
        <v>-984053</v>
      </c>
      <c r="H1065" s="85" t="s">
        <v>254</v>
      </c>
      <c r="I1065" s="85">
        <v>-34356</v>
      </c>
      <c r="J1065" s="85">
        <v>-68898</v>
      </c>
      <c r="K1065" s="85" t="s">
        <v>254</v>
      </c>
      <c r="L1065" s="85" t="s">
        <v>254</v>
      </c>
      <c r="M1065" s="85">
        <v>-24</v>
      </c>
      <c r="N1065" s="85" t="s">
        <v>254</v>
      </c>
      <c r="O1065" s="85">
        <v>-68874</v>
      </c>
      <c r="P1065" s="85">
        <v>-21708</v>
      </c>
      <c r="Q1065" s="85">
        <v>-47166</v>
      </c>
      <c r="R1065" s="85"/>
    </row>
    <row r="1066" spans="1:18" ht="15">
      <c r="A1066" s="70">
        <v>14</v>
      </c>
      <c r="B1066" s="70"/>
      <c r="C1066" s="72" t="s">
        <v>1068</v>
      </c>
      <c r="D1066" s="72" t="s">
        <v>1069</v>
      </c>
      <c r="E1066" s="85">
        <v>425830447.58712506</v>
      </c>
      <c r="F1066" s="85" t="s">
        <v>254</v>
      </c>
      <c r="G1066" s="85">
        <v>373867723.20571953</v>
      </c>
      <c r="H1066" s="85" t="s">
        <v>254</v>
      </c>
      <c r="I1066" s="85">
        <v>15812678.776876308</v>
      </c>
      <c r="J1066" s="85">
        <v>36150045.604529172</v>
      </c>
      <c r="K1066" s="85" t="s">
        <v>254</v>
      </c>
      <c r="L1066" s="85" t="s">
        <v>254</v>
      </c>
      <c r="M1066" s="85">
        <v>1731.3115367198582</v>
      </c>
      <c r="N1066" s="85" t="s">
        <v>254</v>
      </c>
      <c r="O1066" s="85">
        <v>36148314.29299245</v>
      </c>
      <c r="P1066" s="85">
        <v>11391910.449499061</v>
      </c>
      <c r="Q1066" s="85">
        <v>24756403.843493387</v>
      </c>
      <c r="R1066" s="85"/>
    </row>
    <row r="1067" spans="1:18" ht="15">
      <c r="A1067" s="70">
        <v>15</v>
      </c>
      <c r="B1067" s="70"/>
      <c r="C1067" s="72" t="s">
        <v>1070</v>
      </c>
      <c r="D1067" s="72" t="s">
        <v>1071</v>
      </c>
      <c r="E1067" s="85">
        <v>69199174.999999985</v>
      </c>
      <c r="F1067" s="85" t="s">
        <v>254</v>
      </c>
      <c r="G1067" s="85">
        <v>60808442.883026898</v>
      </c>
      <c r="H1067" s="85" t="s">
        <v>254</v>
      </c>
      <c r="I1067" s="85">
        <v>2552017.3369733118</v>
      </c>
      <c r="J1067" s="85">
        <v>5838714.7799997758</v>
      </c>
      <c r="K1067" s="85" t="s">
        <v>254</v>
      </c>
      <c r="L1067" s="85" t="s">
        <v>254</v>
      </c>
      <c r="M1067" s="85">
        <v>280.76669228109114</v>
      </c>
      <c r="N1067" s="85" t="s">
        <v>254</v>
      </c>
      <c r="O1067" s="85">
        <v>5838434.013307495</v>
      </c>
      <c r="P1067" s="85">
        <v>1840341.137392825</v>
      </c>
      <c r="Q1067" s="85">
        <v>3998092.8759146701</v>
      </c>
      <c r="R1067" s="85"/>
    </row>
    <row r="1068" spans="1:18" ht="15">
      <c r="A1068" s="70">
        <v>16</v>
      </c>
      <c r="B1068" s="70"/>
      <c r="C1068" s="72" t="s">
        <v>1072</v>
      </c>
      <c r="D1068" s="72" t="s">
        <v>1073</v>
      </c>
      <c r="E1068" s="85">
        <v>9756</v>
      </c>
      <c r="F1068" s="85" t="s">
        <v>254</v>
      </c>
      <c r="G1068" s="85">
        <v>8522.7845649540959</v>
      </c>
      <c r="H1068" s="85" t="s">
        <v>254</v>
      </c>
      <c r="I1068" s="85">
        <v>393.92949114170079</v>
      </c>
      <c r="J1068" s="85">
        <v>839.28594390420415</v>
      </c>
      <c r="K1068" s="85" t="s">
        <v>254</v>
      </c>
      <c r="L1068" s="85" t="s">
        <v>254</v>
      </c>
      <c r="M1068" s="85">
        <v>2.9948441178780302E-2</v>
      </c>
      <c r="N1068" s="85" t="s">
        <v>254</v>
      </c>
      <c r="O1068" s="85">
        <v>839.25599546302533</v>
      </c>
      <c r="P1068" s="85">
        <v>260.4705517626445</v>
      </c>
      <c r="Q1068" s="85">
        <v>578.78544370038082</v>
      </c>
      <c r="R1068" s="85"/>
    </row>
    <row r="1069" spans="1:18" ht="15">
      <c r="A1069" s="70">
        <v>17</v>
      </c>
      <c r="B1069" s="70"/>
      <c r="C1069" s="72" t="s">
        <v>1074</v>
      </c>
      <c r="D1069" s="72" t="s">
        <v>1075</v>
      </c>
      <c r="E1069" s="85">
        <v>208107.9999999998</v>
      </c>
      <c r="F1069" s="85" t="s">
        <v>254</v>
      </c>
      <c r="G1069" s="85">
        <v>182019.33975534621</v>
      </c>
      <c r="H1069" s="85" t="s">
        <v>254</v>
      </c>
      <c r="I1069" s="85">
        <v>8255.6752315126596</v>
      </c>
      <c r="J1069" s="85">
        <v>17832.985013140926</v>
      </c>
      <c r="K1069" s="85" t="s">
        <v>254</v>
      </c>
      <c r="L1069" s="85" t="s">
        <v>254</v>
      </c>
      <c r="M1069" s="85">
        <v>0.68282728451837027</v>
      </c>
      <c r="N1069" s="85" t="s">
        <v>254</v>
      </c>
      <c r="O1069" s="85">
        <v>17832.302185856406</v>
      </c>
      <c r="P1069" s="85">
        <v>5552.2872018295593</v>
      </c>
      <c r="Q1069" s="85">
        <v>12280.014984026848</v>
      </c>
      <c r="R1069" s="85"/>
    </row>
    <row r="1070" spans="1:18" ht="15">
      <c r="A1070" s="70">
        <v>18</v>
      </c>
      <c r="B1070" s="70"/>
      <c r="C1070" s="72" t="s">
        <v>1076</v>
      </c>
      <c r="D1070" s="72" t="s">
        <v>1077</v>
      </c>
      <c r="E1070" s="85">
        <v>149405641.29642856</v>
      </c>
      <c r="F1070" s="85" t="s">
        <v>254</v>
      </c>
      <c r="G1070" s="85">
        <v>131380947.95834172</v>
      </c>
      <c r="H1070" s="85" t="s">
        <v>254</v>
      </c>
      <c r="I1070" s="85">
        <v>5449368.8635857869</v>
      </c>
      <c r="J1070" s="85">
        <v>12575324.474501032</v>
      </c>
      <c r="K1070" s="85" t="s">
        <v>254</v>
      </c>
      <c r="L1070" s="85" t="s">
        <v>254</v>
      </c>
      <c r="M1070" s="85">
        <v>632.7965294255664</v>
      </c>
      <c r="N1070" s="85" t="s">
        <v>254</v>
      </c>
      <c r="O1070" s="85">
        <v>12574691.677971607</v>
      </c>
      <c r="P1070" s="85">
        <v>3973432.7432181486</v>
      </c>
      <c r="Q1070" s="85">
        <v>8601258.9347534589</v>
      </c>
      <c r="R1070" s="85"/>
    </row>
    <row r="1071" spans="1:18" ht="15">
      <c r="A1071" s="70">
        <v>19</v>
      </c>
      <c r="B1071" s="70"/>
      <c r="C1071" s="72" t="s">
        <v>1078</v>
      </c>
      <c r="D1071" s="72" t="s">
        <v>1079</v>
      </c>
      <c r="E1071" s="85">
        <v>13403898.999999998</v>
      </c>
      <c r="F1071" s="85" t="s">
        <v>254</v>
      </c>
      <c r="G1071" s="85">
        <v>11715331.200993977</v>
      </c>
      <c r="H1071" s="85" t="s">
        <v>254</v>
      </c>
      <c r="I1071" s="85">
        <v>541415.73160084034</v>
      </c>
      <c r="J1071" s="85">
        <v>1147152.0674051803</v>
      </c>
      <c r="K1071" s="85" t="s">
        <v>254</v>
      </c>
      <c r="L1071" s="85" t="s">
        <v>254</v>
      </c>
      <c r="M1071" s="85">
        <v>41.16681639538632</v>
      </c>
      <c r="N1071" s="85" t="s">
        <v>254</v>
      </c>
      <c r="O1071" s="85">
        <v>1147110.9005887848</v>
      </c>
      <c r="P1071" s="85">
        <v>356016.05567853048</v>
      </c>
      <c r="Q1071" s="85">
        <v>791094.84491025424</v>
      </c>
      <c r="R1071" s="85"/>
    </row>
    <row r="1072" spans="1:18" ht="15">
      <c r="A1072" s="70">
        <v>20</v>
      </c>
      <c r="B1072" s="70"/>
      <c r="C1072" s="72" t="s">
        <v>1080</v>
      </c>
      <c r="D1072" s="72" t="s">
        <v>1081</v>
      </c>
      <c r="E1072" s="85">
        <v>0</v>
      </c>
      <c r="F1072" s="85" t="s">
        <v>254</v>
      </c>
      <c r="G1072" s="85">
        <v>0</v>
      </c>
      <c r="H1072" s="85" t="s">
        <v>254</v>
      </c>
      <c r="I1072" s="85">
        <v>0</v>
      </c>
      <c r="J1072" s="85">
        <v>0</v>
      </c>
      <c r="K1072" s="85" t="s">
        <v>254</v>
      </c>
      <c r="L1072" s="85" t="s">
        <v>254</v>
      </c>
      <c r="M1072" s="85">
        <v>0</v>
      </c>
      <c r="N1072" s="85" t="s">
        <v>254</v>
      </c>
      <c r="O1072" s="85">
        <v>0</v>
      </c>
      <c r="P1072" s="85">
        <v>0</v>
      </c>
      <c r="Q1072" s="85">
        <v>0</v>
      </c>
      <c r="R1072" s="85"/>
    </row>
    <row r="1073" spans="1:18" ht="15">
      <c r="A1073" s="70">
        <v>21</v>
      </c>
      <c r="B1073" s="70"/>
      <c r="C1073" s="72" t="s">
        <v>1082</v>
      </c>
      <c r="D1073" s="72" t="s">
        <v>1083</v>
      </c>
      <c r="E1073" s="85">
        <v>0</v>
      </c>
      <c r="F1073" s="85" t="s">
        <v>254</v>
      </c>
      <c r="G1073" s="85">
        <v>0</v>
      </c>
      <c r="H1073" s="85" t="s">
        <v>254</v>
      </c>
      <c r="I1073" s="85">
        <v>0</v>
      </c>
      <c r="J1073" s="85">
        <v>0</v>
      </c>
      <c r="K1073" s="85" t="s">
        <v>254</v>
      </c>
      <c r="L1073" s="85" t="s">
        <v>254</v>
      </c>
      <c r="M1073" s="85">
        <v>0</v>
      </c>
      <c r="N1073" s="85" t="s">
        <v>254</v>
      </c>
      <c r="O1073" s="85">
        <v>0</v>
      </c>
      <c r="P1073" s="85">
        <v>0</v>
      </c>
      <c r="Q1073" s="85">
        <v>0</v>
      </c>
      <c r="R1073" s="85"/>
    </row>
    <row r="1074" spans="1:18" ht="15">
      <c r="A1074" s="70">
        <v>22</v>
      </c>
      <c r="B1074" s="70"/>
      <c r="C1074" s="72" t="s">
        <v>1084</v>
      </c>
      <c r="D1074" s="72" t="s">
        <v>1085</v>
      </c>
      <c r="E1074" s="85">
        <v>0</v>
      </c>
      <c r="F1074" s="85" t="s">
        <v>254</v>
      </c>
      <c r="G1074" s="85">
        <v>0</v>
      </c>
      <c r="H1074" s="85" t="s">
        <v>254</v>
      </c>
      <c r="I1074" s="85">
        <v>0</v>
      </c>
      <c r="J1074" s="85">
        <v>0</v>
      </c>
      <c r="K1074" s="85" t="s">
        <v>254</v>
      </c>
      <c r="L1074" s="85" t="s">
        <v>254</v>
      </c>
      <c r="M1074" s="85">
        <v>0</v>
      </c>
      <c r="N1074" s="85" t="s">
        <v>254</v>
      </c>
      <c r="O1074" s="85">
        <v>0</v>
      </c>
      <c r="P1074" s="85">
        <v>0</v>
      </c>
      <c r="Q1074" s="85">
        <v>0</v>
      </c>
      <c r="R1074" s="85"/>
    </row>
    <row r="1075" spans="1:18" ht="15">
      <c r="A1075" s="70">
        <v>23</v>
      </c>
      <c r="B1075" s="70"/>
      <c r="C1075" s="72" t="s">
        <v>1086</v>
      </c>
      <c r="D1075" s="72" t="s">
        <v>1087</v>
      </c>
      <c r="E1075" s="85">
        <v>0</v>
      </c>
      <c r="F1075" s="85" t="s">
        <v>254</v>
      </c>
      <c r="G1075" s="85">
        <v>0</v>
      </c>
      <c r="H1075" s="85" t="s">
        <v>254</v>
      </c>
      <c r="I1075" s="85">
        <v>0</v>
      </c>
      <c r="J1075" s="85">
        <v>0</v>
      </c>
      <c r="K1075" s="85" t="s">
        <v>254</v>
      </c>
      <c r="L1075" s="85" t="s">
        <v>254</v>
      </c>
      <c r="M1075" s="85">
        <v>0</v>
      </c>
      <c r="N1075" s="85" t="s">
        <v>254</v>
      </c>
      <c r="O1075" s="85">
        <v>0</v>
      </c>
      <c r="P1075" s="85">
        <v>0</v>
      </c>
      <c r="Q1075" s="85">
        <v>0</v>
      </c>
      <c r="R1075" s="85"/>
    </row>
    <row r="1076" spans="1:18" ht="15">
      <c r="A1076" s="70">
        <v>24</v>
      </c>
      <c r="B1076" s="70"/>
      <c r="C1076" s="72" t="s">
        <v>1088</v>
      </c>
      <c r="D1076" s="72" t="s">
        <v>1089</v>
      </c>
      <c r="E1076" s="85">
        <v>0</v>
      </c>
      <c r="F1076" s="85" t="s">
        <v>254</v>
      </c>
      <c r="G1076" s="85">
        <v>0</v>
      </c>
      <c r="H1076" s="85" t="s">
        <v>254</v>
      </c>
      <c r="I1076" s="85">
        <v>0</v>
      </c>
      <c r="J1076" s="85">
        <v>0</v>
      </c>
      <c r="K1076" s="85" t="s">
        <v>254</v>
      </c>
      <c r="L1076" s="85" t="s">
        <v>254</v>
      </c>
      <c r="M1076" s="85">
        <v>0</v>
      </c>
      <c r="N1076" s="85" t="s">
        <v>254</v>
      </c>
      <c r="O1076" s="85">
        <v>0</v>
      </c>
      <c r="P1076" s="85">
        <v>0</v>
      </c>
      <c r="Q1076" s="85">
        <v>0</v>
      </c>
      <c r="R1076" s="85"/>
    </row>
    <row r="1077" spans="1:18" ht="15">
      <c r="A1077" s="70">
        <v>25</v>
      </c>
      <c r="B1077" s="70"/>
      <c r="C1077" s="72" t="s">
        <v>1090</v>
      </c>
      <c r="D1077" s="72" t="s">
        <v>1091</v>
      </c>
      <c r="E1077" s="85">
        <v>0</v>
      </c>
      <c r="F1077" s="85" t="s">
        <v>254</v>
      </c>
      <c r="G1077" s="85">
        <v>0</v>
      </c>
      <c r="H1077" s="85" t="s">
        <v>254</v>
      </c>
      <c r="I1077" s="85">
        <v>0</v>
      </c>
      <c r="J1077" s="85">
        <v>0</v>
      </c>
      <c r="K1077" s="85" t="s">
        <v>254</v>
      </c>
      <c r="L1077" s="85" t="s">
        <v>254</v>
      </c>
      <c r="M1077" s="85">
        <v>0</v>
      </c>
      <c r="N1077" s="85" t="s">
        <v>254</v>
      </c>
      <c r="O1077" s="85">
        <v>0</v>
      </c>
      <c r="P1077" s="85">
        <v>0</v>
      </c>
      <c r="Q1077" s="85">
        <v>0</v>
      </c>
      <c r="R1077" s="85"/>
    </row>
    <row r="1078" spans="1:18" ht="15">
      <c r="A1078" s="70">
        <v>26</v>
      </c>
      <c r="B1078" s="70"/>
      <c r="C1078" s="72" t="s">
        <v>1092</v>
      </c>
      <c r="D1078" s="72" t="s">
        <v>1093</v>
      </c>
      <c r="E1078" s="85">
        <v>19501338.999999993</v>
      </c>
      <c r="F1078" s="85" t="s">
        <v>254</v>
      </c>
      <c r="G1078" s="85">
        <v>17581402.086874489</v>
      </c>
      <c r="H1078" s="85" t="s">
        <v>254</v>
      </c>
      <c r="I1078" s="85">
        <v>1919875.1333653515</v>
      </c>
      <c r="J1078" s="85">
        <v>61.779760150734489</v>
      </c>
      <c r="K1078" s="85" t="s">
        <v>254</v>
      </c>
      <c r="L1078" s="85" t="s">
        <v>254</v>
      </c>
      <c r="M1078" s="85">
        <v>61.779760150734489</v>
      </c>
      <c r="N1078" s="85" t="s">
        <v>254</v>
      </c>
      <c r="O1078" s="85">
        <v>0</v>
      </c>
      <c r="P1078" s="85">
        <v>0</v>
      </c>
      <c r="Q1078" s="85">
        <v>0</v>
      </c>
      <c r="R1078" s="85"/>
    </row>
    <row r="1079" spans="1:18" ht="15">
      <c r="A1079" s="70">
        <v>27</v>
      </c>
      <c r="B1079" s="70"/>
      <c r="C1079" s="72" t="s">
        <v>1094</v>
      </c>
      <c r="D1079" s="72" t="s">
        <v>1095</v>
      </c>
      <c r="E1079" s="85">
        <v>14294092</v>
      </c>
      <c r="F1079" s="85" t="s">
        <v>254</v>
      </c>
      <c r="G1079" s="85">
        <v>12894337.451283412</v>
      </c>
      <c r="H1079" s="85" t="s">
        <v>254</v>
      </c>
      <c r="I1079" s="85">
        <v>1399709.5073927299</v>
      </c>
      <c r="J1079" s="85">
        <v>45.041323857268623</v>
      </c>
      <c r="K1079" s="85" t="s">
        <v>254</v>
      </c>
      <c r="L1079" s="85" t="s">
        <v>254</v>
      </c>
      <c r="M1079" s="85">
        <v>45.041323857268623</v>
      </c>
      <c r="N1079" s="85" t="s">
        <v>254</v>
      </c>
      <c r="O1079" s="85">
        <v>0</v>
      </c>
      <c r="P1079" s="85">
        <v>0</v>
      </c>
      <c r="Q1079" s="85">
        <v>0</v>
      </c>
      <c r="R1079" s="85"/>
    </row>
    <row r="1080" spans="1:18" ht="15">
      <c r="A1080" s="70">
        <v>28</v>
      </c>
      <c r="B1080" s="70"/>
      <c r="C1080" s="72" t="s">
        <v>1096</v>
      </c>
      <c r="D1080" s="72" t="s">
        <v>639</v>
      </c>
      <c r="E1080" s="85">
        <v>7478244</v>
      </c>
      <c r="F1080" s="85" t="s">
        <v>254</v>
      </c>
      <c r="G1080" s="85">
        <v>6741999.3400328392</v>
      </c>
      <c r="H1080" s="85" t="s">
        <v>254</v>
      </c>
      <c r="I1080" s="85">
        <v>736220.96907492587</v>
      </c>
      <c r="J1080" s="85">
        <v>23.690892234049645</v>
      </c>
      <c r="K1080" s="85" t="s">
        <v>254</v>
      </c>
      <c r="L1080" s="85" t="s">
        <v>254</v>
      </c>
      <c r="M1080" s="85">
        <v>23.690892234049645</v>
      </c>
      <c r="N1080" s="85" t="s">
        <v>254</v>
      </c>
      <c r="O1080" s="85">
        <v>0</v>
      </c>
      <c r="P1080" s="85">
        <v>0</v>
      </c>
      <c r="Q1080" s="85">
        <v>0</v>
      </c>
      <c r="R1080" s="85"/>
    </row>
    <row r="1081" spans="1:18" ht="15">
      <c r="A1081" s="70">
        <v>29</v>
      </c>
      <c r="B1081" s="70"/>
      <c r="C1081" s="72" t="s">
        <v>1097</v>
      </c>
      <c r="D1081" s="72" t="s">
        <v>1098</v>
      </c>
      <c r="E1081" s="85">
        <v>0</v>
      </c>
      <c r="F1081" s="85" t="s">
        <v>254</v>
      </c>
      <c r="G1081" s="85">
        <v>0</v>
      </c>
      <c r="H1081" s="85" t="s">
        <v>254</v>
      </c>
      <c r="I1081" s="85">
        <v>0</v>
      </c>
      <c r="J1081" s="85">
        <v>0</v>
      </c>
      <c r="K1081" s="85" t="s">
        <v>254</v>
      </c>
      <c r="L1081" s="85" t="s">
        <v>254</v>
      </c>
      <c r="M1081" s="85">
        <v>0</v>
      </c>
      <c r="N1081" s="85" t="s">
        <v>254</v>
      </c>
      <c r="O1081" s="85">
        <v>0</v>
      </c>
      <c r="P1081" s="85">
        <v>0</v>
      </c>
      <c r="Q1081" s="85">
        <v>0</v>
      </c>
      <c r="R1081" s="85"/>
    </row>
    <row r="1082" spans="1:18" ht="15">
      <c r="A1082" s="70">
        <v>30</v>
      </c>
      <c r="B1082" s="70"/>
      <c r="C1082" s="72" t="s">
        <v>1099</v>
      </c>
      <c r="D1082" s="72" t="s">
        <v>1100</v>
      </c>
      <c r="E1082" s="85">
        <v>23189273</v>
      </c>
      <c r="F1082" s="85" t="s">
        <v>254</v>
      </c>
      <c r="G1082" s="85">
        <v>21854417.593013715</v>
      </c>
      <c r="H1082" s="85" t="s">
        <v>254</v>
      </c>
      <c r="I1082" s="85">
        <v>1240565.5228361445</v>
      </c>
      <c r="J1082" s="85">
        <v>94289.884150140846</v>
      </c>
      <c r="K1082" s="85" t="s">
        <v>254</v>
      </c>
      <c r="L1082" s="85" t="s">
        <v>254</v>
      </c>
      <c r="M1082" s="85">
        <v>2389.1795010451551</v>
      </c>
      <c r="N1082" s="85" t="s">
        <v>254</v>
      </c>
      <c r="O1082" s="85">
        <v>91900.704649095685</v>
      </c>
      <c r="P1082" s="85">
        <v>57905.916921434313</v>
      </c>
      <c r="Q1082" s="85">
        <v>33994.78772766138</v>
      </c>
      <c r="R1082" s="85"/>
    </row>
    <row r="1083" spans="1:18" ht="15">
      <c r="A1083" s="70">
        <v>31</v>
      </c>
      <c r="B1083" s="70"/>
      <c r="C1083" s="72" t="s">
        <v>1101</v>
      </c>
      <c r="D1083" s="72" t="s">
        <v>1102</v>
      </c>
      <c r="E1083" s="85">
        <v>36697291.999999993</v>
      </c>
      <c r="F1083" s="85" t="s">
        <v>254</v>
      </c>
      <c r="G1083" s="85">
        <v>34335004.998139046</v>
      </c>
      <c r="H1083" s="85" t="s">
        <v>254</v>
      </c>
      <c r="I1083" s="85">
        <v>2325993.1843311517</v>
      </c>
      <c r="J1083" s="85">
        <v>36293.817529796892</v>
      </c>
      <c r="K1083" s="85" t="s">
        <v>254</v>
      </c>
      <c r="L1083" s="85" t="s">
        <v>254</v>
      </c>
      <c r="M1083" s="85">
        <v>3796.8816995598081</v>
      </c>
      <c r="N1083" s="85" t="s">
        <v>254</v>
      </c>
      <c r="O1083" s="85">
        <v>32496.935830237082</v>
      </c>
      <c r="P1083" s="85">
        <v>27246.398203274592</v>
      </c>
      <c r="Q1083" s="85">
        <v>5250.5376269624903</v>
      </c>
      <c r="R1083" s="85"/>
    </row>
    <row r="1084" spans="1:18" ht="15">
      <c r="A1084" s="70">
        <v>32</v>
      </c>
      <c r="B1084" s="70"/>
      <c r="C1084" s="72" t="s">
        <v>1103</v>
      </c>
      <c r="D1084" s="72" t="s">
        <v>1104</v>
      </c>
      <c r="E1084" s="85">
        <v>21780730</v>
      </c>
      <c r="F1084" s="85" t="s">
        <v>254</v>
      </c>
      <c r="G1084" s="85">
        <v>20568857.894994985</v>
      </c>
      <c r="H1084" s="85" t="s">
        <v>254</v>
      </c>
      <c r="I1084" s="85">
        <v>1151417.6672186484</v>
      </c>
      <c r="J1084" s="85">
        <v>60454.437786366179</v>
      </c>
      <c r="K1084" s="85" t="s">
        <v>254</v>
      </c>
      <c r="L1084" s="85" t="s">
        <v>254</v>
      </c>
      <c r="M1084" s="85">
        <v>2095.1207107406221</v>
      </c>
      <c r="N1084" s="85" t="s">
        <v>254</v>
      </c>
      <c r="O1084" s="85">
        <v>58359.317075625557</v>
      </c>
      <c r="P1084" s="85">
        <v>50585.482420178872</v>
      </c>
      <c r="Q1084" s="85">
        <v>7773.8346554466852</v>
      </c>
      <c r="R1084" s="85"/>
    </row>
    <row r="1085" spans="1:18" ht="15">
      <c r="A1085" s="70">
        <v>33</v>
      </c>
      <c r="B1085" s="70"/>
      <c r="C1085" s="72" t="s">
        <v>1105</v>
      </c>
      <c r="D1085" s="72" t="s">
        <v>1106</v>
      </c>
      <c r="E1085" s="85">
        <v>0</v>
      </c>
      <c r="F1085" s="85" t="s">
        <v>254</v>
      </c>
      <c r="G1085" s="85">
        <v>0</v>
      </c>
      <c r="H1085" s="85" t="s">
        <v>254</v>
      </c>
      <c r="I1085" s="85">
        <v>0</v>
      </c>
      <c r="J1085" s="85">
        <v>0</v>
      </c>
      <c r="K1085" s="85" t="s">
        <v>254</v>
      </c>
      <c r="L1085" s="85" t="s">
        <v>254</v>
      </c>
      <c r="M1085" s="85">
        <v>0</v>
      </c>
      <c r="N1085" s="85" t="s">
        <v>254</v>
      </c>
      <c r="O1085" s="85">
        <v>0</v>
      </c>
      <c r="P1085" s="85">
        <v>0</v>
      </c>
      <c r="Q1085" s="85">
        <v>0</v>
      </c>
      <c r="R1085" s="85"/>
    </row>
    <row r="1086" spans="1:18" ht="15">
      <c r="A1086" s="70">
        <v>34</v>
      </c>
      <c r="B1086" s="70"/>
      <c r="C1086" s="72" t="s">
        <v>1107</v>
      </c>
      <c r="D1086" s="72" t="s">
        <v>890</v>
      </c>
      <c r="E1086" s="85">
        <v>26843810</v>
      </c>
      <c r="F1086" s="85" t="s">
        <v>254</v>
      </c>
      <c r="G1086" s="85">
        <v>25468953.231998585</v>
      </c>
      <c r="H1086" s="85" t="s">
        <v>254</v>
      </c>
      <c r="I1086" s="85">
        <v>1343287.1115240997</v>
      </c>
      <c r="J1086" s="85">
        <v>31569.656477315177</v>
      </c>
      <c r="K1086" s="85" t="s">
        <v>254</v>
      </c>
      <c r="L1086" s="85" t="s">
        <v>254</v>
      </c>
      <c r="M1086" s="85">
        <v>212.59027930851974</v>
      </c>
      <c r="N1086" s="85" t="s">
        <v>254</v>
      </c>
      <c r="O1086" s="85">
        <v>31357.066198006658</v>
      </c>
      <c r="P1086" s="85">
        <v>16263.156367101757</v>
      </c>
      <c r="Q1086" s="85">
        <v>15093.909830904899</v>
      </c>
      <c r="R1086" s="85"/>
    </row>
    <row r="1087" spans="1:18" ht="15">
      <c r="A1087" s="70">
        <v>35</v>
      </c>
      <c r="B1087" s="70"/>
      <c r="C1087" s="72" t="s">
        <v>1108</v>
      </c>
      <c r="D1087" s="72" t="s">
        <v>689</v>
      </c>
      <c r="E1087" s="85">
        <v>3435471.9999999995</v>
      </c>
      <c r="F1087" s="85" t="s">
        <v>254</v>
      </c>
      <c r="G1087" s="85">
        <v>3259517.7695655213</v>
      </c>
      <c r="H1087" s="85" t="s">
        <v>254</v>
      </c>
      <c r="I1087" s="85">
        <v>171913.94439172093</v>
      </c>
      <c r="J1087" s="85">
        <v>4040.286042757526</v>
      </c>
      <c r="K1087" s="85" t="s">
        <v>254</v>
      </c>
      <c r="L1087" s="85" t="s">
        <v>254</v>
      </c>
      <c r="M1087" s="85">
        <v>27.20731341924261</v>
      </c>
      <c r="N1087" s="85" t="s">
        <v>254</v>
      </c>
      <c r="O1087" s="85">
        <v>4013.0787293382837</v>
      </c>
      <c r="P1087" s="85">
        <v>2081.3594765720591</v>
      </c>
      <c r="Q1087" s="85">
        <v>1931.7192527662248</v>
      </c>
      <c r="R1087" s="85"/>
    </row>
    <row r="1088" spans="1:18" ht="15">
      <c r="A1088" s="70">
        <v>36</v>
      </c>
      <c r="B1088" s="70"/>
      <c r="C1088" s="72" t="s">
        <v>1109</v>
      </c>
      <c r="D1088" s="72" t="s">
        <v>898</v>
      </c>
      <c r="E1088" s="85">
        <v>24211377</v>
      </c>
      <c r="F1088" s="85" t="s">
        <v>254</v>
      </c>
      <c r="G1088" s="85">
        <v>24144785.101481389</v>
      </c>
      <c r="H1088" s="85" t="s">
        <v>254</v>
      </c>
      <c r="I1088" s="85">
        <v>66582.482243365957</v>
      </c>
      <c r="J1088" s="85">
        <v>9.416275243015976</v>
      </c>
      <c r="K1088" s="85" t="s">
        <v>254</v>
      </c>
      <c r="L1088" s="85" t="s">
        <v>254</v>
      </c>
      <c r="M1088" s="85">
        <v>9.416275243015976</v>
      </c>
      <c r="N1088" s="85" t="s">
        <v>254</v>
      </c>
      <c r="O1088" s="85">
        <v>0</v>
      </c>
      <c r="P1088" s="85">
        <v>0</v>
      </c>
      <c r="Q1088" s="85">
        <v>0</v>
      </c>
      <c r="R1088" s="85"/>
    </row>
    <row r="1089" spans="1:18" ht="15">
      <c r="A1089" s="70">
        <v>37</v>
      </c>
      <c r="B1089" s="70"/>
      <c r="C1089" s="72" t="s">
        <v>1110</v>
      </c>
      <c r="D1089" s="72" t="s">
        <v>1111</v>
      </c>
      <c r="E1089" s="85">
        <v>3435471.9999999995</v>
      </c>
      <c r="F1089" s="85" t="s">
        <v>254</v>
      </c>
      <c r="G1089" s="85">
        <v>3259517.7695655213</v>
      </c>
      <c r="H1089" s="85" t="s">
        <v>254</v>
      </c>
      <c r="I1089" s="85">
        <v>171913.94439172093</v>
      </c>
      <c r="J1089" s="85">
        <v>4040.286042757526</v>
      </c>
      <c r="K1089" s="85" t="s">
        <v>254</v>
      </c>
      <c r="L1089" s="85" t="s">
        <v>254</v>
      </c>
      <c r="M1089" s="85">
        <v>27.20731341924261</v>
      </c>
      <c r="N1089" s="85" t="s">
        <v>254</v>
      </c>
      <c r="O1089" s="85">
        <v>4013.0787293382837</v>
      </c>
      <c r="P1089" s="85">
        <v>2081.3594765720591</v>
      </c>
      <c r="Q1089" s="85">
        <v>1931.7192527662248</v>
      </c>
      <c r="R1089" s="85"/>
    </row>
    <row r="1090" spans="1:18" ht="15">
      <c r="A1090" s="70">
        <v>38</v>
      </c>
      <c r="B1090" s="70"/>
      <c r="C1090" s="72" t="s">
        <v>1112</v>
      </c>
      <c r="D1090" s="72" t="s">
        <v>1113</v>
      </c>
      <c r="E1090" s="85">
        <v>837646</v>
      </c>
      <c r="F1090" s="85" t="s">
        <v>254</v>
      </c>
      <c r="G1090" s="85">
        <v>794217.3368437452</v>
      </c>
      <c r="H1090" s="85" t="s">
        <v>254</v>
      </c>
      <c r="I1090" s="85">
        <v>43422.5222253787</v>
      </c>
      <c r="J1090" s="85">
        <v>6.1409308761672605</v>
      </c>
      <c r="K1090" s="85" t="s">
        <v>254</v>
      </c>
      <c r="L1090" s="85" t="s">
        <v>254</v>
      </c>
      <c r="M1090" s="85">
        <v>6.1409308761672605</v>
      </c>
      <c r="N1090" s="85" t="s">
        <v>254</v>
      </c>
      <c r="O1090" s="85">
        <v>0</v>
      </c>
      <c r="P1090" s="85">
        <v>0</v>
      </c>
      <c r="Q1090" s="85">
        <v>0</v>
      </c>
      <c r="R1090" s="85"/>
    </row>
    <row r="1091" spans="1:18" ht="15">
      <c r="A1091" s="70">
        <v>39</v>
      </c>
      <c r="B1091" s="70"/>
      <c r="C1091" s="72" t="s">
        <v>1114</v>
      </c>
      <c r="D1091" s="72" t="s">
        <v>701</v>
      </c>
      <c r="E1091" s="85">
        <v>2206342.9999999995</v>
      </c>
      <c r="F1091" s="85" t="s">
        <v>254</v>
      </c>
      <c r="G1091" s="85">
        <v>2200274.5897169644</v>
      </c>
      <c r="H1091" s="85" t="s">
        <v>254</v>
      </c>
      <c r="I1091" s="85">
        <v>6067.5521933459122</v>
      </c>
      <c r="J1091" s="85">
        <v>0.85808968934322072</v>
      </c>
      <c r="K1091" s="85" t="s">
        <v>254</v>
      </c>
      <c r="L1091" s="85" t="s">
        <v>254</v>
      </c>
      <c r="M1091" s="85">
        <v>0.85808968934322072</v>
      </c>
      <c r="N1091" s="85" t="s">
        <v>254</v>
      </c>
      <c r="O1091" s="85">
        <v>0</v>
      </c>
      <c r="P1091" s="85">
        <v>0</v>
      </c>
      <c r="Q1091" s="85">
        <v>0</v>
      </c>
      <c r="R1091" s="85"/>
    </row>
    <row r="1092" spans="1:18" ht="15">
      <c r="A1092" s="70">
        <v>40</v>
      </c>
      <c r="B1092" s="70"/>
      <c r="C1092" s="72" t="s">
        <v>1115</v>
      </c>
      <c r="D1092" s="72" t="s">
        <v>1116</v>
      </c>
      <c r="E1092" s="85">
        <v>126592021.99999997</v>
      </c>
      <c r="F1092" s="85" t="s">
        <v>254</v>
      </c>
      <c r="G1092" s="85">
        <v>113859772.53423992</v>
      </c>
      <c r="H1092" s="85" t="s">
        <v>254</v>
      </c>
      <c r="I1092" s="85">
        <v>6164836.4565697508</v>
      </c>
      <c r="J1092" s="85">
        <v>6567413.0091903135</v>
      </c>
      <c r="K1092" s="85" t="s">
        <v>254</v>
      </c>
      <c r="L1092" s="85" t="s">
        <v>254</v>
      </c>
      <c r="M1092" s="85">
        <v>2920.0941878699177</v>
      </c>
      <c r="N1092" s="85" t="s">
        <v>254</v>
      </c>
      <c r="O1092" s="85">
        <v>6564492.9150024438</v>
      </c>
      <c r="P1092" s="85">
        <v>2093959.3914748589</v>
      </c>
      <c r="Q1092" s="85">
        <v>4470533.523527585</v>
      </c>
      <c r="R1092" s="85"/>
    </row>
    <row r="1093" spans="1:18" ht="15">
      <c r="A1093" s="70" t="s">
        <v>254</v>
      </c>
      <c r="B1093" s="70"/>
      <c r="C1093" s="72" t="s">
        <v>254</v>
      </c>
      <c r="D1093" s="72" t="s">
        <v>254</v>
      </c>
      <c r="E1093" s="85" t="s">
        <v>254</v>
      </c>
      <c r="F1093" s="85" t="s">
        <v>254</v>
      </c>
      <c r="G1093" s="85" t="s">
        <v>254</v>
      </c>
      <c r="H1093" s="85" t="s">
        <v>254</v>
      </c>
      <c r="I1093" s="85" t="s">
        <v>254</v>
      </c>
      <c r="J1093" s="85" t="s">
        <v>254</v>
      </c>
      <c r="K1093" s="85" t="s">
        <v>254</v>
      </c>
      <c r="L1093" s="85" t="s">
        <v>254</v>
      </c>
      <c r="M1093" s="85" t="s">
        <v>254</v>
      </c>
      <c r="N1093" s="85" t="s">
        <v>254</v>
      </c>
      <c r="O1093" s="85" t="s">
        <v>254</v>
      </c>
      <c r="P1093" s="85" t="s">
        <v>254</v>
      </c>
      <c r="Q1093" s="85" t="s">
        <v>254</v>
      </c>
      <c r="R1093" s="85"/>
    </row>
    <row r="1094" spans="1:18" ht="15">
      <c r="A1094" s="70" t="s">
        <v>254</v>
      </c>
      <c r="B1094" s="70"/>
      <c r="C1094" s="72" t="s">
        <v>1053</v>
      </c>
      <c r="D1094" s="72" t="s">
        <v>254</v>
      </c>
      <c r="E1094" s="85" t="s">
        <v>254</v>
      </c>
      <c r="F1094" s="85" t="s">
        <v>254</v>
      </c>
      <c r="G1094" s="85" t="s">
        <v>254</v>
      </c>
      <c r="H1094" s="85" t="s">
        <v>254</v>
      </c>
      <c r="I1094" s="85" t="s">
        <v>254</v>
      </c>
      <c r="J1094" s="85" t="s">
        <v>254</v>
      </c>
      <c r="K1094" s="85" t="s">
        <v>254</v>
      </c>
      <c r="L1094" s="85" t="s">
        <v>254</v>
      </c>
      <c r="M1094" s="85" t="s">
        <v>254</v>
      </c>
      <c r="N1094" s="85" t="s">
        <v>254</v>
      </c>
      <c r="O1094" s="85" t="s">
        <v>254</v>
      </c>
      <c r="P1094" s="85" t="s">
        <v>254</v>
      </c>
      <c r="Q1094" s="85" t="s">
        <v>254</v>
      </c>
      <c r="R1094" s="85"/>
    </row>
    <row r="1095" spans="1:18" ht="15">
      <c r="A1095" s="70" t="s">
        <v>254</v>
      </c>
      <c r="B1095" s="70"/>
      <c r="C1095" s="72" t="s">
        <v>925</v>
      </c>
      <c r="D1095" s="72" t="s">
        <v>254</v>
      </c>
      <c r="E1095" s="85" t="s">
        <v>254</v>
      </c>
      <c r="F1095" s="85" t="s">
        <v>254</v>
      </c>
      <c r="G1095" s="85" t="s">
        <v>254</v>
      </c>
      <c r="H1095" s="85" t="s">
        <v>254</v>
      </c>
      <c r="I1095" s="85" t="s">
        <v>254</v>
      </c>
      <c r="J1095" s="85" t="s">
        <v>254</v>
      </c>
      <c r="K1095" s="85" t="s">
        <v>254</v>
      </c>
      <c r="L1095" s="85" t="s">
        <v>254</v>
      </c>
      <c r="M1095" s="85" t="s">
        <v>254</v>
      </c>
      <c r="N1095" s="85" t="s">
        <v>254</v>
      </c>
      <c r="O1095" s="85" t="s">
        <v>254</v>
      </c>
      <c r="P1095" s="85" t="s">
        <v>254</v>
      </c>
      <c r="Q1095" s="85" t="s">
        <v>254</v>
      </c>
      <c r="R1095" s="85"/>
    </row>
    <row r="1096" spans="1:18" ht="15">
      <c r="A1096" s="70">
        <v>1</v>
      </c>
      <c r="B1096" s="70"/>
      <c r="C1096" s="72" t="s">
        <v>2456</v>
      </c>
      <c r="D1096" s="72" t="s">
        <v>1118</v>
      </c>
      <c r="E1096" s="85">
        <v>5737713</v>
      </c>
      <c r="F1096" s="85" t="s">
        <v>254</v>
      </c>
      <c r="G1096" s="85">
        <v>5197262.0211860752</v>
      </c>
      <c r="H1096" s="85" t="s">
        <v>254</v>
      </c>
      <c r="I1096" s="85">
        <v>264548.70820775116</v>
      </c>
      <c r="J1096" s="85">
        <v>275902.27060617344</v>
      </c>
      <c r="K1096" s="85" t="s">
        <v>254</v>
      </c>
      <c r="L1096" s="85" t="s">
        <v>254</v>
      </c>
      <c r="M1096" s="85">
        <v>126.96735282022406</v>
      </c>
      <c r="N1096" s="85" t="s">
        <v>254</v>
      </c>
      <c r="O1096" s="85">
        <v>275775.30325335322</v>
      </c>
      <c r="P1096" s="85">
        <v>88038.654979873361</v>
      </c>
      <c r="Q1096" s="85">
        <v>187736.64827347989</v>
      </c>
      <c r="R1096" s="85"/>
    </row>
    <row r="1097" spans="1:18" ht="15">
      <c r="A1097" s="70">
        <v>2</v>
      </c>
      <c r="B1097" s="70"/>
      <c r="C1097" s="72" t="s">
        <v>1119</v>
      </c>
      <c r="D1097" s="72" t="s">
        <v>1120</v>
      </c>
      <c r="E1097" s="85">
        <v>24026953</v>
      </c>
      <c r="F1097" s="85" t="s">
        <v>254</v>
      </c>
      <c r="G1097" s="85">
        <v>24001993.117832545</v>
      </c>
      <c r="H1097" s="85" t="s">
        <v>254</v>
      </c>
      <c r="I1097" s="85">
        <v>24956.3527723513</v>
      </c>
      <c r="J1097" s="85">
        <v>3.5293951028639934</v>
      </c>
      <c r="K1097" s="85" t="s">
        <v>254</v>
      </c>
      <c r="L1097" s="85" t="s">
        <v>254</v>
      </c>
      <c r="M1097" s="85">
        <v>3.5293951028639934</v>
      </c>
      <c r="N1097" s="85" t="s">
        <v>254</v>
      </c>
      <c r="O1097" s="85">
        <v>0</v>
      </c>
      <c r="P1097" s="85">
        <v>0</v>
      </c>
      <c r="Q1097" s="85">
        <v>0</v>
      </c>
      <c r="R1097" s="85"/>
    </row>
    <row r="1098" spans="1:18" ht="15">
      <c r="A1098" s="70">
        <v>3</v>
      </c>
      <c r="B1098" s="70"/>
      <c r="C1098" s="72" t="s">
        <v>1121</v>
      </c>
      <c r="D1098" s="72" t="s">
        <v>528</v>
      </c>
      <c r="E1098" s="85">
        <v>1739106012.5592279</v>
      </c>
      <c r="F1098" s="85" t="s">
        <v>254</v>
      </c>
      <c r="G1098" s="85">
        <v>1734009542.3257976</v>
      </c>
      <c r="H1098" s="85" t="s">
        <v>254</v>
      </c>
      <c r="I1098" s="85">
        <v>0</v>
      </c>
      <c r="J1098" s="85">
        <v>5096470.2334303223</v>
      </c>
      <c r="K1098" s="85" t="s">
        <v>254</v>
      </c>
      <c r="L1098" s="85" t="s">
        <v>254</v>
      </c>
      <c r="M1098" s="85">
        <v>176624.25999999998</v>
      </c>
      <c r="N1098" s="85" t="s">
        <v>254</v>
      </c>
      <c r="O1098" s="85">
        <v>4919845.9734303225</v>
      </c>
      <c r="P1098" s="85">
        <v>4264490.9925255449</v>
      </c>
      <c r="Q1098" s="85">
        <v>655354.980904778</v>
      </c>
      <c r="R1098" s="85"/>
    </row>
    <row r="1099" spans="1:18" ht="15">
      <c r="A1099" s="70">
        <v>4</v>
      </c>
      <c r="B1099" s="70"/>
      <c r="C1099" s="72" t="s">
        <v>1122</v>
      </c>
      <c r="D1099" s="72" t="s">
        <v>432</v>
      </c>
      <c r="E1099" s="85">
        <v>80876899.173988476</v>
      </c>
      <c r="F1099" s="85" t="s">
        <v>254</v>
      </c>
      <c r="G1099" s="85">
        <v>80876899.173988476</v>
      </c>
      <c r="H1099" s="85" t="s">
        <v>254</v>
      </c>
      <c r="I1099" s="85">
        <v>0</v>
      </c>
      <c r="J1099" s="85">
        <v>0</v>
      </c>
      <c r="K1099" s="85" t="s">
        <v>254</v>
      </c>
      <c r="L1099" s="85" t="s">
        <v>254</v>
      </c>
      <c r="M1099" s="85">
        <v>0</v>
      </c>
      <c r="N1099" s="85" t="s">
        <v>254</v>
      </c>
      <c r="O1099" s="85">
        <v>0</v>
      </c>
      <c r="P1099" s="85">
        <v>0</v>
      </c>
      <c r="Q1099" s="85">
        <v>0</v>
      </c>
      <c r="R1099" s="85"/>
    </row>
    <row r="1100" spans="1:18" ht="15">
      <c r="A1100" s="70">
        <v>5</v>
      </c>
      <c r="B1100" s="70"/>
      <c r="C1100" s="72" t="s">
        <v>1123</v>
      </c>
      <c r="D1100" s="72" t="s">
        <v>1124</v>
      </c>
      <c r="E1100" s="85">
        <v>4294636.9825167898</v>
      </c>
      <c r="F1100" s="85" t="s">
        <v>254</v>
      </c>
      <c r="G1100" s="85">
        <v>0</v>
      </c>
      <c r="H1100" s="85" t="s">
        <v>254</v>
      </c>
      <c r="I1100" s="85">
        <v>4294636.9825167898</v>
      </c>
      <c r="J1100" s="85">
        <v>0</v>
      </c>
      <c r="K1100" s="85" t="s">
        <v>254</v>
      </c>
      <c r="L1100" s="85" t="s">
        <v>254</v>
      </c>
      <c r="M1100" s="85">
        <v>0</v>
      </c>
      <c r="N1100" s="85" t="s">
        <v>254</v>
      </c>
      <c r="O1100" s="85">
        <v>0</v>
      </c>
      <c r="P1100" s="85">
        <v>0</v>
      </c>
      <c r="Q1100" s="85">
        <v>0</v>
      </c>
      <c r="R1100" s="85"/>
    </row>
    <row r="1101" spans="1:18" ht="15">
      <c r="A1101" s="70">
        <v>6</v>
      </c>
      <c r="B1101" s="70"/>
      <c r="C1101" s="72" t="s">
        <v>1125</v>
      </c>
      <c r="D1101" s="72" t="s">
        <v>1126</v>
      </c>
      <c r="E1101" s="85">
        <v>0</v>
      </c>
      <c r="F1101" s="85" t="s">
        <v>254</v>
      </c>
      <c r="G1101" s="85">
        <v>0</v>
      </c>
      <c r="H1101" s="85" t="s">
        <v>254</v>
      </c>
      <c r="I1101" s="85">
        <v>0</v>
      </c>
      <c r="J1101" s="85">
        <v>0</v>
      </c>
      <c r="K1101" s="85" t="s">
        <v>254</v>
      </c>
      <c r="L1101" s="85" t="s">
        <v>254</v>
      </c>
      <c r="M1101" s="85">
        <v>0</v>
      </c>
      <c r="N1101" s="85" t="s">
        <v>254</v>
      </c>
      <c r="O1101" s="85">
        <v>0</v>
      </c>
      <c r="P1101" s="85">
        <v>0</v>
      </c>
      <c r="Q1101" s="85">
        <v>0</v>
      </c>
      <c r="R1101" s="85"/>
    </row>
    <row r="1102" spans="1:18" ht="15">
      <c r="A1102" s="70">
        <v>7</v>
      </c>
      <c r="B1102" s="70"/>
      <c r="C1102" s="72" t="s">
        <v>1127</v>
      </c>
      <c r="D1102" s="72" t="s">
        <v>1128</v>
      </c>
      <c r="E1102" s="85">
        <v>5390138.0650799433</v>
      </c>
      <c r="F1102" s="85" t="s">
        <v>254</v>
      </c>
      <c r="G1102" s="85">
        <v>0</v>
      </c>
      <c r="H1102" s="85" t="s">
        <v>254</v>
      </c>
      <c r="I1102" s="85">
        <v>0</v>
      </c>
      <c r="J1102" s="85">
        <v>5390138.0650799433</v>
      </c>
      <c r="K1102" s="85" t="s">
        <v>254</v>
      </c>
      <c r="L1102" s="85" t="s">
        <v>254</v>
      </c>
      <c r="M1102" s="85">
        <v>0</v>
      </c>
      <c r="N1102" s="85" t="s">
        <v>254</v>
      </c>
      <c r="O1102" s="85">
        <v>5390138.0650799433</v>
      </c>
      <c r="P1102" s="85">
        <v>1716821.01136133</v>
      </c>
      <c r="Q1102" s="85">
        <v>3673317.053718613</v>
      </c>
      <c r="R1102" s="85"/>
    </row>
    <row r="1103" spans="1:18" ht="15">
      <c r="A1103" s="70">
        <v>8</v>
      </c>
      <c r="B1103" s="70"/>
      <c r="C1103" s="72" t="s">
        <v>1129</v>
      </c>
      <c r="D1103" s="72" t="s">
        <v>1130</v>
      </c>
      <c r="E1103" s="85">
        <v>-392308</v>
      </c>
      <c r="F1103" s="85" t="s">
        <v>254</v>
      </c>
      <c r="G1103" s="85">
        <v>-366638</v>
      </c>
      <c r="H1103" s="85" t="s">
        <v>254</v>
      </c>
      <c r="I1103" s="85">
        <v>0</v>
      </c>
      <c r="J1103" s="85">
        <v>-25670</v>
      </c>
      <c r="K1103" s="85" t="s">
        <v>254</v>
      </c>
      <c r="L1103" s="85" t="s">
        <v>254</v>
      </c>
      <c r="M1103" s="85">
        <v>-9</v>
      </c>
      <c r="N1103" s="85" t="s">
        <v>254</v>
      </c>
      <c r="O1103" s="85">
        <v>-25661</v>
      </c>
      <c r="P1103" s="85">
        <v>-8088</v>
      </c>
      <c r="Q1103" s="85">
        <v>-17573</v>
      </c>
      <c r="R1103" s="85"/>
    </row>
    <row r="1104" spans="1:18" ht="15">
      <c r="A1104" s="70">
        <v>9</v>
      </c>
      <c r="B1104" s="70"/>
      <c r="C1104" s="72" t="s">
        <v>1131</v>
      </c>
      <c r="D1104" s="72" t="s">
        <v>732</v>
      </c>
      <c r="E1104" s="85">
        <v>179110887.79617044</v>
      </c>
      <c r="F1104" s="85" t="s">
        <v>254</v>
      </c>
      <c r="G1104" s="85">
        <v>170265600.74430859</v>
      </c>
      <c r="H1104" s="85" t="s">
        <v>254</v>
      </c>
      <c r="I1104" s="85">
        <v>8841043.886412181</v>
      </c>
      <c r="J1104" s="85">
        <v>4243.1654496821729</v>
      </c>
      <c r="K1104" s="85" t="s">
        <v>254</v>
      </c>
      <c r="L1104" s="85" t="s">
        <v>254</v>
      </c>
      <c r="M1104" s="85">
        <v>4243.1654496821729</v>
      </c>
      <c r="N1104" s="85" t="s">
        <v>254</v>
      </c>
      <c r="O1104" s="85">
        <v>0</v>
      </c>
      <c r="P1104" s="85">
        <v>0</v>
      </c>
      <c r="Q1104" s="85">
        <v>0</v>
      </c>
      <c r="R1104" s="85"/>
    </row>
    <row r="1105" spans="1:18" ht="15">
      <c r="A1105" s="70">
        <v>10</v>
      </c>
      <c r="B1105" s="70"/>
      <c r="C1105" s="72" t="s">
        <v>1132</v>
      </c>
      <c r="D1105" s="72" t="s">
        <v>460</v>
      </c>
      <c r="E1105" s="85">
        <v>914793514.29561317</v>
      </c>
      <c r="F1105" s="85" t="s">
        <v>254</v>
      </c>
      <c r="G1105" s="85">
        <v>873403033.89332759</v>
      </c>
      <c r="H1105" s="85" t="s">
        <v>254</v>
      </c>
      <c r="I1105" s="85">
        <v>41387411.327948786</v>
      </c>
      <c r="J1105" s="85">
        <v>3069.0743367468272</v>
      </c>
      <c r="K1105" s="85" t="s">
        <v>254</v>
      </c>
      <c r="L1105" s="85" t="s">
        <v>254</v>
      </c>
      <c r="M1105" s="85">
        <v>3069.0743367468272</v>
      </c>
      <c r="N1105" s="85" t="s">
        <v>254</v>
      </c>
      <c r="O1105" s="85">
        <v>0</v>
      </c>
      <c r="P1105" s="85">
        <v>0</v>
      </c>
      <c r="Q1105" s="85">
        <v>0</v>
      </c>
      <c r="R1105" s="85"/>
    </row>
    <row r="1106" spans="1:18" ht="15">
      <c r="A1106" s="70">
        <v>11</v>
      </c>
      <c r="B1106" s="70"/>
      <c r="C1106" s="72" t="s">
        <v>254</v>
      </c>
      <c r="D1106" s="72" t="s">
        <v>254</v>
      </c>
      <c r="E1106" s="85" t="s">
        <v>254</v>
      </c>
      <c r="F1106" s="85" t="s">
        <v>254</v>
      </c>
      <c r="G1106" s="85" t="s">
        <v>254</v>
      </c>
      <c r="H1106" s="85" t="s">
        <v>254</v>
      </c>
      <c r="I1106" s="85" t="s">
        <v>254</v>
      </c>
      <c r="J1106" s="85" t="s">
        <v>254</v>
      </c>
      <c r="K1106" s="85" t="s">
        <v>254</v>
      </c>
      <c r="L1106" s="85" t="s">
        <v>254</v>
      </c>
      <c r="M1106" s="85" t="s">
        <v>254</v>
      </c>
      <c r="N1106" s="85" t="s">
        <v>254</v>
      </c>
      <c r="O1106" s="85" t="s">
        <v>254</v>
      </c>
      <c r="P1106" s="85" t="s">
        <v>254</v>
      </c>
      <c r="Q1106" s="85" t="s">
        <v>254</v>
      </c>
      <c r="R1106" s="85"/>
    </row>
    <row r="1107" spans="1:18" ht="15">
      <c r="A1107" s="70">
        <v>12</v>
      </c>
      <c r="B1107" s="70"/>
      <c r="C1107" s="72" t="s">
        <v>254</v>
      </c>
      <c r="D1107" s="72" t="s">
        <v>254</v>
      </c>
      <c r="E1107" s="85" t="s">
        <v>254</v>
      </c>
      <c r="F1107" s="85" t="s">
        <v>254</v>
      </c>
      <c r="G1107" s="85" t="s">
        <v>254</v>
      </c>
      <c r="H1107" s="85" t="s">
        <v>254</v>
      </c>
      <c r="I1107" s="85" t="s">
        <v>254</v>
      </c>
      <c r="J1107" s="85" t="s">
        <v>254</v>
      </c>
      <c r="K1107" s="85" t="s">
        <v>254</v>
      </c>
      <c r="L1107" s="85" t="s">
        <v>254</v>
      </c>
      <c r="M1107" s="85" t="s">
        <v>254</v>
      </c>
      <c r="N1107" s="85" t="s">
        <v>254</v>
      </c>
      <c r="O1107" s="85" t="s">
        <v>254</v>
      </c>
      <c r="P1107" s="85" t="s">
        <v>254</v>
      </c>
      <c r="Q1107" s="85" t="s">
        <v>254</v>
      </c>
      <c r="R1107" s="85"/>
    </row>
    <row r="1108" spans="1:18" ht="15">
      <c r="A1108" s="70">
        <v>13</v>
      </c>
      <c r="B1108" s="70"/>
      <c r="C1108" s="72" t="s">
        <v>254</v>
      </c>
      <c r="D1108" s="72" t="s">
        <v>254</v>
      </c>
      <c r="E1108" s="85" t="s">
        <v>254</v>
      </c>
      <c r="F1108" s="85" t="s">
        <v>254</v>
      </c>
      <c r="G1108" s="85" t="s">
        <v>254</v>
      </c>
      <c r="H1108" s="85" t="s">
        <v>254</v>
      </c>
      <c r="I1108" s="85" t="s">
        <v>254</v>
      </c>
      <c r="J1108" s="85" t="s">
        <v>254</v>
      </c>
      <c r="K1108" s="85" t="s">
        <v>254</v>
      </c>
      <c r="L1108" s="85" t="s">
        <v>254</v>
      </c>
      <c r="M1108" s="85" t="s">
        <v>254</v>
      </c>
      <c r="N1108" s="85" t="s">
        <v>254</v>
      </c>
      <c r="O1108" s="85" t="s">
        <v>254</v>
      </c>
      <c r="P1108" s="85" t="s">
        <v>254</v>
      </c>
      <c r="Q1108" s="85" t="s">
        <v>254</v>
      </c>
      <c r="R1108" s="85"/>
    </row>
    <row r="1109" spans="1:18" ht="15">
      <c r="A1109" s="70">
        <v>14</v>
      </c>
      <c r="B1109" s="70"/>
      <c r="C1109" s="72" t="s">
        <v>254</v>
      </c>
      <c r="D1109" s="72" t="s">
        <v>254</v>
      </c>
      <c r="E1109" s="85" t="s">
        <v>254</v>
      </c>
      <c r="F1109" s="85" t="s">
        <v>254</v>
      </c>
      <c r="G1109" s="85" t="s">
        <v>254</v>
      </c>
      <c r="H1109" s="85" t="s">
        <v>254</v>
      </c>
      <c r="I1109" s="85" t="s">
        <v>254</v>
      </c>
      <c r="J1109" s="85" t="s">
        <v>254</v>
      </c>
      <c r="K1109" s="85" t="s">
        <v>254</v>
      </c>
      <c r="L1109" s="85" t="s">
        <v>254</v>
      </c>
      <c r="M1109" s="85" t="s">
        <v>254</v>
      </c>
      <c r="N1109" s="85" t="s">
        <v>254</v>
      </c>
      <c r="O1109" s="85" t="s">
        <v>254</v>
      </c>
      <c r="P1109" s="85" t="s">
        <v>254</v>
      </c>
      <c r="Q1109" s="85" t="s">
        <v>254</v>
      </c>
      <c r="R1109" s="85"/>
    </row>
    <row r="1110" spans="1:18" ht="15">
      <c r="A1110" s="70">
        <v>15</v>
      </c>
      <c r="B1110" s="70"/>
      <c r="C1110" s="72" t="s">
        <v>254</v>
      </c>
      <c r="D1110" s="72" t="s">
        <v>254</v>
      </c>
      <c r="E1110" s="85" t="s">
        <v>254</v>
      </c>
      <c r="F1110" s="85" t="s">
        <v>254</v>
      </c>
      <c r="G1110" s="85" t="s">
        <v>254</v>
      </c>
      <c r="H1110" s="85" t="s">
        <v>254</v>
      </c>
      <c r="I1110" s="85" t="s">
        <v>254</v>
      </c>
      <c r="J1110" s="85" t="s">
        <v>254</v>
      </c>
      <c r="K1110" s="85" t="s">
        <v>254</v>
      </c>
      <c r="L1110" s="85" t="s">
        <v>254</v>
      </c>
      <c r="M1110" s="85" t="s">
        <v>254</v>
      </c>
      <c r="N1110" s="85" t="s">
        <v>254</v>
      </c>
      <c r="O1110" s="85" t="s">
        <v>254</v>
      </c>
      <c r="P1110" s="85" t="s">
        <v>254</v>
      </c>
      <c r="Q1110" s="85" t="s">
        <v>254</v>
      </c>
      <c r="R1110" s="85"/>
    </row>
    <row r="1111" spans="1:18" ht="15">
      <c r="A1111" s="70">
        <v>16</v>
      </c>
      <c r="B1111" s="70"/>
      <c r="C1111" s="72" t="s">
        <v>254</v>
      </c>
      <c r="D1111" s="72" t="s">
        <v>254</v>
      </c>
      <c r="E1111" s="85" t="s">
        <v>254</v>
      </c>
      <c r="F1111" s="85" t="s">
        <v>254</v>
      </c>
      <c r="G1111" s="85" t="s">
        <v>254</v>
      </c>
      <c r="H1111" s="85" t="s">
        <v>254</v>
      </c>
      <c r="I1111" s="85" t="s">
        <v>254</v>
      </c>
      <c r="J1111" s="85" t="s">
        <v>254</v>
      </c>
      <c r="K1111" s="85" t="s">
        <v>254</v>
      </c>
      <c r="L1111" s="85" t="s">
        <v>254</v>
      </c>
      <c r="M1111" s="85" t="s">
        <v>254</v>
      </c>
      <c r="N1111" s="85" t="s">
        <v>254</v>
      </c>
      <c r="O1111" s="85" t="s">
        <v>254</v>
      </c>
      <c r="P1111" s="85" t="s">
        <v>254</v>
      </c>
      <c r="Q1111" s="85" t="s">
        <v>254</v>
      </c>
      <c r="R1111" s="85"/>
    </row>
    <row r="1112" spans="1:18" ht="15">
      <c r="A1112" s="70">
        <v>17</v>
      </c>
      <c r="B1112" s="70"/>
      <c r="C1112" s="72" t="s">
        <v>254</v>
      </c>
      <c r="D1112" s="72" t="s">
        <v>254</v>
      </c>
      <c r="E1112" s="85" t="s">
        <v>254</v>
      </c>
      <c r="F1112" s="85" t="s">
        <v>254</v>
      </c>
      <c r="G1112" s="85" t="s">
        <v>254</v>
      </c>
      <c r="H1112" s="85" t="s">
        <v>254</v>
      </c>
      <c r="I1112" s="85" t="s">
        <v>254</v>
      </c>
      <c r="J1112" s="85" t="s">
        <v>254</v>
      </c>
      <c r="K1112" s="85" t="s">
        <v>254</v>
      </c>
      <c r="L1112" s="85" t="s">
        <v>254</v>
      </c>
      <c r="M1112" s="85" t="s">
        <v>254</v>
      </c>
      <c r="N1112" s="85" t="s">
        <v>254</v>
      </c>
      <c r="O1112" s="85" t="s">
        <v>254</v>
      </c>
      <c r="P1112" s="85" t="s">
        <v>254</v>
      </c>
      <c r="Q1112" s="85" t="s">
        <v>254</v>
      </c>
      <c r="R1112" s="85"/>
    </row>
    <row r="1113" spans="1:18" ht="15">
      <c r="A1113" s="70">
        <v>18</v>
      </c>
      <c r="B1113" s="70"/>
      <c r="C1113" s="72" t="s">
        <v>254</v>
      </c>
      <c r="D1113" s="72" t="s">
        <v>254</v>
      </c>
      <c r="E1113" s="85" t="s">
        <v>254</v>
      </c>
      <c r="F1113" s="85" t="s">
        <v>254</v>
      </c>
      <c r="G1113" s="85" t="s">
        <v>254</v>
      </c>
      <c r="H1113" s="85" t="s">
        <v>254</v>
      </c>
      <c r="I1113" s="85" t="s">
        <v>254</v>
      </c>
      <c r="J1113" s="85" t="s">
        <v>254</v>
      </c>
      <c r="K1113" s="85" t="s">
        <v>254</v>
      </c>
      <c r="L1113" s="85" t="s">
        <v>254</v>
      </c>
      <c r="M1113" s="85" t="s">
        <v>254</v>
      </c>
      <c r="N1113" s="85" t="s">
        <v>254</v>
      </c>
      <c r="O1113" s="85" t="s">
        <v>254</v>
      </c>
      <c r="P1113" s="85" t="s">
        <v>254</v>
      </c>
      <c r="Q1113" s="85" t="s">
        <v>254</v>
      </c>
      <c r="R1113" s="85"/>
    </row>
    <row r="1114" spans="1:18" ht="15">
      <c r="A1114" s="70">
        <v>19</v>
      </c>
      <c r="B1114" s="70"/>
      <c r="C1114" s="72" t="s">
        <v>254</v>
      </c>
      <c r="D1114" s="72" t="s">
        <v>254</v>
      </c>
      <c r="E1114" s="85" t="s">
        <v>254</v>
      </c>
      <c r="F1114" s="85" t="s">
        <v>254</v>
      </c>
      <c r="G1114" s="85" t="s">
        <v>254</v>
      </c>
      <c r="H1114" s="85" t="s">
        <v>254</v>
      </c>
      <c r="I1114" s="85" t="s">
        <v>254</v>
      </c>
      <c r="J1114" s="85" t="s">
        <v>254</v>
      </c>
      <c r="K1114" s="85" t="s">
        <v>254</v>
      </c>
      <c r="L1114" s="85" t="s">
        <v>254</v>
      </c>
      <c r="M1114" s="85" t="s">
        <v>254</v>
      </c>
      <c r="N1114" s="85" t="s">
        <v>254</v>
      </c>
      <c r="O1114" s="85" t="s">
        <v>254</v>
      </c>
      <c r="P1114" s="85" t="s">
        <v>254</v>
      </c>
      <c r="Q1114" s="85" t="s">
        <v>254</v>
      </c>
      <c r="R1114" s="85"/>
    </row>
    <row r="1115" spans="1:18" ht="15">
      <c r="A1115" s="70">
        <v>20</v>
      </c>
      <c r="B1115" s="70"/>
      <c r="C1115" s="72" t="s">
        <v>254</v>
      </c>
      <c r="D1115" s="72" t="s">
        <v>254</v>
      </c>
      <c r="E1115" s="85" t="s">
        <v>254</v>
      </c>
      <c r="F1115" s="85" t="s">
        <v>254</v>
      </c>
      <c r="G1115" s="85" t="s">
        <v>254</v>
      </c>
      <c r="H1115" s="85" t="s">
        <v>254</v>
      </c>
      <c r="I1115" s="85" t="s">
        <v>254</v>
      </c>
      <c r="J1115" s="85" t="s">
        <v>254</v>
      </c>
      <c r="K1115" s="85" t="s">
        <v>254</v>
      </c>
      <c r="L1115" s="85" t="s">
        <v>254</v>
      </c>
      <c r="M1115" s="85" t="s">
        <v>254</v>
      </c>
      <c r="N1115" s="85" t="s">
        <v>254</v>
      </c>
      <c r="O1115" s="85" t="s">
        <v>254</v>
      </c>
      <c r="P1115" s="85" t="s">
        <v>254</v>
      </c>
      <c r="Q1115" s="85" t="s">
        <v>254</v>
      </c>
      <c r="R1115" s="85"/>
    </row>
    <row r="1116" spans="1:18" ht="15">
      <c r="A1116" s="70">
        <v>21</v>
      </c>
      <c r="B1116" s="70"/>
      <c r="C1116" s="72" t="s">
        <v>254</v>
      </c>
      <c r="D1116" s="72" t="s">
        <v>254</v>
      </c>
      <c r="E1116" s="85" t="s">
        <v>254</v>
      </c>
      <c r="F1116" s="85" t="s">
        <v>254</v>
      </c>
      <c r="G1116" s="85" t="s">
        <v>254</v>
      </c>
      <c r="H1116" s="85" t="s">
        <v>254</v>
      </c>
      <c r="I1116" s="85" t="s">
        <v>254</v>
      </c>
      <c r="J1116" s="85" t="s">
        <v>254</v>
      </c>
      <c r="K1116" s="85" t="s">
        <v>254</v>
      </c>
      <c r="L1116" s="85" t="s">
        <v>254</v>
      </c>
      <c r="M1116" s="85" t="s">
        <v>254</v>
      </c>
      <c r="N1116" s="85" t="s">
        <v>254</v>
      </c>
      <c r="O1116" s="85" t="s">
        <v>254</v>
      </c>
      <c r="P1116" s="85" t="s">
        <v>254</v>
      </c>
      <c r="Q1116" s="85" t="s">
        <v>254</v>
      </c>
      <c r="R1116" s="85"/>
    </row>
    <row r="1117" spans="1:18" ht="15">
      <c r="A1117" s="70">
        <v>22</v>
      </c>
      <c r="B1117" s="70"/>
      <c r="C1117" s="72" t="s">
        <v>254</v>
      </c>
      <c r="D1117" s="72" t="s">
        <v>254</v>
      </c>
      <c r="E1117" s="85" t="s">
        <v>254</v>
      </c>
      <c r="F1117" s="85" t="s">
        <v>254</v>
      </c>
      <c r="G1117" s="85" t="s">
        <v>254</v>
      </c>
      <c r="H1117" s="85" t="s">
        <v>254</v>
      </c>
      <c r="I1117" s="85" t="s">
        <v>254</v>
      </c>
      <c r="J1117" s="85" t="s">
        <v>254</v>
      </c>
      <c r="K1117" s="85" t="s">
        <v>254</v>
      </c>
      <c r="L1117" s="85" t="s">
        <v>254</v>
      </c>
      <c r="M1117" s="85" t="s">
        <v>254</v>
      </c>
      <c r="N1117" s="85" t="s">
        <v>254</v>
      </c>
      <c r="O1117" s="85" t="s">
        <v>254</v>
      </c>
      <c r="P1117" s="85" t="s">
        <v>254</v>
      </c>
      <c r="Q1117" s="85" t="s">
        <v>254</v>
      </c>
      <c r="R1117" s="85"/>
    </row>
    <row r="1118" spans="1:18" ht="15">
      <c r="A1118" s="70">
        <v>23</v>
      </c>
      <c r="B1118" s="70"/>
      <c r="C1118" s="72" t="s">
        <v>254</v>
      </c>
      <c r="D1118" s="72" t="s">
        <v>254</v>
      </c>
      <c r="E1118" s="85" t="s">
        <v>254</v>
      </c>
      <c r="F1118" s="85" t="s">
        <v>254</v>
      </c>
      <c r="G1118" s="85" t="s">
        <v>254</v>
      </c>
      <c r="H1118" s="85" t="s">
        <v>254</v>
      </c>
      <c r="I1118" s="85" t="s">
        <v>254</v>
      </c>
      <c r="J1118" s="85" t="s">
        <v>254</v>
      </c>
      <c r="K1118" s="85" t="s">
        <v>254</v>
      </c>
      <c r="L1118" s="85" t="s">
        <v>254</v>
      </c>
      <c r="M1118" s="85" t="s">
        <v>254</v>
      </c>
      <c r="N1118" s="85" t="s">
        <v>254</v>
      </c>
      <c r="O1118" s="85" t="s">
        <v>254</v>
      </c>
      <c r="P1118" s="85" t="s">
        <v>254</v>
      </c>
      <c r="Q1118" s="85" t="s">
        <v>254</v>
      </c>
      <c r="R1118" s="85"/>
    </row>
    <row r="1119" spans="1:18" ht="15">
      <c r="A1119" s="70">
        <v>24</v>
      </c>
      <c r="B1119" s="70"/>
      <c r="C1119" s="72" t="s">
        <v>254</v>
      </c>
      <c r="D1119" s="72" t="s">
        <v>254</v>
      </c>
      <c r="E1119" s="85" t="s">
        <v>254</v>
      </c>
      <c r="F1119" s="85" t="s">
        <v>254</v>
      </c>
      <c r="G1119" s="85" t="s">
        <v>254</v>
      </c>
      <c r="H1119" s="85" t="s">
        <v>254</v>
      </c>
      <c r="I1119" s="85" t="s">
        <v>254</v>
      </c>
      <c r="J1119" s="85" t="s">
        <v>254</v>
      </c>
      <c r="K1119" s="85" t="s">
        <v>254</v>
      </c>
      <c r="L1119" s="85" t="s">
        <v>254</v>
      </c>
      <c r="M1119" s="85" t="s">
        <v>254</v>
      </c>
      <c r="N1119" s="85" t="s">
        <v>254</v>
      </c>
      <c r="O1119" s="85" t="s">
        <v>254</v>
      </c>
      <c r="P1119" s="85" t="s">
        <v>254</v>
      </c>
      <c r="Q1119" s="85" t="s">
        <v>254</v>
      </c>
      <c r="R1119" s="85"/>
    </row>
    <row r="1120" spans="1:18" ht="15">
      <c r="A1120" s="70">
        <v>25</v>
      </c>
      <c r="B1120" s="70"/>
      <c r="C1120" s="72" t="s">
        <v>254</v>
      </c>
      <c r="D1120" s="72" t="s">
        <v>254</v>
      </c>
      <c r="E1120" s="85" t="s">
        <v>254</v>
      </c>
      <c r="F1120" s="85" t="s">
        <v>254</v>
      </c>
      <c r="G1120" s="85" t="s">
        <v>254</v>
      </c>
      <c r="H1120" s="85" t="s">
        <v>254</v>
      </c>
      <c r="I1120" s="85" t="s">
        <v>254</v>
      </c>
      <c r="J1120" s="85" t="s">
        <v>254</v>
      </c>
      <c r="K1120" s="85" t="s">
        <v>254</v>
      </c>
      <c r="L1120" s="85" t="s">
        <v>254</v>
      </c>
      <c r="M1120" s="85" t="s">
        <v>254</v>
      </c>
      <c r="N1120" s="85" t="s">
        <v>254</v>
      </c>
      <c r="O1120" s="85" t="s">
        <v>254</v>
      </c>
      <c r="P1120" s="85" t="s">
        <v>254</v>
      </c>
      <c r="Q1120" s="85" t="s">
        <v>254</v>
      </c>
      <c r="R1120" s="85"/>
    </row>
    <row r="1121" spans="1:18" ht="15">
      <c r="A1121" s="70">
        <v>26</v>
      </c>
      <c r="B1121" s="70"/>
      <c r="C1121" s="72" t="s">
        <v>254</v>
      </c>
      <c r="D1121" s="72" t="s">
        <v>254</v>
      </c>
      <c r="E1121" s="85" t="s">
        <v>254</v>
      </c>
      <c r="F1121" s="85" t="s">
        <v>254</v>
      </c>
      <c r="G1121" s="85" t="s">
        <v>254</v>
      </c>
      <c r="H1121" s="85" t="s">
        <v>254</v>
      </c>
      <c r="I1121" s="85" t="s">
        <v>254</v>
      </c>
      <c r="J1121" s="85" t="s">
        <v>254</v>
      </c>
      <c r="K1121" s="85" t="s">
        <v>254</v>
      </c>
      <c r="L1121" s="85" t="s">
        <v>254</v>
      </c>
      <c r="M1121" s="85" t="s">
        <v>254</v>
      </c>
      <c r="N1121" s="85" t="s">
        <v>254</v>
      </c>
      <c r="O1121" s="85" t="s">
        <v>254</v>
      </c>
      <c r="P1121" s="85" t="s">
        <v>254</v>
      </c>
      <c r="Q1121" s="85" t="s">
        <v>254</v>
      </c>
      <c r="R1121" s="85"/>
    </row>
    <row r="1122" spans="1:18" ht="15">
      <c r="A1122" s="70">
        <v>27</v>
      </c>
      <c r="B1122" s="70"/>
      <c r="C1122" s="72" t="s">
        <v>254</v>
      </c>
      <c r="D1122" s="72" t="s">
        <v>254</v>
      </c>
      <c r="E1122" s="85" t="s">
        <v>254</v>
      </c>
      <c r="F1122" s="85" t="s">
        <v>254</v>
      </c>
      <c r="G1122" s="85" t="s">
        <v>254</v>
      </c>
      <c r="H1122" s="85" t="s">
        <v>254</v>
      </c>
      <c r="I1122" s="85" t="s">
        <v>254</v>
      </c>
      <c r="J1122" s="85" t="s">
        <v>254</v>
      </c>
      <c r="K1122" s="85" t="s">
        <v>254</v>
      </c>
      <c r="L1122" s="85" t="s">
        <v>254</v>
      </c>
      <c r="M1122" s="85" t="s">
        <v>254</v>
      </c>
      <c r="N1122" s="85" t="s">
        <v>254</v>
      </c>
      <c r="O1122" s="85" t="s">
        <v>254</v>
      </c>
      <c r="P1122" s="85" t="s">
        <v>254</v>
      </c>
      <c r="Q1122" s="85" t="s">
        <v>254</v>
      </c>
      <c r="R1122" s="85"/>
    </row>
    <row r="1123" spans="1:18" ht="15">
      <c r="A1123" s="70">
        <v>28</v>
      </c>
      <c r="B1123" s="70"/>
      <c r="C1123" s="72" t="s">
        <v>254</v>
      </c>
      <c r="D1123" s="72" t="s">
        <v>254</v>
      </c>
      <c r="E1123" s="85" t="s">
        <v>254</v>
      </c>
      <c r="F1123" s="85" t="s">
        <v>254</v>
      </c>
      <c r="G1123" s="85" t="s">
        <v>254</v>
      </c>
      <c r="H1123" s="85" t="s">
        <v>254</v>
      </c>
      <c r="I1123" s="85" t="s">
        <v>254</v>
      </c>
      <c r="J1123" s="85" t="s">
        <v>254</v>
      </c>
      <c r="K1123" s="85" t="s">
        <v>254</v>
      </c>
      <c r="L1123" s="85" t="s">
        <v>254</v>
      </c>
      <c r="M1123" s="85" t="s">
        <v>254</v>
      </c>
      <c r="N1123" s="85" t="s">
        <v>254</v>
      </c>
      <c r="O1123" s="85" t="s">
        <v>254</v>
      </c>
      <c r="P1123" s="85" t="s">
        <v>254</v>
      </c>
      <c r="Q1123" s="85" t="s">
        <v>254</v>
      </c>
      <c r="R1123" s="85"/>
    </row>
    <row r="1124" spans="1:18" ht="15">
      <c r="A1124" s="70">
        <v>29</v>
      </c>
      <c r="B1124" s="70"/>
      <c r="C1124" s="72" t="s">
        <v>254</v>
      </c>
      <c r="D1124" s="72" t="s">
        <v>254</v>
      </c>
      <c r="E1124" s="85" t="s">
        <v>254</v>
      </c>
      <c r="F1124" s="85" t="s">
        <v>254</v>
      </c>
      <c r="G1124" s="85" t="s">
        <v>254</v>
      </c>
      <c r="H1124" s="85" t="s">
        <v>254</v>
      </c>
      <c r="I1124" s="85" t="s">
        <v>254</v>
      </c>
      <c r="J1124" s="85" t="s">
        <v>254</v>
      </c>
      <c r="K1124" s="85" t="s">
        <v>254</v>
      </c>
      <c r="L1124" s="85" t="s">
        <v>254</v>
      </c>
      <c r="M1124" s="85" t="s">
        <v>254</v>
      </c>
      <c r="N1124" s="85" t="s">
        <v>254</v>
      </c>
      <c r="O1124" s="85" t="s">
        <v>254</v>
      </c>
      <c r="P1124" s="85" t="s">
        <v>254</v>
      </c>
      <c r="Q1124" s="85" t="s">
        <v>254</v>
      </c>
      <c r="R1124" s="85"/>
    </row>
    <row r="1125" spans="1:18" ht="15">
      <c r="A1125" s="70">
        <v>30</v>
      </c>
      <c r="B1125" s="70"/>
      <c r="C1125" s="72" t="s">
        <v>254</v>
      </c>
      <c r="D1125" s="72" t="s">
        <v>254</v>
      </c>
      <c r="E1125" s="85" t="s">
        <v>254</v>
      </c>
      <c r="F1125" s="85" t="s">
        <v>254</v>
      </c>
      <c r="G1125" s="85" t="s">
        <v>254</v>
      </c>
      <c r="H1125" s="85" t="s">
        <v>254</v>
      </c>
      <c r="I1125" s="85" t="s">
        <v>254</v>
      </c>
      <c r="J1125" s="85" t="s">
        <v>254</v>
      </c>
      <c r="K1125" s="85" t="s">
        <v>254</v>
      </c>
      <c r="L1125" s="85" t="s">
        <v>254</v>
      </c>
      <c r="M1125" s="85" t="s">
        <v>254</v>
      </c>
      <c r="N1125" s="85" t="s">
        <v>254</v>
      </c>
      <c r="O1125" s="85" t="s">
        <v>254</v>
      </c>
      <c r="P1125" s="85" t="s">
        <v>254</v>
      </c>
      <c r="Q1125" s="85" t="s">
        <v>254</v>
      </c>
      <c r="R1125" s="85"/>
    </row>
    <row r="1126" spans="1:18" ht="15">
      <c r="A1126" s="70" t="s">
        <v>254</v>
      </c>
      <c r="B1126" s="70"/>
      <c r="C1126" s="72" t="s">
        <v>254</v>
      </c>
      <c r="D1126" s="72" t="s">
        <v>254</v>
      </c>
      <c r="E1126" s="85" t="s">
        <v>254</v>
      </c>
      <c r="F1126" s="85" t="s">
        <v>254</v>
      </c>
      <c r="G1126" s="85" t="s">
        <v>254</v>
      </c>
      <c r="H1126" s="85" t="s">
        <v>254</v>
      </c>
      <c r="I1126" s="85" t="s">
        <v>254</v>
      </c>
      <c r="J1126" s="85" t="s">
        <v>254</v>
      </c>
      <c r="K1126" s="85" t="s">
        <v>254</v>
      </c>
      <c r="L1126" s="85" t="s">
        <v>254</v>
      </c>
      <c r="M1126" s="85" t="s">
        <v>254</v>
      </c>
      <c r="N1126" s="85" t="s">
        <v>254</v>
      </c>
      <c r="O1126" s="85" t="s">
        <v>254</v>
      </c>
      <c r="P1126" s="85" t="s">
        <v>254</v>
      </c>
      <c r="Q1126" s="85" t="s">
        <v>254</v>
      </c>
      <c r="R1126" s="85"/>
    </row>
    <row r="1127" spans="1:18" ht="15">
      <c r="A1127" s="70" t="s">
        <v>254</v>
      </c>
      <c r="B1127" s="70"/>
      <c r="C1127" s="72" t="s">
        <v>1133</v>
      </c>
      <c r="D1127" s="72" t="s">
        <v>254</v>
      </c>
      <c r="E1127" s="85" t="s">
        <v>254</v>
      </c>
      <c r="F1127" s="85" t="s">
        <v>254</v>
      </c>
      <c r="G1127" s="85" t="s">
        <v>254</v>
      </c>
      <c r="H1127" s="85" t="s">
        <v>254</v>
      </c>
      <c r="I1127" s="85" t="s">
        <v>254</v>
      </c>
      <c r="J1127" s="85" t="s">
        <v>254</v>
      </c>
      <c r="K1127" s="85" t="s">
        <v>254</v>
      </c>
      <c r="L1127" s="85" t="s">
        <v>254</v>
      </c>
      <c r="M1127" s="85" t="s">
        <v>254</v>
      </c>
      <c r="N1127" s="85" t="s">
        <v>254</v>
      </c>
      <c r="O1127" s="85" t="s">
        <v>254</v>
      </c>
      <c r="P1127" s="85" t="s">
        <v>254</v>
      </c>
      <c r="Q1127" s="85" t="s">
        <v>254</v>
      </c>
      <c r="R1127" s="85"/>
    </row>
    <row r="1128" spans="1:18" ht="15">
      <c r="A1128" s="70" t="s">
        <v>254</v>
      </c>
      <c r="B1128" s="70"/>
      <c r="C1128" s="72" t="s">
        <v>925</v>
      </c>
      <c r="D1128" s="72" t="s">
        <v>254</v>
      </c>
      <c r="E1128" s="85" t="s">
        <v>254</v>
      </c>
      <c r="F1128" s="85" t="s">
        <v>254</v>
      </c>
      <c r="G1128" s="85" t="s">
        <v>254</v>
      </c>
      <c r="H1128" s="85" t="s">
        <v>254</v>
      </c>
      <c r="I1128" s="85" t="s">
        <v>254</v>
      </c>
      <c r="J1128" s="85" t="s">
        <v>254</v>
      </c>
      <c r="K1128" s="85" t="s">
        <v>254</v>
      </c>
      <c r="L1128" s="85" t="s">
        <v>254</v>
      </c>
      <c r="M1128" s="85" t="s">
        <v>254</v>
      </c>
      <c r="N1128" s="85" t="s">
        <v>254</v>
      </c>
      <c r="O1128" s="85" t="s">
        <v>254</v>
      </c>
      <c r="P1128" s="85" t="s">
        <v>254</v>
      </c>
      <c r="Q1128" s="85" t="s">
        <v>254</v>
      </c>
      <c r="R1128" s="85"/>
    </row>
    <row r="1129" spans="1:18" ht="15">
      <c r="A1129" s="70">
        <v>1</v>
      </c>
      <c r="B1129" s="70"/>
      <c r="C1129" s="72" t="s">
        <v>1134</v>
      </c>
      <c r="D1129" s="72" t="s">
        <v>254</v>
      </c>
      <c r="E1129" s="85">
        <v>666571847.7876842</v>
      </c>
      <c r="F1129" s="85" t="s">
        <v>254</v>
      </c>
      <c r="G1129" s="85">
        <v>627798768.9953624</v>
      </c>
      <c r="H1129" s="85" t="s">
        <v>254</v>
      </c>
      <c r="I1129" s="85">
        <v>38773078.792321846</v>
      </c>
      <c r="J1129" s="85">
        <v>0</v>
      </c>
      <c r="K1129" s="85" t="s">
        <v>254</v>
      </c>
      <c r="L1129" s="85" t="s">
        <v>254</v>
      </c>
      <c r="M1129" s="85">
        <v>0</v>
      </c>
      <c r="N1129" s="85" t="s">
        <v>254</v>
      </c>
      <c r="O1129" s="85">
        <v>0</v>
      </c>
      <c r="P1129" s="85">
        <v>0</v>
      </c>
      <c r="Q1129" s="85">
        <v>0</v>
      </c>
      <c r="R1129" s="85"/>
    </row>
    <row r="1130" spans="1:18" ht="15">
      <c r="A1130" s="70">
        <v>2</v>
      </c>
      <c r="B1130" s="70"/>
      <c r="C1130" s="72" t="s">
        <v>1135</v>
      </c>
      <c r="D1130" s="72" t="s">
        <v>254</v>
      </c>
      <c r="E1130" s="85">
        <v>412651662.28964722</v>
      </c>
      <c r="F1130" s="85" t="s">
        <v>254</v>
      </c>
      <c r="G1130" s="85">
        <v>395380927.94330788</v>
      </c>
      <c r="H1130" s="85" t="s">
        <v>254</v>
      </c>
      <c r="I1130" s="85">
        <v>17270734.346339371</v>
      </c>
      <c r="J1130" s="85">
        <v>0</v>
      </c>
      <c r="K1130" s="85" t="s">
        <v>254</v>
      </c>
      <c r="L1130" s="85" t="s">
        <v>254</v>
      </c>
      <c r="M1130" s="85">
        <v>0</v>
      </c>
      <c r="N1130" s="85" t="s">
        <v>254</v>
      </c>
      <c r="O1130" s="85">
        <v>0</v>
      </c>
      <c r="P1130" s="85">
        <v>0</v>
      </c>
      <c r="Q1130" s="85">
        <v>0</v>
      </c>
      <c r="R1130" s="85"/>
    </row>
    <row r="1131" spans="1:18" ht="15">
      <c r="A1131" s="70">
        <v>3</v>
      </c>
      <c r="B1131" s="70"/>
      <c r="C1131" s="72" t="s">
        <v>1136</v>
      </c>
      <c r="D1131" s="72" t="s">
        <v>254</v>
      </c>
      <c r="E1131" s="85">
        <v>0</v>
      </c>
      <c r="F1131" s="85" t="s">
        <v>254</v>
      </c>
      <c r="G1131" s="85">
        <v>0</v>
      </c>
      <c r="H1131" s="85" t="s">
        <v>254</v>
      </c>
      <c r="I1131" s="85">
        <v>0</v>
      </c>
      <c r="J1131" s="85">
        <v>0</v>
      </c>
      <c r="K1131" s="85" t="s">
        <v>254</v>
      </c>
      <c r="L1131" s="85" t="s">
        <v>254</v>
      </c>
      <c r="M1131" s="85">
        <v>0</v>
      </c>
      <c r="N1131" s="85" t="s">
        <v>254</v>
      </c>
      <c r="O1131" s="85">
        <v>0</v>
      </c>
      <c r="P1131" s="85">
        <v>0</v>
      </c>
      <c r="Q1131" s="85">
        <v>0</v>
      </c>
      <c r="R1131" s="85"/>
    </row>
    <row r="1132" spans="1:18" ht="15">
      <c r="A1132" s="70">
        <v>4</v>
      </c>
      <c r="B1132" s="70"/>
      <c r="C1132" s="72" t="s">
        <v>1137</v>
      </c>
      <c r="D1132" s="72" t="s">
        <v>254</v>
      </c>
      <c r="E1132" s="85">
        <v>444219949.74474078</v>
      </c>
      <c r="F1132" s="85" t="s">
        <v>254</v>
      </c>
      <c r="G1132" s="85">
        <v>433353219.59153575</v>
      </c>
      <c r="H1132" s="85" t="s">
        <v>254</v>
      </c>
      <c r="I1132" s="85">
        <v>10866730.153205052</v>
      </c>
      <c r="J1132" s="85">
        <v>0</v>
      </c>
      <c r="K1132" s="85" t="s">
        <v>254</v>
      </c>
      <c r="L1132" s="85" t="s">
        <v>254</v>
      </c>
      <c r="M1132" s="85">
        <v>0</v>
      </c>
      <c r="N1132" s="85" t="s">
        <v>254</v>
      </c>
      <c r="O1132" s="85">
        <v>0</v>
      </c>
      <c r="P1132" s="85">
        <v>0</v>
      </c>
      <c r="Q1132" s="85">
        <v>0</v>
      </c>
      <c r="R1132" s="85"/>
    </row>
    <row r="1133" spans="1:18" ht="15">
      <c r="A1133" s="70">
        <v>5</v>
      </c>
      <c r="B1133" s="70"/>
      <c r="C1133" s="72" t="s">
        <v>1138</v>
      </c>
      <c r="D1133" s="72" t="s">
        <v>254</v>
      </c>
      <c r="E1133" s="72">
        <v>0</v>
      </c>
      <c r="F1133" s="72" t="s">
        <v>254</v>
      </c>
      <c r="G1133" s="72">
        <v>0</v>
      </c>
      <c r="H1133" s="72" t="s">
        <v>254</v>
      </c>
      <c r="I1133" s="72">
        <v>0</v>
      </c>
      <c r="J1133" s="72">
        <v>0</v>
      </c>
      <c r="K1133" s="72" t="s">
        <v>254</v>
      </c>
      <c r="L1133" s="72" t="s">
        <v>254</v>
      </c>
      <c r="M1133" s="72">
        <v>0</v>
      </c>
      <c r="N1133" s="72" t="s">
        <v>254</v>
      </c>
      <c r="O1133" s="72">
        <v>0</v>
      </c>
      <c r="P1133" s="72">
        <v>0</v>
      </c>
      <c r="Q1133" s="72">
        <v>0</v>
      </c>
      <c r="R1133" s="72"/>
    </row>
    <row r="1134" spans="1:18" ht="15">
      <c r="A1134" s="70">
        <v>6</v>
      </c>
      <c r="B1134" s="70"/>
      <c r="C1134" s="72" t="s">
        <v>1139</v>
      </c>
      <c r="D1134" s="72" t="s">
        <v>254</v>
      </c>
      <c r="E1134" s="72">
        <v>12586396.617513351</v>
      </c>
      <c r="F1134" s="72" t="s">
        <v>254</v>
      </c>
      <c r="G1134" s="72">
        <v>12175289.873640023</v>
      </c>
      <c r="H1134" s="72" t="s">
        <v>254</v>
      </c>
      <c r="I1134" s="72">
        <v>411106.74387332791</v>
      </c>
      <c r="J1134" s="72">
        <v>0</v>
      </c>
      <c r="K1134" s="72" t="s">
        <v>254</v>
      </c>
      <c r="L1134" s="72" t="s">
        <v>254</v>
      </c>
      <c r="M1134" s="72">
        <v>0</v>
      </c>
      <c r="N1134" s="72" t="s">
        <v>254</v>
      </c>
      <c r="O1134" s="72">
        <v>0</v>
      </c>
      <c r="P1134" s="72">
        <v>0</v>
      </c>
      <c r="Q1134" s="72">
        <v>0</v>
      </c>
      <c r="R1134" s="72"/>
    </row>
    <row r="1135" spans="1:18" ht="15">
      <c r="A1135" s="70">
        <v>7</v>
      </c>
      <c r="B1135" s="70"/>
      <c r="C1135" s="72" t="s">
        <v>1140</v>
      </c>
      <c r="D1135" s="72" t="s">
        <v>254</v>
      </c>
      <c r="E1135" s="72">
        <v>136069287.68033916</v>
      </c>
      <c r="F1135" s="72" t="s">
        <v>254</v>
      </c>
      <c r="G1135" s="72">
        <v>129454027.9737691</v>
      </c>
      <c r="H1135" s="72" t="s">
        <v>254</v>
      </c>
      <c r="I1135" s="72">
        <v>6615259.7065700479</v>
      </c>
      <c r="J1135" s="72">
        <v>0</v>
      </c>
      <c r="K1135" s="72" t="s">
        <v>254</v>
      </c>
      <c r="L1135" s="72" t="s">
        <v>254</v>
      </c>
      <c r="M1135" s="72">
        <v>0</v>
      </c>
      <c r="N1135" s="72" t="s">
        <v>254</v>
      </c>
      <c r="O1135" s="72">
        <v>0</v>
      </c>
      <c r="P1135" s="72">
        <v>0</v>
      </c>
      <c r="Q1135" s="72">
        <v>0</v>
      </c>
      <c r="R1135" s="72"/>
    </row>
    <row r="1136" spans="1:18" ht="15">
      <c r="A1136" s="70">
        <v>8</v>
      </c>
      <c r="B1136" s="70"/>
      <c r="C1136" s="72" t="s">
        <v>1141</v>
      </c>
      <c r="D1136" s="72" t="s">
        <v>254</v>
      </c>
      <c r="E1136" s="72">
        <v>0</v>
      </c>
      <c r="F1136" s="72" t="s">
        <v>254</v>
      </c>
      <c r="G1136" s="72">
        <v>0</v>
      </c>
      <c r="H1136" s="72" t="s">
        <v>254</v>
      </c>
      <c r="I1136" s="72">
        <v>0</v>
      </c>
      <c r="J1136" s="72">
        <v>0</v>
      </c>
      <c r="K1136" s="72" t="s">
        <v>254</v>
      </c>
      <c r="L1136" s="72" t="s">
        <v>254</v>
      </c>
      <c r="M1136" s="72">
        <v>0</v>
      </c>
      <c r="N1136" s="72" t="s">
        <v>254</v>
      </c>
      <c r="O1136" s="72">
        <v>0</v>
      </c>
      <c r="P1136" s="72">
        <v>0</v>
      </c>
      <c r="Q1136" s="72">
        <v>0</v>
      </c>
      <c r="R1136" s="72"/>
    </row>
    <row r="1137" spans="1:18" ht="15">
      <c r="A1137" s="70">
        <v>9</v>
      </c>
      <c r="B1137" s="70"/>
      <c r="C1137" s="72" t="s">
        <v>1142</v>
      </c>
      <c r="D1137" s="72" t="s">
        <v>254</v>
      </c>
      <c r="E1137" s="72">
        <v>114112524.98070344</v>
      </c>
      <c r="F1137" s="72" t="s">
        <v>254</v>
      </c>
      <c r="G1137" s="72">
        <v>0</v>
      </c>
      <c r="H1137" s="72" t="s">
        <v>254</v>
      </c>
      <c r="I1137" s="72">
        <v>0</v>
      </c>
      <c r="J1137" s="72">
        <v>114112524.98070344</v>
      </c>
      <c r="K1137" s="72" t="s">
        <v>254</v>
      </c>
      <c r="L1137" s="72" t="s">
        <v>254</v>
      </c>
      <c r="M1137" s="72">
        <v>0</v>
      </c>
      <c r="N1137" s="72" t="s">
        <v>254</v>
      </c>
      <c r="O1137" s="72">
        <v>114112524.98070344</v>
      </c>
      <c r="P1137" s="72">
        <v>35491593.809934929</v>
      </c>
      <c r="Q1137" s="72">
        <v>78620931.170768514</v>
      </c>
      <c r="R1137" s="72"/>
    </row>
    <row r="1138" spans="1:18" ht="15">
      <c r="A1138" s="70">
        <v>10</v>
      </c>
      <c r="B1138" s="70"/>
      <c r="C1138" s="72" t="s">
        <v>1143</v>
      </c>
      <c r="D1138" s="72" t="s">
        <v>254</v>
      </c>
      <c r="E1138" s="72">
        <v>0</v>
      </c>
      <c r="F1138" s="72" t="s">
        <v>254</v>
      </c>
      <c r="G1138" s="72">
        <v>0</v>
      </c>
      <c r="H1138" s="72" t="s">
        <v>254</v>
      </c>
      <c r="I1138" s="72">
        <v>0</v>
      </c>
      <c r="J1138" s="72">
        <v>0</v>
      </c>
      <c r="K1138" s="72" t="s">
        <v>254</v>
      </c>
      <c r="L1138" s="72" t="s">
        <v>254</v>
      </c>
      <c r="M1138" s="72">
        <v>0</v>
      </c>
      <c r="N1138" s="72" t="s">
        <v>254</v>
      </c>
      <c r="O1138" s="72">
        <v>0</v>
      </c>
      <c r="P1138" s="72">
        <v>0</v>
      </c>
      <c r="Q1138" s="72">
        <v>0</v>
      </c>
      <c r="R1138" s="72"/>
    </row>
    <row r="1139" spans="1:18" ht="15">
      <c r="A1139" s="70">
        <v>11</v>
      </c>
      <c r="B1139" s="70"/>
      <c r="C1139" s="72" t="s">
        <v>1144</v>
      </c>
      <c r="D1139" s="72" t="s">
        <v>254</v>
      </c>
      <c r="E1139" s="72">
        <v>0</v>
      </c>
      <c r="F1139" s="72" t="s">
        <v>254</v>
      </c>
      <c r="G1139" s="72">
        <v>0</v>
      </c>
      <c r="H1139" s="72" t="s">
        <v>254</v>
      </c>
      <c r="I1139" s="72">
        <v>0</v>
      </c>
      <c r="J1139" s="72">
        <v>0</v>
      </c>
      <c r="K1139" s="72" t="s">
        <v>254</v>
      </c>
      <c r="L1139" s="72" t="s">
        <v>254</v>
      </c>
      <c r="M1139" s="72">
        <v>0</v>
      </c>
      <c r="N1139" s="72" t="s">
        <v>254</v>
      </c>
      <c r="O1139" s="72">
        <v>0</v>
      </c>
      <c r="P1139" s="72">
        <v>0</v>
      </c>
      <c r="Q1139" s="72">
        <v>0</v>
      </c>
      <c r="R1139" s="72"/>
    </row>
    <row r="1140" spans="1:18" ht="15">
      <c r="A1140" s="70">
        <v>12</v>
      </c>
      <c r="B1140" s="70"/>
      <c r="C1140" s="72" t="s">
        <v>254</v>
      </c>
      <c r="D1140" s="72" t="s">
        <v>254</v>
      </c>
      <c r="E1140" s="72" t="s">
        <v>254</v>
      </c>
      <c r="F1140" s="72" t="s">
        <v>254</v>
      </c>
      <c r="G1140" s="72" t="s">
        <v>254</v>
      </c>
      <c r="H1140" s="72" t="s">
        <v>254</v>
      </c>
      <c r="I1140" s="72" t="s">
        <v>254</v>
      </c>
      <c r="J1140" s="72" t="s">
        <v>254</v>
      </c>
      <c r="K1140" s="72" t="s">
        <v>254</v>
      </c>
      <c r="L1140" s="72" t="s">
        <v>254</v>
      </c>
      <c r="M1140" s="72" t="s">
        <v>254</v>
      </c>
      <c r="N1140" s="72" t="s">
        <v>254</v>
      </c>
      <c r="O1140" s="72" t="s">
        <v>254</v>
      </c>
      <c r="P1140" s="72" t="s">
        <v>254</v>
      </c>
      <c r="Q1140" s="72" t="s">
        <v>254</v>
      </c>
      <c r="R1140" s="72"/>
    </row>
    <row r="1141" spans="1:18" ht="15">
      <c r="A1141" s="70">
        <v>13</v>
      </c>
      <c r="B1141" s="70"/>
      <c r="C1141" s="72" t="s">
        <v>254</v>
      </c>
      <c r="D1141" s="72" t="s">
        <v>254</v>
      </c>
      <c r="E1141" s="72" t="s">
        <v>254</v>
      </c>
      <c r="F1141" s="72" t="s">
        <v>254</v>
      </c>
      <c r="G1141" s="72" t="s">
        <v>254</v>
      </c>
      <c r="H1141" s="72" t="s">
        <v>254</v>
      </c>
      <c r="I1141" s="72" t="s">
        <v>254</v>
      </c>
      <c r="J1141" s="72" t="s">
        <v>254</v>
      </c>
      <c r="K1141" s="72" t="s">
        <v>254</v>
      </c>
      <c r="L1141" s="72" t="s">
        <v>254</v>
      </c>
      <c r="M1141" s="72" t="s">
        <v>254</v>
      </c>
      <c r="N1141" s="72" t="s">
        <v>254</v>
      </c>
      <c r="O1141" s="72" t="s">
        <v>254</v>
      </c>
      <c r="P1141" s="72" t="s">
        <v>254</v>
      </c>
      <c r="Q1141" s="72" t="s">
        <v>254</v>
      </c>
      <c r="R1141" s="72"/>
    </row>
    <row r="1142" spans="1:18" ht="15">
      <c r="A1142" s="70" t="s">
        <v>254</v>
      </c>
      <c r="B1142" s="70"/>
      <c r="C1142" s="72" t="s">
        <v>254</v>
      </c>
      <c r="D1142" s="72" t="s">
        <v>254</v>
      </c>
      <c r="E1142" s="89" t="s">
        <v>254</v>
      </c>
      <c r="F1142" s="89" t="s">
        <v>254</v>
      </c>
      <c r="G1142" s="89" t="s">
        <v>254</v>
      </c>
      <c r="H1142" s="89" t="s">
        <v>254</v>
      </c>
      <c r="I1142" s="89" t="s">
        <v>254</v>
      </c>
      <c r="J1142" s="89" t="s">
        <v>254</v>
      </c>
      <c r="K1142" s="89" t="s">
        <v>254</v>
      </c>
      <c r="L1142" s="89" t="s">
        <v>254</v>
      </c>
      <c r="M1142" s="89" t="s">
        <v>254</v>
      </c>
      <c r="N1142" s="89" t="s">
        <v>254</v>
      </c>
      <c r="O1142" s="89" t="s">
        <v>254</v>
      </c>
      <c r="P1142" s="89" t="s">
        <v>254</v>
      </c>
      <c r="Q1142" s="89" t="s">
        <v>254</v>
      </c>
      <c r="R1142" s="89"/>
    </row>
    <row r="1143" spans="1:18" ht="15">
      <c r="A1143" s="70" t="s">
        <v>254</v>
      </c>
      <c r="B1143" s="70"/>
      <c r="C1143" s="72" t="s">
        <v>254</v>
      </c>
      <c r="D1143" s="72" t="s">
        <v>254</v>
      </c>
      <c r="E1143" s="89" t="s">
        <v>254</v>
      </c>
      <c r="F1143" s="89" t="s">
        <v>254</v>
      </c>
      <c r="G1143" s="89" t="s">
        <v>254</v>
      </c>
      <c r="H1143" s="89" t="s">
        <v>254</v>
      </c>
      <c r="I1143" s="89" t="s">
        <v>254</v>
      </c>
      <c r="J1143" s="89" t="s">
        <v>254</v>
      </c>
      <c r="K1143" s="89" t="s">
        <v>254</v>
      </c>
      <c r="L1143" s="89" t="s">
        <v>254</v>
      </c>
      <c r="M1143" s="89" t="s">
        <v>254</v>
      </c>
      <c r="N1143" s="89" t="s">
        <v>254</v>
      </c>
      <c r="O1143" s="89" t="s">
        <v>254</v>
      </c>
      <c r="P1143" s="89" t="s">
        <v>254</v>
      </c>
      <c r="Q1143" s="89" t="s">
        <v>254</v>
      </c>
      <c r="R1143" s="89"/>
    </row>
    <row r="1144" spans="1:18" ht="15">
      <c r="A1144" s="70" t="s">
        <v>254</v>
      </c>
      <c r="B1144" s="70"/>
      <c r="C1144" s="72" t="s">
        <v>254</v>
      </c>
      <c r="D1144" s="72" t="s">
        <v>254</v>
      </c>
      <c r="E1144" s="89" t="s">
        <v>254</v>
      </c>
      <c r="F1144" s="89" t="s">
        <v>254</v>
      </c>
      <c r="G1144" s="89" t="s">
        <v>254</v>
      </c>
      <c r="H1144" s="89" t="s">
        <v>254</v>
      </c>
      <c r="I1144" s="89" t="s">
        <v>254</v>
      </c>
      <c r="J1144" s="89" t="s">
        <v>254</v>
      </c>
      <c r="K1144" s="89" t="s">
        <v>254</v>
      </c>
      <c r="L1144" s="89" t="s">
        <v>254</v>
      </c>
      <c r="M1144" s="89" t="s">
        <v>254</v>
      </c>
      <c r="N1144" s="89" t="s">
        <v>254</v>
      </c>
      <c r="O1144" s="89" t="s">
        <v>254</v>
      </c>
      <c r="P1144" s="89" t="s">
        <v>254</v>
      </c>
      <c r="Q1144" s="89" t="s">
        <v>254</v>
      </c>
      <c r="R1144" s="89"/>
    </row>
    <row r="1145" spans="1:18" ht="15">
      <c r="A1145" s="70" t="s">
        <v>254</v>
      </c>
      <c r="B1145" s="70"/>
      <c r="C1145" s="72" t="s">
        <v>254</v>
      </c>
      <c r="D1145" s="72" t="s">
        <v>254</v>
      </c>
      <c r="E1145" s="89" t="s">
        <v>254</v>
      </c>
      <c r="F1145" s="89" t="s">
        <v>254</v>
      </c>
      <c r="G1145" s="89" t="s">
        <v>254</v>
      </c>
      <c r="H1145" s="89" t="s">
        <v>254</v>
      </c>
      <c r="I1145" s="89" t="s">
        <v>254</v>
      </c>
      <c r="J1145" s="89" t="s">
        <v>254</v>
      </c>
      <c r="K1145" s="89" t="s">
        <v>254</v>
      </c>
      <c r="L1145" s="89" t="s">
        <v>254</v>
      </c>
      <c r="M1145" s="89" t="s">
        <v>254</v>
      </c>
      <c r="N1145" s="89" t="s">
        <v>254</v>
      </c>
      <c r="O1145" s="89" t="s">
        <v>254</v>
      </c>
      <c r="P1145" s="89" t="s">
        <v>254</v>
      </c>
      <c r="Q1145" s="89" t="s">
        <v>254</v>
      </c>
      <c r="R1145" s="89"/>
    </row>
    <row r="1146" spans="1:18" ht="15">
      <c r="A1146" s="70" t="s">
        <v>254</v>
      </c>
      <c r="B1146" s="70"/>
      <c r="C1146" s="72" t="s">
        <v>254</v>
      </c>
      <c r="D1146" s="72" t="s">
        <v>254</v>
      </c>
      <c r="E1146" s="89" t="s">
        <v>254</v>
      </c>
      <c r="F1146" s="89" t="s">
        <v>254</v>
      </c>
      <c r="G1146" s="89" t="s">
        <v>254</v>
      </c>
      <c r="H1146" s="89" t="s">
        <v>254</v>
      </c>
      <c r="I1146" s="89" t="s">
        <v>254</v>
      </c>
      <c r="J1146" s="89" t="s">
        <v>254</v>
      </c>
      <c r="K1146" s="89" t="s">
        <v>254</v>
      </c>
      <c r="L1146" s="89" t="s">
        <v>254</v>
      </c>
      <c r="M1146" s="89" t="s">
        <v>254</v>
      </c>
      <c r="N1146" s="89" t="s">
        <v>254</v>
      </c>
      <c r="O1146" s="89" t="s">
        <v>254</v>
      </c>
      <c r="P1146" s="89" t="s">
        <v>254</v>
      </c>
      <c r="Q1146" s="89" t="s">
        <v>254</v>
      </c>
      <c r="R1146" s="89"/>
    </row>
    <row r="1147" spans="1:18" ht="15">
      <c r="A1147" s="70" t="s">
        <v>254</v>
      </c>
      <c r="B1147" s="70"/>
      <c r="C1147" s="72" t="s">
        <v>1145</v>
      </c>
      <c r="D1147" s="72" t="s">
        <v>254</v>
      </c>
      <c r="E1147" s="89" t="s">
        <v>254</v>
      </c>
      <c r="F1147" s="89" t="s">
        <v>254</v>
      </c>
      <c r="G1147" s="89" t="s">
        <v>254</v>
      </c>
      <c r="H1147" s="89" t="s">
        <v>254</v>
      </c>
      <c r="I1147" s="89" t="s">
        <v>254</v>
      </c>
      <c r="J1147" s="89" t="s">
        <v>254</v>
      </c>
      <c r="K1147" s="89" t="s">
        <v>254</v>
      </c>
      <c r="L1147" s="89" t="s">
        <v>254</v>
      </c>
      <c r="M1147" s="89" t="s">
        <v>254</v>
      </c>
      <c r="N1147" s="89" t="s">
        <v>254</v>
      </c>
      <c r="O1147" s="89" t="s">
        <v>254</v>
      </c>
      <c r="P1147" s="89" t="s">
        <v>254</v>
      </c>
      <c r="Q1147" s="89" t="s">
        <v>254</v>
      </c>
      <c r="R1147" s="89"/>
    </row>
    <row r="1148" spans="1:18" ht="15">
      <c r="A1148" s="70" t="s">
        <v>254</v>
      </c>
      <c r="B1148" s="70"/>
      <c r="C1148" s="72" t="s">
        <v>254</v>
      </c>
      <c r="D1148" s="72" t="s">
        <v>254</v>
      </c>
      <c r="E1148" s="89" t="s">
        <v>254</v>
      </c>
      <c r="F1148" s="89" t="s">
        <v>254</v>
      </c>
      <c r="G1148" s="89" t="s">
        <v>254</v>
      </c>
      <c r="H1148" s="89" t="s">
        <v>254</v>
      </c>
      <c r="I1148" s="89" t="s">
        <v>254</v>
      </c>
      <c r="J1148" s="89" t="s">
        <v>254</v>
      </c>
      <c r="K1148" s="89" t="s">
        <v>254</v>
      </c>
      <c r="L1148" s="89" t="s">
        <v>254</v>
      </c>
      <c r="M1148" s="89" t="s">
        <v>254</v>
      </c>
      <c r="N1148" s="89" t="s">
        <v>254</v>
      </c>
      <c r="O1148" s="89" t="s">
        <v>254</v>
      </c>
      <c r="P1148" s="89" t="s">
        <v>254</v>
      </c>
      <c r="Q1148" s="89" t="s">
        <v>254</v>
      </c>
      <c r="R1148" s="89"/>
    </row>
    <row r="1149" spans="1:18" ht="15">
      <c r="A1149" s="70" t="s">
        <v>254</v>
      </c>
      <c r="B1149" s="70"/>
      <c r="C1149" s="72" t="s">
        <v>1146</v>
      </c>
      <c r="D1149" s="72" t="s">
        <v>254</v>
      </c>
      <c r="E1149" s="89" t="s">
        <v>254</v>
      </c>
      <c r="F1149" s="89" t="s">
        <v>254</v>
      </c>
      <c r="G1149" s="89" t="s">
        <v>254</v>
      </c>
      <c r="H1149" s="89" t="s">
        <v>254</v>
      </c>
      <c r="I1149" s="89" t="s">
        <v>254</v>
      </c>
      <c r="J1149" s="89" t="s">
        <v>254</v>
      </c>
      <c r="K1149" s="89" t="s">
        <v>254</v>
      </c>
      <c r="L1149" s="89" t="s">
        <v>254</v>
      </c>
      <c r="M1149" s="89" t="s">
        <v>254</v>
      </c>
      <c r="N1149" s="89" t="s">
        <v>254</v>
      </c>
      <c r="O1149" s="89" t="s">
        <v>254</v>
      </c>
      <c r="P1149" s="89" t="s">
        <v>254</v>
      </c>
      <c r="Q1149" s="89" t="s">
        <v>254</v>
      </c>
      <c r="R1149" s="89"/>
    </row>
    <row r="1150" spans="1:18" ht="15">
      <c r="A1150" s="70" t="s">
        <v>254</v>
      </c>
      <c r="B1150" s="70"/>
      <c r="C1150" s="72" t="s">
        <v>925</v>
      </c>
      <c r="D1150" s="72" t="s">
        <v>254</v>
      </c>
      <c r="E1150" s="89" t="s">
        <v>254</v>
      </c>
      <c r="F1150" s="89" t="s">
        <v>254</v>
      </c>
      <c r="G1150" s="89" t="s">
        <v>254</v>
      </c>
      <c r="H1150" s="89" t="s">
        <v>254</v>
      </c>
      <c r="I1150" s="89" t="s">
        <v>254</v>
      </c>
      <c r="J1150" s="89" t="s">
        <v>254</v>
      </c>
      <c r="K1150" s="89" t="s">
        <v>254</v>
      </c>
      <c r="L1150" s="89" t="s">
        <v>254</v>
      </c>
      <c r="M1150" s="89" t="s">
        <v>254</v>
      </c>
      <c r="N1150" s="89" t="s">
        <v>254</v>
      </c>
      <c r="O1150" s="89" t="s">
        <v>254</v>
      </c>
      <c r="P1150" s="89" t="s">
        <v>254</v>
      </c>
      <c r="Q1150" s="89" t="s">
        <v>254</v>
      </c>
      <c r="R1150" s="89"/>
    </row>
    <row r="1151" spans="1:18" ht="15">
      <c r="A1151" s="70" t="s">
        <v>254</v>
      </c>
      <c r="B1151" s="70"/>
      <c r="C1151" s="72" t="s">
        <v>926</v>
      </c>
      <c r="D1151" s="72" t="s">
        <v>254</v>
      </c>
      <c r="E1151" s="89" t="s">
        <v>254</v>
      </c>
      <c r="F1151" s="89" t="s">
        <v>254</v>
      </c>
      <c r="G1151" s="89" t="s">
        <v>254</v>
      </c>
      <c r="H1151" s="89" t="s">
        <v>254</v>
      </c>
      <c r="I1151" s="89" t="s">
        <v>254</v>
      </c>
      <c r="J1151" s="89" t="s">
        <v>254</v>
      </c>
      <c r="K1151" s="89" t="s">
        <v>254</v>
      </c>
      <c r="L1151" s="89" t="s">
        <v>254</v>
      </c>
      <c r="M1151" s="89" t="s">
        <v>254</v>
      </c>
      <c r="N1151" s="89" t="s">
        <v>254</v>
      </c>
      <c r="O1151" s="89" t="s">
        <v>254</v>
      </c>
      <c r="P1151" s="89" t="s">
        <v>254</v>
      </c>
      <c r="Q1151" s="89" t="s">
        <v>254</v>
      </c>
      <c r="R1151" s="89"/>
    </row>
    <row r="1152" spans="1:18" ht="15">
      <c r="A1152" s="70">
        <v>1</v>
      </c>
      <c r="B1152" s="70"/>
      <c r="C1152" s="72" t="s">
        <v>927</v>
      </c>
      <c r="D1152" s="72" t="s">
        <v>307</v>
      </c>
      <c r="E1152" s="89">
        <v>1</v>
      </c>
      <c r="F1152" s="89" t="s">
        <v>254</v>
      </c>
      <c r="G1152" s="89">
        <v>0.87577725766318848</v>
      </c>
      <c r="H1152" s="89" t="s">
        <v>254</v>
      </c>
      <c r="I1152" s="89">
        <v>4.0472791995134323E-2</v>
      </c>
      <c r="J1152" s="89">
        <v>8.3749950341677232E-2</v>
      </c>
      <c r="K1152" s="89" t="s">
        <v>254</v>
      </c>
      <c r="L1152" s="89" t="s">
        <v>254</v>
      </c>
      <c r="M1152" s="89">
        <v>3.0774171853047175E-6</v>
      </c>
      <c r="N1152" s="89" t="s">
        <v>254</v>
      </c>
      <c r="O1152" s="89">
        <v>8.3746872924491927E-2</v>
      </c>
      <c r="P1152" s="89">
        <v>2.5991585781884978E-2</v>
      </c>
      <c r="Q1152" s="89">
        <v>5.7755287142606949E-2</v>
      </c>
      <c r="R1152" s="89"/>
    </row>
    <row r="1153" spans="1:18" ht="15">
      <c r="A1153" s="70">
        <v>2</v>
      </c>
      <c r="B1153" s="70"/>
      <c r="C1153" s="72" t="s">
        <v>928</v>
      </c>
      <c r="D1153" s="72" t="s">
        <v>315</v>
      </c>
      <c r="E1153" s="89">
        <v>1</v>
      </c>
      <c r="F1153" s="89" t="s">
        <v>254</v>
      </c>
      <c r="G1153" s="89">
        <v>0</v>
      </c>
      <c r="H1153" s="89" t="s">
        <v>254</v>
      </c>
      <c r="I1153" s="89">
        <v>0.32581630308954224</v>
      </c>
      <c r="J1153" s="89">
        <v>0.67418369691045776</v>
      </c>
      <c r="K1153" s="89" t="s">
        <v>254</v>
      </c>
      <c r="L1153" s="89" t="s">
        <v>254</v>
      </c>
      <c r="M1153" s="89">
        <v>0</v>
      </c>
      <c r="N1153" s="89" t="s">
        <v>254</v>
      </c>
      <c r="O1153" s="89">
        <v>0.67418369691045776</v>
      </c>
      <c r="P1153" s="89">
        <v>0.20923889787258959</v>
      </c>
      <c r="Q1153" s="89">
        <v>0.46494479903786817</v>
      </c>
      <c r="R1153" s="89"/>
    </row>
    <row r="1154" spans="1:18" ht="15">
      <c r="A1154" s="70">
        <v>3</v>
      </c>
      <c r="B1154" s="70"/>
      <c r="C1154" s="72" t="s">
        <v>929</v>
      </c>
      <c r="D1154" s="72" t="s">
        <v>401</v>
      </c>
      <c r="E1154" s="89">
        <v>1</v>
      </c>
      <c r="F1154" s="89" t="s">
        <v>254</v>
      </c>
      <c r="G1154" s="89">
        <v>0</v>
      </c>
      <c r="H1154" s="89" t="s">
        <v>254</v>
      </c>
      <c r="I1154" s="89">
        <v>1</v>
      </c>
      <c r="J1154" s="89">
        <v>0</v>
      </c>
      <c r="K1154" s="89" t="s">
        <v>254</v>
      </c>
      <c r="L1154" s="89" t="s">
        <v>254</v>
      </c>
      <c r="M1154" s="89">
        <v>0</v>
      </c>
      <c r="N1154" s="89" t="s">
        <v>254</v>
      </c>
      <c r="O1154" s="89">
        <v>0</v>
      </c>
      <c r="P1154" s="89">
        <v>0</v>
      </c>
      <c r="Q1154" s="89">
        <v>0</v>
      </c>
      <c r="R1154" s="89"/>
    </row>
    <row r="1155" spans="1:18" ht="15">
      <c r="A1155" s="70">
        <v>4</v>
      </c>
      <c r="B1155" s="70"/>
      <c r="C1155" s="72" t="s">
        <v>930</v>
      </c>
      <c r="D1155" s="72" t="s">
        <v>379</v>
      </c>
      <c r="E1155" s="89">
        <v>1</v>
      </c>
      <c r="F1155" s="89" t="s">
        <v>254</v>
      </c>
      <c r="G1155" s="89">
        <v>0.91272040977937741</v>
      </c>
      <c r="H1155" s="89" t="s">
        <v>254</v>
      </c>
      <c r="I1155" s="89">
        <v>0</v>
      </c>
      <c r="J1155" s="89">
        <v>8.7279590220622622E-2</v>
      </c>
      <c r="K1155" s="89" t="s">
        <v>254</v>
      </c>
      <c r="L1155" s="89" t="s">
        <v>254</v>
      </c>
      <c r="M1155" s="89">
        <v>0</v>
      </c>
      <c r="N1155" s="89" t="s">
        <v>254</v>
      </c>
      <c r="O1155" s="89">
        <v>8.7279590220622622E-2</v>
      </c>
      <c r="P1155" s="89">
        <v>2.7087995969383175E-2</v>
      </c>
      <c r="Q1155" s="89">
        <v>6.0191594251239447E-2</v>
      </c>
      <c r="R1155" s="89"/>
    </row>
    <row r="1156" spans="1:18" ht="15">
      <c r="A1156" s="70">
        <v>5</v>
      </c>
      <c r="B1156" s="70"/>
      <c r="C1156" s="72" t="s">
        <v>931</v>
      </c>
      <c r="D1156" s="72" t="s">
        <v>317</v>
      </c>
      <c r="E1156" s="89">
        <v>1</v>
      </c>
      <c r="F1156" s="89" t="s">
        <v>254</v>
      </c>
      <c r="G1156" s="89">
        <v>0</v>
      </c>
      <c r="H1156" s="89" t="s">
        <v>254</v>
      </c>
      <c r="I1156" s="89">
        <v>0</v>
      </c>
      <c r="J1156" s="89">
        <v>1</v>
      </c>
      <c r="K1156" s="89" t="s">
        <v>254</v>
      </c>
      <c r="L1156" s="89" t="s">
        <v>254</v>
      </c>
      <c r="M1156" s="89">
        <v>0</v>
      </c>
      <c r="N1156" s="89" t="s">
        <v>254</v>
      </c>
      <c r="O1156" s="89">
        <v>1</v>
      </c>
      <c r="P1156" s="89">
        <v>0.31035888116466842</v>
      </c>
      <c r="Q1156" s="89">
        <v>0.68964111883533152</v>
      </c>
      <c r="R1156" s="89"/>
    </row>
    <row r="1157" spans="1:18" ht="15">
      <c r="A1157" s="70">
        <v>6</v>
      </c>
      <c r="B1157" s="70"/>
      <c r="C1157" s="72" t="s">
        <v>932</v>
      </c>
      <c r="D1157" s="72" t="s">
        <v>933</v>
      </c>
      <c r="E1157" s="89">
        <v>1</v>
      </c>
      <c r="F1157" s="89" t="s">
        <v>254</v>
      </c>
      <c r="G1157" s="89">
        <v>0.91271748248200535</v>
      </c>
      <c r="H1157" s="89" t="s">
        <v>254</v>
      </c>
      <c r="I1157" s="89">
        <v>0</v>
      </c>
      <c r="J1157" s="89">
        <v>8.7282517517994707E-2</v>
      </c>
      <c r="K1157" s="89" t="s">
        <v>254</v>
      </c>
      <c r="L1157" s="89" t="s">
        <v>254</v>
      </c>
      <c r="M1157" s="89">
        <v>3.2072224316635657E-6</v>
      </c>
      <c r="N1157" s="89" t="s">
        <v>254</v>
      </c>
      <c r="O1157" s="89">
        <v>8.7279310295563045E-2</v>
      </c>
      <c r="P1157" s="89">
        <v>2.7087909092154871E-2</v>
      </c>
      <c r="Q1157" s="89">
        <v>6.0191401203408171E-2</v>
      </c>
      <c r="R1157" s="89"/>
    </row>
    <row r="1158" spans="1:18" ht="15">
      <c r="A1158" s="70" t="s">
        <v>254</v>
      </c>
      <c r="B1158" s="70"/>
      <c r="C1158" s="72" t="s">
        <v>934</v>
      </c>
      <c r="D1158" s="72" t="s">
        <v>254</v>
      </c>
      <c r="E1158" s="89" t="s">
        <v>254</v>
      </c>
      <c r="F1158" s="89" t="s">
        <v>254</v>
      </c>
      <c r="G1158" s="89" t="s">
        <v>254</v>
      </c>
      <c r="H1158" s="89" t="s">
        <v>254</v>
      </c>
      <c r="I1158" s="89" t="s">
        <v>254</v>
      </c>
      <c r="J1158" s="89" t="s">
        <v>254</v>
      </c>
      <c r="K1158" s="89" t="s">
        <v>254</v>
      </c>
      <c r="L1158" s="89" t="s">
        <v>254</v>
      </c>
      <c r="M1158" s="89" t="s">
        <v>254</v>
      </c>
      <c r="N1158" s="89" t="s">
        <v>254</v>
      </c>
      <c r="O1158" s="89" t="s">
        <v>254</v>
      </c>
      <c r="P1158" s="89" t="s">
        <v>254</v>
      </c>
      <c r="Q1158" s="89" t="s">
        <v>254</v>
      </c>
      <c r="R1158" s="89"/>
    </row>
    <row r="1159" spans="1:18" ht="15">
      <c r="A1159" s="70">
        <v>7</v>
      </c>
      <c r="B1159" s="70"/>
      <c r="C1159" s="72" t="s">
        <v>935</v>
      </c>
      <c r="D1159" s="72" t="s">
        <v>575</v>
      </c>
      <c r="E1159" s="89">
        <v>1</v>
      </c>
      <c r="F1159" s="89" t="s">
        <v>254</v>
      </c>
      <c r="G1159" s="89">
        <v>0.87577725766318848</v>
      </c>
      <c r="H1159" s="89" t="s">
        <v>254</v>
      </c>
      <c r="I1159" s="89">
        <v>4.0472791995134323E-2</v>
      </c>
      <c r="J1159" s="89">
        <v>8.3749950341677232E-2</v>
      </c>
      <c r="K1159" s="89" t="s">
        <v>254</v>
      </c>
      <c r="L1159" s="89" t="s">
        <v>254</v>
      </c>
      <c r="M1159" s="89">
        <v>3.0774171853047175E-6</v>
      </c>
      <c r="N1159" s="89" t="s">
        <v>254</v>
      </c>
      <c r="O1159" s="89">
        <v>8.3746872924491927E-2</v>
      </c>
      <c r="P1159" s="89">
        <v>2.5991585781884978E-2</v>
      </c>
      <c r="Q1159" s="89">
        <v>5.7755287142606949E-2</v>
      </c>
      <c r="R1159" s="89"/>
    </row>
    <row r="1160" spans="1:18" ht="15">
      <c r="A1160" s="70">
        <v>8</v>
      </c>
      <c r="B1160" s="70"/>
      <c r="C1160" s="72" t="s">
        <v>936</v>
      </c>
      <c r="D1160" s="72" t="s">
        <v>355</v>
      </c>
      <c r="E1160" s="89">
        <v>1</v>
      </c>
      <c r="F1160" s="89" t="s">
        <v>254</v>
      </c>
      <c r="G1160" s="89">
        <v>0</v>
      </c>
      <c r="H1160" s="89" t="s">
        <v>254</v>
      </c>
      <c r="I1160" s="89">
        <v>1</v>
      </c>
      <c r="J1160" s="89">
        <v>0</v>
      </c>
      <c r="K1160" s="89" t="s">
        <v>254</v>
      </c>
      <c r="L1160" s="89" t="s">
        <v>254</v>
      </c>
      <c r="M1160" s="89">
        <v>0</v>
      </c>
      <c r="N1160" s="89" t="s">
        <v>254</v>
      </c>
      <c r="O1160" s="89">
        <v>0</v>
      </c>
      <c r="P1160" s="89">
        <v>0</v>
      </c>
      <c r="Q1160" s="89">
        <v>0</v>
      </c>
      <c r="R1160" s="89"/>
    </row>
    <row r="1161" spans="1:18" ht="15">
      <c r="A1161" s="70">
        <v>9</v>
      </c>
      <c r="B1161" s="70"/>
      <c r="C1161" s="72" t="s">
        <v>937</v>
      </c>
      <c r="D1161" s="72" t="s">
        <v>344</v>
      </c>
      <c r="E1161" s="89">
        <v>1</v>
      </c>
      <c r="F1161" s="89" t="s">
        <v>254</v>
      </c>
      <c r="G1161" s="89">
        <v>0.95582457705600388</v>
      </c>
      <c r="H1161" s="89" t="s">
        <v>254</v>
      </c>
      <c r="I1161" s="89">
        <v>4.417206424638917E-2</v>
      </c>
      <c r="J1161" s="89">
        <v>3.3586976069890221E-6</v>
      </c>
      <c r="K1161" s="89" t="s">
        <v>254</v>
      </c>
      <c r="L1161" s="89" t="s">
        <v>254</v>
      </c>
      <c r="M1161" s="89">
        <v>3.3586976069890221E-6</v>
      </c>
      <c r="N1161" s="89" t="s">
        <v>254</v>
      </c>
      <c r="O1161" s="89">
        <v>0</v>
      </c>
      <c r="P1161" s="89">
        <v>0</v>
      </c>
      <c r="Q1161" s="89">
        <v>0</v>
      </c>
      <c r="R1161" s="89"/>
    </row>
    <row r="1162" spans="1:18" ht="15">
      <c r="A1162" s="70">
        <v>10</v>
      </c>
      <c r="B1162" s="70"/>
      <c r="C1162" s="72" t="s">
        <v>938</v>
      </c>
      <c r="D1162" s="72" t="s">
        <v>939</v>
      </c>
      <c r="E1162" s="89">
        <v>1</v>
      </c>
      <c r="F1162" s="89" t="s">
        <v>254</v>
      </c>
      <c r="G1162" s="89">
        <v>0</v>
      </c>
      <c r="H1162" s="89" t="s">
        <v>254</v>
      </c>
      <c r="I1162" s="89">
        <v>0.32581630308954224</v>
      </c>
      <c r="J1162" s="89">
        <v>0.67418369691045776</v>
      </c>
      <c r="K1162" s="89" t="s">
        <v>254</v>
      </c>
      <c r="L1162" s="89" t="s">
        <v>254</v>
      </c>
      <c r="M1162" s="89">
        <v>0</v>
      </c>
      <c r="N1162" s="89" t="s">
        <v>254</v>
      </c>
      <c r="O1162" s="89">
        <v>0.67418369691045776</v>
      </c>
      <c r="P1162" s="89">
        <v>0.20923889787258959</v>
      </c>
      <c r="Q1162" s="89">
        <v>0.46494479903786817</v>
      </c>
      <c r="R1162" s="89"/>
    </row>
    <row r="1163" spans="1:18" ht="15">
      <c r="A1163" s="70">
        <v>11</v>
      </c>
      <c r="B1163" s="70"/>
      <c r="C1163" s="72" t="s">
        <v>940</v>
      </c>
      <c r="D1163" s="72" t="s">
        <v>358</v>
      </c>
      <c r="E1163" s="89">
        <v>1</v>
      </c>
      <c r="F1163" s="89" t="s">
        <v>254</v>
      </c>
      <c r="G1163" s="89">
        <v>0.99999648608553759</v>
      </c>
      <c r="H1163" s="89" t="s">
        <v>254</v>
      </c>
      <c r="I1163" s="89">
        <v>0</v>
      </c>
      <c r="J1163" s="89">
        <v>3.5139144623774761E-6</v>
      </c>
      <c r="K1163" s="89" t="s">
        <v>254</v>
      </c>
      <c r="L1163" s="89" t="s">
        <v>254</v>
      </c>
      <c r="M1163" s="89">
        <v>3.5139144623774761E-6</v>
      </c>
      <c r="N1163" s="89" t="s">
        <v>254</v>
      </c>
      <c r="O1163" s="89">
        <v>0</v>
      </c>
      <c r="P1163" s="89">
        <v>0</v>
      </c>
      <c r="Q1163" s="89">
        <v>0</v>
      </c>
      <c r="R1163" s="89"/>
    </row>
    <row r="1164" spans="1:18" ht="15">
      <c r="A1164" s="70" t="s">
        <v>254</v>
      </c>
      <c r="B1164" s="70"/>
      <c r="C1164" s="72" t="s">
        <v>254</v>
      </c>
      <c r="D1164" s="72" t="s">
        <v>254</v>
      </c>
      <c r="E1164" s="89" t="s">
        <v>254</v>
      </c>
      <c r="F1164" s="89" t="s">
        <v>254</v>
      </c>
      <c r="G1164" s="89" t="s">
        <v>254</v>
      </c>
      <c r="H1164" s="89" t="s">
        <v>254</v>
      </c>
      <c r="I1164" s="89" t="s">
        <v>254</v>
      </c>
      <c r="J1164" s="89" t="s">
        <v>254</v>
      </c>
      <c r="K1164" s="89" t="s">
        <v>254</v>
      </c>
      <c r="L1164" s="89" t="s">
        <v>254</v>
      </c>
      <c r="M1164" s="89" t="s">
        <v>254</v>
      </c>
      <c r="N1164" s="89" t="s">
        <v>254</v>
      </c>
      <c r="O1164" s="89" t="s">
        <v>254</v>
      </c>
      <c r="P1164" s="89" t="s">
        <v>254</v>
      </c>
      <c r="Q1164" s="89" t="s">
        <v>254</v>
      </c>
      <c r="R1164" s="89"/>
    </row>
    <row r="1165" spans="1:18" ht="15">
      <c r="A1165" s="70" t="s">
        <v>254</v>
      </c>
      <c r="B1165" s="70"/>
      <c r="C1165" s="72" t="s">
        <v>941</v>
      </c>
      <c r="D1165" s="72" t="s">
        <v>254</v>
      </c>
      <c r="E1165" s="89" t="s">
        <v>254</v>
      </c>
      <c r="F1165" s="89" t="s">
        <v>254</v>
      </c>
      <c r="G1165" s="89" t="s">
        <v>254</v>
      </c>
      <c r="H1165" s="89" t="s">
        <v>254</v>
      </c>
      <c r="I1165" s="89" t="s">
        <v>254</v>
      </c>
      <c r="J1165" s="89" t="s">
        <v>254</v>
      </c>
      <c r="K1165" s="89" t="s">
        <v>254</v>
      </c>
      <c r="L1165" s="89" t="s">
        <v>254</v>
      </c>
      <c r="M1165" s="89" t="s">
        <v>254</v>
      </c>
      <c r="N1165" s="89" t="s">
        <v>254</v>
      </c>
      <c r="O1165" s="89" t="s">
        <v>254</v>
      </c>
      <c r="P1165" s="89" t="s">
        <v>254</v>
      </c>
      <c r="Q1165" s="89" t="s">
        <v>254</v>
      </c>
      <c r="R1165" s="89"/>
    </row>
    <row r="1166" spans="1:18" ht="15">
      <c r="A1166" s="70">
        <v>12</v>
      </c>
      <c r="B1166" s="70"/>
      <c r="C1166" s="72" t="s">
        <v>942</v>
      </c>
      <c r="D1166" s="72" t="s">
        <v>364</v>
      </c>
      <c r="E1166" s="89">
        <v>1</v>
      </c>
      <c r="F1166" s="89" t="s">
        <v>254</v>
      </c>
      <c r="G1166" s="89">
        <v>0.99890723508251555</v>
      </c>
      <c r="H1166" s="89" t="s">
        <v>254</v>
      </c>
      <c r="I1166" s="89">
        <v>0</v>
      </c>
      <c r="J1166" s="89">
        <v>1.0927649174844731E-3</v>
      </c>
      <c r="K1166" s="89" t="s">
        <v>254</v>
      </c>
      <c r="L1166" s="89" t="s">
        <v>254</v>
      </c>
      <c r="M1166" s="89">
        <v>0</v>
      </c>
      <c r="N1166" s="89" t="s">
        <v>254</v>
      </c>
      <c r="O1166" s="89">
        <v>1.0927649174844731E-3</v>
      </c>
      <c r="P1166" s="89">
        <v>1.0927649174844731E-3</v>
      </c>
      <c r="Q1166" s="89">
        <v>0</v>
      </c>
      <c r="R1166" s="89"/>
    </row>
    <row r="1167" spans="1:18" ht="15">
      <c r="A1167" s="70">
        <v>13</v>
      </c>
      <c r="B1167" s="70"/>
      <c r="C1167" s="72" t="s">
        <v>943</v>
      </c>
      <c r="D1167" s="72" t="s">
        <v>366</v>
      </c>
      <c r="E1167" s="89">
        <v>1</v>
      </c>
      <c r="F1167" s="89" t="s">
        <v>254</v>
      </c>
      <c r="G1167" s="89">
        <v>0.97391780486480506</v>
      </c>
      <c r="H1167" s="89" t="s">
        <v>254</v>
      </c>
      <c r="I1167" s="89">
        <v>0</v>
      </c>
      <c r="J1167" s="89">
        <v>2.6082195135194903E-2</v>
      </c>
      <c r="K1167" s="89" t="s">
        <v>254</v>
      </c>
      <c r="L1167" s="89" t="s">
        <v>254</v>
      </c>
      <c r="M1167" s="89">
        <v>0</v>
      </c>
      <c r="N1167" s="89" t="s">
        <v>254</v>
      </c>
      <c r="O1167" s="89">
        <v>2.6082195135194903E-2</v>
      </c>
      <c r="P1167" s="89">
        <v>2.6082195135194903E-2</v>
      </c>
      <c r="Q1167" s="89">
        <v>0</v>
      </c>
      <c r="R1167" s="89"/>
    </row>
    <row r="1168" spans="1:18" ht="15">
      <c r="A1168" s="70">
        <v>14</v>
      </c>
      <c r="B1168" s="70"/>
      <c r="C1168" s="72" t="s">
        <v>944</v>
      </c>
      <c r="D1168" s="72" t="s">
        <v>368</v>
      </c>
      <c r="E1168" s="89">
        <v>1</v>
      </c>
      <c r="F1168" s="89" t="s">
        <v>254</v>
      </c>
      <c r="G1168" s="89">
        <v>0.98081785602138105</v>
      </c>
      <c r="H1168" s="89" t="s">
        <v>254</v>
      </c>
      <c r="I1168" s="89">
        <v>0</v>
      </c>
      <c r="J1168" s="89">
        <v>1.9182143978618921E-2</v>
      </c>
      <c r="K1168" s="89" t="s">
        <v>254</v>
      </c>
      <c r="L1168" s="89" t="s">
        <v>254</v>
      </c>
      <c r="M1168" s="89">
        <v>0</v>
      </c>
      <c r="N1168" s="89" t="s">
        <v>254</v>
      </c>
      <c r="O1168" s="89">
        <v>1.9182143978618921E-2</v>
      </c>
      <c r="P1168" s="89">
        <v>1.9182143978618921E-2</v>
      </c>
      <c r="Q1168" s="89">
        <v>0</v>
      </c>
      <c r="R1168" s="89"/>
    </row>
    <row r="1169" spans="1:18" ht="15">
      <c r="A1169" s="70">
        <v>15</v>
      </c>
      <c r="B1169" s="70"/>
      <c r="C1169" s="72" t="s">
        <v>945</v>
      </c>
      <c r="D1169" s="72" t="s">
        <v>370</v>
      </c>
      <c r="E1169" s="89">
        <v>1</v>
      </c>
      <c r="F1169" s="89" t="s">
        <v>254</v>
      </c>
      <c r="G1169" s="89">
        <v>1</v>
      </c>
      <c r="H1169" s="89" t="s">
        <v>254</v>
      </c>
      <c r="I1169" s="89">
        <v>0</v>
      </c>
      <c r="J1169" s="89">
        <v>0</v>
      </c>
      <c r="K1169" s="89" t="s">
        <v>254</v>
      </c>
      <c r="L1169" s="89" t="s">
        <v>254</v>
      </c>
      <c r="M1169" s="89">
        <v>0</v>
      </c>
      <c r="N1169" s="89" t="s">
        <v>254</v>
      </c>
      <c r="O1169" s="89">
        <v>0</v>
      </c>
      <c r="P1169" s="89">
        <v>0</v>
      </c>
      <c r="Q1169" s="89">
        <v>0</v>
      </c>
      <c r="R1169" s="89"/>
    </row>
    <row r="1170" spans="1:18" ht="15">
      <c r="A1170" s="70">
        <v>16</v>
      </c>
      <c r="B1170" s="70"/>
      <c r="C1170" s="72" t="s">
        <v>946</v>
      </c>
      <c r="D1170" s="72" t="s">
        <v>372</v>
      </c>
      <c r="E1170" s="89">
        <v>1</v>
      </c>
      <c r="F1170" s="89" t="s">
        <v>254</v>
      </c>
      <c r="G1170" s="89">
        <v>1</v>
      </c>
      <c r="H1170" s="89" t="s">
        <v>254</v>
      </c>
      <c r="I1170" s="89">
        <v>0</v>
      </c>
      <c r="J1170" s="89">
        <v>0</v>
      </c>
      <c r="K1170" s="89" t="s">
        <v>254</v>
      </c>
      <c r="L1170" s="89" t="s">
        <v>254</v>
      </c>
      <c r="M1170" s="89">
        <v>0</v>
      </c>
      <c r="N1170" s="89" t="s">
        <v>254</v>
      </c>
      <c r="O1170" s="89">
        <v>0</v>
      </c>
      <c r="P1170" s="89">
        <v>0</v>
      </c>
      <c r="Q1170" s="89">
        <v>0</v>
      </c>
      <c r="R1170" s="89"/>
    </row>
    <row r="1171" spans="1:18" ht="15">
      <c r="A1171" s="70">
        <v>17</v>
      </c>
      <c r="B1171" s="70"/>
      <c r="C1171" s="72" t="s">
        <v>947</v>
      </c>
      <c r="D1171" s="72" t="s">
        <v>374</v>
      </c>
      <c r="E1171" s="89">
        <v>1</v>
      </c>
      <c r="F1171" s="89" t="s">
        <v>254</v>
      </c>
      <c r="G1171" s="89">
        <v>1</v>
      </c>
      <c r="H1171" s="89" t="s">
        <v>254</v>
      </c>
      <c r="I1171" s="89">
        <v>0</v>
      </c>
      <c r="J1171" s="89">
        <v>0</v>
      </c>
      <c r="K1171" s="89" t="s">
        <v>254</v>
      </c>
      <c r="L1171" s="89" t="s">
        <v>254</v>
      </c>
      <c r="M1171" s="89">
        <v>0</v>
      </c>
      <c r="N1171" s="89" t="s">
        <v>254</v>
      </c>
      <c r="O1171" s="89">
        <v>0</v>
      </c>
      <c r="P1171" s="89">
        <v>0</v>
      </c>
      <c r="Q1171" s="89">
        <v>0</v>
      </c>
      <c r="R1171" s="89"/>
    </row>
    <row r="1172" spans="1:18" ht="15">
      <c r="A1172" s="70">
        <v>18</v>
      </c>
      <c r="B1172" s="70"/>
      <c r="C1172" s="72" t="s">
        <v>948</v>
      </c>
      <c r="D1172" s="72" t="s">
        <v>376</v>
      </c>
      <c r="E1172" s="89">
        <v>1</v>
      </c>
      <c r="F1172" s="89" t="s">
        <v>254</v>
      </c>
      <c r="G1172" s="89">
        <v>1</v>
      </c>
      <c r="H1172" s="89" t="s">
        <v>254</v>
      </c>
      <c r="I1172" s="89">
        <v>0</v>
      </c>
      <c r="J1172" s="89">
        <v>0</v>
      </c>
      <c r="K1172" s="89" t="s">
        <v>254</v>
      </c>
      <c r="L1172" s="89" t="s">
        <v>254</v>
      </c>
      <c r="M1172" s="89">
        <v>0</v>
      </c>
      <c r="N1172" s="89" t="s">
        <v>254</v>
      </c>
      <c r="O1172" s="89">
        <v>0</v>
      </c>
      <c r="P1172" s="89">
        <v>0</v>
      </c>
      <c r="Q1172" s="89">
        <v>0</v>
      </c>
      <c r="R1172" s="89"/>
    </row>
    <row r="1173" spans="1:18" ht="15">
      <c r="A1173" s="70">
        <v>19</v>
      </c>
      <c r="B1173" s="70"/>
      <c r="C1173" s="72" t="s">
        <v>949</v>
      </c>
      <c r="D1173" s="72" t="s">
        <v>381</v>
      </c>
      <c r="E1173" s="89">
        <v>1</v>
      </c>
      <c r="F1173" s="89" t="s">
        <v>254</v>
      </c>
      <c r="G1173" s="89">
        <v>1</v>
      </c>
      <c r="H1173" s="89" t="s">
        <v>254</v>
      </c>
      <c r="I1173" s="89">
        <v>0</v>
      </c>
      <c r="J1173" s="89">
        <v>0</v>
      </c>
      <c r="K1173" s="89" t="s">
        <v>254</v>
      </c>
      <c r="L1173" s="89" t="s">
        <v>254</v>
      </c>
      <c r="M1173" s="89">
        <v>0</v>
      </c>
      <c r="N1173" s="89" t="s">
        <v>254</v>
      </c>
      <c r="O1173" s="89">
        <v>0</v>
      </c>
      <c r="P1173" s="89">
        <v>0</v>
      </c>
      <c r="Q1173" s="89">
        <v>0</v>
      </c>
      <c r="R1173" s="89"/>
    </row>
    <row r="1174" spans="1:18" ht="15">
      <c r="A1174" s="70">
        <v>20</v>
      </c>
      <c r="B1174" s="70"/>
      <c r="C1174" s="72" t="s">
        <v>950</v>
      </c>
      <c r="D1174" s="72" t="s">
        <v>392</v>
      </c>
      <c r="E1174" s="89">
        <v>1</v>
      </c>
      <c r="F1174" s="89" t="s">
        <v>254</v>
      </c>
      <c r="G1174" s="89">
        <v>1</v>
      </c>
      <c r="H1174" s="89" t="s">
        <v>254</v>
      </c>
      <c r="I1174" s="89">
        <v>0</v>
      </c>
      <c r="J1174" s="89">
        <v>0</v>
      </c>
      <c r="K1174" s="89" t="s">
        <v>254</v>
      </c>
      <c r="L1174" s="89" t="s">
        <v>254</v>
      </c>
      <c r="M1174" s="89">
        <v>0</v>
      </c>
      <c r="N1174" s="89" t="s">
        <v>254</v>
      </c>
      <c r="O1174" s="89">
        <v>0</v>
      </c>
      <c r="P1174" s="89">
        <v>0</v>
      </c>
      <c r="Q1174" s="89">
        <v>0</v>
      </c>
      <c r="R1174" s="89"/>
    </row>
    <row r="1175" spans="1:18" ht="15">
      <c r="A1175" s="70">
        <v>21</v>
      </c>
      <c r="B1175" s="70"/>
      <c r="C1175" s="72" t="s">
        <v>951</v>
      </c>
      <c r="D1175" s="72" t="s">
        <v>395</v>
      </c>
      <c r="E1175" s="89">
        <v>1</v>
      </c>
      <c r="F1175" s="89" t="s">
        <v>254</v>
      </c>
      <c r="G1175" s="89">
        <v>0</v>
      </c>
      <c r="H1175" s="89" t="s">
        <v>254</v>
      </c>
      <c r="I1175" s="89">
        <v>1</v>
      </c>
      <c r="J1175" s="89">
        <v>0</v>
      </c>
      <c r="K1175" s="89" t="s">
        <v>254</v>
      </c>
      <c r="L1175" s="89" t="s">
        <v>254</v>
      </c>
      <c r="M1175" s="89">
        <v>0</v>
      </c>
      <c r="N1175" s="89" t="s">
        <v>254</v>
      </c>
      <c r="O1175" s="89">
        <v>0</v>
      </c>
      <c r="P1175" s="89">
        <v>0</v>
      </c>
      <c r="Q1175" s="89">
        <v>0</v>
      </c>
      <c r="R1175" s="89"/>
    </row>
    <row r="1176" spans="1:18" ht="15">
      <c r="A1176" s="70">
        <v>22</v>
      </c>
      <c r="B1176" s="70"/>
      <c r="C1176" s="72" t="s">
        <v>952</v>
      </c>
      <c r="D1176" s="72" t="s">
        <v>396</v>
      </c>
      <c r="E1176" s="89">
        <v>1</v>
      </c>
      <c r="F1176" s="89" t="s">
        <v>254</v>
      </c>
      <c r="G1176" s="89">
        <v>0</v>
      </c>
      <c r="H1176" s="89" t="s">
        <v>254</v>
      </c>
      <c r="I1176" s="89">
        <v>1</v>
      </c>
      <c r="J1176" s="89">
        <v>0</v>
      </c>
      <c r="K1176" s="89" t="s">
        <v>254</v>
      </c>
      <c r="L1176" s="89" t="s">
        <v>254</v>
      </c>
      <c r="M1176" s="89">
        <v>0</v>
      </c>
      <c r="N1176" s="89" t="s">
        <v>254</v>
      </c>
      <c r="O1176" s="89">
        <v>0</v>
      </c>
      <c r="P1176" s="89">
        <v>0</v>
      </c>
      <c r="Q1176" s="89">
        <v>0</v>
      </c>
      <c r="R1176" s="89"/>
    </row>
    <row r="1177" spans="1:18" ht="15">
      <c r="A1177" s="70">
        <v>23</v>
      </c>
      <c r="B1177" s="70"/>
      <c r="C1177" s="72" t="s">
        <v>953</v>
      </c>
      <c r="D1177" s="72" t="s">
        <v>397</v>
      </c>
      <c r="E1177" s="89">
        <v>1</v>
      </c>
      <c r="F1177" s="89" t="s">
        <v>254</v>
      </c>
      <c r="G1177" s="89">
        <v>0</v>
      </c>
      <c r="H1177" s="89" t="s">
        <v>254</v>
      </c>
      <c r="I1177" s="89">
        <v>1</v>
      </c>
      <c r="J1177" s="89">
        <v>0</v>
      </c>
      <c r="K1177" s="89" t="s">
        <v>254</v>
      </c>
      <c r="L1177" s="89" t="s">
        <v>254</v>
      </c>
      <c r="M1177" s="89">
        <v>0</v>
      </c>
      <c r="N1177" s="89" t="s">
        <v>254</v>
      </c>
      <c r="O1177" s="89">
        <v>0</v>
      </c>
      <c r="P1177" s="89">
        <v>0</v>
      </c>
      <c r="Q1177" s="89">
        <v>0</v>
      </c>
      <c r="R1177" s="89"/>
    </row>
    <row r="1178" spans="1:18" ht="15">
      <c r="A1178" s="70">
        <v>24</v>
      </c>
      <c r="B1178" s="70"/>
      <c r="C1178" s="72" t="s">
        <v>2453</v>
      </c>
      <c r="D1178" s="72" t="s">
        <v>2426</v>
      </c>
      <c r="E1178" s="89">
        <v>1</v>
      </c>
      <c r="F1178" s="89" t="s">
        <v>254</v>
      </c>
      <c r="G1178" s="89">
        <v>0.26002289334415507</v>
      </c>
      <c r="H1178" s="89" t="s">
        <v>254</v>
      </c>
      <c r="I1178" s="89">
        <v>0.73997710665584493</v>
      </c>
      <c r="J1178" s="89">
        <v>0</v>
      </c>
      <c r="K1178" s="89" t="s">
        <v>254</v>
      </c>
      <c r="L1178" s="89" t="s">
        <v>254</v>
      </c>
      <c r="M1178" s="89">
        <v>0</v>
      </c>
      <c r="N1178" s="89" t="s">
        <v>254</v>
      </c>
      <c r="O1178" s="89">
        <v>0</v>
      </c>
      <c r="P1178" s="89">
        <v>0</v>
      </c>
      <c r="Q1178" s="89">
        <v>0</v>
      </c>
      <c r="R1178" s="89"/>
    </row>
    <row r="1179" spans="1:18" ht="15">
      <c r="A1179" s="70">
        <v>25</v>
      </c>
      <c r="B1179" s="70"/>
      <c r="C1179" s="72" t="s">
        <v>954</v>
      </c>
      <c r="D1179" s="72" t="s">
        <v>398</v>
      </c>
      <c r="E1179" s="89">
        <v>1</v>
      </c>
      <c r="F1179" s="89" t="s">
        <v>254</v>
      </c>
      <c r="G1179" s="89">
        <v>0</v>
      </c>
      <c r="H1179" s="89" t="s">
        <v>254</v>
      </c>
      <c r="I1179" s="89">
        <v>1</v>
      </c>
      <c r="J1179" s="89">
        <v>0</v>
      </c>
      <c r="K1179" s="89" t="s">
        <v>254</v>
      </c>
      <c r="L1179" s="89" t="s">
        <v>254</v>
      </c>
      <c r="M1179" s="89">
        <v>0</v>
      </c>
      <c r="N1179" s="89" t="s">
        <v>254</v>
      </c>
      <c r="O1179" s="89">
        <v>0</v>
      </c>
      <c r="P1179" s="89">
        <v>0</v>
      </c>
      <c r="Q1179" s="89">
        <v>0</v>
      </c>
      <c r="R1179" s="89"/>
    </row>
    <row r="1180" spans="1:18" ht="15">
      <c r="A1180" s="70">
        <v>26</v>
      </c>
      <c r="B1180" s="70"/>
      <c r="C1180" s="72" t="s">
        <v>955</v>
      </c>
      <c r="D1180" s="72" t="s">
        <v>399</v>
      </c>
      <c r="E1180" s="89">
        <v>1</v>
      </c>
      <c r="F1180" s="89" t="s">
        <v>254</v>
      </c>
      <c r="G1180" s="89">
        <v>0</v>
      </c>
      <c r="H1180" s="89" t="s">
        <v>254</v>
      </c>
      <c r="I1180" s="89">
        <v>1</v>
      </c>
      <c r="J1180" s="89">
        <v>0</v>
      </c>
      <c r="K1180" s="89" t="s">
        <v>254</v>
      </c>
      <c r="L1180" s="89" t="s">
        <v>254</v>
      </c>
      <c r="M1180" s="89">
        <v>0</v>
      </c>
      <c r="N1180" s="89" t="s">
        <v>254</v>
      </c>
      <c r="O1180" s="89">
        <v>0</v>
      </c>
      <c r="P1180" s="89">
        <v>0</v>
      </c>
      <c r="Q1180" s="89">
        <v>0</v>
      </c>
      <c r="R1180" s="89"/>
    </row>
    <row r="1181" spans="1:18" ht="15">
      <c r="A1181" s="70">
        <v>27</v>
      </c>
      <c r="B1181" s="70"/>
      <c r="C1181" s="72" t="s">
        <v>956</v>
      </c>
      <c r="D1181" s="72" t="s">
        <v>400</v>
      </c>
      <c r="E1181" s="89">
        <v>1</v>
      </c>
      <c r="F1181" s="89" t="s">
        <v>254</v>
      </c>
      <c r="G1181" s="89">
        <v>0</v>
      </c>
      <c r="H1181" s="89" t="s">
        <v>254</v>
      </c>
      <c r="I1181" s="89">
        <v>1</v>
      </c>
      <c r="J1181" s="89">
        <v>0</v>
      </c>
      <c r="K1181" s="89" t="s">
        <v>254</v>
      </c>
      <c r="L1181" s="89" t="s">
        <v>254</v>
      </c>
      <c r="M1181" s="89">
        <v>0</v>
      </c>
      <c r="N1181" s="89" t="s">
        <v>254</v>
      </c>
      <c r="O1181" s="89">
        <v>0</v>
      </c>
      <c r="P1181" s="89">
        <v>0</v>
      </c>
      <c r="Q1181" s="89">
        <v>0</v>
      </c>
      <c r="R1181" s="89"/>
    </row>
    <row r="1182" spans="1:18" ht="15">
      <c r="A1182" s="70">
        <v>28</v>
      </c>
      <c r="B1182" s="70"/>
      <c r="C1182" s="72" t="s">
        <v>957</v>
      </c>
      <c r="D1182" s="72" t="s">
        <v>402</v>
      </c>
      <c r="E1182" s="89">
        <v>1</v>
      </c>
      <c r="F1182" s="89" t="s">
        <v>254</v>
      </c>
      <c r="G1182" s="89">
        <v>0</v>
      </c>
      <c r="H1182" s="89" t="s">
        <v>254</v>
      </c>
      <c r="I1182" s="89">
        <v>1</v>
      </c>
      <c r="J1182" s="89">
        <v>0</v>
      </c>
      <c r="K1182" s="89" t="s">
        <v>254</v>
      </c>
      <c r="L1182" s="89" t="s">
        <v>254</v>
      </c>
      <c r="M1182" s="89">
        <v>0</v>
      </c>
      <c r="N1182" s="89" t="s">
        <v>254</v>
      </c>
      <c r="O1182" s="89">
        <v>0</v>
      </c>
      <c r="P1182" s="89">
        <v>0</v>
      </c>
      <c r="Q1182" s="89">
        <v>0</v>
      </c>
      <c r="R1182" s="89"/>
    </row>
    <row r="1183" spans="1:18" ht="15">
      <c r="A1183" s="70">
        <v>29</v>
      </c>
      <c r="B1183" s="70"/>
      <c r="C1183" s="72" t="s">
        <v>958</v>
      </c>
      <c r="D1183" s="72" t="s">
        <v>409</v>
      </c>
      <c r="E1183" s="89">
        <v>1</v>
      </c>
      <c r="F1183" s="89" t="s">
        <v>254</v>
      </c>
      <c r="G1183" s="89">
        <v>0</v>
      </c>
      <c r="H1183" s="89" t="s">
        <v>254</v>
      </c>
      <c r="I1183" s="89">
        <v>0</v>
      </c>
      <c r="J1183" s="89">
        <v>1</v>
      </c>
      <c r="K1183" s="89" t="s">
        <v>254</v>
      </c>
      <c r="L1183" s="89" t="s">
        <v>254</v>
      </c>
      <c r="M1183" s="89">
        <v>1</v>
      </c>
      <c r="N1183" s="89" t="s">
        <v>254</v>
      </c>
      <c r="O1183" s="89">
        <v>0</v>
      </c>
      <c r="P1183" s="89">
        <v>0</v>
      </c>
      <c r="Q1183" s="89">
        <v>0</v>
      </c>
      <c r="R1183" s="89"/>
    </row>
    <row r="1184" spans="1:18" ht="15">
      <c r="A1184" s="70">
        <v>30</v>
      </c>
      <c r="B1184" s="70"/>
      <c r="C1184" s="72" t="s">
        <v>959</v>
      </c>
      <c r="D1184" s="72" t="s">
        <v>410</v>
      </c>
      <c r="E1184" s="89">
        <v>1</v>
      </c>
      <c r="F1184" s="89" t="s">
        <v>254</v>
      </c>
      <c r="G1184" s="89">
        <v>0</v>
      </c>
      <c r="H1184" s="89" t="s">
        <v>254</v>
      </c>
      <c r="I1184" s="89">
        <v>0</v>
      </c>
      <c r="J1184" s="89">
        <v>1</v>
      </c>
      <c r="K1184" s="89" t="s">
        <v>254</v>
      </c>
      <c r="L1184" s="89" t="s">
        <v>254</v>
      </c>
      <c r="M1184" s="89">
        <v>1</v>
      </c>
      <c r="N1184" s="89" t="s">
        <v>254</v>
      </c>
      <c r="O1184" s="89">
        <v>0</v>
      </c>
      <c r="P1184" s="89">
        <v>0</v>
      </c>
      <c r="Q1184" s="89">
        <v>0</v>
      </c>
      <c r="R1184" s="89"/>
    </row>
    <row r="1185" spans="1:18" ht="15">
      <c r="A1185" s="70">
        <v>31</v>
      </c>
      <c r="B1185" s="70"/>
      <c r="C1185" s="72" t="s">
        <v>960</v>
      </c>
      <c r="D1185" s="72" t="s">
        <v>411</v>
      </c>
      <c r="E1185" s="89">
        <v>1</v>
      </c>
      <c r="F1185" s="89" t="s">
        <v>254</v>
      </c>
      <c r="G1185" s="89">
        <v>0</v>
      </c>
      <c r="H1185" s="89" t="s">
        <v>254</v>
      </c>
      <c r="I1185" s="89">
        <v>0</v>
      </c>
      <c r="J1185" s="89">
        <v>1</v>
      </c>
      <c r="K1185" s="89" t="s">
        <v>254</v>
      </c>
      <c r="L1185" s="89" t="s">
        <v>254</v>
      </c>
      <c r="M1185" s="89">
        <v>1</v>
      </c>
      <c r="N1185" s="89" t="s">
        <v>254</v>
      </c>
      <c r="O1185" s="89">
        <v>0</v>
      </c>
      <c r="P1185" s="89">
        <v>0</v>
      </c>
      <c r="Q1185" s="89">
        <v>0</v>
      </c>
      <c r="R1185" s="89"/>
    </row>
    <row r="1186" spans="1:18" ht="15">
      <c r="A1186" s="70">
        <v>32</v>
      </c>
      <c r="B1186" s="70"/>
      <c r="C1186" s="72" t="s">
        <v>961</v>
      </c>
      <c r="D1186" s="72" t="s">
        <v>412</v>
      </c>
      <c r="E1186" s="89">
        <v>1</v>
      </c>
      <c r="F1186" s="89" t="s">
        <v>254</v>
      </c>
      <c r="G1186" s="89">
        <v>0</v>
      </c>
      <c r="H1186" s="89" t="s">
        <v>254</v>
      </c>
      <c r="I1186" s="89">
        <v>0</v>
      </c>
      <c r="J1186" s="89">
        <v>1</v>
      </c>
      <c r="K1186" s="89" t="s">
        <v>254</v>
      </c>
      <c r="L1186" s="89" t="s">
        <v>254</v>
      </c>
      <c r="M1186" s="89">
        <v>1</v>
      </c>
      <c r="N1186" s="89" t="s">
        <v>254</v>
      </c>
      <c r="O1186" s="89">
        <v>0</v>
      </c>
      <c r="P1186" s="89">
        <v>0</v>
      </c>
      <c r="Q1186" s="89">
        <v>0</v>
      </c>
      <c r="R1186" s="89"/>
    </row>
    <row r="1187" spans="1:18" ht="15">
      <c r="A1187" s="70">
        <v>33</v>
      </c>
      <c r="B1187" s="70"/>
      <c r="C1187" s="72" t="s">
        <v>962</v>
      </c>
      <c r="D1187" s="72" t="s">
        <v>413</v>
      </c>
      <c r="E1187" s="89">
        <v>1</v>
      </c>
      <c r="F1187" s="89" t="s">
        <v>254</v>
      </c>
      <c r="G1187" s="89">
        <v>0</v>
      </c>
      <c r="H1187" s="89" t="s">
        <v>254</v>
      </c>
      <c r="I1187" s="89">
        <v>0</v>
      </c>
      <c r="J1187" s="89">
        <v>1</v>
      </c>
      <c r="K1187" s="89" t="s">
        <v>254</v>
      </c>
      <c r="L1187" s="89" t="s">
        <v>254</v>
      </c>
      <c r="M1187" s="89">
        <v>1</v>
      </c>
      <c r="N1187" s="89" t="s">
        <v>254</v>
      </c>
      <c r="O1187" s="89">
        <v>0</v>
      </c>
      <c r="P1187" s="89">
        <v>0</v>
      </c>
      <c r="Q1187" s="89">
        <v>0</v>
      </c>
      <c r="R1187" s="89"/>
    </row>
    <row r="1188" spans="1:18" ht="15">
      <c r="A1188" s="70">
        <v>34</v>
      </c>
      <c r="B1188" s="70"/>
      <c r="C1188" s="72" t="s">
        <v>963</v>
      </c>
      <c r="D1188" s="72" t="s">
        <v>414</v>
      </c>
      <c r="E1188" s="89">
        <v>1</v>
      </c>
      <c r="F1188" s="89" t="s">
        <v>254</v>
      </c>
      <c r="G1188" s="89">
        <v>0</v>
      </c>
      <c r="H1188" s="89" t="s">
        <v>254</v>
      </c>
      <c r="I1188" s="89">
        <v>0</v>
      </c>
      <c r="J1188" s="89">
        <v>1</v>
      </c>
      <c r="K1188" s="89" t="s">
        <v>254</v>
      </c>
      <c r="L1188" s="89" t="s">
        <v>254</v>
      </c>
      <c r="M1188" s="89">
        <v>1</v>
      </c>
      <c r="N1188" s="89" t="s">
        <v>254</v>
      </c>
      <c r="O1188" s="89">
        <v>0</v>
      </c>
      <c r="P1188" s="89">
        <v>0</v>
      </c>
      <c r="Q1188" s="89">
        <v>0</v>
      </c>
      <c r="R1188" s="89"/>
    </row>
    <row r="1189" spans="1:18" ht="15">
      <c r="A1189" s="70">
        <v>35</v>
      </c>
      <c r="B1189" s="70"/>
      <c r="C1189" s="72" t="s">
        <v>964</v>
      </c>
      <c r="D1189" s="72" t="s">
        <v>415</v>
      </c>
      <c r="E1189" s="89">
        <v>1</v>
      </c>
      <c r="F1189" s="89" t="s">
        <v>254</v>
      </c>
      <c r="G1189" s="89">
        <v>0</v>
      </c>
      <c r="H1189" s="89" t="s">
        <v>254</v>
      </c>
      <c r="I1189" s="89">
        <v>0</v>
      </c>
      <c r="J1189" s="89">
        <v>1</v>
      </c>
      <c r="K1189" s="89" t="s">
        <v>254</v>
      </c>
      <c r="L1189" s="89" t="s">
        <v>254</v>
      </c>
      <c r="M1189" s="89">
        <v>1</v>
      </c>
      <c r="N1189" s="89" t="s">
        <v>254</v>
      </c>
      <c r="O1189" s="89">
        <v>0</v>
      </c>
      <c r="P1189" s="89">
        <v>0</v>
      </c>
      <c r="Q1189" s="89">
        <v>0</v>
      </c>
      <c r="R1189" s="89"/>
    </row>
    <row r="1190" spans="1:18" ht="15">
      <c r="A1190" s="70">
        <v>36</v>
      </c>
      <c r="B1190" s="70"/>
      <c r="C1190" s="72" t="s">
        <v>965</v>
      </c>
      <c r="D1190" s="72" t="s">
        <v>416</v>
      </c>
      <c r="E1190" s="89">
        <v>1</v>
      </c>
      <c r="F1190" s="89" t="s">
        <v>254</v>
      </c>
      <c r="G1190" s="89">
        <v>0</v>
      </c>
      <c r="H1190" s="89" t="s">
        <v>254</v>
      </c>
      <c r="I1190" s="89">
        <v>0</v>
      </c>
      <c r="J1190" s="89">
        <v>1</v>
      </c>
      <c r="K1190" s="89" t="s">
        <v>254</v>
      </c>
      <c r="L1190" s="89" t="s">
        <v>254</v>
      </c>
      <c r="M1190" s="89">
        <v>1</v>
      </c>
      <c r="N1190" s="89" t="s">
        <v>254</v>
      </c>
      <c r="O1190" s="89">
        <v>0</v>
      </c>
      <c r="P1190" s="89">
        <v>0</v>
      </c>
      <c r="Q1190" s="89">
        <v>0</v>
      </c>
      <c r="R1190" s="89"/>
    </row>
    <row r="1191" spans="1:18" ht="15">
      <c r="A1191" s="70">
        <v>37</v>
      </c>
      <c r="B1191" s="70"/>
      <c r="C1191" s="72" t="s">
        <v>966</v>
      </c>
      <c r="D1191" s="72" t="s">
        <v>417</v>
      </c>
      <c r="E1191" s="89">
        <v>0</v>
      </c>
      <c r="F1191" s="89" t="s">
        <v>254</v>
      </c>
      <c r="G1191" s="89">
        <v>0</v>
      </c>
      <c r="H1191" s="89" t="s">
        <v>254</v>
      </c>
      <c r="I1191" s="89">
        <v>0</v>
      </c>
      <c r="J1191" s="89">
        <v>0</v>
      </c>
      <c r="K1191" s="89" t="s">
        <v>254</v>
      </c>
      <c r="L1191" s="89" t="s">
        <v>254</v>
      </c>
      <c r="M1191" s="89">
        <v>0</v>
      </c>
      <c r="N1191" s="89" t="s">
        <v>254</v>
      </c>
      <c r="O1191" s="89">
        <v>0</v>
      </c>
      <c r="P1191" s="89">
        <v>0</v>
      </c>
      <c r="Q1191" s="89">
        <v>0</v>
      </c>
      <c r="R1191" s="89"/>
    </row>
    <row r="1192" spans="1:18" ht="15">
      <c r="A1192" s="70">
        <v>38</v>
      </c>
      <c r="B1192" s="70"/>
      <c r="C1192" s="72" t="s">
        <v>1147</v>
      </c>
      <c r="D1192" s="72" t="s">
        <v>467</v>
      </c>
      <c r="E1192" s="89">
        <v>1</v>
      </c>
      <c r="F1192" s="89" t="s">
        <v>254</v>
      </c>
      <c r="G1192" s="89">
        <v>0</v>
      </c>
      <c r="H1192" s="89" t="s">
        <v>254</v>
      </c>
      <c r="I1192" s="89">
        <v>0.99655750222658823</v>
      </c>
      <c r="J1192" s="89">
        <v>3.4424977734118095E-3</v>
      </c>
      <c r="K1192" s="89" t="s">
        <v>254</v>
      </c>
      <c r="L1192" s="89" t="s">
        <v>254</v>
      </c>
      <c r="M1192" s="89">
        <v>3.4424977734118095E-3</v>
      </c>
      <c r="N1192" s="89" t="s">
        <v>254</v>
      </c>
      <c r="O1192" s="89">
        <v>0</v>
      </c>
      <c r="P1192" s="89">
        <v>0</v>
      </c>
      <c r="Q1192" s="89">
        <v>0</v>
      </c>
      <c r="R1192" s="89"/>
    </row>
    <row r="1193" spans="1:18" ht="15">
      <c r="A1193" s="70">
        <v>39</v>
      </c>
      <c r="B1193" s="70"/>
      <c r="C1193" s="72" t="s">
        <v>1148</v>
      </c>
      <c r="D1193" s="72" t="s">
        <v>490</v>
      </c>
      <c r="E1193" s="89">
        <v>0</v>
      </c>
      <c r="F1193" s="89" t="s">
        <v>254</v>
      </c>
      <c r="G1193" s="89">
        <v>0</v>
      </c>
      <c r="H1193" s="89" t="s">
        <v>254</v>
      </c>
      <c r="I1193" s="89">
        <v>0</v>
      </c>
      <c r="J1193" s="89">
        <v>0</v>
      </c>
      <c r="K1193" s="89" t="s">
        <v>254</v>
      </c>
      <c r="L1193" s="89" t="s">
        <v>254</v>
      </c>
      <c r="M1193" s="89">
        <v>0</v>
      </c>
      <c r="N1193" s="89" t="s">
        <v>254</v>
      </c>
      <c r="O1193" s="89">
        <v>0</v>
      </c>
      <c r="P1193" s="89">
        <v>0</v>
      </c>
      <c r="Q1193" s="89">
        <v>0</v>
      </c>
      <c r="R1193" s="89"/>
    </row>
    <row r="1194" spans="1:18" ht="15">
      <c r="A1194" s="70">
        <v>40</v>
      </c>
      <c r="B1194" s="70"/>
      <c r="C1194" s="72" t="s">
        <v>1149</v>
      </c>
      <c r="D1194" s="72" t="s">
        <v>526</v>
      </c>
      <c r="E1194" s="89">
        <v>1</v>
      </c>
      <c r="F1194" s="89" t="s">
        <v>254</v>
      </c>
      <c r="G1194" s="89">
        <v>0</v>
      </c>
      <c r="H1194" s="89" t="s">
        <v>254</v>
      </c>
      <c r="I1194" s="89">
        <v>1</v>
      </c>
      <c r="J1194" s="89">
        <v>0</v>
      </c>
      <c r="K1194" s="89" t="s">
        <v>254</v>
      </c>
      <c r="L1194" s="89" t="s">
        <v>254</v>
      </c>
      <c r="M1194" s="89">
        <v>0</v>
      </c>
      <c r="N1194" s="89" t="s">
        <v>254</v>
      </c>
      <c r="O1194" s="89">
        <v>0</v>
      </c>
      <c r="P1194" s="89">
        <v>0</v>
      </c>
      <c r="Q1194" s="89">
        <v>0</v>
      </c>
      <c r="R1194" s="89"/>
    </row>
    <row r="1195" spans="1:18" ht="15">
      <c r="A1195" s="70">
        <v>41</v>
      </c>
      <c r="B1195" s="70"/>
      <c r="C1195" s="72" t="s">
        <v>1150</v>
      </c>
      <c r="D1195" s="72" t="s">
        <v>535</v>
      </c>
      <c r="E1195" s="89">
        <v>0</v>
      </c>
      <c r="F1195" s="89" t="s">
        <v>254</v>
      </c>
      <c r="G1195" s="89">
        <v>0</v>
      </c>
      <c r="H1195" s="89" t="s">
        <v>254</v>
      </c>
      <c r="I1195" s="89">
        <v>0</v>
      </c>
      <c r="J1195" s="89">
        <v>0</v>
      </c>
      <c r="K1195" s="89" t="s">
        <v>254</v>
      </c>
      <c r="L1195" s="89" t="s">
        <v>254</v>
      </c>
      <c r="M1195" s="89">
        <v>0</v>
      </c>
      <c r="N1195" s="89" t="s">
        <v>254</v>
      </c>
      <c r="O1195" s="89">
        <v>0</v>
      </c>
      <c r="P1195" s="89">
        <v>0</v>
      </c>
      <c r="Q1195" s="89">
        <v>0</v>
      </c>
      <c r="R1195" s="89"/>
    </row>
    <row r="1196" spans="1:18" ht="15">
      <c r="A1196" s="70">
        <v>42</v>
      </c>
      <c r="B1196" s="70"/>
      <c r="C1196" s="72" t="s">
        <v>969</v>
      </c>
      <c r="D1196" s="72" t="s">
        <v>572</v>
      </c>
      <c r="E1196" s="89">
        <v>0.99999999999999989</v>
      </c>
      <c r="F1196" s="89" t="s">
        <v>254</v>
      </c>
      <c r="G1196" s="89">
        <v>0.93321688327267494</v>
      </c>
      <c r="H1196" s="89" t="s">
        <v>254</v>
      </c>
      <c r="I1196" s="89">
        <v>6.676675845042003E-2</v>
      </c>
      <c r="J1196" s="89">
        <v>1.635827690496358E-5</v>
      </c>
      <c r="K1196" s="89" t="s">
        <v>254</v>
      </c>
      <c r="L1196" s="89" t="s">
        <v>254</v>
      </c>
      <c r="M1196" s="89">
        <v>1.635827690496358E-5</v>
      </c>
      <c r="N1196" s="89" t="s">
        <v>254</v>
      </c>
      <c r="O1196" s="89">
        <v>0</v>
      </c>
      <c r="P1196" s="89">
        <v>0</v>
      </c>
      <c r="Q1196" s="89">
        <v>0</v>
      </c>
      <c r="R1196" s="89"/>
    </row>
    <row r="1197" spans="1:18" ht="15">
      <c r="A1197" s="70">
        <v>43</v>
      </c>
      <c r="B1197" s="70"/>
      <c r="C1197" s="72" t="s">
        <v>970</v>
      </c>
      <c r="D1197" s="72" t="s">
        <v>582</v>
      </c>
      <c r="E1197" s="89">
        <v>1</v>
      </c>
      <c r="F1197" s="89" t="s">
        <v>254</v>
      </c>
      <c r="G1197" s="89">
        <v>0.7162353473773585</v>
      </c>
      <c r="H1197" s="89" t="s">
        <v>254</v>
      </c>
      <c r="I1197" s="89">
        <v>6.5412569483985661E-2</v>
      </c>
      <c r="J1197" s="89">
        <v>0.21835208313865578</v>
      </c>
      <c r="K1197" s="89" t="s">
        <v>254</v>
      </c>
      <c r="L1197" s="89" t="s">
        <v>254</v>
      </c>
      <c r="M1197" s="89">
        <v>0</v>
      </c>
      <c r="N1197" s="89" t="s">
        <v>254</v>
      </c>
      <c r="O1197" s="89">
        <v>0.21835208313865578</v>
      </c>
      <c r="P1197" s="89">
        <v>8.8683173314984237E-2</v>
      </c>
      <c r="Q1197" s="89">
        <v>0.12966890982367155</v>
      </c>
      <c r="R1197" s="89"/>
    </row>
    <row r="1198" spans="1:18" ht="15">
      <c r="A1198" s="70">
        <v>44</v>
      </c>
      <c r="B1198" s="70"/>
      <c r="C1198" s="72" t="s">
        <v>971</v>
      </c>
      <c r="D1198" s="72" t="s">
        <v>580</v>
      </c>
      <c r="E1198" s="89">
        <v>1</v>
      </c>
      <c r="F1198" s="89" t="s">
        <v>254</v>
      </c>
      <c r="G1198" s="89">
        <v>1</v>
      </c>
      <c r="H1198" s="89" t="s">
        <v>254</v>
      </c>
      <c r="I1198" s="89">
        <v>0</v>
      </c>
      <c r="J1198" s="89">
        <v>0</v>
      </c>
      <c r="K1198" s="89" t="s">
        <v>254</v>
      </c>
      <c r="L1198" s="89" t="s">
        <v>254</v>
      </c>
      <c r="M1198" s="89">
        <v>0</v>
      </c>
      <c r="N1198" s="89" t="s">
        <v>254</v>
      </c>
      <c r="O1198" s="89">
        <v>0</v>
      </c>
      <c r="P1198" s="89">
        <v>0</v>
      </c>
      <c r="Q1198" s="89">
        <v>0</v>
      </c>
      <c r="R1198" s="89"/>
    </row>
    <row r="1199" spans="1:18" ht="15">
      <c r="A1199" s="70">
        <v>45</v>
      </c>
      <c r="B1199" s="70"/>
      <c r="C1199" s="72" t="s">
        <v>1151</v>
      </c>
      <c r="D1199" s="72" t="s">
        <v>568</v>
      </c>
      <c r="E1199" s="89">
        <v>1</v>
      </c>
      <c r="F1199" s="89" t="s">
        <v>254</v>
      </c>
      <c r="G1199" s="89">
        <v>0.94655437530962694</v>
      </c>
      <c r="H1199" s="89" t="s">
        <v>254</v>
      </c>
      <c r="I1199" s="89">
        <v>5.3445624690373096E-2</v>
      </c>
      <c r="J1199" s="89">
        <v>0</v>
      </c>
      <c r="K1199" s="89" t="s">
        <v>254</v>
      </c>
      <c r="L1199" s="89" t="s">
        <v>254</v>
      </c>
      <c r="M1199" s="89">
        <v>0</v>
      </c>
      <c r="N1199" s="89" t="s">
        <v>254</v>
      </c>
      <c r="O1199" s="89">
        <v>0</v>
      </c>
      <c r="P1199" s="89">
        <v>0</v>
      </c>
      <c r="Q1199" s="89">
        <v>0</v>
      </c>
      <c r="R1199" s="89"/>
    </row>
    <row r="1200" spans="1:18" ht="15">
      <c r="A1200" s="70">
        <v>46</v>
      </c>
      <c r="B1200" s="70"/>
      <c r="C1200" s="72" t="s">
        <v>1152</v>
      </c>
      <c r="D1200" s="72" t="s">
        <v>570</v>
      </c>
      <c r="E1200" s="89">
        <v>1</v>
      </c>
      <c r="F1200" s="89" t="s">
        <v>254</v>
      </c>
      <c r="G1200" s="89">
        <v>0.99541291573424273</v>
      </c>
      <c r="H1200" s="89" t="s">
        <v>254</v>
      </c>
      <c r="I1200" s="89">
        <v>4.5870842657573145E-3</v>
      </c>
      <c r="J1200" s="89">
        <v>0</v>
      </c>
      <c r="K1200" s="89" t="s">
        <v>254</v>
      </c>
      <c r="L1200" s="89" t="s">
        <v>254</v>
      </c>
      <c r="M1200" s="89">
        <v>0</v>
      </c>
      <c r="N1200" s="89" t="s">
        <v>254</v>
      </c>
      <c r="O1200" s="89">
        <v>0</v>
      </c>
      <c r="P1200" s="89">
        <v>0</v>
      </c>
      <c r="Q1200" s="89">
        <v>0</v>
      </c>
      <c r="R1200" s="89"/>
    </row>
    <row r="1201" spans="1:18" ht="15">
      <c r="A1201" s="70">
        <v>47</v>
      </c>
      <c r="B1201" s="70"/>
      <c r="C1201" s="72" t="s">
        <v>1153</v>
      </c>
      <c r="D1201" s="72" t="s">
        <v>578</v>
      </c>
      <c r="E1201" s="89">
        <v>0.99999999999999989</v>
      </c>
      <c r="F1201" s="89" t="s">
        <v>254</v>
      </c>
      <c r="G1201" s="89">
        <v>1.0008701472556893</v>
      </c>
      <c r="H1201" s="89" t="s">
        <v>254</v>
      </c>
      <c r="I1201" s="89">
        <v>-8.7014725568942432E-4</v>
      </c>
      <c r="J1201" s="89">
        <v>0</v>
      </c>
      <c r="K1201" s="89" t="s">
        <v>254</v>
      </c>
      <c r="L1201" s="89" t="s">
        <v>254</v>
      </c>
      <c r="M1201" s="89">
        <v>0</v>
      </c>
      <c r="N1201" s="89" t="s">
        <v>254</v>
      </c>
      <c r="O1201" s="89">
        <v>0</v>
      </c>
      <c r="P1201" s="89">
        <v>0</v>
      </c>
      <c r="Q1201" s="89">
        <v>0</v>
      </c>
      <c r="R1201" s="89"/>
    </row>
    <row r="1202" spans="1:18" ht="15">
      <c r="A1202" s="70">
        <v>48</v>
      </c>
      <c r="B1202" s="70"/>
      <c r="C1202" s="72" t="s">
        <v>975</v>
      </c>
      <c r="D1202" s="72" t="s">
        <v>976</v>
      </c>
      <c r="E1202" s="89">
        <v>1</v>
      </c>
      <c r="F1202" s="89" t="s">
        <v>254</v>
      </c>
      <c r="G1202" s="89">
        <v>0</v>
      </c>
      <c r="H1202" s="89" t="s">
        <v>254</v>
      </c>
      <c r="I1202" s="89">
        <v>1</v>
      </c>
      <c r="J1202" s="89">
        <v>0</v>
      </c>
      <c r="K1202" s="89" t="s">
        <v>254</v>
      </c>
      <c r="L1202" s="89" t="s">
        <v>254</v>
      </c>
      <c r="M1202" s="89">
        <v>0</v>
      </c>
      <c r="N1202" s="89" t="s">
        <v>254</v>
      </c>
      <c r="O1202" s="89">
        <v>0</v>
      </c>
      <c r="P1202" s="89">
        <v>0</v>
      </c>
      <c r="Q1202" s="89">
        <v>0</v>
      </c>
      <c r="R1202" s="89"/>
    </row>
    <row r="1203" spans="1:18" ht="15">
      <c r="A1203" s="70">
        <v>49</v>
      </c>
      <c r="B1203" s="70"/>
      <c r="C1203" s="72" t="s">
        <v>977</v>
      </c>
      <c r="D1203" s="72" t="s">
        <v>775</v>
      </c>
      <c r="E1203" s="89">
        <v>0</v>
      </c>
      <c r="F1203" s="89" t="s">
        <v>254</v>
      </c>
      <c r="G1203" s="89">
        <v>0</v>
      </c>
      <c r="H1203" s="89" t="s">
        <v>254</v>
      </c>
      <c r="I1203" s="89">
        <v>0</v>
      </c>
      <c r="J1203" s="89">
        <v>0</v>
      </c>
      <c r="K1203" s="89" t="s">
        <v>254</v>
      </c>
      <c r="L1203" s="89" t="s">
        <v>254</v>
      </c>
      <c r="M1203" s="89">
        <v>0</v>
      </c>
      <c r="N1203" s="89" t="s">
        <v>254</v>
      </c>
      <c r="O1203" s="89">
        <v>0</v>
      </c>
      <c r="P1203" s="89">
        <v>0</v>
      </c>
      <c r="Q1203" s="89">
        <v>0</v>
      </c>
      <c r="R1203" s="89"/>
    </row>
    <row r="1204" spans="1:18" ht="15">
      <c r="A1204" s="70">
        <v>50</v>
      </c>
      <c r="B1204" s="70"/>
      <c r="C1204" s="72" t="s">
        <v>978</v>
      </c>
      <c r="D1204" s="72" t="s">
        <v>544</v>
      </c>
      <c r="E1204" s="89">
        <v>1</v>
      </c>
      <c r="F1204" s="89" t="s">
        <v>254</v>
      </c>
      <c r="G1204" s="89">
        <v>0</v>
      </c>
      <c r="H1204" s="89" t="s">
        <v>254</v>
      </c>
      <c r="I1204" s="89">
        <v>1</v>
      </c>
      <c r="J1204" s="89">
        <v>0</v>
      </c>
      <c r="K1204" s="89" t="s">
        <v>254</v>
      </c>
      <c r="L1204" s="89" t="s">
        <v>254</v>
      </c>
      <c r="M1204" s="89">
        <v>0</v>
      </c>
      <c r="N1204" s="89" t="s">
        <v>254</v>
      </c>
      <c r="O1204" s="89">
        <v>0</v>
      </c>
      <c r="P1204" s="89">
        <v>0</v>
      </c>
      <c r="Q1204" s="89">
        <v>0</v>
      </c>
      <c r="R1204" s="89"/>
    </row>
    <row r="1205" spans="1:18" ht="15">
      <c r="A1205" s="70" t="s">
        <v>254</v>
      </c>
      <c r="B1205" s="70"/>
      <c r="C1205" s="72" t="s">
        <v>254</v>
      </c>
      <c r="D1205" s="72" t="s">
        <v>254</v>
      </c>
      <c r="E1205" s="89" t="s">
        <v>254</v>
      </c>
      <c r="F1205" s="89" t="s">
        <v>254</v>
      </c>
      <c r="G1205" s="89" t="s">
        <v>254</v>
      </c>
      <c r="H1205" s="89" t="s">
        <v>254</v>
      </c>
      <c r="I1205" s="89" t="s">
        <v>254</v>
      </c>
      <c r="J1205" s="89" t="s">
        <v>254</v>
      </c>
      <c r="K1205" s="89" t="s">
        <v>254</v>
      </c>
      <c r="L1205" s="89" t="s">
        <v>254</v>
      </c>
      <c r="M1205" s="89" t="s">
        <v>254</v>
      </c>
      <c r="N1205" s="89" t="s">
        <v>254</v>
      </c>
      <c r="O1205" s="89" t="s">
        <v>254</v>
      </c>
      <c r="P1205" s="89" t="s">
        <v>254</v>
      </c>
      <c r="Q1205" s="89" t="s">
        <v>254</v>
      </c>
      <c r="R1205" s="89"/>
    </row>
    <row r="1206" spans="1:18" ht="15">
      <c r="A1206" s="70" t="s">
        <v>254</v>
      </c>
      <c r="B1206" s="70"/>
      <c r="C1206" s="72" t="s">
        <v>254</v>
      </c>
      <c r="D1206" s="72" t="s">
        <v>254</v>
      </c>
      <c r="E1206" s="89" t="s">
        <v>254</v>
      </c>
      <c r="F1206" s="89" t="s">
        <v>254</v>
      </c>
      <c r="G1206" s="89" t="s">
        <v>254</v>
      </c>
      <c r="H1206" s="89" t="s">
        <v>254</v>
      </c>
      <c r="I1206" s="89" t="s">
        <v>254</v>
      </c>
      <c r="J1206" s="89" t="s">
        <v>254</v>
      </c>
      <c r="K1206" s="89" t="s">
        <v>254</v>
      </c>
      <c r="L1206" s="89" t="s">
        <v>254</v>
      </c>
      <c r="M1206" s="89" t="s">
        <v>254</v>
      </c>
      <c r="N1206" s="89" t="s">
        <v>254</v>
      </c>
      <c r="O1206" s="89" t="s">
        <v>254</v>
      </c>
      <c r="P1206" s="89" t="s">
        <v>254</v>
      </c>
      <c r="Q1206" s="89" t="s">
        <v>254</v>
      </c>
      <c r="R1206" s="89"/>
    </row>
    <row r="1207" spans="1:18" ht="15">
      <c r="A1207" s="70" t="s">
        <v>254</v>
      </c>
      <c r="B1207" s="70"/>
      <c r="C1207" s="72" t="s">
        <v>498</v>
      </c>
      <c r="D1207" s="72" t="s">
        <v>254</v>
      </c>
      <c r="E1207" s="89" t="s">
        <v>254</v>
      </c>
      <c r="F1207" s="89" t="s">
        <v>254</v>
      </c>
      <c r="G1207" s="89" t="s">
        <v>254</v>
      </c>
      <c r="H1207" s="89" t="s">
        <v>254</v>
      </c>
      <c r="I1207" s="89" t="s">
        <v>254</v>
      </c>
      <c r="J1207" s="89" t="s">
        <v>254</v>
      </c>
      <c r="K1207" s="89" t="s">
        <v>254</v>
      </c>
      <c r="L1207" s="89" t="s">
        <v>254</v>
      </c>
      <c r="M1207" s="89" t="s">
        <v>254</v>
      </c>
      <c r="N1207" s="89" t="s">
        <v>254</v>
      </c>
      <c r="O1207" s="89" t="s">
        <v>254</v>
      </c>
      <c r="P1207" s="89" t="s">
        <v>254</v>
      </c>
      <c r="Q1207" s="89" t="s">
        <v>254</v>
      </c>
      <c r="R1207" s="89"/>
    </row>
    <row r="1208" spans="1:18" ht="15">
      <c r="A1208" s="70" t="s">
        <v>254</v>
      </c>
      <c r="B1208" s="70"/>
      <c r="C1208" s="72" t="s">
        <v>925</v>
      </c>
      <c r="D1208" s="72" t="s">
        <v>254</v>
      </c>
      <c r="E1208" s="89" t="s">
        <v>254</v>
      </c>
      <c r="F1208" s="89" t="s">
        <v>254</v>
      </c>
      <c r="G1208" s="89" t="s">
        <v>254</v>
      </c>
      <c r="H1208" s="89" t="s">
        <v>254</v>
      </c>
      <c r="I1208" s="89" t="s">
        <v>254</v>
      </c>
      <c r="J1208" s="89" t="s">
        <v>254</v>
      </c>
      <c r="K1208" s="89" t="s">
        <v>254</v>
      </c>
      <c r="L1208" s="89" t="s">
        <v>254</v>
      </c>
      <c r="M1208" s="89" t="s">
        <v>254</v>
      </c>
      <c r="N1208" s="89" t="s">
        <v>254</v>
      </c>
      <c r="O1208" s="89" t="s">
        <v>254</v>
      </c>
      <c r="P1208" s="89" t="s">
        <v>254</v>
      </c>
      <c r="Q1208" s="89" t="s">
        <v>254</v>
      </c>
      <c r="R1208" s="89"/>
    </row>
    <row r="1209" spans="1:18" ht="15">
      <c r="A1209" s="70">
        <v>1</v>
      </c>
      <c r="B1209" s="70"/>
      <c r="C1209" s="72" t="s">
        <v>979</v>
      </c>
      <c r="D1209" s="72" t="s">
        <v>498</v>
      </c>
      <c r="E1209" s="89">
        <v>0.99999999999999989</v>
      </c>
      <c r="F1209" s="89" t="s">
        <v>254</v>
      </c>
      <c r="G1209" s="89">
        <v>0.87938242823882584</v>
      </c>
      <c r="H1209" s="89" t="s">
        <v>254</v>
      </c>
      <c r="I1209" s="89">
        <v>3.645521737695509E-2</v>
      </c>
      <c r="J1209" s="89">
        <v>8.4162354384218929E-2</v>
      </c>
      <c r="K1209" s="89" t="s">
        <v>254</v>
      </c>
      <c r="L1209" s="89" t="s">
        <v>254</v>
      </c>
      <c r="M1209" s="89">
        <v>4.2409014282972137E-6</v>
      </c>
      <c r="N1209" s="89" t="s">
        <v>254</v>
      </c>
      <c r="O1209" s="89">
        <v>8.4158113482790634E-2</v>
      </c>
      <c r="P1209" s="89">
        <v>2.6595092457872348E-2</v>
      </c>
      <c r="Q1209" s="89">
        <v>5.7563021024918289E-2</v>
      </c>
      <c r="R1209" s="89"/>
    </row>
    <row r="1210" spans="1:18" ht="15">
      <c r="A1210" s="70">
        <v>2</v>
      </c>
      <c r="B1210" s="70"/>
      <c r="C1210" s="72" t="s">
        <v>980</v>
      </c>
      <c r="D1210" s="72" t="s">
        <v>744</v>
      </c>
      <c r="E1210" s="89">
        <v>1</v>
      </c>
      <c r="F1210" s="89" t="s">
        <v>254</v>
      </c>
      <c r="G1210" s="89">
        <v>0.96019022626598516</v>
      </c>
      <c r="H1210" s="89" t="s">
        <v>254</v>
      </c>
      <c r="I1210" s="89">
        <v>3.9805143129659715E-2</v>
      </c>
      <c r="J1210" s="89">
        <v>4.6306043551083253E-6</v>
      </c>
      <c r="K1210" s="89" t="s">
        <v>254</v>
      </c>
      <c r="L1210" s="89" t="s">
        <v>254</v>
      </c>
      <c r="M1210" s="89">
        <v>4.6306043551083253E-6</v>
      </c>
      <c r="N1210" s="89" t="s">
        <v>254</v>
      </c>
      <c r="O1210" s="89">
        <v>0</v>
      </c>
      <c r="P1210" s="89">
        <v>0</v>
      </c>
      <c r="Q1210" s="89">
        <v>0</v>
      </c>
      <c r="R1210" s="89"/>
    </row>
    <row r="1211" spans="1:18" ht="15">
      <c r="A1211" s="70">
        <v>3</v>
      </c>
      <c r="B1211" s="70"/>
      <c r="C1211" s="72" t="s">
        <v>254</v>
      </c>
      <c r="D1211" s="72" t="s">
        <v>254</v>
      </c>
      <c r="E1211" s="89" t="s">
        <v>254</v>
      </c>
      <c r="F1211" s="89" t="s">
        <v>254</v>
      </c>
      <c r="G1211" s="89" t="s">
        <v>254</v>
      </c>
      <c r="H1211" s="89" t="s">
        <v>254</v>
      </c>
      <c r="I1211" s="89" t="s">
        <v>254</v>
      </c>
      <c r="J1211" s="89" t="s">
        <v>254</v>
      </c>
      <c r="K1211" s="89" t="s">
        <v>254</v>
      </c>
      <c r="L1211" s="89" t="s">
        <v>254</v>
      </c>
      <c r="M1211" s="89" t="s">
        <v>254</v>
      </c>
      <c r="N1211" s="89" t="s">
        <v>254</v>
      </c>
      <c r="O1211" s="89" t="s">
        <v>254</v>
      </c>
      <c r="P1211" s="89" t="s">
        <v>254</v>
      </c>
      <c r="Q1211" s="89" t="s">
        <v>254</v>
      </c>
      <c r="R1211" s="89"/>
    </row>
    <row r="1212" spans="1:18" ht="15">
      <c r="A1212" s="70">
        <v>4</v>
      </c>
      <c r="B1212" s="70"/>
      <c r="C1212" s="72" t="s">
        <v>254</v>
      </c>
      <c r="D1212" s="72" t="s">
        <v>254</v>
      </c>
      <c r="E1212" s="89" t="s">
        <v>254</v>
      </c>
      <c r="F1212" s="89" t="s">
        <v>254</v>
      </c>
      <c r="G1212" s="89" t="s">
        <v>254</v>
      </c>
      <c r="H1212" s="89" t="s">
        <v>254</v>
      </c>
      <c r="I1212" s="89" t="s">
        <v>254</v>
      </c>
      <c r="J1212" s="89" t="s">
        <v>254</v>
      </c>
      <c r="K1212" s="89" t="s">
        <v>254</v>
      </c>
      <c r="L1212" s="89" t="s">
        <v>254</v>
      </c>
      <c r="M1212" s="89" t="s">
        <v>254</v>
      </c>
      <c r="N1212" s="89" t="s">
        <v>254</v>
      </c>
      <c r="O1212" s="89" t="s">
        <v>254</v>
      </c>
      <c r="P1212" s="89" t="s">
        <v>254</v>
      </c>
      <c r="Q1212" s="89" t="s">
        <v>254</v>
      </c>
      <c r="R1212" s="89"/>
    </row>
    <row r="1213" spans="1:18" ht="15">
      <c r="A1213" s="70" t="s">
        <v>254</v>
      </c>
      <c r="B1213" s="70"/>
      <c r="C1213" s="72" t="s">
        <v>254</v>
      </c>
      <c r="D1213" s="72" t="s">
        <v>254</v>
      </c>
      <c r="E1213" s="89" t="s">
        <v>254</v>
      </c>
      <c r="F1213" s="89" t="s">
        <v>254</v>
      </c>
      <c r="G1213" s="89" t="s">
        <v>254</v>
      </c>
      <c r="H1213" s="89" t="s">
        <v>254</v>
      </c>
      <c r="I1213" s="89" t="s">
        <v>254</v>
      </c>
      <c r="J1213" s="89" t="s">
        <v>254</v>
      </c>
      <c r="K1213" s="89" t="s">
        <v>254</v>
      </c>
      <c r="L1213" s="89" t="s">
        <v>254</v>
      </c>
      <c r="M1213" s="89" t="s">
        <v>254</v>
      </c>
      <c r="N1213" s="89" t="s">
        <v>254</v>
      </c>
      <c r="O1213" s="89" t="s">
        <v>254</v>
      </c>
      <c r="P1213" s="89" t="s">
        <v>254</v>
      </c>
      <c r="Q1213" s="89" t="s">
        <v>254</v>
      </c>
      <c r="R1213" s="89"/>
    </row>
    <row r="1214" spans="1:18" ht="15">
      <c r="A1214" s="70" t="s">
        <v>254</v>
      </c>
      <c r="B1214" s="70"/>
      <c r="C1214" s="72" t="s">
        <v>981</v>
      </c>
      <c r="D1214" s="72" t="s">
        <v>254</v>
      </c>
      <c r="E1214" s="89" t="s">
        <v>254</v>
      </c>
      <c r="F1214" s="89" t="s">
        <v>254</v>
      </c>
      <c r="G1214" s="89" t="s">
        <v>254</v>
      </c>
      <c r="H1214" s="89" t="s">
        <v>254</v>
      </c>
      <c r="I1214" s="89" t="s">
        <v>254</v>
      </c>
      <c r="J1214" s="89" t="s">
        <v>254</v>
      </c>
      <c r="K1214" s="89" t="s">
        <v>254</v>
      </c>
      <c r="L1214" s="89" t="s">
        <v>254</v>
      </c>
      <c r="M1214" s="89" t="s">
        <v>254</v>
      </c>
      <c r="N1214" s="89" t="s">
        <v>254</v>
      </c>
      <c r="O1214" s="89" t="s">
        <v>254</v>
      </c>
      <c r="P1214" s="89" t="s">
        <v>254</v>
      </c>
      <c r="Q1214" s="89" t="s">
        <v>254</v>
      </c>
      <c r="R1214" s="89"/>
    </row>
    <row r="1215" spans="1:18" ht="15">
      <c r="A1215" s="70" t="s">
        <v>254</v>
      </c>
      <c r="B1215" s="70"/>
      <c r="C1215" s="72" t="s">
        <v>925</v>
      </c>
      <c r="D1215" s="72" t="s">
        <v>254</v>
      </c>
      <c r="E1215" s="89" t="s">
        <v>254</v>
      </c>
      <c r="F1215" s="89" t="s">
        <v>254</v>
      </c>
      <c r="G1215" s="89" t="s">
        <v>254</v>
      </c>
      <c r="H1215" s="89" t="s">
        <v>254</v>
      </c>
      <c r="I1215" s="89" t="s">
        <v>254</v>
      </c>
      <c r="J1215" s="89" t="s">
        <v>254</v>
      </c>
      <c r="K1215" s="89" t="s">
        <v>254</v>
      </c>
      <c r="L1215" s="89" t="s">
        <v>254</v>
      </c>
      <c r="M1215" s="89" t="s">
        <v>254</v>
      </c>
      <c r="N1215" s="89" t="s">
        <v>254</v>
      </c>
      <c r="O1215" s="89" t="s">
        <v>254</v>
      </c>
      <c r="P1215" s="89" t="s">
        <v>254</v>
      </c>
      <c r="Q1215" s="89" t="s">
        <v>254</v>
      </c>
      <c r="R1215" s="89"/>
    </row>
    <row r="1216" spans="1:18" ht="15">
      <c r="A1216" s="70">
        <v>1</v>
      </c>
      <c r="B1216" s="70"/>
      <c r="C1216" s="72" t="s">
        <v>1154</v>
      </c>
      <c r="D1216" s="72" t="s">
        <v>384</v>
      </c>
      <c r="E1216" s="89">
        <v>1</v>
      </c>
      <c r="F1216" s="89" t="s">
        <v>254</v>
      </c>
      <c r="G1216" s="89">
        <v>1</v>
      </c>
      <c r="H1216" s="89" t="s">
        <v>254</v>
      </c>
      <c r="I1216" s="89">
        <v>0</v>
      </c>
      <c r="J1216" s="89">
        <v>0</v>
      </c>
      <c r="K1216" s="89" t="s">
        <v>254</v>
      </c>
      <c r="L1216" s="89" t="s">
        <v>254</v>
      </c>
      <c r="M1216" s="89">
        <v>0</v>
      </c>
      <c r="N1216" s="89" t="s">
        <v>254</v>
      </c>
      <c r="O1216" s="89">
        <v>0</v>
      </c>
      <c r="P1216" s="89">
        <v>0</v>
      </c>
      <c r="Q1216" s="89">
        <v>0</v>
      </c>
      <c r="R1216" s="89"/>
    </row>
    <row r="1217" spans="1:18" ht="15">
      <c r="A1217" s="70">
        <v>2</v>
      </c>
      <c r="B1217" s="70"/>
      <c r="C1217" s="72" t="s">
        <v>1155</v>
      </c>
      <c r="D1217" s="72" t="s">
        <v>386</v>
      </c>
      <c r="E1217" s="89">
        <v>1</v>
      </c>
      <c r="F1217" s="89" t="s">
        <v>254</v>
      </c>
      <c r="G1217" s="89">
        <v>0.9956636515730628</v>
      </c>
      <c r="H1217" s="89" t="s">
        <v>254</v>
      </c>
      <c r="I1217" s="89">
        <v>0</v>
      </c>
      <c r="J1217" s="89">
        <v>4.3363484269371829E-3</v>
      </c>
      <c r="K1217" s="89" t="s">
        <v>254</v>
      </c>
      <c r="L1217" s="89" t="s">
        <v>254</v>
      </c>
      <c r="M1217" s="89">
        <v>0</v>
      </c>
      <c r="N1217" s="89" t="s">
        <v>254</v>
      </c>
      <c r="O1217" s="89">
        <v>4.3363484269371829E-3</v>
      </c>
      <c r="P1217" s="89">
        <v>7.5774008759644758E-4</v>
      </c>
      <c r="Q1217" s="89">
        <v>3.5786083393407352E-3</v>
      </c>
      <c r="R1217" s="89"/>
    </row>
    <row r="1218" spans="1:18" ht="15">
      <c r="A1218" s="70">
        <v>3</v>
      </c>
      <c r="B1218" s="70"/>
      <c r="C1218" s="72" t="s">
        <v>1156</v>
      </c>
      <c r="D1218" s="72" t="s">
        <v>388</v>
      </c>
      <c r="E1218" s="89">
        <v>1</v>
      </c>
      <c r="F1218" s="89" t="s">
        <v>254</v>
      </c>
      <c r="G1218" s="89">
        <v>1</v>
      </c>
      <c r="H1218" s="89" t="s">
        <v>254</v>
      </c>
      <c r="I1218" s="89">
        <v>0</v>
      </c>
      <c r="J1218" s="89">
        <v>0</v>
      </c>
      <c r="K1218" s="89" t="s">
        <v>254</v>
      </c>
      <c r="L1218" s="89" t="s">
        <v>254</v>
      </c>
      <c r="M1218" s="89">
        <v>0</v>
      </c>
      <c r="N1218" s="89" t="s">
        <v>254</v>
      </c>
      <c r="O1218" s="89">
        <v>0</v>
      </c>
      <c r="P1218" s="89">
        <v>0</v>
      </c>
      <c r="Q1218" s="89">
        <v>0</v>
      </c>
      <c r="R1218" s="89"/>
    </row>
    <row r="1219" spans="1:18" ht="15">
      <c r="A1219" s="70">
        <v>4</v>
      </c>
      <c r="B1219" s="70"/>
      <c r="C1219" s="72" t="s">
        <v>1157</v>
      </c>
      <c r="D1219" s="72" t="s">
        <v>390</v>
      </c>
      <c r="E1219" s="89">
        <v>1</v>
      </c>
      <c r="F1219" s="89" t="s">
        <v>254</v>
      </c>
      <c r="G1219" s="89">
        <v>1</v>
      </c>
      <c r="H1219" s="89" t="s">
        <v>254</v>
      </c>
      <c r="I1219" s="89">
        <v>0</v>
      </c>
      <c r="J1219" s="89">
        <v>0</v>
      </c>
      <c r="K1219" s="89" t="s">
        <v>254</v>
      </c>
      <c r="L1219" s="89" t="s">
        <v>254</v>
      </c>
      <c r="M1219" s="89">
        <v>0</v>
      </c>
      <c r="N1219" s="89" t="s">
        <v>254</v>
      </c>
      <c r="O1219" s="89">
        <v>0</v>
      </c>
      <c r="P1219" s="89">
        <v>0</v>
      </c>
      <c r="Q1219" s="89">
        <v>0</v>
      </c>
      <c r="R1219" s="89"/>
    </row>
    <row r="1220" spans="1:18" ht="15">
      <c r="A1220" s="70">
        <v>5</v>
      </c>
      <c r="B1220" s="70"/>
      <c r="C1220" s="72" t="s">
        <v>539</v>
      </c>
      <c r="D1220" s="72" t="s">
        <v>540</v>
      </c>
      <c r="E1220" s="89">
        <v>1</v>
      </c>
      <c r="F1220" s="89" t="s">
        <v>254</v>
      </c>
      <c r="G1220" s="89">
        <v>0.9830612018582785</v>
      </c>
      <c r="H1220" s="89" t="s">
        <v>254</v>
      </c>
      <c r="I1220" s="89">
        <v>1.6938798141721566E-2</v>
      </c>
      <c r="J1220" s="89">
        <v>0</v>
      </c>
      <c r="K1220" s="89" t="s">
        <v>254</v>
      </c>
      <c r="L1220" s="89" t="s">
        <v>254</v>
      </c>
      <c r="M1220" s="89">
        <v>0</v>
      </c>
      <c r="N1220" s="89" t="s">
        <v>254</v>
      </c>
      <c r="O1220" s="89">
        <v>0</v>
      </c>
      <c r="P1220" s="89">
        <v>0</v>
      </c>
      <c r="Q1220" s="89">
        <v>0</v>
      </c>
      <c r="R1220" s="89"/>
    </row>
    <row r="1221" spans="1:18" ht="15">
      <c r="A1221" s="70">
        <v>6</v>
      </c>
      <c r="B1221" s="70"/>
      <c r="C1221" s="72" t="s">
        <v>986</v>
      </c>
      <c r="D1221" s="72" t="s">
        <v>542</v>
      </c>
      <c r="E1221" s="89">
        <v>1</v>
      </c>
      <c r="F1221" s="89" t="s">
        <v>254</v>
      </c>
      <c r="G1221" s="89">
        <v>0.95078746033281891</v>
      </c>
      <c r="H1221" s="89" t="s">
        <v>254</v>
      </c>
      <c r="I1221" s="89">
        <v>4.9238574982840733E-2</v>
      </c>
      <c r="J1221" s="89">
        <v>-2.603531565961167E-5</v>
      </c>
      <c r="K1221" s="89" t="s">
        <v>254</v>
      </c>
      <c r="L1221" s="89" t="s">
        <v>254</v>
      </c>
      <c r="M1221" s="89">
        <v>0</v>
      </c>
      <c r="N1221" s="89" t="s">
        <v>254</v>
      </c>
      <c r="O1221" s="89">
        <v>-2.603531565961167E-5</v>
      </c>
      <c r="P1221" s="89">
        <v>-2.603531565961167E-5</v>
      </c>
      <c r="Q1221" s="89">
        <v>0</v>
      </c>
      <c r="R1221" s="89"/>
    </row>
    <row r="1222" spans="1:18" ht="15">
      <c r="A1222" s="70">
        <v>7</v>
      </c>
      <c r="B1222" s="70"/>
      <c r="C1222" s="72" t="s">
        <v>987</v>
      </c>
      <c r="D1222" s="72" t="s">
        <v>691</v>
      </c>
      <c r="E1222" s="89">
        <v>0.99999999999999989</v>
      </c>
      <c r="F1222" s="89" t="s">
        <v>254</v>
      </c>
      <c r="G1222" s="89">
        <v>0.9487830986733472</v>
      </c>
      <c r="H1222" s="89" t="s">
        <v>254</v>
      </c>
      <c r="I1222" s="89">
        <v>5.0040851560344816E-2</v>
      </c>
      <c r="J1222" s="89">
        <v>1.1760497663079561E-3</v>
      </c>
      <c r="K1222" s="89" t="s">
        <v>254</v>
      </c>
      <c r="L1222" s="89" t="s">
        <v>254</v>
      </c>
      <c r="M1222" s="89">
        <v>7.9195270458448229E-6</v>
      </c>
      <c r="N1222" s="89" t="s">
        <v>254</v>
      </c>
      <c r="O1222" s="89">
        <v>1.1681302392621113E-3</v>
      </c>
      <c r="P1222" s="89">
        <v>6.0584381900712894E-4</v>
      </c>
      <c r="Q1222" s="89">
        <v>5.6228642025498235E-4</v>
      </c>
      <c r="R1222" s="89"/>
    </row>
    <row r="1223" spans="1:18" ht="15">
      <c r="A1223" s="70">
        <v>8</v>
      </c>
      <c r="B1223" s="70"/>
      <c r="C1223" s="72" t="s">
        <v>988</v>
      </c>
      <c r="D1223" s="72" t="s">
        <v>693</v>
      </c>
      <c r="E1223" s="89">
        <v>0.99999999999999989</v>
      </c>
      <c r="F1223" s="89" t="s">
        <v>254</v>
      </c>
      <c r="G1223" s="89">
        <v>0.9487830986733472</v>
      </c>
      <c r="H1223" s="89" t="s">
        <v>254</v>
      </c>
      <c r="I1223" s="89">
        <v>5.0040851560344816E-2</v>
      </c>
      <c r="J1223" s="89">
        <v>1.1760497663079561E-3</v>
      </c>
      <c r="K1223" s="89" t="s">
        <v>254</v>
      </c>
      <c r="L1223" s="89" t="s">
        <v>254</v>
      </c>
      <c r="M1223" s="89">
        <v>7.9195270458448229E-6</v>
      </c>
      <c r="N1223" s="89" t="s">
        <v>254</v>
      </c>
      <c r="O1223" s="89">
        <v>1.1681302392621113E-3</v>
      </c>
      <c r="P1223" s="89">
        <v>6.0584381900712894E-4</v>
      </c>
      <c r="Q1223" s="89">
        <v>5.6228642025498235E-4</v>
      </c>
      <c r="R1223" s="89"/>
    </row>
    <row r="1224" spans="1:18" ht="15">
      <c r="A1224" s="70">
        <v>9</v>
      </c>
      <c r="B1224" s="70"/>
      <c r="C1224" s="72" t="s">
        <v>989</v>
      </c>
      <c r="D1224" s="72" t="s">
        <v>695</v>
      </c>
      <c r="E1224" s="89">
        <v>0.99999999999999989</v>
      </c>
      <c r="F1224" s="89" t="s">
        <v>254</v>
      </c>
      <c r="G1224" s="89">
        <v>0.9487830986733472</v>
      </c>
      <c r="H1224" s="89" t="s">
        <v>254</v>
      </c>
      <c r="I1224" s="89">
        <v>5.0040851560344816E-2</v>
      </c>
      <c r="J1224" s="89">
        <v>1.1760497663079561E-3</v>
      </c>
      <c r="K1224" s="89" t="s">
        <v>254</v>
      </c>
      <c r="L1224" s="89" t="s">
        <v>254</v>
      </c>
      <c r="M1224" s="89">
        <v>7.9195270458448229E-6</v>
      </c>
      <c r="N1224" s="89" t="s">
        <v>254</v>
      </c>
      <c r="O1224" s="89">
        <v>1.1681302392621113E-3</v>
      </c>
      <c r="P1224" s="89">
        <v>6.0584381900712894E-4</v>
      </c>
      <c r="Q1224" s="89">
        <v>5.6228642025498235E-4</v>
      </c>
      <c r="R1224" s="89"/>
    </row>
    <row r="1225" spans="1:18" ht="15">
      <c r="A1225" s="70">
        <v>10</v>
      </c>
      <c r="B1225" s="70"/>
      <c r="C1225" s="72" t="s">
        <v>990</v>
      </c>
      <c r="D1225" s="72" t="s">
        <v>403</v>
      </c>
      <c r="E1225" s="89">
        <v>1</v>
      </c>
      <c r="F1225" s="89" t="s">
        <v>254</v>
      </c>
      <c r="G1225" s="89">
        <v>0</v>
      </c>
      <c r="H1225" s="89" t="s">
        <v>254</v>
      </c>
      <c r="I1225" s="89">
        <v>1</v>
      </c>
      <c r="J1225" s="89">
        <v>0</v>
      </c>
      <c r="K1225" s="89" t="s">
        <v>254</v>
      </c>
      <c r="L1225" s="89" t="s">
        <v>254</v>
      </c>
      <c r="M1225" s="89">
        <v>0</v>
      </c>
      <c r="N1225" s="89" t="s">
        <v>254</v>
      </c>
      <c r="O1225" s="89">
        <v>0</v>
      </c>
      <c r="P1225" s="89">
        <v>0</v>
      </c>
      <c r="Q1225" s="89">
        <v>0</v>
      </c>
      <c r="R1225" s="89"/>
    </row>
    <row r="1226" spans="1:18" ht="15">
      <c r="A1226" s="70">
        <v>11</v>
      </c>
      <c r="B1226" s="70"/>
      <c r="C1226" s="72" t="s">
        <v>991</v>
      </c>
      <c r="D1226" s="72" t="s">
        <v>404</v>
      </c>
      <c r="E1226" s="89">
        <v>1</v>
      </c>
      <c r="F1226" s="89" t="s">
        <v>254</v>
      </c>
      <c r="G1226" s="89">
        <v>0</v>
      </c>
      <c r="H1226" s="89" t="s">
        <v>254</v>
      </c>
      <c r="I1226" s="89">
        <v>1</v>
      </c>
      <c r="J1226" s="89">
        <v>0</v>
      </c>
      <c r="K1226" s="89" t="s">
        <v>254</v>
      </c>
      <c r="L1226" s="89" t="s">
        <v>254</v>
      </c>
      <c r="M1226" s="89">
        <v>0</v>
      </c>
      <c r="N1226" s="89" t="s">
        <v>254</v>
      </c>
      <c r="O1226" s="89">
        <v>0</v>
      </c>
      <c r="P1226" s="89">
        <v>0</v>
      </c>
      <c r="Q1226" s="89">
        <v>0</v>
      </c>
      <c r="R1226" s="89"/>
    </row>
    <row r="1227" spans="1:18" ht="15">
      <c r="A1227" s="70">
        <v>12</v>
      </c>
      <c r="B1227" s="70"/>
      <c r="C1227" s="72" t="s">
        <v>1158</v>
      </c>
      <c r="D1227" s="72" t="s">
        <v>405</v>
      </c>
      <c r="E1227" s="89">
        <v>0</v>
      </c>
      <c r="F1227" s="89" t="s">
        <v>254</v>
      </c>
      <c r="G1227" s="89">
        <v>0</v>
      </c>
      <c r="H1227" s="89" t="s">
        <v>254</v>
      </c>
      <c r="I1227" s="89">
        <v>0</v>
      </c>
      <c r="J1227" s="89">
        <v>0</v>
      </c>
      <c r="K1227" s="89" t="s">
        <v>254</v>
      </c>
      <c r="L1227" s="89" t="s">
        <v>254</v>
      </c>
      <c r="M1227" s="89">
        <v>0</v>
      </c>
      <c r="N1227" s="89" t="s">
        <v>254</v>
      </c>
      <c r="O1227" s="89">
        <v>0</v>
      </c>
      <c r="P1227" s="89">
        <v>0</v>
      </c>
      <c r="Q1227" s="89">
        <v>0</v>
      </c>
      <c r="R1227" s="89"/>
    </row>
    <row r="1228" spans="1:18" ht="15">
      <c r="A1228" s="70">
        <v>13</v>
      </c>
      <c r="B1228" s="70"/>
      <c r="C1228" s="72" t="s">
        <v>993</v>
      </c>
      <c r="D1228" s="72" t="s">
        <v>406</v>
      </c>
      <c r="E1228" s="89">
        <v>1</v>
      </c>
      <c r="F1228" s="89" t="s">
        <v>254</v>
      </c>
      <c r="G1228" s="89">
        <v>0</v>
      </c>
      <c r="H1228" s="89" t="s">
        <v>254</v>
      </c>
      <c r="I1228" s="89">
        <v>1</v>
      </c>
      <c r="J1228" s="89">
        <v>0</v>
      </c>
      <c r="K1228" s="89" t="s">
        <v>254</v>
      </c>
      <c r="L1228" s="89" t="s">
        <v>254</v>
      </c>
      <c r="M1228" s="89">
        <v>0</v>
      </c>
      <c r="N1228" s="89" t="s">
        <v>254</v>
      </c>
      <c r="O1228" s="89">
        <v>0</v>
      </c>
      <c r="P1228" s="89">
        <v>0</v>
      </c>
      <c r="Q1228" s="89">
        <v>0</v>
      </c>
      <c r="R1228" s="89"/>
    </row>
    <row r="1229" spans="1:18" ht="15">
      <c r="A1229" s="70">
        <v>14</v>
      </c>
      <c r="B1229" s="70"/>
      <c r="C1229" s="72" t="s">
        <v>994</v>
      </c>
      <c r="D1229" s="72" t="s">
        <v>703</v>
      </c>
      <c r="E1229" s="89">
        <v>1</v>
      </c>
      <c r="F1229" s="89" t="s">
        <v>254</v>
      </c>
      <c r="G1229" s="89">
        <v>1</v>
      </c>
      <c r="H1229" s="89" t="s">
        <v>254</v>
      </c>
      <c r="I1229" s="89">
        <v>0</v>
      </c>
      <c r="J1229" s="89">
        <v>0</v>
      </c>
      <c r="K1229" s="89" t="s">
        <v>254</v>
      </c>
      <c r="L1229" s="89" t="s">
        <v>254</v>
      </c>
      <c r="M1229" s="89">
        <v>0</v>
      </c>
      <c r="N1229" s="89" t="s">
        <v>254</v>
      </c>
      <c r="O1229" s="89">
        <v>0</v>
      </c>
      <c r="P1229" s="89">
        <v>0</v>
      </c>
      <c r="Q1229" s="89">
        <v>0</v>
      </c>
      <c r="R1229" s="89"/>
    </row>
    <row r="1230" spans="1:18" ht="15">
      <c r="A1230" s="70">
        <v>15</v>
      </c>
      <c r="B1230" s="70"/>
      <c r="C1230" s="72" t="s">
        <v>995</v>
      </c>
      <c r="D1230" s="72" t="s">
        <v>705</v>
      </c>
      <c r="E1230" s="89">
        <v>1</v>
      </c>
      <c r="F1230" s="89" t="s">
        <v>254</v>
      </c>
      <c r="G1230" s="89">
        <v>0.94815391805577198</v>
      </c>
      <c r="H1230" s="89" t="s">
        <v>254</v>
      </c>
      <c r="I1230" s="89">
        <v>5.1838750767482566E-2</v>
      </c>
      <c r="J1230" s="89">
        <v>7.3311767455073634E-6</v>
      </c>
      <c r="K1230" s="89" t="s">
        <v>254</v>
      </c>
      <c r="L1230" s="89" t="s">
        <v>254</v>
      </c>
      <c r="M1230" s="89">
        <v>7.3311767455073634E-6</v>
      </c>
      <c r="N1230" s="89" t="s">
        <v>254</v>
      </c>
      <c r="O1230" s="89">
        <v>0</v>
      </c>
      <c r="P1230" s="89">
        <v>0</v>
      </c>
      <c r="Q1230" s="89">
        <v>0</v>
      </c>
      <c r="R1230" s="89"/>
    </row>
    <row r="1231" spans="1:18" ht="15">
      <c r="A1231" s="70">
        <v>16</v>
      </c>
      <c r="B1231" s="70"/>
      <c r="C1231" s="72" t="s">
        <v>996</v>
      </c>
      <c r="D1231" s="72" t="s">
        <v>712</v>
      </c>
      <c r="E1231" s="89">
        <v>1</v>
      </c>
      <c r="F1231" s="89" t="s">
        <v>254</v>
      </c>
      <c r="G1231" s="89">
        <v>0.94815391805577198</v>
      </c>
      <c r="H1231" s="89" t="s">
        <v>254</v>
      </c>
      <c r="I1231" s="89">
        <v>5.1838750767482566E-2</v>
      </c>
      <c r="J1231" s="89">
        <v>7.3311767455073634E-6</v>
      </c>
      <c r="K1231" s="89" t="s">
        <v>254</v>
      </c>
      <c r="L1231" s="89" t="s">
        <v>254</v>
      </c>
      <c r="M1231" s="89">
        <v>7.3311767455073634E-6</v>
      </c>
      <c r="N1231" s="89" t="s">
        <v>254</v>
      </c>
      <c r="O1231" s="89">
        <v>0</v>
      </c>
      <c r="P1231" s="89">
        <v>0</v>
      </c>
      <c r="Q1231" s="89">
        <v>0</v>
      </c>
      <c r="R1231" s="89"/>
    </row>
    <row r="1232" spans="1:18" ht="15">
      <c r="A1232" s="70">
        <v>17</v>
      </c>
      <c r="B1232" s="70"/>
      <c r="C1232" s="72" t="s">
        <v>997</v>
      </c>
      <c r="D1232" s="72" t="s">
        <v>714</v>
      </c>
      <c r="E1232" s="89">
        <v>1</v>
      </c>
      <c r="F1232" s="89" t="s">
        <v>254</v>
      </c>
      <c r="G1232" s="89">
        <v>0.94815391805577198</v>
      </c>
      <c r="H1232" s="89" t="s">
        <v>254</v>
      </c>
      <c r="I1232" s="89">
        <v>5.1838750767482566E-2</v>
      </c>
      <c r="J1232" s="89">
        <v>7.3311767455073634E-6</v>
      </c>
      <c r="K1232" s="89" t="s">
        <v>254</v>
      </c>
      <c r="L1232" s="89" t="s">
        <v>254</v>
      </c>
      <c r="M1232" s="89">
        <v>7.3311767455073634E-6</v>
      </c>
      <c r="N1232" s="89" t="s">
        <v>254</v>
      </c>
      <c r="O1232" s="89">
        <v>0</v>
      </c>
      <c r="P1232" s="89">
        <v>0</v>
      </c>
      <c r="Q1232" s="89">
        <v>0</v>
      </c>
      <c r="R1232" s="89"/>
    </row>
    <row r="1233" spans="1:18" ht="15">
      <c r="A1233" s="70">
        <v>18</v>
      </c>
      <c r="B1233" s="70"/>
      <c r="C1233" s="72" t="s">
        <v>998</v>
      </c>
      <c r="D1233" s="72" t="s">
        <v>999</v>
      </c>
      <c r="E1233" s="89">
        <v>0</v>
      </c>
      <c r="F1233" s="89" t="s">
        <v>254</v>
      </c>
      <c r="G1233" s="89">
        <v>0</v>
      </c>
      <c r="H1233" s="89" t="s">
        <v>254</v>
      </c>
      <c r="I1233" s="89">
        <v>0</v>
      </c>
      <c r="J1233" s="89">
        <v>0</v>
      </c>
      <c r="K1233" s="89" t="s">
        <v>254</v>
      </c>
      <c r="L1233" s="89" t="s">
        <v>254</v>
      </c>
      <c r="M1233" s="89">
        <v>0</v>
      </c>
      <c r="N1233" s="89" t="s">
        <v>254</v>
      </c>
      <c r="O1233" s="89">
        <v>0</v>
      </c>
      <c r="P1233" s="89">
        <v>0</v>
      </c>
      <c r="Q1233" s="89">
        <v>0</v>
      </c>
      <c r="R1233" s="89"/>
    </row>
    <row r="1234" spans="1:18" ht="15">
      <c r="A1234" s="70">
        <v>19</v>
      </c>
      <c r="B1234" s="70"/>
      <c r="C1234" s="72" t="s">
        <v>1000</v>
      </c>
      <c r="D1234" s="72" t="s">
        <v>788</v>
      </c>
      <c r="E1234" s="89">
        <v>1</v>
      </c>
      <c r="F1234" s="89" t="s">
        <v>254</v>
      </c>
      <c r="G1234" s="89">
        <v>0.94709136179810138</v>
      </c>
      <c r="H1234" s="89" t="s">
        <v>254</v>
      </c>
      <c r="I1234" s="89">
        <v>5.2908638201898589E-2</v>
      </c>
      <c r="J1234" s="89">
        <v>0</v>
      </c>
      <c r="K1234" s="89" t="s">
        <v>254</v>
      </c>
      <c r="L1234" s="89" t="s">
        <v>254</v>
      </c>
      <c r="M1234" s="89">
        <v>0</v>
      </c>
      <c r="N1234" s="89" t="s">
        <v>254</v>
      </c>
      <c r="O1234" s="89">
        <v>0</v>
      </c>
      <c r="P1234" s="89">
        <v>0</v>
      </c>
      <c r="Q1234" s="89">
        <v>0</v>
      </c>
      <c r="R1234" s="89"/>
    </row>
    <row r="1235" spans="1:18" ht="15">
      <c r="A1235" s="70">
        <v>20</v>
      </c>
      <c r="B1235" s="70"/>
      <c r="C1235" s="72" t="s">
        <v>1159</v>
      </c>
      <c r="D1235" s="72" t="s">
        <v>566</v>
      </c>
      <c r="E1235" s="89">
        <v>0.99999999999999989</v>
      </c>
      <c r="F1235" s="89" t="s">
        <v>254</v>
      </c>
      <c r="G1235" s="89">
        <v>0.96418077953997239</v>
      </c>
      <c r="H1235" s="89" t="s">
        <v>254</v>
      </c>
      <c r="I1235" s="89">
        <v>3.5809173913836249E-2</v>
      </c>
      <c r="J1235" s="89">
        <v>1.004654619134844E-5</v>
      </c>
      <c r="K1235" s="89" t="s">
        <v>254</v>
      </c>
      <c r="L1235" s="89" t="s">
        <v>254</v>
      </c>
      <c r="M1235" s="89">
        <v>0</v>
      </c>
      <c r="N1235" s="89" t="s">
        <v>254</v>
      </c>
      <c r="O1235" s="89">
        <v>1.004654619134844E-5</v>
      </c>
      <c r="P1235" s="89">
        <v>1.004654619134844E-5</v>
      </c>
      <c r="Q1235" s="89">
        <v>0</v>
      </c>
      <c r="R1235" s="89"/>
    </row>
    <row r="1236" spans="1:18" ht="15">
      <c r="A1236" s="70">
        <v>21</v>
      </c>
      <c r="B1236" s="70"/>
      <c r="C1236" s="72" t="s">
        <v>254</v>
      </c>
      <c r="D1236" s="72" t="s">
        <v>254</v>
      </c>
      <c r="E1236" s="89" t="s">
        <v>254</v>
      </c>
      <c r="F1236" s="89" t="s">
        <v>254</v>
      </c>
      <c r="G1236" s="89" t="s">
        <v>254</v>
      </c>
      <c r="H1236" s="89" t="s">
        <v>254</v>
      </c>
      <c r="I1236" s="89" t="s">
        <v>254</v>
      </c>
      <c r="J1236" s="89" t="s">
        <v>254</v>
      </c>
      <c r="K1236" s="89" t="s">
        <v>254</v>
      </c>
      <c r="L1236" s="89" t="s">
        <v>254</v>
      </c>
      <c r="M1236" s="89" t="s">
        <v>254</v>
      </c>
      <c r="N1236" s="89" t="s">
        <v>254</v>
      </c>
      <c r="O1236" s="89" t="s">
        <v>254</v>
      </c>
      <c r="P1236" s="89" t="s">
        <v>254</v>
      </c>
      <c r="Q1236" s="89" t="s">
        <v>254</v>
      </c>
      <c r="R1236" s="89"/>
    </row>
    <row r="1237" spans="1:18" ht="15">
      <c r="A1237" s="70">
        <v>22</v>
      </c>
      <c r="B1237" s="70"/>
      <c r="C1237" s="72" t="s">
        <v>254</v>
      </c>
      <c r="D1237" s="72" t="s">
        <v>254</v>
      </c>
      <c r="E1237" s="89" t="s">
        <v>254</v>
      </c>
      <c r="F1237" s="89" t="s">
        <v>254</v>
      </c>
      <c r="G1237" s="89" t="s">
        <v>254</v>
      </c>
      <c r="H1237" s="89" t="s">
        <v>254</v>
      </c>
      <c r="I1237" s="89" t="s">
        <v>254</v>
      </c>
      <c r="J1237" s="89" t="s">
        <v>254</v>
      </c>
      <c r="K1237" s="89" t="s">
        <v>254</v>
      </c>
      <c r="L1237" s="89" t="s">
        <v>254</v>
      </c>
      <c r="M1237" s="89" t="s">
        <v>254</v>
      </c>
      <c r="N1237" s="89" t="s">
        <v>254</v>
      </c>
      <c r="O1237" s="89" t="s">
        <v>254</v>
      </c>
      <c r="P1237" s="89" t="s">
        <v>254</v>
      </c>
      <c r="Q1237" s="89" t="s">
        <v>254</v>
      </c>
      <c r="R1237" s="89"/>
    </row>
    <row r="1238" spans="1:18" ht="15">
      <c r="A1238" s="70">
        <v>23</v>
      </c>
      <c r="B1238" s="70"/>
      <c r="C1238" s="72" t="s">
        <v>254</v>
      </c>
      <c r="D1238" s="72" t="s">
        <v>254</v>
      </c>
      <c r="E1238" s="89" t="s">
        <v>254</v>
      </c>
      <c r="F1238" s="89" t="s">
        <v>254</v>
      </c>
      <c r="G1238" s="89" t="s">
        <v>254</v>
      </c>
      <c r="H1238" s="89" t="s">
        <v>254</v>
      </c>
      <c r="I1238" s="89" t="s">
        <v>254</v>
      </c>
      <c r="J1238" s="89" t="s">
        <v>254</v>
      </c>
      <c r="K1238" s="89" t="s">
        <v>254</v>
      </c>
      <c r="L1238" s="89" t="s">
        <v>254</v>
      </c>
      <c r="M1238" s="89" t="s">
        <v>254</v>
      </c>
      <c r="N1238" s="89" t="s">
        <v>254</v>
      </c>
      <c r="O1238" s="89" t="s">
        <v>254</v>
      </c>
      <c r="P1238" s="89" t="s">
        <v>254</v>
      </c>
      <c r="Q1238" s="89" t="s">
        <v>254</v>
      </c>
      <c r="R1238" s="89"/>
    </row>
    <row r="1239" spans="1:18" ht="15">
      <c r="A1239" s="70">
        <v>24</v>
      </c>
      <c r="B1239" s="70"/>
      <c r="C1239" s="72" t="s">
        <v>254</v>
      </c>
      <c r="D1239" s="72" t="s">
        <v>254</v>
      </c>
      <c r="E1239" s="89" t="s">
        <v>254</v>
      </c>
      <c r="F1239" s="89" t="s">
        <v>254</v>
      </c>
      <c r="G1239" s="89" t="s">
        <v>254</v>
      </c>
      <c r="H1239" s="89" t="s">
        <v>254</v>
      </c>
      <c r="I1239" s="89" t="s">
        <v>254</v>
      </c>
      <c r="J1239" s="89" t="s">
        <v>254</v>
      </c>
      <c r="K1239" s="89" t="s">
        <v>254</v>
      </c>
      <c r="L1239" s="89" t="s">
        <v>254</v>
      </c>
      <c r="M1239" s="89" t="s">
        <v>254</v>
      </c>
      <c r="N1239" s="89" t="s">
        <v>254</v>
      </c>
      <c r="O1239" s="89" t="s">
        <v>254</v>
      </c>
      <c r="P1239" s="89" t="s">
        <v>254</v>
      </c>
      <c r="Q1239" s="89" t="s">
        <v>254</v>
      </c>
      <c r="R1239" s="89"/>
    </row>
    <row r="1240" spans="1:18" ht="15">
      <c r="A1240" s="70">
        <v>25</v>
      </c>
      <c r="B1240" s="70"/>
      <c r="C1240" s="72" t="s">
        <v>254</v>
      </c>
      <c r="D1240" s="72" t="s">
        <v>254</v>
      </c>
      <c r="E1240" s="89" t="s">
        <v>254</v>
      </c>
      <c r="F1240" s="89" t="s">
        <v>254</v>
      </c>
      <c r="G1240" s="89" t="s">
        <v>254</v>
      </c>
      <c r="H1240" s="89" t="s">
        <v>254</v>
      </c>
      <c r="I1240" s="89" t="s">
        <v>254</v>
      </c>
      <c r="J1240" s="89" t="s">
        <v>254</v>
      </c>
      <c r="K1240" s="89" t="s">
        <v>254</v>
      </c>
      <c r="L1240" s="89" t="s">
        <v>254</v>
      </c>
      <c r="M1240" s="89" t="s">
        <v>254</v>
      </c>
      <c r="N1240" s="89" t="s">
        <v>254</v>
      </c>
      <c r="O1240" s="89" t="s">
        <v>254</v>
      </c>
      <c r="P1240" s="89" t="s">
        <v>254</v>
      </c>
      <c r="Q1240" s="89" t="s">
        <v>254</v>
      </c>
      <c r="R1240" s="89"/>
    </row>
    <row r="1241" spans="1:18" ht="15">
      <c r="A1241" s="70" t="s">
        <v>254</v>
      </c>
      <c r="B1241" s="70"/>
      <c r="C1241" s="72" t="s">
        <v>254</v>
      </c>
      <c r="D1241" s="72" t="s">
        <v>254</v>
      </c>
      <c r="E1241" s="89" t="s">
        <v>254</v>
      </c>
      <c r="F1241" s="89" t="s">
        <v>254</v>
      </c>
      <c r="G1241" s="89" t="s">
        <v>254</v>
      </c>
      <c r="H1241" s="89" t="s">
        <v>254</v>
      </c>
      <c r="I1241" s="89" t="s">
        <v>254</v>
      </c>
      <c r="J1241" s="89" t="s">
        <v>254</v>
      </c>
      <c r="K1241" s="89" t="s">
        <v>254</v>
      </c>
      <c r="L1241" s="89" t="s">
        <v>254</v>
      </c>
      <c r="M1241" s="89" t="s">
        <v>254</v>
      </c>
      <c r="N1241" s="89" t="s">
        <v>254</v>
      </c>
      <c r="O1241" s="89" t="s">
        <v>254</v>
      </c>
      <c r="P1241" s="89" t="s">
        <v>254</v>
      </c>
      <c r="Q1241" s="89" t="s">
        <v>254</v>
      </c>
      <c r="R1241" s="89"/>
    </row>
    <row r="1242" spans="1:18" ht="15">
      <c r="A1242" s="70" t="s">
        <v>254</v>
      </c>
      <c r="B1242" s="70"/>
      <c r="C1242" s="72" t="s">
        <v>1002</v>
      </c>
      <c r="D1242" s="72" t="s">
        <v>254</v>
      </c>
      <c r="E1242" s="89" t="s">
        <v>254</v>
      </c>
      <c r="F1242" s="89" t="s">
        <v>254</v>
      </c>
      <c r="G1242" s="89" t="s">
        <v>254</v>
      </c>
      <c r="H1242" s="89" t="s">
        <v>254</v>
      </c>
      <c r="I1242" s="89" t="s">
        <v>254</v>
      </c>
      <c r="J1242" s="89" t="s">
        <v>254</v>
      </c>
      <c r="K1242" s="89" t="s">
        <v>254</v>
      </c>
      <c r="L1242" s="89" t="s">
        <v>254</v>
      </c>
      <c r="M1242" s="89" t="s">
        <v>254</v>
      </c>
      <c r="N1242" s="89" t="s">
        <v>254</v>
      </c>
      <c r="O1242" s="89" t="s">
        <v>254</v>
      </c>
      <c r="P1242" s="89" t="s">
        <v>254</v>
      </c>
      <c r="Q1242" s="89" t="s">
        <v>254</v>
      </c>
      <c r="R1242" s="89"/>
    </row>
    <row r="1243" spans="1:18" ht="15">
      <c r="A1243" s="70" t="s">
        <v>254</v>
      </c>
      <c r="B1243" s="70"/>
      <c r="C1243" s="72" t="s">
        <v>925</v>
      </c>
      <c r="D1243" s="72" t="s">
        <v>254</v>
      </c>
      <c r="E1243" s="89" t="s">
        <v>254</v>
      </c>
      <c r="F1243" s="89" t="s">
        <v>254</v>
      </c>
      <c r="G1243" s="89" t="s">
        <v>254</v>
      </c>
      <c r="H1243" s="89" t="s">
        <v>254</v>
      </c>
      <c r="I1243" s="89" t="s">
        <v>254</v>
      </c>
      <c r="J1243" s="89" t="s">
        <v>254</v>
      </c>
      <c r="K1243" s="89" t="s">
        <v>254</v>
      </c>
      <c r="L1243" s="89" t="s">
        <v>254</v>
      </c>
      <c r="M1243" s="89" t="s">
        <v>254</v>
      </c>
      <c r="N1243" s="89" t="s">
        <v>254</v>
      </c>
      <c r="O1243" s="89" t="s">
        <v>254</v>
      </c>
      <c r="P1243" s="89" t="s">
        <v>254</v>
      </c>
      <c r="Q1243" s="89" t="s">
        <v>254</v>
      </c>
      <c r="R1243" s="89"/>
    </row>
    <row r="1244" spans="1:18" ht="15">
      <c r="A1244" s="70">
        <v>1</v>
      </c>
      <c r="B1244" s="70"/>
      <c r="C1244" s="72" t="s">
        <v>1003</v>
      </c>
      <c r="D1244" s="72" t="s">
        <v>299</v>
      </c>
      <c r="E1244" s="89">
        <v>0.99999999999999989</v>
      </c>
      <c r="F1244" s="89" t="s">
        <v>254</v>
      </c>
      <c r="G1244" s="89">
        <v>0.88836656691270399</v>
      </c>
      <c r="H1244" s="89" t="s">
        <v>254</v>
      </c>
      <c r="I1244" s="89">
        <v>4.9433756814545801E-2</v>
      </c>
      <c r="J1244" s="89">
        <v>6.219967627275013E-2</v>
      </c>
      <c r="K1244" s="89" t="s">
        <v>254</v>
      </c>
      <c r="L1244" s="89" t="s">
        <v>254</v>
      </c>
      <c r="M1244" s="89">
        <v>2.1642672445947826E-5</v>
      </c>
      <c r="N1244" s="89" t="s">
        <v>254</v>
      </c>
      <c r="O1244" s="89">
        <v>6.2178033600304182E-2</v>
      </c>
      <c r="P1244" s="89">
        <v>1.9597563613360333E-2</v>
      </c>
      <c r="Q1244" s="89">
        <v>4.2580469986943849E-2</v>
      </c>
      <c r="R1244" s="89"/>
    </row>
    <row r="1245" spans="1:18" ht="15">
      <c r="A1245" s="70">
        <v>2</v>
      </c>
      <c r="B1245" s="70"/>
      <c r="C1245" s="72" t="s">
        <v>1004</v>
      </c>
      <c r="D1245" s="72" t="s">
        <v>301</v>
      </c>
      <c r="E1245" s="89">
        <v>1</v>
      </c>
      <c r="F1245" s="89" t="s">
        <v>254</v>
      </c>
      <c r="G1245" s="89">
        <v>1</v>
      </c>
      <c r="H1245" s="89" t="s">
        <v>254</v>
      </c>
      <c r="I1245" s="89">
        <v>0</v>
      </c>
      <c r="J1245" s="89">
        <v>0</v>
      </c>
      <c r="K1245" s="89" t="s">
        <v>254</v>
      </c>
      <c r="L1245" s="89" t="s">
        <v>254</v>
      </c>
      <c r="M1245" s="89">
        <v>0</v>
      </c>
      <c r="N1245" s="89" t="s">
        <v>254</v>
      </c>
      <c r="O1245" s="89">
        <v>0</v>
      </c>
      <c r="P1245" s="89">
        <v>0</v>
      </c>
      <c r="Q1245" s="89">
        <v>0</v>
      </c>
      <c r="R1245" s="89"/>
    </row>
    <row r="1246" spans="1:18" ht="15">
      <c r="A1246" s="70">
        <v>3</v>
      </c>
      <c r="B1246" s="70"/>
      <c r="C1246" s="72" t="s">
        <v>1005</v>
      </c>
      <c r="D1246" s="72" t="s">
        <v>422</v>
      </c>
      <c r="E1246" s="89">
        <v>1</v>
      </c>
      <c r="F1246" s="89" t="s">
        <v>254</v>
      </c>
      <c r="G1246" s="89">
        <v>0.90371060862444874</v>
      </c>
      <c r="H1246" s="89" t="s">
        <v>254</v>
      </c>
      <c r="I1246" s="89">
        <v>4.6925186981622798E-2</v>
      </c>
      <c r="J1246" s="89">
        <v>4.936420439392844E-2</v>
      </c>
      <c r="K1246" s="89" t="s">
        <v>254</v>
      </c>
      <c r="L1246" s="89" t="s">
        <v>254</v>
      </c>
      <c r="M1246" s="89">
        <v>2.2521246888765271E-5</v>
      </c>
      <c r="N1246" s="89" t="s">
        <v>254</v>
      </c>
      <c r="O1246" s="89">
        <v>4.9341683147039676E-2</v>
      </c>
      <c r="P1246" s="89">
        <v>1.5751865259369044E-2</v>
      </c>
      <c r="Q1246" s="89">
        <v>3.3589817887670632E-2</v>
      </c>
      <c r="R1246" s="89"/>
    </row>
    <row r="1247" spans="1:18" ht="15">
      <c r="A1247" s="70">
        <v>4</v>
      </c>
      <c r="B1247" s="70"/>
      <c r="C1247" s="72" t="s">
        <v>1005</v>
      </c>
      <c r="D1247" s="72" t="s">
        <v>909</v>
      </c>
      <c r="E1247" s="89">
        <v>1</v>
      </c>
      <c r="F1247" s="89" t="s">
        <v>254</v>
      </c>
      <c r="G1247" s="89">
        <v>0.90371060862444874</v>
      </c>
      <c r="H1247" s="89" t="s">
        <v>254</v>
      </c>
      <c r="I1247" s="89">
        <v>4.6925186981622791E-2</v>
      </c>
      <c r="J1247" s="89">
        <v>4.936420439392844E-2</v>
      </c>
      <c r="K1247" s="89" t="s">
        <v>254</v>
      </c>
      <c r="L1247" s="89" t="s">
        <v>254</v>
      </c>
      <c r="M1247" s="89">
        <v>2.2521246888765267E-5</v>
      </c>
      <c r="N1247" s="89" t="s">
        <v>254</v>
      </c>
      <c r="O1247" s="89">
        <v>4.9341683147039676E-2</v>
      </c>
      <c r="P1247" s="89">
        <v>1.5751865259369044E-2</v>
      </c>
      <c r="Q1247" s="89">
        <v>3.3589817887670632E-2</v>
      </c>
      <c r="R1247" s="89"/>
    </row>
    <row r="1248" spans="1:18" ht="15">
      <c r="A1248" s="70">
        <v>5</v>
      </c>
      <c r="B1248" s="70"/>
      <c r="C1248" s="72" t="s">
        <v>1006</v>
      </c>
      <c r="D1248" s="72" t="s">
        <v>447</v>
      </c>
      <c r="E1248" s="89">
        <v>1</v>
      </c>
      <c r="F1248" s="89" t="s">
        <v>254</v>
      </c>
      <c r="G1248" s="89">
        <v>0.87577725766318848</v>
      </c>
      <c r="H1248" s="89" t="s">
        <v>254</v>
      </c>
      <c r="I1248" s="89">
        <v>4.0472791995134316E-2</v>
      </c>
      <c r="J1248" s="89">
        <v>8.3749950341677232E-2</v>
      </c>
      <c r="K1248" s="89" t="s">
        <v>254</v>
      </c>
      <c r="L1248" s="89" t="s">
        <v>254</v>
      </c>
      <c r="M1248" s="89">
        <v>3.0774171853047175E-6</v>
      </c>
      <c r="N1248" s="89" t="s">
        <v>254</v>
      </c>
      <c r="O1248" s="89">
        <v>8.3746872924491927E-2</v>
      </c>
      <c r="P1248" s="89">
        <v>2.5991585781884978E-2</v>
      </c>
      <c r="Q1248" s="89">
        <v>5.7755287142606949E-2</v>
      </c>
      <c r="R1248" s="89"/>
    </row>
    <row r="1249" spans="1:18" ht="15">
      <c r="A1249" s="70">
        <v>6</v>
      </c>
      <c r="B1249" s="70"/>
      <c r="C1249" s="72" t="s">
        <v>1008</v>
      </c>
      <c r="D1249" s="72" t="s">
        <v>452</v>
      </c>
      <c r="E1249" s="89">
        <v>1</v>
      </c>
      <c r="F1249" s="89" t="s">
        <v>254</v>
      </c>
      <c r="G1249" s="89">
        <v>0.87577725766318848</v>
      </c>
      <c r="H1249" s="89" t="s">
        <v>254</v>
      </c>
      <c r="I1249" s="89">
        <v>4.0472791995134323E-2</v>
      </c>
      <c r="J1249" s="89">
        <v>8.3749950341677232E-2</v>
      </c>
      <c r="K1249" s="89" t="s">
        <v>254</v>
      </c>
      <c r="L1249" s="89" t="s">
        <v>254</v>
      </c>
      <c r="M1249" s="89">
        <v>3.0774171853047171E-6</v>
      </c>
      <c r="N1249" s="89" t="s">
        <v>254</v>
      </c>
      <c r="O1249" s="89">
        <v>8.3746872924491927E-2</v>
      </c>
      <c r="P1249" s="89">
        <v>2.5991585781884971E-2</v>
      </c>
      <c r="Q1249" s="89">
        <v>5.7755287142606963E-2</v>
      </c>
      <c r="R1249" s="89"/>
    </row>
    <row r="1250" spans="1:18" ht="15">
      <c r="A1250" s="70">
        <v>7</v>
      </c>
      <c r="B1250" s="70"/>
      <c r="C1250" s="72" t="s">
        <v>1009</v>
      </c>
      <c r="D1250" s="72" t="s">
        <v>455</v>
      </c>
      <c r="E1250" s="89">
        <v>1</v>
      </c>
      <c r="F1250" s="89" t="s">
        <v>254</v>
      </c>
      <c r="G1250" s="89">
        <v>0.87577725766318848</v>
      </c>
      <c r="H1250" s="89" t="s">
        <v>254</v>
      </c>
      <c r="I1250" s="89">
        <v>4.0472791995134316E-2</v>
      </c>
      <c r="J1250" s="89">
        <v>8.3749950341677218E-2</v>
      </c>
      <c r="K1250" s="89" t="s">
        <v>254</v>
      </c>
      <c r="L1250" s="89" t="s">
        <v>254</v>
      </c>
      <c r="M1250" s="89">
        <v>3.0774171853047171E-6</v>
      </c>
      <c r="N1250" s="89" t="s">
        <v>254</v>
      </c>
      <c r="O1250" s="89">
        <v>8.3746872924491914E-2</v>
      </c>
      <c r="P1250" s="89">
        <v>2.5991585781884978E-2</v>
      </c>
      <c r="Q1250" s="89">
        <v>5.7755287142606936E-2</v>
      </c>
      <c r="R1250" s="89"/>
    </row>
    <row r="1251" spans="1:18" ht="15">
      <c r="A1251" s="70">
        <v>8</v>
      </c>
      <c r="B1251" s="70"/>
      <c r="C1251" s="72" t="s">
        <v>1010</v>
      </c>
      <c r="D1251" s="72" t="s">
        <v>1011</v>
      </c>
      <c r="E1251" s="89">
        <v>1</v>
      </c>
      <c r="F1251" s="89" t="s">
        <v>254</v>
      </c>
      <c r="G1251" s="89">
        <v>0.95106318110181076</v>
      </c>
      <c r="H1251" s="89" t="s">
        <v>254</v>
      </c>
      <c r="I1251" s="89">
        <v>4.5067444865248253E-2</v>
      </c>
      <c r="J1251" s="89">
        <v>3.8693740329410154E-3</v>
      </c>
      <c r="K1251" s="89" t="s">
        <v>254</v>
      </c>
      <c r="L1251" s="89" t="s">
        <v>254</v>
      </c>
      <c r="M1251" s="89">
        <v>3.3419664100924831E-6</v>
      </c>
      <c r="N1251" s="89" t="s">
        <v>254</v>
      </c>
      <c r="O1251" s="89">
        <v>3.8660320665309228E-3</v>
      </c>
      <c r="P1251" s="89">
        <v>1.1998573867152682E-3</v>
      </c>
      <c r="Q1251" s="89">
        <v>2.6661746798156546E-3</v>
      </c>
      <c r="R1251" s="89"/>
    </row>
    <row r="1252" spans="1:18" ht="15">
      <c r="A1252" s="70">
        <v>9</v>
      </c>
      <c r="B1252" s="70"/>
      <c r="C1252" s="72" t="s">
        <v>1012</v>
      </c>
      <c r="D1252" s="72" t="s">
        <v>487</v>
      </c>
      <c r="E1252" s="89">
        <v>1</v>
      </c>
      <c r="F1252" s="89" t="s">
        <v>254</v>
      </c>
      <c r="G1252" s="89">
        <v>0</v>
      </c>
      <c r="H1252" s="89" t="s">
        <v>254</v>
      </c>
      <c r="I1252" s="89">
        <v>1</v>
      </c>
      <c r="J1252" s="89">
        <v>0</v>
      </c>
      <c r="K1252" s="89" t="s">
        <v>254</v>
      </c>
      <c r="L1252" s="89" t="s">
        <v>254</v>
      </c>
      <c r="M1252" s="89">
        <v>0</v>
      </c>
      <c r="N1252" s="89" t="s">
        <v>254</v>
      </c>
      <c r="O1252" s="89">
        <v>0</v>
      </c>
      <c r="P1252" s="89">
        <v>0</v>
      </c>
      <c r="Q1252" s="89">
        <v>0</v>
      </c>
      <c r="R1252" s="89"/>
    </row>
    <row r="1253" spans="1:18" ht="15">
      <c r="A1253" s="70">
        <v>10</v>
      </c>
      <c r="B1253" s="70"/>
      <c r="C1253" s="72" t="s">
        <v>1013</v>
      </c>
      <c r="D1253" s="72" t="s">
        <v>1014</v>
      </c>
      <c r="E1253" s="89">
        <v>1</v>
      </c>
      <c r="F1253" s="89" t="s">
        <v>254</v>
      </c>
      <c r="G1253" s="89">
        <v>0.1303997516937824</v>
      </c>
      <c r="H1253" s="89" t="s">
        <v>254</v>
      </c>
      <c r="I1253" s="89">
        <v>0.86959979009103416</v>
      </c>
      <c r="J1253" s="89">
        <v>4.5821518349617388E-7</v>
      </c>
      <c r="K1253" s="89" t="s">
        <v>254</v>
      </c>
      <c r="L1253" s="89" t="s">
        <v>254</v>
      </c>
      <c r="M1253" s="89">
        <v>4.5821518349617388E-7</v>
      </c>
      <c r="N1253" s="89" t="s">
        <v>254</v>
      </c>
      <c r="O1253" s="89">
        <v>0</v>
      </c>
      <c r="P1253" s="89">
        <v>0</v>
      </c>
      <c r="Q1253" s="89">
        <v>0</v>
      </c>
      <c r="R1253" s="89"/>
    </row>
    <row r="1254" spans="1:18" ht="15">
      <c r="A1254" s="70">
        <v>11</v>
      </c>
      <c r="B1254" s="70"/>
      <c r="C1254" s="72" t="s">
        <v>419</v>
      </c>
      <c r="D1254" s="72" t="s">
        <v>505</v>
      </c>
      <c r="E1254" s="89">
        <v>0.99999999999999989</v>
      </c>
      <c r="F1254" s="89" t="s">
        <v>254</v>
      </c>
      <c r="G1254" s="89">
        <v>0.94436035408340235</v>
      </c>
      <c r="H1254" s="89" t="s">
        <v>254</v>
      </c>
      <c r="I1254" s="89">
        <v>5.2864053097331831E-2</v>
      </c>
      <c r="J1254" s="89">
        <v>2.7755928192657532E-3</v>
      </c>
      <c r="K1254" s="89" t="s">
        <v>254</v>
      </c>
      <c r="L1254" s="89" t="s">
        <v>254</v>
      </c>
      <c r="M1254" s="89">
        <v>9.6191482596801037E-5</v>
      </c>
      <c r="N1254" s="89" t="s">
        <v>254</v>
      </c>
      <c r="O1254" s="89">
        <v>2.6794013366689524E-3</v>
      </c>
      <c r="P1254" s="89">
        <v>2.3224879248849267E-3</v>
      </c>
      <c r="Q1254" s="89">
        <v>3.5691341178402581E-4</v>
      </c>
      <c r="R1254" s="89"/>
    </row>
    <row r="1255" spans="1:18" ht="15">
      <c r="A1255" s="70">
        <v>12</v>
      </c>
      <c r="B1255" s="70"/>
      <c r="C1255" s="72" t="s">
        <v>1015</v>
      </c>
      <c r="D1255" s="72" t="s">
        <v>469</v>
      </c>
      <c r="E1255" s="89">
        <v>0.99999999999999989</v>
      </c>
      <c r="F1255" s="89" t="s">
        <v>254</v>
      </c>
      <c r="G1255" s="89">
        <v>0.99717076150041817</v>
      </c>
      <c r="H1255" s="89" t="s">
        <v>254</v>
      </c>
      <c r="I1255" s="89">
        <v>0</v>
      </c>
      <c r="J1255" s="89">
        <v>2.8292384995817527E-3</v>
      </c>
      <c r="K1255" s="89" t="s">
        <v>254</v>
      </c>
      <c r="L1255" s="89" t="s">
        <v>254</v>
      </c>
      <c r="M1255" s="89">
        <v>0</v>
      </c>
      <c r="N1255" s="89" t="s">
        <v>254</v>
      </c>
      <c r="O1255" s="89">
        <v>2.8292384995817527E-3</v>
      </c>
      <c r="P1255" s="89">
        <v>2.4523658184283492E-3</v>
      </c>
      <c r="Q1255" s="89">
        <v>3.7687268115340353E-4</v>
      </c>
      <c r="R1255" s="89"/>
    </row>
    <row r="1256" spans="1:18" ht="15">
      <c r="A1256" s="70">
        <v>13</v>
      </c>
      <c r="B1256" s="70"/>
      <c r="C1256" s="72" t="s">
        <v>1016</v>
      </c>
      <c r="D1256" s="72" t="s">
        <v>471</v>
      </c>
      <c r="E1256" s="89">
        <v>1</v>
      </c>
      <c r="F1256" s="89" t="s">
        <v>254</v>
      </c>
      <c r="G1256" s="89">
        <v>0.90871558561033627</v>
      </c>
      <c r="H1256" s="89" t="s">
        <v>254</v>
      </c>
      <c r="I1256" s="89">
        <v>4.4486086707476467E-2</v>
      </c>
      <c r="J1256" s="89">
        <v>4.6798327682187259E-2</v>
      </c>
      <c r="K1256" s="89" t="s">
        <v>254</v>
      </c>
      <c r="L1256" s="89" t="s">
        <v>254</v>
      </c>
      <c r="M1256" s="89">
        <v>2.1350626524865236E-5</v>
      </c>
      <c r="N1256" s="89" t="s">
        <v>254</v>
      </c>
      <c r="O1256" s="89">
        <v>4.6776977055662396E-2</v>
      </c>
      <c r="P1256" s="89">
        <v>1.4933107118085778E-2</v>
      </c>
      <c r="Q1256" s="89">
        <v>3.1843869937576617E-2</v>
      </c>
      <c r="R1256" s="89"/>
    </row>
    <row r="1257" spans="1:18" ht="15">
      <c r="A1257" s="70">
        <v>14</v>
      </c>
      <c r="B1257" s="70"/>
      <c r="C1257" s="72" t="s">
        <v>1017</v>
      </c>
      <c r="D1257" s="72" t="s">
        <v>473</v>
      </c>
      <c r="E1257" s="89">
        <v>1</v>
      </c>
      <c r="F1257" s="89" t="s">
        <v>254</v>
      </c>
      <c r="G1257" s="89">
        <v>1</v>
      </c>
      <c r="H1257" s="89" t="s">
        <v>254</v>
      </c>
      <c r="I1257" s="89">
        <v>0</v>
      </c>
      <c r="J1257" s="89">
        <v>0</v>
      </c>
      <c r="K1257" s="89" t="s">
        <v>254</v>
      </c>
      <c r="L1257" s="89" t="s">
        <v>254</v>
      </c>
      <c r="M1257" s="89">
        <v>0</v>
      </c>
      <c r="N1257" s="89" t="s">
        <v>254</v>
      </c>
      <c r="O1257" s="89">
        <v>0</v>
      </c>
      <c r="P1257" s="89">
        <v>0</v>
      </c>
      <c r="Q1257" s="89">
        <v>0</v>
      </c>
      <c r="R1257" s="89"/>
    </row>
    <row r="1258" spans="1:18" ht="15">
      <c r="A1258" s="70">
        <v>15</v>
      </c>
      <c r="B1258" s="70"/>
      <c r="C1258" s="72" t="s">
        <v>1018</v>
      </c>
      <c r="D1258" s="72" t="s">
        <v>475</v>
      </c>
      <c r="E1258" s="89">
        <v>1</v>
      </c>
      <c r="F1258" s="89" t="s">
        <v>254</v>
      </c>
      <c r="G1258" s="89">
        <v>0.8883665669127041</v>
      </c>
      <c r="H1258" s="89" t="s">
        <v>254</v>
      </c>
      <c r="I1258" s="89">
        <v>4.9433756814545808E-2</v>
      </c>
      <c r="J1258" s="89">
        <v>6.2199676272750137E-2</v>
      </c>
      <c r="K1258" s="89" t="s">
        <v>254</v>
      </c>
      <c r="L1258" s="89" t="s">
        <v>254</v>
      </c>
      <c r="M1258" s="89">
        <v>2.1642672445947829E-5</v>
      </c>
      <c r="N1258" s="89" t="s">
        <v>254</v>
      </c>
      <c r="O1258" s="89">
        <v>6.2178033600304189E-2</v>
      </c>
      <c r="P1258" s="89">
        <v>1.9597563613360333E-2</v>
      </c>
      <c r="Q1258" s="89">
        <v>4.2580469986943856E-2</v>
      </c>
      <c r="R1258" s="89"/>
    </row>
    <row r="1259" spans="1:18" ht="15">
      <c r="A1259" s="70">
        <v>16</v>
      </c>
      <c r="B1259" s="70"/>
      <c r="C1259" s="72" t="s">
        <v>1019</v>
      </c>
      <c r="D1259" s="72" t="s">
        <v>481</v>
      </c>
      <c r="E1259" s="89">
        <v>1</v>
      </c>
      <c r="F1259" s="89" t="s">
        <v>254</v>
      </c>
      <c r="G1259" s="89">
        <v>0.87577725766318848</v>
      </c>
      <c r="H1259" s="89" t="s">
        <v>254</v>
      </c>
      <c r="I1259" s="89">
        <v>4.0472791995134316E-2</v>
      </c>
      <c r="J1259" s="89">
        <v>8.3749950341677204E-2</v>
      </c>
      <c r="K1259" s="89" t="s">
        <v>254</v>
      </c>
      <c r="L1259" s="89" t="s">
        <v>254</v>
      </c>
      <c r="M1259" s="89">
        <v>3.0774171853047171E-6</v>
      </c>
      <c r="N1259" s="89" t="s">
        <v>254</v>
      </c>
      <c r="O1259" s="89">
        <v>8.37468729244919E-2</v>
      </c>
      <c r="P1259" s="89">
        <v>2.5991585781884978E-2</v>
      </c>
      <c r="Q1259" s="89">
        <v>5.7755287142606929E-2</v>
      </c>
      <c r="R1259" s="89"/>
    </row>
    <row r="1260" spans="1:18" ht="15">
      <c r="A1260" s="70">
        <v>17</v>
      </c>
      <c r="B1260" s="70"/>
      <c r="C1260" s="72" t="s">
        <v>339</v>
      </c>
      <c r="D1260" s="72" t="s">
        <v>501</v>
      </c>
      <c r="E1260" s="89">
        <v>1</v>
      </c>
      <c r="F1260" s="89" t="s">
        <v>254</v>
      </c>
      <c r="G1260" s="89">
        <v>0.87012107919337789</v>
      </c>
      <c r="H1260" s="89" t="s">
        <v>254</v>
      </c>
      <c r="I1260" s="89">
        <v>4.1081743259050216E-2</v>
      </c>
      <c r="J1260" s="89">
        <v>8.8797177547571951E-2</v>
      </c>
      <c r="K1260" s="89" t="s">
        <v>254</v>
      </c>
      <c r="L1260" s="89" t="s">
        <v>254</v>
      </c>
      <c r="M1260" s="89">
        <v>3.0575417881374158E-6</v>
      </c>
      <c r="N1260" s="89" t="s">
        <v>254</v>
      </c>
      <c r="O1260" s="89">
        <v>8.8794120005783808E-2</v>
      </c>
      <c r="P1260" s="89">
        <v>2.7558043738996361E-2</v>
      </c>
      <c r="Q1260" s="89">
        <v>6.1236076266787447E-2</v>
      </c>
      <c r="R1260" s="89"/>
    </row>
    <row r="1261" spans="1:18" ht="15">
      <c r="A1261" s="70">
        <v>18</v>
      </c>
      <c r="B1261" s="70"/>
      <c r="C1261" s="72" t="s">
        <v>360</v>
      </c>
      <c r="D1261" s="72" t="s">
        <v>1020</v>
      </c>
      <c r="E1261" s="89">
        <v>0.99999999999999989</v>
      </c>
      <c r="F1261" s="89" t="s">
        <v>254</v>
      </c>
      <c r="G1261" s="89">
        <v>0.89828718521994877</v>
      </c>
      <c r="H1261" s="89" t="s">
        <v>254</v>
      </c>
      <c r="I1261" s="89">
        <v>9.8092246625315863E-2</v>
      </c>
      <c r="J1261" s="89">
        <v>3.620568154735224E-3</v>
      </c>
      <c r="K1261" s="89" t="s">
        <v>254</v>
      </c>
      <c r="L1261" s="89" t="s">
        <v>254</v>
      </c>
      <c r="M1261" s="89">
        <v>3.1565154232379298E-6</v>
      </c>
      <c r="N1261" s="89" t="s">
        <v>254</v>
      </c>
      <c r="O1261" s="89">
        <v>3.6174116393119862E-3</v>
      </c>
      <c r="P1261" s="89">
        <v>1.122695829088917E-3</v>
      </c>
      <c r="Q1261" s="89">
        <v>2.494715810223069E-3</v>
      </c>
      <c r="R1261" s="89"/>
    </row>
    <row r="1262" spans="1:18" ht="15">
      <c r="A1262" s="70">
        <v>19</v>
      </c>
      <c r="B1262" s="70"/>
      <c r="C1262" s="72" t="s">
        <v>1021</v>
      </c>
      <c r="D1262" s="72" t="s">
        <v>503</v>
      </c>
      <c r="E1262" s="89">
        <v>1</v>
      </c>
      <c r="F1262" s="89" t="s">
        <v>254</v>
      </c>
      <c r="G1262" s="89">
        <v>0.90154845710207365</v>
      </c>
      <c r="H1262" s="89" t="s">
        <v>254</v>
      </c>
      <c r="I1262" s="89">
        <v>9.8448374922632351E-2</v>
      </c>
      <c r="J1262" s="89">
        <v>3.1679752939392787E-6</v>
      </c>
      <c r="K1262" s="89" t="s">
        <v>254</v>
      </c>
      <c r="L1262" s="89" t="s">
        <v>254</v>
      </c>
      <c r="M1262" s="89">
        <v>3.1679752939392787E-6</v>
      </c>
      <c r="N1262" s="89" t="s">
        <v>254</v>
      </c>
      <c r="O1262" s="89">
        <v>0</v>
      </c>
      <c r="P1262" s="89">
        <v>0</v>
      </c>
      <c r="Q1262" s="89">
        <v>0</v>
      </c>
      <c r="R1262" s="89"/>
    </row>
    <row r="1263" spans="1:18" ht="15">
      <c r="A1263" s="70">
        <v>20</v>
      </c>
      <c r="B1263" s="70"/>
      <c r="C1263" s="72" t="s">
        <v>1022</v>
      </c>
      <c r="D1263" s="72" t="s">
        <v>508</v>
      </c>
      <c r="E1263" s="89">
        <v>1</v>
      </c>
      <c r="F1263" s="89" t="s">
        <v>254</v>
      </c>
      <c r="G1263" s="89">
        <v>0.88553931444006784</v>
      </c>
      <c r="H1263" s="89" t="s">
        <v>254</v>
      </c>
      <c r="I1263" s="89">
        <v>5.2670414539657283E-2</v>
      </c>
      <c r="J1263" s="89">
        <v>6.1790271020274894E-2</v>
      </c>
      <c r="K1263" s="89" t="s">
        <v>254</v>
      </c>
      <c r="L1263" s="89" t="s">
        <v>254</v>
      </c>
      <c r="M1263" s="89">
        <v>1.5538137028104208E-5</v>
      </c>
      <c r="N1263" s="89" t="s">
        <v>254</v>
      </c>
      <c r="O1263" s="89">
        <v>6.1774732883246787E-2</v>
      </c>
      <c r="P1263" s="89">
        <v>1.9371820997301212E-2</v>
      </c>
      <c r="Q1263" s="89">
        <v>4.2402911885945575E-2</v>
      </c>
      <c r="R1263" s="89"/>
    </row>
    <row r="1264" spans="1:18" ht="15">
      <c r="A1264" s="70">
        <v>21</v>
      </c>
      <c r="B1264" s="70"/>
      <c r="C1264" s="72" t="s">
        <v>1023</v>
      </c>
      <c r="D1264" s="72" t="s">
        <v>513</v>
      </c>
      <c r="E1264" s="89">
        <v>0.99999999999999989</v>
      </c>
      <c r="F1264" s="89" t="s">
        <v>254</v>
      </c>
      <c r="G1264" s="89">
        <v>0.89465443055790106</v>
      </c>
      <c r="H1264" s="89" t="s">
        <v>254</v>
      </c>
      <c r="I1264" s="89">
        <v>4.8402184616338467E-2</v>
      </c>
      <c r="J1264" s="89">
        <v>5.6943384825760342E-2</v>
      </c>
      <c r="K1264" s="89" t="s">
        <v>254</v>
      </c>
      <c r="L1264" s="89" t="s">
        <v>254</v>
      </c>
      <c r="M1264" s="89">
        <v>2.1999485977149155E-5</v>
      </c>
      <c r="N1264" s="89" t="s">
        <v>254</v>
      </c>
      <c r="O1264" s="89">
        <v>5.6921385339783193E-2</v>
      </c>
      <c r="P1264" s="89">
        <v>1.8022590067808323E-2</v>
      </c>
      <c r="Q1264" s="89">
        <v>3.8898795271974866E-2</v>
      </c>
      <c r="R1264" s="89"/>
    </row>
    <row r="1265" spans="1:18" ht="15">
      <c r="A1265" s="70">
        <v>22</v>
      </c>
      <c r="B1265" s="70"/>
      <c r="C1265" s="72" t="s">
        <v>1024</v>
      </c>
      <c r="D1265" s="72" t="s">
        <v>515</v>
      </c>
      <c r="E1265" s="89">
        <v>1</v>
      </c>
      <c r="F1265" s="89" t="s">
        <v>254</v>
      </c>
      <c r="G1265" s="89">
        <v>1</v>
      </c>
      <c r="H1265" s="89" t="s">
        <v>254</v>
      </c>
      <c r="I1265" s="89">
        <v>0</v>
      </c>
      <c r="J1265" s="89">
        <v>0</v>
      </c>
      <c r="K1265" s="89" t="s">
        <v>254</v>
      </c>
      <c r="L1265" s="89" t="s">
        <v>254</v>
      </c>
      <c r="M1265" s="89">
        <v>0</v>
      </c>
      <c r="N1265" s="89" t="s">
        <v>254</v>
      </c>
      <c r="O1265" s="89">
        <v>0</v>
      </c>
      <c r="P1265" s="89">
        <v>0</v>
      </c>
      <c r="Q1265" s="89">
        <v>0</v>
      </c>
      <c r="R1265" s="89"/>
    </row>
    <row r="1266" spans="1:18" ht="15">
      <c r="A1266" s="70">
        <v>23</v>
      </c>
      <c r="B1266" s="70"/>
      <c r="C1266" s="72" t="s">
        <v>1025</v>
      </c>
      <c r="D1266" s="72" t="s">
        <v>1026</v>
      </c>
      <c r="E1266" s="89">
        <v>0.99999999999999989</v>
      </c>
      <c r="F1266" s="89" t="s">
        <v>254</v>
      </c>
      <c r="G1266" s="89">
        <v>0</v>
      </c>
      <c r="H1266" s="89" t="s">
        <v>254</v>
      </c>
      <c r="I1266" s="89">
        <v>0</v>
      </c>
      <c r="J1266" s="89">
        <v>0.99999999999999989</v>
      </c>
      <c r="K1266" s="89" t="s">
        <v>254</v>
      </c>
      <c r="L1266" s="89" t="s">
        <v>254</v>
      </c>
      <c r="M1266" s="89">
        <v>0</v>
      </c>
      <c r="N1266" s="89" t="s">
        <v>254</v>
      </c>
      <c r="O1266" s="89">
        <v>0.99999999999999989</v>
      </c>
      <c r="P1266" s="89">
        <v>0.31035888116466848</v>
      </c>
      <c r="Q1266" s="89">
        <v>0.68964111883533141</v>
      </c>
      <c r="R1266" s="89"/>
    </row>
    <row r="1267" spans="1:18" ht="15">
      <c r="A1267" s="70">
        <v>24</v>
      </c>
      <c r="B1267" s="70"/>
      <c r="C1267" s="72" t="s">
        <v>1027</v>
      </c>
      <c r="D1267" s="72" t="s">
        <v>1028</v>
      </c>
      <c r="E1267" s="89">
        <v>0</v>
      </c>
      <c r="F1267" s="89" t="s">
        <v>254</v>
      </c>
      <c r="G1267" s="89">
        <v>0</v>
      </c>
      <c r="H1267" s="89" t="s">
        <v>254</v>
      </c>
      <c r="I1267" s="89">
        <v>0</v>
      </c>
      <c r="J1267" s="89">
        <v>0</v>
      </c>
      <c r="K1267" s="89" t="s">
        <v>254</v>
      </c>
      <c r="L1267" s="89" t="s">
        <v>254</v>
      </c>
      <c r="M1267" s="89">
        <v>0</v>
      </c>
      <c r="N1267" s="89" t="s">
        <v>254</v>
      </c>
      <c r="O1267" s="89">
        <v>0</v>
      </c>
      <c r="P1267" s="89">
        <v>0</v>
      </c>
      <c r="Q1267" s="89">
        <v>0</v>
      </c>
      <c r="R1267" s="89"/>
    </row>
    <row r="1268" spans="1:18" ht="15">
      <c r="A1268" s="70">
        <v>25</v>
      </c>
      <c r="B1268" s="70"/>
      <c r="C1268" s="72" t="s">
        <v>1029</v>
      </c>
      <c r="D1268" s="72" t="s">
        <v>1030</v>
      </c>
      <c r="E1268" s="89">
        <v>1</v>
      </c>
      <c r="F1268" s="89" t="s">
        <v>254</v>
      </c>
      <c r="G1268" s="89">
        <v>0</v>
      </c>
      <c r="H1268" s="89" t="s">
        <v>254</v>
      </c>
      <c r="I1268" s="89">
        <v>0</v>
      </c>
      <c r="J1268" s="89">
        <v>1</v>
      </c>
      <c r="K1268" s="89" t="s">
        <v>254</v>
      </c>
      <c r="L1268" s="89" t="s">
        <v>254</v>
      </c>
      <c r="M1268" s="89">
        <v>0</v>
      </c>
      <c r="N1268" s="89" t="s">
        <v>254</v>
      </c>
      <c r="O1268" s="89">
        <v>1</v>
      </c>
      <c r="P1268" s="89">
        <v>0.31035888116466837</v>
      </c>
      <c r="Q1268" s="89">
        <v>0.68964111883533163</v>
      </c>
      <c r="R1268" s="89"/>
    </row>
    <row r="1269" spans="1:18" ht="15">
      <c r="A1269" s="70">
        <v>26</v>
      </c>
      <c r="B1269" s="70"/>
      <c r="C1269" s="72" t="s">
        <v>1031</v>
      </c>
      <c r="D1269" s="72" t="s">
        <v>1032</v>
      </c>
      <c r="E1269" s="89">
        <v>1</v>
      </c>
      <c r="F1269" s="89" t="s">
        <v>254</v>
      </c>
      <c r="G1269" s="89">
        <v>0</v>
      </c>
      <c r="H1269" s="89" t="s">
        <v>254</v>
      </c>
      <c r="I1269" s="89">
        <v>0</v>
      </c>
      <c r="J1269" s="89">
        <v>1</v>
      </c>
      <c r="K1269" s="89" t="s">
        <v>254</v>
      </c>
      <c r="L1269" s="89" t="s">
        <v>254</v>
      </c>
      <c r="M1269" s="89">
        <v>0</v>
      </c>
      <c r="N1269" s="89" t="s">
        <v>254</v>
      </c>
      <c r="O1269" s="89">
        <v>1</v>
      </c>
      <c r="P1269" s="89">
        <v>0.31035888116466842</v>
      </c>
      <c r="Q1269" s="89">
        <v>0.68964111883533152</v>
      </c>
      <c r="R1269" s="89"/>
    </row>
    <row r="1270" spans="1:18" ht="15">
      <c r="A1270" s="70">
        <v>27</v>
      </c>
      <c r="B1270" s="70"/>
      <c r="C1270" s="72" t="s">
        <v>1033</v>
      </c>
      <c r="D1270" s="72" t="s">
        <v>1034</v>
      </c>
      <c r="E1270" s="89">
        <v>1</v>
      </c>
      <c r="F1270" s="89" t="s">
        <v>254</v>
      </c>
      <c r="G1270" s="89">
        <v>0.95106318110181076</v>
      </c>
      <c r="H1270" s="89" t="s">
        <v>254</v>
      </c>
      <c r="I1270" s="89">
        <v>4.5067444865248253E-2</v>
      </c>
      <c r="J1270" s="89">
        <v>3.8693740329410154E-3</v>
      </c>
      <c r="K1270" s="89" t="s">
        <v>254</v>
      </c>
      <c r="L1270" s="89" t="s">
        <v>254</v>
      </c>
      <c r="M1270" s="89">
        <v>3.3419664100924831E-6</v>
      </c>
      <c r="N1270" s="89" t="s">
        <v>254</v>
      </c>
      <c r="O1270" s="89">
        <v>3.8660320665309228E-3</v>
      </c>
      <c r="P1270" s="89">
        <v>1.1998573867152682E-3</v>
      </c>
      <c r="Q1270" s="89">
        <v>2.6661746798156546E-3</v>
      </c>
      <c r="R1270" s="89"/>
    </row>
    <row r="1271" spans="1:18" ht="15">
      <c r="A1271" s="70">
        <v>28</v>
      </c>
      <c r="B1271" s="70"/>
      <c r="C1271" s="72" t="s">
        <v>1160</v>
      </c>
      <c r="D1271" s="72" t="s">
        <v>462</v>
      </c>
      <c r="E1271" s="89">
        <v>1</v>
      </c>
      <c r="F1271" s="89" t="s">
        <v>254</v>
      </c>
      <c r="G1271" s="89">
        <v>0.1303997516937824</v>
      </c>
      <c r="H1271" s="89" t="s">
        <v>254</v>
      </c>
      <c r="I1271" s="89">
        <v>0.86959979009103416</v>
      </c>
      <c r="J1271" s="89">
        <v>4.5821518349617388E-7</v>
      </c>
      <c r="K1271" s="89" t="s">
        <v>254</v>
      </c>
      <c r="L1271" s="89" t="s">
        <v>254</v>
      </c>
      <c r="M1271" s="89">
        <v>4.5821518349617388E-7</v>
      </c>
      <c r="N1271" s="89" t="s">
        <v>254</v>
      </c>
      <c r="O1271" s="89">
        <v>0</v>
      </c>
      <c r="P1271" s="89">
        <v>0</v>
      </c>
      <c r="Q1271" s="89">
        <v>0</v>
      </c>
      <c r="R1271" s="89"/>
    </row>
    <row r="1272" spans="1:18" ht="15">
      <c r="A1272" s="70">
        <v>29</v>
      </c>
      <c r="B1272" s="70"/>
      <c r="C1272" s="72" t="s">
        <v>1036</v>
      </c>
      <c r="D1272" s="72" t="s">
        <v>663</v>
      </c>
      <c r="E1272" s="89">
        <v>0.99999999999999989</v>
      </c>
      <c r="F1272" s="89" t="s">
        <v>254</v>
      </c>
      <c r="G1272" s="89">
        <v>0.92715936261893517</v>
      </c>
      <c r="H1272" s="89" t="s">
        <v>254</v>
      </c>
      <c r="I1272" s="89">
        <v>7.2718403491475236E-2</v>
      </c>
      <c r="J1272" s="89">
        <v>1.2223388958958038E-4</v>
      </c>
      <c r="K1272" s="89" t="s">
        <v>254</v>
      </c>
      <c r="L1272" s="89" t="s">
        <v>254</v>
      </c>
      <c r="M1272" s="89">
        <v>1.2223388958958038E-4</v>
      </c>
      <c r="N1272" s="89" t="s">
        <v>254</v>
      </c>
      <c r="O1272" s="89">
        <v>0</v>
      </c>
      <c r="P1272" s="89">
        <v>0</v>
      </c>
      <c r="Q1272" s="89">
        <v>0</v>
      </c>
      <c r="R1272" s="89"/>
    </row>
    <row r="1273" spans="1:18" ht="15">
      <c r="A1273" s="70">
        <v>30</v>
      </c>
      <c r="B1273" s="70"/>
      <c r="C1273" s="72" t="s">
        <v>442</v>
      </c>
      <c r="D1273" s="72" t="s">
        <v>721</v>
      </c>
      <c r="E1273" s="89">
        <v>0.99999999999999989</v>
      </c>
      <c r="F1273" s="89" t="s">
        <v>254</v>
      </c>
      <c r="G1273" s="89">
        <v>0.88836722214228614</v>
      </c>
      <c r="H1273" s="89" t="s">
        <v>254</v>
      </c>
      <c r="I1273" s="89">
        <v>4.943346666437369E-2</v>
      </c>
      <c r="J1273" s="89">
        <v>6.2199311193340052E-2</v>
      </c>
      <c r="K1273" s="89" t="s">
        <v>254</v>
      </c>
      <c r="L1273" s="89" t="s">
        <v>254</v>
      </c>
      <c r="M1273" s="89">
        <v>2.1642545414835085E-5</v>
      </c>
      <c r="N1273" s="89" t="s">
        <v>254</v>
      </c>
      <c r="O1273" s="89">
        <v>6.2177668647925219E-2</v>
      </c>
      <c r="P1273" s="89">
        <v>1.9597448585961616E-2</v>
      </c>
      <c r="Q1273" s="89">
        <v>4.2580220061963603E-2</v>
      </c>
      <c r="R1273" s="89"/>
    </row>
    <row r="1274" spans="1:18" ht="15">
      <c r="A1274" s="70">
        <v>31</v>
      </c>
      <c r="B1274" s="70"/>
      <c r="C1274" s="72" t="s">
        <v>1037</v>
      </c>
      <c r="D1274" s="72" t="s">
        <v>492</v>
      </c>
      <c r="E1274" s="89">
        <v>1</v>
      </c>
      <c r="F1274" s="89" t="s">
        <v>254</v>
      </c>
      <c r="G1274" s="89">
        <v>1</v>
      </c>
      <c r="H1274" s="89" t="s">
        <v>254</v>
      </c>
      <c r="I1274" s="89">
        <v>0</v>
      </c>
      <c r="J1274" s="89">
        <v>0</v>
      </c>
      <c r="K1274" s="89" t="s">
        <v>254</v>
      </c>
      <c r="L1274" s="89" t="s">
        <v>254</v>
      </c>
      <c r="M1274" s="89">
        <v>0</v>
      </c>
      <c r="N1274" s="89" t="s">
        <v>254</v>
      </c>
      <c r="O1274" s="89">
        <v>0</v>
      </c>
      <c r="P1274" s="89">
        <v>0</v>
      </c>
      <c r="Q1274" s="89">
        <v>0</v>
      </c>
      <c r="R1274" s="89"/>
    </row>
    <row r="1275" spans="1:18" ht="15">
      <c r="A1275" s="70">
        <v>32</v>
      </c>
      <c r="B1275" s="70"/>
      <c r="C1275" s="72" t="s">
        <v>1038</v>
      </c>
      <c r="D1275" s="72" t="s">
        <v>802</v>
      </c>
      <c r="E1275" s="89">
        <v>1</v>
      </c>
      <c r="F1275" s="89" t="s">
        <v>254</v>
      </c>
      <c r="G1275" s="89">
        <v>0.93456606243533857</v>
      </c>
      <c r="H1275" s="89" t="s">
        <v>254</v>
      </c>
      <c r="I1275" s="89">
        <v>0</v>
      </c>
      <c r="J1275" s="89">
        <v>6.5433937564661468E-2</v>
      </c>
      <c r="K1275" s="89" t="s">
        <v>254</v>
      </c>
      <c r="L1275" s="89" t="s">
        <v>254</v>
      </c>
      <c r="M1275" s="89">
        <v>2.2768049006406093E-5</v>
      </c>
      <c r="N1275" s="89" t="s">
        <v>254</v>
      </c>
      <c r="O1275" s="89">
        <v>6.5411169515655065E-2</v>
      </c>
      <c r="P1275" s="89">
        <v>2.0616598521717728E-2</v>
      </c>
      <c r="Q1275" s="89">
        <v>4.4794570993937334E-2</v>
      </c>
      <c r="R1275" s="89"/>
    </row>
    <row r="1276" spans="1:18" ht="15">
      <c r="A1276" s="70">
        <v>33</v>
      </c>
      <c r="B1276" s="70"/>
      <c r="C1276" s="72" t="s">
        <v>1039</v>
      </c>
      <c r="D1276" s="72" t="s">
        <v>1040</v>
      </c>
      <c r="E1276" s="89">
        <v>1</v>
      </c>
      <c r="F1276" s="89" t="s">
        <v>254</v>
      </c>
      <c r="G1276" s="89">
        <v>0</v>
      </c>
      <c r="H1276" s="89" t="s">
        <v>254</v>
      </c>
      <c r="I1276" s="89">
        <v>1</v>
      </c>
      <c r="J1276" s="89">
        <v>0</v>
      </c>
      <c r="K1276" s="89" t="s">
        <v>254</v>
      </c>
      <c r="L1276" s="89" t="s">
        <v>254</v>
      </c>
      <c r="M1276" s="89">
        <v>0</v>
      </c>
      <c r="N1276" s="89" t="s">
        <v>254</v>
      </c>
      <c r="O1276" s="89">
        <v>0</v>
      </c>
      <c r="P1276" s="89">
        <v>0</v>
      </c>
      <c r="Q1276" s="89">
        <v>0</v>
      </c>
      <c r="R1276" s="89"/>
    </row>
    <row r="1277" spans="1:18" ht="15">
      <c r="A1277" s="70">
        <v>34</v>
      </c>
      <c r="B1277" s="70"/>
      <c r="C1277" s="72" t="s">
        <v>318</v>
      </c>
      <c r="D1277" s="72" t="s">
        <v>589</v>
      </c>
      <c r="E1277" s="89">
        <v>1</v>
      </c>
      <c r="F1277" s="89" t="s">
        <v>254</v>
      </c>
      <c r="G1277" s="89">
        <v>0.86934134052864609</v>
      </c>
      <c r="H1277" s="89" t="s">
        <v>254</v>
      </c>
      <c r="I1277" s="89">
        <v>4.1220156009841233E-2</v>
      </c>
      <c r="J1277" s="89">
        <v>8.9438503461512692E-2</v>
      </c>
      <c r="K1277" s="89" t="s">
        <v>254</v>
      </c>
      <c r="L1277" s="89" t="s">
        <v>254</v>
      </c>
      <c r="M1277" s="89">
        <v>3.0548018435386092E-6</v>
      </c>
      <c r="N1277" s="89" t="s">
        <v>254</v>
      </c>
      <c r="O1277" s="89">
        <v>8.9435448659669153E-2</v>
      </c>
      <c r="P1277" s="89">
        <v>2.7757085782475061E-2</v>
      </c>
      <c r="Q1277" s="89">
        <v>6.1678362877194096E-2</v>
      </c>
      <c r="R1277" s="89"/>
    </row>
    <row r="1278" spans="1:18" ht="15">
      <c r="A1278" s="70">
        <v>35</v>
      </c>
      <c r="B1278" s="70"/>
      <c r="C1278" s="72" t="s">
        <v>1041</v>
      </c>
      <c r="D1278" s="72" t="s">
        <v>604</v>
      </c>
      <c r="E1278" s="89">
        <v>1</v>
      </c>
      <c r="F1278" s="89" t="s">
        <v>254</v>
      </c>
      <c r="G1278" s="89">
        <v>0.87359415384933325</v>
      </c>
      <c r="H1278" s="89" t="s">
        <v>254</v>
      </c>
      <c r="I1278" s="89">
        <v>4.037817662379057E-2</v>
      </c>
      <c r="J1278" s="89">
        <v>8.6027669526876183E-2</v>
      </c>
      <c r="K1278" s="89" t="s">
        <v>254</v>
      </c>
      <c r="L1278" s="89" t="s">
        <v>254</v>
      </c>
      <c r="M1278" s="89">
        <v>3.0697459182841638E-6</v>
      </c>
      <c r="N1278" s="89" t="s">
        <v>254</v>
      </c>
      <c r="O1278" s="89">
        <v>8.6024599780957903E-2</v>
      </c>
      <c r="P1278" s="89">
        <v>2.6698498540656469E-2</v>
      </c>
      <c r="Q1278" s="89">
        <v>5.9326101240301438E-2</v>
      </c>
      <c r="R1278" s="89"/>
    </row>
    <row r="1279" spans="1:18" ht="15">
      <c r="A1279" s="70">
        <v>36</v>
      </c>
      <c r="B1279" s="70"/>
      <c r="C1279" s="72" t="s">
        <v>1042</v>
      </c>
      <c r="D1279" s="72" t="s">
        <v>619</v>
      </c>
      <c r="E1279" s="89">
        <v>0.99999999999999978</v>
      </c>
      <c r="F1279" s="89" t="s">
        <v>254</v>
      </c>
      <c r="G1279" s="89">
        <v>0.87402413290296932</v>
      </c>
      <c r="H1279" s="89" t="s">
        <v>254</v>
      </c>
      <c r="I1279" s="89">
        <v>4.0392406090260784E-2</v>
      </c>
      <c r="J1279" s="89">
        <v>8.5583461006769765E-2</v>
      </c>
      <c r="K1279" s="89" t="s">
        <v>254</v>
      </c>
      <c r="L1279" s="89" t="s">
        <v>254</v>
      </c>
      <c r="M1279" s="89">
        <v>3.0712568332084808E-6</v>
      </c>
      <c r="N1279" s="89" t="s">
        <v>254</v>
      </c>
      <c r="O1279" s="89">
        <v>8.558038974993655E-2</v>
      </c>
      <c r="P1279" s="89">
        <v>2.656063401242657E-2</v>
      </c>
      <c r="Q1279" s="89">
        <v>5.9019755737509977E-2</v>
      </c>
      <c r="R1279" s="89"/>
    </row>
    <row r="1280" spans="1:18" ht="15">
      <c r="A1280" s="70">
        <v>37</v>
      </c>
      <c r="B1280" s="70"/>
      <c r="C1280" s="72" t="s">
        <v>1043</v>
      </c>
      <c r="D1280" s="72" t="s">
        <v>660</v>
      </c>
      <c r="E1280" s="89">
        <v>1</v>
      </c>
      <c r="F1280" s="89" t="s">
        <v>254</v>
      </c>
      <c r="G1280" s="89">
        <v>0.94034906210241631</v>
      </c>
      <c r="H1280" s="89" t="s">
        <v>254</v>
      </c>
      <c r="I1280" s="89">
        <v>4.1193196832590886E-2</v>
      </c>
      <c r="J1280" s="89">
        <v>1.8457741064992837E-2</v>
      </c>
      <c r="K1280" s="89" t="s">
        <v>254</v>
      </c>
      <c r="L1280" s="89" t="s">
        <v>254</v>
      </c>
      <c r="M1280" s="89">
        <v>3.3417181147805058E-4</v>
      </c>
      <c r="N1280" s="89" t="s">
        <v>254</v>
      </c>
      <c r="O1280" s="89">
        <v>1.8123569253514788E-2</v>
      </c>
      <c r="P1280" s="89">
        <v>1.8123569253514788E-2</v>
      </c>
      <c r="Q1280" s="89">
        <v>0</v>
      </c>
      <c r="R1280" s="89"/>
    </row>
    <row r="1281" spans="1:18" ht="15">
      <c r="A1281" s="70">
        <v>38</v>
      </c>
      <c r="B1281" s="70"/>
      <c r="C1281" s="72" t="s">
        <v>1044</v>
      </c>
      <c r="D1281" s="72" t="s">
        <v>665</v>
      </c>
      <c r="E1281" s="89">
        <v>1</v>
      </c>
      <c r="F1281" s="89" t="s">
        <v>254</v>
      </c>
      <c r="G1281" s="89">
        <v>0.97319539494262552</v>
      </c>
      <c r="H1281" s="89" t="s">
        <v>254</v>
      </c>
      <c r="I1281" s="89">
        <v>2.6804605057374489E-2</v>
      </c>
      <c r="J1281" s="89">
        <v>0</v>
      </c>
      <c r="K1281" s="89" t="s">
        <v>254</v>
      </c>
      <c r="L1281" s="89" t="s">
        <v>254</v>
      </c>
      <c r="M1281" s="89">
        <v>0</v>
      </c>
      <c r="N1281" s="89" t="s">
        <v>254</v>
      </c>
      <c r="O1281" s="89">
        <v>0</v>
      </c>
      <c r="P1281" s="89">
        <v>0</v>
      </c>
      <c r="Q1281" s="89">
        <v>0</v>
      </c>
      <c r="R1281" s="89"/>
    </row>
    <row r="1282" spans="1:18" ht="15">
      <c r="A1282" s="70">
        <v>39</v>
      </c>
      <c r="B1282" s="70"/>
      <c r="C1282" s="72" t="s">
        <v>1045</v>
      </c>
      <c r="D1282" s="72" t="s">
        <v>667</v>
      </c>
      <c r="E1282" s="89">
        <v>0.99999999999999989</v>
      </c>
      <c r="F1282" s="89" t="s">
        <v>254</v>
      </c>
      <c r="G1282" s="89">
        <v>0.96714458081682897</v>
      </c>
      <c r="H1282" s="89" t="s">
        <v>254</v>
      </c>
      <c r="I1282" s="89">
        <v>3.2855419183170934E-2</v>
      </c>
      <c r="J1282" s="89">
        <v>0</v>
      </c>
      <c r="K1282" s="89" t="s">
        <v>254</v>
      </c>
      <c r="L1282" s="89" t="s">
        <v>254</v>
      </c>
      <c r="M1282" s="89">
        <v>0</v>
      </c>
      <c r="N1282" s="89" t="s">
        <v>254</v>
      </c>
      <c r="O1282" s="89">
        <v>0</v>
      </c>
      <c r="P1282" s="89">
        <v>0</v>
      </c>
      <c r="Q1282" s="89">
        <v>0</v>
      </c>
      <c r="R1282" s="89"/>
    </row>
    <row r="1283" spans="1:18" ht="15">
      <c r="A1283" s="70">
        <v>40</v>
      </c>
      <c r="B1283" s="70"/>
      <c r="C1283" s="72" t="s">
        <v>1046</v>
      </c>
      <c r="D1283" s="72" t="s">
        <v>669</v>
      </c>
      <c r="E1283" s="89">
        <v>1</v>
      </c>
      <c r="F1283" s="89" t="s">
        <v>254</v>
      </c>
      <c r="G1283" s="89">
        <v>0.95069729240828582</v>
      </c>
      <c r="H1283" s="89" t="s">
        <v>254</v>
      </c>
      <c r="I1283" s="89">
        <v>4.5114092554889962E-2</v>
      </c>
      <c r="J1283" s="89">
        <v>4.1886150368243115E-3</v>
      </c>
      <c r="K1283" s="89" t="s">
        <v>254</v>
      </c>
      <c r="L1283" s="89" t="s">
        <v>254</v>
      </c>
      <c r="M1283" s="89">
        <v>4.8105636973441062E-5</v>
      </c>
      <c r="N1283" s="89" t="s">
        <v>254</v>
      </c>
      <c r="O1283" s="89">
        <v>4.1405093998508708E-3</v>
      </c>
      <c r="P1283" s="89">
        <v>7.2351887958249693E-4</v>
      </c>
      <c r="Q1283" s="89">
        <v>3.4169905202683739E-3</v>
      </c>
      <c r="R1283" s="89"/>
    </row>
    <row r="1284" spans="1:18" ht="15">
      <c r="A1284" s="70">
        <v>41</v>
      </c>
      <c r="B1284" s="70"/>
      <c r="C1284" s="72" t="s">
        <v>1047</v>
      </c>
      <c r="D1284" s="72" t="s">
        <v>671</v>
      </c>
      <c r="E1284" s="89">
        <v>1</v>
      </c>
      <c r="F1284" s="89" t="s">
        <v>254</v>
      </c>
      <c r="G1284" s="89">
        <v>1</v>
      </c>
      <c r="H1284" s="89" t="s">
        <v>254</v>
      </c>
      <c r="I1284" s="89">
        <v>0</v>
      </c>
      <c r="J1284" s="89">
        <v>0</v>
      </c>
      <c r="K1284" s="89" t="s">
        <v>254</v>
      </c>
      <c r="L1284" s="89" t="s">
        <v>254</v>
      </c>
      <c r="M1284" s="89">
        <v>0</v>
      </c>
      <c r="N1284" s="89" t="s">
        <v>254</v>
      </c>
      <c r="O1284" s="89">
        <v>0</v>
      </c>
      <c r="P1284" s="89">
        <v>0</v>
      </c>
      <c r="Q1284" s="89">
        <v>0</v>
      </c>
      <c r="R1284" s="89"/>
    </row>
    <row r="1285" spans="1:18" ht="15">
      <c r="A1285" s="70">
        <v>42</v>
      </c>
      <c r="B1285" s="70"/>
      <c r="C1285" s="72" t="s">
        <v>1048</v>
      </c>
      <c r="D1285" s="72" t="s">
        <v>681</v>
      </c>
      <c r="E1285" s="89">
        <v>1</v>
      </c>
      <c r="F1285" s="89" t="s">
        <v>254</v>
      </c>
      <c r="G1285" s="89">
        <v>0.95884224008782881</v>
      </c>
      <c r="H1285" s="89" t="s">
        <v>254</v>
      </c>
      <c r="I1285" s="89">
        <v>3.9539000457504393E-2</v>
      </c>
      <c r="J1285" s="89">
        <v>1.6187594546668014E-3</v>
      </c>
      <c r="K1285" s="89" t="s">
        <v>254</v>
      </c>
      <c r="L1285" s="89" t="s">
        <v>254</v>
      </c>
      <c r="M1285" s="89">
        <v>9.6905001697686518E-6</v>
      </c>
      <c r="N1285" s="89" t="s">
        <v>254</v>
      </c>
      <c r="O1285" s="89">
        <v>1.6090689544970328E-3</v>
      </c>
      <c r="P1285" s="89">
        <v>4.9938884043450186E-4</v>
      </c>
      <c r="Q1285" s="89">
        <v>1.1096801140625309E-3</v>
      </c>
      <c r="R1285" s="89"/>
    </row>
    <row r="1286" spans="1:18" ht="15">
      <c r="A1286" s="70">
        <v>43</v>
      </c>
      <c r="B1286" s="70"/>
      <c r="C1286" s="72" t="s">
        <v>1049</v>
      </c>
      <c r="D1286" s="72" t="s">
        <v>697</v>
      </c>
      <c r="E1286" s="89">
        <v>0.99999999999999989</v>
      </c>
      <c r="F1286" s="89" t="s">
        <v>254</v>
      </c>
      <c r="G1286" s="89">
        <v>0.9487830986733472</v>
      </c>
      <c r="H1286" s="89" t="s">
        <v>254</v>
      </c>
      <c r="I1286" s="89">
        <v>5.0040851560344816E-2</v>
      </c>
      <c r="J1286" s="89">
        <v>1.1760497663079561E-3</v>
      </c>
      <c r="K1286" s="89" t="s">
        <v>254</v>
      </c>
      <c r="L1286" s="89" t="s">
        <v>254</v>
      </c>
      <c r="M1286" s="89">
        <v>7.9195270458448246E-6</v>
      </c>
      <c r="N1286" s="89" t="s">
        <v>254</v>
      </c>
      <c r="O1286" s="89">
        <v>1.1681302392621113E-3</v>
      </c>
      <c r="P1286" s="89">
        <v>6.0584381900712894E-4</v>
      </c>
      <c r="Q1286" s="89">
        <v>5.6228642025498235E-4</v>
      </c>
      <c r="R1286" s="89"/>
    </row>
    <row r="1287" spans="1:18" ht="15">
      <c r="A1287" s="70">
        <v>44</v>
      </c>
      <c r="B1287" s="70"/>
      <c r="C1287" s="72" t="s">
        <v>1050</v>
      </c>
      <c r="D1287" s="72" t="s">
        <v>707</v>
      </c>
      <c r="E1287" s="89">
        <v>1</v>
      </c>
      <c r="F1287" s="89" t="s">
        <v>254</v>
      </c>
      <c r="G1287" s="89">
        <v>0.9990090056498746</v>
      </c>
      <c r="H1287" s="89" t="s">
        <v>254</v>
      </c>
      <c r="I1287" s="89">
        <v>9.9085422083394683E-4</v>
      </c>
      <c r="J1287" s="89">
        <v>1.4012929159014945E-7</v>
      </c>
      <c r="K1287" s="89" t="s">
        <v>254</v>
      </c>
      <c r="L1287" s="89" t="s">
        <v>254</v>
      </c>
      <c r="M1287" s="89">
        <v>1.4012929159014945E-7</v>
      </c>
      <c r="N1287" s="89" t="s">
        <v>254</v>
      </c>
      <c r="O1287" s="89">
        <v>0</v>
      </c>
      <c r="P1287" s="89">
        <v>0</v>
      </c>
      <c r="Q1287" s="89">
        <v>0</v>
      </c>
      <c r="R1287" s="89"/>
    </row>
    <row r="1288" spans="1:18" ht="15">
      <c r="A1288" s="70">
        <v>45</v>
      </c>
      <c r="B1288" s="70"/>
      <c r="C1288" s="72" t="s">
        <v>1051</v>
      </c>
      <c r="D1288" s="72" t="s">
        <v>1052</v>
      </c>
      <c r="E1288" s="89">
        <v>1</v>
      </c>
      <c r="F1288" s="89" t="s">
        <v>254</v>
      </c>
      <c r="G1288" s="89">
        <v>0.92831178447573759</v>
      </c>
      <c r="H1288" s="89" t="s">
        <v>254</v>
      </c>
      <c r="I1288" s="89">
        <v>6.8618294230907234E-2</v>
      </c>
      <c r="J1288" s="89">
        <v>3.0699212933551138E-3</v>
      </c>
      <c r="K1288" s="89" t="s">
        <v>254</v>
      </c>
      <c r="L1288" s="89" t="s">
        <v>254</v>
      </c>
      <c r="M1288" s="89">
        <v>6.3784808963026203E-5</v>
      </c>
      <c r="N1288" s="89" t="s">
        <v>254</v>
      </c>
      <c r="O1288" s="89">
        <v>3.0061364843920876E-3</v>
      </c>
      <c r="P1288" s="89">
        <v>1.9045668780132887E-3</v>
      </c>
      <c r="Q1288" s="89">
        <v>1.1015696063787989E-3</v>
      </c>
      <c r="R1288" s="89"/>
    </row>
    <row r="1289" spans="1:18" ht="15">
      <c r="A1289" s="70" t="s">
        <v>254</v>
      </c>
      <c r="B1289" s="70"/>
      <c r="C1289" s="72" t="s">
        <v>1053</v>
      </c>
      <c r="D1289" s="72" t="s">
        <v>254</v>
      </c>
      <c r="E1289" s="89" t="s">
        <v>254</v>
      </c>
      <c r="F1289" s="89" t="s">
        <v>254</v>
      </c>
      <c r="G1289" s="89" t="s">
        <v>254</v>
      </c>
      <c r="H1289" s="89" t="s">
        <v>254</v>
      </c>
      <c r="I1289" s="89" t="s">
        <v>254</v>
      </c>
      <c r="J1289" s="89" t="s">
        <v>254</v>
      </c>
      <c r="K1289" s="89" t="s">
        <v>254</v>
      </c>
      <c r="L1289" s="89" t="s">
        <v>254</v>
      </c>
      <c r="M1289" s="89" t="s">
        <v>254</v>
      </c>
      <c r="N1289" s="89" t="s">
        <v>254</v>
      </c>
      <c r="O1289" s="89" t="s">
        <v>254</v>
      </c>
      <c r="P1289" s="89" t="s">
        <v>254</v>
      </c>
      <c r="Q1289" s="89" t="s">
        <v>254</v>
      </c>
      <c r="R1289" s="89"/>
    </row>
    <row r="1290" spans="1:18" ht="15">
      <c r="A1290" s="70" t="s">
        <v>254</v>
      </c>
      <c r="B1290" s="70"/>
      <c r="C1290" s="72" t="s">
        <v>925</v>
      </c>
      <c r="D1290" s="72" t="s">
        <v>254</v>
      </c>
      <c r="E1290" s="89" t="s">
        <v>254</v>
      </c>
      <c r="F1290" s="89" t="s">
        <v>254</v>
      </c>
      <c r="G1290" s="89" t="s">
        <v>254</v>
      </c>
      <c r="H1290" s="89" t="s">
        <v>254</v>
      </c>
      <c r="I1290" s="89" t="s">
        <v>254</v>
      </c>
      <c r="J1290" s="89" t="s">
        <v>254</v>
      </c>
      <c r="K1290" s="89" t="s">
        <v>254</v>
      </c>
      <c r="L1290" s="89" t="s">
        <v>254</v>
      </c>
      <c r="M1290" s="89" t="s">
        <v>254</v>
      </c>
      <c r="N1290" s="89" t="s">
        <v>254</v>
      </c>
      <c r="O1290" s="89" t="s">
        <v>254</v>
      </c>
      <c r="P1290" s="89" t="s">
        <v>254</v>
      </c>
      <c r="Q1290" s="89" t="s">
        <v>254</v>
      </c>
      <c r="R1290" s="89"/>
    </row>
    <row r="1291" spans="1:18" ht="15">
      <c r="A1291" s="70">
        <v>1</v>
      </c>
      <c r="B1291" s="70"/>
      <c r="C1291" s="72" t="s">
        <v>1054</v>
      </c>
      <c r="D1291" s="72" t="s">
        <v>716</v>
      </c>
      <c r="E1291" s="89">
        <v>1</v>
      </c>
      <c r="F1291" s="89" t="s">
        <v>254</v>
      </c>
      <c r="G1291" s="89">
        <v>0.94815391805577198</v>
      </c>
      <c r="H1291" s="89" t="s">
        <v>254</v>
      </c>
      <c r="I1291" s="89">
        <v>5.1838750767482566E-2</v>
      </c>
      <c r="J1291" s="89">
        <v>7.3311767455073626E-6</v>
      </c>
      <c r="K1291" s="89" t="s">
        <v>254</v>
      </c>
      <c r="L1291" s="89" t="s">
        <v>254</v>
      </c>
      <c r="M1291" s="89">
        <v>7.3311767455073626E-6</v>
      </c>
      <c r="N1291" s="89" t="s">
        <v>254</v>
      </c>
      <c r="O1291" s="89">
        <v>0</v>
      </c>
      <c r="P1291" s="89">
        <v>0</v>
      </c>
      <c r="Q1291" s="89">
        <v>0</v>
      </c>
      <c r="R1291" s="89"/>
    </row>
    <row r="1292" spans="1:18" ht="15">
      <c r="A1292" s="70">
        <v>2</v>
      </c>
      <c r="B1292" s="70"/>
      <c r="C1292" s="72" t="s">
        <v>1055</v>
      </c>
      <c r="D1292" s="72" t="s">
        <v>591</v>
      </c>
      <c r="E1292" s="89">
        <v>1</v>
      </c>
      <c r="F1292" s="89" t="s">
        <v>254</v>
      </c>
      <c r="G1292" s="89">
        <v>0</v>
      </c>
      <c r="H1292" s="89" t="s">
        <v>254</v>
      </c>
      <c r="I1292" s="89">
        <v>0</v>
      </c>
      <c r="J1292" s="89">
        <v>1</v>
      </c>
      <c r="K1292" s="89" t="s">
        <v>254</v>
      </c>
      <c r="L1292" s="89" t="s">
        <v>254</v>
      </c>
      <c r="M1292" s="89">
        <v>0</v>
      </c>
      <c r="N1292" s="89" t="s">
        <v>254</v>
      </c>
      <c r="O1292" s="89">
        <v>1</v>
      </c>
      <c r="P1292" s="89">
        <v>0.31107662746380199</v>
      </c>
      <c r="Q1292" s="89">
        <v>0.68892337253619795</v>
      </c>
      <c r="R1292" s="89"/>
    </row>
    <row r="1293" spans="1:18" ht="15">
      <c r="A1293" s="70">
        <v>3</v>
      </c>
      <c r="B1293" s="70"/>
      <c r="C1293" s="72" t="s">
        <v>1056</v>
      </c>
      <c r="D1293" s="72" t="s">
        <v>740</v>
      </c>
      <c r="E1293" s="89">
        <v>1</v>
      </c>
      <c r="F1293" s="89" t="s">
        <v>254</v>
      </c>
      <c r="G1293" s="89">
        <v>0</v>
      </c>
      <c r="H1293" s="89" t="s">
        <v>254</v>
      </c>
      <c r="I1293" s="89">
        <v>1</v>
      </c>
      <c r="J1293" s="89">
        <v>0</v>
      </c>
      <c r="K1293" s="89" t="s">
        <v>254</v>
      </c>
      <c r="L1293" s="89" t="s">
        <v>254</v>
      </c>
      <c r="M1293" s="89">
        <v>0</v>
      </c>
      <c r="N1293" s="89" t="s">
        <v>254</v>
      </c>
      <c r="O1293" s="89">
        <v>0</v>
      </c>
      <c r="P1293" s="89">
        <v>0</v>
      </c>
      <c r="Q1293" s="89">
        <v>0</v>
      </c>
      <c r="R1293" s="89"/>
    </row>
    <row r="1294" spans="1:18" ht="15">
      <c r="A1294" s="70">
        <v>4</v>
      </c>
      <c r="B1294" s="70"/>
      <c r="C1294" s="72" t="s">
        <v>1057</v>
      </c>
      <c r="D1294" s="72" t="s">
        <v>1058</v>
      </c>
      <c r="E1294" s="89">
        <v>1.0000000000000002</v>
      </c>
      <c r="F1294" s="89" t="s">
        <v>254</v>
      </c>
      <c r="G1294" s="89">
        <v>0.89459565674892372</v>
      </c>
      <c r="H1294" s="89" t="s">
        <v>254</v>
      </c>
      <c r="I1294" s="89">
        <v>4.1352584055500304E-2</v>
      </c>
      <c r="J1294" s="89">
        <v>6.4051759195576055E-2</v>
      </c>
      <c r="K1294" s="89" t="s">
        <v>254</v>
      </c>
      <c r="L1294" s="89" t="s">
        <v>254</v>
      </c>
      <c r="M1294" s="89">
        <v>3.4831224035664376E-8</v>
      </c>
      <c r="N1294" s="89" t="s">
        <v>254</v>
      </c>
      <c r="O1294" s="89">
        <v>6.4051724364352025E-2</v>
      </c>
      <c r="P1294" s="89">
        <v>1.9924994398503669E-2</v>
      </c>
      <c r="Q1294" s="89">
        <v>4.4126729965848363E-2</v>
      </c>
      <c r="R1294" s="89"/>
    </row>
    <row r="1295" spans="1:18" ht="15">
      <c r="A1295" s="70">
        <v>5</v>
      </c>
      <c r="B1295" s="70"/>
      <c r="C1295" s="72" t="s">
        <v>1059</v>
      </c>
      <c r="D1295" s="72" t="s">
        <v>731</v>
      </c>
      <c r="E1295" s="89">
        <v>1</v>
      </c>
      <c r="F1295" s="89" t="s">
        <v>254</v>
      </c>
      <c r="G1295" s="89">
        <v>0</v>
      </c>
      <c r="H1295" s="89" t="s">
        <v>254</v>
      </c>
      <c r="I1295" s="89">
        <v>1</v>
      </c>
      <c r="J1295" s="89">
        <v>0</v>
      </c>
      <c r="K1295" s="89" t="s">
        <v>254</v>
      </c>
      <c r="L1295" s="89" t="s">
        <v>254</v>
      </c>
      <c r="M1295" s="89">
        <v>0</v>
      </c>
      <c r="N1295" s="89" t="s">
        <v>254</v>
      </c>
      <c r="O1295" s="89">
        <v>0</v>
      </c>
      <c r="P1295" s="89">
        <v>0</v>
      </c>
      <c r="Q1295" s="89">
        <v>0</v>
      </c>
      <c r="R1295" s="89"/>
    </row>
    <row r="1296" spans="1:18" ht="15">
      <c r="A1296" s="70">
        <v>6</v>
      </c>
      <c r="B1296" s="70"/>
      <c r="C1296" s="72" t="s">
        <v>1060</v>
      </c>
      <c r="D1296" s="72" t="s">
        <v>1061</v>
      </c>
      <c r="E1296" s="89">
        <v>1.0000000000000002</v>
      </c>
      <c r="F1296" s="89" t="s">
        <v>254</v>
      </c>
      <c r="G1296" s="89">
        <v>0.95581741003941734</v>
      </c>
      <c r="H1296" s="89" t="s">
        <v>254</v>
      </c>
      <c r="I1296" s="89">
        <v>4.4182552745680045E-2</v>
      </c>
      <c r="J1296" s="89">
        <v>3.7214902727406386E-8</v>
      </c>
      <c r="K1296" s="89" t="s">
        <v>254</v>
      </c>
      <c r="L1296" s="89" t="s">
        <v>254</v>
      </c>
      <c r="M1296" s="89">
        <v>3.7214902727406386E-8</v>
      </c>
      <c r="N1296" s="89" t="s">
        <v>254</v>
      </c>
      <c r="O1296" s="89">
        <v>0</v>
      </c>
      <c r="P1296" s="89">
        <v>0</v>
      </c>
      <c r="Q1296" s="89">
        <v>0</v>
      </c>
      <c r="R1296" s="89"/>
    </row>
    <row r="1297" spans="1:18" ht="15">
      <c r="A1297" s="70">
        <v>7</v>
      </c>
      <c r="B1297" s="70"/>
      <c r="C1297" s="72" t="s">
        <v>1062</v>
      </c>
      <c r="D1297" s="72" t="s">
        <v>751</v>
      </c>
      <c r="E1297" s="89">
        <v>0.99999999999999989</v>
      </c>
      <c r="F1297" s="89" t="s">
        <v>254</v>
      </c>
      <c r="G1297" s="89">
        <v>0.99717076150041817</v>
      </c>
      <c r="H1297" s="89" t="s">
        <v>254</v>
      </c>
      <c r="I1297" s="89">
        <v>0</v>
      </c>
      <c r="J1297" s="89">
        <v>2.8292384995817527E-3</v>
      </c>
      <c r="K1297" s="89" t="s">
        <v>254</v>
      </c>
      <c r="L1297" s="89" t="s">
        <v>254</v>
      </c>
      <c r="M1297" s="89">
        <v>0</v>
      </c>
      <c r="N1297" s="89" t="s">
        <v>254</v>
      </c>
      <c r="O1297" s="89">
        <v>2.8292384995817527E-3</v>
      </c>
      <c r="P1297" s="89">
        <v>2.4523658184283492E-3</v>
      </c>
      <c r="Q1297" s="89">
        <v>3.7687268115340353E-4</v>
      </c>
      <c r="R1297" s="89"/>
    </row>
    <row r="1298" spans="1:18" ht="15">
      <c r="A1298" s="70">
        <v>8</v>
      </c>
      <c r="B1298" s="70"/>
      <c r="C1298" s="72" t="s">
        <v>1063</v>
      </c>
      <c r="D1298" s="72" t="s">
        <v>753</v>
      </c>
      <c r="E1298" s="89">
        <v>1</v>
      </c>
      <c r="F1298" s="89" t="s">
        <v>254</v>
      </c>
      <c r="G1298" s="89">
        <v>0</v>
      </c>
      <c r="H1298" s="89" t="s">
        <v>254</v>
      </c>
      <c r="I1298" s="89">
        <v>1</v>
      </c>
      <c r="J1298" s="89">
        <v>0</v>
      </c>
      <c r="K1298" s="89" t="s">
        <v>254</v>
      </c>
      <c r="L1298" s="89" t="s">
        <v>254</v>
      </c>
      <c r="M1298" s="89">
        <v>0</v>
      </c>
      <c r="N1298" s="89" t="s">
        <v>254</v>
      </c>
      <c r="O1298" s="89">
        <v>0</v>
      </c>
      <c r="P1298" s="89">
        <v>0</v>
      </c>
      <c r="Q1298" s="89">
        <v>0</v>
      </c>
      <c r="R1298" s="89"/>
    </row>
    <row r="1299" spans="1:18" ht="15">
      <c r="A1299" s="70">
        <v>9</v>
      </c>
      <c r="B1299" s="70"/>
      <c r="C1299" s="72" t="s">
        <v>1064</v>
      </c>
      <c r="D1299" s="72" t="s">
        <v>755</v>
      </c>
      <c r="E1299" s="89">
        <v>1</v>
      </c>
      <c r="F1299" s="89" t="s">
        <v>254</v>
      </c>
      <c r="G1299" s="89">
        <v>0</v>
      </c>
      <c r="H1299" s="89" t="s">
        <v>254</v>
      </c>
      <c r="I1299" s="89">
        <v>0</v>
      </c>
      <c r="J1299" s="89">
        <v>1</v>
      </c>
      <c r="K1299" s="89" t="s">
        <v>254</v>
      </c>
      <c r="L1299" s="89" t="s">
        <v>254</v>
      </c>
      <c r="M1299" s="89">
        <v>1</v>
      </c>
      <c r="N1299" s="89" t="s">
        <v>254</v>
      </c>
      <c r="O1299" s="89">
        <v>0</v>
      </c>
      <c r="P1299" s="89">
        <v>0</v>
      </c>
      <c r="Q1299" s="89">
        <v>0</v>
      </c>
      <c r="R1299" s="89"/>
    </row>
    <row r="1300" spans="1:18" ht="15">
      <c r="A1300" s="70">
        <v>10</v>
      </c>
      <c r="B1300" s="70"/>
      <c r="C1300" s="72" t="s">
        <v>477</v>
      </c>
      <c r="D1300" s="72" t="s">
        <v>764</v>
      </c>
      <c r="E1300" s="89">
        <v>1</v>
      </c>
      <c r="F1300" s="89" t="s">
        <v>254</v>
      </c>
      <c r="G1300" s="89">
        <v>0.8917362032131515</v>
      </c>
      <c r="H1300" s="89" t="s">
        <v>254</v>
      </c>
      <c r="I1300" s="89">
        <v>4.6437127542892837E-2</v>
      </c>
      <c r="J1300" s="89">
        <v>6.1826669243955697E-2</v>
      </c>
      <c r="K1300" s="89" t="s">
        <v>254</v>
      </c>
      <c r="L1300" s="89" t="s">
        <v>254</v>
      </c>
      <c r="M1300" s="89">
        <v>7.8955563580050912E-6</v>
      </c>
      <c r="N1300" s="89" t="s">
        <v>254</v>
      </c>
      <c r="O1300" s="89">
        <v>6.1818773687597695E-2</v>
      </c>
      <c r="P1300" s="89">
        <v>1.9476160832833492E-2</v>
      </c>
      <c r="Q1300" s="89">
        <v>4.2342612854764199E-2</v>
      </c>
      <c r="R1300" s="89"/>
    </row>
    <row r="1301" spans="1:18" ht="15">
      <c r="A1301" s="70">
        <v>11</v>
      </c>
      <c r="B1301" s="70"/>
      <c r="C1301" s="72" t="s">
        <v>550</v>
      </c>
      <c r="D1301" s="72" t="s">
        <v>786</v>
      </c>
      <c r="E1301" s="89">
        <v>0.99999999999999989</v>
      </c>
      <c r="F1301" s="89" t="s">
        <v>254</v>
      </c>
      <c r="G1301" s="89">
        <v>0.89393924259098201</v>
      </c>
      <c r="H1301" s="89" t="s">
        <v>254</v>
      </c>
      <c r="I1301" s="89">
        <v>4.3630974338342746E-2</v>
      </c>
      <c r="J1301" s="89">
        <v>6.2429783070675191E-2</v>
      </c>
      <c r="K1301" s="89" t="s">
        <v>254</v>
      </c>
      <c r="L1301" s="89" t="s">
        <v>254</v>
      </c>
      <c r="M1301" s="89">
        <v>4.631172342936553E-6</v>
      </c>
      <c r="N1301" s="89" t="s">
        <v>254</v>
      </c>
      <c r="O1301" s="89">
        <v>6.2425151898332254E-2</v>
      </c>
      <c r="P1301" s="89">
        <v>1.9656708542404148E-2</v>
      </c>
      <c r="Q1301" s="89">
        <v>4.2768443355928103E-2</v>
      </c>
      <c r="R1301" s="89"/>
    </row>
    <row r="1302" spans="1:18" ht="15">
      <c r="A1302" s="70">
        <v>12</v>
      </c>
      <c r="B1302" s="70"/>
      <c r="C1302" s="72" t="s">
        <v>1065</v>
      </c>
      <c r="D1302" s="72" t="s">
        <v>790</v>
      </c>
      <c r="E1302" s="89">
        <v>0</v>
      </c>
      <c r="F1302" s="89" t="s">
        <v>254</v>
      </c>
      <c r="G1302" s="89">
        <v>0</v>
      </c>
      <c r="H1302" s="89" t="s">
        <v>254</v>
      </c>
      <c r="I1302" s="89">
        <v>0</v>
      </c>
      <c r="J1302" s="89">
        <v>0</v>
      </c>
      <c r="K1302" s="89" t="s">
        <v>254</v>
      </c>
      <c r="L1302" s="89" t="s">
        <v>254</v>
      </c>
      <c r="M1302" s="89">
        <v>0</v>
      </c>
      <c r="N1302" s="89" t="s">
        <v>254</v>
      </c>
      <c r="O1302" s="89">
        <v>0</v>
      </c>
      <c r="P1302" s="89">
        <v>0</v>
      </c>
      <c r="Q1302" s="89">
        <v>0</v>
      </c>
      <c r="R1302" s="89"/>
    </row>
    <row r="1303" spans="1:18" ht="15">
      <c r="A1303" s="70">
        <v>13</v>
      </c>
      <c r="B1303" s="70"/>
      <c r="C1303" s="72" t="s">
        <v>1161</v>
      </c>
      <c r="D1303" s="72" t="s">
        <v>1067</v>
      </c>
      <c r="E1303" s="89">
        <v>1</v>
      </c>
      <c r="F1303" s="89" t="s">
        <v>254</v>
      </c>
      <c r="G1303" s="89">
        <v>0.90503693988910217</v>
      </c>
      <c r="H1303" s="89" t="s">
        <v>254</v>
      </c>
      <c r="I1303" s="89">
        <v>3.1597331756348483E-2</v>
      </c>
      <c r="J1303" s="89">
        <v>6.3365728354549358E-2</v>
      </c>
      <c r="K1303" s="89" t="s">
        <v>254</v>
      </c>
      <c r="L1303" s="89" t="s">
        <v>254</v>
      </c>
      <c r="M1303" s="89">
        <v>2.2072882819663626E-5</v>
      </c>
      <c r="N1303" s="89" t="s">
        <v>254</v>
      </c>
      <c r="O1303" s="89">
        <v>6.3343655471729696E-2</v>
      </c>
      <c r="P1303" s="89">
        <v>1.9964922510385751E-2</v>
      </c>
      <c r="Q1303" s="89">
        <v>4.3378732961343945E-2</v>
      </c>
      <c r="R1303" s="89"/>
    </row>
    <row r="1304" spans="1:18" ht="15">
      <c r="A1304" s="70">
        <v>14</v>
      </c>
      <c r="B1304" s="70"/>
      <c r="C1304" s="72" t="s">
        <v>1068</v>
      </c>
      <c r="D1304" s="72" t="s">
        <v>1069</v>
      </c>
      <c r="E1304" s="89">
        <v>0.99999999999999978</v>
      </c>
      <c r="F1304" s="89" t="s">
        <v>254</v>
      </c>
      <c r="G1304" s="89">
        <v>0.87797320582442862</v>
      </c>
      <c r="H1304" s="89" t="s">
        <v>254</v>
      </c>
      <c r="I1304" s="89">
        <v>3.7133743879695286E-2</v>
      </c>
      <c r="J1304" s="89">
        <v>8.4893050295875933E-2</v>
      </c>
      <c r="K1304" s="89" t="s">
        <v>254</v>
      </c>
      <c r="L1304" s="89" t="s">
        <v>254</v>
      </c>
      <c r="M1304" s="89">
        <v>4.065729791117464E-6</v>
      </c>
      <c r="N1304" s="89" t="s">
        <v>254</v>
      </c>
      <c r="O1304" s="89">
        <v>8.4888984566084819E-2</v>
      </c>
      <c r="P1304" s="89">
        <v>2.6752221486389303E-2</v>
      </c>
      <c r="Q1304" s="89">
        <v>5.8136763079695515E-2</v>
      </c>
      <c r="R1304" s="89"/>
    </row>
    <row r="1305" spans="1:18" ht="15">
      <c r="A1305" s="70">
        <v>15</v>
      </c>
      <c r="B1305" s="70"/>
      <c r="C1305" s="72" t="s">
        <v>1070</v>
      </c>
      <c r="D1305" s="72" t="s">
        <v>1071</v>
      </c>
      <c r="E1305" s="89">
        <v>1</v>
      </c>
      <c r="F1305" s="89" t="s">
        <v>254</v>
      </c>
      <c r="G1305" s="89">
        <v>0.87874520011296253</v>
      </c>
      <c r="H1305" s="89" t="s">
        <v>254</v>
      </c>
      <c r="I1305" s="89">
        <v>3.6879302924829847E-2</v>
      </c>
      <c r="J1305" s="89">
        <v>8.4375496962207683E-2</v>
      </c>
      <c r="K1305" s="89" t="s">
        <v>254</v>
      </c>
      <c r="L1305" s="89" t="s">
        <v>254</v>
      </c>
      <c r="M1305" s="89">
        <v>4.0573705146208928E-6</v>
      </c>
      <c r="N1305" s="89" t="s">
        <v>254</v>
      </c>
      <c r="O1305" s="89">
        <v>8.4371439591693062E-2</v>
      </c>
      <c r="P1305" s="89">
        <v>2.6594842169618719E-2</v>
      </c>
      <c r="Q1305" s="89">
        <v>5.777659742207434E-2</v>
      </c>
      <c r="R1305" s="89"/>
    </row>
    <row r="1306" spans="1:18" ht="15">
      <c r="A1306" s="70">
        <v>16</v>
      </c>
      <c r="B1306" s="70"/>
      <c r="C1306" s="72" t="s">
        <v>1072</v>
      </c>
      <c r="D1306" s="72" t="s">
        <v>1073</v>
      </c>
      <c r="E1306" s="89">
        <v>1.0000000000000002</v>
      </c>
      <c r="F1306" s="89" t="s">
        <v>254</v>
      </c>
      <c r="G1306" s="89">
        <v>0.87359415384933337</v>
      </c>
      <c r="H1306" s="89" t="s">
        <v>254</v>
      </c>
      <c r="I1306" s="89">
        <v>4.037817662379057E-2</v>
      </c>
      <c r="J1306" s="89">
        <v>8.6027669526876183E-2</v>
      </c>
      <c r="K1306" s="89" t="s">
        <v>254</v>
      </c>
      <c r="L1306" s="89" t="s">
        <v>254</v>
      </c>
      <c r="M1306" s="89">
        <v>3.0697459182841638E-6</v>
      </c>
      <c r="N1306" s="89" t="s">
        <v>254</v>
      </c>
      <c r="O1306" s="89">
        <v>8.6024599780957903E-2</v>
      </c>
      <c r="P1306" s="89">
        <v>2.6698498540656469E-2</v>
      </c>
      <c r="Q1306" s="89">
        <v>5.9326101240301438E-2</v>
      </c>
      <c r="R1306" s="89"/>
    </row>
    <row r="1307" spans="1:18" ht="15">
      <c r="A1307" s="70">
        <v>17</v>
      </c>
      <c r="B1307" s="70"/>
      <c r="C1307" s="72" t="s">
        <v>1074</v>
      </c>
      <c r="D1307" s="72" t="s">
        <v>1075</v>
      </c>
      <c r="E1307" s="89">
        <v>1</v>
      </c>
      <c r="F1307" s="89" t="s">
        <v>254</v>
      </c>
      <c r="G1307" s="89">
        <v>0.87463884019521787</v>
      </c>
      <c r="H1307" s="89" t="s">
        <v>254</v>
      </c>
      <c r="I1307" s="89">
        <v>3.9670148343709362E-2</v>
      </c>
      <c r="J1307" s="89">
        <v>8.569101146107283E-2</v>
      </c>
      <c r="K1307" s="89" t="s">
        <v>254</v>
      </c>
      <c r="L1307" s="89" t="s">
        <v>254</v>
      </c>
      <c r="M1307" s="89">
        <v>3.2811198248907823E-6</v>
      </c>
      <c r="N1307" s="89" t="s">
        <v>254</v>
      </c>
      <c r="O1307" s="89">
        <v>8.5687730341247936E-2</v>
      </c>
      <c r="P1307" s="89">
        <v>2.6679835478835821E-2</v>
      </c>
      <c r="Q1307" s="89">
        <v>5.9007894862412112E-2</v>
      </c>
      <c r="R1307" s="89"/>
    </row>
    <row r="1308" spans="1:18" ht="15">
      <c r="A1308" s="70">
        <v>18</v>
      </c>
      <c r="B1308" s="70"/>
      <c r="C1308" s="72" t="s">
        <v>1076</v>
      </c>
      <c r="D1308" s="72" t="s">
        <v>1077</v>
      </c>
      <c r="E1308" s="89">
        <v>0.99999999999999978</v>
      </c>
      <c r="F1308" s="89" t="s">
        <v>254</v>
      </c>
      <c r="G1308" s="89">
        <v>0.87935734432995794</v>
      </c>
      <c r="H1308" s="89" t="s">
        <v>254</v>
      </c>
      <c r="I1308" s="89">
        <v>3.6473648627322955E-2</v>
      </c>
      <c r="J1308" s="89">
        <v>8.416900704271893E-2</v>
      </c>
      <c r="K1308" s="89" t="s">
        <v>254</v>
      </c>
      <c r="L1308" s="89" t="s">
        <v>254</v>
      </c>
      <c r="M1308" s="89">
        <v>4.235425944660719E-6</v>
      </c>
      <c r="N1308" s="89" t="s">
        <v>254</v>
      </c>
      <c r="O1308" s="89">
        <v>8.416477161677427E-2</v>
      </c>
      <c r="P1308" s="89">
        <v>2.6594931146774112E-2</v>
      </c>
      <c r="Q1308" s="89">
        <v>5.7569840470000154E-2</v>
      </c>
      <c r="R1308" s="89"/>
    </row>
    <row r="1309" spans="1:18" ht="15">
      <c r="A1309" s="70">
        <v>19</v>
      </c>
      <c r="B1309" s="70"/>
      <c r="C1309" s="72" t="s">
        <v>1078</v>
      </c>
      <c r="D1309" s="72" t="s">
        <v>1079</v>
      </c>
      <c r="E1309" s="89">
        <v>1</v>
      </c>
      <c r="F1309" s="89" t="s">
        <v>254</v>
      </c>
      <c r="G1309" s="89">
        <v>0.87402413290296943</v>
      </c>
      <c r="H1309" s="89" t="s">
        <v>254</v>
      </c>
      <c r="I1309" s="89">
        <v>4.0392406090260784E-2</v>
      </c>
      <c r="J1309" s="89">
        <v>8.5583461006769779E-2</v>
      </c>
      <c r="K1309" s="89" t="s">
        <v>254</v>
      </c>
      <c r="L1309" s="89" t="s">
        <v>254</v>
      </c>
      <c r="M1309" s="89">
        <v>3.0712568332084812E-6</v>
      </c>
      <c r="N1309" s="89" t="s">
        <v>254</v>
      </c>
      <c r="O1309" s="89">
        <v>8.5580389749936564E-2</v>
      </c>
      <c r="P1309" s="89">
        <v>2.6560634012426573E-2</v>
      </c>
      <c r="Q1309" s="89">
        <v>5.9019755737509984E-2</v>
      </c>
      <c r="R1309" s="89"/>
    </row>
    <row r="1310" spans="1:18" ht="15">
      <c r="A1310" s="70">
        <v>20</v>
      </c>
      <c r="B1310" s="70"/>
      <c r="C1310" s="72" t="s">
        <v>1162</v>
      </c>
      <c r="D1310" s="72" t="s">
        <v>1081</v>
      </c>
      <c r="E1310" s="89">
        <v>0</v>
      </c>
      <c r="F1310" s="89" t="s">
        <v>254</v>
      </c>
      <c r="G1310" s="89">
        <v>0</v>
      </c>
      <c r="H1310" s="89" t="s">
        <v>254</v>
      </c>
      <c r="I1310" s="89">
        <v>0</v>
      </c>
      <c r="J1310" s="89">
        <v>0</v>
      </c>
      <c r="K1310" s="89" t="s">
        <v>254</v>
      </c>
      <c r="L1310" s="89" t="s">
        <v>254</v>
      </c>
      <c r="M1310" s="89">
        <v>0</v>
      </c>
      <c r="N1310" s="89" t="s">
        <v>254</v>
      </c>
      <c r="O1310" s="89">
        <v>0</v>
      </c>
      <c r="P1310" s="89">
        <v>0</v>
      </c>
      <c r="Q1310" s="89">
        <v>0</v>
      </c>
      <c r="R1310" s="89"/>
    </row>
    <row r="1311" spans="1:18" ht="15">
      <c r="A1311" s="70">
        <v>21</v>
      </c>
      <c r="B1311" s="70"/>
      <c r="C1311" s="72" t="s">
        <v>1163</v>
      </c>
      <c r="D1311" s="72" t="s">
        <v>1083</v>
      </c>
      <c r="E1311" s="89">
        <v>0</v>
      </c>
      <c r="F1311" s="89" t="s">
        <v>254</v>
      </c>
      <c r="G1311" s="89">
        <v>0</v>
      </c>
      <c r="H1311" s="89" t="s">
        <v>254</v>
      </c>
      <c r="I1311" s="89">
        <v>0</v>
      </c>
      <c r="J1311" s="89">
        <v>0</v>
      </c>
      <c r="K1311" s="89" t="s">
        <v>254</v>
      </c>
      <c r="L1311" s="89" t="s">
        <v>254</v>
      </c>
      <c r="M1311" s="89">
        <v>0</v>
      </c>
      <c r="N1311" s="89" t="s">
        <v>254</v>
      </c>
      <c r="O1311" s="89">
        <v>0</v>
      </c>
      <c r="P1311" s="89">
        <v>0</v>
      </c>
      <c r="Q1311" s="89">
        <v>0</v>
      </c>
      <c r="R1311" s="89"/>
    </row>
    <row r="1312" spans="1:18" ht="15">
      <c r="A1312" s="70">
        <v>22</v>
      </c>
      <c r="B1312" s="70"/>
      <c r="C1312" s="72" t="s">
        <v>1164</v>
      </c>
      <c r="D1312" s="72" t="s">
        <v>1085</v>
      </c>
      <c r="E1312" s="89">
        <v>0</v>
      </c>
      <c r="F1312" s="89" t="s">
        <v>254</v>
      </c>
      <c r="G1312" s="89">
        <v>0</v>
      </c>
      <c r="H1312" s="89" t="s">
        <v>254</v>
      </c>
      <c r="I1312" s="89">
        <v>0</v>
      </c>
      <c r="J1312" s="89">
        <v>0</v>
      </c>
      <c r="K1312" s="89" t="s">
        <v>254</v>
      </c>
      <c r="L1312" s="89" t="s">
        <v>254</v>
      </c>
      <c r="M1312" s="89">
        <v>0</v>
      </c>
      <c r="N1312" s="89" t="s">
        <v>254</v>
      </c>
      <c r="O1312" s="89">
        <v>0</v>
      </c>
      <c r="P1312" s="89">
        <v>0</v>
      </c>
      <c r="Q1312" s="89">
        <v>0</v>
      </c>
      <c r="R1312" s="89"/>
    </row>
    <row r="1313" spans="1:18" ht="15">
      <c r="A1313" s="70">
        <v>23</v>
      </c>
      <c r="B1313" s="70"/>
      <c r="C1313" s="72" t="s">
        <v>1165</v>
      </c>
      <c r="D1313" s="72" t="s">
        <v>1087</v>
      </c>
      <c r="E1313" s="89">
        <v>0</v>
      </c>
      <c r="F1313" s="89" t="s">
        <v>254</v>
      </c>
      <c r="G1313" s="89">
        <v>0</v>
      </c>
      <c r="H1313" s="89" t="s">
        <v>254</v>
      </c>
      <c r="I1313" s="89">
        <v>0</v>
      </c>
      <c r="J1313" s="89">
        <v>0</v>
      </c>
      <c r="K1313" s="89" t="s">
        <v>254</v>
      </c>
      <c r="L1313" s="89" t="s">
        <v>254</v>
      </c>
      <c r="M1313" s="89">
        <v>0</v>
      </c>
      <c r="N1313" s="89" t="s">
        <v>254</v>
      </c>
      <c r="O1313" s="89">
        <v>0</v>
      </c>
      <c r="P1313" s="89">
        <v>0</v>
      </c>
      <c r="Q1313" s="89">
        <v>0</v>
      </c>
      <c r="R1313" s="89"/>
    </row>
    <row r="1314" spans="1:18" ht="15">
      <c r="A1314" s="70">
        <v>24</v>
      </c>
      <c r="B1314" s="70"/>
      <c r="C1314" s="72" t="s">
        <v>1166</v>
      </c>
      <c r="D1314" s="72" t="s">
        <v>1089</v>
      </c>
      <c r="E1314" s="89">
        <v>0</v>
      </c>
      <c r="F1314" s="89" t="s">
        <v>254</v>
      </c>
      <c r="G1314" s="89">
        <v>0</v>
      </c>
      <c r="H1314" s="89" t="s">
        <v>254</v>
      </c>
      <c r="I1314" s="89">
        <v>0</v>
      </c>
      <c r="J1314" s="89">
        <v>0</v>
      </c>
      <c r="K1314" s="89" t="s">
        <v>254</v>
      </c>
      <c r="L1314" s="89" t="s">
        <v>254</v>
      </c>
      <c r="M1314" s="89">
        <v>0</v>
      </c>
      <c r="N1314" s="89" t="s">
        <v>254</v>
      </c>
      <c r="O1314" s="89">
        <v>0</v>
      </c>
      <c r="P1314" s="89">
        <v>0</v>
      </c>
      <c r="Q1314" s="89">
        <v>0</v>
      </c>
      <c r="R1314" s="89"/>
    </row>
    <row r="1315" spans="1:18" ht="15">
      <c r="A1315" s="70">
        <v>25</v>
      </c>
      <c r="B1315" s="70"/>
      <c r="C1315" s="72" t="s">
        <v>1167</v>
      </c>
      <c r="D1315" s="72" t="s">
        <v>1091</v>
      </c>
      <c r="E1315" s="89">
        <v>0</v>
      </c>
      <c r="F1315" s="89" t="s">
        <v>254</v>
      </c>
      <c r="G1315" s="89">
        <v>0</v>
      </c>
      <c r="H1315" s="89" t="s">
        <v>254</v>
      </c>
      <c r="I1315" s="89">
        <v>0</v>
      </c>
      <c r="J1315" s="89">
        <v>0</v>
      </c>
      <c r="K1315" s="89" t="s">
        <v>254</v>
      </c>
      <c r="L1315" s="89" t="s">
        <v>254</v>
      </c>
      <c r="M1315" s="89">
        <v>0</v>
      </c>
      <c r="N1315" s="89" t="s">
        <v>254</v>
      </c>
      <c r="O1315" s="89">
        <v>0</v>
      </c>
      <c r="P1315" s="89">
        <v>0</v>
      </c>
      <c r="Q1315" s="89">
        <v>0</v>
      </c>
      <c r="R1315" s="89"/>
    </row>
    <row r="1316" spans="1:18" ht="15">
      <c r="A1316" s="70">
        <v>26</v>
      </c>
      <c r="B1316" s="70"/>
      <c r="C1316" s="72" t="s">
        <v>1092</v>
      </c>
      <c r="D1316" s="72" t="s">
        <v>1093</v>
      </c>
      <c r="E1316" s="89">
        <v>1</v>
      </c>
      <c r="F1316" s="89" t="s">
        <v>254</v>
      </c>
      <c r="G1316" s="89">
        <v>0.90154845710207365</v>
      </c>
      <c r="H1316" s="89" t="s">
        <v>254</v>
      </c>
      <c r="I1316" s="89">
        <v>9.8448374922632351E-2</v>
      </c>
      <c r="J1316" s="89">
        <v>3.1679752939392783E-6</v>
      </c>
      <c r="K1316" s="89" t="s">
        <v>254</v>
      </c>
      <c r="L1316" s="89" t="s">
        <v>254</v>
      </c>
      <c r="M1316" s="89">
        <v>3.1679752939392783E-6</v>
      </c>
      <c r="N1316" s="89" t="s">
        <v>254</v>
      </c>
      <c r="O1316" s="89">
        <v>0</v>
      </c>
      <c r="P1316" s="89">
        <v>0</v>
      </c>
      <c r="Q1316" s="89">
        <v>0</v>
      </c>
      <c r="R1316" s="89"/>
    </row>
    <row r="1317" spans="1:18" ht="15">
      <c r="A1317" s="70">
        <v>27</v>
      </c>
      <c r="B1317" s="70"/>
      <c r="C1317" s="72" t="s">
        <v>1094</v>
      </c>
      <c r="D1317" s="72" t="s">
        <v>1095</v>
      </c>
      <c r="E1317" s="89">
        <v>0.99999999999999989</v>
      </c>
      <c r="F1317" s="89" t="s">
        <v>254</v>
      </c>
      <c r="G1317" s="89">
        <v>0.90207460895616254</v>
      </c>
      <c r="H1317" s="89" t="s">
        <v>254</v>
      </c>
      <c r="I1317" s="89">
        <v>9.7922239999066032E-2</v>
      </c>
      <c r="J1317" s="89">
        <v>3.1510447713131149E-6</v>
      </c>
      <c r="K1317" s="89" t="s">
        <v>254</v>
      </c>
      <c r="L1317" s="89" t="s">
        <v>254</v>
      </c>
      <c r="M1317" s="89">
        <v>3.1510447713131149E-6</v>
      </c>
      <c r="N1317" s="89" t="s">
        <v>254</v>
      </c>
      <c r="O1317" s="89">
        <v>0</v>
      </c>
      <c r="P1317" s="89">
        <v>0</v>
      </c>
      <c r="Q1317" s="89">
        <v>0</v>
      </c>
      <c r="R1317" s="89"/>
    </row>
    <row r="1318" spans="1:18" ht="15">
      <c r="A1318" s="70">
        <v>28</v>
      </c>
      <c r="B1318" s="70"/>
      <c r="C1318" s="72" t="s">
        <v>1096</v>
      </c>
      <c r="D1318" s="72" t="s">
        <v>639</v>
      </c>
      <c r="E1318" s="89">
        <v>0.99999999999999989</v>
      </c>
      <c r="F1318" s="89" t="s">
        <v>254</v>
      </c>
      <c r="G1318" s="89">
        <v>0.90154845710207354</v>
      </c>
      <c r="H1318" s="89" t="s">
        <v>254</v>
      </c>
      <c r="I1318" s="89">
        <v>9.8448374922632351E-2</v>
      </c>
      <c r="J1318" s="89">
        <v>3.1679752939392783E-6</v>
      </c>
      <c r="K1318" s="89" t="s">
        <v>254</v>
      </c>
      <c r="L1318" s="89" t="s">
        <v>254</v>
      </c>
      <c r="M1318" s="89">
        <v>3.1679752939392783E-6</v>
      </c>
      <c r="N1318" s="89" t="s">
        <v>254</v>
      </c>
      <c r="O1318" s="89">
        <v>0</v>
      </c>
      <c r="P1318" s="89">
        <v>0</v>
      </c>
      <c r="Q1318" s="89">
        <v>0</v>
      </c>
      <c r="R1318" s="89"/>
    </row>
    <row r="1319" spans="1:18" ht="15">
      <c r="A1319" s="70">
        <v>29</v>
      </c>
      <c r="B1319" s="70"/>
      <c r="C1319" s="72" t="s">
        <v>1097</v>
      </c>
      <c r="D1319" s="72" t="s">
        <v>1098</v>
      </c>
      <c r="E1319" s="89">
        <v>0</v>
      </c>
      <c r="F1319" s="89" t="s">
        <v>254</v>
      </c>
      <c r="G1319" s="89">
        <v>0</v>
      </c>
      <c r="H1319" s="89" t="s">
        <v>254</v>
      </c>
      <c r="I1319" s="89">
        <v>0</v>
      </c>
      <c r="J1319" s="89">
        <v>0</v>
      </c>
      <c r="K1319" s="89" t="s">
        <v>254</v>
      </c>
      <c r="L1319" s="89" t="s">
        <v>254</v>
      </c>
      <c r="M1319" s="89">
        <v>0</v>
      </c>
      <c r="N1319" s="89" t="s">
        <v>254</v>
      </c>
      <c r="O1319" s="89">
        <v>0</v>
      </c>
      <c r="P1319" s="89">
        <v>0</v>
      </c>
      <c r="Q1319" s="89">
        <v>0</v>
      </c>
      <c r="R1319" s="89"/>
    </row>
    <row r="1320" spans="1:18" ht="15">
      <c r="A1320" s="70">
        <v>30</v>
      </c>
      <c r="B1320" s="70"/>
      <c r="C1320" s="72" t="s">
        <v>1099</v>
      </c>
      <c r="D1320" s="72" t="s">
        <v>1100</v>
      </c>
      <c r="E1320" s="89">
        <v>1</v>
      </c>
      <c r="F1320" s="89" t="s">
        <v>254</v>
      </c>
      <c r="G1320" s="89">
        <v>0.94243651334018597</v>
      </c>
      <c r="H1320" s="89" t="s">
        <v>254</v>
      </c>
      <c r="I1320" s="89">
        <v>5.3497387470324946E-2</v>
      </c>
      <c r="J1320" s="89">
        <v>4.0660991894890738E-3</v>
      </c>
      <c r="K1320" s="89" t="s">
        <v>254</v>
      </c>
      <c r="L1320" s="89" t="s">
        <v>254</v>
      </c>
      <c r="M1320" s="89">
        <v>1.0302951287197124E-4</v>
      </c>
      <c r="N1320" s="89" t="s">
        <v>254</v>
      </c>
      <c r="O1320" s="89">
        <v>3.9630696766171022E-3</v>
      </c>
      <c r="P1320" s="89">
        <v>2.4970992804058288E-3</v>
      </c>
      <c r="Q1320" s="89">
        <v>1.4659703962112732E-3</v>
      </c>
      <c r="R1320" s="89"/>
    </row>
    <row r="1321" spans="1:18" ht="15">
      <c r="A1321" s="70">
        <v>31</v>
      </c>
      <c r="B1321" s="70"/>
      <c r="C1321" s="72" t="s">
        <v>1101</v>
      </c>
      <c r="D1321" s="72" t="s">
        <v>1102</v>
      </c>
      <c r="E1321" s="89">
        <v>1</v>
      </c>
      <c r="F1321" s="89" t="s">
        <v>254</v>
      </c>
      <c r="G1321" s="89">
        <v>0.93562775689658662</v>
      </c>
      <c r="H1321" s="89" t="s">
        <v>254</v>
      </c>
      <c r="I1321" s="89">
        <v>6.3383237769455911E-2</v>
      </c>
      <c r="J1321" s="89">
        <v>9.8900533395752726E-4</v>
      </c>
      <c r="K1321" s="89" t="s">
        <v>254</v>
      </c>
      <c r="L1321" s="89" t="s">
        <v>254</v>
      </c>
      <c r="M1321" s="89">
        <v>1.0346490143086876E-4</v>
      </c>
      <c r="N1321" s="89" t="s">
        <v>254</v>
      </c>
      <c r="O1321" s="89">
        <v>8.8554043252665857E-4</v>
      </c>
      <c r="P1321" s="89">
        <v>7.4246345488584271E-4</v>
      </c>
      <c r="Q1321" s="89">
        <v>1.4307697764081589E-4</v>
      </c>
      <c r="R1321" s="89"/>
    </row>
    <row r="1322" spans="1:18" ht="15">
      <c r="A1322" s="70">
        <v>32</v>
      </c>
      <c r="B1322" s="70"/>
      <c r="C1322" s="72" t="s">
        <v>1103</v>
      </c>
      <c r="D1322" s="72" t="s">
        <v>1104</v>
      </c>
      <c r="E1322" s="89">
        <v>0.99999999999999989</v>
      </c>
      <c r="F1322" s="89" t="s">
        <v>254</v>
      </c>
      <c r="G1322" s="89">
        <v>0.94436035408340235</v>
      </c>
      <c r="H1322" s="89" t="s">
        <v>254</v>
      </c>
      <c r="I1322" s="89">
        <v>5.2864053097331831E-2</v>
      </c>
      <c r="J1322" s="89">
        <v>2.7755928192657537E-3</v>
      </c>
      <c r="K1322" s="89" t="s">
        <v>254</v>
      </c>
      <c r="L1322" s="89" t="s">
        <v>254</v>
      </c>
      <c r="M1322" s="89">
        <v>9.6191482596801037E-5</v>
      </c>
      <c r="N1322" s="89" t="s">
        <v>254</v>
      </c>
      <c r="O1322" s="89">
        <v>2.6794013366689528E-3</v>
      </c>
      <c r="P1322" s="89">
        <v>2.3224879248849267E-3</v>
      </c>
      <c r="Q1322" s="89">
        <v>3.5691341178402587E-4</v>
      </c>
      <c r="R1322" s="89"/>
    </row>
    <row r="1323" spans="1:18" ht="15">
      <c r="A1323" s="70">
        <v>33</v>
      </c>
      <c r="B1323" s="70"/>
      <c r="C1323" s="72" t="s">
        <v>1105</v>
      </c>
      <c r="D1323" s="72" t="s">
        <v>1106</v>
      </c>
      <c r="E1323" s="89">
        <v>0</v>
      </c>
      <c r="F1323" s="89" t="s">
        <v>254</v>
      </c>
      <c r="G1323" s="89">
        <v>0</v>
      </c>
      <c r="H1323" s="89" t="s">
        <v>254</v>
      </c>
      <c r="I1323" s="89">
        <v>0</v>
      </c>
      <c r="J1323" s="89">
        <v>0</v>
      </c>
      <c r="K1323" s="89" t="s">
        <v>254</v>
      </c>
      <c r="L1323" s="89" t="s">
        <v>254</v>
      </c>
      <c r="M1323" s="89">
        <v>0</v>
      </c>
      <c r="N1323" s="89" t="s">
        <v>254</v>
      </c>
      <c r="O1323" s="89">
        <v>0</v>
      </c>
      <c r="P1323" s="89">
        <v>0</v>
      </c>
      <c r="Q1323" s="89">
        <v>0</v>
      </c>
      <c r="R1323" s="89"/>
    </row>
    <row r="1324" spans="1:18" ht="15">
      <c r="A1324" s="70">
        <v>34</v>
      </c>
      <c r="B1324" s="70"/>
      <c r="C1324" s="72" t="s">
        <v>1107</v>
      </c>
      <c r="D1324" s="72" t="s">
        <v>890</v>
      </c>
      <c r="E1324" s="89">
        <v>0.99999999999999989</v>
      </c>
      <c r="F1324" s="89" t="s">
        <v>254</v>
      </c>
      <c r="G1324" s="89">
        <v>0.9487830986733472</v>
      </c>
      <c r="H1324" s="89" t="s">
        <v>254</v>
      </c>
      <c r="I1324" s="89">
        <v>5.0040851560344816E-2</v>
      </c>
      <c r="J1324" s="89">
        <v>1.1760497663079561E-3</v>
      </c>
      <c r="K1324" s="89" t="s">
        <v>254</v>
      </c>
      <c r="L1324" s="89" t="s">
        <v>254</v>
      </c>
      <c r="M1324" s="89">
        <v>7.9195270458448246E-6</v>
      </c>
      <c r="N1324" s="89" t="s">
        <v>254</v>
      </c>
      <c r="O1324" s="89">
        <v>1.1681302392621113E-3</v>
      </c>
      <c r="P1324" s="89">
        <v>6.0584381900712894E-4</v>
      </c>
      <c r="Q1324" s="89">
        <v>5.6228642025498235E-4</v>
      </c>
      <c r="R1324" s="89"/>
    </row>
    <row r="1325" spans="1:18" ht="15">
      <c r="A1325" s="70">
        <v>35</v>
      </c>
      <c r="B1325" s="70"/>
      <c r="C1325" s="72" t="s">
        <v>1108</v>
      </c>
      <c r="D1325" s="72" t="s">
        <v>689</v>
      </c>
      <c r="E1325" s="89">
        <v>1.0000000000000002</v>
      </c>
      <c r="F1325" s="89" t="s">
        <v>254</v>
      </c>
      <c r="G1325" s="89">
        <v>0.94878309867334731</v>
      </c>
      <c r="H1325" s="89" t="s">
        <v>254</v>
      </c>
      <c r="I1325" s="89">
        <v>5.0040851560344823E-2</v>
      </c>
      <c r="J1325" s="89">
        <v>1.1760497663079561E-3</v>
      </c>
      <c r="K1325" s="89" t="s">
        <v>254</v>
      </c>
      <c r="L1325" s="89" t="s">
        <v>254</v>
      </c>
      <c r="M1325" s="89">
        <v>7.9195270458448246E-6</v>
      </c>
      <c r="N1325" s="89" t="s">
        <v>254</v>
      </c>
      <c r="O1325" s="89">
        <v>1.1681302392621113E-3</v>
      </c>
      <c r="P1325" s="89">
        <v>6.0584381900712894E-4</v>
      </c>
      <c r="Q1325" s="89">
        <v>5.6228642025498246E-4</v>
      </c>
      <c r="R1325" s="89"/>
    </row>
    <row r="1326" spans="1:18" ht="15">
      <c r="A1326" s="70">
        <v>36</v>
      </c>
      <c r="B1326" s="70"/>
      <c r="C1326" s="72" t="s">
        <v>1168</v>
      </c>
      <c r="D1326" s="72" t="s">
        <v>898</v>
      </c>
      <c r="E1326" s="89">
        <v>0.99999999999999989</v>
      </c>
      <c r="F1326" s="89" t="s">
        <v>254</v>
      </c>
      <c r="G1326" s="89">
        <v>0.99724956170321866</v>
      </c>
      <c r="H1326" s="89" t="s">
        <v>254</v>
      </c>
      <c r="I1326" s="89">
        <v>2.7500493773388417E-3</v>
      </c>
      <c r="J1326" s="89">
        <v>3.8891944241816466E-7</v>
      </c>
      <c r="K1326" s="89" t="s">
        <v>254</v>
      </c>
      <c r="L1326" s="89" t="s">
        <v>254</v>
      </c>
      <c r="M1326" s="89">
        <v>3.8891944241816466E-7</v>
      </c>
      <c r="N1326" s="89" t="s">
        <v>254</v>
      </c>
      <c r="O1326" s="89">
        <v>0</v>
      </c>
      <c r="P1326" s="89">
        <v>0</v>
      </c>
      <c r="Q1326" s="89">
        <v>0</v>
      </c>
      <c r="R1326" s="89"/>
    </row>
    <row r="1327" spans="1:18" ht="15">
      <c r="A1327" s="70">
        <v>37</v>
      </c>
      <c r="B1327" s="70"/>
      <c r="C1327" s="72" t="s">
        <v>1110</v>
      </c>
      <c r="D1327" s="72" t="s">
        <v>1111</v>
      </c>
      <c r="E1327" s="89">
        <v>1.0000000000000002</v>
      </c>
      <c r="F1327" s="89" t="s">
        <v>254</v>
      </c>
      <c r="G1327" s="89">
        <v>0.94878309867334731</v>
      </c>
      <c r="H1327" s="89" t="s">
        <v>254</v>
      </c>
      <c r="I1327" s="89">
        <v>5.0040851560344823E-2</v>
      </c>
      <c r="J1327" s="89">
        <v>1.1760497663079561E-3</v>
      </c>
      <c r="K1327" s="89" t="s">
        <v>254</v>
      </c>
      <c r="L1327" s="89" t="s">
        <v>254</v>
      </c>
      <c r="M1327" s="89">
        <v>7.9195270458448246E-6</v>
      </c>
      <c r="N1327" s="89" t="s">
        <v>254</v>
      </c>
      <c r="O1327" s="89">
        <v>1.1681302392621113E-3</v>
      </c>
      <c r="P1327" s="89">
        <v>6.0584381900712894E-4</v>
      </c>
      <c r="Q1327" s="89">
        <v>5.6228642025498246E-4</v>
      </c>
      <c r="R1327" s="89"/>
    </row>
    <row r="1328" spans="1:18" ht="15">
      <c r="A1328" s="70">
        <v>38</v>
      </c>
      <c r="B1328" s="70"/>
      <c r="C1328" s="72" t="s">
        <v>1112</v>
      </c>
      <c r="D1328" s="72" t="s">
        <v>1113</v>
      </c>
      <c r="E1328" s="89">
        <v>1</v>
      </c>
      <c r="F1328" s="89" t="s">
        <v>254</v>
      </c>
      <c r="G1328" s="89">
        <v>0.94815391805577198</v>
      </c>
      <c r="H1328" s="89" t="s">
        <v>254</v>
      </c>
      <c r="I1328" s="89">
        <v>5.1838750767482566E-2</v>
      </c>
      <c r="J1328" s="89">
        <v>7.3311767455073626E-6</v>
      </c>
      <c r="K1328" s="89" t="s">
        <v>254</v>
      </c>
      <c r="L1328" s="89" t="s">
        <v>254</v>
      </c>
      <c r="M1328" s="89">
        <v>7.3311767455073626E-6</v>
      </c>
      <c r="N1328" s="89" t="s">
        <v>254</v>
      </c>
      <c r="O1328" s="89">
        <v>0</v>
      </c>
      <c r="P1328" s="89">
        <v>0</v>
      </c>
      <c r="Q1328" s="89">
        <v>0</v>
      </c>
      <c r="R1328" s="89"/>
    </row>
    <row r="1329" spans="1:18" ht="15">
      <c r="A1329" s="70">
        <v>39</v>
      </c>
      <c r="B1329" s="70"/>
      <c r="C1329" s="72" t="s">
        <v>1114</v>
      </c>
      <c r="D1329" s="72" t="s">
        <v>701</v>
      </c>
      <c r="E1329" s="89">
        <v>1</v>
      </c>
      <c r="F1329" s="89" t="s">
        <v>254</v>
      </c>
      <c r="G1329" s="89">
        <v>0.99724956170321877</v>
      </c>
      <c r="H1329" s="89" t="s">
        <v>254</v>
      </c>
      <c r="I1329" s="89">
        <v>2.7500493773388425E-3</v>
      </c>
      <c r="J1329" s="89">
        <v>3.8891944241816477E-7</v>
      </c>
      <c r="K1329" s="89" t="s">
        <v>254</v>
      </c>
      <c r="L1329" s="89" t="s">
        <v>254</v>
      </c>
      <c r="M1329" s="89">
        <v>3.8891944241816477E-7</v>
      </c>
      <c r="N1329" s="89" t="s">
        <v>254</v>
      </c>
      <c r="O1329" s="89">
        <v>0</v>
      </c>
      <c r="P1329" s="89">
        <v>0</v>
      </c>
      <c r="Q1329" s="89">
        <v>0</v>
      </c>
      <c r="R1329" s="89"/>
    </row>
    <row r="1330" spans="1:18" ht="15">
      <c r="A1330" s="70">
        <v>40</v>
      </c>
      <c r="B1330" s="70"/>
      <c r="C1330" s="72" t="s">
        <v>1115</v>
      </c>
      <c r="D1330" s="72" t="s">
        <v>1116</v>
      </c>
      <c r="E1330" s="89">
        <v>1.0000000000000002</v>
      </c>
      <c r="F1330" s="89" t="s">
        <v>254</v>
      </c>
      <c r="G1330" s="89">
        <v>0.89942297101660917</v>
      </c>
      <c r="H1330" s="89" t="s">
        <v>254</v>
      </c>
      <c r="I1330" s="89">
        <v>4.8698459501419072E-2</v>
      </c>
      <c r="J1330" s="89">
        <v>5.1878569481971906E-2</v>
      </c>
      <c r="K1330" s="89" t="s">
        <v>254</v>
      </c>
      <c r="L1330" s="89" t="s">
        <v>254</v>
      </c>
      <c r="M1330" s="89">
        <v>2.3066968531949969E-5</v>
      </c>
      <c r="N1330" s="89" t="s">
        <v>254</v>
      </c>
      <c r="O1330" s="89">
        <v>5.1855502513439955E-2</v>
      </c>
      <c r="P1330" s="89">
        <v>1.6541005968566166E-2</v>
      </c>
      <c r="Q1330" s="89">
        <v>3.5314496544873786E-2</v>
      </c>
      <c r="R1330" s="89"/>
    </row>
    <row r="1331" spans="1:18" ht="15">
      <c r="A1331" s="70" t="s">
        <v>254</v>
      </c>
      <c r="B1331" s="70"/>
      <c r="C1331" s="72" t="s">
        <v>254</v>
      </c>
      <c r="D1331" s="72" t="s">
        <v>254</v>
      </c>
      <c r="E1331" s="89" t="s">
        <v>254</v>
      </c>
      <c r="F1331" s="89" t="s">
        <v>254</v>
      </c>
      <c r="G1331" s="89" t="s">
        <v>254</v>
      </c>
      <c r="H1331" s="89" t="s">
        <v>254</v>
      </c>
      <c r="I1331" s="89" t="s">
        <v>254</v>
      </c>
      <c r="J1331" s="89" t="s">
        <v>254</v>
      </c>
      <c r="K1331" s="89" t="s">
        <v>254</v>
      </c>
      <c r="L1331" s="89" t="s">
        <v>254</v>
      </c>
      <c r="M1331" s="89" t="s">
        <v>254</v>
      </c>
      <c r="N1331" s="89" t="s">
        <v>254</v>
      </c>
      <c r="O1331" s="89" t="s">
        <v>254</v>
      </c>
      <c r="P1331" s="89" t="s">
        <v>254</v>
      </c>
      <c r="Q1331" s="89" t="s">
        <v>254</v>
      </c>
      <c r="R1331" s="89"/>
    </row>
    <row r="1332" spans="1:18" ht="15">
      <c r="A1332" s="70" t="s">
        <v>254</v>
      </c>
      <c r="B1332" s="70"/>
      <c r="C1332" s="72" t="s">
        <v>1053</v>
      </c>
      <c r="D1332" s="72" t="s">
        <v>254</v>
      </c>
      <c r="E1332" s="89" t="s">
        <v>254</v>
      </c>
      <c r="F1332" s="89" t="s">
        <v>254</v>
      </c>
      <c r="G1332" s="89" t="s">
        <v>254</v>
      </c>
      <c r="H1332" s="89" t="s">
        <v>254</v>
      </c>
      <c r="I1332" s="89" t="s">
        <v>254</v>
      </c>
      <c r="J1332" s="89" t="s">
        <v>254</v>
      </c>
      <c r="K1332" s="89" t="s">
        <v>254</v>
      </c>
      <c r="L1332" s="89" t="s">
        <v>254</v>
      </c>
      <c r="M1332" s="89" t="s">
        <v>254</v>
      </c>
      <c r="N1332" s="89" t="s">
        <v>254</v>
      </c>
      <c r="O1332" s="89" t="s">
        <v>254</v>
      </c>
      <c r="P1332" s="89" t="s">
        <v>254</v>
      </c>
      <c r="Q1332" s="89" t="s">
        <v>254</v>
      </c>
      <c r="R1332" s="89"/>
    </row>
    <row r="1333" spans="1:18" ht="15">
      <c r="A1333" s="70" t="s">
        <v>254</v>
      </c>
      <c r="B1333" s="70"/>
      <c r="C1333" s="72" t="s">
        <v>925</v>
      </c>
      <c r="D1333" s="72" t="s">
        <v>254</v>
      </c>
      <c r="E1333" s="89" t="s">
        <v>254</v>
      </c>
      <c r="F1333" s="89" t="s">
        <v>254</v>
      </c>
      <c r="G1333" s="89" t="s">
        <v>254</v>
      </c>
      <c r="H1333" s="89" t="s">
        <v>254</v>
      </c>
      <c r="I1333" s="89" t="s">
        <v>254</v>
      </c>
      <c r="J1333" s="89" t="s">
        <v>254</v>
      </c>
      <c r="K1333" s="89" t="s">
        <v>254</v>
      </c>
      <c r="L1333" s="89" t="s">
        <v>254</v>
      </c>
      <c r="M1333" s="89" t="s">
        <v>254</v>
      </c>
      <c r="N1333" s="89" t="s">
        <v>254</v>
      </c>
      <c r="O1333" s="89" t="s">
        <v>254</v>
      </c>
      <c r="P1333" s="89" t="s">
        <v>254</v>
      </c>
      <c r="Q1333" s="89" t="s">
        <v>254</v>
      </c>
      <c r="R1333" s="89"/>
    </row>
    <row r="1334" spans="1:18" ht="15">
      <c r="A1334" s="70">
        <v>1</v>
      </c>
      <c r="B1334" s="70"/>
      <c r="C1334" s="72" t="s">
        <v>1117</v>
      </c>
      <c r="D1334" s="72" t="s">
        <v>1118</v>
      </c>
      <c r="E1334" s="89">
        <v>0.99999999999999989</v>
      </c>
      <c r="F1334" s="89" t="s">
        <v>254</v>
      </c>
      <c r="G1334" s="89">
        <v>0.90580724779822119</v>
      </c>
      <c r="H1334" s="89" t="s">
        <v>254</v>
      </c>
      <c r="I1334" s="89">
        <v>4.6106995628354214E-2</v>
      </c>
      <c r="J1334" s="89">
        <v>4.8085756573424537E-2</v>
      </c>
      <c r="K1334" s="89" t="s">
        <v>254</v>
      </c>
      <c r="L1334" s="89" t="s">
        <v>254</v>
      </c>
      <c r="M1334" s="89">
        <v>2.212856460757519E-5</v>
      </c>
      <c r="N1334" s="89" t="s">
        <v>254</v>
      </c>
      <c r="O1334" s="89">
        <v>4.8063628008816972E-2</v>
      </c>
      <c r="P1334" s="89">
        <v>1.5343858255000445E-2</v>
      </c>
      <c r="Q1334" s="89">
        <v>3.2719769753816526E-2</v>
      </c>
      <c r="R1334" s="89"/>
    </row>
    <row r="1335" spans="1:18" ht="15">
      <c r="A1335" s="70">
        <v>2</v>
      </c>
      <c r="B1335" s="70"/>
      <c r="C1335" s="72" t="s">
        <v>1119</v>
      </c>
      <c r="D1335" s="72" t="s">
        <v>1120</v>
      </c>
      <c r="E1335" s="89">
        <v>1</v>
      </c>
      <c r="F1335" s="89" t="s">
        <v>254</v>
      </c>
      <c r="G1335" s="89">
        <v>0.99896117155731501</v>
      </c>
      <c r="H1335" s="89" t="s">
        <v>254</v>
      </c>
      <c r="I1335" s="89">
        <v>1.0386815495227921E-3</v>
      </c>
      <c r="J1335" s="89">
        <v>1.4689316214436318E-7</v>
      </c>
      <c r="K1335" s="89" t="s">
        <v>254</v>
      </c>
      <c r="L1335" s="89" t="s">
        <v>254</v>
      </c>
      <c r="M1335" s="89">
        <v>1.4689316214436318E-7</v>
      </c>
      <c r="N1335" s="89" t="s">
        <v>254</v>
      </c>
      <c r="O1335" s="89">
        <v>0</v>
      </c>
      <c r="P1335" s="89">
        <v>0</v>
      </c>
      <c r="Q1335" s="89">
        <v>0</v>
      </c>
      <c r="R1335" s="89"/>
    </row>
    <row r="1336" spans="1:18" ht="15">
      <c r="A1336" s="70">
        <v>3</v>
      </c>
      <c r="B1336" s="70"/>
      <c r="C1336" s="72" t="s">
        <v>1121</v>
      </c>
      <c r="D1336" s="72" t="s">
        <v>528</v>
      </c>
      <c r="E1336" s="89">
        <v>1</v>
      </c>
      <c r="F1336" s="89" t="s">
        <v>254</v>
      </c>
      <c r="G1336" s="89">
        <v>0.99706948846325327</v>
      </c>
      <c r="H1336" s="89" t="s">
        <v>254</v>
      </c>
      <c r="I1336" s="89">
        <v>0</v>
      </c>
      <c r="J1336" s="89">
        <v>2.9305115367466734E-3</v>
      </c>
      <c r="K1336" s="89" t="s">
        <v>254</v>
      </c>
      <c r="L1336" s="89" t="s">
        <v>254</v>
      </c>
      <c r="M1336" s="89">
        <v>1.0156037568985448E-4</v>
      </c>
      <c r="N1336" s="89" t="s">
        <v>254</v>
      </c>
      <c r="O1336" s="89">
        <v>2.828951161056819E-3</v>
      </c>
      <c r="P1336" s="89">
        <v>2.4521167552345007E-3</v>
      </c>
      <c r="Q1336" s="89">
        <v>3.7683440582231834E-4</v>
      </c>
      <c r="R1336" s="89"/>
    </row>
    <row r="1337" spans="1:18" ht="15">
      <c r="A1337" s="70">
        <v>4</v>
      </c>
      <c r="B1337" s="70"/>
      <c r="C1337" s="72" t="s">
        <v>1122</v>
      </c>
      <c r="D1337" s="72" t="s">
        <v>432</v>
      </c>
      <c r="E1337" s="89">
        <v>1</v>
      </c>
      <c r="F1337" s="89" t="s">
        <v>254</v>
      </c>
      <c r="G1337" s="89">
        <v>1</v>
      </c>
      <c r="H1337" s="89" t="s">
        <v>254</v>
      </c>
      <c r="I1337" s="89">
        <v>0</v>
      </c>
      <c r="J1337" s="89">
        <v>0</v>
      </c>
      <c r="K1337" s="89" t="s">
        <v>254</v>
      </c>
      <c r="L1337" s="89" t="s">
        <v>254</v>
      </c>
      <c r="M1337" s="89">
        <v>0</v>
      </c>
      <c r="N1337" s="89" t="s">
        <v>254</v>
      </c>
      <c r="O1337" s="89">
        <v>0</v>
      </c>
      <c r="P1337" s="89">
        <v>0</v>
      </c>
      <c r="Q1337" s="89">
        <v>0</v>
      </c>
      <c r="R1337" s="89"/>
    </row>
    <row r="1338" spans="1:18" ht="15">
      <c r="A1338" s="70">
        <v>5</v>
      </c>
      <c r="B1338" s="70"/>
      <c r="C1338" s="72" t="s">
        <v>1123</v>
      </c>
      <c r="D1338" s="72" t="s">
        <v>1124</v>
      </c>
      <c r="E1338" s="89">
        <v>1</v>
      </c>
      <c r="F1338" s="89" t="s">
        <v>254</v>
      </c>
      <c r="G1338" s="89">
        <v>0</v>
      </c>
      <c r="H1338" s="89" t="s">
        <v>254</v>
      </c>
      <c r="I1338" s="89">
        <v>1</v>
      </c>
      <c r="J1338" s="89">
        <v>0</v>
      </c>
      <c r="K1338" s="89" t="s">
        <v>254</v>
      </c>
      <c r="L1338" s="89" t="s">
        <v>254</v>
      </c>
      <c r="M1338" s="89">
        <v>0</v>
      </c>
      <c r="N1338" s="89" t="s">
        <v>254</v>
      </c>
      <c r="O1338" s="89">
        <v>0</v>
      </c>
      <c r="P1338" s="89">
        <v>0</v>
      </c>
      <c r="Q1338" s="89">
        <v>0</v>
      </c>
      <c r="R1338" s="89"/>
    </row>
    <row r="1339" spans="1:18" ht="15">
      <c r="A1339" s="70">
        <v>6</v>
      </c>
      <c r="B1339" s="70"/>
      <c r="C1339" s="72" t="s">
        <v>1125</v>
      </c>
      <c r="D1339" s="72" t="s">
        <v>1126</v>
      </c>
      <c r="E1339" s="89">
        <v>0</v>
      </c>
      <c r="F1339" s="89" t="s">
        <v>254</v>
      </c>
      <c r="G1339" s="89">
        <v>0</v>
      </c>
      <c r="H1339" s="89" t="s">
        <v>254</v>
      </c>
      <c r="I1339" s="89">
        <v>0</v>
      </c>
      <c r="J1339" s="89">
        <v>0</v>
      </c>
      <c r="K1339" s="89" t="s">
        <v>254</v>
      </c>
      <c r="L1339" s="89" t="s">
        <v>254</v>
      </c>
      <c r="M1339" s="89">
        <v>0</v>
      </c>
      <c r="N1339" s="89" t="s">
        <v>254</v>
      </c>
      <c r="O1339" s="89">
        <v>0</v>
      </c>
      <c r="P1339" s="89">
        <v>0</v>
      </c>
      <c r="Q1339" s="89">
        <v>0</v>
      </c>
      <c r="R1339" s="89"/>
    </row>
    <row r="1340" spans="1:18" ht="15">
      <c r="A1340" s="70">
        <v>7</v>
      </c>
      <c r="B1340" s="70"/>
      <c r="C1340" s="72" t="s">
        <v>1127</v>
      </c>
      <c r="D1340" s="72" t="s">
        <v>1128</v>
      </c>
      <c r="E1340" s="89">
        <v>1</v>
      </c>
      <c r="F1340" s="89" t="s">
        <v>254</v>
      </c>
      <c r="G1340" s="89">
        <v>0</v>
      </c>
      <c r="H1340" s="89" t="s">
        <v>254</v>
      </c>
      <c r="I1340" s="89">
        <v>0</v>
      </c>
      <c r="J1340" s="89">
        <v>1</v>
      </c>
      <c r="K1340" s="89" t="s">
        <v>254</v>
      </c>
      <c r="L1340" s="89" t="s">
        <v>254</v>
      </c>
      <c r="M1340" s="89">
        <v>0</v>
      </c>
      <c r="N1340" s="89" t="s">
        <v>254</v>
      </c>
      <c r="O1340" s="89">
        <v>1</v>
      </c>
      <c r="P1340" s="89">
        <v>0.3185115094701878</v>
      </c>
      <c r="Q1340" s="89">
        <v>0.6814884905298122</v>
      </c>
      <c r="R1340" s="89"/>
    </row>
    <row r="1341" spans="1:18" ht="15">
      <c r="A1341" s="70">
        <v>8</v>
      </c>
      <c r="B1341" s="70"/>
      <c r="C1341" s="72" t="s">
        <v>1129</v>
      </c>
      <c r="D1341" s="72" t="s">
        <v>1130</v>
      </c>
      <c r="E1341" s="89">
        <v>1</v>
      </c>
      <c r="F1341" s="89" t="s">
        <v>254</v>
      </c>
      <c r="G1341" s="89">
        <v>0.93456671798688784</v>
      </c>
      <c r="H1341" s="89" t="s">
        <v>254</v>
      </c>
      <c r="I1341" s="89">
        <v>0</v>
      </c>
      <c r="J1341" s="89">
        <v>6.5433282013112146E-2</v>
      </c>
      <c r="K1341" s="89" t="s">
        <v>254</v>
      </c>
      <c r="L1341" s="89" t="s">
        <v>254</v>
      </c>
      <c r="M1341" s="89">
        <v>2.2941158477522764E-5</v>
      </c>
      <c r="N1341" s="89" t="s">
        <v>254</v>
      </c>
      <c r="O1341" s="89">
        <v>6.5410340854634624E-2</v>
      </c>
      <c r="P1341" s="89">
        <v>2.0616454418467121E-2</v>
      </c>
      <c r="Q1341" s="89">
        <v>4.4793886436167503E-2</v>
      </c>
      <c r="R1341" s="89"/>
    </row>
    <row r="1342" spans="1:18" ht="15">
      <c r="A1342" s="70">
        <v>9</v>
      </c>
      <c r="B1342" s="70"/>
      <c r="C1342" s="72" t="s">
        <v>1131</v>
      </c>
      <c r="D1342" s="72" t="s">
        <v>732</v>
      </c>
      <c r="E1342" s="89">
        <v>1</v>
      </c>
      <c r="F1342" s="89" t="s">
        <v>254</v>
      </c>
      <c r="G1342" s="89">
        <v>0.9506155814384224</v>
      </c>
      <c r="H1342" s="89" t="s">
        <v>254</v>
      </c>
      <c r="I1342" s="89">
        <v>4.9360728402359083E-2</v>
      </c>
      <c r="J1342" s="89">
        <v>2.369015921863403E-5</v>
      </c>
      <c r="K1342" s="89" t="s">
        <v>254</v>
      </c>
      <c r="L1342" s="89" t="s">
        <v>254</v>
      </c>
      <c r="M1342" s="89">
        <v>2.369015921863403E-5</v>
      </c>
      <c r="N1342" s="89" t="s">
        <v>254</v>
      </c>
      <c r="O1342" s="89">
        <v>0</v>
      </c>
      <c r="P1342" s="89">
        <v>0</v>
      </c>
      <c r="Q1342" s="89">
        <v>0</v>
      </c>
      <c r="R1342" s="89"/>
    </row>
    <row r="1343" spans="1:18" ht="15">
      <c r="A1343" s="70">
        <v>10</v>
      </c>
      <c r="B1343" s="70"/>
      <c r="C1343" s="72" t="s">
        <v>1132</v>
      </c>
      <c r="D1343" s="72" t="s">
        <v>460</v>
      </c>
      <c r="E1343" s="89">
        <v>1</v>
      </c>
      <c r="F1343" s="89" t="s">
        <v>254</v>
      </c>
      <c r="G1343" s="89">
        <v>0.95475429180960469</v>
      </c>
      <c r="H1343" s="89" t="s">
        <v>254</v>
      </c>
      <c r="I1343" s="89">
        <v>4.5242353253692344E-2</v>
      </c>
      <c r="J1343" s="89">
        <v>3.354936702967336E-6</v>
      </c>
      <c r="K1343" s="89" t="s">
        <v>254</v>
      </c>
      <c r="L1343" s="89" t="s">
        <v>254</v>
      </c>
      <c r="M1343" s="89">
        <v>3.354936702967336E-6</v>
      </c>
      <c r="N1343" s="89" t="s">
        <v>254</v>
      </c>
      <c r="O1343" s="89">
        <v>0</v>
      </c>
      <c r="P1343" s="89">
        <v>0</v>
      </c>
      <c r="Q1343" s="89">
        <v>0</v>
      </c>
      <c r="R1343" s="89"/>
    </row>
    <row r="1344" spans="1:18" ht="15">
      <c r="A1344" s="70">
        <v>11</v>
      </c>
      <c r="B1344" s="70"/>
      <c r="C1344" s="72" t="s">
        <v>254</v>
      </c>
      <c r="D1344" s="72" t="s">
        <v>254</v>
      </c>
      <c r="E1344" s="89" t="s">
        <v>254</v>
      </c>
      <c r="F1344" s="89" t="s">
        <v>254</v>
      </c>
      <c r="G1344" s="89" t="s">
        <v>254</v>
      </c>
      <c r="H1344" s="89" t="s">
        <v>254</v>
      </c>
      <c r="I1344" s="89" t="s">
        <v>254</v>
      </c>
      <c r="J1344" s="89" t="s">
        <v>254</v>
      </c>
      <c r="K1344" s="89" t="s">
        <v>254</v>
      </c>
      <c r="L1344" s="89" t="s">
        <v>254</v>
      </c>
      <c r="M1344" s="89" t="s">
        <v>254</v>
      </c>
      <c r="N1344" s="89" t="s">
        <v>254</v>
      </c>
      <c r="O1344" s="89" t="s">
        <v>254</v>
      </c>
      <c r="P1344" s="89" t="s">
        <v>254</v>
      </c>
      <c r="Q1344" s="89" t="s">
        <v>254</v>
      </c>
      <c r="R1344" s="89"/>
    </row>
    <row r="1345" spans="1:18" ht="15">
      <c r="A1345" s="70">
        <v>12</v>
      </c>
      <c r="B1345" s="70"/>
      <c r="C1345" s="72" t="s">
        <v>254</v>
      </c>
      <c r="D1345" s="72" t="s">
        <v>254</v>
      </c>
      <c r="E1345" s="89" t="s">
        <v>254</v>
      </c>
      <c r="F1345" s="89" t="s">
        <v>254</v>
      </c>
      <c r="G1345" s="89" t="s">
        <v>254</v>
      </c>
      <c r="H1345" s="89" t="s">
        <v>254</v>
      </c>
      <c r="I1345" s="89" t="s">
        <v>254</v>
      </c>
      <c r="J1345" s="89" t="s">
        <v>254</v>
      </c>
      <c r="K1345" s="89" t="s">
        <v>254</v>
      </c>
      <c r="L1345" s="89" t="s">
        <v>254</v>
      </c>
      <c r="M1345" s="89" t="s">
        <v>254</v>
      </c>
      <c r="N1345" s="89" t="s">
        <v>254</v>
      </c>
      <c r="O1345" s="89" t="s">
        <v>254</v>
      </c>
      <c r="P1345" s="89" t="s">
        <v>254</v>
      </c>
      <c r="Q1345" s="89" t="s">
        <v>254</v>
      </c>
      <c r="R1345" s="89"/>
    </row>
    <row r="1346" spans="1:18" ht="15">
      <c r="A1346" s="70">
        <v>13</v>
      </c>
      <c r="B1346" s="70"/>
      <c r="C1346" s="72" t="s">
        <v>254</v>
      </c>
      <c r="D1346" s="72" t="s">
        <v>254</v>
      </c>
      <c r="E1346" s="89" t="s">
        <v>254</v>
      </c>
      <c r="F1346" s="89" t="s">
        <v>254</v>
      </c>
      <c r="G1346" s="89" t="s">
        <v>254</v>
      </c>
      <c r="H1346" s="89" t="s">
        <v>254</v>
      </c>
      <c r="I1346" s="89" t="s">
        <v>254</v>
      </c>
      <c r="J1346" s="89" t="s">
        <v>254</v>
      </c>
      <c r="K1346" s="89" t="s">
        <v>254</v>
      </c>
      <c r="L1346" s="89" t="s">
        <v>254</v>
      </c>
      <c r="M1346" s="89" t="s">
        <v>254</v>
      </c>
      <c r="N1346" s="89" t="s">
        <v>254</v>
      </c>
      <c r="O1346" s="89" t="s">
        <v>254</v>
      </c>
      <c r="P1346" s="89" t="s">
        <v>254</v>
      </c>
      <c r="Q1346" s="89" t="s">
        <v>254</v>
      </c>
      <c r="R1346" s="89"/>
    </row>
    <row r="1347" spans="1:18" ht="15">
      <c r="A1347" s="70"/>
      <c r="B1347" s="70"/>
      <c r="C1347" s="72"/>
      <c r="D1347" s="72"/>
      <c r="E1347" s="89"/>
      <c r="F1347" s="89"/>
      <c r="G1347" s="89"/>
      <c r="H1347" s="89"/>
      <c r="I1347" s="89"/>
      <c r="J1347" s="89"/>
      <c r="K1347" s="89"/>
      <c r="L1347" s="89"/>
      <c r="M1347" s="89"/>
      <c r="N1347" s="89"/>
      <c r="O1347" s="89"/>
      <c r="P1347" s="89"/>
      <c r="Q1347" s="89"/>
      <c r="R1347" s="89"/>
    </row>
    <row r="1350" spans="1:18" ht="15">
      <c r="A1350" s="90"/>
      <c r="B1350" s="90"/>
      <c r="C1350" s="72"/>
      <c r="D1350" s="84"/>
      <c r="E1350" s="91"/>
      <c r="F1350" s="91"/>
      <c r="G1350" s="91"/>
      <c r="H1350" s="91"/>
      <c r="I1350" s="91"/>
      <c r="J1350" s="91"/>
      <c r="K1350" s="91"/>
      <c r="L1350" s="91"/>
      <c r="M1350" s="91"/>
      <c r="N1350" s="91"/>
      <c r="O1350" s="91"/>
      <c r="P1350" s="91"/>
      <c r="Q1350" s="91"/>
      <c r="R1350" s="91"/>
    </row>
    <row r="1351" spans="1:18" ht="15">
      <c r="A1351" s="90"/>
      <c r="B1351" s="90"/>
      <c r="C1351" s="72"/>
      <c r="D1351" s="84"/>
      <c r="E1351" s="91"/>
      <c r="F1351" s="91"/>
      <c r="G1351" s="91"/>
      <c r="H1351" s="91"/>
      <c r="I1351" s="91"/>
      <c r="J1351" s="91"/>
      <c r="K1351" s="91"/>
      <c r="L1351" s="91"/>
      <c r="M1351" s="91"/>
      <c r="N1351" s="91"/>
      <c r="O1351" s="91"/>
      <c r="P1351" s="91"/>
      <c r="Q1351" s="91"/>
      <c r="R1351" s="91"/>
    </row>
    <row r="1352" spans="1:18" ht="15">
      <c r="A1352" s="90"/>
      <c r="B1352" s="90"/>
      <c r="C1352" s="72"/>
      <c r="D1352" s="84"/>
      <c r="E1352" s="91"/>
      <c r="F1352" s="91"/>
      <c r="G1352" s="91"/>
      <c r="H1352" s="91"/>
      <c r="I1352" s="91"/>
      <c r="J1352" s="91"/>
      <c r="K1352" s="91"/>
      <c r="L1352" s="91"/>
      <c r="M1352" s="91"/>
      <c r="N1352" s="91"/>
      <c r="O1352" s="91"/>
      <c r="P1352" s="91"/>
      <c r="Q1352" s="91"/>
      <c r="R1352" s="91"/>
    </row>
    <row r="1353" spans="1:18">
      <c r="E1353" s="93"/>
      <c r="F1353" s="93"/>
      <c r="G1353" s="93"/>
      <c r="H1353" s="93"/>
      <c r="I1353" s="93"/>
      <c r="J1353" s="93"/>
      <c r="K1353" s="93"/>
      <c r="L1353" s="93"/>
      <c r="M1353" s="93"/>
      <c r="N1353" s="93"/>
      <c r="O1353" s="93"/>
      <c r="P1353" s="93"/>
      <c r="Q1353" s="93"/>
      <c r="R1353" s="93"/>
    </row>
    <row r="1354" spans="1:18">
      <c r="E1354" s="93"/>
      <c r="F1354" s="93"/>
      <c r="G1354" s="93"/>
      <c r="H1354" s="93"/>
      <c r="I1354" s="93"/>
      <c r="J1354" s="93"/>
      <c r="K1354" s="93"/>
      <c r="L1354" s="93"/>
      <c r="M1354" s="93"/>
      <c r="N1354" s="93"/>
      <c r="O1354" s="93"/>
      <c r="P1354" s="93"/>
      <c r="Q1354" s="93"/>
      <c r="R1354" s="93"/>
    </row>
    <row r="1355" spans="1:18">
      <c r="E1355" s="93"/>
      <c r="F1355" s="93"/>
      <c r="G1355" s="93"/>
      <c r="H1355" s="93"/>
      <c r="I1355" s="93"/>
      <c r="J1355" s="93"/>
      <c r="K1355" s="93"/>
      <c r="L1355" s="93"/>
      <c r="M1355" s="93"/>
      <c r="N1355" s="93"/>
      <c r="O1355" s="93"/>
      <c r="P1355" s="93"/>
      <c r="Q1355" s="93"/>
      <c r="R1355" s="93"/>
    </row>
    <row r="1356" spans="1:18">
      <c r="E1356" s="93"/>
      <c r="F1356" s="93"/>
      <c r="G1356" s="93"/>
      <c r="H1356" s="93"/>
      <c r="I1356" s="93"/>
      <c r="J1356" s="93"/>
      <c r="K1356" s="93"/>
      <c r="L1356" s="93"/>
      <c r="M1356" s="93"/>
      <c r="N1356" s="93"/>
      <c r="O1356" s="93"/>
      <c r="P1356" s="93"/>
      <c r="Q1356" s="93"/>
      <c r="R1356" s="93"/>
    </row>
    <row r="1357" spans="1:18">
      <c r="E1357" s="93"/>
      <c r="F1357" s="93"/>
      <c r="G1357" s="93"/>
      <c r="H1357" s="93"/>
      <c r="I1357" s="93"/>
      <c r="J1357" s="93"/>
      <c r="K1357" s="93"/>
      <c r="L1357" s="93"/>
      <c r="M1357" s="93"/>
      <c r="N1357" s="93"/>
      <c r="O1357" s="93"/>
      <c r="P1357" s="93"/>
      <c r="Q1357" s="93"/>
      <c r="R1357" s="93"/>
    </row>
    <row r="1358" spans="1:18">
      <c r="E1358" s="93"/>
      <c r="F1358" s="93"/>
      <c r="G1358" s="93"/>
      <c r="H1358" s="93"/>
      <c r="I1358" s="93"/>
      <c r="J1358" s="93"/>
      <c r="K1358" s="93"/>
      <c r="L1358" s="93"/>
      <c r="M1358" s="93"/>
      <c r="N1358" s="93"/>
      <c r="O1358" s="93"/>
      <c r="P1358" s="93"/>
      <c r="Q1358" s="93"/>
      <c r="R1358" s="93"/>
    </row>
    <row r="1359" spans="1:18">
      <c r="E1359" s="93"/>
      <c r="F1359" s="93"/>
      <c r="G1359" s="93"/>
      <c r="H1359" s="93"/>
      <c r="I1359" s="93"/>
      <c r="J1359" s="93"/>
      <c r="K1359" s="93"/>
      <c r="L1359" s="93"/>
      <c r="M1359" s="93"/>
      <c r="N1359" s="93"/>
      <c r="O1359" s="93"/>
      <c r="P1359" s="93"/>
      <c r="Q1359" s="93"/>
      <c r="R1359" s="93"/>
    </row>
    <row r="1360" spans="1:18">
      <c r="E1360" s="93"/>
      <c r="F1360" s="93"/>
      <c r="G1360" s="93"/>
      <c r="H1360" s="93"/>
      <c r="I1360" s="93"/>
      <c r="J1360" s="93"/>
      <c r="K1360" s="93"/>
      <c r="L1360" s="93"/>
      <c r="M1360" s="93"/>
      <c r="N1360" s="93"/>
      <c r="O1360" s="93"/>
      <c r="P1360" s="93"/>
      <c r="Q1360" s="93"/>
      <c r="R1360" s="93"/>
    </row>
    <row r="1361" spans="5:18">
      <c r="E1361" s="93"/>
      <c r="F1361" s="93"/>
      <c r="G1361" s="93"/>
      <c r="H1361" s="93"/>
      <c r="I1361" s="93"/>
      <c r="J1361" s="93"/>
      <c r="K1361" s="93"/>
      <c r="L1361" s="93"/>
      <c r="M1361" s="93"/>
      <c r="N1361" s="93"/>
      <c r="O1361" s="93"/>
      <c r="P1361" s="93"/>
      <c r="Q1361" s="93"/>
      <c r="R1361" s="93"/>
    </row>
    <row r="1362" spans="5:18">
      <c r="E1362" s="93"/>
      <c r="F1362" s="93"/>
      <c r="G1362" s="93"/>
      <c r="H1362" s="93"/>
      <c r="I1362" s="93"/>
      <c r="J1362" s="93"/>
      <c r="K1362" s="93"/>
      <c r="L1362" s="93"/>
      <c r="M1362" s="93"/>
      <c r="N1362" s="93"/>
      <c r="O1362" s="93"/>
      <c r="P1362" s="93"/>
      <c r="Q1362" s="93"/>
      <c r="R1362" s="93"/>
    </row>
    <row r="1363" spans="5:18">
      <c r="E1363" s="93"/>
      <c r="F1363" s="93"/>
      <c r="G1363" s="93"/>
      <c r="H1363" s="93"/>
      <c r="I1363" s="93"/>
      <c r="J1363" s="93"/>
      <c r="K1363" s="93"/>
      <c r="L1363" s="93"/>
      <c r="M1363" s="93"/>
      <c r="N1363" s="93"/>
      <c r="O1363" s="93"/>
      <c r="P1363" s="93"/>
      <c r="Q1363" s="93"/>
      <c r="R1363" s="93"/>
    </row>
    <row r="1364" spans="5:18">
      <c r="E1364" s="93"/>
      <c r="F1364" s="93"/>
      <c r="G1364" s="93"/>
      <c r="H1364" s="93"/>
      <c r="I1364" s="93"/>
      <c r="J1364" s="93"/>
      <c r="K1364" s="93"/>
      <c r="L1364" s="93"/>
      <c r="M1364" s="93"/>
      <c r="N1364" s="93"/>
      <c r="O1364" s="93"/>
      <c r="P1364" s="93"/>
      <c r="Q1364" s="93"/>
      <c r="R1364" s="93"/>
    </row>
    <row r="1365" spans="5:18">
      <c r="E1365" s="93"/>
      <c r="F1365" s="93"/>
      <c r="G1365" s="93"/>
      <c r="H1365" s="93"/>
      <c r="I1365" s="93"/>
      <c r="J1365" s="93"/>
      <c r="K1365" s="93"/>
      <c r="L1365" s="93"/>
      <c r="M1365" s="93"/>
      <c r="N1365" s="93"/>
      <c r="O1365" s="93"/>
      <c r="P1365" s="93"/>
      <c r="Q1365" s="93"/>
      <c r="R1365" s="93"/>
    </row>
    <row r="1366" spans="5:18">
      <c r="E1366" s="93"/>
      <c r="F1366" s="93"/>
      <c r="G1366" s="93"/>
      <c r="H1366" s="93"/>
      <c r="I1366" s="93"/>
      <c r="J1366" s="93"/>
      <c r="K1366" s="93"/>
      <c r="L1366" s="93"/>
      <c r="M1366" s="93"/>
      <c r="N1366" s="93"/>
      <c r="O1366" s="93"/>
      <c r="P1366" s="93"/>
      <c r="Q1366" s="93"/>
      <c r="R1366" s="93"/>
    </row>
    <row r="1367" spans="5:18">
      <c r="E1367" s="93"/>
      <c r="F1367" s="93"/>
      <c r="G1367" s="93"/>
      <c r="H1367" s="93"/>
      <c r="I1367" s="93"/>
      <c r="J1367" s="93"/>
      <c r="K1367" s="93"/>
      <c r="L1367" s="93"/>
      <c r="M1367" s="93"/>
      <c r="N1367" s="93"/>
      <c r="O1367" s="93"/>
      <c r="P1367" s="93"/>
      <c r="Q1367" s="93"/>
      <c r="R1367" s="93"/>
    </row>
    <row r="1368" spans="5:18">
      <c r="E1368" s="93"/>
      <c r="F1368" s="93"/>
      <c r="G1368" s="93"/>
      <c r="H1368" s="93"/>
      <c r="I1368" s="93"/>
      <c r="J1368" s="93"/>
      <c r="K1368" s="93"/>
      <c r="L1368" s="93"/>
      <c r="M1368" s="93"/>
      <c r="N1368" s="93"/>
      <c r="O1368" s="93"/>
      <c r="P1368" s="93"/>
      <c r="Q1368" s="93"/>
      <c r="R1368" s="93"/>
    </row>
    <row r="1369" spans="5:18">
      <c r="E1369" s="93"/>
      <c r="F1369" s="93"/>
      <c r="G1369" s="93"/>
      <c r="H1369" s="93"/>
      <c r="I1369" s="93"/>
      <c r="J1369" s="93"/>
      <c r="K1369" s="93"/>
      <c r="L1369" s="93"/>
      <c r="M1369" s="93"/>
      <c r="N1369" s="93"/>
      <c r="O1369" s="93"/>
      <c r="P1369" s="93"/>
      <c r="Q1369" s="93"/>
      <c r="R1369" s="93"/>
    </row>
    <row r="1370" spans="5:18">
      <c r="E1370" s="93"/>
      <c r="F1370" s="93"/>
      <c r="G1370" s="93"/>
      <c r="H1370" s="93"/>
      <c r="I1370" s="93"/>
      <c r="J1370" s="93"/>
      <c r="K1370" s="93"/>
      <c r="L1370" s="93"/>
      <c r="M1370" s="93"/>
      <c r="N1370" s="93"/>
      <c r="O1370" s="93"/>
      <c r="P1370" s="93"/>
      <c r="Q1370" s="93"/>
      <c r="R1370" s="93"/>
    </row>
    <row r="1371" spans="5:18">
      <c r="E1371" s="93"/>
      <c r="F1371" s="93"/>
      <c r="G1371" s="93"/>
      <c r="H1371" s="93"/>
      <c r="I1371" s="93"/>
      <c r="J1371" s="93"/>
      <c r="K1371" s="93"/>
      <c r="L1371" s="93"/>
      <c r="M1371" s="93"/>
      <c r="N1371" s="93"/>
      <c r="O1371" s="93"/>
      <c r="P1371" s="93"/>
      <c r="Q1371" s="93"/>
      <c r="R1371" s="93"/>
    </row>
    <row r="1372" spans="5:18">
      <c r="E1372" s="93"/>
      <c r="F1372" s="93"/>
      <c r="G1372" s="93"/>
      <c r="H1372" s="93"/>
      <c r="I1372" s="93"/>
      <c r="J1372" s="93"/>
      <c r="K1372" s="93"/>
      <c r="L1372" s="93"/>
      <c r="M1372" s="93"/>
      <c r="N1372" s="93"/>
      <c r="O1372" s="93"/>
      <c r="P1372" s="93"/>
      <c r="Q1372" s="93"/>
      <c r="R1372" s="93"/>
    </row>
    <row r="1373" spans="5:18">
      <c r="E1373" s="93"/>
      <c r="F1373" s="93"/>
      <c r="G1373" s="93"/>
      <c r="H1373" s="93"/>
      <c r="I1373" s="93"/>
      <c r="J1373" s="93"/>
      <c r="K1373" s="93"/>
      <c r="L1373" s="93"/>
      <c r="M1373" s="93"/>
      <c r="N1373" s="93"/>
      <c r="O1373" s="93"/>
      <c r="P1373" s="93"/>
      <c r="Q1373" s="93"/>
      <c r="R1373" s="93"/>
    </row>
    <row r="1374" spans="5:18">
      <c r="E1374" s="93"/>
      <c r="F1374" s="93"/>
      <c r="G1374" s="93"/>
      <c r="H1374" s="93"/>
      <c r="I1374" s="93"/>
      <c r="J1374" s="93"/>
      <c r="K1374" s="93"/>
      <c r="L1374" s="93"/>
      <c r="M1374" s="93"/>
      <c r="N1374" s="93"/>
      <c r="O1374" s="93"/>
      <c r="P1374" s="93"/>
      <c r="Q1374" s="93"/>
      <c r="R1374" s="93"/>
    </row>
    <row r="1375" spans="5:18">
      <c r="E1375" s="93"/>
      <c r="F1375" s="93"/>
      <c r="G1375" s="93"/>
      <c r="H1375" s="93"/>
      <c r="I1375" s="93"/>
      <c r="J1375" s="93"/>
      <c r="K1375" s="93"/>
      <c r="L1375" s="93"/>
      <c r="M1375" s="93"/>
      <c r="N1375" s="93"/>
      <c r="O1375" s="93"/>
      <c r="P1375" s="93"/>
      <c r="Q1375" s="93"/>
      <c r="R1375" s="93"/>
    </row>
    <row r="1376" spans="5:18">
      <c r="E1376" s="93"/>
      <c r="F1376" s="93"/>
      <c r="G1376" s="93"/>
      <c r="H1376" s="93"/>
      <c r="I1376" s="93"/>
      <c r="J1376" s="93"/>
      <c r="K1376" s="93"/>
      <c r="L1376" s="93"/>
      <c r="M1376" s="93"/>
      <c r="N1376" s="93"/>
      <c r="O1376" s="93"/>
      <c r="P1376" s="93"/>
      <c r="Q1376" s="93"/>
      <c r="R1376" s="93"/>
    </row>
    <row r="1377" spans="5:18">
      <c r="E1377" s="93"/>
      <c r="F1377" s="93"/>
      <c r="G1377" s="93"/>
      <c r="H1377" s="93"/>
      <c r="I1377" s="93"/>
      <c r="J1377" s="93"/>
      <c r="K1377" s="93"/>
      <c r="L1377" s="93"/>
      <c r="M1377" s="93"/>
      <c r="N1377" s="93"/>
      <c r="O1377" s="93"/>
      <c r="P1377" s="93"/>
      <c r="Q1377" s="93"/>
      <c r="R1377" s="93"/>
    </row>
    <row r="1378" spans="5:18">
      <c r="E1378" s="93"/>
      <c r="F1378" s="93"/>
      <c r="G1378" s="93"/>
      <c r="H1378" s="93"/>
      <c r="I1378" s="93"/>
      <c r="J1378" s="93"/>
      <c r="K1378" s="93"/>
      <c r="L1378" s="93"/>
      <c r="M1378" s="93"/>
      <c r="N1378" s="93"/>
      <c r="O1378" s="93"/>
      <c r="P1378" s="93"/>
      <c r="Q1378" s="93"/>
      <c r="R1378" s="93"/>
    </row>
    <row r="1379" spans="5:18">
      <c r="E1379" s="93"/>
      <c r="F1379" s="93"/>
      <c r="G1379" s="93"/>
      <c r="H1379" s="93"/>
      <c r="I1379" s="93"/>
      <c r="J1379" s="93"/>
      <c r="K1379" s="93"/>
      <c r="L1379" s="93"/>
      <c r="M1379" s="93"/>
      <c r="N1379" s="93"/>
      <c r="O1379" s="93"/>
      <c r="P1379" s="93"/>
      <c r="Q1379" s="93"/>
      <c r="R1379" s="93"/>
    </row>
    <row r="1380" spans="5:18">
      <c r="E1380" s="93"/>
      <c r="F1380" s="93"/>
      <c r="G1380" s="93"/>
      <c r="H1380" s="93"/>
      <c r="I1380" s="93"/>
      <c r="J1380" s="93"/>
      <c r="K1380" s="93"/>
      <c r="L1380" s="93"/>
      <c r="M1380" s="93"/>
      <c r="N1380" s="93"/>
      <c r="O1380" s="93"/>
      <c r="P1380" s="93"/>
      <c r="Q1380" s="93"/>
      <c r="R1380" s="93"/>
    </row>
    <row r="1381" spans="5:18">
      <c r="E1381" s="93"/>
      <c r="F1381" s="93"/>
      <c r="G1381" s="93"/>
      <c r="H1381" s="93"/>
      <c r="I1381" s="93"/>
      <c r="J1381" s="93"/>
      <c r="K1381" s="93"/>
      <c r="L1381" s="93"/>
      <c r="M1381" s="93"/>
      <c r="N1381" s="93"/>
      <c r="O1381" s="93"/>
      <c r="P1381" s="93"/>
      <c r="Q1381" s="93"/>
      <c r="R1381" s="93"/>
    </row>
    <row r="1382" spans="5:18">
      <c r="E1382" s="93"/>
      <c r="F1382" s="93"/>
      <c r="G1382" s="93"/>
      <c r="H1382" s="93"/>
      <c r="I1382" s="93"/>
      <c r="J1382" s="93"/>
      <c r="K1382" s="93"/>
      <c r="L1382" s="93"/>
      <c r="M1382" s="93"/>
      <c r="N1382" s="93"/>
      <c r="O1382" s="93"/>
      <c r="P1382" s="93"/>
      <c r="Q1382" s="93"/>
      <c r="R1382" s="93"/>
    </row>
    <row r="1383" spans="5:18">
      <c r="E1383" s="93"/>
      <c r="F1383" s="93"/>
      <c r="G1383" s="93"/>
      <c r="H1383" s="93"/>
      <c r="I1383" s="93"/>
      <c r="J1383" s="93"/>
      <c r="K1383" s="93"/>
      <c r="L1383" s="93"/>
      <c r="M1383" s="93"/>
      <c r="N1383" s="93"/>
      <c r="O1383" s="93"/>
      <c r="P1383" s="93"/>
      <c r="Q1383" s="93"/>
      <c r="R1383" s="93"/>
    </row>
    <row r="1384" spans="5:18">
      <c r="E1384" s="93"/>
      <c r="F1384" s="93"/>
      <c r="G1384" s="93"/>
      <c r="H1384" s="93"/>
      <c r="I1384" s="93"/>
      <c r="J1384" s="93"/>
      <c r="K1384" s="93"/>
      <c r="L1384" s="93"/>
      <c r="M1384" s="93"/>
      <c r="N1384" s="93"/>
      <c r="O1384" s="93"/>
      <c r="P1384" s="93"/>
      <c r="Q1384" s="93"/>
      <c r="R1384" s="93"/>
    </row>
    <row r="1385" spans="5:18">
      <c r="E1385" s="93"/>
      <c r="F1385" s="93"/>
      <c r="G1385" s="93"/>
      <c r="H1385" s="93"/>
      <c r="I1385" s="93"/>
      <c r="J1385" s="93"/>
      <c r="K1385" s="93"/>
      <c r="L1385" s="93"/>
      <c r="M1385" s="93"/>
      <c r="N1385" s="93"/>
      <c r="O1385" s="93"/>
      <c r="P1385" s="93"/>
      <c r="Q1385" s="93"/>
      <c r="R1385" s="93"/>
    </row>
    <row r="1386" spans="5:18">
      <c r="E1386" s="93"/>
      <c r="F1386" s="93"/>
      <c r="G1386" s="93"/>
      <c r="H1386" s="93"/>
      <c r="I1386" s="93"/>
      <c r="J1386" s="93"/>
      <c r="K1386" s="93"/>
      <c r="L1386" s="93"/>
      <c r="M1386" s="93"/>
      <c r="N1386" s="93"/>
      <c r="O1386" s="93"/>
      <c r="P1386" s="93"/>
      <c r="Q1386" s="93"/>
      <c r="R1386" s="93"/>
    </row>
    <row r="1387" spans="5:18">
      <c r="E1387" s="93"/>
      <c r="F1387" s="93"/>
      <c r="G1387" s="93"/>
      <c r="H1387" s="93"/>
      <c r="I1387" s="93"/>
      <c r="J1387" s="93"/>
      <c r="K1387" s="93"/>
      <c r="L1387" s="93"/>
      <c r="M1387" s="93"/>
      <c r="N1387" s="93"/>
      <c r="O1387" s="93"/>
      <c r="P1387" s="93"/>
      <c r="Q1387" s="93"/>
      <c r="R1387" s="93"/>
    </row>
    <row r="1388" spans="5:18">
      <c r="E1388" s="93"/>
      <c r="F1388" s="93"/>
      <c r="G1388" s="93"/>
      <c r="H1388" s="93"/>
      <c r="I1388" s="93"/>
      <c r="J1388" s="93"/>
      <c r="K1388" s="93"/>
      <c r="L1388" s="93"/>
      <c r="M1388" s="93"/>
      <c r="N1388" s="93"/>
      <c r="O1388" s="93"/>
      <c r="P1388" s="93"/>
      <c r="Q1388" s="93"/>
      <c r="R1388" s="93"/>
    </row>
  </sheetData>
  <sheetProtection selectLockedCells="1" selectUnlockedCells="1"/>
  <pageMargins left="0.5" right="0.25" top="1" bottom="0.19" header="1" footer="0.4"/>
  <pageSetup scale="40" pageOrder="overThenDown" orientation="landscape" r:id="rId1"/>
  <headerFooter alignWithMargins="0"/>
  <rowBreaks count="29" manualBreakCount="29">
    <brk id="66" min="4" max="16" man="1"/>
    <brk id="116" min="4" max="16" man="1"/>
    <brk id="155" min="4" max="16" man="1"/>
    <brk id="207" min="4" max="16" man="1"/>
    <brk id="235" min="4" max="16" man="1"/>
    <brk id="280" min="4" max="16" man="1"/>
    <brk id="332" min="4" max="16" man="1"/>
    <brk id="379" min="4" max="16" man="1"/>
    <brk id="419" min="4" max="16" man="1"/>
    <brk id="484" min="4" max="16" man="1"/>
    <brk id="532" min="4" max="16" man="1"/>
    <brk id="595" min="4" max="16" man="1"/>
    <brk id="642" min="4" max="16" man="1"/>
    <brk id="690" min="4" max="16" man="1"/>
    <brk id="721" min="4" max="16" man="1"/>
    <brk id="776" min="4" max="16" man="1"/>
    <brk id="822" min="4" max="16" man="1"/>
    <brk id="866" min="4" max="16" man="1"/>
    <brk id="907" min="4" max="16" man="1"/>
    <brk id="967" min="4" max="16" man="1"/>
    <brk id="1001" min="4" max="16" man="1"/>
    <brk id="1050" min="4" max="16" man="1"/>
    <brk id="1093" min="4" max="16" man="1"/>
    <brk id="1125" max="16383" man="1"/>
    <brk id="1146" min="4" max="16" man="1"/>
    <brk id="1206" min="4" max="16" man="1"/>
    <brk id="1241" min="4" max="16" man="1"/>
    <brk id="1288" min="4" max="16" man="1"/>
    <brk id="1331" min="4" max="1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48"/>
  <sheetViews>
    <sheetView zoomScale="85" zoomScaleNormal="85" workbookViewId="0">
      <selection activeCell="C31" sqref="C31"/>
    </sheetView>
  </sheetViews>
  <sheetFormatPr defaultColWidth="9" defaultRowHeight="12.75"/>
  <cols>
    <col min="1" max="1" width="34.21875" style="508" bestFit="1" customWidth="1"/>
    <col min="2" max="2" width="1.44140625" style="508" customWidth="1"/>
    <col min="3" max="3" width="50.21875" style="508" bestFit="1" customWidth="1"/>
    <col min="4" max="16384" width="9" style="26"/>
  </cols>
  <sheetData>
    <row r="1" spans="1:3" ht="15.75">
      <c r="A1" s="703" t="s">
        <v>0</v>
      </c>
      <c r="B1" s="703"/>
      <c r="C1" s="703"/>
    </row>
    <row r="2" spans="1:3" ht="15.75">
      <c r="A2" s="703" t="s">
        <v>123</v>
      </c>
      <c r="B2" s="703"/>
      <c r="C2" s="703"/>
    </row>
    <row r="3" spans="1:3" ht="15.75">
      <c r="A3" s="703" t="s">
        <v>2407</v>
      </c>
      <c r="B3" s="703"/>
      <c r="C3" s="703"/>
    </row>
    <row r="8" spans="1:3">
      <c r="A8" s="509" t="s">
        <v>124</v>
      </c>
    </row>
    <row r="9" spans="1:3">
      <c r="A9" s="508" t="s">
        <v>125</v>
      </c>
      <c r="C9" s="510" t="s">
        <v>0</v>
      </c>
    </row>
    <row r="10" spans="1:3">
      <c r="A10" s="508" t="s">
        <v>126</v>
      </c>
      <c r="C10" s="510" t="s">
        <v>3357</v>
      </c>
    </row>
    <row r="11" spans="1:3">
      <c r="A11" s="508" t="s">
        <v>127</v>
      </c>
      <c r="C11" s="510" t="s">
        <v>2408</v>
      </c>
    </row>
    <row r="12" spans="1:3">
      <c r="C12" s="510" t="s">
        <v>2409</v>
      </c>
    </row>
    <row r="13" spans="1:3">
      <c r="C13" s="510" t="s">
        <v>2410</v>
      </c>
    </row>
    <row r="14" spans="1:3">
      <c r="C14" s="510" t="s">
        <v>2411</v>
      </c>
    </row>
    <row r="15" spans="1:3">
      <c r="C15" s="510" t="s">
        <v>2412</v>
      </c>
    </row>
    <row r="16" spans="1:3">
      <c r="C16" s="510" t="s">
        <v>2413</v>
      </c>
    </row>
    <row r="17" spans="1:3">
      <c r="A17" s="508" t="s">
        <v>128</v>
      </c>
      <c r="C17" s="510" t="s">
        <v>2414</v>
      </c>
    </row>
    <row r="18" spans="1:3">
      <c r="C18" s="510" t="s">
        <v>2415</v>
      </c>
    </row>
    <row r="19" spans="1:3">
      <c r="C19" s="510" t="s">
        <v>2416</v>
      </c>
    </row>
    <row r="20" spans="1:3">
      <c r="C20" s="510" t="s">
        <v>2417</v>
      </c>
    </row>
    <row r="21" spans="1:3">
      <c r="C21" s="510" t="s">
        <v>2418</v>
      </c>
    </row>
    <row r="22" spans="1:3">
      <c r="C22" s="510" t="s">
        <v>2419</v>
      </c>
    </row>
    <row r="24" spans="1:3">
      <c r="C24" s="511"/>
    </row>
    <row r="25" spans="1:3">
      <c r="C25" s="511"/>
    </row>
    <row r="26" spans="1:3">
      <c r="C26" s="511"/>
    </row>
    <row r="28" spans="1:3">
      <c r="A28" s="509" t="s">
        <v>129</v>
      </c>
      <c r="C28" s="512"/>
    </row>
    <row r="29" spans="1:3">
      <c r="A29" s="508" t="s">
        <v>130</v>
      </c>
      <c r="C29" s="508" t="s">
        <v>168</v>
      </c>
    </row>
    <row r="30" spans="1:3">
      <c r="A30" s="508" t="s">
        <v>131</v>
      </c>
      <c r="C30" s="508" t="s">
        <v>169</v>
      </c>
    </row>
    <row r="31" spans="1:3">
      <c r="A31" s="508" t="s">
        <v>132</v>
      </c>
      <c r="C31" s="508" t="s">
        <v>170</v>
      </c>
    </row>
    <row r="35" spans="1:4">
      <c r="A35" s="509" t="s">
        <v>133</v>
      </c>
    </row>
    <row r="36" spans="1:4">
      <c r="A36" s="508" t="s">
        <v>2420</v>
      </c>
      <c r="C36" s="508" t="str">
        <f>CONCATENATE($A$35,"   ", A36)</f>
        <v>WITNESS:   C. M. GARRETT</v>
      </c>
    </row>
    <row r="37" spans="1:4">
      <c r="A37" s="508" t="s">
        <v>2420</v>
      </c>
      <c r="C37" s="508" t="str">
        <f t="shared" ref="C37:C48" si="0">CONCATENATE($A$35,"   ", A37)</f>
        <v>WITNESS:   C. M. GARRETT</v>
      </c>
      <c r="D37" s="26" t="s">
        <v>1905</v>
      </c>
    </row>
    <row r="38" spans="1:4">
      <c r="A38" s="508" t="s">
        <v>3363</v>
      </c>
      <c r="C38" s="508" t="str">
        <f t="shared" si="0"/>
        <v>WITNESS:   D. K. ARBOUGH</v>
      </c>
      <c r="D38" s="26" t="s">
        <v>3364</v>
      </c>
    </row>
    <row r="39" spans="1:4">
      <c r="C39" s="508" t="str">
        <f t="shared" si="0"/>
        <v xml:space="preserve">WITNESS:   </v>
      </c>
    </row>
    <row r="40" spans="1:4">
      <c r="C40" s="508" t="str">
        <f t="shared" si="0"/>
        <v xml:space="preserve">WITNESS:   </v>
      </c>
    </row>
    <row r="41" spans="1:4">
      <c r="C41" s="508" t="str">
        <f t="shared" si="0"/>
        <v xml:space="preserve">WITNESS:   </v>
      </c>
    </row>
    <row r="42" spans="1:4">
      <c r="C42" s="508" t="str">
        <f t="shared" si="0"/>
        <v xml:space="preserve">WITNESS:   </v>
      </c>
    </row>
    <row r="43" spans="1:4">
      <c r="C43" s="508" t="str">
        <f t="shared" si="0"/>
        <v xml:space="preserve">WITNESS:   </v>
      </c>
    </row>
    <row r="44" spans="1:4">
      <c r="C44" s="508" t="str">
        <f t="shared" si="0"/>
        <v xml:space="preserve">WITNESS:   </v>
      </c>
    </row>
    <row r="45" spans="1:4">
      <c r="C45" s="508" t="str">
        <f t="shared" si="0"/>
        <v xml:space="preserve">WITNESS:   </v>
      </c>
    </row>
    <row r="46" spans="1:4">
      <c r="C46" s="508" t="str">
        <f t="shared" si="0"/>
        <v xml:space="preserve">WITNESS:   </v>
      </c>
    </row>
    <row r="47" spans="1:4">
      <c r="C47" s="508" t="str">
        <f t="shared" si="0"/>
        <v xml:space="preserve">WITNESS:   </v>
      </c>
    </row>
    <row r="48" spans="1:4">
      <c r="C48" s="508" t="str">
        <f t="shared" si="0"/>
        <v xml:space="preserve">WITNESS:   </v>
      </c>
    </row>
  </sheetData>
  <mergeCells count="3">
    <mergeCell ref="A1:C1"/>
    <mergeCell ref="A2:C2"/>
    <mergeCell ref="A3:C3"/>
  </mergeCells>
  <pageMargins left="0.75" right="0.75" top="1" bottom="1" header="0.5" footer="0.5"/>
  <pageSetup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pageSetUpPr fitToPage="1"/>
  </sheetPr>
  <dimension ref="A1:Y369"/>
  <sheetViews>
    <sheetView zoomScale="70" zoomScaleNormal="70" workbookViewId="0"/>
  </sheetViews>
  <sheetFormatPr defaultColWidth="9" defaultRowHeight="12.75"/>
  <cols>
    <col min="1" max="1" width="5.33203125" style="6" customWidth="1"/>
    <col min="2" max="2" width="7.6640625" style="6" customWidth="1"/>
    <col min="3" max="3" width="45" style="6" bestFit="1" customWidth="1"/>
    <col min="4" max="4" width="15.44140625" style="678" customWidth="1"/>
    <col min="5" max="5" width="3" style="6" customWidth="1"/>
    <col min="6" max="6" width="15.44140625" style="678" customWidth="1"/>
    <col min="7" max="7" width="1.44140625" style="6" customWidth="1"/>
    <col min="8" max="8" width="15.44140625" style="678" customWidth="1"/>
    <col min="9" max="9" width="1.44140625" style="6" customWidth="1"/>
    <col min="10" max="10" width="15.44140625" style="678" customWidth="1"/>
    <col min="11" max="11" width="1.44140625" style="6" customWidth="1"/>
    <col min="12" max="12" width="15.44140625" style="678" customWidth="1"/>
    <col min="13" max="13" width="1.44140625" style="6" customWidth="1"/>
    <col min="14" max="14" width="15.44140625" style="678" customWidth="1"/>
    <col min="15" max="15" width="1.44140625" style="6" customWidth="1"/>
    <col min="16" max="16" width="18.6640625" style="6" customWidth="1"/>
    <col min="17" max="17" width="1.44140625" style="6" customWidth="1"/>
    <col min="18" max="18" width="18.6640625" style="6" customWidth="1"/>
    <col min="19" max="19" width="1.44140625" style="6" customWidth="1"/>
    <col min="20" max="20" width="15.44140625" style="678" customWidth="1"/>
    <col min="21" max="21" width="1.44140625" style="6" customWidth="1"/>
    <col min="22" max="22" width="15.44140625" style="678" customWidth="1"/>
    <col min="23" max="23" width="1.44140625" style="6" customWidth="1"/>
    <col min="24" max="25" width="15.44140625" style="678" customWidth="1"/>
    <col min="26" max="16384" width="9" style="6"/>
  </cols>
  <sheetData>
    <row r="1" spans="1:25" s="1" customFormat="1" ht="15">
      <c r="C1" s="46" t="s">
        <v>0</v>
      </c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5"/>
      <c r="T1" s="465"/>
      <c r="U1" s="465"/>
      <c r="V1" s="465"/>
      <c r="W1" s="465"/>
      <c r="X1" s="465"/>
      <c r="Y1" s="465"/>
    </row>
    <row r="2" spans="1:25" s="1" customFormat="1" ht="15">
      <c r="C2" s="46" t="s">
        <v>1</v>
      </c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5"/>
      <c r="T2" s="465"/>
      <c r="U2" s="465"/>
      <c r="V2" s="465"/>
      <c r="W2" s="465"/>
      <c r="X2" s="465"/>
      <c r="Y2" s="465"/>
    </row>
    <row r="3" spans="1:25">
      <c r="C3" s="47" t="s">
        <v>2315</v>
      </c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67"/>
      <c r="T3" s="467"/>
      <c r="U3" s="467"/>
      <c r="V3" s="467"/>
      <c r="W3" s="467"/>
      <c r="X3" s="467"/>
      <c r="Y3" s="467"/>
    </row>
    <row r="4" spans="1:25">
      <c r="C4" s="674"/>
      <c r="D4" s="674"/>
      <c r="E4" s="674"/>
      <c r="F4" s="674"/>
      <c r="G4" s="674"/>
      <c r="H4" s="674"/>
      <c r="I4" s="674"/>
      <c r="J4" s="674"/>
      <c r="K4" s="674"/>
      <c r="L4" s="674"/>
      <c r="M4" s="674"/>
      <c r="N4" s="674"/>
      <c r="S4" s="674"/>
      <c r="T4" s="674"/>
      <c r="U4" s="674"/>
      <c r="V4" s="674"/>
      <c r="W4" s="674"/>
      <c r="X4" s="467" t="s">
        <v>1770</v>
      </c>
      <c r="Y4" s="467"/>
    </row>
    <row r="5" spans="1:25" ht="15">
      <c r="C5" s="674"/>
      <c r="D5" s="676" t="s">
        <v>2316</v>
      </c>
      <c r="E5" s="674"/>
      <c r="F5" s="674"/>
      <c r="G5" s="674"/>
      <c r="H5" s="674"/>
      <c r="I5" s="674"/>
      <c r="J5" s="674"/>
      <c r="K5" s="674"/>
      <c r="L5" s="674"/>
      <c r="M5" s="674"/>
      <c r="N5" s="676" t="s">
        <v>2317</v>
      </c>
      <c r="S5" s="674"/>
      <c r="T5" s="674"/>
      <c r="U5" s="674"/>
      <c r="V5" s="674"/>
      <c r="W5" s="674"/>
      <c r="X5" s="676" t="s">
        <v>2317</v>
      </c>
      <c r="Y5" s="676"/>
    </row>
    <row r="6" spans="1:25">
      <c r="C6" s="2"/>
      <c r="D6" s="3" t="s">
        <v>2</v>
      </c>
      <c r="E6" s="2"/>
      <c r="F6" s="4"/>
      <c r="G6" s="2"/>
      <c r="H6" s="4"/>
      <c r="I6" s="2"/>
      <c r="J6" s="3" t="s">
        <v>3</v>
      </c>
      <c r="K6" s="2"/>
      <c r="L6" s="4"/>
      <c r="M6" s="2"/>
      <c r="N6" s="3" t="s">
        <v>4</v>
      </c>
      <c r="O6" s="2"/>
      <c r="P6" s="2"/>
      <c r="Q6" s="2"/>
      <c r="R6" s="5" t="s">
        <v>5</v>
      </c>
      <c r="S6" s="2"/>
      <c r="T6" s="197" t="s">
        <v>1210</v>
      </c>
      <c r="U6" s="2"/>
      <c r="V6" s="197" t="s">
        <v>11</v>
      </c>
      <c r="W6" s="2"/>
      <c r="X6" s="3" t="s">
        <v>4</v>
      </c>
      <c r="Y6" s="3"/>
    </row>
    <row r="7" spans="1:25">
      <c r="C7" s="2"/>
      <c r="D7" s="7" t="s">
        <v>6</v>
      </c>
      <c r="E7" s="2"/>
      <c r="F7" s="7" t="s">
        <v>7</v>
      </c>
      <c r="G7" s="2"/>
      <c r="H7" s="7" t="s">
        <v>8</v>
      </c>
      <c r="I7" s="2"/>
      <c r="J7" s="7" t="s">
        <v>9</v>
      </c>
      <c r="K7" s="2"/>
      <c r="L7" s="7" t="s">
        <v>10</v>
      </c>
      <c r="M7" s="2"/>
      <c r="N7" s="7" t="s">
        <v>6</v>
      </c>
      <c r="O7" s="2"/>
      <c r="P7" s="7" t="s">
        <v>11</v>
      </c>
      <c r="Q7" s="2"/>
      <c r="R7" s="7" t="s">
        <v>12</v>
      </c>
      <c r="S7" s="2"/>
      <c r="T7" s="7" t="s">
        <v>1211</v>
      </c>
      <c r="U7" s="2"/>
      <c r="V7" s="7" t="s">
        <v>2318</v>
      </c>
      <c r="W7" s="2"/>
      <c r="X7" s="7" t="s">
        <v>6</v>
      </c>
      <c r="Y7" s="7" t="s">
        <v>13</v>
      </c>
    </row>
    <row r="8" spans="1:25">
      <c r="C8" s="5" t="s">
        <v>14</v>
      </c>
      <c r="D8" s="8"/>
      <c r="E8" s="2"/>
      <c r="F8" s="8"/>
      <c r="G8" s="2"/>
      <c r="H8" s="8"/>
      <c r="I8" s="2"/>
      <c r="J8" s="8"/>
      <c r="K8" s="2"/>
      <c r="L8" s="8"/>
      <c r="M8" s="2"/>
      <c r="N8" s="8"/>
      <c r="O8" s="2"/>
      <c r="P8" s="2"/>
      <c r="Q8" s="2"/>
      <c r="R8" s="2"/>
      <c r="S8" s="2"/>
      <c r="T8" s="8"/>
      <c r="U8" s="2"/>
      <c r="V8" s="8"/>
      <c r="W8" s="2"/>
      <c r="X8" s="8"/>
      <c r="Y8" s="8"/>
    </row>
    <row r="9" spans="1:25">
      <c r="C9" s="5" t="s">
        <v>15</v>
      </c>
      <c r="D9" s="4"/>
      <c r="E9" s="2"/>
      <c r="F9" s="4"/>
      <c r="G9" s="2"/>
      <c r="H9" s="4"/>
      <c r="I9" s="2"/>
      <c r="J9" s="4"/>
      <c r="K9" s="2"/>
      <c r="L9" s="4"/>
      <c r="M9" s="2"/>
      <c r="N9" s="4"/>
      <c r="O9" s="2"/>
      <c r="P9" s="2"/>
      <c r="Q9" s="2"/>
      <c r="R9" s="2"/>
      <c r="S9" s="2"/>
      <c r="T9" s="4"/>
      <c r="U9" s="2"/>
      <c r="V9" s="4"/>
      <c r="W9" s="2"/>
      <c r="X9" s="4"/>
      <c r="Y9" s="4"/>
    </row>
    <row r="10" spans="1:25">
      <c r="C10" s="5" t="s">
        <v>16</v>
      </c>
      <c r="D10" s="4"/>
      <c r="E10" s="2"/>
      <c r="F10" s="4"/>
      <c r="G10" s="2"/>
      <c r="H10" s="4"/>
      <c r="I10" s="2"/>
      <c r="J10" s="4"/>
      <c r="K10" s="2"/>
      <c r="L10" s="4"/>
      <c r="M10" s="2"/>
      <c r="N10" s="4"/>
      <c r="O10" s="2"/>
      <c r="P10" s="2"/>
      <c r="Q10" s="2"/>
      <c r="R10" s="2"/>
      <c r="S10" s="2"/>
      <c r="T10" s="4"/>
      <c r="U10" s="2"/>
      <c r="V10" s="4"/>
      <c r="W10" s="2"/>
      <c r="X10" s="4"/>
      <c r="Y10" s="4"/>
    </row>
    <row r="11" spans="1:25">
      <c r="A11" s="6" t="s">
        <v>17</v>
      </c>
      <c r="B11" s="6" t="str">
        <f>MID(C11,2,3)</f>
        <v>360</v>
      </c>
      <c r="C11" s="2" t="s">
        <v>18</v>
      </c>
      <c r="D11" s="4">
        <v>7644566.5899999905</v>
      </c>
      <c r="E11" s="16"/>
      <c r="F11" s="4">
        <v>747070.85000000009</v>
      </c>
      <c r="G11" s="16"/>
      <c r="H11" s="4">
        <v>0</v>
      </c>
      <c r="I11" s="16"/>
      <c r="J11" s="4">
        <v>-113882.25</v>
      </c>
      <c r="K11" s="16"/>
      <c r="L11" s="4">
        <v>633188.60000000009</v>
      </c>
      <c r="M11" s="16"/>
      <c r="N11" s="4">
        <v>8277755.1899999902</v>
      </c>
      <c r="O11" s="2"/>
      <c r="P11" s="4">
        <v>-1401703.6402059901</v>
      </c>
      <c r="Q11" s="2"/>
      <c r="R11" s="10">
        <v>6876051.5497939996</v>
      </c>
      <c r="S11" s="16"/>
      <c r="T11" s="4">
        <v>4288.2784128009644</v>
      </c>
      <c r="U11" s="2"/>
      <c r="V11" s="9">
        <v>-1397415.3617931891</v>
      </c>
      <c r="W11" s="16"/>
      <c r="X11" s="4">
        <v>8277755.1899999995</v>
      </c>
      <c r="Y11" s="9">
        <v>9.3132257461547852E-9</v>
      </c>
    </row>
    <row r="12" spans="1:25">
      <c r="A12" s="6" t="s">
        <v>17</v>
      </c>
      <c r="C12" s="2" t="s">
        <v>19</v>
      </c>
      <c r="D12" s="4">
        <v>0</v>
      </c>
      <c r="E12" s="16"/>
      <c r="F12" s="4">
        <v>0</v>
      </c>
      <c r="G12" s="16"/>
      <c r="H12" s="4">
        <v>0</v>
      </c>
      <c r="I12" s="16"/>
      <c r="J12" s="4">
        <v>0</v>
      </c>
      <c r="K12" s="16"/>
      <c r="L12" s="4">
        <v>0</v>
      </c>
      <c r="M12" s="16"/>
      <c r="N12" s="4">
        <v>0</v>
      </c>
      <c r="O12" s="2"/>
      <c r="P12" s="4">
        <v>0</v>
      </c>
      <c r="Q12" s="2"/>
      <c r="R12" s="10">
        <v>0</v>
      </c>
      <c r="S12" s="16"/>
      <c r="T12" s="4">
        <v>0</v>
      </c>
      <c r="U12" s="16"/>
      <c r="V12" s="4">
        <v>0</v>
      </c>
      <c r="W12" s="16"/>
      <c r="X12" s="4">
        <v>0</v>
      </c>
      <c r="Y12" s="4">
        <v>0</v>
      </c>
    </row>
    <row r="13" spans="1:25">
      <c r="A13" s="6" t="s">
        <v>17</v>
      </c>
      <c r="B13" s="6" t="str">
        <f t="shared" ref="B13:B25" si="0">MID(C13,2,3)</f>
        <v>361</v>
      </c>
      <c r="C13" s="2" t="s">
        <v>20</v>
      </c>
      <c r="D13" s="4">
        <v>11874836.040000001</v>
      </c>
      <c r="E13" s="16"/>
      <c r="F13" s="4">
        <v>148240.6</v>
      </c>
      <c r="G13" s="16"/>
      <c r="H13" s="4">
        <v>-9660.49</v>
      </c>
      <c r="I13" s="16"/>
      <c r="J13" s="4">
        <v>0</v>
      </c>
      <c r="K13" s="16"/>
      <c r="L13" s="4">
        <v>138580.11000000002</v>
      </c>
      <c r="M13" s="16"/>
      <c r="N13" s="4">
        <v>12013416.15</v>
      </c>
      <c r="O13" s="2"/>
      <c r="P13" s="10">
        <v>-2353624.2854599901</v>
      </c>
      <c r="Q13" s="2"/>
      <c r="R13" s="10">
        <v>9659791.8645400107</v>
      </c>
      <c r="S13" s="16"/>
      <c r="T13" s="4">
        <v>850.91924665600675</v>
      </c>
      <c r="U13" s="16"/>
      <c r="V13" s="4">
        <v>-2352773.3662133343</v>
      </c>
      <c r="W13" s="16"/>
      <c r="X13" s="4">
        <v>12013416.149999999</v>
      </c>
      <c r="Y13" s="4">
        <v>0</v>
      </c>
    </row>
    <row r="14" spans="1:25">
      <c r="A14" s="6" t="s">
        <v>17</v>
      </c>
      <c r="B14" s="6" t="str">
        <f t="shared" si="0"/>
        <v>362</v>
      </c>
      <c r="C14" s="2" t="s">
        <v>21</v>
      </c>
      <c r="D14" s="4">
        <v>169192689.40000001</v>
      </c>
      <c r="E14" s="16"/>
      <c r="F14" s="4">
        <v>14466574.42</v>
      </c>
      <c r="G14" s="16"/>
      <c r="H14" s="4">
        <v>-885569.44000000006</v>
      </c>
      <c r="I14" s="16"/>
      <c r="J14" s="4">
        <v>-105793.07</v>
      </c>
      <c r="K14" s="16"/>
      <c r="L14" s="4">
        <v>13475211.91</v>
      </c>
      <c r="M14" s="16"/>
      <c r="N14" s="4">
        <v>182667901.31</v>
      </c>
      <c r="O14" s="2"/>
      <c r="P14" s="10">
        <v>-46909628.871409997</v>
      </c>
      <c r="Q14" s="2"/>
      <c r="R14" s="10">
        <v>135758272.43858999</v>
      </c>
      <c r="S14" s="16"/>
      <c r="T14" s="4">
        <v>83039.91354028153</v>
      </c>
      <c r="U14" s="16"/>
      <c r="V14" s="4">
        <v>-46826588.957869716</v>
      </c>
      <c r="W14" s="16"/>
      <c r="X14" s="4">
        <v>182667901.26000002</v>
      </c>
      <c r="Y14" s="4">
        <v>-4.9999982118606567E-2</v>
      </c>
    </row>
    <row r="15" spans="1:25">
      <c r="A15" s="6" t="s">
        <v>17</v>
      </c>
      <c r="B15" s="6" t="str">
        <f t="shared" si="0"/>
        <v>364</v>
      </c>
      <c r="C15" s="2" t="s">
        <v>22</v>
      </c>
      <c r="D15" s="4">
        <v>336657380.5</v>
      </c>
      <c r="E15" s="16"/>
      <c r="F15" s="4">
        <v>13711858.579999998</v>
      </c>
      <c r="G15" s="16"/>
      <c r="H15" s="4">
        <v>-2003514.71</v>
      </c>
      <c r="I15" s="16"/>
      <c r="J15" s="4">
        <v>0</v>
      </c>
      <c r="K15" s="16"/>
      <c r="L15" s="4">
        <v>11708343.869999997</v>
      </c>
      <c r="M15" s="16"/>
      <c r="N15" s="4">
        <v>348365724.37</v>
      </c>
      <c r="O15" s="2"/>
      <c r="P15" s="10">
        <v>-144663906.32984903</v>
      </c>
      <c r="Q15" s="2"/>
      <c r="R15" s="10">
        <v>203701818.04015097</v>
      </c>
      <c r="S15" s="16"/>
      <c r="T15" s="4">
        <v>78707.751946142293</v>
      </c>
      <c r="U15" s="16"/>
      <c r="V15" s="4">
        <v>-144585198.57790288</v>
      </c>
      <c r="W15" s="16"/>
      <c r="X15" s="4">
        <v>348365724.39999902</v>
      </c>
      <c r="Y15" s="4">
        <v>2.9999017715454102E-2</v>
      </c>
    </row>
    <row r="16" spans="1:25">
      <c r="A16" s="6" t="s">
        <v>17</v>
      </c>
      <c r="B16" s="6" t="str">
        <f t="shared" si="0"/>
        <v>365</v>
      </c>
      <c r="C16" s="2" t="s">
        <v>23</v>
      </c>
      <c r="D16" s="4">
        <v>323635472</v>
      </c>
      <c r="E16" s="16"/>
      <c r="F16" s="4">
        <v>29747368.879999969</v>
      </c>
      <c r="G16" s="16"/>
      <c r="H16" s="4">
        <v>-10050645.589999998</v>
      </c>
      <c r="I16" s="16"/>
      <c r="J16" s="4">
        <v>54177.149999999994</v>
      </c>
      <c r="K16" s="16"/>
      <c r="L16" s="4">
        <v>19750900.439999968</v>
      </c>
      <c r="M16" s="16"/>
      <c r="N16" s="4">
        <v>343386372.43999994</v>
      </c>
      <c r="O16" s="2"/>
      <c r="P16" s="10">
        <v>-108061739.7794605</v>
      </c>
      <c r="Q16" s="2"/>
      <c r="R16" s="10">
        <v>235324632.66053945</v>
      </c>
      <c r="S16" s="16"/>
      <c r="T16" s="4">
        <v>170753.55008930017</v>
      </c>
      <c r="U16" s="16"/>
      <c r="V16" s="4">
        <v>-107890986.2293712</v>
      </c>
      <c r="W16" s="16"/>
      <c r="X16" s="4">
        <v>343386372.90999907</v>
      </c>
      <c r="Y16" s="4">
        <v>0.46999913454055786</v>
      </c>
    </row>
    <row r="17" spans="1:25">
      <c r="A17" s="6" t="s">
        <v>17</v>
      </c>
      <c r="B17" s="6" t="str">
        <f t="shared" si="0"/>
        <v>366</v>
      </c>
      <c r="C17" s="2" t="s">
        <v>24</v>
      </c>
      <c r="D17" s="4">
        <v>2175967.46</v>
      </c>
      <c r="E17" s="16"/>
      <c r="F17" s="4">
        <v>207446.27</v>
      </c>
      <c r="G17" s="16"/>
      <c r="H17" s="4">
        <v>-2186.06</v>
      </c>
      <c r="I17" s="16"/>
      <c r="J17" s="4">
        <v>0</v>
      </c>
      <c r="K17" s="16"/>
      <c r="L17" s="4">
        <v>205260.21</v>
      </c>
      <c r="M17" s="16"/>
      <c r="N17" s="4">
        <v>2381227.67</v>
      </c>
      <c r="O17" s="2"/>
      <c r="P17" s="10">
        <v>-901762.10354739893</v>
      </c>
      <c r="Q17" s="2"/>
      <c r="R17" s="10">
        <v>1479465.566452601</v>
      </c>
      <c r="S17" s="16"/>
      <c r="T17" s="4">
        <v>1190.7670623972012</v>
      </c>
      <c r="U17" s="16"/>
      <c r="V17" s="4">
        <v>-900571.33648500172</v>
      </c>
      <c r="W17" s="16"/>
      <c r="X17" s="4">
        <v>2381227.6699999901</v>
      </c>
      <c r="Y17" s="4">
        <v>-9.7788870334625244E-9</v>
      </c>
    </row>
    <row r="18" spans="1:25">
      <c r="A18" s="6" t="s">
        <v>17</v>
      </c>
      <c r="B18" s="6" t="str">
        <f t="shared" si="0"/>
        <v>367</v>
      </c>
      <c r="C18" s="2" t="s">
        <v>25</v>
      </c>
      <c r="D18" s="4">
        <v>179736094.27000001</v>
      </c>
      <c r="E18" s="16"/>
      <c r="F18" s="4">
        <v>8699955.6999999993</v>
      </c>
      <c r="G18" s="16"/>
      <c r="H18" s="4">
        <v>-681974.09000000008</v>
      </c>
      <c r="I18" s="16"/>
      <c r="J18" s="4">
        <v>0</v>
      </c>
      <c r="K18" s="16"/>
      <c r="L18" s="4">
        <v>8017981.6099999994</v>
      </c>
      <c r="M18" s="16"/>
      <c r="N18" s="4">
        <v>187754075.88</v>
      </c>
      <c r="O18" s="2"/>
      <c r="P18" s="10">
        <v>-43945109.470837206</v>
      </c>
      <c r="Q18" s="2"/>
      <c r="R18" s="10">
        <v>143808966.40916279</v>
      </c>
      <c r="S18" s="16"/>
      <c r="T18" s="4">
        <v>49938.813996871511</v>
      </c>
      <c r="U18" s="16"/>
      <c r="V18" s="4">
        <v>-43895170.656840332</v>
      </c>
      <c r="W18" s="16"/>
      <c r="X18" s="4">
        <v>187754075.93000001</v>
      </c>
      <c r="Y18" s="4">
        <v>5.0000011920928955E-2</v>
      </c>
    </row>
    <row r="19" spans="1:25">
      <c r="A19" s="6" t="s">
        <v>17</v>
      </c>
      <c r="B19" s="6" t="str">
        <f t="shared" si="0"/>
        <v>368</v>
      </c>
      <c r="C19" s="2" t="s">
        <v>26</v>
      </c>
      <c r="D19" s="4">
        <v>295319320.5</v>
      </c>
      <c r="E19" s="16"/>
      <c r="F19" s="4">
        <v>8794576.2699999996</v>
      </c>
      <c r="G19" s="16"/>
      <c r="H19" s="4">
        <v>-1570561.2000000002</v>
      </c>
      <c r="I19" s="16"/>
      <c r="J19" s="4">
        <v>0</v>
      </c>
      <c r="K19" s="16"/>
      <c r="L19" s="4">
        <v>7224015.0699999994</v>
      </c>
      <c r="M19" s="16"/>
      <c r="N19" s="4">
        <v>302543335.56999999</v>
      </c>
      <c r="O19" s="2"/>
      <c r="P19" s="10">
        <v>-140782604.326929</v>
      </c>
      <c r="Q19" s="2"/>
      <c r="R19" s="10">
        <v>161760731.24307099</v>
      </c>
      <c r="S19" s="16"/>
      <c r="T19" s="4">
        <v>50481.947687254324</v>
      </c>
      <c r="U19" s="16"/>
      <c r="V19" s="4">
        <v>-140732122.37924173</v>
      </c>
      <c r="W19" s="16"/>
      <c r="X19" s="4">
        <v>302543335.57999903</v>
      </c>
      <c r="Y19" s="4">
        <v>9.9990367889404297E-3</v>
      </c>
    </row>
    <row r="20" spans="1:25">
      <c r="A20" s="6" t="s">
        <v>17</v>
      </c>
      <c r="B20" s="6" t="str">
        <f t="shared" si="0"/>
        <v>369</v>
      </c>
      <c r="C20" s="2" t="s">
        <v>27</v>
      </c>
      <c r="D20" s="4">
        <v>89733863.49000001</v>
      </c>
      <c r="E20" s="16"/>
      <c r="F20" s="4">
        <v>7752953.0299999993</v>
      </c>
      <c r="G20" s="16"/>
      <c r="H20" s="4">
        <v>-224239.82</v>
      </c>
      <c r="I20" s="16"/>
      <c r="J20" s="4">
        <v>0</v>
      </c>
      <c r="K20" s="16"/>
      <c r="L20" s="4">
        <v>7528713.209999999</v>
      </c>
      <c r="M20" s="16"/>
      <c r="N20" s="4">
        <v>97262576.700000003</v>
      </c>
      <c r="O20" s="2"/>
      <c r="P20" s="10">
        <v>-59380051.355729997</v>
      </c>
      <c r="Q20" s="2"/>
      <c r="R20" s="10">
        <v>37882525.344270006</v>
      </c>
      <c r="S20" s="16"/>
      <c r="T20" s="4">
        <v>44502.902387382426</v>
      </c>
      <c r="U20" s="16"/>
      <c r="V20" s="4">
        <v>-59335548.453342617</v>
      </c>
      <c r="W20" s="16"/>
      <c r="X20" s="4">
        <v>97262576.699999899</v>
      </c>
      <c r="Y20" s="4">
        <v>0</v>
      </c>
    </row>
    <row r="21" spans="1:25">
      <c r="A21" s="6" t="s">
        <v>17</v>
      </c>
      <c r="B21" s="6" t="str">
        <f t="shared" si="0"/>
        <v>370</v>
      </c>
      <c r="C21" s="2" t="s">
        <v>28</v>
      </c>
      <c r="D21" s="4">
        <v>72745284.870000005</v>
      </c>
      <c r="E21" s="16"/>
      <c r="F21" s="4">
        <v>1902154.0800000003</v>
      </c>
      <c r="G21" s="16"/>
      <c r="H21" s="4">
        <v>-143941.78</v>
      </c>
      <c r="I21" s="16"/>
      <c r="J21" s="4">
        <v>0</v>
      </c>
      <c r="K21" s="16"/>
      <c r="L21" s="4">
        <v>1758212.3000000003</v>
      </c>
      <c r="M21" s="16"/>
      <c r="N21" s="4">
        <v>74503497.170000002</v>
      </c>
      <c r="O21" s="2"/>
      <c r="P21" s="10">
        <v>-37087430.336699903</v>
      </c>
      <c r="Q21" s="2"/>
      <c r="R21" s="10">
        <v>37416066.833300099</v>
      </c>
      <c r="S21" s="16"/>
      <c r="T21" s="4">
        <v>10918.597987172541</v>
      </c>
      <c r="U21" s="16"/>
      <c r="V21" s="4">
        <v>-37076511.738712728</v>
      </c>
      <c r="W21" s="16"/>
      <c r="X21" s="4">
        <v>74503497.170000002</v>
      </c>
      <c r="Y21" s="4">
        <v>0</v>
      </c>
    </row>
    <row r="22" spans="1:25">
      <c r="A22" s="6" t="s">
        <v>17</v>
      </c>
      <c r="C22" s="2" t="s">
        <v>2319</v>
      </c>
      <c r="D22" s="4">
        <v>0</v>
      </c>
      <c r="E22" s="16"/>
      <c r="F22" s="4">
        <v>0</v>
      </c>
      <c r="G22" s="16"/>
      <c r="H22" s="4">
        <v>0</v>
      </c>
      <c r="I22" s="16"/>
      <c r="J22" s="4">
        <v>0</v>
      </c>
      <c r="K22" s="16"/>
      <c r="L22" s="4">
        <v>0</v>
      </c>
      <c r="M22" s="16"/>
      <c r="N22" s="4">
        <v>0</v>
      </c>
      <c r="O22" s="2"/>
      <c r="P22" s="10">
        <v>0</v>
      </c>
      <c r="Q22" s="2"/>
      <c r="R22" s="10">
        <v>0</v>
      </c>
      <c r="S22" s="16"/>
      <c r="T22" s="4">
        <v>0</v>
      </c>
      <c r="U22" s="16"/>
      <c r="V22" s="4">
        <v>0</v>
      </c>
      <c r="W22" s="16"/>
      <c r="X22" s="4">
        <v>0</v>
      </c>
      <c r="Y22" s="4">
        <v>0</v>
      </c>
    </row>
    <row r="23" spans="1:25">
      <c r="A23" s="6" t="s">
        <v>17</v>
      </c>
      <c r="B23" s="6" t="str">
        <f t="shared" si="0"/>
        <v>371</v>
      </c>
      <c r="C23" s="2" t="s">
        <v>29</v>
      </c>
      <c r="D23" s="4">
        <v>16198200.6</v>
      </c>
      <c r="E23" s="16"/>
      <c r="F23" s="4">
        <v>209833.34000000003</v>
      </c>
      <c r="G23" s="16"/>
      <c r="H23" s="4">
        <v>0</v>
      </c>
      <c r="I23" s="16"/>
      <c r="J23" s="4">
        <v>-16202658.390000001</v>
      </c>
      <c r="K23" s="16"/>
      <c r="L23" s="4">
        <v>-15992825.050000001</v>
      </c>
      <c r="M23" s="16"/>
      <c r="N23" s="4">
        <v>205375.54999999888</v>
      </c>
      <c r="O23" s="2"/>
      <c r="P23" s="10">
        <v>3470.2127949700002</v>
      </c>
      <c r="Q23" s="2"/>
      <c r="R23" s="10">
        <v>208845.76279496888</v>
      </c>
      <c r="S23" s="16"/>
      <c r="T23" s="4">
        <v>1204.4691373086305</v>
      </c>
      <c r="U23" s="16"/>
      <c r="V23" s="4">
        <v>4674.6819322786305</v>
      </c>
      <c r="W23" s="16"/>
      <c r="X23" s="4">
        <v>205375.55000000002</v>
      </c>
      <c r="Y23" s="4">
        <v>1.1350493878126144E-9</v>
      </c>
    </row>
    <row r="24" spans="1:25">
      <c r="A24" s="6" t="s">
        <v>17</v>
      </c>
      <c r="B24" s="6" t="str">
        <f t="shared" si="0"/>
        <v>373</v>
      </c>
      <c r="C24" s="2" t="s">
        <v>30</v>
      </c>
      <c r="D24" s="4">
        <v>94842826.569999903</v>
      </c>
      <c r="E24" s="15"/>
      <c r="F24" s="4">
        <v>6244465.4600000009</v>
      </c>
      <c r="G24" s="15"/>
      <c r="H24" s="4">
        <v>-5599217.1799999997</v>
      </c>
      <c r="I24" s="15"/>
      <c r="J24" s="4">
        <v>16202658.390000001</v>
      </c>
      <c r="K24" s="15"/>
      <c r="L24" s="14">
        <v>16847906.670000002</v>
      </c>
      <c r="M24" s="15"/>
      <c r="N24" s="14">
        <v>111690733.23999991</v>
      </c>
      <c r="O24" s="2"/>
      <c r="P24" s="10">
        <v>-35411715.615159996</v>
      </c>
      <c r="Q24" s="2"/>
      <c r="R24" s="10">
        <v>76279017.624839902</v>
      </c>
      <c r="S24" s="15"/>
      <c r="T24" s="4">
        <v>35843.998506432486</v>
      </c>
      <c r="U24" s="15"/>
      <c r="V24" s="4">
        <v>-35375871.616653562</v>
      </c>
      <c r="W24" s="15"/>
      <c r="X24" s="4">
        <v>111690733.23999999</v>
      </c>
      <c r="Y24" s="4">
        <v>0</v>
      </c>
    </row>
    <row r="25" spans="1:25">
      <c r="A25" s="6" t="s">
        <v>17</v>
      </c>
      <c r="B25" s="6" t="str">
        <f t="shared" si="0"/>
        <v>374</v>
      </c>
      <c r="C25" s="2" t="s">
        <v>31</v>
      </c>
      <c r="D25" s="14">
        <v>907695.38999999897</v>
      </c>
      <c r="E25" s="15"/>
      <c r="F25" s="14">
        <v>0</v>
      </c>
      <c r="G25" s="15"/>
      <c r="H25" s="14">
        <v>-2798.5299999999997</v>
      </c>
      <c r="I25" s="15"/>
      <c r="J25" s="14">
        <v>0</v>
      </c>
      <c r="K25" s="15"/>
      <c r="L25" s="14">
        <v>-2798.5299999999997</v>
      </c>
      <c r="M25" s="15"/>
      <c r="N25" s="14">
        <v>904896.85999999894</v>
      </c>
      <c r="O25" s="11"/>
      <c r="P25" s="12">
        <v>-129706.85999999901</v>
      </c>
      <c r="Q25" s="11"/>
      <c r="R25" s="12">
        <v>775189.99999999988</v>
      </c>
      <c r="S25" s="15"/>
      <c r="T25" s="14">
        <v>0</v>
      </c>
      <c r="U25" s="15"/>
      <c r="V25" s="14">
        <v>-129706.85999999901</v>
      </c>
      <c r="W25" s="15"/>
      <c r="X25" s="14">
        <v>904896.86</v>
      </c>
      <c r="Y25" s="14">
        <v>1.0477378964424133E-9</v>
      </c>
    </row>
    <row r="26" spans="1:25">
      <c r="C26" s="13" t="s">
        <v>32</v>
      </c>
      <c r="D26" s="14">
        <v>0</v>
      </c>
      <c r="E26" s="15"/>
      <c r="F26" s="14">
        <v>0</v>
      </c>
      <c r="G26" s="15"/>
      <c r="H26" s="14">
        <v>0</v>
      </c>
      <c r="I26" s="15"/>
      <c r="J26" s="14">
        <v>0</v>
      </c>
      <c r="K26" s="15"/>
      <c r="L26" s="14">
        <v>0</v>
      </c>
      <c r="M26" s="15"/>
      <c r="N26" s="14">
        <v>0</v>
      </c>
      <c r="O26" s="2"/>
      <c r="P26" s="12">
        <v>0</v>
      </c>
      <c r="Q26" s="2"/>
      <c r="R26" s="12">
        <v>0</v>
      </c>
      <c r="S26" s="15"/>
      <c r="T26" s="14">
        <v>0</v>
      </c>
      <c r="U26" s="15"/>
      <c r="V26" s="14">
        <v>0</v>
      </c>
      <c r="W26" s="15"/>
      <c r="X26" s="14">
        <v>0</v>
      </c>
      <c r="Y26" s="14">
        <v>0</v>
      </c>
    </row>
    <row r="27" spans="1:25">
      <c r="C27" s="2"/>
      <c r="D27" s="476">
        <v>1600664197.6799998</v>
      </c>
      <c r="E27" s="15"/>
      <c r="F27" s="476">
        <v>92632497.479999959</v>
      </c>
      <c r="G27" s="15"/>
      <c r="H27" s="476">
        <v>-21174308.890000001</v>
      </c>
      <c r="I27" s="15"/>
      <c r="J27" s="476">
        <v>-165498.16999999993</v>
      </c>
      <c r="K27" s="15"/>
      <c r="L27" s="476">
        <v>71292690.419999957</v>
      </c>
      <c r="M27" s="15"/>
      <c r="N27" s="476">
        <v>1671956888.0999997</v>
      </c>
      <c r="O27" s="2"/>
      <c r="P27" s="476">
        <v>-621025512.76249397</v>
      </c>
      <c r="Q27" s="2"/>
      <c r="R27" s="476">
        <v>1050931375.3375057</v>
      </c>
      <c r="S27" s="15"/>
      <c r="T27" s="476">
        <v>531721.91</v>
      </c>
      <c r="U27" s="15"/>
      <c r="V27" s="476">
        <v>-620493790.85249412</v>
      </c>
      <c r="W27" s="15"/>
      <c r="X27" s="476">
        <v>1671956888.6099968</v>
      </c>
      <c r="Y27" s="476">
        <v>0.50999722056440078</v>
      </c>
    </row>
    <row r="28" spans="1:25">
      <c r="C28" s="2"/>
      <c r="D28" s="14"/>
      <c r="E28" s="15"/>
      <c r="F28" s="14"/>
      <c r="G28" s="15"/>
      <c r="H28" s="14"/>
      <c r="I28" s="15"/>
      <c r="J28" s="14"/>
      <c r="K28" s="15"/>
      <c r="L28" s="14"/>
      <c r="M28" s="15"/>
      <c r="N28" s="14"/>
      <c r="O28" s="2"/>
      <c r="P28" s="2"/>
      <c r="Q28" s="2"/>
      <c r="R28" s="2"/>
      <c r="S28" s="15"/>
      <c r="T28" s="14"/>
      <c r="U28" s="15"/>
      <c r="V28" s="14"/>
      <c r="W28" s="15"/>
      <c r="X28" s="14"/>
      <c r="Y28" s="14"/>
    </row>
    <row r="29" spans="1:25">
      <c r="C29" s="5" t="s">
        <v>33</v>
      </c>
      <c r="D29" s="14"/>
      <c r="E29" s="15"/>
      <c r="F29" s="14"/>
      <c r="G29" s="15"/>
      <c r="H29" s="14"/>
      <c r="I29" s="15"/>
      <c r="J29" s="14"/>
      <c r="K29" s="15"/>
      <c r="L29" s="14"/>
      <c r="M29" s="15"/>
      <c r="N29" s="14"/>
      <c r="O29" s="2"/>
      <c r="P29" s="2"/>
      <c r="Q29" s="2"/>
      <c r="R29" s="2"/>
      <c r="S29" s="15"/>
      <c r="T29" s="14"/>
      <c r="U29" s="15"/>
      <c r="V29" s="14"/>
      <c r="W29" s="15"/>
      <c r="X29" s="14"/>
      <c r="Y29" s="14"/>
    </row>
    <row r="30" spans="1:25">
      <c r="A30" s="6" t="s">
        <v>17</v>
      </c>
      <c r="B30" s="6" t="str">
        <f t="shared" ref="B30:B46" si="1">MID(C30,2,3)</f>
        <v>389</v>
      </c>
      <c r="C30" s="2" t="s">
        <v>34</v>
      </c>
      <c r="D30" s="4">
        <v>2729479.9</v>
      </c>
      <c r="E30" s="16"/>
      <c r="F30" s="4">
        <v>302957.17</v>
      </c>
      <c r="G30" s="16"/>
      <c r="H30" s="4">
        <v>0</v>
      </c>
      <c r="I30" s="16"/>
      <c r="J30" s="4">
        <v>0</v>
      </c>
      <c r="K30" s="16"/>
      <c r="L30" s="4">
        <v>302957.17</v>
      </c>
      <c r="M30" s="16"/>
      <c r="N30" s="4">
        <v>3032437.07</v>
      </c>
      <c r="O30" s="2"/>
      <c r="P30" s="10">
        <v>17050</v>
      </c>
      <c r="Q30" s="2"/>
      <c r="R30" s="10">
        <v>3049487.07</v>
      </c>
      <c r="S30" s="16"/>
      <c r="T30" s="4">
        <v>0</v>
      </c>
      <c r="U30" s="16"/>
      <c r="V30" s="4">
        <v>17050</v>
      </c>
      <c r="W30" s="16"/>
      <c r="X30" s="4">
        <v>3032437.07</v>
      </c>
      <c r="Y30" s="4">
        <v>0</v>
      </c>
    </row>
    <row r="31" spans="1:25">
      <c r="A31" s="6" t="s">
        <v>17</v>
      </c>
      <c r="B31" s="6" t="str">
        <f t="shared" si="1"/>
        <v>390</v>
      </c>
      <c r="C31" s="2" t="s">
        <v>35</v>
      </c>
      <c r="D31" s="4">
        <v>56264897.740000002</v>
      </c>
      <c r="E31" s="16"/>
      <c r="F31" s="4">
        <v>4740555.1699999981</v>
      </c>
      <c r="G31" s="16"/>
      <c r="H31" s="4">
        <v>-323183.70000000007</v>
      </c>
      <c r="I31" s="16"/>
      <c r="J31" s="4">
        <v>0</v>
      </c>
      <c r="K31" s="16"/>
      <c r="L31" s="4">
        <v>4417371.4699999979</v>
      </c>
      <c r="M31" s="16"/>
      <c r="N31" s="4">
        <v>60682269.210000001</v>
      </c>
      <c r="O31" s="2"/>
      <c r="P31" s="10">
        <v>-12083217.860129014</v>
      </c>
      <c r="Q31" s="2"/>
      <c r="R31" s="10">
        <v>48599051.349870987</v>
      </c>
      <c r="S31" s="16"/>
      <c r="T31" s="4">
        <v>0</v>
      </c>
      <c r="U31" s="16"/>
      <c r="V31" s="4">
        <v>-12083217.860129014</v>
      </c>
      <c r="W31" s="16"/>
      <c r="X31" s="4">
        <v>60682269.209999897</v>
      </c>
      <c r="Y31" s="4">
        <v>-1.0430812835693359E-7</v>
      </c>
    </row>
    <row r="32" spans="1:25">
      <c r="A32" s="6" t="s">
        <v>17</v>
      </c>
      <c r="C32" s="2" t="s">
        <v>36</v>
      </c>
      <c r="D32" s="4">
        <v>0</v>
      </c>
      <c r="E32" s="16"/>
      <c r="F32" s="4">
        <v>0</v>
      </c>
      <c r="G32" s="16"/>
      <c r="H32" s="4">
        <v>0</v>
      </c>
      <c r="I32" s="16"/>
      <c r="J32" s="4">
        <v>0</v>
      </c>
      <c r="K32" s="16"/>
      <c r="L32" s="4">
        <v>0</v>
      </c>
      <c r="M32" s="16"/>
      <c r="N32" s="4">
        <v>0</v>
      </c>
      <c r="O32" s="2"/>
      <c r="P32" s="10">
        <v>0</v>
      </c>
      <c r="Q32" s="2"/>
      <c r="R32" s="10">
        <v>0</v>
      </c>
      <c r="S32" s="16"/>
      <c r="T32" s="4">
        <v>0</v>
      </c>
      <c r="U32" s="16"/>
      <c r="V32" s="4">
        <v>0</v>
      </c>
      <c r="W32" s="16"/>
      <c r="X32" s="4">
        <v>0</v>
      </c>
      <c r="Y32" s="4">
        <v>0</v>
      </c>
    </row>
    <row r="33" spans="1:25">
      <c r="A33" s="6" t="s">
        <v>17</v>
      </c>
      <c r="B33" s="6" t="str">
        <f t="shared" si="1"/>
        <v>391</v>
      </c>
      <c r="C33" s="2" t="s">
        <v>37</v>
      </c>
      <c r="D33" s="4">
        <v>44892481.419999994</v>
      </c>
      <c r="E33" s="16"/>
      <c r="F33" s="4">
        <v>8902110.7099999785</v>
      </c>
      <c r="G33" s="16"/>
      <c r="H33" s="4">
        <v>-8748561.9600000009</v>
      </c>
      <c r="I33" s="16"/>
      <c r="J33" s="4">
        <v>0</v>
      </c>
      <c r="K33" s="16"/>
      <c r="L33" s="4">
        <v>153548.74999997765</v>
      </c>
      <c r="M33" s="16"/>
      <c r="N33" s="4">
        <v>45046030.169999972</v>
      </c>
      <c r="O33" s="2"/>
      <c r="P33" s="10">
        <v>-21931142.465179998</v>
      </c>
      <c r="Q33" s="2"/>
      <c r="R33" s="10">
        <v>23114887.704819974</v>
      </c>
      <c r="S33" s="16"/>
      <c r="T33" s="4">
        <v>0</v>
      </c>
      <c r="U33" s="16"/>
      <c r="V33" s="4">
        <v>-21931142.465179998</v>
      </c>
      <c r="W33" s="16"/>
      <c r="X33" s="4">
        <v>45046030.169999994</v>
      </c>
      <c r="Y33" s="4">
        <v>0</v>
      </c>
    </row>
    <row r="34" spans="1:25">
      <c r="A34" s="6" t="s">
        <v>17</v>
      </c>
      <c r="C34" s="2" t="s">
        <v>38</v>
      </c>
      <c r="D34" s="4">
        <v>0</v>
      </c>
      <c r="E34" s="16"/>
      <c r="F34" s="4">
        <v>0</v>
      </c>
      <c r="G34" s="16"/>
      <c r="H34" s="4">
        <v>0</v>
      </c>
      <c r="I34" s="16"/>
      <c r="J34" s="4">
        <v>0</v>
      </c>
      <c r="K34" s="16"/>
      <c r="L34" s="4">
        <v>0</v>
      </c>
      <c r="M34" s="16"/>
      <c r="N34" s="4">
        <v>0</v>
      </c>
      <c r="O34" s="2"/>
      <c r="P34" s="10">
        <v>0</v>
      </c>
      <c r="Q34" s="2"/>
      <c r="R34" s="10">
        <v>0</v>
      </c>
      <c r="S34" s="16"/>
      <c r="T34" s="4">
        <v>0</v>
      </c>
      <c r="U34" s="16"/>
      <c r="V34" s="4">
        <v>0</v>
      </c>
      <c r="W34" s="16"/>
      <c r="X34" s="4">
        <v>0</v>
      </c>
      <c r="Y34" s="4">
        <v>0</v>
      </c>
    </row>
    <row r="35" spans="1:25">
      <c r="A35" s="6" t="s">
        <v>17</v>
      </c>
      <c r="C35" s="2" t="s">
        <v>39</v>
      </c>
      <c r="D35" s="4">
        <v>0</v>
      </c>
      <c r="E35" s="16"/>
      <c r="F35" s="4">
        <v>0</v>
      </c>
      <c r="G35" s="16"/>
      <c r="H35" s="4">
        <v>0</v>
      </c>
      <c r="I35" s="16"/>
      <c r="J35" s="4">
        <v>0</v>
      </c>
      <c r="K35" s="16"/>
      <c r="L35" s="4">
        <v>0</v>
      </c>
      <c r="M35" s="16"/>
      <c r="N35" s="4">
        <v>0</v>
      </c>
      <c r="O35" s="2"/>
      <c r="P35" s="10">
        <v>0</v>
      </c>
      <c r="Q35" s="2"/>
      <c r="R35" s="10">
        <v>0</v>
      </c>
      <c r="S35" s="16"/>
      <c r="T35" s="4">
        <v>0</v>
      </c>
      <c r="U35" s="16"/>
      <c r="V35" s="4">
        <v>0</v>
      </c>
      <c r="W35" s="16"/>
      <c r="X35" s="4">
        <v>0</v>
      </c>
      <c r="Y35" s="4">
        <v>0</v>
      </c>
    </row>
    <row r="36" spans="1:25">
      <c r="A36" s="6" t="s">
        <v>17</v>
      </c>
      <c r="C36" s="2" t="s">
        <v>40</v>
      </c>
      <c r="D36" s="4">
        <v>0</v>
      </c>
      <c r="E36" s="16"/>
      <c r="F36" s="4">
        <v>0</v>
      </c>
      <c r="G36" s="16"/>
      <c r="H36" s="4">
        <v>0</v>
      </c>
      <c r="I36" s="16"/>
      <c r="J36" s="4">
        <v>0</v>
      </c>
      <c r="K36" s="16"/>
      <c r="L36" s="4">
        <v>0</v>
      </c>
      <c r="M36" s="16"/>
      <c r="N36" s="4">
        <v>0</v>
      </c>
      <c r="O36" s="2"/>
      <c r="P36" s="10">
        <v>0</v>
      </c>
      <c r="Q36" s="2"/>
      <c r="R36" s="10">
        <v>0</v>
      </c>
      <c r="S36" s="16"/>
      <c r="T36" s="4">
        <v>0</v>
      </c>
      <c r="U36" s="16"/>
      <c r="V36" s="4">
        <v>0</v>
      </c>
      <c r="W36" s="16"/>
      <c r="X36" s="4">
        <v>0</v>
      </c>
      <c r="Y36" s="4">
        <v>0</v>
      </c>
    </row>
    <row r="37" spans="1:25">
      <c r="A37" s="6" t="s">
        <v>17</v>
      </c>
      <c r="B37" s="6" t="str">
        <f t="shared" si="1"/>
        <v>392</v>
      </c>
      <c r="C37" s="2" t="s">
        <v>41</v>
      </c>
      <c r="D37" s="4">
        <v>5576344.3500000006</v>
      </c>
      <c r="E37" s="16"/>
      <c r="F37" s="4">
        <v>1967963.8599999999</v>
      </c>
      <c r="G37" s="16"/>
      <c r="H37" s="4">
        <v>-266588.79000000004</v>
      </c>
      <c r="I37" s="16"/>
      <c r="J37" s="4">
        <v>0</v>
      </c>
      <c r="K37" s="16"/>
      <c r="L37" s="4">
        <v>1701375.0699999998</v>
      </c>
      <c r="M37" s="16"/>
      <c r="N37" s="4">
        <v>7277719.4199999999</v>
      </c>
      <c r="O37" s="2"/>
      <c r="P37" s="10">
        <v>-3673365.0530689904</v>
      </c>
      <c r="Q37" s="2"/>
      <c r="R37" s="10">
        <v>3604354.3669310096</v>
      </c>
      <c r="S37" s="16"/>
      <c r="T37" s="4">
        <v>0</v>
      </c>
      <c r="U37" s="16"/>
      <c r="V37" s="4">
        <v>-3673365.0530689904</v>
      </c>
      <c r="W37" s="16"/>
      <c r="X37" s="4">
        <v>7277719.419999999</v>
      </c>
      <c r="Y37" s="4">
        <v>0</v>
      </c>
    </row>
    <row r="38" spans="1:25">
      <c r="A38" s="6" t="s">
        <v>17</v>
      </c>
      <c r="C38" s="2" t="s">
        <v>42</v>
      </c>
      <c r="D38" s="4">
        <v>0</v>
      </c>
      <c r="E38" s="16"/>
      <c r="F38" s="4">
        <v>0</v>
      </c>
      <c r="G38" s="16"/>
      <c r="H38" s="4">
        <v>0</v>
      </c>
      <c r="I38" s="16"/>
      <c r="J38" s="4">
        <v>0</v>
      </c>
      <c r="K38" s="16"/>
      <c r="L38" s="4">
        <v>0</v>
      </c>
      <c r="M38" s="16"/>
      <c r="N38" s="4">
        <v>0</v>
      </c>
      <c r="O38" s="2"/>
      <c r="P38" s="10">
        <v>0</v>
      </c>
      <c r="Q38" s="2"/>
      <c r="R38" s="10">
        <v>0</v>
      </c>
      <c r="S38" s="16"/>
      <c r="T38" s="4">
        <v>0</v>
      </c>
      <c r="U38" s="16"/>
      <c r="V38" s="4">
        <v>0</v>
      </c>
      <c r="W38" s="16"/>
      <c r="X38" s="4">
        <v>0</v>
      </c>
      <c r="Y38" s="4">
        <v>0</v>
      </c>
    </row>
    <row r="39" spans="1:25">
      <c r="A39" s="6" t="s">
        <v>17</v>
      </c>
      <c r="B39" s="6" t="str">
        <f t="shared" si="1"/>
        <v>393</v>
      </c>
      <c r="C39" s="2" t="s">
        <v>43</v>
      </c>
      <c r="D39" s="4">
        <v>1503199.69</v>
      </c>
      <c r="E39" s="16"/>
      <c r="F39" s="4">
        <v>5915.78</v>
      </c>
      <c r="G39" s="16"/>
      <c r="H39" s="4">
        <v>0</v>
      </c>
      <c r="I39" s="16"/>
      <c r="J39" s="4">
        <v>0</v>
      </c>
      <c r="K39" s="16"/>
      <c r="L39" s="4">
        <v>5915.78</v>
      </c>
      <c r="M39" s="16"/>
      <c r="N39" s="4">
        <v>1509115.47</v>
      </c>
      <c r="O39" s="2"/>
      <c r="P39" s="10">
        <v>-397623.55716599897</v>
      </c>
      <c r="Q39" s="2"/>
      <c r="R39" s="10">
        <v>1111491.912834001</v>
      </c>
      <c r="S39" s="16"/>
      <c r="T39" s="4">
        <v>0</v>
      </c>
      <c r="U39" s="16"/>
      <c r="V39" s="4">
        <v>-397623.55716599897</v>
      </c>
      <c r="W39" s="16"/>
      <c r="X39" s="4">
        <v>1509115.47</v>
      </c>
      <c r="Y39" s="4">
        <v>0</v>
      </c>
    </row>
    <row r="40" spans="1:25">
      <c r="A40" s="6" t="s">
        <v>17</v>
      </c>
      <c r="B40" s="6" t="str">
        <f t="shared" si="1"/>
        <v>394</v>
      </c>
      <c r="C40" s="2" t="s">
        <v>44</v>
      </c>
      <c r="D40" s="4">
        <v>12043642.75</v>
      </c>
      <c r="E40" s="16"/>
      <c r="F40" s="4">
        <v>876424.08999999892</v>
      </c>
      <c r="G40" s="16"/>
      <c r="H40" s="4">
        <v>-94431.47</v>
      </c>
      <c r="I40" s="16"/>
      <c r="J40" s="4">
        <v>0</v>
      </c>
      <c r="K40" s="16"/>
      <c r="L40" s="4">
        <v>781992.61999999895</v>
      </c>
      <c r="M40" s="16"/>
      <c r="N40" s="4">
        <v>12825635.369999999</v>
      </c>
      <c r="O40" s="2"/>
      <c r="P40" s="10">
        <v>-3929163.72279</v>
      </c>
      <c r="Q40" s="2"/>
      <c r="R40" s="10">
        <v>8896471.6472099982</v>
      </c>
      <c r="S40" s="16"/>
      <c r="T40" s="4">
        <v>0</v>
      </c>
      <c r="U40" s="16"/>
      <c r="V40" s="4">
        <v>-3929163.72279</v>
      </c>
      <c r="W40" s="16"/>
      <c r="X40" s="4">
        <v>12825635.3699999</v>
      </c>
      <c r="Y40" s="4">
        <v>-9.8720192909240723E-8</v>
      </c>
    </row>
    <row r="41" spans="1:25">
      <c r="A41" s="6" t="s">
        <v>17</v>
      </c>
      <c r="B41" s="6" t="str">
        <f t="shared" si="1"/>
        <v>395</v>
      </c>
      <c r="C41" s="2" t="s">
        <v>45</v>
      </c>
      <c r="D41" s="4">
        <v>0</v>
      </c>
      <c r="E41" s="16"/>
      <c r="F41" s="4">
        <v>0</v>
      </c>
      <c r="G41" s="16"/>
      <c r="H41" s="4">
        <v>0</v>
      </c>
      <c r="I41" s="16"/>
      <c r="J41" s="4">
        <v>0</v>
      </c>
      <c r="K41" s="16"/>
      <c r="L41" s="4">
        <v>0</v>
      </c>
      <c r="M41" s="16"/>
      <c r="N41" s="4">
        <v>0</v>
      </c>
      <c r="O41" s="2"/>
      <c r="P41" s="10">
        <v>0</v>
      </c>
      <c r="Q41" s="2"/>
      <c r="R41" s="10">
        <v>0</v>
      </c>
      <c r="S41" s="16"/>
      <c r="T41" s="4">
        <v>0</v>
      </c>
      <c r="U41" s="16"/>
      <c r="V41" s="4">
        <v>0</v>
      </c>
      <c r="W41" s="16"/>
      <c r="X41" s="4">
        <v>0</v>
      </c>
      <c r="Y41" s="4">
        <v>0</v>
      </c>
    </row>
    <row r="42" spans="1:25">
      <c r="A42" s="6" t="s">
        <v>17</v>
      </c>
      <c r="B42" s="6" t="str">
        <f t="shared" si="1"/>
        <v>396</v>
      </c>
      <c r="C42" s="2" t="s">
        <v>46</v>
      </c>
      <c r="D42" s="4">
        <v>1996237.3399999999</v>
      </c>
      <c r="E42" s="16"/>
      <c r="F42" s="4">
        <v>92362.16</v>
      </c>
      <c r="G42" s="16"/>
      <c r="H42" s="4">
        <v>0</v>
      </c>
      <c r="I42" s="16"/>
      <c r="J42" s="4">
        <v>0</v>
      </c>
      <c r="K42" s="16"/>
      <c r="L42" s="4">
        <v>92362.16</v>
      </c>
      <c r="M42" s="16"/>
      <c r="N42" s="4">
        <v>2088599.4999999998</v>
      </c>
      <c r="O42" s="2"/>
      <c r="P42" s="10">
        <v>-878182.59779999906</v>
      </c>
      <c r="Q42" s="2"/>
      <c r="R42" s="10">
        <v>1210416.9022000008</v>
      </c>
      <c r="S42" s="16"/>
      <c r="T42" s="4">
        <v>0</v>
      </c>
      <c r="U42" s="16"/>
      <c r="V42" s="4">
        <v>-878182.59779999906</v>
      </c>
      <c r="W42" s="16"/>
      <c r="X42" s="4">
        <v>2088599.4999999998</v>
      </c>
      <c r="Y42" s="4">
        <v>0</v>
      </c>
    </row>
    <row r="43" spans="1:25">
      <c r="A43" s="6" t="s">
        <v>17</v>
      </c>
      <c r="B43" s="6" t="str">
        <f t="shared" si="1"/>
        <v>397</v>
      </c>
      <c r="C43" s="2" t="s">
        <v>2320</v>
      </c>
      <c r="D43" s="4">
        <v>44817650.690000005</v>
      </c>
      <c r="E43" s="16"/>
      <c r="F43" s="4">
        <v>996708.7300000001</v>
      </c>
      <c r="G43" s="16"/>
      <c r="H43" s="4">
        <v>0</v>
      </c>
      <c r="I43" s="16"/>
      <c r="J43" s="4">
        <v>0</v>
      </c>
      <c r="K43" s="16"/>
      <c r="L43" s="4">
        <v>996708.7300000001</v>
      </c>
      <c r="M43" s="16"/>
      <c r="N43" s="4">
        <v>45814359.420000002</v>
      </c>
      <c r="O43" s="2"/>
      <c r="P43" s="10">
        <v>-18755178.668219998</v>
      </c>
      <c r="Q43" s="2"/>
      <c r="R43" s="10">
        <v>27059180.751780003</v>
      </c>
      <c r="S43" s="16"/>
      <c r="T43" s="4">
        <v>0</v>
      </c>
      <c r="U43" s="16"/>
      <c r="V43" s="4">
        <v>-18755178.668219998</v>
      </c>
      <c r="W43" s="16"/>
      <c r="X43" s="4">
        <v>45814359.420000002</v>
      </c>
      <c r="Y43" s="4">
        <v>0</v>
      </c>
    </row>
    <row r="44" spans="1:25">
      <c r="A44" s="6" t="s">
        <v>17</v>
      </c>
      <c r="C44" s="2" t="s">
        <v>2321</v>
      </c>
      <c r="D44" s="4">
        <v>0</v>
      </c>
      <c r="E44" s="16"/>
      <c r="F44" s="4">
        <v>0</v>
      </c>
      <c r="G44" s="16"/>
      <c r="H44" s="4">
        <v>0</v>
      </c>
      <c r="I44" s="16"/>
      <c r="J44" s="4">
        <v>0</v>
      </c>
      <c r="K44" s="16"/>
      <c r="L44" s="4">
        <v>0</v>
      </c>
      <c r="M44" s="16"/>
      <c r="N44" s="4">
        <v>0</v>
      </c>
      <c r="O44" s="2"/>
      <c r="P44" s="10">
        <v>0</v>
      </c>
      <c r="Q44" s="2"/>
      <c r="R44" s="10">
        <v>0</v>
      </c>
      <c r="S44" s="16"/>
      <c r="T44" s="4">
        <v>0</v>
      </c>
      <c r="U44" s="16"/>
      <c r="V44" s="4">
        <v>0</v>
      </c>
      <c r="W44" s="16"/>
      <c r="X44" s="4">
        <v>0</v>
      </c>
      <c r="Y44" s="4">
        <v>0</v>
      </c>
    </row>
    <row r="45" spans="1:25">
      <c r="A45" s="6" t="s">
        <v>17</v>
      </c>
      <c r="B45" s="698">
        <v>397</v>
      </c>
      <c r="C45" s="2" t="s">
        <v>47</v>
      </c>
      <c r="D45" s="4">
        <v>6828051.96</v>
      </c>
      <c r="E45" s="16"/>
      <c r="F45" s="4">
        <v>2403952.8199999984</v>
      </c>
      <c r="G45" s="16"/>
      <c r="H45" s="4">
        <v>0</v>
      </c>
      <c r="I45" s="16"/>
      <c r="J45" s="4">
        <v>0</v>
      </c>
      <c r="K45" s="16"/>
      <c r="L45" s="4">
        <v>2403952.8199999984</v>
      </c>
      <c r="M45" s="16"/>
      <c r="N45" s="4">
        <v>9232004.7799999975</v>
      </c>
      <c r="O45" s="2"/>
      <c r="P45" s="10">
        <v>-981867.29705200007</v>
      </c>
      <c r="Q45" s="2"/>
      <c r="R45" s="10">
        <v>8250137.4829479977</v>
      </c>
      <c r="S45" s="16"/>
      <c r="T45" s="4">
        <v>0</v>
      </c>
      <c r="U45" s="16"/>
      <c r="V45" s="4">
        <v>-981867.29705200007</v>
      </c>
      <c r="W45" s="16"/>
      <c r="X45" s="4">
        <v>9232004.7799999993</v>
      </c>
      <c r="Y45" s="4">
        <v>0</v>
      </c>
    </row>
    <row r="46" spans="1:25">
      <c r="A46" s="6" t="s">
        <v>17</v>
      </c>
      <c r="B46" s="6" t="str">
        <f t="shared" si="1"/>
        <v>398</v>
      </c>
      <c r="C46" s="2" t="s">
        <v>48</v>
      </c>
      <c r="D46" s="17">
        <v>0</v>
      </c>
      <c r="E46" s="15"/>
      <c r="F46" s="17">
        <v>0</v>
      </c>
      <c r="G46" s="15"/>
      <c r="H46" s="17">
        <v>0</v>
      </c>
      <c r="I46" s="15"/>
      <c r="J46" s="17">
        <v>0</v>
      </c>
      <c r="K46" s="15"/>
      <c r="L46" s="17">
        <v>0</v>
      </c>
      <c r="M46" s="15"/>
      <c r="N46" s="17">
        <v>0</v>
      </c>
      <c r="O46" s="2"/>
      <c r="P46" s="18">
        <v>0</v>
      </c>
      <c r="Q46" s="2"/>
      <c r="R46" s="18">
        <v>0</v>
      </c>
      <c r="S46" s="15"/>
      <c r="T46" s="17">
        <v>0</v>
      </c>
      <c r="U46" s="15"/>
      <c r="V46" s="17">
        <v>0</v>
      </c>
      <c r="W46" s="15"/>
      <c r="X46" s="17">
        <v>0</v>
      </c>
      <c r="Y46" s="17">
        <v>0</v>
      </c>
    </row>
    <row r="47" spans="1:25">
      <c r="C47" s="2"/>
      <c r="D47" s="14">
        <v>176651985.84</v>
      </c>
      <c r="E47" s="15"/>
      <c r="F47" s="14">
        <v>20288950.489999972</v>
      </c>
      <c r="G47" s="15"/>
      <c r="H47" s="14">
        <v>-9432765.9199999999</v>
      </c>
      <c r="I47" s="15"/>
      <c r="J47" s="14">
        <v>0</v>
      </c>
      <c r="K47" s="15"/>
      <c r="L47" s="14">
        <v>10856184.569999972</v>
      </c>
      <c r="M47" s="15"/>
      <c r="N47" s="14">
        <v>187508170.41</v>
      </c>
      <c r="O47" s="2"/>
      <c r="P47" s="14">
        <v>-62612691.221406005</v>
      </c>
      <c r="Q47" s="2"/>
      <c r="R47" s="14">
        <v>124895479.18859398</v>
      </c>
      <c r="S47" s="15"/>
      <c r="T47" s="14">
        <v>0</v>
      </c>
      <c r="U47" s="15"/>
      <c r="V47" s="14">
        <v>-62612691.221406005</v>
      </c>
      <c r="W47" s="15"/>
      <c r="X47" s="14">
        <v>187508170.40999982</v>
      </c>
      <c r="Y47" s="14">
        <v>-2.0302832126617432E-7</v>
      </c>
    </row>
    <row r="48" spans="1:25">
      <c r="C48" s="2"/>
      <c r="D48" s="14"/>
      <c r="E48" s="15"/>
      <c r="F48" s="14"/>
      <c r="G48" s="15"/>
      <c r="H48" s="14"/>
      <c r="I48" s="15"/>
      <c r="J48" s="14"/>
      <c r="K48" s="15"/>
      <c r="L48" s="14"/>
      <c r="M48" s="15"/>
      <c r="N48" s="14"/>
      <c r="O48" s="2"/>
      <c r="P48" s="2"/>
      <c r="Q48" s="2"/>
      <c r="R48" s="2"/>
      <c r="S48" s="15"/>
      <c r="T48" s="14"/>
      <c r="U48" s="15"/>
      <c r="V48" s="14"/>
      <c r="W48" s="15"/>
      <c r="X48" s="14"/>
      <c r="Y48" s="14"/>
    </row>
    <row r="49" spans="1:25">
      <c r="C49" s="5" t="s">
        <v>49</v>
      </c>
      <c r="D49" s="14"/>
      <c r="E49" s="15"/>
      <c r="F49" s="14"/>
      <c r="G49" s="15"/>
      <c r="H49" s="14"/>
      <c r="I49" s="15"/>
      <c r="J49" s="14"/>
      <c r="K49" s="15"/>
      <c r="L49" s="14"/>
      <c r="M49" s="15"/>
      <c r="N49" s="14"/>
      <c r="O49" s="2"/>
      <c r="P49" s="2"/>
      <c r="Q49" s="2"/>
      <c r="R49" s="2"/>
      <c r="S49" s="15"/>
      <c r="T49" s="14"/>
      <c r="U49" s="15"/>
      <c r="V49" s="14"/>
      <c r="W49" s="15"/>
      <c r="X49" s="14"/>
      <c r="Y49" s="14"/>
    </row>
    <row r="50" spans="1:25">
      <c r="A50" s="6" t="s">
        <v>17</v>
      </c>
      <c r="B50" s="6" t="str">
        <f t="shared" ref="B50:B57" si="2">MID(C50,2,3)</f>
        <v>330</v>
      </c>
      <c r="C50" s="2" t="s">
        <v>50</v>
      </c>
      <c r="D50" s="14">
        <v>879311.47</v>
      </c>
      <c r="E50" s="15"/>
      <c r="F50" s="14">
        <v>0</v>
      </c>
      <c r="G50" s="15"/>
      <c r="H50" s="14">
        <v>0</v>
      </c>
      <c r="I50" s="15"/>
      <c r="J50" s="14">
        <v>0</v>
      </c>
      <c r="K50" s="15"/>
      <c r="L50" s="14">
        <v>0</v>
      </c>
      <c r="M50" s="15"/>
      <c r="N50" s="14">
        <v>879311.47</v>
      </c>
      <c r="O50" s="2"/>
      <c r="P50" s="10">
        <v>-912332.6</v>
      </c>
      <c r="Q50" s="2"/>
      <c r="R50" s="10">
        <v>-33021.130000000005</v>
      </c>
      <c r="S50" s="15"/>
      <c r="T50" s="4">
        <v>0</v>
      </c>
      <c r="U50" s="16"/>
      <c r="V50" s="4">
        <v>-912332.6</v>
      </c>
      <c r="W50" s="16"/>
      <c r="X50" s="4">
        <v>879311.47</v>
      </c>
      <c r="Y50" s="4">
        <v>0</v>
      </c>
    </row>
    <row r="51" spans="1:25">
      <c r="A51" s="6" t="s">
        <v>17</v>
      </c>
      <c r="B51" s="6" t="str">
        <f t="shared" si="2"/>
        <v>331</v>
      </c>
      <c r="C51" s="2" t="s">
        <v>51</v>
      </c>
      <c r="D51" s="14">
        <v>2928676.76</v>
      </c>
      <c r="E51" s="15"/>
      <c r="F51" s="14">
        <v>1487.17</v>
      </c>
      <c r="G51" s="15"/>
      <c r="H51" s="14">
        <v>0</v>
      </c>
      <c r="I51" s="15"/>
      <c r="J51" s="14">
        <v>0</v>
      </c>
      <c r="K51" s="15"/>
      <c r="L51" s="14">
        <v>1487.17</v>
      </c>
      <c r="M51" s="15"/>
      <c r="N51" s="14">
        <v>2930163.9299999997</v>
      </c>
      <c r="O51" s="2"/>
      <c r="P51" s="10">
        <v>-299237.30783479998</v>
      </c>
      <c r="Q51" s="2"/>
      <c r="R51" s="10">
        <v>2630926.6221651998</v>
      </c>
      <c r="S51" s="15"/>
      <c r="T51" s="4">
        <v>0</v>
      </c>
      <c r="U51" s="16"/>
      <c r="V51" s="4">
        <v>-299237.30783479998</v>
      </c>
      <c r="W51" s="16"/>
      <c r="X51" s="4">
        <v>2930163.93</v>
      </c>
      <c r="Y51" s="4">
        <v>0</v>
      </c>
    </row>
    <row r="52" spans="1:25">
      <c r="A52" s="6" t="s">
        <v>17</v>
      </c>
      <c r="B52" s="6" t="str">
        <f t="shared" si="2"/>
        <v>332</v>
      </c>
      <c r="C52" s="2" t="s">
        <v>52</v>
      </c>
      <c r="D52" s="14">
        <v>21885646.369999997</v>
      </c>
      <c r="E52" s="15"/>
      <c r="F52" s="14">
        <v>0</v>
      </c>
      <c r="G52" s="15"/>
      <c r="H52" s="14">
        <v>0</v>
      </c>
      <c r="I52" s="15"/>
      <c r="J52" s="14">
        <v>0</v>
      </c>
      <c r="K52" s="15"/>
      <c r="L52" s="14">
        <v>0</v>
      </c>
      <c r="M52" s="15"/>
      <c r="N52" s="14">
        <v>21885646.369999997</v>
      </c>
      <c r="O52" s="2"/>
      <c r="P52" s="10">
        <v>-8849845.0850099996</v>
      </c>
      <c r="Q52" s="2"/>
      <c r="R52" s="10">
        <v>13035801.284989998</v>
      </c>
      <c r="S52" s="15"/>
      <c r="T52" s="14">
        <v>0</v>
      </c>
      <c r="U52" s="15"/>
      <c r="V52" s="14">
        <v>-8849845.0850099996</v>
      </c>
      <c r="W52" s="15"/>
      <c r="X52" s="14">
        <v>21885646.369999997</v>
      </c>
      <c r="Y52" s="14">
        <v>0</v>
      </c>
    </row>
    <row r="53" spans="1:25">
      <c r="A53" s="6" t="s">
        <v>17</v>
      </c>
      <c r="B53" s="6" t="str">
        <f t="shared" si="2"/>
        <v>333</v>
      </c>
      <c r="C53" s="2" t="s">
        <v>53</v>
      </c>
      <c r="D53" s="14">
        <v>14046741.58</v>
      </c>
      <c r="E53" s="15"/>
      <c r="F53" s="14">
        <v>0</v>
      </c>
      <c r="G53" s="15"/>
      <c r="H53" s="14">
        <v>0</v>
      </c>
      <c r="I53" s="15"/>
      <c r="J53" s="14">
        <v>0</v>
      </c>
      <c r="K53" s="15"/>
      <c r="L53" s="14">
        <v>0</v>
      </c>
      <c r="M53" s="15"/>
      <c r="N53" s="14">
        <v>14046741.58</v>
      </c>
      <c r="O53" s="2"/>
      <c r="P53" s="10">
        <v>-1404735.6809121999</v>
      </c>
      <c r="Q53" s="2"/>
      <c r="R53" s="10">
        <v>12642005.8990878</v>
      </c>
      <c r="S53" s="15"/>
      <c r="T53" s="14">
        <v>0</v>
      </c>
      <c r="U53" s="15"/>
      <c r="V53" s="14">
        <v>-1404735.6809121999</v>
      </c>
      <c r="W53" s="15"/>
      <c r="X53" s="14">
        <v>14046741.58</v>
      </c>
      <c r="Y53" s="14">
        <v>0</v>
      </c>
    </row>
    <row r="54" spans="1:25">
      <c r="A54" s="6" t="s">
        <v>17</v>
      </c>
      <c r="B54" s="6" t="str">
        <f t="shared" si="2"/>
        <v>334</v>
      </c>
      <c r="C54" s="2" t="s">
        <v>54</v>
      </c>
      <c r="D54" s="14">
        <v>1368153.67</v>
      </c>
      <c r="E54" s="15"/>
      <c r="F54" s="14">
        <v>-5568.88</v>
      </c>
      <c r="G54" s="15"/>
      <c r="H54" s="14">
        <v>0</v>
      </c>
      <c r="I54" s="15"/>
      <c r="J54" s="14">
        <v>0</v>
      </c>
      <c r="K54" s="15"/>
      <c r="L54" s="14">
        <v>-5568.88</v>
      </c>
      <c r="M54" s="15"/>
      <c r="N54" s="14">
        <v>1362584.79</v>
      </c>
      <c r="O54" s="2"/>
      <c r="P54" s="10">
        <v>-276152.45306299999</v>
      </c>
      <c r="Q54" s="2"/>
      <c r="R54" s="10">
        <v>1086432.336937</v>
      </c>
      <c r="S54" s="15"/>
      <c r="T54" s="14">
        <v>0</v>
      </c>
      <c r="U54" s="15"/>
      <c r="V54" s="14">
        <v>-276152.45306299999</v>
      </c>
      <c r="W54" s="15"/>
      <c r="X54" s="14">
        <v>1362584.79</v>
      </c>
      <c r="Y54" s="14">
        <v>0</v>
      </c>
    </row>
    <row r="55" spans="1:25">
      <c r="A55" s="6" t="s">
        <v>17</v>
      </c>
      <c r="B55" s="6" t="str">
        <f t="shared" si="2"/>
        <v>335</v>
      </c>
      <c r="C55" s="2" t="s">
        <v>55</v>
      </c>
      <c r="D55" s="14">
        <v>316946.74</v>
      </c>
      <c r="E55" s="15"/>
      <c r="F55" s="14">
        <v>0</v>
      </c>
      <c r="G55" s="15"/>
      <c r="H55" s="14">
        <v>0</v>
      </c>
      <c r="I55" s="15"/>
      <c r="J55" s="14">
        <v>0</v>
      </c>
      <c r="K55" s="15"/>
      <c r="L55" s="14">
        <v>0</v>
      </c>
      <c r="M55" s="15"/>
      <c r="N55" s="14">
        <v>316946.74</v>
      </c>
      <c r="O55" s="2"/>
      <c r="P55" s="10">
        <v>-132753.57360498002</v>
      </c>
      <c r="Q55" s="2"/>
      <c r="R55" s="10">
        <v>184193.16639501997</v>
      </c>
      <c r="S55" s="15"/>
      <c r="T55" s="14">
        <v>0</v>
      </c>
      <c r="U55" s="15"/>
      <c r="V55" s="14">
        <v>-132753.57360498002</v>
      </c>
      <c r="W55" s="15"/>
      <c r="X55" s="14">
        <v>316946.74</v>
      </c>
      <c r="Y55" s="14">
        <v>0</v>
      </c>
    </row>
    <row r="56" spans="1:25">
      <c r="A56" s="6" t="s">
        <v>17</v>
      </c>
      <c r="B56" s="6" t="str">
        <f t="shared" si="2"/>
        <v>336</v>
      </c>
      <c r="C56" s="2" t="s">
        <v>56</v>
      </c>
      <c r="D56" s="14">
        <v>234509.13</v>
      </c>
      <c r="E56" s="15"/>
      <c r="F56" s="14">
        <v>0</v>
      </c>
      <c r="G56" s="15"/>
      <c r="H56" s="14">
        <v>0</v>
      </c>
      <c r="I56" s="15"/>
      <c r="J56" s="14">
        <v>0</v>
      </c>
      <c r="K56" s="15"/>
      <c r="L56" s="14">
        <v>0</v>
      </c>
      <c r="M56" s="15"/>
      <c r="N56" s="14">
        <v>234509.13</v>
      </c>
      <c r="O56" s="2"/>
      <c r="P56" s="10">
        <v>-81100.640752499996</v>
      </c>
      <c r="Q56" s="2"/>
      <c r="R56" s="10">
        <v>153408.48924750002</v>
      </c>
      <c r="S56" s="15"/>
      <c r="T56" s="14">
        <v>0</v>
      </c>
      <c r="U56" s="15"/>
      <c r="V56" s="14">
        <v>-81100.640752499996</v>
      </c>
      <c r="W56" s="15"/>
      <c r="X56" s="14">
        <v>234509.13</v>
      </c>
      <c r="Y56" s="14">
        <v>0</v>
      </c>
    </row>
    <row r="57" spans="1:25">
      <c r="A57" s="6" t="s">
        <v>17</v>
      </c>
      <c r="B57" s="6" t="str">
        <f t="shared" si="2"/>
        <v>337</v>
      </c>
      <c r="C57" s="2" t="s">
        <v>57</v>
      </c>
      <c r="D57" s="17">
        <v>274310.53999999998</v>
      </c>
      <c r="E57" s="15"/>
      <c r="F57" s="17">
        <v>0</v>
      </c>
      <c r="G57" s="15"/>
      <c r="H57" s="17">
        <v>0</v>
      </c>
      <c r="I57" s="15"/>
      <c r="J57" s="17">
        <v>0</v>
      </c>
      <c r="K57" s="15"/>
      <c r="L57" s="17">
        <v>0</v>
      </c>
      <c r="M57" s="15"/>
      <c r="N57" s="17">
        <v>274310.53999999998</v>
      </c>
      <c r="O57" s="2"/>
      <c r="P57" s="18">
        <v>-33724.080000000002</v>
      </c>
      <c r="Q57" s="2"/>
      <c r="R57" s="18">
        <v>240586.45999999996</v>
      </c>
      <c r="S57" s="15"/>
      <c r="T57" s="17">
        <v>0</v>
      </c>
      <c r="U57" s="15"/>
      <c r="V57" s="17">
        <v>-33724.080000000002</v>
      </c>
      <c r="W57" s="15"/>
      <c r="X57" s="17">
        <v>274310.53999999998</v>
      </c>
      <c r="Y57" s="17">
        <v>0</v>
      </c>
    </row>
    <row r="58" spans="1:25">
      <c r="C58" s="2"/>
      <c r="D58" s="14">
        <v>41934296.260000005</v>
      </c>
      <c r="E58" s="15"/>
      <c r="F58" s="14">
        <v>-4081.71</v>
      </c>
      <c r="G58" s="15"/>
      <c r="H58" s="14">
        <v>0</v>
      </c>
      <c r="I58" s="15"/>
      <c r="J58" s="14">
        <v>0</v>
      </c>
      <c r="K58" s="15"/>
      <c r="L58" s="14">
        <v>-4081.71</v>
      </c>
      <c r="M58" s="15"/>
      <c r="N58" s="14">
        <v>41930214.549999997</v>
      </c>
      <c r="O58" s="2"/>
      <c r="P58" s="14">
        <v>-11989881.42117748</v>
      </c>
      <c r="Q58" s="2"/>
      <c r="R58" s="14">
        <v>29940333.12882252</v>
      </c>
      <c r="S58" s="15"/>
      <c r="T58" s="14">
        <v>0</v>
      </c>
      <c r="U58" s="15"/>
      <c r="V58" s="14">
        <v>-11989881.42117748</v>
      </c>
      <c r="W58" s="15">
        <v>0</v>
      </c>
      <c r="X58" s="14">
        <v>41930214.549999997</v>
      </c>
      <c r="Y58" s="14">
        <v>0</v>
      </c>
    </row>
    <row r="59" spans="1:25">
      <c r="C59" s="2"/>
      <c r="D59" s="14"/>
      <c r="E59" s="15"/>
      <c r="F59" s="14"/>
      <c r="G59" s="15"/>
      <c r="H59" s="14"/>
      <c r="I59" s="15"/>
      <c r="J59" s="14"/>
      <c r="K59" s="15"/>
      <c r="L59" s="14"/>
      <c r="M59" s="15"/>
      <c r="N59" s="14"/>
      <c r="O59" s="2"/>
      <c r="P59" s="2"/>
      <c r="Q59" s="2"/>
      <c r="R59" s="2"/>
      <c r="S59" s="15"/>
      <c r="T59" s="14"/>
      <c r="U59" s="15"/>
      <c r="V59" s="14"/>
      <c r="W59" s="15"/>
      <c r="X59" s="14"/>
      <c r="Y59" s="14"/>
    </row>
    <row r="60" spans="1:25">
      <c r="C60" s="5" t="s">
        <v>58</v>
      </c>
      <c r="D60" s="14"/>
      <c r="E60" s="15"/>
      <c r="F60" s="14"/>
      <c r="G60" s="15"/>
      <c r="H60" s="14"/>
      <c r="I60" s="15"/>
      <c r="J60" s="14"/>
      <c r="K60" s="15"/>
      <c r="L60" s="14"/>
      <c r="M60" s="15"/>
      <c r="N60" s="14"/>
      <c r="O60" s="2"/>
      <c r="P60" s="2"/>
      <c r="Q60" s="2"/>
      <c r="R60" s="2"/>
      <c r="S60" s="15"/>
      <c r="T60" s="14"/>
      <c r="U60" s="15"/>
      <c r="V60" s="14"/>
      <c r="W60" s="15"/>
      <c r="X60" s="14"/>
      <c r="Y60" s="14"/>
    </row>
    <row r="61" spans="1:25">
      <c r="A61" s="6" t="s">
        <v>17</v>
      </c>
      <c r="B61" s="6" t="str">
        <f t="shared" ref="B61:B63" si="3">MID(C61,2,3)</f>
        <v>301</v>
      </c>
      <c r="C61" s="2" t="s">
        <v>59</v>
      </c>
      <c r="D61" s="14">
        <v>39116.89</v>
      </c>
      <c r="E61" s="15"/>
      <c r="F61" s="14">
        <v>0</v>
      </c>
      <c r="G61" s="15"/>
      <c r="H61" s="14">
        <v>0</v>
      </c>
      <c r="I61" s="15"/>
      <c r="J61" s="14">
        <v>0</v>
      </c>
      <c r="K61" s="15"/>
      <c r="L61" s="14">
        <v>0</v>
      </c>
      <c r="M61" s="15"/>
      <c r="N61" s="14">
        <v>39116.89</v>
      </c>
      <c r="O61" s="2"/>
      <c r="P61" s="10">
        <v>0</v>
      </c>
      <c r="Q61" s="2"/>
      <c r="R61" s="10">
        <v>39116.89</v>
      </c>
      <c r="S61" s="15"/>
      <c r="T61" s="14"/>
      <c r="U61" s="15"/>
      <c r="V61" s="14">
        <v>0</v>
      </c>
      <c r="W61" s="15"/>
      <c r="X61" s="14">
        <v>39116.89</v>
      </c>
      <c r="Y61" s="14"/>
    </row>
    <row r="62" spans="1:25">
      <c r="A62" s="6" t="s">
        <v>17</v>
      </c>
      <c r="B62" s="6" t="str">
        <f t="shared" si="3"/>
        <v>302</v>
      </c>
      <c r="C62" s="2" t="s">
        <v>60</v>
      </c>
      <c r="D62" s="14">
        <v>55918.83</v>
      </c>
      <c r="E62" s="15"/>
      <c r="F62" s="14">
        <v>0</v>
      </c>
      <c r="G62" s="15"/>
      <c r="H62" s="14">
        <v>0</v>
      </c>
      <c r="I62" s="15"/>
      <c r="J62" s="14">
        <v>0</v>
      </c>
      <c r="K62" s="15"/>
      <c r="L62" s="14">
        <v>0</v>
      </c>
      <c r="M62" s="15"/>
      <c r="N62" s="14">
        <v>55918.83</v>
      </c>
      <c r="O62" s="2"/>
      <c r="P62" s="10">
        <v>-64830.048137000005</v>
      </c>
      <c r="Q62" s="2"/>
      <c r="R62" s="10">
        <v>-8911.2181370000035</v>
      </c>
      <c r="S62" s="15"/>
      <c r="T62" s="14"/>
      <c r="U62" s="15"/>
      <c r="V62" s="14">
        <v>-64830.048137000005</v>
      </c>
      <c r="W62" s="15"/>
      <c r="X62" s="14">
        <v>55918.83</v>
      </c>
      <c r="Y62" s="14"/>
    </row>
    <row r="63" spans="1:25">
      <c r="A63" s="6" t="s">
        <v>17</v>
      </c>
      <c r="B63" s="6" t="str">
        <f t="shared" si="3"/>
        <v>303</v>
      </c>
      <c r="C63" s="2" t="s">
        <v>61</v>
      </c>
      <c r="D63" s="14">
        <v>93497218.569999993</v>
      </c>
      <c r="E63" s="15"/>
      <c r="F63" s="14">
        <v>13594707.169999991</v>
      </c>
      <c r="G63" s="15"/>
      <c r="H63" s="14">
        <v>-5834513.9799999986</v>
      </c>
      <c r="I63" s="15"/>
      <c r="J63" s="14">
        <v>0</v>
      </c>
      <c r="K63" s="15"/>
      <c r="L63" s="14">
        <v>7760193.189999992</v>
      </c>
      <c r="M63" s="15"/>
      <c r="N63" s="14">
        <v>101257411.75999999</v>
      </c>
      <c r="O63" s="2"/>
      <c r="P63" s="10">
        <v>-52553325.752099998</v>
      </c>
      <c r="Q63" s="2"/>
      <c r="R63" s="10">
        <v>48704086.007899992</v>
      </c>
      <c r="S63" s="15"/>
      <c r="T63" s="14"/>
      <c r="U63" s="15"/>
      <c r="V63" s="14">
        <v>-52553325.752099998</v>
      </c>
      <c r="W63" s="15"/>
      <c r="X63" s="14">
        <v>101257411.7599999</v>
      </c>
      <c r="Y63" s="14"/>
    </row>
    <row r="64" spans="1:25">
      <c r="A64" s="6" t="s">
        <v>17</v>
      </c>
      <c r="C64" s="2" t="s">
        <v>62</v>
      </c>
      <c r="D64" s="17">
        <v>0</v>
      </c>
      <c r="E64" s="15"/>
      <c r="F64" s="17">
        <v>0</v>
      </c>
      <c r="G64" s="15"/>
      <c r="H64" s="17">
        <v>0</v>
      </c>
      <c r="I64" s="15"/>
      <c r="J64" s="17">
        <v>0</v>
      </c>
      <c r="K64" s="15"/>
      <c r="L64" s="17">
        <v>0</v>
      </c>
      <c r="M64" s="15"/>
      <c r="N64" s="17">
        <v>0</v>
      </c>
      <c r="O64" s="2"/>
      <c r="P64" s="18">
        <v>0</v>
      </c>
      <c r="Q64" s="2"/>
      <c r="R64" s="18">
        <v>0</v>
      </c>
      <c r="S64" s="15"/>
      <c r="T64" s="17"/>
      <c r="U64" s="15"/>
      <c r="V64" s="17">
        <v>0</v>
      </c>
      <c r="W64" s="15"/>
      <c r="X64" s="17">
        <v>0</v>
      </c>
      <c r="Y64" s="17"/>
    </row>
    <row r="65" spans="1:25">
      <c r="C65" s="2"/>
      <c r="D65" s="14">
        <v>93592254.289999992</v>
      </c>
      <c r="E65" s="15"/>
      <c r="F65" s="14">
        <v>13594707.169999991</v>
      </c>
      <c r="G65" s="15"/>
      <c r="H65" s="14">
        <v>-5834513.9799999986</v>
      </c>
      <c r="I65" s="15"/>
      <c r="J65" s="14">
        <v>0</v>
      </c>
      <c r="K65" s="15"/>
      <c r="L65" s="14">
        <v>7760193.189999992</v>
      </c>
      <c r="M65" s="15"/>
      <c r="N65" s="14">
        <v>101352447.47999999</v>
      </c>
      <c r="O65" s="2"/>
      <c r="P65" s="14">
        <v>-52618155.800237</v>
      </c>
      <c r="Q65" s="2"/>
      <c r="R65" s="14">
        <v>48734291.679762989</v>
      </c>
      <c r="S65" s="15"/>
      <c r="T65" s="14"/>
      <c r="U65" s="15"/>
      <c r="V65" s="14">
        <v>-52618155.800237</v>
      </c>
      <c r="W65" s="15"/>
      <c r="X65" s="14">
        <v>101352447.4799999</v>
      </c>
      <c r="Y65" s="14">
        <v>0</v>
      </c>
    </row>
    <row r="66" spans="1:25">
      <c r="C66" s="2"/>
      <c r="D66" s="14"/>
      <c r="E66" s="15"/>
      <c r="F66" s="14"/>
      <c r="G66" s="15"/>
      <c r="H66" s="14"/>
      <c r="I66" s="15"/>
      <c r="J66" s="14"/>
      <c r="K66" s="15"/>
      <c r="L66" s="14"/>
      <c r="M66" s="15"/>
      <c r="N66" s="14"/>
      <c r="O66" s="2"/>
      <c r="P66" s="2"/>
      <c r="Q66" s="2"/>
      <c r="R66" s="2"/>
      <c r="S66" s="15"/>
      <c r="T66" s="14"/>
      <c r="U66" s="15"/>
      <c r="V66" s="14"/>
      <c r="W66" s="15"/>
      <c r="X66" s="14"/>
      <c r="Y66" s="14"/>
    </row>
    <row r="67" spans="1:25">
      <c r="C67" s="5" t="s">
        <v>63</v>
      </c>
      <c r="D67" s="14"/>
      <c r="E67" s="15"/>
      <c r="F67" s="14"/>
      <c r="G67" s="15"/>
      <c r="H67" s="14"/>
      <c r="I67" s="15"/>
      <c r="J67" s="14"/>
      <c r="K67" s="15"/>
      <c r="L67" s="14"/>
      <c r="M67" s="15"/>
      <c r="N67" s="14"/>
      <c r="O67" s="2"/>
      <c r="P67" s="2"/>
      <c r="Q67" s="2"/>
      <c r="R67" s="2"/>
      <c r="S67" s="15"/>
      <c r="T67" s="14"/>
      <c r="U67" s="15"/>
      <c r="V67" s="14"/>
      <c r="W67" s="15"/>
      <c r="X67" s="14"/>
      <c r="Y67" s="14"/>
    </row>
    <row r="68" spans="1:25">
      <c r="A68" s="6" t="s">
        <v>17</v>
      </c>
      <c r="B68" s="6" t="str">
        <f t="shared" ref="B68:B78" si="4">MID(C68,2,3)</f>
        <v>340</v>
      </c>
      <c r="C68" s="2" t="s">
        <v>2322</v>
      </c>
      <c r="D68" s="14">
        <v>311508.32999999996</v>
      </c>
      <c r="E68" s="15"/>
      <c r="F68" s="14">
        <v>0</v>
      </c>
      <c r="G68" s="15"/>
      <c r="H68" s="14">
        <v>0</v>
      </c>
      <c r="I68" s="15"/>
      <c r="J68" s="14">
        <v>162070.19</v>
      </c>
      <c r="K68" s="15"/>
      <c r="L68" s="14">
        <v>162070.19</v>
      </c>
      <c r="M68" s="15"/>
      <c r="N68" s="14">
        <v>473578.51999999996</v>
      </c>
      <c r="O68" s="2"/>
      <c r="P68" s="10">
        <v>-121142.58427219999</v>
      </c>
      <c r="Q68" s="2"/>
      <c r="R68" s="10">
        <v>352435.93572779995</v>
      </c>
      <c r="S68" s="15"/>
      <c r="T68" s="4">
        <v>0</v>
      </c>
      <c r="U68" s="16"/>
      <c r="V68" s="4">
        <v>-121142.58427219999</v>
      </c>
      <c r="W68" s="16"/>
      <c r="X68" s="4">
        <v>473578.52</v>
      </c>
      <c r="Y68" s="4">
        <v>0</v>
      </c>
    </row>
    <row r="69" spans="1:25">
      <c r="A69" s="6" t="s">
        <v>17</v>
      </c>
      <c r="C69" s="2" t="s">
        <v>64</v>
      </c>
      <c r="D69" s="14">
        <v>0</v>
      </c>
      <c r="E69" s="15"/>
      <c r="F69" s="14">
        <v>0</v>
      </c>
      <c r="G69" s="15"/>
      <c r="H69" s="14">
        <v>0</v>
      </c>
      <c r="I69" s="15"/>
      <c r="J69" s="14">
        <v>0</v>
      </c>
      <c r="K69" s="15"/>
      <c r="L69" s="14">
        <v>0</v>
      </c>
      <c r="M69" s="15"/>
      <c r="N69" s="14">
        <v>0</v>
      </c>
      <c r="O69" s="2"/>
      <c r="P69" s="10">
        <v>0</v>
      </c>
      <c r="Q69" s="2"/>
      <c r="R69" s="10">
        <v>0</v>
      </c>
      <c r="S69" s="15"/>
      <c r="T69" s="14">
        <v>0</v>
      </c>
      <c r="U69" s="15"/>
      <c r="V69" s="14">
        <v>0</v>
      </c>
      <c r="W69" s="15"/>
      <c r="X69" s="14">
        <v>0</v>
      </c>
      <c r="Y69" s="14">
        <v>0</v>
      </c>
    </row>
    <row r="70" spans="1:25">
      <c r="A70" s="6" t="s">
        <v>17</v>
      </c>
      <c r="B70" s="6" t="str">
        <f t="shared" si="4"/>
        <v>341</v>
      </c>
      <c r="C70" s="2" t="s">
        <v>65</v>
      </c>
      <c r="D70" s="14">
        <v>83427929.420000002</v>
      </c>
      <c r="E70" s="15"/>
      <c r="F70" s="14">
        <v>1827280.02</v>
      </c>
      <c r="G70" s="15"/>
      <c r="H70" s="14">
        <v>-178421.0499999999</v>
      </c>
      <c r="I70" s="15"/>
      <c r="J70" s="14">
        <v>0</v>
      </c>
      <c r="K70" s="15"/>
      <c r="L70" s="14">
        <v>1648858.9700000002</v>
      </c>
      <c r="M70" s="15"/>
      <c r="N70" s="14">
        <v>85076788.390000001</v>
      </c>
      <c r="O70" s="2"/>
      <c r="P70" s="10">
        <v>-21299550.934507798</v>
      </c>
      <c r="Q70" s="2"/>
      <c r="R70" s="10">
        <v>63777237.455492198</v>
      </c>
      <c r="S70" s="15"/>
      <c r="T70" s="14">
        <v>0</v>
      </c>
      <c r="U70" s="15"/>
      <c r="V70" s="14">
        <v>-21299550.934507798</v>
      </c>
      <c r="W70" s="15"/>
      <c r="X70" s="14">
        <v>85076788.390000001</v>
      </c>
      <c r="Y70" s="14">
        <v>0</v>
      </c>
    </row>
    <row r="71" spans="1:25">
      <c r="A71" s="6" t="s">
        <v>17</v>
      </c>
      <c r="B71" s="6" t="str">
        <f t="shared" si="4"/>
        <v>342</v>
      </c>
      <c r="C71" s="2" t="s">
        <v>66</v>
      </c>
      <c r="D71" s="14">
        <v>160059128.18999898</v>
      </c>
      <c r="E71" s="15"/>
      <c r="F71" s="14">
        <v>-98408040.210000008</v>
      </c>
      <c r="G71" s="15"/>
      <c r="H71" s="14">
        <v>0</v>
      </c>
      <c r="I71" s="15"/>
      <c r="J71" s="14">
        <v>0</v>
      </c>
      <c r="K71" s="15"/>
      <c r="L71" s="14">
        <v>-98408040.210000008</v>
      </c>
      <c r="M71" s="15"/>
      <c r="N71" s="14">
        <v>61651087.979998976</v>
      </c>
      <c r="O71" s="2"/>
      <c r="P71" s="10">
        <v>-17414468.775589891</v>
      </c>
      <c r="Q71" s="2"/>
      <c r="R71" s="10">
        <v>44236619.204409085</v>
      </c>
      <c r="S71" s="15"/>
      <c r="T71" s="14">
        <v>0</v>
      </c>
      <c r="U71" s="15"/>
      <c r="V71" s="14">
        <v>-17414468.775589891</v>
      </c>
      <c r="W71" s="15"/>
      <c r="X71" s="14">
        <v>61651087.969999991</v>
      </c>
      <c r="Y71" s="14">
        <v>-9.9989846348762512E-3</v>
      </c>
    </row>
    <row r="72" spans="1:25">
      <c r="A72" s="6" t="s">
        <v>17</v>
      </c>
      <c r="C72" s="2" t="s">
        <v>67</v>
      </c>
      <c r="D72" s="14">
        <v>0</v>
      </c>
      <c r="E72" s="15"/>
      <c r="F72" s="14">
        <v>0</v>
      </c>
      <c r="G72" s="15"/>
      <c r="H72" s="14">
        <v>0</v>
      </c>
      <c r="I72" s="15"/>
      <c r="J72" s="14">
        <v>0</v>
      </c>
      <c r="K72" s="15"/>
      <c r="L72" s="14">
        <v>0</v>
      </c>
      <c r="M72" s="15"/>
      <c r="N72" s="14">
        <v>0</v>
      </c>
      <c r="O72" s="2"/>
      <c r="P72" s="10">
        <v>0</v>
      </c>
      <c r="Q72" s="2"/>
      <c r="R72" s="10">
        <v>0</v>
      </c>
      <c r="S72" s="15"/>
      <c r="T72" s="14">
        <v>0</v>
      </c>
      <c r="U72" s="15"/>
      <c r="V72" s="14">
        <v>0</v>
      </c>
      <c r="W72" s="15"/>
      <c r="X72" s="14">
        <v>0</v>
      </c>
      <c r="Y72" s="14">
        <v>0</v>
      </c>
    </row>
    <row r="73" spans="1:25">
      <c r="A73" s="6" t="s">
        <v>17</v>
      </c>
      <c r="B73" s="6" t="str">
        <f t="shared" si="4"/>
        <v>343</v>
      </c>
      <c r="C73" s="2" t="s">
        <v>68</v>
      </c>
      <c r="D73" s="14">
        <v>473841058.48999995</v>
      </c>
      <c r="E73" s="15"/>
      <c r="F73" s="14">
        <v>173545766.21000001</v>
      </c>
      <c r="G73" s="15"/>
      <c r="H73" s="14">
        <v>-4311.63</v>
      </c>
      <c r="I73" s="15"/>
      <c r="J73" s="14">
        <v>0</v>
      </c>
      <c r="K73" s="15"/>
      <c r="L73" s="14">
        <v>173541454.58000001</v>
      </c>
      <c r="M73" s="15"/>
      <c r="N73" s="14">
        <v>647382513.06999993</v>
      </c>
      <c r="O73" s="2"/>
      <c r="P73" s="10">
        <v>-184451323.68433404</v>
      </c>
      <c r="Q73" s="2"/>
      <c r="R73" s="10">
        <v>462931189.38566589</v>
      </c>
      <c r="S73" s="15"/>
      <c r="T73" s="14">
        <v>0</v>
      </c>
      <c r="U73" s="15"/>
      <c r="V73" s="14">
        <v>-184451323.68433404</v>
      </c>
      <c r="W73" s="15"/>
      <c r="X73" s="14">
        <v>647382513.04999995</v>
      </c>
      <c r="Y73" s="14">
        <v>-1.9999980926513672E-2</v>
      </c>
    </row>
    <row r="74" spans="1:25">
      <c r="A74" s="6" t="s">
        <v>17</v>
      </c>
      <c r="B74" s="6" t="str">
        <f t="shared" si="4"/>
        <v>344</v>
      </c>
      <c r="C74" s="2" t="s">
        <v>69</v>
      </c>
      <c r="D74" s="14">
        <v>172529396.389999</v>
      </c>
      <c r="E74" s="15"/>
      <c r="F74" s="14">
        <v>-41425535.460000008</v>
      </c>
      <c r="G74" s="15"/>
      <c r="H74" s="14">
        <v>-370394.99</v>
      </c>
      <c r="I74" s="15"/>
      <c r="J74" s="14">
        <v>0</v>
      </c>
      <c r="K74" s="15"/>
      <c r="L74" s="14">
        <v>-41795930.45000001</v>
      </c>
      <c r="M74" s="15"/>
      <c r="N74" s="14">
        <v>130733465.93999898</v>
      </c>
      <c r="O74" s="2"/>
      <c r="P74" s="10">
        <v>-38022104.675155997</v>
      </c>
      <c r="Q74" s="2"/>
      <c r="R74" s="10">
        <v>92711361.264842987</v>
      </c>
      <c r="S74" s="15"/>
      <c r="T74" s="14">
        <v>0</v>
      </c>
      <c r="U74" s="15"/>
      <c r="V74" s="14">
        <v>-38022104.675155997</v>
      </c>
      <c r="W74" s="15"/>
      <c r="X74" s="14">
        <v>130733465.90999991</v>
      </c>
      <c r="Y74" s="14">
        <v>-2.9999077320098877E-2</v>
      </c>
    </row>
    <row r="75" spans="1:25">
      <c r="A75" s="6" t="s">
        <v>17</v>
      </c>
      <c r="B75" s="6" t="str">
        <f t="shared" si="4"/>
        <v>345</v>
      </c>
      <c r="C75" s="2" t="s">
        <v>70</v>
      </c>
      <c r="D75" s="14">
        <v>73546590.530000001</v>
      </c>
      <c r="E75" s="15"/>
      <c r="F75" s="14">
        <v>-6221421.7999999998</v>
      </c>
      <c r="G75" s="15"/>
      <c r="H75" s="14">
        <v>0</v>
      </c>
      <c r="I75" s="15"/>
      <c r="J75" s="14">
        <v>0</v>
      </c>
      <c r="K75" s="15"/>
      <c r="L75" s="14">
        <v>-6221421.7999999998</v>
      </c>
      <c r="M75" s="15"/>
      <c r="N75" s="14">
        <v>67325168.730000004</v>
      </c>
      <c r="O75" s="2"/>
      <c r="P75" s="10">
        <v>-23485418.356872201</v>
      </c>
      <c r="Q75" s="2"/>
      <c r="R75" s="10">
        <v>43839750.373127803</v>
      </c>
      <c r="S75" s="15"/>
      <c r="T75" s="14">
        <v>0</v>
      </c>
      <c r="U75" s="15"/>
      <c r="V75" s="14">
        <v>-23485418.356872201</v>
      </c>
      <c r="W75" s="15"/>
      <c r="X75" s="14">
        <v>67325168.730000004</v>
      </c>
      <c r="Y75" s="14">
        <v>0</v>
      </c>
    </row>
    <row r="76" spans="1:25">
      <c r="A76" s="6" t="s">
        <v>17</v>
      </c>
      <c r="C76" s="2" t="s">
        <v>71</v>
      </c>
      <c r="D76" s="14">
        <v>0</v>
      </c>
      <c r="E76" s="15"/>
      <c r="F76" s="14">
        <v>0</v>
      </c>
      <c r="G76" s="15"/>
      <c r="H76" s="14">
        <v>0</v>
      </c>
      <c r="I76" s="15"/>
      <c r="J76" s="14">
        <v>0</v>
      </c>
      <c r="K76" s="15"/>
      <c r="L76" s="14">
        <v>0</v>
      </c>
      <c r="M76" s="15"/>
      <c r="N76" s="14">
        <v>0</v>
      </c>
      <c r="O76" s="2"/>
      <c r="P76" s="10">
        <v>0</v>
      </c>
      <c r="Q76" s="2"/>
      <c r="R76" s="10">
        <v>0</v>
      </c>
      <c r="S76" s="15"/>
      <c r="T76" s="14">
        <v>0</v>
      </c>
      <c r="U76" s="15"/>
      <c r="V76" s="14">
        <v>0</v>
      </c>
      <c r="W76" s="15"/>
      <c r="X76" s="14">
        <v>0</v>
      </c>
      <c r="Y76" s="14">
        <v>0</v>
      </c>
    </row>
    <row r="77" spans="1:25">
      <c r="A77" s="6" t="s">
        <v>17</v>
      </c>
      <c r="B77" s="6" t="str">
        <f t="shared" si="4"/>
        <v>346</v>
      </c>
      <c r="C77" s="2" t="s">
        <v>72</v>
      </c>
      <c r="D77" s="14">
        <v>5655608.4400000004</v>
      </c>
      <c r="E77" s="15"/>
      <c r="F77" s="14">
        <v>3461465.78</v>
      </c>
      <c r="G77" s="15"/>
      <c r="H77" s="14">
        <v>-7505.72</v>
      </c>
      <c r="I77" s="15"/>
      <c r="J77" s="14">
        <v>0</v>
      </c>
      <c r="K77" s="15"/>
      <c r="L77" s="14">
        <v>3453960.0599999996</v>
      </c>
      <c r="M77" s="15"/>
      <c r="N77" s="14">
        <v>9109568.5</v>
      </c>
      <c r="O77" s="2"/>
      <c r="P77" s="10">
        <v>-3237975.3103511697</v>
      </c>
      <c r="Q77" s="2"/>
      <c r="R77" s="10">
        <v>5871593.1896488303</v>
      </c>
      <c r="S77" s="15"/>
      <c r="T77" s="14">
        <v>0</v>
      </c>
      <c r="U77" s="15"/>
      <c r="V77" s="14">
        <v>-3237975.3103511697</v>
      </c>
      <c r="W77" s="15"/>
      <c r="X77" s="14">
        <v>9109568.5000000019</v>
      </c>
      <c r="Y77" s="14">
        <v>0</v>
      </c>
    </row>
    <row r="78" spans="1:25">
      <c r="A78" s="6" t="s">
        <v>17</v>
      </c>
      <c r="B78" s="6" t="str">
        <f t="shared" si="4"/>
        <v>347</v>
      </c>
      <c r="C78" s="2" t="s">
        <v>73</v>
      </c>
      <c r="D78" s="17">
        <v>403344.08999999997</v>
      </c>
      <c r="E78" s="15"/>
      <c r="F78" s="17">
        <v>0</v>
      </c>
      <c r="G78" s="15"/>
      <c r="H78" s="17">
        <v>0</v>
      </c>
      <c r="I78" s="15"/>
      <c r="J78" s="17">
        <v>0</v>
      </c>
      <c r="K78" s="15"/>
      <c r="L78" s="17">
        <v>0</v>
      </c>
      <c r="M78" s="15"/>
      <c r="N78" s="17">
        <v>403344.08999999997</v>
      </c>
      <c r="O78" s="2"/>
      <c r="P78" s="18">
        <v>-36443.819999999905</v>
      </c>
      <c r="Q78" s="2"/>
      <c r="R78" s="18">
        <v>366900.27000000008</v>
      </c>
      <c r="S78" s="15"/>
      <c r="T78" s="17">
        <v>0</v>
      </c>
      <c r="U78" s="15"/>
      <c r="V78" s="17">
        <v>-36443.819999999905</v>
      </c>
      <c r="W78" s="15"/>
      <c r="X78" s="17">
        <v>403344.08999999997</v>
      </c>
      <c r="Y78" s="17">
        <v>0</v>
      </c>
    </row>
    <row r="79" spans="1:25">
      <c r="C79" s="2"/>
      <c r="D79" s="14">
        <v>969774563.87999797</v>
      </c>
      <c r="E79" s="15"/>
      <c r="F79" s="14">
        <v>32779514.539999988</v>
      </c>
      <c r="G79" s="15"/>
      <c r="H79" s="14">
        <v>-560633.3899999999</v>
      </c>
      <c r="I79" s="15"/>
      <c r="J79" s="14">
        <v>162070.19</v>
      </c>
      <c r="K79" s="15"/>
      <c r="L79" s="14">
        <v>32380951.339999989</v>
      </c>
      <c r="M79" s="15"/>
      <c r="N79" s="14">
        <v>1002155515.2199979</v>
      </c>
      <c r="O79" s="2"/>
      <c r="P79" s="14">
        <v>-288068428.1410833</v>
      </c>
      <c r="Q79" s="2"/>
      <c r="R79" s="14">
        <v>714087087.07891464</v>
      </c>
      <c r="S79" s="15"/>
      <c r="T79" s="14">
        <v>0</v>
      </c>
      <c r="U79" s="15"/>
      <c r="V79" s="14">
        <v>-288068428.1410833</v>
      </c>
      <c r="W79" s="15">
        <v>0</v>
      </c>
      <c r="X79" s="14">
        <v>1002155515.16</v>
      </c>
      <c r="Y79" s="14">
        <v>-5.99980428814888E-2</v>
      </c>
    </row>
    <row r="80" spans="1:25">
      <c r="C80" s="2"/>
      <c r="D80" s="14"/>
      <c r="E80" s="15"/>
      <c r="F80" s="14"/>
      <c r="G80" s="15"/>
      <c r="H80" s="14"/>
      <c r="I80" s="15"/>
      <c r="J80" s="14"/>
      <c r="K80" s="15"/>
      <c r="L80" s="14"/>
      <c r="M80" s="15"/>
      <c r="N80" s="14"/>
      <c r="O80" s="2"/>
      <c r="P80" s="2"/>
      <c r="Q80" s="2"/>
      <c r="R80" s="2"/>
      <c r="S80" s="15"/>
      <c r="T80" s="14"/>
      <c r="U80" s="15"/>
      <c r="V80" s="14"/>
      <c r="W80" s="15"/>
      <c r="X80" s="14"/>
      <c r="Y80" s="14"/>
    </row>
    <row r="81" spans="1:25">
      <c r="C81" s="5" t="s">
        <v>74</v>
      </c>
      <c r="D81" s="4"/>
      <c r="E81" s="16"/>
      <c r="F81" s="4"/>
      <c r="G81" s="16"/>
      <c r="H81" s="4"/>
      <c r="I81" s="16"/>
      <c r="J81" s="4"/>
      <c r="K81" s="16"/>
      <c r="L81" s="4"/>
      <c r="M81" s="16"/>
      <c r="N81" s="4"/>
      <c r="O81" s="2"/>
      <c r="P81" s="2"/>
      <c r="Q81" s="2"/>
      <c r="R81" s="2"/>
      <c r="S81" s="16"/>
      <c r="T81" s="4"/>
      <c r="U81" s="16"/>
      <c r="V81" s="4"/>
      <c r="W81" s="16"/>
      <c r="X81" s="4"/>
      <c r="Y81" s="4"/>
    </row>
    <row r="82" spans="1:25">
      <c r="A82" s="6" t="s">
        <v>17</v>
      </c>
      <c r="B82" s="6" t="str">
        <f t="shared" ref="B82:B92" si="5">MID(C82,2,3)</f>
        <v>310</v>
      </c>
      <c r="C82" s="2" t="s">
        <v>75</v>
      </c>
      <c r="D82" s="4">
        <v>22958202.420000002</v>
      </c>
      <c r="E82" s="16"/>
      <c r="F82" s="4">
        <v>475000</v>
      </c>
      <c r="G82" s="16"/>
      <c r="H82" s="4">
        <v>-103618.65000000001</v>
      </c>
      <c r="I82" s="16"/>
      <c r="J82" s="4">
        <v>-162070.19</v>
      </c>
      <c r="K82" s="16"/>
      <c r="L82" s="4">
        <v>209311.15999999997</v>
      </c>
      <c r="M82" s="16"/>
      <c r="N82" s="4">
        <v>23167513.580000002</v>
      </c>
      <c r="O82" s="2"/>
      <c r="P82" s="10">
        <v>0</v>
      </c>
      <c r="Q82" s="2"/>
      <c r="R82" s="10">
        <v>23167513.580000002</v>
      </c>
      <c r="S82" s="16"/>
      <c r="T82" s="4"/>
      <c r="U82" s="16"/>
      <c r="V82" s="4">
        <v>0</v>
      </c>
      <c r="W82" s="16"/>
      <c r="X82" s="4">
        <v>23167513.579999998</v>
      </c>
      <c r="Y82" s="4">
        <v>0</v>
      </c>
    </row>
    <row r="83" spans="1:25">
      <c r="A83" s="6" t="s">
        <v>17</v>
      </c>
      <c r="B83" s="6" t="str">
        <f t="shared" si="5"/>
        <v>311</v>
      </c>
      <c r="C83" s="2" t="s">
        <v>76</v>
      </c>
      <c r="D83" s="4">
        <v>338074045.20000005</v>
      </c>
      <c r="E83" s="16"/>
      <c r="F83" s="4">
        <v>3122812.9599999972</v>
      </c>
      <c r="G83" s="16"/>
      <c r="H83" s="4">
        <v>-877459.00999999896</v>
      </c>
      <c r="I83" s="16"/>
      <c r="J83" s="4">
        <v>-4924909.3999999994</v>
      </c>
      <c r="K83" s="16"/>
      <c r="L83" s="4">
        <v>-2679555.4500000011</v>
      </c>
      <c r="M83" s="16"/>
      <c r="N83" s="4">
        <v>335394489.75000006</v>
      </c>
      <c r="O83" s="2"/>
      <c r="P83" s="10">
        <v>-176812814.34984818</v>
      </c>
      <c r="Q83" s="2"/>
      <c r="R83" s="10">
        <v>158581675.40015188</v>
      </c>
      <c r="S83" s="16"/>
      <c r="T83" s="4">
        <v>10106.083631442481</v>
      </c>
      <c r="U83" s="16"/>
      <c r="V83" s="4">
        <v>-176802708.26621673</v>
      </c>
      <c r="W83" s="16"/>
      <c r="X83" s="4">
        <v>335394489.75</v>
      </c>
      <c r="Y83" s="4">
        <v>0</v>
      </c>
    </row>
    <row r="84" spans="1:25">
      <c r="A84" s="6" t="s">
        <v>17</v>
      </c>
      <c r="C84" s="2" t="s">
        <v>77</v>
      </c>
      <c r="D84" s="4">
        <v>0</v>
      </c>
      <c r="E84" s="16"/>
      <c r="F84" s="4">
        <v>0</v>
      </c>
      <c r="G84" s="16"/>
      <c r="H84" s="4">
        <v>0</v>
      </c>
      <c r="I84" s="16"/>
      <c r="J84" s="4">
        <v>0</v>
      </c>
      <c r="K84" s="16"/>
      <c r="L84" s="4">
        <v>0</v>
      </c>
      <c r="M84" s="16"/>
      <c r="N84" s="4">
        <v>0</v>
      </c>
      <c r="O84" s="2"/>
      <c r="P84" s="10">
        <v>0</v>
      </c>
      <c r="Q84" s="2"/>
      <c r="R84" s="10">
        <v>0</v>
      </c>
      <c r="S84" s="16"/>
      <c r="T84" s="4">
        <v>0</v>
      </c>
      <c r="U84" s="16"/>
      <c r="V84" s="4">
        <v>0</v>
      </c>
      <c r="W84" s="16"/>
      <c r="X84" s="4">
        <v>0</v>
      </c>
      <c r="Y84" s="4">
        <v>0</v>
      </c>
    </row>
    <row r="85" spans="1:25">
      <c r="A85" s="6" t="s">
        <v>17</v>
      </c>
      <c r="B85" s="6" t="str">
        <f t="shared" si="5"/>
        <v>312</v>
      </c>
      <c r="C85" s="2" t="s">
        <v>78</v>
      </c>
      <c r="D85" s="4">
        <v>3791160275.0299997</v>
      </c>
      <c r="E85" s="16"/>
      <c r="F85" s="4">
        <v>201337084.54999989</v>
      </c>
      <c r="G85" s="16"/>
      <c r="H85" s="4">
        <v>-13077808.029999992</v>
      </c>
      <c r="I85" s="16"/>
      <c r="J85" s="4">
        <v>4982726.8599999994</v>
      </c>
      <c r="K85" s="16"/>
      <c r="L85" s="4">
        <v>193242003.37999988</v>
      </c>
      <c r="M85" s="16"/>
      <c r="N85" s="4">
        <v>3984402278.4099998</v>
      </c>
      <c r="O85" s="2"/>
      <c r="P85" s="10">
        <v>-1093166348.9974558</v>
      </c>
      <c r="Q85" s="2"/>
      <c r="R85" s="10">
        <v>2891235929.4125443</v>
      </c>
      <c r="S85" s="16"/>
      <c r="T85" s="4">
        <v>651569.41534311627</v>
      </c>
      <c r="U85" s="16"/>
      <c r="V85" s="4">
        <v>-1092514779.5821128</v>
      </c>
      <c r="W85" s="16"/>
      <c r="X85" s="4">
        <v>3984402278.5</v>
      </c>
      <c r="Y85" s="4">
        <v>9.0000152587890625E-2</v>
      </c>
    </row>
    <row r="86" spans="1:25">
      <c r="A86" s="6" t="s">
        <v>17</v>
      </c>
      <c r="C86" s="2" t="s">
        <v>79</v>
      </c>
      <c r="D86" s="4">
        <v>0</v>
      </c>
      <c r="E86" s="16"/>
      <c r="F86" s="4">
        <v>0</v>
      </c>
      <c r="G86" s="16"/>
      <c r="H86" s="4">
        <v>0</v>
      </c>
      <c r="I86" s="16"/>
      <c r="J86" s="4">
        <v>0</v>
      </c>
      <c r="K86" s="16"/>
      <c r="L86" s="4">
        <v>0</v>
      </c>
      <c r="M86" s="16"/>
      <c r="N86" s="4">
        <v>0</v>
      </c>
      <c r="O86" s="2"/>
      <c r="P86" s="10">
        <v>0</v>
      </c>
      <c r="Q86" s="2"/>
      <c r="R86" s="10">
        <v>0</v>
      </c>
      <c r="S86" s="16"/>
      <c r="T86" s="4">
        <v>0</v>
      </c>
      <c r="U86" s="16"/>
      <c r="V86" s="4">
        <v>0</v>
      </c>
      <c r="W86" s="16"/>
      <c r="X86" s="4">
        <v>0</v>
      </c>
      <c r="Y86" s="4">
        <v>0</v>
      </c>
    </row>
    <row r="87" spans="1:25">
      <c r="A87" s="6" t="s">
        <v>17</v>
      </c>
      <c r="B87" s="6" t="str">
        <f t="shared" si="5"/>
        <v>314</v>
      </c>
      <c r="C87" s="2" t="s">
        <v>80</v>
      </c>
      <c r="D87" s="4">
        <v>329044971.06</v>
      </c>
      <c r="E87" s="16"/>
      <c r="F87" s="4">
        <v>6810367.4500000002</v>
      </c>
      <c r="G87" s="16"/>
      <c r="H87" s="4">
        <v>-371149.22999999986</v>
      </c>
      <c r="I87" s="16"/>
      <c r="J87" s="4">
        <v>0</v>
      </c>
      <c r="K87" s="16"/>
      <c r="L87" s="4">
        <v>6439218.2200000007</v>
      </c>
      <c r="M87" s="16"/>
      <c r="N87" s="4">
        <v>335484189.28000003</v>
      </c>
      <c r="O87" s="2"/>
      <c r="P87" s="10">
        <v>-167278282.431315</v>
      </c>
      <c r="Q87" s="2"/>
      <c r="R87" s="10">
        <v>168205906.84868503</v>
      </c>
      <c r="S87" s="16"/>
      <c r="T87" s="4">
        <v>22039.790372380714</v>
      </c>
      <c r="U87" s="16"/>
      <c r="V87" s="4">
        <v>-167256242.64094263</v>
      </c>
      <c r="W87" s="16"/>
      <c r="X87" s="4">
        <v>335484189.27999997</v>
      </c>
      <c r="Y87" s="4">
        <v>0</v>
      </c>
    </row>
    <row r="88" spans="1:25">
      <c r="A88" s="6" t="s">
        <v>17</v>
      </c>
      <c r="C88" s="2" t="s">
        <v>81</v>
      </c>
      <c r="D88" s="4">
        <v>0</v>
      </c>
      <c r="E88" s="16"/>
      <c r="F88" s="4">
        <v>0</v>
      </c>
      <c r="G88" s="16"/>
      <c r="H88" s="4">
        <v>0</v>
      </c>
      <c r="I88" s="16"/>
      <c r="J88" s="4">
        <v>0</v>
      </c>
      <c r="K88" s="16"/>
      <c r="L88" s="4">
        <v>0</v>
      </c>
      <c r="M88" s="16"/>
      <c r="N88" s="4">
        <v>0</v>
      </c>
      <c r="O88" s="2"/>
      <c r="P88" s="10">
        <v>0</v>
      </c>
      <c r="Q88" s="2"/>
      <c r="R88" s="10">
        <v>0</v>
      </c>
      <c r="S88" s="16"/>
      <c r="T88" s="4">
        <v>0</v>
      </c>
      <c r="U88" s="16"/>
      <c r="V88" s="4">
        <v>0</v>
      </c>
      <c r="W88" s="16"/>
      <c r="X88" s="4">
        <v>0</v>
      </c>
      <c r="Y88" s="4">
        <v>0</v>
      </c>
    </row>
    <row r="89" spans="1:25">
      <c r="A89" s="6" t="s">
        <v>17</v>
      </c>
      <c r="B89" s="6" t="str">
        <f t="shared" si="5"/>
        <v>315</v>
      </c>
      <c r="C89" s="2" t="s">
        <v>82</v>
      </c>
      <c r="D89" s="4">
        <v>221766132.29999897</v>
      </c>
      <c r="E89" s="16"/>
      <c r="F89" s="4">
        <v>4639489.3199999994</v>
      </c>
      <c r="G89" s="16"/>
      <c r="H89" s="4">
        <v>-128517.06999999999</v>
      </c>
      <c r="I89" s="16"/>
      <c r="J89" s="4">
        <v>0</v>
      </c>
      <c r="K89" s="16"/>
      <c r="L89" s="4">
        <v>4510972.2499999991</v>
      </c>
      <c r="M89" s="16"/>
      <c r="N89" s="4">
        <v>226277104.54999897</v>
      </c>
      <c r="O89" s="2"/>
      <c r="P89" s="10">
        <v>-105514016.37442906</v>
      </c>
      <c r="Q89" s="2"/>
      <c r="R89" s="10">
        <v>120763088.17556991</v>
      </c>
      <c r="S89" s="16"/>
      <c r="T89" s="4">
        <v>15014.369312436898</v>
      </c>
      <c r="U89" s="16"/>
      <c r="V89" s="4">
        <v>-105499002.00511663</v>
      </c>
      <c r="W89" s="16"/>
      <c r="X89" s="4">
        <v>226277104.54999998</v>
      </c>
      <c r="Y89" s="4">
        <v>1.0132789611816406E-6</v>
      </c>
    </row>
    <row r="90" spans="1:25">
      <c r="A90" s="6" t="s">
        <v>17</v>
      </c>
      <c r="C90" s="2" t="s">
        <v>83</v>
      </c>
      <c r="D90" s="4">
        <v>0</v>
      </c>
      <c r="E90" s="16"/>
      <c r="F90" s="4">
        <v>0</v>
      </c>
      <c r="G90" s="16"/>
      <c r="H90" s="4">
        <v>0</v>
      </c>
      <c r="I90" s="16"/>
      <c r="J90" s="4">
        <v>0</v>
      </c>
      <c r="K90" s="16"/>
      <c r="L90" s="4">
        <v>0</v>
      </c>
      <c r="M90" s="16"/>
      <c r="N90" s="4">
        <v>0</v>
      </c>
      <c r="O90" s="2"/>
      <c r="P90" s="10">
        <v>0</v>
      </c>
      <c r="Q90" s="2"/>
      <c r="R90" s="10">
        <v>0</v>
      </c>
      <c r="S90" s="16"/>
      <c r="T90" s="4">
        <v>0</v>
      </c>
      <c r="U90" s="16"/>
      <c r="V90" s="4">
        <v>0</v>
      </c>
      <c r="W90" s="16"/>
      <c r="X90" s="4">
        <v>0</v>
      </c>
      <c r="Y90" s="4">
        <v>0</v>
      </c>
    </row>
    <row r="91" spans="1:25">
      <c r="A91" s="6" t="s">
        <v>17</v>
      </c>
      <c r="B91" s="6" t="str">
        <f t="shared" si="5"/>
        <v>316</v>
      </c>
      <c r="C91" s="2" t="s">
        <v>84</v>
      </c>
      <c r="D91" s="4">
        <v>36595259.339999996</v>
      </c>
      <c r="E91" s="16"/>
      <c r="F91" s="4">
        <v>1183204.6900000004</v>
      </c>
      <c r="G91" s="16"/>
      <c r="H91" s="4">
        <v>-51721.18</v>
      </c>
      <c r="I91" s="16"/>
      <c r="J91" s="4">
        <v>-57817.46</v>
      </c>
      <c r="K91" s="16"/>
      <c r="L91" s="4">
        <v>1073666.0500000005</v>
      </c>
      <c r="M91" s="16"/>
      <c r="N91" s="4">
        <v>37668925.389999993</v>
      </c>
      <c r="O91" s="2"/>
      <c r="P91" s="10">
        <v>-16799790.254409302</v>
      </c>
      <c r="Q91" s="2"/>
      <c r="R91" s="10">
        <v>20869135.135590691</v>
      </c>
      <c r="S91" s="16"/>
      <c r="T91" s="4">
        <v>3829.1007829860514</v>
      </c>
      <c r="U91" s="16"/>
      <c r="V91" s="4">
        <v>-16795961.153626315</v>
      </c>
      <c r="W91" s="16"/>
      <c r="X91" s="4">
        <v>37668925.389999904</v>
      </c>
      <c r="Y91" s="4">
        <v>-8.9406967163085938E-8</v>
      </c>
    </row>
    <row r="92" spans="1:25">
      <c r="A92" s="6" t="s">
        <v>17</v>
      </c>
      <c r="B92" s="6" t="str">
        <f t="shared" si="5"/>
        <v>317</v>
      </c>
      <c r="C92" s="2" t="s">
        <v>85</v>
      </c>
      <c r="D92" s="17">
        <v>329221435.30000001</v>
      </c>
      <c r="E92" s="15"/>
      <c r="F92" s="17">
        <v>1780993.0899999999</v>
      </c>
      <c r="G92" s="15"/>
      <c r="H92" s="17">
        <v>0</v>
      </c>
      <c r="I92" s="15"/>
      <c r="J92" s="17">
        <v>0</v>
      </c>
      <c r="K92" s="15"/>
      <c r="L92" s="17">
        <v>1780993.0899999999</v>
      </c>
      <c r="M92" s="15"/>
      <c r="N92" s="17">
        <v>331002428.38999999</v>
      </c>
      <c r="O92" s="2"/>
      <c r="P92" s="18">
        <v>-107316859.72999999</v>
      </c>
      <c r="Q92" s="2"/>
      <c r="R92" s="18">
        <v>223685568.66</v>
      </c>
      <c r="S92" s="15"/>
      <c r="T92" s="17">
        <v>5763.6705576376171</v>
      </c>
      <c r="U92" s="15"/>
      <c r="V92" s="17">
        <v>-107311096.05944236</v>
      </c>
      <c r="W92" s="15"/>
      <c r="X92" s="17">
        <v>331002428.33000004</v>
      </c>
      <c r="Y92" s="17">
        <v>-5.9999942779541016E-2</v>
      </c>
    </row>
    <row r="93" spans="1:25">
      <c r="C93" s="2"/>
      <c r="D93" s="14">
        <v>5068820320.6499996</v>
      </c>
      <c r="E93" s="15"/>
      <c r="F93" s="14">
        <v>219348952.05999988</v>
      </c>
      <c r="G93" s="15"/>
      <c r="H93" s="14">
        <v>-14610273.169999991</v>
      </c>
      <c r="I93" s="15"/>
      <c r="J93" s="14">
        <v>-162070.19000000044</v>
      </c>
      <c r="K93" s="15"/>
      <c r="L93" s="14">
        <v>204576608.6999999</v>
      </c>
      <c r="M93" s="15"/>
      <c r="N93" s="14">
        <v>5273396929.3499994</v>
      </c>
      <c r="O93" s="2"/>
      <c r="P93" s="14">
        <v>-1666888112.1374574</v>
      </c>
      <c r="Q93" s="2"/>
      <c r="R93" s="14">
        <v>3606508817.2125421</v>
      </c>
      <c r="S93" s="15"/>
      <c r="T93" s="14">
        <v>708322.43</v>
      </c>
      <c r="U93" s="15"/>
      <c r="V93" s="14">
        <v>-1666179789.7074573</v>
      </c>
      <c r="W93" s="15">
        <v>0</v>
      </c>
      <c r="X93" s="14">
        <v>5273396929.3800001</v>
      </c>
      <c r="Y93" s="14">
        <v>3.0001133680343628E-2</v>
      </c>
    </row>
    <row r="94" spans="1:25">
      <c r="C94" s="2"/>
      <c r="D94" s="14"/>
      <c r="E94" s="15"/>
      <c r="F94" s="14"/>
      <c r="G94" s="15"/>
      <c r="H94" s="14"/>
      <c r="I94" s="15"/>
      <c r="J94" s="14"/>
      <c r="K94" s="15"/>
      <c r="L94" s="14"/>
      <c r="M94" s="15"/>
      <c r="N94" s="14"/>
      <c r="O94" s="2"/>
      <c r="P94" s="2"/>
      <c r="Q94" s="2"/>
      <c r="R94" s="2"/>
      <c r="S94" s="15"/>
      <c r="T94" s="14"/>
      <c r="U94" s="15"/>
      <c r="V94" s="14"/>
      <c r="W94" s="15"/>
      <c r="X94" s="14"/>
      <c r="Y94" s="14"/>
    </row>
    <row r="95" spans="1:25">
      <c r="C95" s="5" t="s">
        <v>86</v>
      </c>
      <c r="D95" s="14"/>
      <c r="E95" s="15"/>
      <c r="F95" s="14"/>
      <c r="G95" s="15"/>
      <c r="H95" s="14"/>
      <c r="I95" s="15"/>
      <c r="J95" s="14"/>
      <c r="K95" s="15"/>
      <c r="L95" s="14"/>
      <c r="M95" s="15"/>
      <c r="N95" s="14"/>
      <c r="O95" s="2"/>
      <c r="P95" s="2"/>
      <c r="Q95" s="2"/>
      <c r="R95" s="2"/>
      <c r="S95" s="15"/>
      <c r="T95" s="14"/>
      <c r="U95" s="15"/>
      <c r="V95" s="14"/>
      <c r="W95" s="15"/>
      <c r="X95" s="14"/>
      <c r="Y95" s="14"/>
    </row>
    <row r="96" spans="1:25">
      <c r="A96" s="6" t="s">
        <v>17</v>
      </c>
      <c r="B96" s="6" t="str">
        <f t="shared" ref="B96:B108" si="6">MID(C96,2,3)</f>
        <v>350</v>
      </c>
      <c r="C96" s="2" t="s">
        <v>87</v>
      </c>
      <c r="D96" s="14">
        <v>29624494.120000001</v>
      </c>
      <c r="E96" s="15"/>
      <c r="F96" s="14">
        <v>0</v>
      </c>
      <c r="G96" s="15"/>
      <c r="H96" s="14">
        <v>0</v>
      </c>
      <c r="I96" s="15"/>
      <c r="J96" s="14">
        <v>0</v>
      </c>
      <c r="K96" s="15"/>
      <c r="L96" s="14">
        <v>0</v>
      </c>
      <c r="M96" s="15"/>
      <c r="N96" s="14">
        <v>29624494.120000001</v>
      </c>
      <c r="O96" s="2"/>
      <c r="P96" s="10">
        <v>-15444436.8078399</v>
      </c>
      <c r="Q96" s="2"/>
      <c r="R96" s="10">
        <v>14180057.312160101</v>
      </c>
      <c r="S96" s="15"/>
      <c r="T96" s="4">
        <v>0</v>
      </c>
      <c r="U96" s="16"/>
      <c r="V96" s="4">
        <v>-15444436.8078399</v>
      </c>
      <c r="W96" s="16"/>
      <c r="X96" s="4">
        <v>29624494.120000001</v>
      </c>
      <c r="Y96" s="4">
        <v>0</v>
      </c>
    </row>
    <row r="97" spans="1:25">
      <c r="A97" s="6" t="s">
        <v>17</v>
      </c>
      <c r="C97" s="2" t="s">
        <v>88</v>
      </c>
      <c r="D97" s="14">
        <v>0</v>
      </c>
      <c r="E97" s="15"/>
      <c r="F97" s="14">
        <v>0</v>
      </c>
      <c r="G97" s="15"/>
      <c r="H97" s="14">
        <v>0</v>
      </c>
      <c r="I97" s="15"/>
      <c r="J97" s="14">
        <v>0</v>
      </c>
      <c r="K97" s="15"/>
      <c r="L97" s="14">
        <v>0</v>
      </c>
      <c r="M97" s="15"/>
      <c r="N97" s="14">
        <v>0</v>
      </c>
      <c r="O97" s="2"/>
      <c r="P97" s="10">
        <v>0</v>
      </c>
      <c r="Q97" s="2"/>
      <c r="R97" s="10">
        <v>0</v>
      </c>
      <c r="S97" s="15"/>
      <c r="T97" s="14">
        <v>0</v>
      </c>
      <c r="U97" s="15"/>
      <c r="V97" s="14">
        <v>0</v>
      </c>
      <c r="W97" s="15"/>
      <c r="X97" s="14">
        <v>0</v>
      </c>
      <c r="Y97" s="14">
        <v>0</v>
      </c>
    </row>
    <row r="98" spans="1:25">
      <c r="A98" s="6" t="s">
        <v>17</v>
      </c>
      <c r="B98" s="6" t="str">
        <f t="shared" si="6"/>
        <v>352</v>
      </c>
      <c r="C98" s="2" t="s">
        <v>89</v>
      </c>
      <c r="D98" s="14">
        <v>23892197.170000002</v>
      </c>
      <c r="E98" s="15"/>
      <c r="F98" s="14">
        <v>3328398.4199999985</v>
      </c>
      <c r="G98" s="15"/>
      <c r="H98" s="14">
        <v>-8794.34</v>
      </c>
      <c r="I98" s="15"/>
      <c r="J98" s="14">
        <v>0</v>
      </c>
      <c r="K98" s="15"/>
      <c r="L98" s="14">
        <v>3319604.0799999987</v>
      </c>
      <c r="M98" s="15"/>
      <c r="N98" s="14">
        <v>27211801.25</v>
      </c>
      <c r="O98" s="2"/>
      <c r="P98" s="10">
        <v>-6395641.0488387886</v>
      </c>
      <c r="Q98" s="2"/>
      <c r="R98" s="10">
        <v>20816160.201161213</v>
      </c>
      <c r="S98" s="15"/>
      <c r="T98" s="14">
        <v>45417.921745728672</v>
      </c>
      <c r="U98" s="15"/>
      <c r="V98" s="14">
        <v>-6350223.1270930599</v>
      </c>
      <c r="W98" s="15"/>
      <c r="X98" s="14">
        <v>27211801.25</v>
      </c>
      <c r="Y98" s="14">
        <v>0</v>
      </c>
    </row>
    <row r="99" spans="1:25">
      <c r="A99" s="6" t="s">
        <v>17</v>
      </c>
      <c r="C99" s="2" t="s">
        <v>90</v>
      </c>
      <c r="D99" s="14">
        <v>0</v>
      </c>
      <c r="E99" s="15"/>
      <c r="F99" s="14">
        <v>0</v>
      </c>
      <c r="G99" s="15"/>
      <c r="H99" s="14">
        <v>0</v>
      </c>
      <c r="I99" s="15"/>
      <c r="J99" s="14">
        <v>0</v>
      </c>
      <c r="K99" s="15"/>
      <c r="L99" s="14">
        <v>0</v>
      </c>
      <c r="M99" s="15"/>
      <c r="N99" s="14">
        <v>0</v>
      </c>
      <c r="O99" s="2"/>
      <c r="P99" s="10">
        <v>0</v>
      </c>
      <c r="Q99" s="2"/>
      <c r="R99" s="10">
        <v>0</v>
      </c>
      <c r="S99" s="15"/>
      <c r="T99" s="14">
        <v>0</v>
      </c>
      <c r="U99" s="15"/>
      <c r="V99" s="14">
        <v>0</v>
      </c>
      <c r="W99" s="15"/>
      <c r="X99" s="14">
        <v>0</v>
      </c>
      <c r="Y99" s="14">
        <v>0</v>
      </c>
    </row>
    <row r="100" spans="1:25">
      <c r="A100" s="6" t="s">
        <v>17</v>
      </c>
      <c r="B100" s="6" t="str">
        <f t="shared" si="6"/>
        <v>353</v>
      </c>
      <c r="C100" s="2" t="s">
        <v>91</v>
      </c>
      <c r="D100" s="14">
        <v>244257394.16999999</v>
      </c>
      <c r="E100" s="15"/>
      <c r="F100" s="14">
        <v>33831849.609999977</v>
      </c>
      <c r="G100" s="15"/>
      <c r="H100" s="14">
        <v>-1274261.2999999998</v>
      </c>
      <c r="I100" s="15"/>
      <c r="J100" s="14">
        <v>254769.21</v>
      </c>
      <c r="K100" s="15"/>
      <c r="L100" s="14">
        <v>32812357.519999977</v>
      </c>
      <c r="M100" s="15"/>
      <c r="N100" s="14">
        <v>277069751.68999994</v>
      </c>
      <c r="O100" s="2"/>
      <c r="P100" s="10">
        <v>-72898680.743809894</v>
      </c>
      <c r="Q100" s="2"/>
      <c r="R100" s="10">
        <v>204171070.94619006</v>
      </c>
      <c r="S100" s="15"/>
      <c r="T100" s="14">
        <v>461655.15788829169</v>
      </c>
      <c r="U100" s="15"/>
      <c r="V100" s="14">
        <v>-72437025.5859216</v>
      </c>
      <c r="W100" s="15"/>
      <c r="X100" s="14">
        <v>277069751.73000002</v>
      </c>
      <c r="Y100" s="14">
        <v>4.0000081062316895E-2</v>
      </c>
    </row>
    <row r="101" spans="1:25">
      <c r="A101" s="6" t="s">
        <v>17</v>
      </c>
      <c r="C101" s="2" t="s">
        <v>92</v>
      </c>
      <c r="D101" s="14">
        <v>0</v>
      </c>
      <c r="E101" s="15"/>
      <c r="F101" s="14">
        <v>0</v>
      </c>
      <c r="G101" s="15"/>
      <c r="H101" s="14">
        <v>0</v>
      </c>
      <c r="I101" s="15"/>
      <c r="J101" s="14">
        <v>0</v>
      </c>
      <c r="K101" s="15"/>
      <c r="L101" s="14">
        <v>0</v>
      </c>
      <c r="M101" s="15"/>
      <c r="N101" s="14">
        <v>0</v>
      </c>
      <c r="O101" s="2"/>
      <c r="P101" s="10">
        <v>0</v>
      </c>
      <c r="Q101" s="2"/>
      <c r="R101" s="10">
        <v>0</v>
      </c>
      <c r="S101" s="15"/>
      <c r="T101" s="14">
        <v>0</v>
      </c>
      <c r="U101" s="15"/>
      <c r="V101" s="14">
        <v>0</v>
      </c>
      <c r="W101" s="15"/>
      <c r="X101" s="14">
        <v>0</v>
      </c>
      <c r="Y101" s="14">
        <v>0</v>
      </c>
    </row>
    <row r="102" spans="1:25">
      <c r="A102" s="6" t="s">
        <v>17</v>
      </c>
      <c r="C102" s="2" t="s">
        <v>93</v>
      </c>
      <c r="D102" s="14">
        <v>0</v>
      </c>
      <c r="E102" s="15"/>
      <c r="F102" s="14">
        <v>0</v>
      </c>
      <c r="G102" s="15"/>
      <c r="H102" s="14">
        <v>0</v>
      </c>
      <c r="I102" s="15"/>
      <c r="J102" s="14">
        <v>0</v>
      </c>
      <c r="K102" s="15"/>
      <c r="L102" s="14">
        <v>0</v>
      </c>
      <c r="M102" s="15"/>
      <c r="N102" s="14">
        <v>0</v>
      </c>
      <c r="O102" s="2"/>
      <c r="P102" s="10">
        <v>0</v>
      </c>
      <c r="Q102" s="2"/>
      <c r="R102" s="10">
        <v>0</v>
      </c>
      <c r="S102" s="15"/>
      <c r="T102" s="14">
        <v>0</v>
      </c>
      <c r="U102" s="15"/>
      <c r="V102" s="14">
        <v>0</v>
      </c>
      <c r="W102" s="15"/>
      <c r="X102" s="14">
        <v>0</v>
      </c>
      <c r="Y102" s="14">
        <v>0</v>
      </c>
    </row>
    <row r="103" spans="1:25">
      <c r="A103" s="6" t="s">
        <v>17</v>
      </c>
      <c r="B103" s="6" t="str">
        <f t="shared" si="6"/>
        <v>354</v>
      </c>
      <c r="C103" s="2" t="s">
        <v>94</v>
      </c>
      <c r="D103" s="14">
        <v>69205914.420000002</v>
      </c>
      <c r="E103" s="15"/>
      <c r="F103" s="14">
        <v>2911.85</v>
      </c>
      <c r="G103" s="15"/>
      <c r="H103" s="14">
        <v>-18894.93</v>
      </c>
      <c r="I103" s="15"/>
      <c r="J103" s="14">
        <v>0</v>
      </c>
      <c r="K103" s="15"/>
      <c r="L103" s="14">
        <v>-15983.08</v>
      </c>
      <c r="M103" s="15"/>
      <c r="N103" s="14">
        <v>69189931.340000004</v>
      </c>
      <c r="O103" s="2"/>
      <c r="P103" s="10">
        <v>-45376029.193107896</v>
      </c>
      <c r="Q103" s="2"/>
      <c r="R103" s="10">
        <v>23813902.146892108</v>
      </c>
      <c r="S103" s="15"/>
      <c r="T103" s="14">
        <v>39.733877603300897</v>
      </c>
      <c r="U103" s="15"/>
      <c r="V103" s="14">
        <v>-45375989.459230289</v>
      </c>
      <c r="W103" s="15"/>
      <c r="X103" s="14">
        <v>69189931.339999989</v>
      </c>
      <c r="Y103" s="14">
        <v>0</v>
      </c>
    </row>
    <row r="104" spans="1:25">
      <c r="A104" s="6" t="s">
        <v>17</v>
      </c>
      <c r="B104" s="6" t="str">
        <f t="shared" si="6"/>
        <v>355</v>
      </c>
      <c r="C104" s="2" t="s">
        <v>95</v>
      </c>
      <c r="D104" s="14">
        <v>219925249.90000001</v>
      </c>
      <c r="E104" s="15"/>
      <c r="F104" s="14">
        <v>55283755.479999989</v>
      </c>
      <c r="G104" s="15"/>
      <c r="H104" s="14">
        <v>-1556548.0200000003</v>
      </c>
      <c r="I104" s="15"/>
      <c r="J104" s="14">
        <v>-84611.839999999997</v>
      </c>
      <c r="K104" s="15"/>
      <c r="L104" s="14">
        <v>53642595.619999982</v>
      </c>
      <c r="M104" s="15"/>
      <c r="N104" s="14">
        <v>273567845.51999998</v>
      </c>
      <c r="O104" s="2"/>
      <c r="P104" s="10">
        <v>-64195276.076349899</v>
      </c>
      <c r="Q104" s="2"/>
      <c r="R104" s="10">
        <v>209372569.44365007</v>
      </c>
      <c r="S104" s="15"/>
      <c r="T104" s="14">
        <v>754378.82229274674</v>
      </c>
      <c r="U104" s="15"/>
      <c r="V104" s="14">
        <v>-63440897.254057154</v>
      </c>
      <c r="W104" s="15"/>
      <c r="X104" s="14">
        <v>273567845.48000002</v>
      </c>
      <c r="Y104" s="14">
        <v>-3.9999961853027344E-2</v>
      </c>
    </row>
    <row r="105" spans="1:25">
      <c r="A105" s="6" t="s">
        <v>17</v>
      </c>
      <c r="B105" s="6" t="str">
        <f t="shared" si="6"/>
        <v>356</v>
      </c>
      <c r="C105" s="2" t="s">
        <v>96</v>
      </c>
      <c r="D105" s="14">
        <v>162503511.19999897</v>
      </c>
      <c r="E105" s="15"/>
      <c r="F105" s="14">
        <v>3217070.2300000004</v>
      </c>
      <c r="G105" s="15"/>
      <c r="H105" s="14">
        <v>-1127628.6600000001</v>
      </c>
      <c r="I105" s="15"/>
      <c r="J105" s="14">
        <v>0</v>
      </c>
      <c r="K105" s="15"/>
      <c r="L105" s="14">
        <v>2089441.5700000003</v>
      </c>
      <c r="M105" s="15"/>
      <c r="N105" s="14">
        <v>164592952.76999897</v>
      </c>
      <c r="O105" s="2"/>
      <c r="P105" s="10">
        <v>-104978750.46079899</v>
      </c>
      <c r="Q105" s="2"/>
      <c r="R105" s="10">
        <v>59614202.309199974</v>
      </c>
      <c r="S105" s="15"/>
      <c r="T105" s="14">
        <v>43898.784195629269</v>
      </c>
      <c r="U105" s="15"/>
      <c r="V105" s="14">
        <v>-104934851.67660336</v>
      </c>
      <c r="W105" s="15"/>
      <c r="X105" s="14">
        <v>164592952.81</v>
      </c>
      <c r="Y105" s="14">
        <v>4.0001034736633301E-2</v>
      </c>
    </row>
    <row r="106" spans="1:25">
      <c r="A106" s="6" t="s">
        <v>17</v>
      </c>
      <c r="B106" s="6" t="str">
        <f t="shared" si="6"/>
        <v>357</v>
      </c>
      <c r="C106" s="2" t="s">
        <v>97</v>
      </c>
      <c r="D106" s="14">
        <v>448760.26</v>
      </c>
      <c r="E106" s="15"/>
      <c r="F106" s="14">
        <v>0</v>
      </c>
      <c r="G106" s="15"/>
      <c r="H106" s="14">
        <v>0</v>
      </c>
      <c r="I106" s="15"/>
      <c r="J106" s="14">
        <v>0</v>
      </c>
      <c r="K106" s="15"/>
      <c r="L106" s="14">
        <v>0</v>
      </c>
      <c r="M106" s="15"/>
      <c r="N106" s="14">
        <v>448760.26</v>
      </c>
      <c r="O106" s="2"/>
      <c r="P106" s="10">
        <v>-241530.4189512</v>
      </c>
      <c r="Q106" s="2"/>
      <c r="R106" s="10">
        <v>207229.84104880001</v>
      </c>
      <c r="S106" s="15"/>
      <c r="T106" s="14">
        <v>0</v>
      </c>
      <c r="U106" s="15"/>
      <c r="V106" s="14">
        <v>-241530.4189512</v>
      </c>
      <c r="W106" s="15"/>
      <c r="X106" s="14">
        <v>448760.26</v>
      </c>
      <c r="Y106" s="14">
        <v>0</v>
      </c>
    </row>
    <row r="107" spans="1:25">
      <c r="A107" s="6" t="s">
        <v>17</v>
      </c>
      <c r="B107" s="6" t="str">
        <f t="shared" si="6"/>
        <v>358</v>
      </c>
      <c r="C107" s="2" t="s">
        <v>98</v>
      </c>
      <c r="D107" s="14">
        <v>1173303.32</v>
      </c>
      <c r="E107" s="15"/>
      <c r="F107" s="14">
        <v>0</v>
      </c>
      <c r="G107" s="15"/>
      <c r="H107" s="14">
        <v>-2412.09</v>
      </c>
      <c r="I107" s="15"/>
      <c r="J107" s="14">
        <v>-54177.149999999994</v>
      </c>
      <c r="K107" s="15"/>
      <c r="L107" s="14">
        <v>-56589.239999999991</v>
      </c>
      <c r="M107" s="15"/>
      <c r="N107" s="14">
        <v>1116714.08</v>
      </c>
      <c r="O107" s="2"/>
      <c r="P107" s="10">
        <v>-963579.08899179904</v>
      </c>
      <c r="Q107" s="2"/>
      <c r="R107" s="10">
        <v>153134.99100820103</v>
      </c>
      <c r="S107" s="15">
        <v>0</v>
      </c>
      <c r="T107" s="14">
        <v>0</v>
      </c>
      <c r="U107" s="15"/>
      <c r="V107" s="14">
        <v>-963579.08899179904</v>
      </c>
      <c r="W107" s="15"/>
      <c r="X107" s="14">
        <v>1116714.08</v>
      </c>
      <c r="Y107" s="14">
        <v>0</v>
      </c>
    </row>
    <row r="108" spans="1:25">
      <c r="A108" s="6" t="s">
        <v>17</v>
      </c>
      <c r="B108" s="6" t="str">
        <f t="shared" si="6"/>
        <v>359</v>
      </c>
      <c r="C108" s="2" t="s">
        <v>99</v>
      </c>
      <c r="D108" s="14">
        <v>413450.63</v>
      </c>
      <c r="E108" s="15"/>
      <c r="F108" s="14">
        <v>0</v>
      </c>
      <c r="G108" s="15"/>
      <c r="H108" s="14">
        <v>0</v>
      </c>
      <c r="I108" s="15"/>
      <c r="J108" s="14">
        <v>0</v>
      </c>
      <c r="K108" s="15"/>
      <c r="L108" s="14">
        <v>0</v>
      </c>
      <c r="M108" s="15"/>
      <c r="N108" s="14">
        <v>413450.63</v>
      </c>
      <c r="O108" s="2"/>
      <c r="P108" s="10">
        <v>-53493.409999999894</v>
      </c>
      <c r="Q108" s="2"/>
      <c r="R108" s="10">
        <v>359957.22000000009</v>
      </c>
      <c r="S108" s="15"/>
      <c r="T108" s="14">
        <v>0</v>
      </c>
      <c r="U108" s="15"/>
      <c r="V108" s="14">
        <v>-53493.409999999894</v>
      </c>
      <c r="W108" s="15"/>
      <c r="X108" s="14">
        <v>413450.63</v>
      </c>
      <c r="Y108" s="14">
        <v>0</v>
      </c>
    </row>
    <row r="109" spans="1:25">
      <c r="A109" s="6" t="s">
        <v>17</v>
      </c>
      <c r="C109" s="2" t="s">
        <v>100</v>
      </c>
      <c r="D109" s="17">
        <v>0</v>
      </c>
      <c r="E109" s="15"/>
      <c r="F109" s="17">
        <v>0</v>
      </c>
      <c r="G109" s="15"/>
      <c r="H109" s="17">
        <v>0</v>
      </c>
      <c r="I109" s="15"/>
      <c r="J109" s="17">
        <v>0</v>
      </c>
      <c r="K109" s="15"/>
      <c r="L109" s="17">
        <v>0</v>
      </c>
      <c r="M109" s="15"/>
      <c r="N109" s="17">
        <v>0</v>
      </c>
      <c r="O109" s="2"/>
      <c r="P109" s="18">
        <v>0</v>
      </c>
      <c r="Q109" s="2"/>
      <c r="R109" s="18">
        <v>0</v>
      </c>
      <c r="S109" s="15"/>
      <c r="T109" s="17">
        <v>0</v>
      </c>
      <c r="U109" s="15"/>
      <c r="V109" s="17">
        <v>0</v>
      </c>
      <c r="W109" s="15"/>
      <c r="X109" s="17">
        <v>0</v>
      </c>
      <c r="Y109" s="17">
        <v>0</v>
      </c>
    </row>
    <row r="110" spans="1:25">
      <c r="C110" s="2"/>
      <c r="D110" s="14">
        <v>751444275.18999898</v>
      </c>
      <c r="E110" s="15"/>
      <c r="F110" s="14">
        <v>95663985.589999974</v>
      </c>
      <c r="G110" s="15"/>
      <c r="H110" s="14">
        <v>-3988539.34</v>
      </c>
      <c r="I110" s="15"/>
      <c r="J110" s="14">
        <v>115980.22</v>
      </c>
      <c r="K110" s="15"/>
      <c r="L110" s="14">
        <v>91791426.469999954</v>
      </c>
      <c r="M110" s="15"/>
      <c r="N110" s="14">
        <v>843235701.65999889</v>
      </c>
      <c r="O110" s="2"/>
      <c r="P110" s="14">
        <v>-310547417.2486884</v>
      </c>
      <c r="Q110" s="2"/>
      <c r="R110" s="14">
        <v>532688284.41131055</v>
      </c>
      <c r="S110" s="15"/>
      <c r="T110" s="14">
        <v>1305390.42</v>
      </c>
      <c r="U110" s="15"/>
      <c r="V110" s="14">
        <v>-309242026.82868844</v>
      </c>
      <c r="W110" s="15">
        <v>0</v>
      </c>
      <c r="X110" s="14">
        <v>843235701.70000005</v>
      </c>
      <c r="Y110" s="14">
        <v>4.0001153945922852E-2</v>
      </c>
    </row>
    <row r="111" spans="1:25">
      <c r="C111" s="2"/>
      <c r="D111" s="14"/>
      <c r="E111" s="16"/>
      <c r="F111" s="14"/>
      <c r="G111" s="16"/>
      <c r="H111" s="14"/>
      <c r="I111" s="16"/>
      <c r="J111" s="14"/>
      <c r="K111" s="16"/>
      <c r="L111" s="14"/>
      <c r="M111" s="16"/>
      <c r="N111" s="14"/>
      <c r="O111" s="2"/>
      <c r="P111" s="2"/>
      <c r="Q111" s="2"/>
      <c r="R111" s="2"/>
      <c r="S111" s="16"/>
      <c r="T111" s="14"/>
      <c r="U111" s="16"/>
      <c r="V111" s="14"/>
      <c r="W111" s="16"/>
      <c r="X111" s="14"/>
      <c r="Y111" s="14"/>
    </row>
    <row r="112" spans="1:25">
      <c r="C112" s="2"/>
      <c r="D112" s="4"/>
      <c r="E112" s="16"/>
      <c r="F112" s="4"/>
      <c r="G112" s="16"/>
      <c r="H112" s="4"/>
      <c r="I112" s="16"/>
      <c r="J112" s="4"/>
      <c r="K112" s="16"/>
      <c r="L112" s="4"/>
      <c r="M112" s="16"/>
      <c r="N112" s="4"/>
      <c r="O112" s="2"/>
      <c r="P112" s="2"/>
      <c r="Q112" s="2"/>
      <c r="R112" s="2"/>
      <c r="S112" s="16"/>
      <c r="T112" s="4"/>
      <c r="U112" s="16"/>
      <c r="V112" s="4"/>
      <c r="W112" s="16"/>
      <c r="X112" s="4"/>
      <c r="Y112" s="4"/>
    </row>
    <row r="113" spans="3:25" ht="13.5" thickBot="1">
      <c r="C113" s="5" t="s">
        <v>101</v>
      </c>
      <c r="D113" s="19">
        <v>8702881893.7899971</v>
      </c>
      <c r="E113" s="15"/>
      <c r="F113" s="19">
        <v>474304525.61999977</v>
      </c>
      <c r="G113" s="15"/>
      <c r="H113" s="19">
        <v>-55601034.689999998</v>
      </c>
      <c r="I113" s="15"/>
      <c r="J113" s="19">
        <v>-49517.950000000361</v>
      </c>
      <c r="K113" s="15"/>
      <c r="L113" s="19">
        <v>418653972.97999978</v>
      </c>
      <c r="M113" s="15"/>
      <c r="N113" s="19">
        <v>9121535866.7699966</v>
      </c>
      <c r="O113" s="2"/>
      <c r="P113" s="19">
        <v>-3013750198.7325435</v>
      </c>
      <c r="Q113" s="2"/>
      <c r="R113" s="19">
        <v>6107785668.0374527</v>
      </c>
      <c r="S113" s="15"/>
      <c r="T113" s="19">
        <v>2545434.7599999998</v>
      </c>
      <c r="U113" s="15"/>
      <c r="V113" s="19">
        <v>-3011204763.9725437</v>
      </c>
      <c r="W113" s="15"/>
      <c r="X113" s="19">
        <v>9121535867.2899971</v>
      </c>
      <c r="Y113" s="19">
        <v>0.52000126228085719</v>
      </c>
    </row>
    <row r="114" spans="3:25" ht="13.5" thickTop="1">
      <c r="C114" s="22"/>
      <c r="D114" s="677"/>
      <c r="E114" s="15"/>
      <c r="F114" s="677"/>
      <c r="G114" s="15"/>
      <c r="H114" s="677"/>
      <c r="I114" s="15"/>
      <c r="J114" s="677"/>
      <c r="K114" s="15"/>
      <c r="L114" s="677"/>
      <c r="M114" s="15"/>
      <c r="N114" s="677"/>
      <c r="S114" s="15"/>
      <c r="T114" s="677"/>
      <c r="U114" s="15"/>
      <c r="V114" s="677"/>
      <c r="W114" s="15"/>
      <c r="X114" s="677"/>
      <c r="Y114" s="677"/>
    </row>
    <row r="115" spans="3:25" s="679" customFormat="1">
      <c r="C115" s="22"/>
      <c r="D115" s="678"/>
      <c r="E115" s="16"/>
      <c r="F115" s="678"/>
      <c r="G115" s="16"/>
      <c r="H115" s="678"/>
      <c r="I115" s="16"/>
      <c r="J115" s="678"/>
      <c r="K115" s="16"/>
      <c r="L115" s="678"/>
      <c r="M115" s="16"/>
      <c r="N115" s="678"/>
      <c r="O115" s="6"/>
      <c r="P115" s="6"/>
      <c r="Q115" s="6"/>
      <c r="R115" s="6"/>
      <c r="S115" s="16"/>
      <c r="T115" s="678"/>
      <c r="U115" s="16"/>
      <c r="V115" s="678"/>
      <c r="W115" s="16"/>
      <c r="X115" s="678"/>
      <c r="Y115" s="678"/>
    </row>
    <row r="116" spans="3:25" s="679" customFormat="1">
      <c r="C116" s="680"/>
      <c r="D116" s="677"/>
      <c r="E116" s="15"/>
      <c r="F116" s="677"/>
      <c r="G116" s="15"/>
      <c r="H116" s="677"/>
      <c r="I116" s="15"/>
      <c r="J116" s="677"/>
      <c r="K116" s="15"/>
      <c r="L116" s="677"/>
      <c r="M116" s="15"/>
      <c r="N116" s="677"/>
      <c r="S116" s="15"/>
      <c r="T116" s="677"/>
      <c r="U116" s="15"/>
      <c r="V116" s="677"/>
      <c r="W116" s="15"/>
      <c r="X116" s="677"/>
      <c r="Y116" s="677"/>
    </row>
    <row r="117" spans="3:25" s="679" customFormat="1">
      <c r="C117" s="680"/>
      <c r="D117" s="677"/>
      <c r="E117" s="15"/>
      <c r="F117" s="677"/>
      <c r="G117" s="15"/>
      <c r="H117" s="677"/>
      <c r="I117" s="15"/>
      <c r="J117" s="677"/>
      <c r="K117" s="15"/>
      <c r="L117" s="677"/>
      <c r="M117" s="15"/>
      <c r="N117" s="677"/>
      <c r="S117" s="15"/>
      <c r="T117" s="677"/>
      <c r="U117" s="15"/>
      <c r="V117" s="677"/>
      <c r="W117" s="15"/>
      <c r="X117" s="677"/>
      <c r="Y117" s="677"/>
    </row>
    <row r="118" spans="3:25" s="679" customFormat="1">
      <c r="D118" s="677"/>
      <c r="E118" s="15"/>
      <c r="F118" s="677"/>
      <c r="G118" s="15"/>
      <c r="H118" s="677"/>
      <c r="I118" s="15"/>
      <c r="J118" s="677"/>
      <c r="K118" s="15"/>
      <c r="L118" s="677"/>
      <c r="M118" s="15"/>
      <c r="N118" s="677"/>
      <c r="S118" s="15"/>
      <c r="T118" s="677"/>
      <c r="U118" s="15"/>
      <c r="V118" s="677"/>
      <c r="W118" s="15"/>
      <c r="X118" s="677"/>
      <c r="Y118" s="677"/>
    </row>
    <row r="119" spans="3:25" s="679" customFormat="1">
      <c r="D119" s="677"/>
      <c r="E119" s="15"/>
      <c r="F119" s="677"/>
      <c r="G119" s="15"/>
      <c r="H119" s="677"/>
      <c r="I119" s="15"/>
      <c r="J119" s="677"/>
      <c r="K119" s="15"/>
      <c r="L119" s="677"/>
      <c r="M119" s="15"/>
      <c r="N119" s="677"/>
      <c r="S119" s="15"/>
      <c r="T119" s="677"/>
      <c r="U119" s="15"/>
      <c r="V119" s="677"/>
      <c r="W119" s="15"/>
      <c r="X119" s="677"/>
      <c r="Y119" s="677"/>
    </row>
    <row r="120" spans="3:25" s="679" customFormat="1">
      <c r="D120" s="677"/>
      <c r="E120" s="15"/>
      <c r="F120" s="677"/>
      <c r="G120" s="15"/>
      <c r="H120" s="677"/>
      <c r="I120" s="15"/>
      <c r="J120" s="677"/>
      <c r="K120" s="15"/>
      <c r="L120" s="677"/>
      <c r="M120" s="15"/>
      <c r="N120" s="677"/>
      <c r="S120" s="15"/>
      <c r="T120" s="677"/>
      <c r="U120" s="15"/>
      <c r="V120" s="677"/>
      <c r="W120" s="15"/>
      <c r="X120" s="677"/>
      <c r="Y120" s="677"/>
    </row>
    <row r="121" spans="3:25" s="679" customFormat="1">
      <c r="D121" s="677"/>
      <c r="E121" s="15"/>
      <c r="F121" s="677"/>
      <c r="G121" s="15"/>
      <c r="H121" s="677"/>
      <c r="I121" s="15"/>
      <c r="J121" s="677"/>
      <c r="K121" s="15"/>
      <c r="L121" s="677"/>
      <c r="M121" s="15"/>
      <c r="N121" s="677"/>
      <c r="S121" s="15"/>
      <c r="T121" s="677"/>
      <c r="U121" s="15"/>
      <c r="V121" s="677"/>
      <c r="W121" s="15"/>
      <c r="X121" s="677"/>
      <c r="Y121" s="677"/>
    </row>
    <row r="122" spans="3:25" s="679" customFormat="1">
      <c r="D122" s="677"/>
      <c r="E122" s="15"/>
      <c r="F122" s="677"/>
      <c r="G122" s="15"/>
      <c r="H122" s="677"/>
      <c r="I122" s="15"/>
      <c r="J122" s="677"/>
      <c r="K122" s="15"/>
      <c r="L122" s="677"/>
      <c r="M122" s="15"/>
      <c r="N122" s="677"/>
      <c r="S122" s="15"/>
      <c r="T122" s="677"/>
      <c r="U122" s="15"/>
      <c r="V122" s="677"/>
      <c r="W122" s="15"/>
      <c r="X122" s="677"/>
      <c r="Y122" s="677"/>
    </row>
    <row r="123" spans="3:25" s="679" customFormat="1">
      <c r="D123" s="677"/>
      <c r="E123" s="15"/>
      <c r="F123" s="677"/>
      <c r="G123" s="15"/>
      <c r="H123" s="677"/>
      <c r="I123" s="15"/>
      <c r="J123" s="677"/>
      <c r="K123" s="15"/>
      <c r="L123" s="677"/>
      <c r="M123" s="15"/>
      <c r="N123" s="677"/>
      <c r="S123" s="15"/>
      <c r="T123" s="677"/>
      <c r="U123" s="15"/>
      <c r="V123" s="677"/>
      <c r="W123" s="15"/>
      <c r="X123" s="677"/>
      <c r="Y123" s="677"/>
    </row>
    <row r="124" spans="3:25" s="679" customFormat="1">
      <c r="D124" s="677"/>
      <c r="E124" s="15"/>
      <c r="F124" s="677"/>
      <c r="G124" s="15"/>
      <c r="H124" s="677"/>
      <c r="I124" s="15"/>
      <c r="J124" s="677"/>
      <c r="K124" s="15"/>
      <c r="L124" s="677"/>
      <c r="M124" s="15"/>
      <c r="N124" s="677"/>
      <c r="S124" s="15"/>
      <c r="T124" s="677"/>
      <c r="U124" s="15"/>
      <c r="V124" s="677"/>
      <c r="W124" s="15"/>
      <c r="X124" s="677"/>
      <c r="Y124" s="677"/>
    </row>
    <row r="125" spans="3:25" s="679" customFormat="1">
      <c r="D125" s="677"/>
      <c r="E125" s="15"/>
      <c r="F125" s="677"/>
      <c r="G125" s="15"/>
      <c r="H125" s="677"/>
      <c r="I125" s="15"/>
      <c r="J125" s="677"/>
      <c r="K125" s="15"/>
      <c r="L125" s="677"/>
      <c r="M125" s="15"/>
      <c r="N125" s="677"/>
      <c r="S125" s="15"/>
      <c r="T125" s="677"/>
      <c r="U125" s="15"/>
      <c r="V125" s="677"/>
      <c r="W125" s="15"/>
      <c r="X125" s="677"/>
      <c r="Y125" s="677"/>
    </row>
    <row r="126" spans="3:25" s="679" customFormat="1">
      <c r="D126" s="677"/>
      <c r="E126" s="15"/>
      <c r="F126" s="677"/>
      <c r="G126" s="15"/>
      <c r="H126" s="677"/>
      <c r="I126" s="15"/>
      <c r="J126" s="677"/>
      <c r="K126" s="15"/>
      <c r="L126" s="677"/>
      <c r="M126" s="15"/>
      <c r="N126" s="677"/>
      <c r="S126" s="15"/>
      <c r="T126" s="677"/>
      <c r="U126" s="15"/>
      <c r="V126" s="677"/>
      <c r="W126" s="15"/>
      <c r="X126" s="677"/>
      <c r="Y126" s="677"/>
    </row>
    <row r="127" spans="3:25" s="679" customFormat="1">
      <c r="D127" s="677"/>
      <c r="E127" s="15"/>
      <c r="F127" s="677"/>
      <c r="G127" s="15"/>
      <c r="H127" s="677"/>
      <c r="I127" s="15"/>
      <c r="J127" s="677"/>
      <c r="K127" s="15"/>
      <c r="L127" s="677"/>
      <c r="M127" s="15"/>
      <c r="N127" s="677"/>
      <c r="S127" s="15"/>
      <c r="T127" s="677"/>
      <c r="U127" s="15"/>
      <c r="V127" s="677"/>
      <c r="W127" s="15"/>
      <c r="X127" s="677"/>
      <c r="Y127" s="677"/>
    </row>
    <row r="128" spans="3:25" s="679" customFormat="1">
      <c r="D128" s="677"/>
      <c r="E128" s="15"/>
      <c r="F128" s="677"/>
      <c r="G128" s="15"/>
      <c r="H128" s="677"/>
      <c r="I128" s="15"/>
      <c r="J128" s="677"/>
      <c r="K128" s="15"/>
      <c r="L128" s="677"/>
      <c r="M128" s="15"/>
      <c r="N128" s="677"/>
      <c r="S128" s="15"/>
      <c r="T128" s="677"/>
      <c r="U128" s="15"/>
      <c r="V128" s="677"/>
      <c r="W128" s="15"/>
      <c r="X128" s="677"/>
      <c r="Y128" s="677"/>
    </row>
    <row r="129" spans="3:25" s="679" customFormat="1">
      <c r="D129" s="677"/>
      <c r="E129" s="15"/>
      <c r="F129" s="677"/>
      <c r="G129" s="15"/>
      <c r="H129" s="677"/>
      <c r="I129" s="15"/>
      <c r="J129" s="677"/>
      <c r="K129" s="15"/>
      <c r="L129" s="677"/>
      <c r="M129" s="15"/>
      <c r="N129" s="677"/>
      <c r="S129" s="15"/>
      <c r="T129" s="677"/>
      <c r="U129" s="15"/>
      <c r="V129" s="677"/>
      <c r="W129" s="15"/>
      <c r="X129" s="677"/>
      <c r="Y129" s="677"/>
    </row>
    <row r="130" spans="3:25" s="679" customFormat="1">
      <c r="C130" s="680"/>
      <c r="D130" s="677"/>
      <c r="E130" s="15"/>
      <c r="F130" s="677"/>
      <c r="G130" s="15"/>
      <c r="H130" s="677"/>
      <c r="I130" s="15"/>
      <c r="J130" s="677"/>
      <c r="K130" s="15"/>
      <c r="L130" s="677"/>
      <c r="M130" s="15"/>
      <c r="N130" s="677"/>
      <c r="S130" s="15"/>
      <c r="T130" s="677"/>
      <c r="U130" s="15"/>
      <c r="V130" s="677"/>
      <c r="W130" s="15"/>
      <c r="X130" s="677"/>
      <c r="Y130" s="677"/>
    </row>
    <row r="131" spans="3:25" s="679" customFormat="1">
      <c r="D131" s="677"/>
      <c r="E131" s="15"/>
      <c r="F131" s="677"/>
      <c r="G131" s="15"/>
      <c r="H131" s="677"/>
      <c r="I131" s="15"/>
      <c r="J131" s="677"/>
      <c r="K131" s="15"/>
      <c r="L131" s="677"/>
      <c r="M131" s="15"/>
      <c r="N131" s="677"/>
      <c r="S131" s="15"/>
      <c r="T131" s="677"/>
      <c r="U131" s="15"/>
      <c r="V131" s="677"/>
      <c r="W131" s="15"/>
      <c r="X131" s="677"/>
      <c r="Y131" s="677"/>
    </row>
    <row r="132" spans="3:25" s="679" customFormat="1">
      <c r="D132" s="677"/>
      <c r="E132" s="15"/>
      <c r="F132" s="677"/>
      <c r="G132" s="15"/>
      <c r="H132" s="677"/>
      <c r="I132" s="15"/>
      <c r="J132" s="677"/>
      <c r="K132" s="15"/>
      <c r="L132" s="677"/>
      <c r="M132" s="15"/>
      <c r="N132" s="677"/>
      <c r="S132" s="15"/>
      <c r="T132" s="677"/>
      <c r="U132" s="15"/>
      <c r="V132" s="677"/>
      <c r="W132" s="15"/>
      <c r="X132" s="677"/>
      <c r="Y132" s="677"/>
    </row>
    <row r="133" spans="3:25" s="679" customFormat="1">
      <c r="D133" s="677"/>
      <c r="E133" s="15"/>
      <c r="F133" s="677"/>
      <c r="G133" s="15"/>
      <c r="H133" s="677"/>
      <c r="I133" s="15"/>
      <c r="J133" s="677"/>
      <c r="K133" s="15"/>
      <c r="L133" s="677"/>
      <c r="M133" s="15"/>
      <c r="N133" s="677"/>
      <c r="S133" s="15"/>
      <c r="T133" s="677"/>
      <c r="U133" s="15"/>
      <c r="V133" s="677"/>
      <c r="W133" s="15"/>
      <c r="X133" s="677"/>
      <c r="Y133" s="677"/>
    </row>
    <row r="134" spans="3:25" s="679" customFormat="1">
      <c r="D134" s="677"/>
      <c r="E134" s="15"/>
      <c r="F134" s="677"/>
      <c r="G134" s="15"/>
      <c r="H134" s="677"/>
      <c r="I134" s="15"/>
      <c r="J134" s="677"/>
      <c r="K134" s="15"/>
      <c r="L134" s="677"/>
      <c r="M134" s="15"/>
      <c r="N134" s="677"/>
      <c r="S134" s="15"/>
      <c r="T134" s="677"/>
      <c r="U134" s="15"/>
      <c r="V134" s="677"/>
      <c r="W134" s="15"/>
      <c r="X134" s="677"/>
      <c r="Y134" s="677"/>
    </row>
    <row r="135" spans="3:25" s="679" customFormat="1">
      <c r="D135" s="677"/>
      <c r="E135" s="15"/>
      <c r="F135" s="677"/>
      <c r="G135" s="15"/>
      <c r="H135" s="677"/>
      <c r="I135" s="15"/>
      <c r="J135" s="677"/>
      <c r="K135" s="15"/>
      <c r="L135" s="677"/>
      <c r="M135" s="15"/>
      <c r="N135" s="677"/>
      <c r="S135" s="15"/>
      <c r="T135" s="677"/>
      <c r="U135" s="15"/>
      <c r="V135" s="677"/>
      <c r="W135" s="15"/>
      <c r="X135" s="677"/>
      <c r="Y135" s="677"/>
    </row>
    <row r="136" spans="3:25" s="679" customFormat="1">
      <c r="D136" s="677"/>
      <c r="E136" s="15"/>
      <c r="F136" s="677"/>
      <c r="G136" s="15"/>
      <c r="H136" s="677"/>
      <c r="I136" s="15"/>
      <c r="J136" s="677"/>
      <c r="K136" s="15"/>
      <c r="L136" s="677"/>
      <c r="M136" s="15"/>
      <c r="N136" s="677"/>
      <c r="S136" s="15"/>
      <c r="T136" s="677"/>
      <c r="U136" s="15"/>
      <c r="V136" s="677"/>
      <c r="W136" s="15"/>
      <c r="X136" s="677"/>
      <c r="Y136" s="677"/>
    </row>
    <row r="137" spans="3:25" s="679" customFormat="1">
      <c r="D137" s="677"/>
      <c r="E137" s="15"/>
      <c r="F137" s="677"/>
      <c r="G137" s="15"/>
      <c r="H137" s="677"/>
      <c r="I137" s="15"/>
      <c r="J137" s="677"/>
      <c r="K137" s="15"/>
      <c r="L137" s="677"/>
      <c r="M137" s="15"/>
      <c r="N137" s="677"/>
      <c r="S137" s="15"/>
      <c r="T137" s="677"/>
      <c r="U137" s="15"/>
      <c r="V137" s="677"/>
      <c r="W137" s="15"/>
      <c r="X137" s="677"/>
      <c r="Y137" s="677"/>
    </row>
    <row r="138" spans="3:25" s="679" customFormat="1">
      <c r="D138" s="677"/>
      <c r="E138" s="15"/>
      <c r="F138" s="677"/>
      <c r="G138" s="15"/>
      <c r="H138" s="677"/>
      <c r="I138" s="15"/>
      <c r="J138" s="677"/>
      <c r="K138" s="15"/>
      <c r="L138" s="677"/>
      <c r="M138" s="15"/>
      <c r="N138" s="677"/>
      <c r="S138" s="15"/>
      <c r="T138" s="677"/>
      <c r="U138" s="15"/>
      <c r="V138" s="677"/>
      <c r="W138" s="15"/>
      <c r="X138" s="677"/>
      <c r="Y138" s="677"/>
    </row>
    <row r="139" spans="3:25" s="679" customFormat="1">
      <c r="D139" s="677"/>
      <c r="E139" s="15"/>
      <c r="F139" s="677"/>
      <c r="G139" s="15"/>
      <c r="H139" s="677"/>
      <c r="I139" s="15"/>
      <c r="J139" s="677"/>
      <c r="K139" s="15"/>
      <c r="L139" s="677"/>
      <c r="M139" s="15"/>
      <c r="N139" s="677"/>
      <c r="S139" s="15"/>
      <c r="T139" s="677"/>
      <c r="U139" s="15"/>
      <c r="V139" s="677"/>
      <c r="W139" s="15"/>
      <c r="X139" s="677"/>
      <c r="Y139" s="677"/>
    </row>
    <row r="140" spans="3:25" s="679" customFormat="1">
      <c r="C140" s="680"/>
      <c r="D140" s="677"/>
      <c r="E140" s="15"/>
      <c r="F140" s="677"/>
      <c r="G140" s="15"/>
      <c r="H140" s="677"/>
      <c r="I140" s="15"/>
      <c r="J140" s="677"/>
      <c r="K140" s="15"/>
      <c r="L140" s="677"/>
      <c r="M140" s="15"/>
      <c r="N140" s="677"/>
      <c r="S140" s="15"/>
      <c r="T140" s="677"/>
      <c r="U140" s="15"/>
      <c r="V140" s="677"/>
      <c r="W140" s="15"/>
      <c r="X140" s="677"/>
      <c r="Y140" s="677"/>
    </row>
    <row r="141" spans="3:25" s="679" customFormat="1">
      <c r="D141" s="677"/>
      <c r="E141" s="15"/>
      <c r="F141" s="677"/>
      <c r="G141" s="15"/>
      <c r="H141" s="677"/>
      <c r="I141" s="15"/>
      <c r="J141" s="677"/>
      <c r="K141" s="15"/>
      <c r="L141" s="677"/>
      <c r="M141" s="15"/>
      <c r="N141" s="677"/>
      <c r="S141" s="15"/>
      <c r="T141" s="677"/>
      <c r="U141" s="15"/>
      <c r="V141" s="677"/>
      <c r="W141" s="15"/>
      <c r="X141" s="677"/>
      <c r="Y141" s="677"/>
    </row>
    <row r="142" spans="3:25" s="679" customFormat="1">
      <c r="D142" s="677"/>
      <c r="E142" s="15"/>
      <c r="F142" s="677"/>
      <c r="G142" s="15"/>
      <c r="H142" s="677"/>
      <c r="I142" s="15"/>
      <c r="J142" s="677"/>
      <c r="K142" s="15"/>
      <c r="L142" s="677"/>
      <c r="M142" s="15"/>
      <c r="N142" s="677"/>
      <c r="S142" s="15"/>
      <c r="T142" s="677"/>
      <c r="U142" s="15"/>
      <c r="V142" s="677"/>
      <c r="W142" s="15"/>
      <c r="X142" s="677"/>
      <c r="Y142" s="677"/>
    </row>
    <row r="143" spans="3:25" s="679" customFormat="1">
      <c r="D143" s="677"/>
      <c r="E143" s="15"/>
      <c r="F143" s="677"/>
      <c r="G143" s="15"/>
      <c r="H143" s="677"/>
      <c r="I143" s="15"/>
      <c r="J143" s="677"/>
      <c r="K143" s="15"/>
      <c r="L143" s="677"/>
      <c r="M143" s="15"/>
      <c r="N143" s="677"/>
      <c r="S143" s="15"/>
      <c r="T143" s="677"/>
      <c r="U143" s="15"/>
      <c r="V143" s="677"/>
      <c r="W143" s="15"/>
      <c r="X143" s="677"/>
      <c r="Y143" s="677"/>
    </row>
    <row r="144" spans="3:25" s="679" customFormat="1">
      <c r="D144" s="677"/>
      <c r="E144" s="15"/>
      <c r="F144" s="677"/>
      <c r="G144" s="15"/>
      <c r="H144" s="677"/>
      <c r="I144" s="15"/>
      <c r="J144" s="677"/>
      <c r="K144" s="15"/>
      <c r="L144" s="677"/>
      <c r="M144" s="15"/>
      <c r="N144" s="677"/>
      <c r="S144" s="15"/>
      <c r="T144" s="677"/>
      <c r="U144" s="15"/>
      <c r="V144" s="677"/>
      <c r="W144" s="15"/>
      <c r="X144" s="677"/>
      <c r="Y144" s="677"/>
    </row>
    <row r="145" spans="3:25" s="679" customFormat="1">
      <c r="D145" s="677"/>
      <c r="E145" s="15"/>
      <c r="F145" s="677"/>
      <c r="G145" s="15"/>
      <c r="H145" s="677"/>
      <c r="I145" s="15"/>
      <c r="J145" s="677"/>
      <c r="K145" s="15"/>
      <c r="L145" s="677"/>
      <c r="M145" s="15"/>
      <c r="N145" s="677"/>
      <c r="S145" s="15"/>
      <c r="T145" s="677"/>
      <c r="U145" s="15"/>
      <c r="V145" s="677"/>
      <c r="W145" s="15"/>
      <c r="X145" s="677"/>
      <c r="Y145" s="677"/>
    </row>
    <row r="146" spans="3:25" s="679" customFormat="1">
      <c r="D146" s="677"/>
      <c r="E146" s="15"/>
      <c r="F146" s="677"/>
      <c r="G146" s="15"/>
      <c r="H146" s="677"/>
      <c r="I146" s="15"/>
      <c r="J146" s="677"/>
      <c r="K146" s="15"/>
      <c r="L146" s="677"/>
      <c r="M146" s="15"/>
      <c r="N146" s="677"/>
      <c r="S146" s="15"/>
      <c r="T146" s="677"/>
      <c r="U146" s="15"/>
      <c r="V146" s="677"/>
      <c r="W146" s="15"/>
      <c r="X146" s="677"/>
      <c r="Y146" s="677"/>
    </row>
    <row r="147" spans="3:25" s="679" customFormat="1">
      <c r="D147" s="677"/>
      <c r="E147" s="15"/>
      <c r="F147" s="677"/>
      <c r="G147" s="15"/>
      <c r="H147" s="677"/>
      <c r="I147" s="15"/>
      <c r="J147" s="677"/>
      <c r="K147" s="15"/>
      <c r="L147" s="677"/>
      <c r="M147" s="15"/>
      <c r="N147" s="677"/>
      <c r="S147" s="15"/>
      <c r="T147" s="677"/>
      <c r="U147" s="15"/>
      <c r="V147" s="677"/>
      <c r="W147" s="15"/>
      <c r="X147" s="677"/>
      <c r="Y147" s="677"/>
    </row>
    <row r="148" spans="3:25" s="679" customFormat="1">
      <c r="D148" s="677"/>
      <c r="E148" s="15"/>
      <c r="F148" s="677"/>
      <c r="G148" s="15"/>
      <c r="H148" s="677"/>
      <c r="I148" s="15"/>
      <c r="J148" s="677"/>
      <c r="K148" s="15"/>
      <c r="L148" s="677"/>
      <c r="M148" s="15"/>
      <c r="N148" s="677"/>
      <c r="S148" s="15"/>
      <c r="T148" s="677"/>
      <c r="U148" s="15"/>
      <c r="V148" s="677"/>
      <c r="W148" s="15"/>
      <c r="X148" s="677"/>
      <c r="Y148" s="677"/>
    </row>
    <row r="149" spans="3:25" s="679" customFormat="1">
      <c r="C149" s="680"/>
      <c r="D149" s="677"/>
      <c r="E149" s="15"/>
      <c r="F149" s="677"/>
      <c r="G149" s="15"/>
      <c r="H149" s="677"/>
      <c r="I149" s="15"/>
      <c r="J149" s="677"/>
      <c r="K149" s="15"/>
      <c r="L149" s="677"/>
      <c r="M149" s="15"/>
      <c r="N149" s="677"/>
      <c r="S149" s="15"/>
      <c r="T149" s="677"/>
      <c r="U149" s="15"/>
      <c r="V149" s="677"/>
      <c r="W149" s="15"/>
      <c r="X149" s="677"/>
      <c r="Y149" s="677"/>
    </row>
    <row r="150" spans="3:25" s="679" customFormat="1">
      <c r="D150" s="677"/>
      <c r="E150" s="15"/>
      <c r="F150" s="677"/>
      <c r="G150" s="15"/>
      <c r="H150" s="677"/>
      <c r="I150" s="15"/>
      <c r="J150" s="677"/>
      <c r="K150" s="15"/>
      <c r="L150" s="677"/>
      <c r="M150" s="15"/>
      <c r="N150" s="677"/>
      <c r="S150" s="15"/>
      <c r="T150" s="677"/>
      <c r="U150" s="15"/>
      <c r="V150" s="677"/>
      <c r="W150" s="15"/>
      <c r="X150" s="677"/>
      <c r="Y150" s="677"/>
    </row>
    <row r="151" spans="3:25" s="679" customFormat="1">
      <c r="D151" s="677"/>
      <c r="E151" s="15"/>
      <c r="F151" s="677"/>
      <c r="G151" s="15"/>
      <c r="H151" s="677"/>
      <c r="I151" s="15"/>
      <c r="J151" s="677"/>
      <c r="K151" s="15"/>
      <c r="L151" s="677"/>
      <c r="M151" s="15"/>
      <c r="N151" s="677"/>
      <c r="S151" s="15"/>
      <c r="T151" s="677"/>
      <c r="U151" s="15"/>
      <c r="V151" s="677"/>
      <c r="W151" s="15"/>
      <c r="X151" s="677"/>
      <c r="Y151" s="677"/>
    </row>
    <row r="152" spans="3:25" s="679" customFormat="1">
      <c r="D152" s="677"/>
      <c r="E152" s="15"/>
      <c r="F152" s="677"/>
      <c r="G152" s="15"/>
      <c r="H152" s="677"/>
      <c r="I152" s="15"/>
      <c r="J152" s="677"/>
      <c r="K152" s="15"/>
      <c r="L152" s="677"/>
      <c r="M152" s="15"/>
      <c r="N152" s="677"/>
      <c r="S152" s="15"/>
      <c r="T152" s="677"/>
      <c r="U152" s="15"/>
      <c r="V152" s="677"/>
      <c r="W152" s="15"/>
      <c r="X152" s="677"/>
      <c r="Y152" s="677"/>
    </row>
    <row r="153" spans="3:25" s="679" customFormat="1">
      <c r="D153" s="677"/>
      <c r="E153" s="15"/>
      <c r="F153" s="677"/>
      <c r="G153" s="15"/>
      <c r="H153" s="677"/>
      <c r="I153" s="15"/>
      <c r="J153" s="677"/>
      <c r="K153" s="15"/>
      <c r="L153" s="677"/>
      <c r="M153" s="15"/>
      <c r="N153" s="677"/>
      <c r="S153" s="15"/>
      <c r="T153" s="677"/>
      <c r="U153" s="15"/>
      <c r="V153" s="677"/>
      <c r="W153" s="15"/>
      <c r="X153" s="677"/>
      <c r="Y153" s="677"/>
    </row>
    <row r="154" spans="3:25" s="679" customFormat="1">
      <c r="C154" s="680"/>
      <c r="D154" s="677"/>
      <c r="E154" s="15"/>
      <c r="F154" s="677"/>
      <c r="G154" s="15"/>
      <c r="H154" s="677"/>
      <c r="I154" s="15"/>
      <c r="J154" s="677"/>
      <c r="K154" s="15"/>
      <c r="L154" s="677"/>
      <c r="M154" s="15"/>
      <c r="N154" s="677"/>
      <c r="S154" s="15"/>
      <c r="T154" s="677"/>
      <c r="U154" s="15"/>
      <c r="V154" s="677"/>
      <c r="W154" s="15"/>
      <c r="X154" s="677"/>
      <c r="Y154" s="677"/>
    </row>
    <row r="155" spans="3:25" s="679" customFormat="1">
      <c r="D155" s="677"/>
      <c r="E155" s="15"/>
      <c r="F155" s="677"/>
      <c r="G155" s="15"/>
      <c r="H155" s="677"/>
      <c r="I155" s="15"/>
      <c r="J155" s="677"/>
      <c r="K155" s="15"/>
      <c r="L155" s="677"/>
      <c r="M155" s="15"/>
      <c r="N155" s="677"/>
      <c r="S155" s="15"/>
      <c r="T155" s="677"/>
      <c r="U155" s="15"/>
      <c r="V155" s="677"/>
      <c r="W155" s="15"/>
      <c r="X155" s="677"/>
      <c r="Y155" s="677"/>
    </row>
    <row r="156" spans="3:25" s="679" customFormat="1">
      <c r="D156" s="677"/>
      <c r="E156" s="15"/>
      <c r="F156" s="677"/>
      <c r="G156" s="15"/>
      <c r="H156" s="677"/>
      <c r="I156" s="15"/>
      <c r="J156" s="677"/>
      <c r="K156" s="15"/>
      <c r="L156" s="677"/>
      <c r="M156" s="15"/>
      <c r="N156" s="677"/>
      <c r="S156" s="15"/>
      <c r="T156" s="677"/>
      <c r="U156" s="15"/>
      <c r="V156" s="677"/>
      <c r="W156" s="15"/>
      <c r="X156" s="677"/>
      <c r="Y156" s="677"/>
    </row>
    <row r="157" spans="3:25" s="679" customFormat="1">
      <c r="D157" s="677"/>
      <c r="E157" s="15"/>
      <c r="F157" s="677"/>
      <c r="G157" s="15"/>
      <c r="H157" s="677"/>
      <c r="I157" s="15"/>
      <c r="J157" s="677"/>
      <c r="K157" s="15"/>
      <c r="L157" s="677"/>
      <c r="M157" s="15"/>
      <c r="N157" s="677"/>
      <c r="S157" s="15"/>
      <c r="T157" s="677"/>
      <c r="U157" s="15"/>
      <c r="V157" s="677"/>
      <c r="W157" s="15"/>
      <c r="X157" s="677"/>
      <c r="Y157" s="677"/>
    </row>
    <row r="158" spans="3:25" s="679" customFormat="1">
      <c r="D158" s="677"/>
      <c r="E158" s="15"/>
      <c r="F158" s="677"/>
      <c r="G158" s="15"/>
      <c r="H158" s="677"/>
      <c r="I158" s="15"/>
      <c r="J158" s="677"/>
      <c r="K158" s="15"/>
      <c r="L158" s="677"/>
      <c r="M158" s="15"/>
      <c r="N158" s="677"/>
      <c r="S158" s="15"/>
      <c r="T158" s="677"/>
      <c r="U158" s="15"/>
      <c r="V158" s="677"/>
      <c r="W158" s="15"/>
      <c r="X158" s="677"/>
      <c r="Y158" s="677"/>
    </row>
    <row r="159" spans="3:25" s="679" customFormat="1">
      <c r="D159" s="677"/>
      <c r="E159" s="15"/>
      <c r="F159" s="677"/>
      <c r="G159" s="15"/>
      <c r="H159" s="677"/>
      <c r="I159" s="15"/>
      <c r="J159" s="677"/>
      <c r="K159" s="15"/>
      <c r="L159" s="677"/>
      <c r="M159" s="15"/>
      <c r="N159" s="677"/>
      <c r="S159" s="15"/>
      <c r="T159" s="677"/>
      <c r="U159" s="15"/>
      <c r="V159" s="677"/>
      <c r="W159" s="15"/>
      <c r="X159" s="677"/>
      <c r="Y159" s="677"/>
    </row>
    <row r="160" spans="3:25" s="679" customFormat="1">
      <c r="D160" s="677"/>
      <c r="E160" s="15"/>
      <c r="F160" s="677"/>
      <c r="G160" s="15"/>
      <c r="H160" s="677"/>
      <c r="I160" s="15"/>
      <c r="J160" s="677"/>
      <c r="K160" s="15"/>
      <c r="L160" s="677"/>
      <c r="M160" s="15"/>
      <c r="N160" s="677"/>
      <c r="S160" s="15"/>
      <c r="T160" s="677"/>
      <c r="U160" s="15"/>
      <c r="V160" s="677"/>
      <c r="W160" s="15"/>
      <c r="X160" s="677"/>
      <c r="Y160" s="677"/>
    </row>
    <row r="161" spans="3:25" s="679" customFormat="1">
      <c r="D161" s="677"/>
      <c r="E161" s="15"/>
      <c r="F161" s="677"/>
      <c r="G161" s="15"/>
      <c r="H161" s="677"/>
      <c r="I161" s="15"/>
      <c r="J161" s="677"/>
      <c r="K161" s="15"/>
      <c r="L161" s="677"/>
      <c r="M161" s="15"/>
      <c r="N161" s="677"/>
      <c r="S161" s="15"/>
      <c r="T161" s="677"/>
      <c r="U161" s="15"/>
      <c r="V161" s="677"/>
      <c r="W161" s="15"/>
      <c r="X161" s="677"/>
      <c r="Y161" s="677"/>
    </row>
    <row r="162" spans="3:25" s="679" customFormat="1">
      <c r="D162" s="677"/>
      <c r="E162" s="15"/>
      <c r="F162" s="677"/>
      <c r="G162" s="15"/>
      <c r="H162" s="677"/>
      <c r="I162" s="15"/>
      <c r="J162" s="677"/>
      <c r="K162" s="15"/>
      <c r="L162" s="677"/>
      <c r="M162" s="15"/>
      <c r="N162" s="677"/>
      <c r="S162" s="15"/>
      <c r="T162" s="677"/>
      <c r="U162" s="15"/>
      <c r="V162" s="677"/>
      <c r="W162" s="15"/>
      <c r="X162" s="677"/>
      <c r="Y162" s="677"/>
    </row>
    <row r="163" spans="3:25" s="679" customFormat="1">
      <c r="C163" s="680"/>
      <c r="D163" s="677"/>
      <c r="E163" s="15"/>
      <c r="F163" s="677"/>
      <c r="G163" s="15"/>
      <c r="H163" s="677"/>
      <c r="I163" s="15"/>
      <c r="J163" s="677"/>
      <c r="K163" s="15"/>
      <c r="L163" s="677"/>
      <c r="M163" s="15"/>
      <c r="N163" s="677"/>
      <c r="S163" s="15"/>
      <c r="T163" s="677"/>
      <c r="U163" s="15"/>
      <c r="V163" s="677"/>
      <c r="W163" s="15"/>
      <c r="X163" s="677"/>
      <c r="Y163" s="677"/>
    </row>
    <row r="164" spans="3:25" s="679" customFormat="1">
      <c r="D164" s="677"/>
      <c r="E164" s="15"/>
      <c r="F164" s="677"/>
      <c r="G164" s="15"/>
      <c r="H164" s="677"/>
      <c r="I164" s="15"/>
      <c r="J164" s="677"/>
      <c r="K164" s="15"/>
      <c r="L164" s="677"/>
      <c r="M164" s="15"/>
      <c r="N164" s="677"/>
      <c r="S164" s="15"/>
      <c r="T164" s="677"/>
      <c r="U164" s="15"/>
      <c r="V164" s="677"/>
      <c r="W164" s="15"/>
      <c r="X164" s="677"/>
      <c r="Y164" s="677"/>
    </row>
    <row r="165" spans="3:25" s="679" customFormat="1">
      <c r="D165" s="677"/>
      <c r="E165" s="15"/>
      <c r="F165" s="677"/>
      <c r="G165" s="15"/>
      <c r="H165" s="677"/>
      <c r="I165" s="15"/>
      <c r="J165" s="677"/>
      <c r="K165" s="15"/>
      <c r="L165" s="677"/>
      <c r="M165" s="15"/>
      <c r="N165" s="677"/>
      <c r="S165" s="15"/>
      <c r="T165" s="677"/>
      <c r="U165" s="15"/>
      <c r="V165" s="677"/>
      <c r="W165" s="15"/>
      <c r="X165" s="677"/>
      <c r="Y165" s="677"/>
    </row>
    <row r="166" spans="3:25" s="679" customFormat="1">
      <c r="D166" s="677"/>
      <c r="E166" s="15"/>
      <c r="F166" s="677"/>
      <c r="G166" s="15"/>
      <c r="H166" s="677"/>
      <c r="I166" s="15"/>
      <c r="J166" s="677"/>
      <c r="K166" s="15"/>
      <c r="L166" s="677"/>
      <c r="M166" s="15"/>
      <c r="N166" s="677"/>
      <c r="S166" s="15"/>
      <c r="T166" s="677"/>
      <c r="U166" s="15"/>
      <c r="V166" s="677"/>
      <c r="W166" s="15"/>
      <c r="X166" s="677"/>
      <c r="Y166" s="677"/>
    </row>
    <row r="167" spans="3:25" s="679" customFormat="1">
      <c r="D167" s="677"/>
      <c r="E167" s="15"/>
      <c r="F167" s="677"/>
      <c r="G167" s="15"/>
      <c r="H167" s="677"/>
      <c r="I167" s="15"/>
      <c r="J167" s="677"/>
      <c r="K167" s="15"/>
      <c r="L167" s="677"/>
      <c r="M167" s="15"/>
      <c r="N167" s="677"/>
      <c r="S167" s="15"/>
      <c r="T167" s="677"/>
      <c r="U167" s="15"/>
      <c r="V167" s="677"/>
      <c r="W167" s="15"/>
      <c r="X167" s="677"/>
      <c r="Y167" s="677"/>
    </row>
    <row r="168" spans="3:25" s="679" customFormat="1">
      <c r="D168" s="677"/>
      <c r="E168" s="15"/>
      <c r="F168" s="677"/>
      <c r="G168" s="15"/>
      <c r="H168" s="677"/>
      <c r="I168" s="15"/>
      <c r="J168" s="677"/>
      <c r="K168" s="15"/>
      <c r="L168" s="677"/>
      <c r="M168" s="15"/>
      <c r="N168" s="677"/>
      <c r="S168" s="15"/>
      <c r="T168" s="677"/>
      <c r="U168" s="15"/>
      <c r="V168" s="677"/>
      <c r="W168" s="15"/>
      <c r="X168" s="677"/>
      <c r="Y168" s="677"/>
    </row>
    <row r="169" spans="3:25" s="679" customFormat="1">
      <c r="D169" s="677"/>
      <c r="E169" s="15"/>
      <c r="F169" s="677"/>
      <c r="G169" s="15"/>
      <c r="H169" s="677"/>
      <c r="I169" s="15"/>
      <c r="J169" s="677"/>
      <c r="K169" s="15"/>
      <c r="L169" s="677"/>
      <c r="M169" s="15"/>
      <c r="N169" s="677"/>
      <c r="S169" s="15"/>
      <c r="T169" s="677"/>
      <c r="U169" s="15"/>
      <c r="V169" s="677"/>
      <c r="W169" s="15"/>
      <c r="X169" s="677"/>
      <c r="Y169" s="677"/>
    </row>
    <row r="170" spans="3:25" s="679" customFormat="1">
      <c r="D170" s="677"/>
      <c r="E170" s="15"/>
      <c r="F170" s="677"/>
      <c r="G170" s="15"/>
      <c r="H170" s="677"/>
      <c r="I170" s="15"/>
      <c r="J170" s="677"/>
      <c r="K170" s="15"/>
      <c r="L170" s="677"/>
      <c r="M170" s="15"/>
      <c r="N170" s="677"/>
      <c r="S170" s="15"/>
      <c r="T170" s="677"/>
      <c r="U170" s="15"/>
      <c r="V170" s="677"/>
      <c r="W170" s="15"/>
      <c r="X170" s="677"/>
      <c r="Y170" s="677"/>
    </row>
    <row r="171" spans="3:25" s="679" customFormat="1">
      <c r="C171" s="680"/>
      <c r="D171" s="677"/>
      <c r="E171" s="15"/>
      <c r="F171" s="677"/>
      <c r="G171" s="15"/>
      <c r="H171" s="677"/>
      <c r="I171" s="15"/>
      <c r="J171" s="677"/>
      <c r="K171" s="15"/>
      <c r="L171" s="677"/>
      <c r="M171" s="15"/>
      <c r="N171" s="677"/>
      <c r="S171" s="15"/>
      <c r="T171" s="677"/>
      <c r="U171" s="15"/>
      <c r="V171" s="677"/>
      <c r="W171" s="15"/>
      <c r="X171" s="677"/>
      <c r="Y171" s="677"/>
    </row>
    <row r="172" spans="3:25" s="679" customFormat="1">
      <c r="D172" s="677"/>
      <c r="E172" s="15"/>
      <c r="F172" s="677"/>
      <c r="G172" s="15"/>
      <c r="H172" s="677"/>
      <c r="I172" s="15"/>
      <c r="J172" s="677"/>
      <c r="K172" s="15"/>
      <c r="L172" s="677"/>
      <c r="M172" s="15"/>
      <c r="N172" s="677"/>
      <c r="S172" s="15"/>
      <c r="T172" s="677"/>
      <c r="U172" s="15"/>
      <c r="V172" s="677"/>
      <c r="W172" s="15"/>
      <c r="X172" s="677"/>
      <c r="Y172" s="677"/>
    </row>
    <row r="173" spans="3:25" s="679" customFormat="1">
      <c r="D173" s="677"/>
      <c r="E173" s="15"/>
      <c r="F173" s="677"/>
      <c r="G173" s="15"/>
      <c r="H173" s="677"/>
      <c r="I173" s="15"/>
      <c r="J173" s="677"/>
      <c r="K173" s="15"/>
      <c r="L173" s="677"/>
      <c r="M173" s="15"/>
      <c r="N173" s="677"/>
      <c r="S173" s="15"/>
      <c r="T173" s="677"/>
      <c r="U173" s="15"/>
      <c r="V173" s="677"/>
      <c r="W173" s="15"/>
      <c r="X173" s="677"/>
      <c r="Y173" s="677"/>
    </row>
    <row r="174" spans="3:25" s="679" customFormat="1">
      <c r="D174" s="677"/>
      <c r="E174" s="15"/>
      <c r="F174" s="677"/>
      <c r="G174" s="15"/>
      <c r="H174" s="677"/>
      <c r="I174" s="15"/>
      <c r="J174" s="677"/>
      <c r="K174" s="15"/>
      <c r="L174" s="677"/>
      <c r="M174" s="15"/>
      <c r="N174" s="677"/>
      <c r="O174" s="12"/>
      <c r="S174" s="15"/>
      <c r="T174" s="677"/>
      <c r="U174" s="15"/>
      <c r="V174" s="677"/>
      <c r="W174" s="15"/>
      <c r="X174" s="677"/>
      <c r="Y174" s="677"/>
    </row>
    <row r="175" spans="3:25" s="679" customFormat="1">
      <c r="D175" s="677"/>
      <c r="E175" s="15"/>
      <c r="F175" s="677"/>
      <c r="G175" s="15"/>
      <c r="H175" s="677"/>
      <c r="I175" s="15"/>
      <c r="J175" s="677"/>
      <c r="K175" s="15"/>
      <c r="L175" s="677"/>
      <c r="M175" s="15"/>
      <c r="N175" s="677"/>
      <c r="O175" s="12"/>
      <c r="S175" s="15"/>
      <c r="T175" s="677"/>
      <c r="U175" s="15"/>
      <c r="V175" s="677"/>
      <c r="W175" s="15"/>
      <c r="X175" s="677"/>
      <c r="Y175" s="677"/>
    </row>
    <row r="176" spans="3:25" s="679" customFormat="1">
      <c r="D176" s="677"/>
      <c r="E176" s="15"/>
      <c r="F176" s="677"/>
      <c r="G176" s="15"/>
      <c r="H176" s="677"/>
      <c r="I176" s="15"/>
      <c r="J176" s="677"/>
      <c r="K176" s="15"/>
      <c r="L176" s="677"/>
      <c r="M176" s="15"/>
      <c r="N176" s="677"/>
      <c r="O176" s="12"/>
      <c r="S176" s="15"/>
      <c r="T176" s="677"/>
      <c r="U176" s="15"/>
      <c r="V176" s="677"/>
      <c r="W176" s="15"/>
      <c r="X176" s="677"/>
      <c r="Y176" s="677"/>
    </row>
    <row r="177" spans="3:25" s="679" customFormat="1">
      <c r="D177" s="677"/>
      <c r="E177" s="15"/>
      <c r="F177" s="677"/>
      <c r="G177" s="15"/>
      <c r="H177" s="677"/>
      <c r="I177" s="15"/>
      <c r="J177" s="677"/>
      <c r="K177" s="15"/>
      <c r="L177" s="677"/>
      <c r="M177" s="15"/>
      <c r="N177" s="677"/>
      <c r="O177" s="12"/>
      <c r="S177" s="15"/>
      <c r="T177" s="677"/>
      <c r="U177" s="15"/>
      <c r="V177" s="677"/>
      <c r="W177" s="15"/>
      <c r="X177" s="677"/>
      <c r="Y177" s="677"/>
    </row>
    <row r="178" spans="3:25" s="679" customFormat="1">
      <c r="D178" s="677"/>
      <c r="E178" s="15"/>
      <c r="F178" s="677"/>
      <c r="G178" s="15"/>
      <c r="H178" s="677"/>
      <c r="I178" s="15"/>
      <c r="J178" s="677"/>
      <c r="K178" s="15"/>
      <c r="L178" s="677"/>
      <c r="M178" s="15"/>
      <c r="N178" s="677"/>
      <c r="S178" s="15"/>
      <c r="T178" s="677"/>
      <c r="U178" s="15"/>
      <c r="V178" s="677"/>
      <c r="W178" s="15"/>
      <c r="X178" s="677"/>
      <c r="Y178" s="677"/>
    </row>
    <row r="179" spans="3:25" s="679" customFormat="1">
      <c r="D179" s="677"/>
      <c r="E179" s="15"/>
      <c r="F179" s="677"/>
      <c r="G179" s="15"/>
      <c r="H179" s="677"/>
      <c r="I179" s="15"/>
      <c r="J179" s="677"/>
      <c r="K179" s="15"/>
      <c r="L179" s="677"/>
      <c r="M179" s="15"/>
      <c r="N179" s="677"/>
      <c r="S179" s="15"/>
      <c r="T179" s="677"/>
      <c r="U179" s="15"/>
      <c r="V179" s="677"/>
      <c r="W179" s="15"/>
      <c r="X179" s="677"/>
      <c r="Y179" s="677"/>
    </row>
    <row r="180" spans="3:25" s="679" customFormat="1">
      <c r="D180" s="677"/>
      <c r="E180" s="15"/>
      <c r="F180" s="677"/>
      <c r="G180" s="15"/>
      <c r="H180" s="677"/>
      <c r="I180" s="15"/>
      <c r="J180" s="677"/>
      <c r="K180" s="15"/>
      <c r="L180" s="677"/>
      <c r="M180" s="15"/>
      <c r="N180" s="677"/>
      <c r="S180" s="15"/>
      <c r="T180" s="677"/>
      <c r="U180" s="15"/>
      <c r="V180" s="677"/>
      <c r="W180" s="15"/>
      <c r="X180" s="677"/>
      <c r="Y180" s="677"/>
    </row>
    <row r="181" spans="3:25" s="679" customFormat="1">
      <c r="C181" s="680"/>
      <c r="D181" s="677"/>
      <c r="E181" s="15"/>
      <c r="F181" s="677"/>
      <c r="G181" s="15"/>
      <c r="H181" s="677"/>
      <c r="I181" s="15"/>
      <c r="J181" s="677"/>
      <c r="K181" s="15"/>
      <c r="L181" s="677"/>
      <c r="M181" s="15"/>
      <c r="N181" s="677"/>
      <c r="S181" s="15"/>
      <c r="T181" s="677"/>
      <c r="U181" s="15"/>
      <c r="V181" s="677"/>
      <c r="W181" s="15"/>
      <c r="X181" s="677"/>
      <c r="Y181" s="677"/>
    </row>
    <row r="182" spans="3:25" s="679" customFormat="1">
      <c r="D182" s="677"/>
      <c r="E182" s="15"/>
      <c r="F182" s="677"/>
      <c r="G182" s="15"/>
      <c r="H182" s="677"/>
      <c r="I182" s="15"/>
      <c r="J182" s="677"/>
      <c r="K182" s="15"/>
      <c r="L182" s="677"/>
      <c r="M182" s="15"/>
      <c r="N182" s="677"/>
      <c r="S182" s="15"/>
      <c r="T182" s="677"/>
      <c r="U182" s="15"/>
      <c r="V182" s="677"/>
      <c r="W182" s="15"/>
      <c r="X182" s="677"/>
      <c r="Y182" s="677"/>
    </row>
    <row r="183" spans="3:25" s="679" customFormat="1">
      <c r="D183" s="677"/>
      <c r="E183" s="15"/>
      <c r="F183" s="677"/>
      <c r="G183" s="15"/>
      <c r="H183" s="677"/>
      <c r="I183" s="15"/>
      <c r="J183" s="677"/>
      <c r="K183" s="15"/>
      <c r="L183" s="677"/>
      <c r="M183" s="15"/>
      <c r="N183" s="677"/>
      <c r="S183" s="15"/>
      <c r="T183" s="677"/>
      <c r="U183" s="15"/>
      <c r="V183" s="677"/>
      <c r="W183" s="15"/>
      <c r="X183" s="677"/>
      <c r="Y183" s="677"/>
    </row>
    <row r="184" spans="3:25">
      <c r="C184" s="680"/>
      <c r="D184" s="677"/>
      <c r="E184" s="15"/>
      <c r="F184" s="677"/>
      <c r="G184" s="15"/>
      <c r="H184" s="677"/>
      <c r="I184" s="15"/>
      <c r="J184" s="677"/>
      <c r="K184" s="15"/>
      <c r="L184" s="677"/>
      <c r="M184" s="15"/>
      <c r="N184" s="677"/>
      <c r="O184" s="679"/>
      <c r="P184" s="679"/>
      <c r="Q184" s="679"/>
      <c r="R184" s="679"/>
      <c r="S184" s="15"/>
      <c r="T184" s="677"/>
      <c r="U184" s="15"/>
      <c r="V184" s="677"/>
      <c r="W184" s="15"/>
      <c r="X184" s="677"/>
      <c r="Y184" s="677"/>
    </row>
    <row r="185" spans="3:25">
      <c r="E185" s="16"/>
      <c r="G185" s="16"/>
      <c r="I185" s="16"/>
      <c r="K185" s="16"/>
      <c r="M185" s="16"/>
      <c r="S185" s="16"/>
      <c r="U185" s="16"/>
      <c r="W185" s="16"/>
    </row>
    <row r="186" spans="3:25">
      <c r="E186" s="16"/>
      <c r="G186" s="16"/>
      <c r="I186" s="16"/>
      <c r="K186" s="16"/>
      <c r="M186" s="16"/>
      <c r="S186" s="16"/>
      <c r="U186" s="16"/>
      <c r="W186" s="16"/>
    </row>
    <row r="187" spans="3:25">
      <c r="C187" s="46" t="s">
        <v>0</v>
      </c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5"/>
      <c r="T187" s="465"/>
      <c r="U187" s="465"/>
      <c r="V187" s="465"/>
      <c r="W187" s="465"/>
      <c r="X187" s="465"/>
      <c r="Y187" s="465"/>
    </row>
    <row r="188" spans="3:25">
      <c r="C188" s="46" t="s">
        <v>103</v>
      </c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5"/>
      <c r="T188" s="465"/>
      <c r="U188" s="465"/>
      <c r="V188" s="465"/>
      <c r="W188" s="465"/>
      <c r="X188" s="465"/>
      <c r="Y188" s="465"/>
    </row>
    <row r="189" spans="3:25">
      <c r="C189" s="47" t="str">
        <f>C3</f>
        <v>BASE PERIOD-FEBRUARY 2017</v>
      </c>
      <c r="D189" s="47"/>
      <c r="E189" s="47"/>
      <c r="F189" s="47"/>
      <c r="G189" s="47"/>
      <c r="H189" s="47"/>
      <c r="I189" s="47"/>
      <c r="J189" s="47"/>
      <c r="K189" s="47"/>
      <c r="L189" s="47"/>
      <c r="M189" s="47"/>
      <c r="N189" s="47"/>
      <c r="O189" s="47"/>
      <c r="P189" s="47"/>
      <c r="Q189" s="47"/>
      <c r="R189" s="47"/>
      <c r="S189" s="466"/>
      <c r="T189" s="466"/>
      <c r="U189" s="466"/>
      <c r="V189" s="466"/>
      <c r="W189" s="466"/>
      <c r="X189" s="466"/>
      <c r="Y189" s="466"/>
    </row>
    <row r="190" spans="3:25">
      <c r="C190" s="674"/>
      <c r="D190" s="674"/>
      <c r="E190" s="674"/>
      <c r="F190" s="674"/>
      <c r="G190" s="674"/>
      <c r="H190" s="674"/>
      <c r="I190" s="674"/>
      <c r="J190" s="674"/>
      <c r="K190" s="674"/>
      <c r="L190" s="674"/>
      <c r="M190" s="674"/>
      <c r="N190" s="674"/>
      <c r="O190" s="2"/>
      <c r="P190" s="2"/>
      <c r="Q190" s="2"/>
      <c r="R190" s="2"/>
      <c r="S190" s="674"/>
      <c r="T190" s="674"/>
      <c r="U190" s="674"/>
      <c r="V190" s="674"/>
      <c r="W190" s="674"/>
      <c r="X190" s="467" t="s">
        <v>1770</v>
      </c>
      <c r="Y190" s="467"/>
    </row>
    <row r="191" spans="3:25" ht="15">
      <c r="C191" s="674"/>
      <c r="D191" s="676" t="s">
        <v>2316</v>
      </c>
      <c r="E191" s="674"/>
      <c r="F191" s="674"/>
      <c r="G191" s="674"/>
      <c r="H191" s="674"/>
      <c r="I191" s="674"/>
      <c r="J191" s="674"/>
      <c r="K191" s="674"/>
      <c r="L191" s="674"/>
      <c r="M191" s="674"/>
      <c r="N191" s="676" t="s">
        <v>2317</v>
      </c>
      <c r="O191" s="2"/>
      <c r="P191" s="2"/>
      <c r="Q191" s="2"/>
      <c r="R191" s="2"/>
      <c r="S191" s="674"/>
      <c r="T191" s="674"/>
      <c r="U191" s="674"/>
      <c r="V191" s="674"/>
      <c r="W191" s="674"/>
      <c r="X191" s="676" t="s">
        <v>2317</v>
      </c>
      <c r="Y191" s="676"/>
    </row>
    <row r="192" spans="3:25">
      <c r="C192" s="2"/>
      <c r="D192" s="3" t="s">
        <v>2</v>
      </c>
      <c r="E192" s="2"/>
      <c r="F192" s="4"/>
      <c r="G192" s="2"/>
      <c r="H192" s="4"/>
      <c r="I192" s="2"/>
      <c r="J192" s="3" t="s">
        <v>3</v>
      </c>
      <c r="K192" s="2"/>
      <c r="L192" s="4"/>
      <c r="M192" s="2"/>
      <c r="N192" s="3" t="s">
        <v>4</v>
      </c>
      <c r="O192" s="2"/>
      <c r="P192" s="2"/>
      <c r="Q192" s="2"/>
      <c r="R192" s="5" t="s">
        <v>5</v>
      </c>
      <c r="S192" s="2"/>
      <c r="T192" s="197" t="s">
        <v>1210</v>
      </c>
      <c r="U192" s="2"/>
      <c r="V192" s="197" t="s">
        <v>11</v>
      </c>
      <c r="W192" s="2"/>
      <c r="X192" s="3" t="s">
        <v>4</v>
      </c>
      <c r="Y192" s="3"/>
    </row>
    <row r="193" spans="1:25">
      <c r="C193" s="2"/>
      <c r="D193" s="7" t="s">
        <v>6</v>
      </c>
      <c r="E193" s="2"/>
      <c r="F193" s="7" t="s">
        <v>7</v>
      </c>
      <c r="G193" s="2"/>
      <c r="H193" s="7" t="s">
        <v>8</v>
      </c>
      <c r="I193" s="2"/>
      <c r="J193" s="7" t="s">
        <v>9</v>
      </c>
      <c r="K193" s="2"/>
      <c r="L193" s="7" t="s">
        <v>10</v>
      </c>
      <c r="M193" s="2"/>
      <c r="N193" s="7" t="s">
        <v>6</v>
      </c>
      <c r="O193" s="2"/>
      <c r="P193" s="7" t="s">
        <v>11</v>
      </c>
      <c r="Q193" s="2"/>
      <c r="R193" s="7" t="s">
        <v>12</v>
      </c>
      <c r="S193" s="2"/>
      <c r="T193" s="7" t="s">
        <v>1211</v>
      </c>
      <c r="U193" s="2"/>
      <c r="V193" s="7" t="s">
        <v>2318</v>
      </c>
      <c r="W193" s="2"/>
      <c r="X193" s="7" t="s">
        <v>6</v>
      </c>
      <c r="Y193" s="7" t="s">
        <v>13</v>
      </c>
    </row>
    <row r="194" spans="1:25">
      <c r="C194" s="5" t="s">
        <v>14</v>
      </c>
      <c r="D194" s="8"/>
      <c r="E194" s="2"/>
      <c r="F194" s="8"/>
      <c r="G194" s="2"/>
      <c r="H194" s="8"/>
      <c r="I194" s="2"/>
      <c r="J194" s="8"/>
      <c r="K194" s="2"/>
      <c r="L194" s="8"/>
      <c r="M194" s="2"/>
      <c r="N194" s="8"/>
      <c r="O194" s="2"/>
      <c r="P194" s="2"/>
      <c r="Q194" s="2"/>
      <c r="R194" s="2"/>
      <c r="S194" s="2"/>
      <c r="T194" s="8"/>
      <c r="U194" s="2"/>
      <c r="V194" s="8"/>
      <c r="W194" s="2"/>
      <c r="X194" s="8"/>
      <c r="Y194" s="8"/>
    </row>
    <row r="195" spans="1:25">
      <c r="C195" s="5" t="s">
        <v>15</v>
      </c>
      <c r="D195" s="4"/>
      <c r="E195" s="2"/>
      <c r="F195" s="4"/>
      <c r="G195" s="2"/>
      <c r="H195" s="4"/>
      <c r="I195" s="2"/>
      <c r="J195" s="4"/>
      <c r="K195" s="2"/>
      <c r="L195" s="4"/>
      <c r="M195" s="2"/>
      <c r="N195" s="4"/>
      <c r="O195" s="2"/>
      <c r="P195" s="2"/>
      <c r="Q195" s="2"/>
      <c r="R195" s="2"/>
      <c r="S195" s="2"/>
      <c r="T195" s="4"/>
      <c r="U195" s="2"/>
      <c r="V195" s="4"/>
      <c r="W195" s="2"/>
      <c r="X195" s="4"/>
      <c r="Y195" s="4"/>
    </row>
    <row r="196" spans="1:25">
      <c r="C196" s="5" t="s">
        <v>16</v>
      </c>
      <c r="D196" s="4"/>
      <c r="E196" s="20"/>
      <c r="F196" s="4"/>
      <c r="G196" s="20"/>
      <c r="H196" s="4"/>
      <c r="I196" s="20"/>
      <c r="J196" s="4"/>
      <c r="K196" s="20"/>
      <c r="L196" s="4"/>
      <c r="M196" s="20"/>
      <c r="N196" s="4"/>
      <c r="O196" s="20"/>
      <c r="P196" s="2"/>
      <c r="Q196" s="2"/>
      <c r="R196" s="2"/>
      <c r="S196" s="20"/>
      <c r="T196" s="4"/>
      <c r="U196" s="20"/>
      <c r="V196" s="4"/>
      <c r="W196" s="20"/>
      <c r="X196" s="4"/>
      <c r="Y196" s="4"/>
    </row>
    <row r="197" spans="1:25">
      <c r="A197" s="6" t="s">
        <v>104</v>
      </c>
      <c r="B197" s="6" t="str">
        <f t="shared" ref="B197:B209" si="7">MID(C197,2,3)</f>
        <v>360</v>
      </c>
      <c r="C197" s="2" t="s">
        <v>18</v>
      </c>
      <c r="D197" s="4">
        <v>193250.44</v>
      </c>
      <c r="E197" s="20"/>
      <c r="F197" s="4">
        <v>150000</v>
      </c>
      <c r="G197" s="20"/>
      <c r="H197" s="4">
        <v>0</v>
      </c>
      <c r="I197" s="20"/>
      <c r="J197" s="4">
        <v>0</v>
      </c>
      <c r="K197" s="20"/>
      <c r="L197" s="4">
        <v>150000</v>
      </c>
      <c r="M197" s="20"/>
      <c r="N197" s="4">
        <v>343250.44</v>
      </c>
      <c r="O197" s="20"/>
      <c r="P197" s="10">
        <v>-68622.045306979999</v>
      </c>
      <c r="Q197" s="2"/>
      <c r="R197" s="10">
        <v>274628.39469302003</v>
      </c>
      <c r="S197" s="20"/>
      <c r="T197" s="14">
        <v>5.229807631672097E-4</v>
      </c>
      <c r="U197" s="15"/>
      <c r="V197" s="14">
        <v>-68622.044783999241</v>
      </c>
      <c r="W197" s="15"/>
      <c r="X197" s="14">
        <v>343250.44</v>
      </c>
      <c r="Y197" s="14">
        <v>0</v>
      </c>
    </row>
    <row r="198" spans="1:25">
      <c r="A198" s="6" t="s">
        <v>104</v>
      </c>
      <c r="C198" s="2" t="s">
        <v>19</v>
      </c>
      <c r="D198" s="4">
        <v>0</v>
      </c>
      <c r="E198" s="20"/>
      <c r="F198" s="4">
        <v>0</v>
      </c>
      <c r="G198" s="20"/>
      <c r="H198" s="4">
        <v>0</v>
      </c>
      <c r="I198" s="20"/>
      <c r="J198" s="4">
        <v>0</v>
      </c>
      <c r="K198" s="20"/>
      <c r="L198" s="4">
        <v>0</v>
      </c>
      <c r="M198" s="20"/>
      <c r="N198" s="4">
        <v>0</v>
      </c>
      <c r="O198" s="20"/>
      <c r="P198" s="10">
        <v>0</v>
      </c>
      <c r="Q198" s="2"/>
      <c r="R198" s="10">
        <v>0</v>
      </c>
      <c r="S198" s="20"/>
      <c r="T198" s="4">
        <v>0</v>
      </c>
      <c r="U198" s="20"/>
      <c r="V198" s="4">
        <v>0</v>
      </c>
      <c r="W198" s="20"/>
      <c r="X198" s="4">
        <v>0</v>
      </c>
      <c r="Y198" s="4">
        <v>0</v>
      </c>
    </row>
    <row r="199" spans="1:25">
      <c r="A199" s="6" t="s">
        <v>104</v>
      </c>
      <c r="B199" s="6" t="str">
        <f t="shared" si="7"/>
        <v>361</v>
      </c>
      <c r="C199" s="2" t="s">
        <v>20</v>
      </c>
      <c r="D199" s="4">
        <v>486252.05</v>
      </c>
      <c r="E199" s="20"/>
      <c r="F199" s="4">
        <v>8038.93</v>
      </c>
      <c r="G199" s="20"/>
      <c r="H199" s="4">
        <v>-619.46</v>
      </c>
      <c r="I199" s="20"/>
      <c r="J199" s="4">
        <v>0</v>
      </c>
      <c r="K199" s="20"/>
      <c r="L199" s="4">
        <v>7419.47</v>
      </c>
      <c r="M199" s="20"/>
      <c r="N199" s="4">
        <v>493671.51999999996</v>
      </c>
      <c r="O199" s="20"/>
      <c r="P199" s="10">
        <v>-130572.30520019999</v>
      </c>
      <c r="Q199" s="2"/>
      <c r="R199" s="10">
        <v>363099.21479979996</v>
      </c>
      <c r="S199" s="20"/>
      <c r="T199" s="4">
        <v>2.8028038309651848E-5</v>
      </c>
      <c r="U199" s="20"/>
      <c r="V199" s="4">
        <v>-130572.30517217195</v>
      </c>
      <c r="W199" s="20"/>
      <c r="X199" s="4">
        <v>493671.51999999996</v>
      </c>
      <c r="Y199" s="4">
        <v>0</v>
      </c>
    </row>
    <row r="200" spans="1:25">
      <c r="A200" s="6" t="s">
        <v>104</v>
      </c>
      <c r="B200" s="6" t="str">
        <f t="shared" si="7"/>
        <v>362</v>
      </c>
      <c r="C200" s="2" t="s">
        <v>21</v>
      </c>
      <c r="D200" s="4">
        <v>8094203.6500000004</v>
      </c>
      <c r="E200" s="20"/>
      <c r="F200" s="4">
        <v>207850.92000000004</v>
      </c>
      <c r="G200" s="20"/>
      <c r="H200" s="4">
        <v>-4500.26</v>
      </c>
      <c r="I200" s="20"/>
      <c r="J200" s="4">
        <v>-64364.3</v>
      </c>
      <c r="K200" s="20"/>
      <c r="L200" s="4">
        <v>138986.36000000004</v>
      </c>
      <c r="M200" s="20"/>
      <c r="N200" s="4">
        <v>8233190.0100000007</v>
      </c>
      <c r="O200" s="20"/>
      <c r="P200" s="10">
        <v>-3043414.5299956901</v>
      </c>
      <c r="Q200" s="2"/>
      <c r="R200" s="10">
        <v>5189775.4800043106</v>
      </c>
      <c r="S200" s="20"/>
      <c r="T200" s="4">
        <v>7.2468021844404444E-4</v>
      </c>
      <c r="U200" s="20"/>
      <c r="V200" s="4">
        <v>-3043414.5292710098</v>
      </c>
      <c r="W200" s="20"/>
      <c r="X200" s="4">
        <v>8233190.0100000007</v>
      </c>
      <c r="Y200" s="4">
        <v>0</v>
      </c>
    </row>
    <row r="201" spans="1:25">
      <c r="A201" s="6" t="s">
        <v>104</v>
      </c>
      <c r="B201" s="6" t="str">
        <f t="shared" si="7"/>
        <v>364</v>
      </c>
      <c r="C201" s="2" t="s">
        <v>22</v>
      </c>
      <c r="D201" s="4">
        <v>26900878.91</v>
      </c>
      <c r="E201" s="20"/>
      <c r="F201" s="4">
        <v>1788586.15</v>
      </c>
      <c r="G201" s="20"/>
      <c r="H201" s="4">
        <v>-56487.47</v>
      </c>
      <c r="I201" s="20"/>
      <c r="J201" s="4">
        <v>0</v>
      </c>
      <c r="K201" s="20"/>
      <c r="L201" s="4">
        <v>1732098.68</v>
      </c>
      <c r="M201" s="20"/>
      <c r="N201" s="4">
        <v>28632977.59</v>
      </c>
      <c r="O201" s="20"/>
      <c r="P201" s="10">
        <v>-12081159.649653001</v>
      </c>
      <c r="Q201" s="2"/>
      <c r="R201" s="10">
        <v>16551817.940346999</v>
      </c>
      <c r="S201" s="20"/>
      <c r="T201" s="4">
        <v>6.235974331448675E-3</v>
      </c>
      <c r="U201" s="20"/>
      <c r="V201" s="4">
        <v>-12081159.643417027</v>
      </c>
      <c r="W201" s="20"/>
      <c r="X201" s="4">
        <v>28632977.59</v>
      </c>
      <c r="Y201" s="4">
        <v>0</v>
      </c>
    </row>
    <row r="202" spans="1:25">
      <c r="A202" s="6" t="s">
        <v>104</v>
      </c>
      <c r="B202" s="6" t="str">
        <f t="shared" si="7"/>
        <v>365</v>
      </c>
      <c r="C202" s="2" t="s">
        <v>23</v>
      </c>
      <c r="D202" s="4">
        <v>24265015.340000004</v>
      </c>
      <c r="E202" s="20"/>
      <c r="F202" s="4">
        <v>2017431.3699999992</v>
      </c>
      <c r="G202" s="20"/>
      <c r="H202" s="4">
        <v>-329734.39999999997</v>
      </c>
      <c r="I202" s="20"/>
      <c r="J202" s="4">
        <v>0</v>
      </c>
      <c r="K202" s="20"/>
      <c r="L202" s="4">
        <v>1687696.9699999993</v>
      </c>
      <c r="M202" s="20"/>
      <c r="N202" s="4">
        <v>25952712.310000002</v>
      </c>
      <c r="O202" s="20"/>
      <c r="P202" s="10">
        <v>-9123020.7520150002</v>
      </c>
      <c r="Q202" s="2"/>
      <c r="R202" s="10">
        <v>16829691.557985</v>
      </c>
      <c r="S202" s="20"/>
      <c r="T202" s="4">
        <v>7.0338519834671253E-3</v>
      </c>
      <c r="U202" s="20"/>
      <c r="V202" s="4">
        <v>-9123020.7449811473</v>
      </c>
      <c r="W202" s="20"/>
      <c r="X202" s="4">
        <v>25952712.309999999</v>
      </c>
      <c r="Y202" s="4">
        <v>0</v>
      </c>
    </row>
    <row r="203" spans="1:25">
      <c r="A203" s="6" t="s">
        <v>104</v>
      </c>
      <c r="B203" s="6" t="str">
        <f t="shared" si="7"/>
        <v>366</v>
      </c>
      <c r="C203" s="2" t="s">
        <v>24</v>
      </c>
      <c r="D203" s="4">
        <v>0</v>
      </c>
      <c r="E203" s="20"/>
      <c r="F203" s="4">
        <v>0</v>
      </c>
      <c r="G203" s="20"/>
      <c r="H203" s="4">
        <v>0</v>
      </c>
      <c r="I203" s="20"/>
      <c r="J203" s="4">
        <v>0</v>
      </c>
      <c r="K203" s="20"/>
      <c r="L203" s="4">
        <v>0</v>
      </c>
      <c r="M203" s="20"/>
      <c r="N203" s="4">
        <v>0</v>
      </c>
      <c r="O203" s="20"/>
      <c r="P203" s="10">
        <v>0</v>
      </c>
      <c r="Q203" s="2"/>
      <c r="R203" s="10">
        <v>0</v>
      </c>
      <c r="S203" s="20"/>
      <c r="T203" s="4">
        <v>0</v>
      </c>
      <c r="U203" s="20"/>
      <c r="V203" s="4">
        <v>0</v>
      </c>
      <c r="W203" s="20"/>
      <c r="X203" s="4">
        <v>0</v>
      </c>
      <c r="Y203" s="4">
        <v>0</v>
      </c>
    </row>
    <row r="204" spans="1:25">
      <c r="A204" s="6" t="s">
        <v>104</v>
      </c>
      <c r="B204" s="6" t="str">
        <f t="shared" si="7"/>
        <v>367</v>
      </c>
      <c r="C204" s="2" t="s">
        <v>25</v>
      </c>
      <c r="D204" s="4">
        <v>4035461.8099999996</v>
      </c>
      <c r="E204" s="20"/>
      <c r="F204" s="4">
        <v>1172324.96</v>
      </c>
      <c r="G204" s="20"/>
      <c r="H204" s="4">
        <v>-7098.66</v>
      </c>
      <c r="I204" s="20"/>
      <c r="J204" s="4">
        <v>0</v>
      </c>
      <c r="K204" s="20"/>
      <c r="L204" s="4">
        <v>1165226.3</v>
      </c>
      <c r="M204" s="20"/>
      <c r="N204" s="4">
        <v>5200688.1099999994</v>
      </c>
      <c r="O204" s="20"/>
      <c r="P204" s="10">
        <v>-537326.90870759997</v>
      </c>
      <c r="Q204" s="2"/>
      <c r="R204" s="10">
        <v>4663361.2012923993</v>
      </c>
      <c r="S204" s="20"/>
      <c r="T204" s="4">
        <v>4.0873560150717905E-3</v>
      </c>
      <c r="U204" s="20"/>
      <c r="V204" s="4">
        <v>-537326.90462024393</v>
      </c>
      <c r="W204" s="20"/>
      <c r="X204" s="4">
        <v>5200688.1100000003</v>
      </c>
      <c r="Y204" s="4">
        <v>0</v>
      </c>
    </row>
    <row r="205" spans="1:25">
      <c r="A205" s="6" t="s">
        <v>104</v>
      </c>
      <c r="B205" s="6" t="str">
        <f t="shared" si="7"/>
        <v>368</v>
      </c>
      <c r="C205" s="2" t="s">
        <v>26</v>
      </c>
      <c r="D205" s="4">
        <v>13334888.539999999</v>
      </c>
      <c r="E205" s="20"/>
      <c r="F205" s="4">
        <v>16330.71</v>
      </c>
      <c r="G205" s="20"/>
      <c r="H205" s="4">
        <v>-628070.57999999996</v>
      </c>
      <c r="I205" s="20"/>
      <c r="J205" s="4">
        <v>0</v>
      </c>
      <c r="K205" s="20"/>
      <c r="L205" s="4">
        <v>-611739.87</v>
      </c>
      <c r="M205" s="20"/>
      <c r="N205" s="4">
        <v>12723148.67</v>
      </c>
      <c r="O205" s="20"/>
      <c r="P205" s="10">
        <v>-7011316.9212130001</v>
      </c>
      <c r="Q205" s="2"/>
      <c r="R205" s="10">
        <v>5711831.7487869998</v>
      </c>
      <c r="S205" s="20"/>
      <c r="T205" s="4">
        <v>5.693764785908255E-5</v>
      </c>
      <c r="U205" s="20"/>
      <c r="V205" s="4">
        <v>-7011316.9211560627</v>
      </c>
      <c r="W205" s="20"/>
      <c r="X205" s="4">
        <v>12723148.67</v>
      </c>
      <c r="Y205" s="4">
        <v>0</v>
      </c>
    </row>
    <row r="206" spans="1:25">
      <c r="A206" s="6" t="s">
        <v>104</v>
      </c>
      <c r="B206" s="6" t="str">
        <f t="shared" si="7"/>
        <v>369</v>
      </c>
      <c r="C206" s="2" t="s">
        <v>27</v>
      </c>
      <c r="D206" s="4">
        <v>5218706.4200000009</v>
      </c>
      <c r="E206" s="20"/>
      <c r="F206" s="4">
        <v>287844.31</v>
      </c>
      <c r="G206" s="20"/>
      <c r="H206" s="4">
        <v>-7563.32</v>
      </c>
      <c r="I206" s="20"/>
      <c r="J206" s="4">
        <v>0</v>
      </c>
      <c r="K206" s="20"/>
      <c r="L206" s="4">
        <v>280280.99</v>
      </c>
      <c r="M206" s="20"/>
      <c r="N206" s="4">
        <v>5498987.4100000011</v>
      </c>
      <c r="O206" s="20"/>
      <c r="P206" s="10">
        <v>-4207997.5722119901</v>
      </c>
      <c r="Q206" s="2"/>
      <c r="R206" s="10">
        <v>1290989.8377880109</v>
      </c>
      <c r="S206" s="20"/>
      <c r="T206" s="4">
        <v>1.0035802461142592E-3</v>
      </c>
      <c r="U206" s="20"/>
      <c r="V206" s="4">
        <v>-4207997.57120841</v>
      </c>
      <c r="W206" s="20"/>
      <c r="X206" s="4">
        <v>5498987.4100000001</v>
      </c>
      <c r="Y206" s="4">
        <v>0</v>
      </c>
    </row>
    <row r="207" spans="1:25">
      <c r="A207" s="6" t="s">
        <v>104</v>
      </c>
      <c r="B207" s="6" t="str">
        <f t="shared" si="7"/>
        <v>370</v>
      </c>
      <c r="C207" s="2" t="s">
        <v>28</v>
      </c>
      <c r="D207" s="4">
        <v>4118279.5800000005</v>
      </c>
      <c r="E207" s="20"/>
      <c r="F207" s="4">
        <v>-170692.59</v>
      </c>
      <c r="G207" s="20"/>
      <c r="H207" s="4">
        <v>-9513.1900000000023</v>
      </c>
      <c r="I207" s="20"/>
      <c r="J207" s="4">
        <v>0</v>
      </c>
      <c r="K207" s="20"/>
      <c r="L207" s="4">
        <v>-180205.78</v>
      </c>
      <c r="M207" s="20"/>
      <c r="N207" s="4">
        <v>3938073.8000000007</v>
      </c>
      <c r="O207" s="20"/>
      <c r="P207" s="10">
        <v>-2766425.9850119902</v>
      </c>
      <c r="Q207" s="2"/>
      <c r="R207" s="10">
        <v>1171647.8149880106</v>
      </c>
      <c r="S207" s="20">
        <v>0</v>
      </c>
      <c r="T207" s="4">
        <v>-5.9512627323458412E-4</v>
      </c>
      <c r="U207" s="20"/>
      <c r="V207" s="4">
        <v>-2766425.9856071165</v>
      </c>
      <c r="W207" s="20"/>
      <c r="X207" s="4">
        <v>3938073.8000000003</v>
      </c>
      <c r="Y207" s="4">
        <v>0</v>
      </c>
    </row>
    <row r="208" spans="1:25">
      <c r="A208" s="6" t="s">
        <v>104</v>
      </c>
      <c r="B208" s="6" t="str">
        <f t="shared" si="7"/>
        <v>371</v>
      </c>
      <c r="C208" s="2" t="s">
        <v>29</v>
      </c>
      <c r="D208" s="4">
        <v>855168.89</v>
      </c>
      <c r="E208" s="21"/>
      <c r="F208" s="4">
        <v>0</v>
      </c>
      <c r="G208" s="21"/>
      <c r="H208" s="4">
        <v>0</v>
      </c>
      <c r="I208" s="21"/>
      <c r="J208" s="4">
        <v>-855168.89</v>
      </c>
      <c r="K208" s="21"/>
      <c r="L208" s="14">
        <v>-855168.89</v>
      </c>
      <c r="M208" s="21"/>
      <c r="N208" s="14">
        <v>0</v>
      </c>
      <c r="O208" s="20"/>
      <c r="P208" s="10">
        <v>0</v>
      </c>
      <c r="Q208" s="2"/>
      <c r="R208" s="10">
        <v>0</v>
      </c>
      <c r="S208" s="21"/>
      <c r="T208" s="4">
        <v>0</v>
      </c>
      <c r="U208" s="21"/>
      <c r="V208" s="4">
        <v>0</v>
      </c>
      <c r="W208" s="21"/>
      <c r="X208" s="4">
        <v>0</v>
      </c>
      <c r="Y208" s="4">
        <v>0</v>
      </c>
    </row>
    <row r="209" spans="1:25">
      <c r="A209" s="6" t="s">
        <v>104</v>
      </c>
      <c r="B209" s="6" t="str">
        <f t="shared" si="7"/>
        <v>373</v>
      </c>
      <c r="C209" s="2" t="s">
        <v>30</v>
      </c>
      <c r="D209" s="17">
        <v>2707595.57</v>
      </c>
      <c r="E209" s="21"/>
      <c r="F209" s="17">
        <v>258633.89999999994</v>
      </c>
      <c r="G209" s="21"/>
      <c r="H209" s="17">
        <v>-103139.88</v>
      </c>
      <c r="I209" s="21"/>
      <c r="J209" s="17">
        <v>855168.89</v>
      </c>
      <c r="K209" s="21"/>
      <c r="L209" s="17">
        <v>1010662.9099999999</v>
      </c>
      <c r="M209" s="21"/>
      <c r="N209" s="17">
        <v>3718258.4799999995</v>
      </c>
      <c r="O209" s="20"/>
      <c r="P209" s="18">
        <v>-1635746.9925629999</v>
      </c>
      <c r="Q209" s="2"/>
      <c r="R209" s="18">
        <v>2082511.4874369996</v>
      </c>
      <c r="S209" s="21"/>
      <c r="T209" s="17">
        <v>9.0173702935274506E-4</v>
      </c>
      <c r="U209" s="21"/>
      <c r="V209" s="17">
        <v>-1635746.9916612629</v>
      </c>
      <c r="W209" s="21"/>
      <c r="X209" s="17">
        <v>3718258.48</v>
      </c>
      <c r="Y209" s="17">
        <v>0</v>
      </c>
    </row>
    <row r="210" spans="1:25">
      <c r="C210" s="2"/>
      <c r="D210" s="14">
        <v>90209701.200000003</v>
      </c>
      <c r="E210" s="21"/>
      <c r="F210" s="14">
        <v>5736348.6599999992</v>
      </c>
      <c r="G210" s="21"/>
      <c r="H210" s="14">
        <v>-1146727.2199999997</v>
      </c>
      <c r="I210" s="21"/>
      <c r="J210" s="14">
        <v>-64364.300000000047</v>
      </c>
      <c r="K210" s="21"/>
      <c r="L210" s="14">
        <v>4525257.1399999987</v>
      </c>
      <c r="M210" s="21"/>
      <c r="N210" s="14">
        <v>94734958.340000004</v>
      </c>
      <c r="O210" s="20"/>
      <c r="P210" s="14">
        <v>-40605603.661878452</v>
      </c>
      <c r="Q210" s="2"/>
      <c r="R210" s="14">
        <v>54129354.678121544</v>
      </c>
      <c r="S210" s="21"/>
      <c r="T210" s="14">
        <v>0.02</v>
      </c>
      <c r="U210" s="21"/>
      <c r="V210" s="14">
        <v>-40605603.641878456</v>
      </c>
      <c r="W210" s="21">
        <v>0</v>
      </c>
      <c r="X210" s="14">
        <v>94734958.340000004</v>
      </c>
      <c r="Y210" s="14">
        <v>0</v>
      </c>
    </row>
    <row r="211" spans="1:25">
      <c r="C211" s="2"/>
      <c r="D211" s="14"/>
      <c r="E211" s="21"/>
      <c r="F211" s="14"/>
      <c r="G211" s="21"/>
      <c r="H211" s="14"/>
      <c r="I211" s="21"/>
      <c r="J211" s="14"/>
      <c r="K211" s="21"/>
      <c r="L211" s="14"/>
      <c r="M211" s="21"/>
      <c r="N211" s="14"/>
      <c r="O211" s="20"/>
      <c r="P211" s="2"/>
      <c r="Q211" s="2"/>
      <c r="R211" s="2"/>
      <c r="S211" s="21"/>
      <c r="T211" s="14"/>
      <c r="U211" s="21"/>
      <c r="V211" s="14"/>
      <c r="W211" s="21"/>
      <c r="X211" s="14"/>
      <c r="Y211" s="14"/>
    </row>
    <row r="212" spans="1:25">
      <c r="C212" s="5" t="s">
        <v>33</v>
      </c>
      <c r="D212" s="14"/>
      <c r="E212" s="21"/>
      <c r="F212" s="14"/>
      <c r="G212" s="21"/>
      <c r="H212" s="14"/>
      <c r="I212" s="21"/>
      <c r="J212" s="14"/>
      <c r="K212" s="21"/>
      <c r="L212" s="14"/>
      <c r="M212" s="21"/>
      <c r="N212" s="14"/>
      <c r="O212" s="20"/>
      <c r="P212" s="2"/>
      <c r="Q212" s="2"/>
      <c r="R212" s="2"/>
      <c r="S212" s="21"/>
      <c r="T212" s="14"/>
      <c r="U212" s="21"/>
      <c r="V212" s="14"/>
      <c r="W212" s="21"/>
      <c r="X212" s="14"/>
      <c r="Y212" s="14"/>
    </row>
    <row r="213" spans="1:25">
      <c r="A213" s="6" t="s">
        <v>104</v>
      </c>
      <c r="B213" s="6" t="str">
        <f t="shared" ref="B213" si="8">MID(C213,2,3)</f>
        <v>389</v>
      </c>
      <c r="C213" s="2" t="s">
        <v>34</v>
      </c>
      <c r="D213" s="14">
        <v>80601.7</v>
      </c>
      <c r="E213" s="21"/>
      <c r="F213" s="14">
        <v>297753.3</v>
      </c>
      <c r="G213" s="21"/>
      <c r="H213" s="14">
        <v>0</v>
      </c>
      <c r="I213" s="21"/>
      <c r="J213" s="14">
        <v>0</v>
      </c>
      <c r="K213" s="21"/>
      <c r="L213" s="14">
        <v>297753.3</v>
      </c>
      <c r="M213" s="21"/>
      <c r="N213" s="14">
        <v>378355</v>
      </c>
      <c r="O213" s="20"/>
      <c r="P213" s="10">
        <v>0</v>
      </c>
      <c r="Q213" s="2"/>
      <c r="R213" s="10">
        <v>378355</v>
      </c>
      <c r="S213" s="21"/>
      <c r="T213" s="14">
        <v>0</v>
      </c>
      <c r="U213" s="15"/>
      <c r="V213" s="14">
        <v>0</v>
      </c>
      <c r="W213" s="15"/>
      <c r="X213" s="14">
        <v>378354.99999999901</v>
      </c>
      <c r="Y213" s="14">
        <v>-9.8953023552894592E-10</v>
      </c>
    </row>
    <row r="214" spans="1:25">
      <c r="A214" s="6" t="s">
        <v>104</v>
      </c>
      <c r="B214" s="6" t="str">
        <f>MID(C214,2,3)</f>
        <v>390</v>
      </c>
      <c r="C214" s="2" t="s">
        <v>35</v>
      </c>
      <c r="D214" s="14">
        <v>1074459.4399999902</v>
      </c>
      <c r="E214" s="21"/>
      <c r="F214" s="14">
        <v>3154.62</v>
      </c>
      <c r="G214" s="21"/>
      <c r="H214" s="14">
        <v>-1358.4099999999999</v>
      </c>
      <c r="I214" s="21"/>
      <c r="J214" s="14">
        <v>0</v>
      </c>
      <c r="K214" s="21"/>
      <c r="L214" s="14">
        <v>1796.21</v>
      </c>
      <c r="M214" s="21"/>
      <c r="N214" s="14">
        <v>1076255.6499999901</v>
      </c>
      <c r="O214" s="20"/>
      <c r="P214" s="10">
        <v>-332918.628061002</v>
      </c>
      <c r="Q214" s="2"/>
      <c r="R214" s="10">
        <v>743337.02193898812</v>
      </c>
      <c r="S214" s="21"/>
      <c r="T214" s="14">
        <v>0</v>
      </c>
      <c r="U214" s="21"/>
      <c r="V214" s="14">
        <v>-332918.628061002</v>
      </c>
      <c r="W214" s="21"/>
      <c r="X214" s="14">
        <v>1076255.6500000001</v>
      </c>
      <c r="Y214" s="14">
        <v>1.0011717677116394E-8</v>
      </c>
    </row>
    <row r="215" spans="1:25">
      <c r="A215" s="6" t="s">
        <v>104</v>
      </c>
      <c r="C215" s="2" t="s">
        <v>106</v>
      </c>
      <c r="D215" s="14">
        <v>0</v>
      </c>
      <c r="E215" s="21"/>
      <c r="F215" s="14">
        <v>0</v>
      </c>
      <c r="G215" s="21"/>
      <c r="H215" s="14">
        <v>0</v>
      </c>
      <c r="I215" s="21"/>
      <c r="J215" s="14">
        <v>0</v>
      </c>
      <c r="K215" s="21"/>
      <c r="L215" s="14">
        <v>0</v>
      </c>
      <c r="M215" s="21"/>
      <c r="N215" s="14">
        <v>0</v>
      </c>
      <c r="O215" s="20"/>
      <c r="P215" s="10">
        <v>0</v>
      </c>
      <c r="Q215" s="2"/>
      <c r="R215" s="10">
        <v>0</v>
      </c>
      <c r="S215" s="21"/>
      <c r="T215" s="14">
        <v>0</v>
      </c>
      <c r="U215" s="21"/>
      <c r="V215" s="14">
        <v>0</v>
      </c>
      <c r="W215" s="21"/>
      <c r="X215" s="14">
        <v>0</v>
      </c>
      <c r="Y215" s="14">
        <v>0</v>
      </c>
    </row>
    <row r="216" spans="1:25">
      <c r="A216" s="6" t="s">
        <v>104</v>
      </c>
      <c r="B216" s="6" t="str">
        <f>MID(C216,2,3)</f>
        <v>391</v>
      </c>
      <c r="C216" s="2" t="s">
        <v>37</v>
      </c>
      <c r="D216" s="14">
        <v>7397.76</v>
      </c>
      <c r="E216" s="21"/>
      <c r="F216" s="14">
        <v>0</v>
      </c>
      <c r="G216" s="21"/>
      <c r="H216" s="14">
        <v>-7397.76</v>
      </c>
      <c r="I216" s="21"/>
      <c r="J216" s="14">
        <v>0</v>
      </c>
      <c r="K216" s="21"/>
      <c r="L216" s="14">
        <v>-7397.76</v>
      </c>
      <c r="M216" s="21"/>
      <c r="N216" s="14">
        <v>0</v>
      </c>
      <c r="O216" s="20"/>
      <c r="P216" s="10">
        <v>-832.6</v>
      </c>
      <c r="Q216" s="2"/>
      <c r="R216" s="10">
        <v>-832.6</v>
      </c>
      <c r="S216" s="21"/>
      <c r="T216" s="14">
        <v>0</v>
      </c>
      <c r="U216" s="21"/>
      <c r="V216" s="14">
        <v>-832.6</v>
      </c>
      <c r="W216" s="21"/>
      <c r="X216" s="14">
        <v>0</v>
      </c>
      <c r="Y216" s="14">
        <v>0</v>
      </c>
    </row>
    <row r="217" spans="1:25">
      <c r="A217" s="6" t="s">
        <v>104</v>
      </c>
      <c r="C217" s="2" t="s">
        <v>107</v>
      </c>
      <c r="D217" s="14">
        <v>0</v>
      </c>
      <c r="E217" s="21"/>
      <c r="F217" s="14">
        <v>0</v>
      </c>
      <c r="G217" s="21"/>
      <c r="H217" s="14">
        <v>0</v>
      </c>
      <c r="I217" s="21"/>
      <c r="J217" s="14">
        <v>0</v>
      </c>
      <c r="K217" s="21"/>
      <c r="L217" s="14">
        <v>0</v>
      </c>
      <c r="M217" s="21"/>
      <c r="N217" s="14">
        <v>0</v>
      </c>
      <c r="O217" s="20"/>
      <c r="P217" s="10">
        <v>0</v>
      </c>
      <c r="Q217" s="2"/>
      <c r="R217" s="10">
        <v>0</v>
      </c>
      <c r="S217" s="21"/>
      <c r="T217" s="14">
        <v>0</v>
      </c>
      <c r="U217" s="21"/>
      <c r="V217" s="14">
        <v>0</v>
      </c>
      <c r="W217" s="21"/>
      <c r="X217" s="14">
        <v>0</v>
      </c>
      <c r="Y217" s="14">
        <v>0</v>
      </c>
    </row>
    <row r="218" spans="1:25">
      <c r="A218" s="6" t="s">
        <v>104</v>
      </c>
      <c r="B218" s="6" t="str">
        <f t="shared" ref="B218:B223" si="9">MID(C218,2,3)</f>
        <v>392</v>
      </c>
      <c r="C218" s="2" t="s">
        <v>41</v>
      </c>
      <c r="D218" s="14">
        <v>0</v>
      </c>
      <c r="E218" s="21"/>
      <c r="F218" s="14">
        <v>0</v>
      </c>
      <c r="G218" s="21"/>
      <c r="H218" s="14">
        <v>0</v>
      </c>
      <c r="I218" s="21"/>
      <c r="J218" s="14">
        <v>0</v>
      </c>
      <c r="K218" s="21"/>
      <c r="L218" s="14">
        <v>0</v>
      </c>
      <c r="M218" s="21"/>
      <c r="N218" s="14">
        <v>0</v>
      </c>
      <c r="O218" s="20"/>
      <c r="P218" s="10">
        <v>0</v>
      </c>
      <c r="Q218" s="2"/>
      <c r="R218" s="10">
        <v>0</v>
      </c>
      <c r="S218" s="21"/>
      <c r="T218" s="14">
        <v>0</v>
      </c>
      <c r="U218" s="21"/>
      <c r="V218" s="14">
        <v>0</v>
      </c>
      <c r="W218" s="21"/>
      <c r="X218" s="14">
        <v>0</v>
      </c>
      <c r="Y218" s="14">
        <v>0</v>
      </c>
    </row>
    <row r="219" spans="1:25">
      <c r="A219" s="6" t="s">
        <v>104</v>
      </c>
      <c r="B219" s="6" t="str">
        <f t="shared" si="9"/>
        <v>393</v>
      </c>
      <c r="C219" s="2" t="s">
        <v>43</v>
      </c>
      <c r="D219" s="14">
        <v>4526.22</v>
      </c>
      <c r="E219" s="21"/>
      <c r="F219" s="14">
        <v>0</v>
      </c>
      <c r="G219" s="21"/>
      <c r="H219" s="14">
        <v>0</v>
      </c>
      <c r="I219" s="21"/>
      <c r="J219" s="14">
        <v>0</v>
      </c>
      <c r="K219" s="21"/>
      <c r="L219" s="14">
        <v>0</v>
      </c>
      <c r="M219" s="21"/>
      <c r="N219" s="14">
        <v>4526.22</v>
      </c>
      <c r="O219" s="20"/>
      <c r="P219" s="10">
        <v>-3530.509677</v>
      </c>
      <c r="Q219" s="2"/>
      <c r="R219" s="10">
        <v>995.71032300000024</v>
      </c>
      <c r="S219" s="21"/>
      <c r="T219" s="14">
        <v>0</v>
      </c>
      <c r="U219" s="21"/>
      <c r="V219" s="14">
        <v>-3530.509677</v>
      </c>
      <c r="W219" s="21"/>
      <c r="X219" s="14">
        <v>4526.22</v>
      </c>
      <c r="Y219" s="14">
        <v>0</v>
      </c>
    </row>
    <row r="220" spans="1:25">
      <c r="A220" s="6" t="s">
        <v>104</v>
      </c>
      <c r="B220" s="6" t="str">
        <f t="shared" si="9"/>
        <v>394</v>
      </c>
      <c r="C220" s="2" t="s">
        <v>44</v>
      </c>
      <c r="D220" s="14">
        <v>464251.89</v>
      </c>
      <c r="E220" s="21"/>
      <c r="F220" s="14">
        <v>35835.279999999999</v>
      </c>
      <c r="G220" s="21"/>
      <c r="H220" s="14">
        <v>-3924.21</v>
      </c>
      <c r="I220" s="21"/>
      <c r="J220" s="14">
        <v>0</v>
      </c>
      <c r="K220" s="21"/>
      <c r="L220" s="14">
        <v>31911.07</v>
      </c>
      <c r="M220" s="21"/>
      <c r="N220" s="14">
        <v>496162.96</v>
      </c>
      <c r="O220" s="20"/>
      <c r="P220" s="10">
        <v>-188066.57840700002</v>
      </c>
      <c r="Q220" s="2"/>
      <c r="R220" s="10">
        <v>308096.38159300003</v>
      </c>
      <c r="S220" s="21"/>
      <c r="T220" s="14">
        <v>0</v>
      </c>
      <c r="U220" s="21"/>
      <c r="V220" s="14">
        <v>-188066.57840700002</v>
      </c>
      <c r="W220" s="21"/>
      <c r="X220" s="14">
        <v>496162.96</v>
      </c>
      <c r="Y220" s="14">
        <v>0</v>
      </c>
    </row>
    <row r="221" spans="1:25">
      <c r="A221" s="6" t="s">
        <v>104</v>
      </c>
      <c r="B221" s="6" t="str">
        <f t="shared" si="9"/>
        <v>395</v>
      </c>
      <c r="C221" s="2" t="s">
        <v>45</v>
      </c>
      <c r="D221" s="14">
        <v>0</v>
      </c>
      <c r="E221" s="21"/>
      <c r="F221" s="14">
        <v>0</v>
      </c>
      <c r="G221" s="21"/>
      <c r="H221" s="14">
        <v>0</v>
      </c>
      <c r="I221" s="21"/>
      <c r="J221" s="14">
        <v>0</v>
      </c>
      <c r="K221" s="21"/>
      <c r="L221" s="14">
        <v>0</v>
      </c>
      <c r="M221" s="21"/>
      <c r="N221" s="14">
        <v>0</v>
      </c>
      <c r="O221" s="20"/>
      <c r="P221" s="10">
        <v>0</v>
      </c>
      <c r="Q221" s="2"/>
      <c r="R221" s="10">
        <v>0</v>
      </c>
      <c r="S221" s="21"/>
      <c r="T221" s="14">
        <v>0</v>
      </c>
      <c r="U221" s="21"/>
      <c r="V221" s="14">
        <v>0</v>
      </c>
      <c r="W221" s="21"/>
      <c r="X221" s="14">
        <v>0</v>
      </c>
      <c r="Y221" s="14">
        <v>0</v>
      </c>
    </row>
    <row r="222" spans="1:25">
      <c r="A222" s="6" t="s">
        <v>104</v>
      </c>
      <c r="B222" s="6" t="str">
        <f t="shared" si="9"/>
        <v>396</v>
      </c>
      <c r="C222" s="2" t="s">
        <v>46</v>
      </c>
      <c r="D222" s="14">
        <v>282277.26</v>
      </c>
      <c r="E222" s="21"/>
      <c r="F222" s="14">
        <v>0</v>
      </c>
      <c r="G222" s="21"/>
      <c r="H222" s="14">
        <v>0</v>
      </c>
      <c r="I222" s="21"/>
      <c r="J222" s="14">
        <v>0</v>
      </c>
      <c r="K222" s="21"/>
      <c r="L222" s="14">
        <v>0</v>
      </c>
      <c r="M222" s="21"/>
      <c r="N222" s="14">
        <v>282277.26</v>
      </c>
      <c r="O222" s="20"/>
      <c r="P222" s="10">
        <v>-97929.964209999991</v>
      </c>
      <c r="Q222" s="2"/>
      <c r="R222" s="10">
        <v>184347.29579</v>
      </c>
      <c r="S222" s="21"/>
      <c r="T222" s="14">
        <v>0</v>
      </c>
      <c r="U222" s="21"/>
      <c r="V222" s="14">
        <v>-97929.964209999991</v>
      </c>
      <c r="W222" s="21"/>
      <c r="X222" s="14">
        <v>282277.26</v>
      </c>
      <c r="Y222" s="14">
        <v>0</v>
      </c>
    </row>
    <row r="223" spans="1:25">
      <c r="A223" s="6" t="s">
        <v>104</v>
      </c>
      <c r="B223" s="6" t="str">
        <f t="shared" si="9"/>
        <v>397</v>
      </c>
      <c r="C223" s="2" t="s">
        <v>2320</v>
      </c>
      <c r="D223" s="14">
        <v>925246.96999999904</v>
      </c>
      <c r="E223" s="21"/>
      <c r="F223" s="14">
        <v>0</v>
      </c>
      <c r="G223" s="21"/>
      <c r="H223" s="14">
        <v>0</v>
      </c>
      <c r="I223" s="21"/>
      <c r="J223" s="14">
        <v>0</v>
      </c>
      <c r="K223" s="21"/>
      <c r="L223" s="14">
        <v>0</v>
      </c>
      <c r="M223" s="21"/>
      <c r="N223" s="14">
        <v>925246.96999999904</v>
      </c>
      <c r="O223" s="20"/>
      <c r="P223" s="10">
        <v>-583084.946918</v>
      </c>
      <c r="Q223" s="2"/>
      <c r="R223" s="10">
        <v>342162.02308199904</v>
      </c>
      <c r="S223" s="21"/>
      <c r="T223" s="14">
        <v>0</v>
      </c>
      <c r="U223" s="21"/>
      <c r="V223" s="14">
        <v>-583084.946918</v>
      </c>
      <c r="W223" s="21"/>
      <c r="X223" s="14">
        <v>925246.96999999904</v>
      </c>
      <c r="Y223" s="14">
        <v>0</v>
      </c>
    </row>
    <row r="224" spans="1:25">
      <c r="A224" s="6" t="s">
        <v>104</v>
      </c>
      <c r="C224" s="2" t="s">
        <v>2321</v>
      </c>
      <c r="D224" s="14">
        <v>0</v>
      </c>
      <c r="E224" s="21"/>
      <c r="F224" s="14">
        <v>0</v>
      </c>
      <c r="G224" s="21"/>
      <c r="H224" s="14">
        <v>0</v>
      </c>
      <c r="I224" s="21"/>
      <c r="J224" s="14">
        <v>0</v>
      </c>
      <c r="K224" s="21"/>
      <c r="L224" s="14">
        <v>0</v>
      </c>
      <c r="M224" s="21"/>
      <c r="N224" s="14">
        <v>0</v>
      </c>
      <c r="O224" s="20"/>
      <c r="P224" s="10">
        <v>0</v>
      </c>
      <c r="Q224" s="2"/>
      <c r="R224" s="10">
        <v>0</v>
      </c>
      <c r="S224" s="21"/>
      <c r="T224" s="14">
        <v>0</v>
      </c>
      <c r="U224" s="21"/>
      <c r="V224" s="14">
        <v>0</v>
      </c>
      <c r="W224" s="21"/>
      <c r="X224" s="14">
        <v>0</v>
      </c>
      <c r="Y224" s="14">
        <v>0</v>
      </c>
    </row>
    <row r="225" spans="1:25">
      <c r="A225" s="6" t="s">
        <v>104</v>
      </c>
      <c r="B225" s="6" t="str">
        <f>MID(C225,2,3)</f>
        <v>398</v>
      </c>
      <c r="C225" s="2" t="s">
        <v>48</v>
      </c>
      <c r="D225" s="17">
        <v>0</v>
      </c>
      <c r="E225" s="21"/>
      <c r="F225" s="17">
        <v>0</v>
      </c>
      <c r="G225" s="21"/>
      <c r="H225" s="17">
        <v>0</v>
      </c>
      <c r="I225" s="21"/>
      <c r="J225" s="17">
        <v>0</v>
      </c>
      <c r="K225" s="21"/>
      <c r="L225" s="17">
        <v>0</v>
      </c>
      <c r="M225" s="21"/>
      <c r="N225" s="17">
        <v>0</v>
      </c>
      <c r="O225" s="20"/>
      <c r="P225" s="18">
        <v>0</v>
      </c>
      <c r="Q225" s="2"/>
      <c r="R225" s="18">
        <v>0</v>
      </c>
      <c r="S225" s="21"/>
      <c r="T225" s="17">
        <v>0</v>
      </c>
      <c r="U225" s="21"/>
      <c r="V225" s="17">
        <v>0</v>
      </c>
      <c r="W225" s="21"/>
      <c r="X225" s="17">
        <v>0</v>
      </c>
      <c r="Y225" s="17">
        <v>0</v>
      </c>
    </row>
    <row r="226" spans="1:25">
      <c r="C226" s="2"/>
      <c r="D226" s="14">
        <v>2838761.239999989</v>
      </c>
      <c r="E226" s="21"/>
      <c r="F226" s="14">
        <v>336743.19999999995</v>
      </c>
      <c r="G226" s="21"/>
      <c r="H226" s="14">
        <v>-12680.380000000001</v>
      </c>
      <c r="I226" s="21"/>
      <c r="J226" s="14">
        <v>0</v>
      </c>
      <c r="K226" s="21"/>
      <c r="L226" s="14">
        <v>324062.82</v>
      </c>
      <c r="M226" s="21"/>
      <c r="N226" s="14">
        <v>3162824.0599999893</v>
      </c>
      <c r="O226" s="20"/>
      <c r="P226" s="14">
        <v>-1206363.227273002</v>
      </c>
      <c r="Q226" s="2"/>
      <c r="R226" s="14">
        <v>1956460.8327269868</v>
      </c>
      <c r="S226" s="21"/>
      <c r="T226" s="14">
        <v>0</v>
      </c>
      <c r="U226" s="21"/>
      <c r="V226" s="14">
        <v>-1206363.227273002</v>
      </c>
      <c r="W226" s="21">
        <v>0</v>
      </c>
      <c r="X226" s="14">
        <v>3162824.0599999977</v>
      </c>
      <c r="Y226" s="14">
        <v>9.0221874415874481E-9</v>
      </c>
    </row>
    <row r="227" spans="1:25">
      <c r="C227" s="2"/>
      <c r="D227" s="14"/>
      <c r="E227" s="21"/>
      <c r="F227" s="14"/>
      <c r="G227" s="21"/>
      <c r="H227" s="14"/>
      <c r="I227" s="21"/>
      <c r="J227" s="14"/>
      <c r="K227" s="21"/>
      <c r="L227" s="14"/>
      <c r="M227" s="21"/>
      <c r="N227" s="14"/>
      <c r="O227" s="20"/>
      <c r="P227" s="2"/>
      <c r="Q227" s="2"/>
      <c r="R227" s="2"/>
      <c r="S227" s="21"/>
      <c r="T227" s="14"/>
      <c r="U227" s="21"/>
      <c r="V227" s="14"/>
      <c r="W227" s="21"/>
      <c r="X227" s="14"/>
      <c r="Y227" s="14"/>
    </row>
    <row r="228" spans="1:25">
      <c r="C228" s="5" t="s">
        <v>58</v>
      </c>
      <c r="D228" s="14"/>
      <c r="E228" s="21"/>
      <c r="F228" s="14"/>
      <c r="G228" s="21"/>
      <c r="H228" s="14"/>
      <c r="I228" s="21"/>
      <c r="J228" s="14"/>
      <c r="K228" s="21"/>
      <c r="L228" s="14"/>
      <c r="M228" s="21"/>
      <c r="N228" s="14"/>
      <c r="O228" s="20"/>
      <c r="P228" s="2"/>
      <c r="Q228" s="2"/>
      <c r="R228" s="2"/>
      <c r="S228" s="21"/>
      <c r="T228" s="14"/>
      <c r="U228" s="21"/>
      <c r="V228" s="14"/>
      <c r="W228" s="21"/>
      <c r="X228" s="14"/>
      <c r="Y228" s="14"/>
    </row>
    <row r="229" spans="1:25">
      <c r="A229" s="6" t="s">
        <v>104</v>
      </c>
      <c r="B229" s="6" t="str">
        <f t="shared" ref="B229" si="10">MID(C229,2,3)</f>
        <v>301</v>
      </c>
      <c r="C229" s="2" t="s">
        <v>59</v>
      </c>
      <c r="D229" s="17">
        <v>5338.69</v>
      </c>
      <c r="E229" s="21"/>
      <c r="F229" s="17">
        <v>0</v>
      </c>
      <c r="G229" s="21"/>
      <c r="H229" s="17">
        <v>0</v>
      </c>
      <c r="I229" s="21"/>
      <c r="J229" s="17">
        <v>0</v>
      </c>
      <c r="K229" s="21"/>
      <c r="L229" s="17">
        <v>0</v>
      </c>
      <c r="M229" s="21"/>
      <c r="N229" s="17">
        <v>5338.69</v>
      </c>
      <c r="O229" s="20"/>
      <c r="P229" s="18">
        <v>0</v>
      </c>
      <c r="Q229" s="2"/>
      <c r="R229" s="18">
        <v>5338.69</v>
      </c>
      <c r="S229" s="21"/>
      <c r="T229" s="17"/>
      <c r="U229" s="21"/>
      <c r="V229" s="17">
        <v>0</v>
      </c>
      <c r="W229" s="21"/>
      <c r="X229" s="17">
        <v>5338.69</v>
      </c>
      <c r="Y229" s="17">
        <v>0</v>
      </c>
    </row>
    <row r="230" spans="1:25">
      <c r="C230" s="2"/>
      <c r="D230" s="14">
        <v>5338.69</v>
      </c>
      <c r="E230" s="21"/>
      <c r="F230" s="14">
        <v>0</v>
      </c>
      <c r="G230" s="21"/>
      <c r="H230" s="14">
        <v>0</v>
      </c>
      <c r="I230" s="21"/>
      <c r="J230" s="14">
        <v>0</v>
      </c>
      <c r="K230" s="21"/>
      <c r="L230" s="14">
        <v>0</v>
      </c>
      <c r="M230" s="21"/>
      <c r="N230" s="14">
        <v>5338.69</v>
      </c>
      <c r="O230" s="20"/>
      <c r="P230" s="14">
        <v>0</v>
      </c>
      <c r="Q230" s="2"/>
      <c r="R230" s="14">
        <v>5338.69</v>
      </c>
      <c r="S230" s="21"/>
      <c r="T230" s="14">
        <v>0</v>
      </c>
      <c r="U230" s="21"/>
      <c r="V230" s="14">
        <v>0</v>
      </c>
      <c r="W230" s="21">
        <v>0</v>
      </c>
      <c r="X230" s="14">
        <v>5338.69</v>
      </c>
      <c r="Y230" s="14">
        <v>0</v>
      </c>
    </row>
    <row r="231" spans="1:25">
      <c r="C231" s="2"/>
      <c r="D231" s="14"/>
      <c r="E231" s="21"/>
      <c r="F231" s="14"/>
      <c r="G231" s="21"/>
      <c r="H231" s="14"/>
      <c r="I231" s="21"/>
      <c r="J231" s="14"/>
      <c r="K231" s="21"/>
      <c r="L231" s="14"/>
      <c r="M231" s="21"/>
      <c r="N231" s="14"/>
      <c r="O231" s="20"/>
      <c r="P231" s="2"/>
      <c r="Q231" s="2"/>
      <c r="R231" s="2"/>
      <c r="S231" s="21"/>
      <c r="T231" s="14"/>
      <c r="U231" s="21"/>
      <c r="V231" s="14"/>
      <c r="W231" s="21"/>
      <c r="X231" s="14"/>
      <c r="Y231" s="14"/>
    </row>
    <row r="232" spans="1:25">
      <c r="C232" s="5" t="s">
        <v>86</v>
      </c>
      <c r="D232" s="14"/>
      <c r="E232" s="21"/>
      <c r="F232" s="14"/>
      <c r="G232" s="21"/>
      <c r="H232" s="14"/>
      <c r="I232" s="21"/>
      <c r="J232" s="14"/>
      <c r="K232" s="21"/>
      <c r="L232" s="14"/>
      <c r="M232" s="21"/>
      <c r="N232" s="14"/>
      <c r="O232" s="20"/>
      <c r="P232" s="2"/>
      <c r="Q232" s="2"/>
      <c r="R232" s="2"/>
      <c r="S232" s="21"/>
      <c r="T232" s="14"/>
      <c r="U232" s="21"/>
      <c r="V232" s="14"/>
      <c r="W232" s="21"/>
      <c r="X232" s="14"/>
      <c r="Y232" s="14"/>
    </row>
    <row r="233" spans="1:25">
      <c r="A233" s="6" t="s">
        <v>104</v>
      </c>
      <c r="B233" s="6" t="str">
        <f t="shared" ref="B233:B241" si="11">MID(C233,2,3)</f>
        <v>350</v>
      </c>
      <c r="C233" s="2" t="s">
        <v>87</v>
      </c>
      <c r="D233" s="14">
        <v>2164331.7200000002</v>
      </c>
      <c r="E233" s="21"/>
      <c r="F233" s="14">
        <v>0</v>
      </c>
      <c r="G233" s="21"/>
      <c r="H233" s="14">
        <v>0</v>
      </c>
      <c r="I233" s="21"/>
      <c r="J233" s="14">
        <v>0</v>
      </c>
      <c r="K233" s="21"/>
      <c r="L233" s="14">
        <v>0</v>
      </c>
      <c r="M233" s="21"/>
      <c r="N233" s="14">
        <v>2164331.7200000002</v>
      </c>
      <c r="O233" s="20"/>
      <c r="P233" s="10">
        <v>-1928859.899856</v>
      </c>
      <c r="Q233" s="2"/>
      <c r="R233" s="10">
        <v>235471.82014400023</v>
      </c>
      <c r="S233" s="21"/>
      <c r="T233" s="14">
        <v>0</v>
      </c>
      <c r="U233" s="21"/>
      <c r="V233" s="14">
        <v>-1928859.899856</v>
      </c>
      <c r="W233" s="21"/>
      <c r="X233" s="14">
        <v>2164331.7200000002</v>
      </c>
      <c r="Y233" s="14">
        <v>0</v>
      </c>
    </row>
    <row r="234" spans="1:25">
      <c r="A234" s="6" t="s">
        <v>104</v>
      </c>
      <c r="C234" s="2" t="s">
        <v>88</v>
      </c>
      <c r="D234" s="14">
        <v>0</v>
      </c>
      <c r="E234" s="21"/>
      <c r="F234" s="14">
        <v>0</v>
      </c>
      <c r="G234" s="21"/>
      <c r="H234" s="14">
        <v>0</v>
      </c>
      <c r="I234" s="21"/>
      <c r="J234" s="14">
        <v>0</v>
      </c>
      <c r="K234" s="21"/>
      <c r="L234" s="14">
        <v>0</v>
      </c>
      <c r="M234" s="21"/>
      <c r="N234" s="14">
        <v>0</v>
      </c>
      <c r="O234" s="20"/>
      <c r="P234" s="10">
        <v>0</v>
      </c>
      <c r="Q234" s="2"/>
      <c r="R234" s="10">
        <v>0</v>
      </c>
      <c r="S234" s="21"/>
      <c r="T234" s="14">
        <v>0</v>
      </c>
      <c r="U234" s="21"/>
      <c r="V234" s="14">
        <v>0</v>
      </c>
      <c r="W234" s="21"/>
      <c r="X234" s="14">
        <v>0</v>
      </c>
      <c r="Y234" s="14">
        <v>0</v>
      </c>
    </row>
    <row r="235" spans="1:25">
      <c r="A235" s="6" t="s">
        <v>104</v>
      </c>
      <c r="B235" s="6" t="str">
        <f t="shared" si="11"/>
        <v>352</v>
      </c>
      <c r="C235" s="2" t="s">
        <v>89</v>
      </c>
      <c r="D235" s="14">
        <v>1617920.16</v>
      </c>
      <c r="E235" s="21"/>
      <c r="F235" s="14">
        <v>0</v>
      </c>
      <c r="G235" s="21"/>
      <c r="H235" s="14">
        <v>0</v>
      </c>
      <c r="I235" s="21"/>
      <c r="J235" s="14">
        <v>0</v>
      </c>
      <c r="K235" s="21"/>
      <c r="L235" s="14">
        <v>0</v>
      </c>
      <c r="M235" s="21"/>
      <c r="N235" s="14">
        <v>1617920.16</v>
      </c>
      <c r="O235" s="20"/>
      <c r="P235" s="10">
        <v>-812455.19140000001</v>
      </c>
      <c r="Q235" s="2"/>
      <c r="R235" s="10">
        <v>805464.96859999991</v>
      </c>
      <c r="S235" s="21"/>
      <c r="T235" s="14">
        <v>0</v>
      </c>
      <c r="U235" s="21"/>
      <c r="V235" s="14">
        <v>-812455.19140000001</v>
      </c>
      <c r="W235" s="21"/>
      <c r="X235" s="14">
        <v>1617920.16</v>
      </c>
      <c r="Y235" s="14">
        <v>0</v>
      </c>
    </row>
    <row r="236" spans="1:25">
      <c r="A236" s="6" t="s">
        <v>104</v>
      </c>
      <c r="B236" s="6" t="str">
        <f t="shared" si="11"/>
        <v>353</v>
      </c>
      <c r="C236" s="2" t="s">
        <v>91</v>
      </c>
      <c r="D236" s="14">
        <v>21887229.539999999</v>
      </c>
      <c r="E236" s="21"/>
      <c r="F236" s="14">
        <v>229323.11</v>
      </c>
      <c r="G236" s="21"/>
      <c r="H236" s="14">
        <v>-3299.2500000000005</v>
      </c>
      <c r="I236" s="21"/>
      <c r="J236" s="14">
        <v>51847.62</v>
      </c>
      <c r="K236" s="21"/>
      <c r="L236" s="14">
        <v>277871.48</v>
      </c>
      <c r="M236" s="21"/>
      <c r="N236" s="14">
        <v>22165101.02</v>
      </c>
      <c r="O236" s="20"/>
      <c r="P236" s="10">
        <v>-7835715.1268966002</v>
      </c>
      <c r="Q236" s="2"/>
      <c r="R236" s="10">
        <v>14329385.893103398</v>
      </c>
      <c r="S236" s="21"/>
      <c r="T236" s="14">
        <v>0</v>
      </c>
      <c r="U236" s="21"/>
      <c r="V236" s="14">
        <v>-7835715.1268966002</v>
      </c>
      <c r="W236" s="21"/>
      <c r="X236" s="14">
        <v>22165101.02</v>
      </c>
      <c r="Y236" s="14">
        <v>0</v>
      </c>
    </row>
    <row r="237" spans="1:25">
      <c r="A237" s="6" t="s">
        <v>104</v>
      </c>
      <c r="B237" s="6" t="str">
        <f t="shared" si="11"/>
        <v>354</v>
      </c>
      <c r="C237" s="2" t="s">
        <v>94</v>
      </c>
      <c r="D237" s="14">
        <v>7181081.2999999998</v>
      </c>
      <c r="E237" s="21"/>
      <c r="F237" s="14">
        <v>0</v>
      </c>
      <c r="G237" s="21"/>
      <c r="H237" s="14">
        <v>0</v>
      </c>
      <c r="I237" s="21"/>
      <c r="J237" s="14">
        <v>0</v>
      </c>
      <c r="K237" s="21"/>
      <c r="L237" s="14">
        <v>0</v>
      </c>
      <c r="M237" s="21"/>
      <c r="N237" s="14">
        <v>7181081.2999999998</v>
      </c>
      <c r="O237" s="20"/>
      <c r="P237" s="10">
        <v>-4941327.7028401894</v>
      </c>
      <c r="Q237" s="2"/>
      <c r="R237" s="10">
        <v>2239753.5971598104</v>
      </c>
      <c r="S237" s="21"/>
      <c r="T237" s="14">
        <v>0</v>
      </c>
      <c r="U237" s="21"/>
      <c r="V237" s="14">
        <v>-4941327.7028401894</v>
      </c>
      <c r="W237" s="21"/>
      <c r="X237" s="14">
        <v>7181081.2999999998</v>
      </c>
      <c r="Y237" s="14">
        <v>0</v>
      </c>
    </row>
    <row r="238" spans="1:25">
      <c r="A238" s="6" t="s">
        <v>104</v>
      </c>
      <c r="B238" s="6" t="str">
        <f t="shared" si="11"/>
        <v>355</v>
      </c>
      <c r="C238" s="2" t="s">
        <v>95</v>
      </c>
      <c r="D238" s="14">
        <v>11216767.869999999</v>
      </c>
      <c r="E238" s="21"/>
      <c r="F238" s="14">
        <v>1352792.3599999989</v>
      </c>
      <c r="G238" s="21"/>
      <c r="H238" s="14">
        <v>-186956.19999999998</v>
      </c>
      <c r="I238" s="21"/>
      <c r="J238" s="14">
        <v>-51847.62</v>
      </c>
      <c r="K238" s="21"/>
      <c r="L238" s="14">
        <v>1113988.5399999989</v>
      </c>
      <c r="M238" s="21"/>
      <c r="N238" s="14">
        <v>12330756.409999998</v>
      </c>
      <c r="O238" s="20"/>
      <c r="P238" s="10">
        <v>-3965083.97040419</v>
      </c>
      <c r="Q238" s="2"/>
      <c r="R238" s="10">
        <v>8365672.4395958083</v>
      </c>
      <c r="S238" s="21"/>
      <c r="T238" s="14">
        <v>0</v>
      </c>
      <c r="U238" s="21"/>
      <c r="V238" s="14">
        <v>-3965083.97040419</v>
      </c>
      <c r="W238" s="21"/>
      <c r="X238" s="14">
        <v>12330756.4099999</v>
      </c>
      <c r="Y238" s="14">
        <v>-9.8720192909240723E-8</v>
      </c>
    </row>
    <row r="239" spans="1:25">
      <c r="A239" s="6" t="s">
        <v>104</v>
      </c>
      <c r="B239" s="6" t="str">
        <f t="shared" si="11"/>
        <v>356</v>
      </c>
      <c r="C239" s="2" t="s">
        <v>96</v>
      </c>
      <c r="D239" s="14">
        <v>16829375.25</v>
      </c>
      <c r="E239" s="21"/>
      <c r="F239" s="14">
        <v>595635.1100000001</v>
      </c>
      <c r="G239" s="21"/>
      <c r="H239" s="14">
        <v>-64631.619999999995</v>
      </c>
      <c r="I239" s="21"/>
      <c r="J239" s="14">
        <v>0</v>
      </c>
      <c r="K239" s="21"/>
      <c r="L239" s="14">
        <v>531003.49000000011</v>
      </c>
      <c r="M239" s="21"/>
      <c r="N239" s="14">
        <v>17360378.739999998</v>
      </c>
      <c r="O239" s="20"/>
      <c r="P239" s="10">
        <v>-10229825.730754001</v>
      </c>
      <c r="Q239" s="2"/>
      <c r="R239" s="10">
        <v>7130553.0092459973</v>
      </c>
      <c r="S239" s="21"/>
      <c r="T239" s="14">
        <v>0</v>
      </c>
      <c r="U239" s="21"/>
      <c r="V239" s="14">
        <v>-10229825.730754001</v>
      </c>
      <c r="W239" s="21"/>
      <c r="X239" s="14">
        <v>17360378.739999998</v>
      </c>
      <c r="Y239" s="14">
        <v>0</v>
      </c>
    </row>
    <row r="240" spans="1:25">
      <c r="A240" s="6" t="s">
        <v>104</v>
      </c>
      <c r="B240" s="6" t="str">
        <f t="shared" si="11"/>
        <v>357</v>
      </c>
      <c r="C240" s="2" t="s">
        <v>97</v>
      </c>
      <c r="D240" s="14">
        <v>0</v>
      </c>
      <c r="E240" s="21"/>
      <c r="F240" s="14">
        <v>0</v>
      </c>
      <c r="G240" s="21"/>
      <c r="H240" s="14">
        <v>0</v>
      </c>
      <c r="I240" s="21"/>
      <c r="J240" s="14">
        <v>0</v>
      </c>
      <c r="K240" s="21"/>
      <c r="L240" s="14">
        <v>0</v>
      </c>
      <c r="M240" s="21"/>
      <c r="N240" s="14">
        <v>0</v>
      </c>
      <c r="O240" s="20"/>
      <c r="P240" s="10">
        <v>0</v>
      </c>
      <c r="Q240" s="2"/>
      <c r="R240" s="10">
        <v>0</v>
      </c>
      <c r="S240" s="21"/>
      <c r="T240" s="14">
        <v>0</v>
      </c>
      <c r="U240" s="21"/>
      <c r="V240" s="14">
        <v>0</v>
      </c>
      <c r="W240" s="21"/>
      <c r="X240" s="14">
        <v>0</v>
      </c>
      <c r="Y240" s="14">
        <v>0</v>
      </c>
    </row>
    <row r="241" spans="1:25">
      <c r="A241" s="6" t="s">
        <v>104</v>
      </c>
      <c r="B241" s="6" t="str">
        <f t="shared" si="11"/>
        <v>358</v>
      </c>
      <c r="C241" s="2" t="s">
        <v>108</v>
      </c>
      <c r="D241" s="17">
        <v>0</v>
      </c>
      <c r="E241" s="21"/>
      <c r="F241" s="17">
        <v>0</v>
      </c>
      <c r="G241" s="21"/>
      <c r="H241" s="17">
        <v>0</v>
      </c>
      <c r="I241" s="21"/>
      <c r="J241" s="17">
        <v>0</v>
      </c>
      <c r="K241" s="21"/>
      <c r="L241" s="17">
        <v>0</v>
      </c>
      <c r="M241" s="21"/>
      <c r="N241" s="17">
        <v>0</v>
      </c>
      <c r="O241" s="20"/>
      <c r="P241" s="18">
        <v>0</v>
      </c>
      <c r="Q241" s="2"/>
      <c r="R241" s="18">
        <v>0</v>
      </c>
      <c r="S241" s="21"/>
      <c r="T241" s="17">
        <v>0</v>
      </c>
      <c r="U241" s="21"/>
      <c r="V241" s="17">
        <v>0</v>
      </c>
      <c r="W241" s="21"/>
      <c r="X241" s="17">
        <v>0</v>
      </c>
      <c r="Y241" s="17">
        <v>0</v>
      </c>
    </row>
    <row r="242" spans="1:25">
      <c r="C242" s="2"/>
      <c r="D242" s="14">
        <v>60896705.839999996</v>
      </c>
      <c r="E242" s="21"/>
      <c r="F242" s="14">
        <v>2177750.5799999991</v>
      </c>
      <c r="G242" s="21"/>
      <c r="H242" s="14">
        <v>-254887.06999999998</v>
      </c>
      <c r="I242" s="21"/>
      <c r="J242" s="14">
        <v>0</v>
      </c>
      <c r="K242" s="21"/>
      <c r="L242" s="14">
        <v>1922863.5099999988</v>
      </c>
      <c r="M242" s="21"/>
      <c r="N242" s="14">
        <v>62819569.349999994</v>
      </c>
      <c r="O242" s="20"/>
      <c r="P242" s="14">
        <v>-29713267.62215098</v>
      </c>
      <c r="Q242" s="2"/>
      <c r="R242" s="14">
        <v>33106301.727849014</v>
      </c>
      <c r="S242" s="21"/>
      <c r="T242" s="14">
        <v>0</v>
      </c>
      <c r="U242" s="21"/>
      <c r="V242" s="14">
        <v>-29713267.62215098</v>
      </c>
      <c r="W242" s="21">
        <v>0</v>
      </c>
      <c r="X242" s="14">
        <v>62819569.34999989</v>
      </c>
      <c r="Y242" s="14">
        <v>-9.8720192909240723E-8</v>
      </c>
    </row>
    <row r="243" spans="1:25">
      <c r="C243" s="2"/>
      <c r="D243" s="14"/>
      <c r="E243" s="20"/>
      <c r="F243" s="14"/>
      <c r="G243" s="20"/>
      <c r="H243" s="14"/>
      <c r="I243" s="20"/>
      <c r="J243" s="14"/>
      <c r="K243" s="20"/>
      <c r="L243" s="14"/>
      <c r="M243" s="20"/>
      <c r="N243" s="14"/>
      <c r="O243" s="20"/>
      <c r="P243" s="2"/>
      <c r="Q243" s="2"/>
      <c r="R243" s="2"/>
      <c r="S243" s="20"/>
      <c r="T243" s="14"/>
      <c r="U243" s="20"/>
      <c r="V243" s="14"/>
      <c r="W243" s="20"/>
      <c r="X243" s="14"/>
      <c r="Y243" s="14"/>
    </row>
    <row r="244" spans="1:25">
      <c r="C244" s="2"/>
      <c r="D244" s="4"/>
      <c r="E244" s="20"/>
      <c r="F244" s="4"/>
      <c r="G244" s="20"/>
      <c r="H244" s="4"/>
      <c r="I244" s="20"/>
      <c r="J244" s="4"/>
      <c r="K244" s="20"/>
      <c r="L244" s="4"/>
      <c r="M244" s="20"/>
      <c r="N244" s="4"/>
      <c r="O244" s="20"/>
      <c r="P244" s="2"/>
      <c r="Q244" s="2"/>
      <c r="R244" s="2"/>
      <c r="S244" s="20"/>
      <c r="T244" s="4"/>
      <c r="U244" s="20"/>
      <c r="V244" s="4"/>
      <c r="W244" s="20"/>
      <c r="X244" s="4"/>
      <c r="Y244" s="4"/>
    </row>
    <row r="245" spans="1:25" ht="13.5" thickBot="1">
      <c r="C245" s="5" t="s">
        <v>109</v>
      </c>
      <c r="D245" s="19">
        <v>153950506.97</v>
      </c>
      <c r="E245" s="21"/>
      <c r="F245" s="19">
        <v>8250842.4399999985</v>
      </c>
      <c r="G245" s="21"/>
      <c r="H245" s="19">
        <v>-1414294.6699999997</v>
      </c>
      <c r="I245" s="21"/>
      <c r="J245" s="19">
        <v>-64364.300000000047</v>
      </c>
      <c r="K245" s="21"/>
      <c r="L245" s="19">
        <v>6772183.4699999979</v>
      </c>
      <c r="M245" s="21"/>
      <c r="N245" s="19">
        <v>160722690.44</v>
      </c>
      <c r="O245" s="21"/>
      <c r="P245" s="19">
        <v>-71525234.511302441</v>
      </c>
      <c r="Q245" s="2"/>
      <c r="R245" s="19">
        <v>89197455.928697541</v>
      </c>
      <c r="S245" s="21"/>
      <c r="T245" s="19">
        <v>0.02</v>
      </c>
      <c r="U245" s="21"/>
      <c r="V245" s="19">
        <v>-71525234.491302431</v>
      </c>
      <c r="W245" s="21"/>
      <c r="X245" s="19">
        <v>160722690.43999988</v>
      </c>
      <c r="Y245" s="19">
        <v>-8.9698005467653275E-8</v>
      </c>
    </row>
    <row r="246" spans="1:25" ht="13.5" thickTop="1">
      <c r="E246" s="20"/>
      <c r="G246" s="20"/>
      <c r="I246" s="20"/>
      <c r="K246" s="20"/>
      <c r="M246" s="20"/>
      <c r="S246" s="20"/>
      <c r="U246" s="20"/>
      <c r="W246" s="20"/>
    </row>
    <row r="247" spans="1:25" s="679" customFormat="1">
      <c r="C247" s="22"/>
      <c r="D247" s="678"/>
      <c r="E247" s="20"/>
      <c r="F247" s="678"/>
      <c r="G247" s="20"/>
      <c r="H247" s="678"/>
      <c r="I247" s="20"/>
      <c r="J247" s="678"/>
      <c r="K247" s="20"/>
      <c r="L247" s="678"/>
      <c r="M247" s="20"/>
      <c r="N247" s="678"/>
      <c r="O247" s="6"/>
      <c r="P247" s="6"/>
      <c r="Q247" s="6"/>
      <c r="R247" s="6"/>
      <c r="S247" s="20"/>
      <c r="T247" s="678"/>
      <c r="U247" s="20"/>
      <c r="V247" s="678"/>
      <c r="W247" s="20"/>
      <c r="X247" s="678"/>
      <c r="Y247" s="678"/>
    </row>
    <row r="248" spans="1:25" s="679" customFormat="1">
      <c r="C248" s="680"/>
      <c r="D248" s="677"/>
      <c r="E248" s="21"/>
      <c r="F248" s="677"/>
      <c r="G248" s="21"/>
      <c r="H248" s="677"/>
      <c r="I248" s="21"/>
      <c r="J248" s="677"/>
      <c r="K248" s="21"/>
      <c r="L248" s="677"/>
      <c r="M248" s="21"/>
      <c r="N248" s="677"/>
      <c r="S248" s="21"/>
      <c r="T248" s="677"/>
      <c r="U248" s="21"/>
      <c r="V248" s="677"/>
      <c r="W248" s="21"/>
      <c r="X248" s="677"/>
      <c r="Y248" s="677"/>
    </row>
    <row r="249" spans="1:25" s="679" customFormat="1">
      <c r="C249" s="680"/>
      <c r="D249" s="677"/>
      <c r="E249" s="21"/>
      <c r="F249" s="677"/>
      <c r="G249" s="21"/>
      <c r="H249" s="677"/>
      <c r="I249" s="21"/>
      <c r="J249" s="677"/>
      <c r="K249" s="21"/>
      <c r="L249" s="677"/>
      <c r="M249" s="21"/>
      <c r="N249" s="677"/>
      <c r="S249" s="21"/>
      <c r="T249" s="677"/>
      <c r="U249" s="21"/>
      <c r="V249" s="677"/>
      <c r="W249" s="21"/>
      <c r="X249" s="677"/>
      <c r="Y249" s="677"/>
    </row>
    <row r="250" spans="1:25" s="679" customFormat="1">
      <c r="D250" s="677"/>
      <c r="E250" s="21"/>
      <c r="F250" s="677"/>
      <c r="G250" s="21"/>
      <c r="H250" s="677"/>
      <c r="I250" s="21"/>
      <c r="J250" s="677"/>
      <c r="K250" s="21"/>
      <c r="L250" s="677"/>
      <c r="M250" s="21"/>
      <c r="N250" s="677"/>
      <c r="S250" s="21"/>
      <c r="T250" s="677"/>
      <c r="U250" s="21"/>
      <c r="V250" s="677"/>
      <c r="W250" s="21"/>
      <c r="X250" s="677"/>
      <c r="Y250" s="677"/>
    </row>
    <row r="251" spans="1:25" s="679" customFormat="1">
      <c r="D251" s="677"/>
      <c r="E251" s="21"/>
      <c r="F251" s="677"/>
      <c r="G251" s="21"/>
      <c r="H251" s="677"/>
      <c r="I251" s="21"/>
      <c r="J251" s="677"/>
      <c r="K251" s="21"/>
      <c r="L251" s="677"/>
      <c r="M251" s="21"/>
      <c r="N251" s="677"/>
      <c r="S251" s="21"/>
      <c r="T251" s="677"/>
      <c r="U251" s="21"/>
      <c r="V251" s="677"/>
      <c r="W251" s="21"/>
      <c r="X251" s="677"/>
      <c r="Y251" s="677"/>
    </row>
    <row r="252" spans="1:25" s="679" customFormat="1">
      <c r="D252" s="677"/>
      <c r="E252" s="21"/>
      <c r="F252" s="677"/>
      <c r="G252" s="21"/>
      <c r="H252" s="677"/>
      <c r="I252" s="21"/>
      <c r="J252" s="677"/>
      <c r="K252" s="21"/>
      <c r="L252" s="677"/>
      <c r="M252" s="21"/>
      <c r="N252" s="677"/>
      <c r="S252" s="21"/>
      <c r="T252" s="677"/>
      <c r="U252" s="21"/>
      <c r="V252" s="677"/>
      <c r="W252" s="21"/>
      <c r="X252" s="677"/>
      <c r="Y252" s="677"/>
    </row>
    <row r="253" spans="1:25" s="679" customFormat="1">
      <c r="D253" s="677"/>
      <c r="E253" s="21"/>
      <c r="F253" s="677"/>
      <c r="G253" s="21"/>
      <c r="H253" s="677"/>
      <c r="I253" s="21"/>
      <c r="J253" s="677"/>
      <c r="K253" s="21"/>
      <c r="L253" s="677"/>
      <c r="M253" s="21"/>
      <c r="N253" s="677"/>
      <c r="S253" s="21"/>
      <c r="T253" s="677"/>
      <c r="U253" s="21"/>
      <c r="V253" s="677"/>
      <c r="W253" s="21"/>
      <c r="X253" s="677"/>
      <c r="Y253" s="677"/>
    </row>
    <row r="254" spans="1:25" s="679" customFormat="1">
      <c r="D254" s="677"/>
      <c r="E254" s="21"/>
      <c r="F254" s="677"/>
      <c r="G254" s="21"/>
      <c r="H254" s="677"/>
      <c r="I254" s="21"/>
      <c r="J254" s="677"/>
      <c r="K254" s="21"/>
      <c r="L254" s="677"/>
      <c r="M254" s="21"/>
      <c r="N254" s="677"/>
      <c r="S254" s="21"/>
      <c r="T254" s="677"/>
      <c r="U254" s="21"/>
      <c r="V254" s="677"/>
      <c r="W254" s="21"/>
      <c r="X254" s="677"/>
      <c r="Y254" s="677"/>
    </row>
    <row r="255" spans="1:25" s="679" customFormat="1">
      <c r="D255" s="677"/>
      <c r="E255" s="21"/>
      <c r="F255" s="677"/>
      <c r="G255" s="21"/>
      <c r="H255" s="677"/>
      <c r="I255" s="21"/>
      <c r="J255" s="677"/>
      <c r="K255" s="21"/>
      <c r="L255" s="677"/>
      <c r="M255" s="21"/>
      <c r="N255" s="677"/>
      <c r="S255" s="21"/>
      <c r="T255" s="677"/>
      <c r="U255" s="21"/>
      <c r="V255" s="677"/>
      <c r="W255" s="21"/>
      <c r="X255" s="677"/>
      <c r="Y255" s="677"/>
    </row>
    <row r="256" spans="1:25" s="679" customFormat="1">
      <c r="D256" s="677"/>
      <c r="E256" s="21"/>
      <c r="F256" s="677"/>
      <c r="G256" s="21"/>
      <c r="H256" s="677"/>
      <c r="I256" s="21"/>
      <c r="J256" s="677"/>
      <c r="K256" s="21"/>
      <c r="L256" s="677"/>
      <c r="M256" s="21"/>
      <c r="N256" s="677"/>
      <c r="S256" s="21"/>
      <c r="T256" s="677"/>
      <c r="U256" s="21"/>
      <c r="V256" s="677"/>
      <c r="W256" s="21"/>
      <c r="X256" s="677"/>
      <c r="Y256" s="677"/>
    </row>
    <row r="257" spans="3:25" s="679" customFormat="1">
      <c r="D257" s="677"/>
      <c r="E257" s="21"/>
      <c r="F257" s="677"/>
      <c r="G257" s="21"/>
      <c r="H257" s="677"/>
      <c r="I257" s="21"/>
      <c r="J257" s="677"/>
      <c r="K257" s="21"/>
      <c r="L257" s="677"/>
      <c r="M257" s="21"/>
      <c r="N257" s="677"/>
      <c r="S257" s="21"/>
      <c r="T257" s="677"/>
      <c r="U257" s="21"/>
      <c r="V257" s="677"/>
      <c r="W257" s="21"/>
      <c r="X257" s="677"/>
      <c r="Y257" s="677"/>
    </row>
    <row r="258" spans="3:25" s="679" customFormat="1">
      <c r="D258" s="677"/>
      <c r="E258" s="21"/>
      <c r="F258" s="677"/>
      <c r="G258" s="21"/>
      <c r="H258" s="677"/>
      <c r="I258" s="21"/>
      <c r="J258" s="677"/>
      <c r="K258" s="21"/>
      <c r="L258" s="677"/>
      <c r="M258" s="21"/>
      <c r="N258" s="677"/>
      <c r="S258" s="21"/>
      <c r="T258" s="677"/>
      <c r="U258" s="21"/>
      <c r="V258" s="677"/>
      <c r="W258" s="21"/>
      <c r="X258" s="677"/>
      <c r="Y258" s="677"/>
    </row>
    <row r="259" spans="3:25" s="679" customFormat="1">
      <c r="D259" s="677"/>
      <c r="E259" s="21"/>
      <c r="F259" s="677"/>
      <c r="G259" s="21"/>
      <c r="H259" s="677"/>
      <c r="I259" s="21"/>
      <c r="J259" s="677"/>
      <c r="K259" s="21"/>
      <c r="L259" s="677"/>
      <c r="M259" s="21"/>
      <c r="N259" s="677"/>
      <c r="S259" s="21"/>
      <c r="T259" s="677"/>
      <c r="U259" s="21"/>
      <c r="V259" s="677"/>
      <c r="W259" s="21"/>
      <c r="X259" s="677"/>
      <c r="Y259" s="677"/>
    </row>
    <row r="260" spans="3:25" s="679" customFormat="1">
      <c r="D260" s="677"/>
      <c r="E260" s="21"/>
      <c r="F260" s="677"/>
      <c r="G260" s="21"/>
      <c r="H260" s="677"/>
      <c r="I260" s="21"/>
      <c r="J260" s="677"/>
      <c r="K260" s="21"/>
      <c r="L260" s="677"/>
      <c r="M260" s="21"/>
      <c r="N260" s="677"/>
      <c r="S260" s="21"/>
      <c r="T260" s="677"/>
      <c r="U260" s="21"/>
      <c r="V260" s="677"/>
      <c r="W260" s="21"/>
      <c r="X260" s="677"/>
      <c r="Y260" s="677"/>
    </row>
    <row r="261" spans="3:25" s="679" customFormat="1">
      <c r="C261" s="680"/>
      <c r="D261" s="677"/>
      <c r="E261" s="21"/>
      <c r="F261" s="677"/>
      <c r="G261" s="21"/>
      <c r="H261" s="677"/>
      <c r="I261" s="21"/>
      <c r="J261" s="677"/>
      <c r="K261" s="21"/>
      <c r="L261" s="677"/>
      <c r="M261" s="21"/>
      <c r="N261" s="677"/>
      <c r="S261" s="21"/>
      <c r="T261" s="677"/>
      <c r="U261" s="21"/>
      <c r="V261" s="677"/>
      <c r="W261" s="21"/>
      <c r="X261" s="677"/>
      <c r="Y261" s="677"/>
    </row>
    <row r="262" spans="3:25" s="679" customFormat="1">
      <c r="D262" s="677"/>
      <c r="E262" s="21"/>
      <c r="F262" s="677"/>
      <c r="G262" s="21"/>
      <c r="H262" s="677"/>
      <c r="I262" s="21"/>
      <c r="J262" s="677"/>
      <c r="K262" s="21"/>
      <c r="L262" s="677"/>
      <c r="M262" s="21"/>
      <c r="N262" s="677"/>
      <c r="S262" s="21"/>
      <c r="T262" s="677"/>
      <c r="U262" s="21"/>
      <c r="V262" s="677"/>
      <c r="W262" s="21"/>
      <c r="X262" s="677"/>
      <c r="Y262" s="677"/>
    </row>
    <row r="263" spans="3:25" s="679" customFormat="1">
      <c r="D263" s="677"/>
      <c r="E263" s="21"/>
      <c r="F263" s="677"/>
      <c r="G263" s="21"/>
      <c r="H263" s="677"/>
      <c r="I263" s="21"/>
      <c r="J263" s="677"/>
      <c r="K263" s="21"/>
      <c r="L263" s="677"/>
      <c r="M263" s="21"/>
      <c r="N263" s="677"/>
      <c r="S263" s="21"/>
      <c r="T263" s="677"/>
      <c r="U263" s="21"/>
      <c r="V263" s="677"/>
      <c r="W263" s="21"/>
      <c r="X263" s="677"/>
      <c r="Y263" s="677"/>
    </row>
    <row r="264" spans="3:25" s="679" customFormat="1">
      <c r="D264" s="677"/>
      <c r="E264" s="21"/>
      <c r="F264" s="677"/>
      <c r="G264" s="21"/>
      <c r="H264" s="677"/>
      <c r="I264" s="21"/>
      <c r="J264" s="677"/>
      <c r="K264" s="21"/>
      <c r="L264" s="677"/>
      <c r="M264" s="21"/>
      <c r="N264" s="677"/>
      <c r="S264" s="21"/>
      <c r="T264" s="677"/>
      <c r="U264" s="21"/>
      <c r="V264" s="677"/>
      <c r="W264" s="21"/>
      <c r="X264" s="677"/>
      <c r="Y264" s="677"/>
    </row>
    <row r="265" spans="3:25" s="679" customFormat="1">
      <c r="C265" s="680"/>
      <c r="D265" s="677"/>
      <c r="E265" s="21"/>
      <c r="F265" s="677"/>
      <c r="G265" s="21"/>
      <c r="H265" s="677"/>
      <c r="I265" s="21"/>
      <c r="J265" s="677"/>
      <c r="K265" s="21"/>
      <c r="L265" s="677"/>
      <c r="M265" s="21"/>
      <c r="N265" s="677"/>
      <c r="S265" s="21"/>
      <c r="T265" s="677"/>
      <c r="U265" s="21"/>
      <c r="V265" s="677"/>
      <c r="W265" s="21"/>
      <c r="X265" s="677"/>
      <c r="Y265" s="677"/>
    </row>
    <row r="266" spans="3:25" s="679" customFormat="1">
      <c r="D266" s="677"/>
      <c r="E266" s="21"/>
      <c r="F266" s="677"/>
      <c r="G266" s="21"/>
      <c r="H266" s="677"/>
      <c r="I266" s="21"/>
      <c r="J266" s="677"/>
      <c r="K266" s="21"/>
      <c r="L266" s="677"/>
      <c r="M266" s="21"/>
      <c r="N266" s="677"/>
      <c r="S266" s="21"/>
      <c r="T266" s="677"/>
      <c r="U266" s="21"/>
      <c r="V266" s="677"/>
      <c r="W266" s="21"/>
      <c r="X266" s="677"/>
      <c r="Y266" s="677"/>
    </row>
    <row r="267" spans="3:25" s="679" customFormat="1">
      <c r="D267" s="677"/>
      <c r="E267" s="21"/>
      <c r="F267" s="677"/>
      <c r="G267" s="21"/>
      <c r="H267" s="677"/>
      <c r="I267" s="21"/>
      <c r="J267" s="677"/>
      <c r="K267" s="21"/>
      <c r="L267" s="677"/>
      <c r="M267" s="21"/>
      <c r="N267" s="677"/>
      <c r="S267" s="21"/>
      <c r="T267" s="677"/>
      <c r="U267" s="21"/>
      <c r="V267" s="677"/>
      <c r="W267" s="21"/>
      <c r="X267" s="677"/>
      <c r="Y267" s="677"/>
    </row>
    <row r="268" spans="3:25" s="679" customFormat="1">
      <c r="D268" s="677"/>
      <c r="E268" s="21"/>
      <c r="F268" s="677"/>
      <c r="G268" s="21"/>
      <c r="H268" s="677"/>
      <c r="I268" s="21"/>
      <c r="J268" s="677"/>
      <c r="K268" s="21"/>
      <c r="L268" s="677"/>
      <c r="M268" s="21"/>
      <c r="N268" s="677"/>
      <c r="S268" s="21"/>
      <c r="T268" s="677"/>
      <c r="U268" s="21"/>
      <c r="V268" s="677"/>
      <c r="W268" s="21"/>
      <c r="X268" s="677"/>
      <c r="Y268" s="677"/>
    </row>
    <row r="269" spans="3:25" s="679" customFormat="1">
      <c r="D269" s="677"/>
      <c r="E269" s="21"/>
      <c r="F269" s="677"/>
      <c r="G269" s="21"/>
      <c r="H269" s="677"/>
      <c r="I269" s="21"/>
      <c r="J269" s="677"/>
      <c r="K269" s="21"/>
      <c r="L269" s="677"/>
      <c r="M269" s="21"/>
      <c r="N269" s="677"/>
      <c r="S269" s="21"/>
      <c r="T269" s="677"/>
      <c r="U269" s="21"/>
      <c r="V269" s="677"/>
      <c r="W269" s="21"/>
      <c r="X269" s="677"/>
      <c r="Y269" s="677"/>
    </row>
    <row r="270" spans="3:25" s="679" customFormat="1">
      <c r="D270" s="677"/>
      <c r="E270" s="21"/>
      <c r="F270" s="677"/>
      <c r="G270" s="21"/>
      <c r="H270" s="677"/>
      <c r="I270" s="21"/>
      <c r="J270" s="677"/>
      <c r="K270" s="21"/>
      <c r="L270" s="677"/>
      <c r="M270" s="21"/>
      <c r="N270" s="677"/>
      <c r="S270" s="21"/>
      <c r="T270" s="677"/>
      <c r="U270" s="21"/>
      <c r="V270" s="677"/>
      <c r="W270" s="21"/>
      <c r="X270" s="677"/>
      <c r="Y270" s="677"/>
    </row>
    <row r="271" spans="3:25" s="679" customFormat="1">
      <c r="D271" s="677"/>
      <c r="E271" s="21"/>
      <c r="F271" s="677"/>
      <c r="G271" s="21"/>
      <c r="H271" s="677"/>
      <c r="I271" s="21"/>
      <c r="J271" s="677"/>
      <c r="K271" s="21"/>
      <c r="L271" s="677"/>
      <c r="M271" s="21"/>
      <c r="N271" s="677"/>
      <c r="S271" s="21"/>
      <c r="T271" s="677"/>
      <c r="U271" s="21"/>
      <c r="V271" s="677"/>
      <c r="W271" s="21"/>
      <c r="X271" s="677"/>
      <c r="Y271" s="677"/>
    </row>
    <row r="272" spans="3:25" s="679" customFormat="1">
      <c r="C272" s="680"/>
      <c r="D272" s="677"/>
      <c r="E272" s="21"/>
      <c r="F272" s="677"/>
      <c r="G272" s="21"/>
      <c r="H272" s="677"/>
      <c r="I272" s="21"/>
      <c r="J272" s="677"/>
      <c r="K272" s="21"/>
      <c r="L272" s="677"/>
      <c r="M272" s="21"/>
      <c r="N272" s="677"/>
      <c r="S272" s="21"/>
      <c r="T272" s="677"/>
      <c r="U272" s="21"/>
      <c r="V272" s="677"/>
      <c r="W272" s="21"/>
      <c r="X272" s="677"/>
      <c r="Y272" s="677"/>
    </row>
    <row r="273" spans="3:25" s="679" customFormat="1">
      <c r="C273" s="680"/>
      <c r="D273" s="677"/>
      <c r="E273" s="21"/>
      <c r="F273" s="677"/>
      <c r="G273" s="21"/>
      <c r="H273" s="677"/>
      <c r="I273" s="21"/>
      <c r="J273" s="677"/>
      <c r="K273" s="21"/>
      <c r="L273" s="677"/>
      <c r="M273" s="21"/>
      <c r="N273" s="677"/>
      <c r="S273" s="21"/>
      <c r="T273" s="677"/>
      <c r="U273" s="21"/>
      <c r="V273" s="677"/>
      <c r="W273" s="21"/>
      <c r="X273" s="677"/>
      <c r="Y273" s="677"/>
    </row>
    <row r="274" spans="3:25" s="679" customFormat="1">
      <c r="D274" s="677"/>
      <c r="E274" s="21"/>
      <c r="F274" s="677"/>
      <c r="G274" s="21"/>
      <c r="H274" s="677"/>
      <c r="I274" s="21"/>
      <c r="J274" s="677"/>
      <c r="K274" s="21"/>
      <c r="L274" s="677"/>
      <c r="M274" s="21"/>
      <c r="N274" s="677"/>
      <c r="S274" s="21"/>
      <c r="T274" s="677"/>
      <c r="U274" s="21"/>
      <c r="V274" s="677"/>
      <c r="W274" s="21"/>
      <c r="X274" s="677"/>
      <c r="Y274" s="677"/>
    </row>
    <row r="275" spans="3:25">
      <c r="C275" s="680"/>
      <c r="D275" s="677"/>
      <c r="E275" s="21"/>
      <c r="F275" s="677"/>
      <c r="G275" s="21"/>
      <c r="H275" s="677"/>
      <c r="I275" s="21"/>
      <c r="J275" s="677"/>
      <c r="K275" s="21"/>
      <c r="L275" s="677"/>
      <c r="M275" s="21"/>
      <c r="N275" s="677"/>
      <c r="O275" s="679"/>
      <c r="P275" s="679"/>
      <c r="Q275" s="679"/>
      <c r="R275" s="679"/>
      <c r="S275" s="21"/>
      <c r="T275" s="677"/>
      <c r="U275" s="21"/>
      <c r="V275" s="677"/>
      <c r="W275" s="21"/>
      <c r="X275" s="677"/>
      <c r="Y275" s="677"/>
    </row>
    <row r="278" spans="3:25">
      <c r="C278" s="46" t="s">
        <v>0</v>
      </c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5"/>
      <c r="T278" s="465"/>
      <c r="U278" s="465"/>
      <c r="V278" s="465"/>
      <c r="W278" s="465"/>
      <c r="X278" s="465"/>
      <c r="Y278" s="465"/>
    </row>
    <row r="279" spans="3:25">
      <c r="C279" s="46" t="s">
        <v>110</v>
      </c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5"/>
      <c r="T279" s="465"/>
      <c r="U279" s="465"/>
      <c r="V279" s="465"/>
      <c r="W279" s="465"/>
      <c r="X279" s="465"/>
      <c r="Y279" s="465"/>
    </row>
    <row r="280" spans="3:25">
      <c r="C280" s="47" t="str">
        <f>C3</f>
        <v>BASE PERIOD-FEBRUARY 2017</v>
      </c>
      <c r="D280" s="48"/>
      <c r="E280" s="48"/>
      <c r="F280" s="48"/>
      <c r="G280" s="48"/>
      <c r="H280" s="48"/>
      <c r="I280" s="48"/>
      <c r="J280" s="48"/>
      <c r="K280" s="48"/>
      <c r="L280" s="48"/>
      <c r="M280" s="48"/>
      <c r="N280" s="48"/>
      <c r="O280" s="48"/>
      <c r="P280" s="48"/>
      <c r="Q280" s="48"/>
      <c r="R280" s="48"/>
      <c r="S280" s="467"/>
      <c r="T280" s="467"/>
      <c r="U280" s="467"/>
      <c r="V280" s="467"/>
      <c r="W280" s="467"/>
      <c r="X280" s="467"/>
      <c r="Y280" s="467"/>
    </row>
    <row r="281" spans="3:25">
      <c r="C281" s="674"/>
      <c r="D281" s="681"/>
      <c r="E281" s="674"/>
      <c r="F281" s="681"/>
      <c r="G281" s="674"/>
      <c r="H281" s="681"/>
      <c r="I281" s="674"/>
      <c r="J281" s="681"/>
      <c r="K281" s="674"/>
      <c r="L281" s="681"/>
      <c r="M281" s="674"/>
      <c r="N281" s="681"/>
      <c r="O281" s="2"/>
      <c r="P281" s="2"/>
      <c r="Q281" s="2"/>
      <c r="R281" s="2"/>
      <c r="S281" s="674"/>
      <c r="T281" s="681"/>
      <c r="U281" s="674"/>
      <c r="V281" s="681"/>
      <c r="W281" s="674"/>
      <c r="X281" s="681"/>
      <c r="Y281" s="681"/>
    </row>
    <row r="282" spans="3:25">
      <c r="C282" s="674"/>
      <c r="D282" s="681"/>
      <c r="E282" s="674"/>
      <c r="F282" s="681"/>
      <c r="G282" s="674"/>
      <c r="H282" s="681"/>
      <c r="I282" s="674"/>
      <c r="J282" s="681"/>
      <c r="K282" s="674"/>
      <c r="L282" s="681"/>
      <c r="M282" s="674"/>
      <c r="N282" s="681"/>
      <c r="O282" s="2"/>
      <c r="P282" s="2"/>
      <c r="Q282" s="2"/>
      <c r="R282" s="2"/>
      <c r="S282" s="674"/>
      <c r="T282" s="674"/>
      <c r="U282" s="674"/>
      <c r="V282" s="674"/>
      <c r="W282" s="674"/>
      <c r="X282" s="467" t="s">
        <v>1770</v>
      </c>
      <c r="Y282" s="467"/>
    </row>
    <row r="283" spans="3:25" ht="15">
      <c r="C283" s="2"/>
      <c r="D283" s="676" t="s">
        <v>2316</v>
      </c>
      <c r="E283" s="674"/>
      <c r="F283" s="674"/>
      <c r="G283" s="674"/>
      <c r="H283" s="674"/>
      <c r="I283" s="674"/>
      <c r="J283" s="674"/>
      <c r="K283" s="674"/>
      <c r="L283" s="674"/>
      <c r="M283" s="674"/>
      <c r="N283" s="676" t="s">
        <v>2317</v>
      </c>
      <c r="O283" s="2"/>
      <c r="P283" s="2"/>
      <c r="Q283" s="2"/>
      <c r="R283" s="2"/>
      <c r="S283" s="674"/>
      <c r="T283" s="674"/>
      <c r="U283" s="674"/>
      <c r="V283" s="674"/>
      <c r="W283" s="674"/>
      <c r="X283" s="676" t="s">
        <v>2317</v>
      </c>
      <c r="Y283" s="676"/>
    </row>
    <row r="284" spans="3:25">
      <c r="C284" s="2"/>
      <c r="D284" s="3" t="s">
        <v>2</v>
      </c>
      <c r="E284" s="2"/>
      <c r="F284" s="4"/>
      <c r="G284" s="2"/>
      <c r="H284" s="4"/>
      <c r="I284" s="2"/>
      <c r="J284" s="3" t="s">
        <v>3</v>
      </c>
      <c r="K284" s="2"/>
      <c r="L284" s="4"/>
      <c r="M284" s="2"/>
      <c r="N284" s="3" t="s">
        <v>4</v>
      </c>
      <c r="O284" s="2"/>
      <c r="P284" s="2"/>
      <c r="Q284" s="2"/>
      <c r="R284" s="5" t="s">
        <v>5</v>
      </c>
      <c r="S284" s="2"/>
      <c r="T284" s="197" t="s">
        <v>1210</v>
      </c>
      <c r="U284" s="2"/>
      <c r="V284" s="197" t="s">
        <v>11</v>
      </c>
      <c r="W284" s="2"/>
      <c r="X284" s="3" t="s">
        <v>4</v>
      </c>
      <c r="Y284" s="3"/>
    </row>
    <row r="285" spans="3:25">
      <c r="C285" s="2"/>
      <c r="D285" s="7" t="s">
        <v>6</v>
      </c>
      <c r="E285" s="2"/>
      <c r="F285" s="7" t="s">
        <v>7</v>
      </c>
      <c r="G285" s="2"/>
      <c r="H285" s="7" t="s">
        <v>8</v>
      </c>
      <c r="I285" s="2"/>
      <c r="J285" s="7" t="s">
        <v>9</v>
      </c>
      <c r="K285" s="2"/>
      <c r="L285" s="7" t="s">
        <v>10</v>
      </c>
      <c r="M285" s="2"/>
      <c r="N285" s="7" t="s">
        <v>6</v>
      </c>
      <c r="O285" s="2"/>
      <c r="P285" s="7" t="s">
        <v>11</v>
      </c>
      <c r="Q285" s="2"/>
      <c r="R285" s="7" t="s">
        <v>12</v>
      </c>
      <c r="S285" s="2"/>
      <c r="T285" s="7" t="s">
        <v>1211</v>
      </c>
      <c r="U285" s="2"/>
      <c r="V285" s="7" t="s">
        <v>2318</v>
      </c>
      <c r="W285" s="2"/>
      <c r="X285" s="7" t="s">
        <v>6</v>
      </c>
      <c r="Y285" s="7" t="s">
        <v>13</v>
      </c>
    </row>
    <row r="286" spans="3:25">
      <c r="C286" s="5" t="s">
        <v>14</v>
      </c>
      <c r="D286" s="8"/>
      <c r="E286" s="2"/>
      <c r="F286" s="8"/>
      <c r="G286" s="2"/>
      <c r="H286" s="8"/>
      <c r="I286" s="2"/>
      <c r="J286" s="8"/>
      <c r="K286" s="2"/>
      <c r="L286" s="8"/>
      <c r="M286" s="2"/>
      <c r="N286" s="8"/>
      <c r="O286" s="2"/>
      <c r="P286" s="2"/>
      <c r="Q286" s="2"/>
      <c r="R286" s="2"/>
      <c r="S286" s="2"/>
      <c r="T286" s="8"/>
      <c r="U286" s="2"/>
      <c r="V286" s="8"/>
      <c r="W286" s="2"/>
      <c r="X286" s="8"/>
      <c r="Y286" s="8"/>
    </row>
    <row r="287" spans="3:25">
      <c r="C287" s="5" t="s">
        <v>15</v>
      </c>
      <c r="D287" s="4"/>
      <c r="E287" s="2"/>
      <c r="F287" s="4"/>
      <c r="G287" s="2"/>
      <c r="H287" s="4"/>
      <c r="I287" s="2"/>
      <c r="J287" s="4"/>
      <c r="K287" s="2"/>
      <c r="L287" s="4"/>
      <c r="M287" s="2"/>
      <c r="N287" s="4"/>
      <c r="O287" s="2"/>
      <c r="P287" s="2"/>
      <c r="Q287" s="2"/>
      <c r="R287" s="2"/>
      <c r="S287" s="2"/>
      <c r="T287" s="4"/>
      <c r="U287" s="2"/>
      <c r="V287" s="4"/>
      <c r="W287" s="2"/>
      <c r="X287" s="4"/>
      <c r="Y287" s="4"/>
    </row>
    <row r="288" spans="3:25">
      <c r="C288" s="5" t="s">
        <v>16</v>
      </c>
      <c r="D288" s="4"/>
      <c r="E288" s="2"/>
      <c r="F288" s="4"/>
      <c r="G288" s="2"/>
      <c r="H288" s="4"/>
      <c r="I288" s="2"/>
      <c r="J288" s="4"/>
      <c r="K288" s="2"/>
      <c r="L288" s="4"/>
      <c r="M288" s="2"/>
      <c r="N288" s="4"/>
      <c r="O288" s="2"/>
      <c r="P288" s="2"/>
      <c r="Q288" s="2"/>
      <c r="R288" s="2"/>
      <c r="S288" s="2"/>
      <c r="T288" s="4"/>
      <c r="U288" s="2"/>
      <c r="V288" s="4"/>
      <c r="W288" s="2"/>
      <c r="X288" s="4"/>
      <c r="Y288" s="4"/>
    </row>
    <row r="289" spans="1:25">
      <c r="A289" s="6" t="s">
        <v>111</v>
      </c>
      <c r="B289" s="6" t="str">
        <f t="shared" ref="B289:B300" si="12">MID(C289,2,3)</f>
        <v>360</v>
      </c>
      <c r="C289" s="2" t="s">
        <v>105</v>
      </c>
      <c r="D289" s="4">
        <v>5040.2300000000005</v>
      </c>
      <c r="E289" s="20"/>
      <c r="F289" s="4">
        <v>0</v>
      </c>
      <c r="G289" s="20"/>
      <c r="H289" s="4">
        <v>0</v>
      </c>
      <c r="I289" s="20"/>
      <c r="J289" s="4">
        <v>0</v>
      </c>
      <c r="K289" s="20"/>
      <c r="L289" s="4">
        <v>0</v>
      </c>
      <c r="M289" s="20"/>
      <c r="N289" s="4">
        <v>5040.2300000000005</v>
      </c>
      <c r="O289" s="2"/>
      <c r="P289" s="10">
        <v>-2455.6694889980004</v>
      </c>
      <c r="Q289" s="2"/>
      <c r="R289" s="10">
        <v>2584.5605110020001</v>
      </c>
      <c r="S289" s="20"/>
      <c r="T289" s="477"/>
      <c r="U289" s="21"/>
      <c r="V289" s="14">
        <v>-2455.6694889980004</v>
      </c>
      <c r="W289" s="21"/>
      <c r="X289" s="14">
        <v>5040.2300000000005</v>
      </c>
      <c r="Y289" s="14">
        <v>0</v>
      </c>
    </row>
    <row r="290" spans="1:25">
      <c r="A290" s="6" t="s">
        <v>111</v>
      </c>
      <c r="C290" s="2" t="s">
        <v>19</v>
      </c>
      <c r="D290" s="4">
        <v>0</v>
      </c>
      <c r="E290" s="20"/>
      <c r="F290" s="4">
        <v>0</v>
      </c>
      <c r="G290" s="20"/>
      <c r="H290" s="4">
        <v>0</v>
      </c>
      <c r="I290" s="20"/>
      <c r="J290" s="4">
        <v>0</v>
      </c>
      <c r="K290" s="20"/>
      <c r="L290" s="4">
        <v>0</v>
      </c>
      <c r="M290" s="20"/>
      <c r="N290" s="4">
        <v>0</v>
      </c>
      <c r="O290" s="2"/>
      <c r="P290" s="10">
        <v>0</v>
      </c>
      <c r="Q290" s="2"/>
      <c r="R290" s="10">
        <v>0</v>
      </c>
      <c r="S290" s="20"/>
      <c r="T290" s="4"/>
      <c r="U290" s="20"/>
      <c r="V290" s="4">
        <v>0</v>
      </c>
      <c r="W290" s="20"/>
      <c r="X290" s="4">
        <v>0</v>
      </c>
      <c r="Y290" s="4">
        <v>0</v>
      </c>
    </row>
    <row r="291" spans="1:25">
      <c r="A291" s="6" t="s">
        <v>111</v>
      </c>
      <c r="B291" s="6" t="str">
        <f t="shared" si="12"/>
        <v>361</v>
      </c>
      <c r="C291" s="2" t="s">
        <v>20</v>
      </c>
      <c r="D291" s="4">
        <v>2575.89</v>
      </c>
      <c r="E291" s="20"/>
      <c r="F291" s="4">
        <v>0</v>
      </c>
      <c r="G291" s="20"/>
      <c r="H291" s="4">
        <v>0</v>
      </c>
      <c r="I291" s="20"/>
      <c r="J291" s="4">
        <v>0</v>
      </c>
      <c r="K291" s="20"/>
      <c r="L291" s="4">
        <v>0</v>
      </c>
      <c r="M291" s="20"/>
      <c r="N291" s="4">
        <v>2575.89</v>
      </c>
      <c r="O291" s="2"/>
      <c r="P291" s="10">
        <v>-2623.8989000000001</v>
      </c>
      <c r="Q291" s="2"/>
      <c r="R291" s="10">
        <v>-48.008900000000267</v>
      </c>
      <c r="S291" s="20"/>
      <c r="T291" s="4"/>
      <c r="U291" s="20"/>
      <c r="V291" s="4">
        <v>-2623.8989000000001</v>
      </c>
      <c r="W291" s="20"/>
      <c r="X291" s="4">
        <v>2575.89</v>
      </c>
      <c r="Y291" s="4">
        <v>0</v>
      </c>
    </row>
    <row r="292" spans="1:25">
      <c r="A292" s="6" t="s">
        <v>111</v>
      </c>
      <c r="B292" s="6" t="str">
        <f t="shared" si="12"/>
        <v>362</v>
      </c>
      <c r="C292" s="2" t="s">
        <v>21</v>
      </c>
      <c r="D292" s="4">
        <v>66887.25</v>
      </c>
      <c r="E292" s="20"/>
      <c r="F292" s="4">
        <v>0</v>
      </c>
      <c r="G292" s="20"/>
      <c r="H292" s="4">
        <v>0</v>
      </c>
      <c r="I292" s="20"/>
      <c r="J292" s="4">
        <v>0</v>
      </c>
      <c r="K292" s="20"/>
      <c r="L292" s="4">
        <v>0</v>
      </c>
      <c r="M292" s="20"/>
      <c r="N292" s="4">
        <v>66887.25</v>
      </c>
      <c r="O292" s="2"/>
      <c r="P292" s="10">
        <v>-33223.9802874999</v>
      </c>
      <c r="Q292" s="2"/>
      <c r="R292" s="10">
        <v>33663.2697125001</v>
      </c>
      <c r="S292" s="20"/>
      <c r="T292" s="4"/>
      <c r="U292" s="20"/>
      <c r="V292" s="4">
        <v>-33223.9802874999</v>
      </c>
      <c r="W292" s="20"/>
      <c r="X292" s="4">
        <v>66887.25</v>
      </c>
      <c r="Y292" s="4">
        <v>0</v>
      </c>
    </row>
    <row r="293" spans="1:25">
      <c r="A293" s="6" t="s">
        <v>111</v>
      </c>
      <c r="B293" s="6" t="str">
        <f t="shared" si="12"/>
        <v>364</v>
      </c>
      <c r="C293" s="2" t="s">
        <v>22</v>
      </c>
      <c r="D293" s="4">
        <v>47785.56</v>
      </c>
      <c r="E293" s="20"/>
      <c r="F293" s="4">
        <v>0</v>
      </c>
      <c r="G293" s="20"/>
      <c r="H293" s="4">
        <v>0</v>
      </c>
      <c r="I293" s="20"/>
      <c r="J293" s="4">
        <v>0</v>
      </c>
      <c r="K293" s="20"/>
      <c r="L293" s="4">
        <v>0</v>
      </c>
      <c r="M293" s="20"/>
      <c r="N293" s="4">
        <v>47785.56</v>
      </c>
      <c r="O293" s="2"/>
      <c r="P293" s="10">
        <v>-46634.471773999896</v>
      </c>
      <c r="Q293" s="2"/>
      <c r="R293" s="10">
        <v>1151.0882260001017</v>
      </c>
      <c r="S293" s="20"/>
      <c r="T293" s="4"/>
      <c r="U293" s="20"/>
      <c r="V293" s="4">
        <v>-46634.471773999896</v>
      </c>
      <c r="W293" s="20"/>
      <c r="X293" s="4">
        <v>47785.56</v>
      </c>
      <c r="Y293" s="4">
        <v>0</v>
      </c>
    </row>
    <row r="294" spans="1:25">
      <c r="A294" s="6" t="s">
        <v>111</v>
      </c>
      <c r="B294" s="6" t="str">
        <f t="shared" si="12"/>
        <v>365</v>
      </c>
      <c r="C294" s="2" t="s">
        <v>23</v>
      </c>
      <c r="D294" s="4">
        <v>46763.219999999994</v>
      </c>
      <c r="E294" s="20"/>
      <c r="F294" s="4">
        <v>0</v>
      </c>
      <c r="G294" s="20"/>
      <c r="H294" s="4">
        <v>0</v>
      </c>
      <c r="I294" s="20"/>
      <c r="J294" s="4">
        <v>0</v>
      </c>
      <c r="K294" s="20"/>
      <c r="L294" s="4">
        <v>0</v>
      </c>
      <c r="M294" s="20"/>
      <c r="N294" s="4">
        <v>46763.219999999994</v>
      </c>
      <c r="O294" s="2"/>
      <c r="P294" s="10">
        <v>-51582.246002999906</v>
      </c>
      <c r="Q294" s="2"/>
      <c r="R294" s="10">
        <v>-4819.0260029999117</v>
      </c>
      <c r="S294" s="20"/>
      <c r="T294" s="4"/>
      <c r="U294" s="20"/>
      <c r="V294" s="4">
        <v>-51582.246002999906</v>
      </c>
      <c r="W294" s="20"/>
      <c r="X294" s="4">
        <v>46763.219999999994</v>
      </c>
      <c r="Y294" s="4">
        <v>0</v>
      </c>
    </row>
    <row r="295" spans="1:25">
      <c r="A295" s="6" t="s">
        <v>111</v>
      </c>
      <c r="B295" s="6" t="str">
        <f t="shared" si="12"/>
        <v>366</v>
      </c>
      <c r="C295" s="2" t="s">
        <v>24</v>
      </c>
      <c r="D295" s="4">
        <v>0</v>
      </c>
      <c r="E295" s="20"/>
      <c r="F295" s="4">
        <v>0</v>
      </c>
      <c r="G295" s="20"/>
      <c r="H295" s="4">
        <v>0</v>
      </c>
      <c r="I295" s="20"/>
      <c r="J295" s="4">
        <v>0</v>
      </c>
      <c r="K295" s="20"/>
      <c r="L295" s="4">
        <v>0</v>
      </c>
      <c r="M295" s="20"/>
      <c r="N295" s="4">
        <v>0</v>
      </c>
      <c r="O295" s="2"/>
      <c r="P295" s="10">
        <v>0</v>
      </c>
      <c r="Q295" s="2"/>
      <c r="R295" s="10">
        <v>0</v>
      </c>
      <c r="S295" s="20"/>
      <c r="T295" s="4"/>
      <c r="U295" s="20"/>
      <c r="V295" s="4">
        <v>0</v>
      </c>
      <c r="W295" s="20"/>
      <c r="X295" s="4">
        <v>0</v>
      </c>
      <c r="Y295" s="4">
        <v>0</v>
      </c>
    </row>
    <row r="296" spans="1:25">
      <c r="A296" s="6" t="s">
        <v>111</v>
      </c>
      <c r="B296" s="6" t="str">
        <f t="shared" si="12"/>
        <v>367</v>
      </c>
      <c r="C296" s="2" t="s">
        <v>112</v>
      </c>
      <c r="D296" s="4">
        <v>0</v>
      </c>
      <c r="E296" s="20"/>
      <c r="F296" s="4">
        <v>0</v>
      </c>
      <c r="G296" s="20"/>
      <c r="H296" s="4">
        <v>0</v>
      </c>
      <c r="I296" s="20"/>
      <c r="J296" s="4">
        <v>0</v>
      </c>
      <c r="K296" s="20"/>
      <c r="L296" s="4">
        <v>0</v>
      </c>
      <c r="M296" s="20"/>
      <c r="N296" s="4">
        <v>0</v>
      </c>
      <c r="O296" s="2"/>
      <c r="P296" s="10">
        <v>0</v>
      </c>
      <c r="Q296" s="2"/>
      <c r="R296" s="10">
        <v>0</v>
      </c>
      <c r="S296" s="20"/>
      <c r="T296" s="4"/>
      <c r="U296" s="20"/>
      <c r="V296" s="4">
        <v>0</v>
      </c>
      <c r="W296" s="20"/>
      <c r="X296" s="4">
        <v>0</v>
      </c>
      <c r="Y296" s="4">
        <v>0</v>
      </c>
    </row>
    <row r="297" spans="1:25">
      <c r="A297" s="6" t="s">
        <v>111</v>
      </c>
      <c r="B297" s="6" t="str">
        <f t="shared" si="12"/>
        <v>368</v>
      </c>
      <c r="C297" s="2" t="s">
        <v>26</v>
      </c>
      <c r="D297" s="4">
        <v>3118.2799999999997</v>
      </c>
      <c r="E297" s="20"/>
      <c r="F297" s="4">
        <v>0</v>
      </c>
      <c r="G297" s="20"/>
      <c r="H297" s="4">
        <v>0</v>
      </c>
      <c r="I297" s="20"/>
      <c r="J297" s="4">
        <v>0</v>
      </c>
      <c r="K297" s="20"/>
      <c r="L297" s="4">
        <v>0</v>
      </c>
      <c r="M297" s="20"/>
      <c r="N297" s="4">
        <v>3118.2799999999997</v>
      </c>
      <c r="O297" s="2"/>
      <c r="P297" s="10">
        <v>-5145.8089299980002</v>
      </c>
      <c r="Q297" s="2"/>
      <c r="R297" s="10">
        <v>-2027.5289299980004</v>
      </c>
      <c r="S297" s="20"/>
      <c r="T297" s="4"/>
      <c r="U297" s="20"/>
      <c r="V297" s="4">
        <v>-5145.8089299980002</v>
      </c>
      <c r="W297" s="20"/>
      <c r="X297" s="4">
        <v>3118.2799999999997</v>
      </c>
      <c r="Y297" s="4">
        <v>0</v>
      </c>
    </row>
    <row r="298" spans="1:25">
      <c r="A298" s="6" t="s">
        <v>111</v>
      </c>
      <c r="B298" s="6" t="str">
        <f t="shared" si="12"/>
        <v>369</v>
      </c>
      <c r="C298" s="2" t="s">
        <v>27</v>
      </c>
      <c r="D298" s="4">
        <v>254.62</v>
      </c>
      <c r="E298" s="20"/>
      <c r="F298" s="4">
        <v>0</v>
      </c>
      <c r="G298" s="20"/>
      <c r="H298" s="4">
        <v>0</v>
      </c>
      <c r="I298" s="20"/>
      <c r="J298" s="4">
        <v>0</v>
      </c>
      <c r="K298" s="20"/>
      <c r="L298" s="4">
        <v>0</v>
      </c>
      <c r="M298" s="20"/>
      <c r="N298" s="4">
        <v>254.62</v>
      </c>
      <c r="O298" s="2"/>
      <c r="P298" s="10">
        <v>-1145.3343930019898</v>
      </c>
      <c r="Q298" s="2"/>
      <c r="R298" s="10">
        <v>-890.71439300198983</v>
      </c>
      <c r="S298" s="20"/>
      <c r="T298" s="4"/>
      <c r="U298" s="20"/>
      <c r="V298" s="4">
        <v>-1145.3343930019898</v>
      </c>
      <c r="W298" s="20"/>
      <c r="X298" s="4">
        <v>254.62</v>
      </c>
      <c r="Y298" s="4">
        <v>0</v>
      </c>
    </row>
    <row r="299" spans="1:25">
      <c r="A299" s="6" t="s">
        <v>111</v>
      </c>
      <c r="B299" s="6" t="str">
        <f t="shared" si="12"/>
        <v>370</v>
      </c>
      <c r="C299" s="2" t="s">
        <v>28</v>
      </c>
      <c r="D299" s="4">
        <v>4199.21</v>
      </c>
      <c r="E299" s="20"/>
      <c r="F299" s="4">
        <v>0</v>
      </c>
      <c r="G299" s="20"/>
      <c r="H299" s="4">
        <v>0</v>
      </c>
      <c r="I299" s="20"/>
      <c r="J299" s="4">
        <v>0</v>
      </c>
      <c r="K299" s="20"/>
      <c r="L299" s="4">
        <v>0</v>
      </c>
      <c r="M299" s="20"/>
      <c r="N299" s="4">
        <v>4199.21</v>
      </c>
      <c r="O299" s="2"/>
      <c r="P299" s="10">
        <v>-309.330954502</v>
      </c>
      <c r="Q299" s="2"/>
      <c r="R299" s="10">
        <v>3889.8790454979999</v>
      </c>
      <c r="S299" s="20"/>
      <c r="T299" s="4"/>
      <c r="U299" s="20"/>
      <c r="V299" s="4">
        <v>-309.330954502</v>
      </c>
      <c r="W299" s="20"/>
      <c r="X299" s="4">
        <v>4199.21</v>
      </c>
      <c r="Y299" s="4">
        <v>0</v>
      </c>
    </row>
    <row r="300" spans="1:25">
      <c r="A300" s="6" t="s">
        <v>111</v>
      </c>
      <c r="B300" s="6" t="str">
        <f t="shared" si="12"/>
        <v>371</v>
      </c>
      <c r="C300" s="2" t="s">
        <v>29</v>
      </c>
      <c r="D300" s="17">
        <v>0</v>
      </c>
      <c r="E300" s="21"/>
      <c r="F300" s="17">
        <v>0</v>
      </c>
      <c r="G300" s="21"/>
      <c r="H300" s="17">
        <v>0</v>
      </c>
      <c r="I300" s="21"/>
      <c r="J300" s="17">
        <v>0</v>
      </c>
      <c r="K300" s="21"/>
      <c r="L300" s="17">
        <v>0</v>
      </c>
      <c r="M300" s="21"/>
      <c r="N300" s="17">
        <v>0</v>
      </c>
      <c r="O300" s="11"/>
      <c r="P300" s="18">
        <v>0</v>
      </c>
      <c r="Q300" s="2"/>
      <c r="R300" s="18">
        <v>0</v>
      </c>
      <c r="S300" s="21"/>
      <c r="T300" s="17"/>
      <c r="U300" s="21"/>
      <c r="V300" s="17">
        <v>0</v>
      </c>
      <c r="W300" s="21"/>
      <c r="X300" s="17">
        <v>0</v>
      </c>
      <c r="Y300" s="17">
        <v>0</v>
      </c>
    </row>
    <row r="301" spans="1:25">
      <c r="C301" s="2"/>
      <c r="D301" s="14">
        <v>176624.25999999998</v>
      </c>
      <c r="E301" s="21"/>
      <c r="F301" s="14">
        <v>0</v>
      </c>
      <c r="G301" s="21"/>
      <c r="H301" s="14">
        <v>0</v>
      </c>
      <c r="I301" s="21"/>
      <c r="J301" s="14">
        <v>0</v>
      </c>
      <c r="K301" s="21"/>
      <c r="L301" s="14">
        <v>0</v>
      </c>
      <c r="M301" s="21"/>
      <c r="N301" s="14">
        <v>176624.25999999998</v>
      </c>
      <c r="O301" s="11"/>
      <c r="P301" s="14">
        <v>-143120.74073099965</v>
      </c>
      <c r="Q301" s="2"/>
      <c r="R301" s="14">
        <v>33503.519269000295</v>
      </c>
      <c r="S301" s="21"/>
      <c r="T301" s="14"/>
      <c r="U301" s="21"/>
      <c r="V301" s="14">
        <v>-143120.74073099965</v>
      </c>
      <c r="W301" s="21">
        <v>0</v>
      </c>
      <c r="X301" s="14">
        <v>176624.25999999998</v>
      </c>
      <c r="Y301" s="14">
        <v>0</v>
      </c>
    </row>
    <row r="302" spans="1:25">
      <c r="C302" s="2"/>
      <c r="D302" s="14"/>
      <c r="E302" s="21"/>
      <c r="F302" s="14"/>
      <c r="G302" s="21"/>
      <c r="H302" s="14"/>
      <c r="I302" s="21"/>
      <c r="J302" s="14"/>
      <c r="K302" s="21"/>
      <c r="L302" s="14"/>
      <c r="M302" s="21"/>
      <c r="N302" s="14"/>
      <c r="O302" s="11"/>
      <c r="P302" s="2"/>
      <c r="Q302" s="2"/>
      <c r="R302" s="2"/>
      <c r="S302" s="21"/>
      <c r="T302" s="14"/>
      <c r="U302" s="21"/>
      <c r="V302" s="14"/>
      <c r="W302" s="21"/>
      <c r="X302" s="14"/>
      <c r="Y302" s="14"/>
    </row>
    <row r="303" spans="1:25">
      <c r="C303" s="5" t="s">
        <v>86</v>
      </c>
      <c r="D303" s="14"/>
      <c r="E303" s="21"/>
      <c r="F303" s="14"/>
      <c r="G303" s="21"/>
      <c r="H303" s="14"/>
      <c r="I303" s="21"/>
      <c r="J303" s="14"/>
      <c r="K303" s="21"/>
      <c r="L303" s="14"/>
      <c r="M303" s="21"/>
      <c r="N303" s="14"/>
      <c r="O303" s="11"/>
      <c r="P303" s="2"/>
      <c r="Q303" s="2"/>
      <c r="R303" s="2"/>
      <c r="S303" s="21"/>
      <c r="T303" s="14"/>
      <c r="U303" s="21"/>
      <c r="V303" s="14"/>
      <c r="W303" s="21"/>
      <c r="X303" s="14"/>
      <c r="Y303" s="14"/>
    </row>
    <row r="304" spans="1:25">
      <c r="A304" s="6" t="s">
        <v>111</v>
      </c>
      <c r="B304" s="6" t="str">
        <f t="shared" ref="B304:B306" si="13">MID(C304,2,3)</f>
        <v>350</v>
      </c>
      <c r="C304" s="2" t="s">
        <v>87</v>
      </c>
      <c r="D304" s="14">
        <v>439.53</v>
      </c>
      <c r="E304" s="21"/>
      <c r="F304" s="14">
        <v>0</v>
      </c>
      <c r="G304" s="21"/>
      <c r="H304" s="14">
        <v>0</v>
      </c>
      <c r="I304" s="21"/>
      <c r="J304" s="14">
        <v>0</v>
      </c>
      <c r="K304" s="21"/>
      <c r="L304" s="14">
        <v>0</v>
      </c>
      <c r="M304" s="21"/>
      <c r="N304" s="14">
        <v>439.53</v>
      </c>
      <c r="O304" s="11"/>
      <c r="P304" s="10">
        <v>-365.96974399999999</v>
      </c>
      <c r="Q304" s="2"/>
      <c r="R304" s="10">
        <v>73.560255999999981</v>
      </c>
      <c r="S304" s="21"/>
      <c r="T304" s="14"/>
      <c r="U304" s="21"/>
      <c r="V304" s="14">
        <v>-365.96974399999999</v>
      </c>
      <c r="W304" s="21"/>
      <c r="X304" s="14">
        <v>439.53</v>
      </c>
      <c r="Y304" s="14">
        <v>0</v>
      </c>
    </row>
    <row r="305" spans="1:25">
      <c r="A305" s="6" t="s">
        <v>111</v>
      </c>
      <c r="B305" s="6" t="str">
        <f t="shared" si="13"/>
        <v>355</v>
      </c>
      <c r="C305" s="2" t="s">
        <v>95</v>
      </c>
      <c r="D305" s="14">
        <v>125979</v>
      </c>
      <c r="E305" s="21"/>
      <c r="F305" s="14">
        <v>0</v>
      </c>
      <c r="G305" s="21"/>
      <c r="H305" s="14">
        <v>0</v>
      </c>
      <c r="I305" s="21"/>
      <c r="J305" s="14">
        <v>0</v>
      </c>
      <c r="K305" s="21"/>
      <c r="L305" s="14">
        <v>0</v>
      </c>
      <c r="M305" s="21"/>
      <c r="N305" s="14">
        <v>125979</v>
      </c>
      <c r="O305" s="11"/>
      <c r="P305" s="10">
        <v>-86686.904299999995</v>
      </c>
      <c r="Q305" s="2"/>
      <c r="R305" s="10">
        <v>39292.095700000005</v>
      </c>
      <c r="S305" s="21"/>
      <c r="T305" s="14"/>
      <c r="U305" s="21"/>
      <c r="V305" s="14">
        <v>-86686.904299999995</v>
      </c>
      <c r="W305" s="21"/>
      <c r="X305" s="14">
        <v>125979</v>
      </c>
      <c r="Y305" s="14">
        <v>0</v>
      </c>
    </row>
    <row r="306" spans="1:25">
      <c r="A306" s="6" t="s">
        <v>111</v>
      </c>
      <c r="B306" s="6" t="str">
        <f t="shared" si="13"/>
        <v>356</v>
      </c>
      <c r="C306" s="2" t="s">
        <v>96</v>
      </c>
      <c r="D306" s="17">
        <v>78061.73</v>
      </c>
      <c r="E306" s="21"/>
      <c r="F306" s="17">
        <v>0</v>
      </c>
      <c r="G306" s="21"/>
      <c r="H306" s="17">
        <v>0</v>
      </c>
      <c r="I306" s="21"/>
      <c r="J306" s="17">
        <v>0</v>
      </c>
      <c r="K306" s="21"/>
      <c r="L306" s="17">
        <v>0</v>
      </c>
      <c r="M306" s="21"/>
      <c r="N306" s="17">
        <v>78061.73</v>
      </c>
      <c r="O306" s="11"/>
      <c r="P306" s="18">
        <v>-52322.068781021997</v>
      </c>
      <c r="Q306" s="2"/>
      <c r="R306" s="18">
        <v>25739.661218977999</v>
      </c>
      <c r="S306" s="21"/>
      <c r="T306" s="17"/>
      <c r="U306" s="21"/>
      <c r="V306" s="17">
        <v>-52322.068781021997</v>
      </c>
      <c r="W306" s="21"/>
      <c r="X306" s="17">
        <v>78061.73</v>
      </c>
      <c r="Y306" s="17">
        <v>0</v>
      </c>
    </row>
    <row r="307" spans="1:25">
      <c r="C307" s="2"/>
      <c r="D307" s="14">
        <v>204480.26</v>
      </c>
      <c r="E307" s="21"/>
      <c r="F307" s="14">
        <v>0</v>
      </c>
      <c r="G307" s="21"/>
      <c r="H307" s="14">
        <v>0</v>
      </c>
      <c r="I307" s="21"/>
      <c r="J307" s="14">
        <v>0</v>
      </c>
      <c r="K307" s="21"/>
      <c r="L307" s="14">
        <v>0</v>
      </c>
      <c r="M307" s="21"/>
      <c r="N307" s="14">
        <v>204480.26</v>
      </c>
      <c r="O307" s="11"/>
      <c r="P307" s="14">
        <v>-139374.94282502198</v>
      </c>
      <c r="Q307" s="2"/>
      <c r="R307" s="14">
        <v>65105.317174978001</v>
      </c>
      <c r="S307" s="21"/>
      <c r="T307" s="14"/>
      <c r="U307" s="21"/>
      <c r="V307" s="14">
        <v>-139374.94282502198</v>
      </c>
      <c r="W307" s="21">
        <v>0</v>
      </c>
      <c r="X307" s="14">
        <v>204480.26</v>
      </c>
      <c r="Y307" s="14">
        <v>0</v>
      </c>
    </row>
    <row r="308" spans="1:25">
      <c r="C308" s="2"/>
      <c r="D308" s="14"/>
      <c r="E308" s="21"/>
      <c r="F308" s="14"/>
      <c r="G308" s="21"/>
      <c r="H308" s="14"/>
      <c r="I308" s="21"/>
      <c r="J308" s="14"/>
      <c r="K308" s="21"/>
      <c r="L308" s="14"/>
      <c r="M308" s="21"/>
      <c r="N308" s="14"/>
      <c r="O308" s="11"/>
      <c r="P308" s="2"/>
      <c r="Q308" s="2"/>
      <c r="R308" s="2"/>
      <c r="S308" s="21"/>
      <c r="T308" s="14"/>
      <c r="U308" s="21"/>
      <c r="V308" s="14"/>
      <c r="W308" s="21"/>
      <c r="X308" s="14"/>
      <c r="Y308" s="14"/>
    </row>
    <row r="309" spans="1:25">
      <c r="C309" s="2"/>
      <c r="D309" s="4"/>
      <c r="E309" s="20"/>
      <c r="F309" s="4"/>
      <c r="G309" s="20"/>
      <c r="H309" s="4"/>
      <c r="I309" s="20"/>
      <c r="J309" s="4"/>
      <c r="K309" s="20"/>
      <c r="L309" s="4"/>
      <c r="M309" s="20"/>
      <c r="N309" s="4"/>
      <c r="O309" s="2"/>
      <c r="P309" s="2"/>
      <c r="Q309" s="2"/>
      <c r="R309" s="2"/>
      <c r="S309" s="20"/>
      <c r="T309" s="4"/>
      <c r="U309" s="20"/>
      <c r="V309" s="4"/>
      <c r="W309" s="20"/>
      <c r="X309" s="4"/>
      <c r="Y309" s="4"/>
    </row>
    <row r="310" spans="1:25" ht="13.5" thickBot="1">
      <c r="C310" s="5" t="s">
        <v>113</v>
      </c>
      <c r="D310" s="19">
        <v>381104.52</v>
      </c>
      <c r="E310" s="20"/>
      <c r="F310" s="19">
        <v>0</v>
      </c>
      <c r="G310" s="20"/>
      <c r="H310" s="19">
        <v>0</v>
      </c>
      <c r="I310" s="20"/>
      <c r="J310" s="19">
        <v>0</v>
      </c>
      <c r="K310" s="20"/>
      <c r="L310" s="19">
        <v>0</v>
      </c>
      <c r="M310" s="20"/>
      <c r="N310" s="19">
        <v>381104.52</v>
      </c>
      <c r="O310" s="2"/>
      <c r="P310" s="19">
        <v>-282495.68355602166</v>
      </c>
      <c r="Q310" s="2"/>
      <c r="R310" s="19">
        <v>98608.836443978304</v>
      </c>
      <c r="S310" s="20"/>
      <c r="T310" s="19">
        <v>0</v>
      </c>
      <c r="U310" s="20"/>
      <c r="V310" s="19">
        <v>-282495.68355602166</v>
      </c>
      <c r="W310" s="20"/>
      <c r="X310" s="19">
        <v>381104.52</v>
      </c>
      <c r="Y310" s="19">
        <v>0</v>
      </c>
    </row>
    <row r="311" spans="1:25" ht="13.5" thickTop="1"/>
    <row r="312" spans="1:25">
      <c r="C312" s="22"/>
    </row>
    <row r="313" spans="1:25">
      <c r="C313" s="680"/>
      <c r="D313" s="677"/>
    </row>
    <row r="315" spans="1:25">
      <c r="C315" s="49" t="s">
        <v>0</v>
      </c>
      <c r="D315" s="49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T315" s="6"/>
      <c r="V315" s="6"/>
      <c r="X315" s="6"/>
      <c r="Y315" s="6"/>
    </row>
    <row r="316" spans="1:25">
      <c r="C316" s="49" t="s">
        <v>114</v>
      </c>
      <c r="D316" s="49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T316" s="6"/>
      <c r="V316" s="6"/>
      <c r="X316" s="6"/>
      <c r="Y316" s="6"/>
    </row>
    <row r="317" spans="1:25">
      <c r="C317" s="47" t="str">
        <f>C3</f>
        <v>BASE PERIOD-FEBRUARY 2017</v>
      </c>
      <c r="D317" s="48"/>
      <c r="E317" s="48"/>
      <c r="F317" s="48"/>
      <c r="G317" s="48"/>
      <c r="H317" s="48"/>
      <c r="I317" s="48"/>
      <c r="J317" s="48"/>
      <c r="K317" s="48"/>
      <c r="L317" s="48"/>
      <c r="M317" s="48"/>
      <c r="N317" s="48"/>
      <c r="T317" s="6"/>
      <c r="V317" s="6"/>
      <c r="X317" s="6"/>
      <c r="Y317" s="6"/>
    </row>
    <row r="318" spans="1:25">
      <c r="C318" s="467"/>
      <c r="D318" s="467"/>
      <c r="E318" s="467"/>
      <c r="F318" s="467"/>
      <c r="G318" s="467"/>
      <c r="H318" s="467"/>
      <c r="I318" s="467"/>
      <c r="J318" s="467"/>
      <c r="K318" s="467"/>
      <c r="L318" s="467"/>
      <c r="M318" s="467"/>
      <c r="N318" s="467"/>
      <c r="S318" s="467"/>
      <c r="T318" s="467"/>
      <c r="U318" s="467"/>
      <c r="V318" s="467"/>
      <c r="W318" s="467"/>
      <c r="X318" s="467" t="s">
        <v>1770</v>
      </c>
      <c r="Y318" s="467"/>
    </row>
    <row r="319" spans="1:25" ht="15">
      <c r="D319" s="676" t="s">
        <v>2316</v>
      </c>
      <c r="E319" s="674"/>
      <c r="F319" s="674"/>
      <c r="G319" s="674"/>
      <c r="H319" s="674"/>
      <c r="I319" s="674"/>
      <c r="J319" s="674"/>
      <c r="K319" s="674"/>
      <c r="L319" s="674"/>
      <c r="M319" s="674"/>
      <c r="N319" s="676" t="s">
        <v>2317</v>
      </c>
      <c r="S319" s="674"/>
      <c r="T319" s="682"/>
      <c r="U319" s="682"/>
      <c r="V319" s="682"/>
      <c r="W319" s="674"/>
      <c r="X319" s="676" t="s">
        <v>2317</v>
      </c>
      <c r="Y319" s="674"/>
    </row>
    <row r="320" spans="1:25">
      <c r="D320" s="683" t="s">
        <v>2</v>
      </c>
      <c r="J320" s="683" t="s">
        <v>3</v>
      </c>
      <c r="N320" s="683" t="s">
        <v>4</v>
      </c>
      <c r="T320" s="684"/>
      <c r="U320" s="679"/>
      <c r="V320" s="684"/>
      <c r="X320" s="3" t="s">
        <v>4</v>
      </c>
      <c r="Y320" s="683"/>
    </row>
    <row r="321" spans="1:25">
      <c r="D321" s="685" t="s">
        <v>6</v>
      </c>
      <c r="F321" s="685" t="s">
        <v>7</v>
      </c>
      <c r="H321" s="685" t="s">
        <v>8</v>
      </c>
      <c r="J321" s="685" t="s">
        <v>9</v>
      </c>
      <c r="L321" s="685" t="s">
        <v>10</v>
      </c>
      <c r="N321" s="685" t="s">
        <v>6</v>
      </c>
      <c r="T321" s="684"/>
      <c r="U321" s="679"/>
      <c r="V321" s="684"/>
      <c r="X321" s="7" t="s">
        <v>6</v>
      </c>
      <c r="Y321" s="7" t="s">
        <v>13</v>
      </c>
    </row>
    <row r="322" spans="1:25">
      <c r="D322" s="684"/>
      <c r="F322" s="684"/>
      <c r="H322" s="684"/>
      <c r="J322" s="684"/>
      <c r="L322" s="684"/>
      <c r="N322" s="684"/>
      <c r="T322" s="684"/>
      <c r="U322" s="679"/>
      <c r="V322" s="684"/>
      <c r="X322" s="684"/>
      <c r="Y322" s="684"/>
    </row>
    <row r="323" spans="1:25">
      <c r="C323" s="22" t="s">
        <v>115</v>
      </c>
      <c r="D323" s="6"/>
      <c r="F323" s="6"/>
      <c r="H323" s="6"/>
      <c r="J323" s="6"/>
      <c r="L323" s="6"/>
      <c r="N323" s="6"/>
      <c r="T323" s="679"/>
      <c r="U323" s="679"/>
      <c r="V323" s="679"/>
      <c r="X323" s="6"/>
      <c r="Y323" s="6"/>
    </row>
    <row r="324" spans="1:25">
      <c r="C324" s="22" t="s">
        <v>16</v>
      </c>
      <c r="D324" s="6"/>
      <c r="F324" s="6"/>
      <c r="H324" s="6"/>
      <c r="J324" s="6"/>
      <c r="L324" s="6"/>
      <c r="N324" s="6"/>
      <c r="T324" s="679"/>
      <c r="U324" s="679"/>
      <c r="V324" s="679"/>
      <c r="X324" s="6"/>
      <c r="Y324" s="6"/>
    </row>
    <row r="325" spans="1:25">
      <c r="A325" s="6" t="s">
        <v>17</v>
      </c>
      <c r="C325" s="6" t="s">
        <v>19</v>
      </c>
      <c r="D325" s="677">
        <v>0</v>
      </c>
      <c r="E325" s="677"/>
      <c r="F325" s="677">
        <v>0</v>
      </c>
      <c r="G325" s="677"/>
      <c r="H325" s="677">
        <v>0</v>
      </c>
      <c r="I325" s="677"/>
      <c r="J325" s="677">
        <v>113882.25</v>
      </c>
      <c r="K325" s="677"/>
      <c r="L325" s="14">
        <v>113882.25</v>
      </c>
      <c r="M325" s="677"/>
      <c r="N325" s="677">
        <v>113882.25</v>
      </c>
      <c r="S325" s="677"/>
      <c r="T325" s="677"/>
      <c r="U325" s="677"/>
      <c r="V325" s="677"/>
      <c r="W325" s="677"/>
      <c r="X325" s="677">
        <v>113882.25</v>
      </c>
      <c r="Y325" s="677">
        <v>0</v>
      </c>
    </row>
    <row r="326" spans="1:25">
      <c r="A326" s="6" t="s">
        <v>104</v>
      </c>
      <c r="C326" s="6" t="s">
        <v>2323</v>
      </c>
      <c r="D326" s="479">
        <v>324087.84000000003</v>
      </c>
      <c r="F326" s="479">
        <v>0</v>
      </c>
      <c r="H326" s="479">
        <v>0</v>
      </c>
      <c r="J326" s="479">
        <v>0</v>
      </c>
      <c r="L326" s="479">
        <v>0</v>
      </c>
      <c r="N326" s="479">
        <v>324087.84000000003</v>
      </c>
      <c r="T326" s="677"/>
      <c r="U326" s="679"/>
      <c r="V326" s="677"/>
      <c r="X326" s="479">
        <v>324087.84000000003</v>
      </c>
      <c r="Y326" s="479">
        <v>0</v>
      </c>
    </row>
    <row r="327" spans="1:25">
      <c r="D327" s="677">
        <v>324087.84000000003</v>
      </c>
      <c r="E327" s="677"/>
      <c r="F327" s="677">
        <v>0</v>
      </c>
      <c r="G327" s="677"/>
      <c r="H327" s="677">
        <v>0</v>
      </c>
      <c r="I327" s="677"/>
      <c r="J327" s="677">
        <v>113882.25</v>
      </c>
      <c r="K327" s="677"/>
      <c r="L327" s="677">
        <v>113882.25</v>
      </c>
      <c r="M327" s="677"/>
      <c r="N327" s="677">
        <v>437970.09</v>
      </c>
      <c r="S327" s="677"/>
      <c r="T327" s="677"/>
      <c r="U327" s="677"/>
      <c r="V327" s="677"/>
      <c r="W327" s="677"/>
      <c r="X327" s="677">
        <v>437970.09</v>
      </c>
      <c r="Y327" s="677">
        <v>0</v>
      </c>
    </row>
    <row r="328" spans="1:25">
      <c r="C328" s="22"/>
      <c r="D328" s="6"/>
      <c r="F328" s="6"/>
      <c r="H328" s="6"/>
      <c r="J328" s="6"/>
      <c r="L328" s="6"/>
      <c r="N328" s="6"/>
      <c r="T328" s="679"/>
      <c r="U328" s="679"/>
      <c r="V328" s="679"/>
      <c r="X328" s="6"/>
      <c r="Y328" s="6"/>
    </row>
    <row r="329" spans="1:25" ht="15">
      <c r="C329" s="478" t="s">
        <v>2324</v>
      </c>
      <c r="D329" s="296"/>
      <c r="E329" s="296"/>
      <c r="F329" s="296"/>
      <c r="G329" s="296"/>
      <c r="H329" s="296"/>
      <c r="I329" s="296"/>
      <c r="J329" s="296"/>
      <c r="K329" s="296"/>
      <c r="L329" s="296"/>
      <c r="M329" s="296"/>
      <c r="N329" s="296"/>
      <c r="O329" s="296"/>
      <c r="P329" s="296"/>
      <c r="Q329" s="296"/>
      <c r="R329" s="296"/>
      <c r="S329" s="296"/>
      <c r="T329" s="686"/>
      <c r="U329" s="686"/>
      <c r="V329" s="686"/>
      <c r="W329" s="296"/>
      <c r="X329" s="296"/>
      <c r="Y329" s="296"/>
    </row>
    <row r="330" spans="1:25" ht="15">
      <c r="A330" s="6" t="s">
        <v>17</v>
      </c>
      <c r="C330" s="164" t="s">
        <v>64</v>
      </c>
      <c r="D330" s="479">
        <v>309540.84999999998</v>
      </c>
      <c r="F330" s="479">
        <v>0</v>
      </c>
      <c r="H330" s="479">
        <v>0</v>
      </c>
      <c r="J330" s="479">
        <v>0</v>
      </c>
      <c r="L330" s="479">
        <v>0</v>
      </c>
      <c r="N330" s="479">
        <v>309540.84999999998</v>
      </c>
      <c r="O330" s="296"/>
      <c r="P330" s="296"/>
      <c r="Q330" s="296"/>
      <c r="R330" s="296"/>
      <c r="T330" s="677"/>
      <c r="U330" s="679"/>
      <c r="V330" s="677"/>
      <c r="X330" s="479">
        <v>309540.84999999998</v>
      </c>
      <c r="Y330" s="479">
        <v>0</v>
      </c>
    </row>
    <row r="331" spans="1:25" ht="15">
      <c r="C331" s="478"/>
      <c r="D331" s="677">
        <v>309540.84999999998</v>
      </c>
      <c r="E331" s="677"/>
      <c r="F331" s="677">
        <v>0</v>
      </c>
      <c r="G331" s="677"/>
      <c r="H331" s="677">
        <v>0</v>
      </c>
      <c r="I331" s="677"/>
      <c r="J331" s="677">
        <v>0</v>
      </c>
      <c r="K331" s="677"/>
      <c r="L331" s="677">
        <v>0</v>
      </c>
      <c r="M331" s="677"/>
      <c r="N331" s="677">
        <v>309540.84999999998</v>
      </c>
      <c r="O331" s="296"/>
      <c r="P331" s="296"/>
      <c r="Q331" s="296"/>
      <c r="R331" s="296"/>
      <c r="S331" s="677"/>
      <c r="T331" s="677"/>
      <c r="U331" s="677"/>
      <c r="V331" s="677"/>
      <c r="W331" s="677"/>
      <c r="X331" s="677">
        <v>309540.84999999998</v>
      </c>
      <c r="Y331" s="677">
        <v>0</v>
      </c>
    </row>
    <row r="332" spans="1:25" ht="15">
      <c r="C332" s="478"/>
      <c r="D332" s="296"/>
      <c r="E332" s="296"/>
      <c r="F332" s="296"/>
      <c r="G332" s="296"/>
      <c r="H332" s="296"/>
      <c r="I332" s="296"/>
      <c r="J332" s="296"/>
      <c r="K332" s="296"/>
      <c r="L332" s="296"/>
      <c r="M332" s="296"/>
      <c r="N332" s="296"/>
      <c r="O332" s="296"/>
      <c r="P332" s="296"/>
      <c r="Q332" s="296"/>
      <c r="R332" s="296"/>
      <c r="S332" s="296"/>
      <c r="T332" s="686"/>
      <c r="U332" s="686"/>
      <c r="V332" s="686"/>
      <c r="W332" s="296"/>
      <c r="X332" s="296"/>
      <c r="Y332" s="296"/>
    </row>
    <row r="333" spans="1:25">
      <c r="C333" s="22"/>
      <c r="D333" s="6"/>
      <c r="F333" s="6"/>
      <c r="H333" s="6"/>
      <c r="J333" s="6"/>
      <c r="L333" s="6"/>
      <c r="N333" s="6"/>
      <c r="T333" s="679"/>
      <c r="U333" s="679"/>
      <c r="V333" s="679"/>
      <c r="X333" s="6"/>
      <c r="Y333" s="6"/>
    </row>
    <row r="334" spans="1:25">
      <c r="C334" s="22" t="s">
        <v>116</v>
      </c>
      <c r="D334" s="677"/>
      <c r="E334" s="677"/>
      <c r="F334" s="677"/>
      <c r="G334" s="677"/>
      <c r="H334" s="677"/>
      <c r="I334" s="677"/>
      <c r="J334" s="677"/>
      <c r="K334" s="677"/>
      <c r="L334" s="677"/>
      <c r="M334" s="677"/>
      <c r="N334" s="677"/>
      <c r="S334" s="677"/>
      <c r="T334" s="677"/>
      <c r="U334" s="677"/>
      <c r="V334" s="677"/>
      <c r="W334" s="677"/>
      <c r="X334" s="677"/>
      <c r="Y334" s="677"/>
    </row>
    <row r="335" spans="1:25">
      <c r="C335" s="6" t="s">
        <v>75</v>
      </c>
      <c r="D335" s="677">
        <v>0</v>
      </c>
      <c r="E335" s="677"/>
      <c r="F335" s="677">
        <v>0</v>
      </c>
      <c r="G335" s="677"/>
      <c r="H335" s="677">
        <v>0</v>
      </c>
      <c r="I335" s="677"/>
      <c r="J335" s="677">
        <v>0</v>
      </c>
      <c r="K335" s="677"/>
      <c r="L335" s="677">
        <v>0</v>
      </c>
      <c r="M335" s="677"/>
      <c r="N335" s="677">
        <v>0</v>
      </c>
      <c r="S335" s="677"/>
      <c r="T335" s="677"/>
      <c r="U335" s="677"/>
      <c r="V335" s="677"/>
      <c r="W335" s="677"/>
      <c r="X335" s="677"/>
      <c r="Y335" s="677">
        <v>0</v>
      </c>
    </row>
    <row r="336" spans="1:25">
      <c r="C336" s="6" t="s">
        <v>76</v>
      </c>
      <c r="D336" s="677">
        <v>0</v>
      </c>
      <c r="E336" s="677"/>
      <c r="F336" s="677">
        <v>0</v>
      </c>
      <c r="G336" s="677"/>
      <c r="H336" s="677">
        <v>0</v>
      </c>
      <c r="I336" s="677"/>
      <c r="J336" s="677">
        <v>0</v>
      </c>
      <c r="K336" s="677"/>
      <c r="L336" s="677">
        <v>0</v>
      </c>
      <c r="M336" s="677"/>
      <c r="N336" s="677">
        <v>0</v>
      </c>
      <c r="S336" s="677"/>
      <c r="T336" s="677"/>
      <c r="U336" s="677"/>
      <c r="V336" s="677"/>
      <c r="W336" s="677"/>
      <c r="X336" s="677"/>
      <c r="Y336" s="677">
        <v>0</v>
      </c>
    </row>
    <row r="337" spans="1:25">
      <c r="C337" s="6" t="s">
        <v>78</v>
      </c>
      <c r="D337" s="677">
        <v>0</v>
      </c>
      <c r="E337" s="677"/>
      <c r="F337" s="677">
        <v>0</v>
      </c>
      <c r="G337" s="677"/>
      <c r="H337" s="677">
        <v>0</v>
      </c>
      <c r="I337" s="677"/>
      <c r="J337" s="677">
        <v>0</v>
      </c>
      <c r="K337" s="677"/>
      <c r="L337" s="677">
        <v>0</v>
      </c>
      <c r="M337" s="677"/>
      <c r="N337" s="677">
        <v>0</v>
      </c>
      <c r="S337" s="677"/>
      <c r="T337" s="677"/>
      <c r="U337" s="677"/>
      <c r="V337" s="677"/>
      <c r="W337" s="677"/>
      <c r="X337" s="677"/>
      <c r="Y337" s="677">
        <v>0</v>
      </c>
    </row>
    <row r="338" spans="1:25">
      <c r="C338" s="6" t="s">
        <v>80</v>
      </c>
      <c r="D338" s="677">
        <v>0</v>
      </c>
      <c r="E338" s="677"/>
      <c r="F338" s="677">
        <v>0</v>
      </c>
      <c r="G338" s="677"/>
      <c r="H338" s="677">
        <v>0</v>
      </c>
      <c r="I338" s="677"/>
      <c r="J338" s="677">
        <v>0</v>
      </c>
      <c r="K338" s="677"/>
      <c r="L338" s="677">
        <v>0</v>
      </c>
      <c r="M338" s="677"/>
      <c r="N338" s="677">
        <v>0</v>
      </c>
      <c r="S338" s="677"/>
      <c r="T338" s="677"/>
      <c r="U338" s="677"/>
      <c r="V338" s="677"/>
      <c r="W338" s="677"/>
      <c r="X338" s="677"/>
      <c r="Y338" s="677">
        <v>0</v>
      </c>
    </row>
    <row r="339" spans="1:25">
      <c r="C339" s="6" t="s">
        <v>117</v>
      </c>
      <c r="D339" s="677">
        <v>0</v>
      </c>
      <c r="E339" s="677"/>
      <c r="F339" s="677">
        <v>0</v>
      </c>
      <c r="G339" s="677"/>
      <c r="H339" s="677">
        <v>0</v>
      </c>
      <c r="I339" s="677"/>
      <c r="J339" s="677">
        <v>0</v>
      </c>
      <c r="K339" s="677"/>
      <c r="L339" s="677">
        <v>0</v>
      </c>
      <c r="M339" s="677"/>
      <c r="N339" s="677">
        <v>0</v>
      </c>
      <c r="S339" s="677"/>
      <c r="T339" s="677"/>
      <c r="U339" s="677"/>
      <c r="V339" s="677"/>
      <c r="W339" s="677"/>
      <c r="X339" s="677"/>
      <c r="Y339" s="677">
        <v>0</v>
      </c>
    </row>
    <row r="340" spans="1:25">
      <c r="C340" s="6" t="s">
        <v>84</v>
      </c>
      <c r="D340" s="479">
        <v>0</v>
      </c>
      <c r="E340" s="677"/>
      <c r="F340" s="479">
        <v>0</v>
      </c>
      <c r="G340" s="677"/>
      <c r="H340" s="479">
        <v>0</v>
      </c>
      <c r="I340" s="677"/>
      <c r="J340" s="479">
        <v>0</v>
      </c>
      <c r="K340" s="677"/>
      <c r="L340" s="479">
        <v>0</v>
      </c>
      <c r="M340" s="677"/>
      <c r="N340" s="479">
        <v>0</v>
      </c>
      <c r="S340" s="677"/>
      <c r="T340" s="677"/>
      <c r="U340" s="677"/>
      <c r="V340" s="677"/>
      <c r="W340" s="677"/>
      <c r="X340" s="479"/>
      <c r="Y340" s="479">
        <v>0</v>
      </c>
    </row>
    <row r="341" spans="1:25">
      <c r="D341" s="677">
        <v>0</v>
      </c>
      <c r="E341" s="677"/>
      <c r="F341" s="677">
        <v>0</v>
      </c>
      <c r="G341" s="677"/>
      <c r="H341" s="677">
        <v>0</v>
      </c>
      <c r="I341" s="677"/>
      <c r="J341" s="677">
        <v>0</v>
      </c>
      <c r="K341" s="677"/>
      <c r="L341" s="677">
        <v>0</v>
      </c>
      <c r="M341" s="677"/>
      <c r="N341" s="677">
        <v>0</v>
      </c>
      <c r="S341" s="677"/>
      <c r="T341" s="677"/>
      <c r="U341" s="677"/>
      <c r="V341" s="677"/>
      <c r="W341" s="677"/>
      <c r="X341" s="677">
        <v>0</v>
      </c>
      <c r="Y341" s="677">
        <v>0</v>
      </c>
    </row>
    <row r="342" spans="1:25">
      <c r="D342" s="677"/>
      <c r="E342" s="678"/>
      <c r="F342" s="677"/>
      <c r="G342" s="678"/>
      <c r="H342" s="677"/>
      <c r="I342" s="678"/>
      <c r="J342" s="677"/>
      <c r="K342" s="678"/>
      <c r="L342" s="677"/>
      <c r="M342" s="678"/>
      <c r="N342" s="677"/>
      <c r="S342" s="678"/>
      <c r="T342" s="677"/>
      <c r="U342" s="677"/>
      <c r="V342" s="677"/>
      <c r="W342" s="678"/>
      <c r="X342" s="677"/>
      <c r="Y342" s="677"/>
    </row>
    <row r="343" spans="1:25" s="24" customFormat="1" ht="15">
      <c r="A343" s="23"/>
      <c r="B343" s="23"/>
      <c r="C343" s="6"/>
      <c r="D343" s="678"/>
      <c r="E343" s="678"/>
      <c r="F343" s="678"/>
      <c r="G343" s="678"/>
      <c r="H343" s="678"/>
      <c r="I343" s="678"/>
      <c r="J343" s="678"/>
      <c r="K343" s="678"/>
      <c r="L343" s="678"/>
      <c r="M343" s="678"/>
      <c r="N343" s="678"/>
      <c r="O343" s="6"/>
      <c r="P343" s="6"/>
      <c r="Q343" s="6"/>
      <c r="R343" s="6"/>
      <c r="S343" s="678"/>
      <c r="T343" s="677"/>
      <c r="U343" s="677"/>
      <c r="V343" s="677"/>
      <c r="W343" s="678"/>
      <c r="X343" s="678"/>
      <c r="Y343" s="678"/>
    </row>
    <row r="344" spans="1:25" ht="15.75" thickBot="1">
      <c r="A344" s="23"/>
      <c r="B344" s="23"/>
      <c r="C344" s="22" t="s">
        <v>118</v>
      </c>
      <c r="D344" s="687">
        <v>633628.68999999994</v>
      </c>
      <c r="E344" s="678"/>
      <c r="F344" s="687">
        <v>0</v>
      </c>
      <c r="G344" s="678"/>
      <c r="H344" s="687">
        <v>0</v>
      </c>
      <c r="I344" s="678"/>
      <c r="J344" s="687">
        <v>113882.25</v>
      </c>
      <c r="K344" s="678"/>
      <c r="L344" s="687">
        <v>113882.25</v>
      </c>
      <c r="M344" s="678"/>
      <c r="N344" s="687">
        <v>747510.94</v>
      </c>
      <c r="S344" s="678"/>
      <c r="T344" s="677"/>
      <c r="U344" s="677"/>
      <c r="V344" s="677"/>
      <c r="W344" s="678"/>
      <c r="X344" s="687">
        <v>113882.25</v>
      </c>
      <c r="Y344" s="687">
        <v>113882.25</v>
      </c>
    </row>
    <row r="345" spans="1:25" ht="13.5" thickTop="1">
      <c r="A345" s="24"/>
      <c r="B345" s="24"/>
      <c r="T345" s="677"/>
      <c r="U345" s="679"/>
      <c r="V345" s="677"/>
    </row>
    <row r="346" spans="1:25">
      <c r="A346" s="24"/>
      <c r="B346" s="24"/>
      <c r="C346" s="22" t="s">
        <v>102</v>
      </c>
      <c r="D346" s="678">
        <v>633628.68999999994</v>
      </c>
      <c r="T346" s="677"/>
      <c r="U346" s="679"/>
      <c r="V346" s="677"/>
    </row>
    <row r="347" spans="1:25">
      <c r="A347" s="24"/>
      <c r="B347" s="24"/>
      <c r="C347" s="680"/>
      <c r="D347" s="677">
        <v>0</v>
      </c>
      <c r="T347" s="677"/>
      <c r="U347" s="679"/>
      <c r="V347" s="677"/>
    </row>
    <row r="348" spans="1:25">
      <c r="A348" s="24"/>
      <c r="B348" s="24"/>
      <c r="T348" s="677"/>
      <c r="U348" s="679"/>
      <c r="V348" s="677"/>
    </row>
    <row r="349" spans="1:25" ht="15">
      <c r="A349" s="24"/>
      <c r="B349" s="24"/>
      <c r="C349" s="50" t="s">
        <v>0</v>
      </c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23"/>
      <c r="P349" s="23"/>
      <c r="Q349" s="23"/>
      <c r="R349" s="23"/>
      <c r="S349" s="23"/>
      <c r="T349" s="480"/>
      <c r="U349" s="480"/>
      <c r="V349" s="480"/>
      <c r="W349" s="23"/>
      <c r="X349" s="23"/>
      <c r="Y349" s="23"/>
    </row>
    <row r="350" spans="1:25" s="23" customFormat="1" ht="15">
      <c r="A350" s="24"/>
      <c r="B350" s="24"/>
      <c r="C350" s="50" t="s">
        <v>119</v>
      </c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T350" s="480"/>
      <c r="U350" s="480"/>
      <c r="V350" s="480"/>
    </row>
    <row r="351" spans="1:25" s="23" customFormat="1" ht="15">
      <c r="A351" s="24"/>
      <c r="B351" s="24"/>
      <c r="C351" s="47" t="str">
        <f>C3</f>
        <v>BASE PERIOD-FEBRUARY 2017</v>
      </c>
      <c r="D351" s="48"/>
      <c r="E351" s="48"/>
      <c r="F351" s="48"/>
      <c r="G351" s="48"/>
      <c r="H351" s="48"/>
      <c r="I351" s="48"/>
      <c r="J351" s="48"/>
      <c r="K351" s="48"/>
      <c r="L351" s="48"/>
      <c r="M351" s="48"/>
      <c r="N351" s="48"/>
      <c r="O351" s="24"/>
      <c r="P351" s="24"/>
      <c r="Q351" s="24"/>
      <c r="R351" s="24"/>
      <c r="S351" s="24"/>
      <c r="T351" s="688"/>
      <c r="U351" s="688"/>
      <c r="V351" s="688"/>
      <c r="W351" s="24"/>
      <c r="X351" s="24"/>
      <c r="Y351" s="24"/>
    </row>
    <row r="352" spans="1:25" s="24" customFormat="1">
      <c r="C352" s="689"/>
      <c r="D352" s="689"/>
      <c r="E352" s="689"/>
      <c r="F352" s="689"/>
      <c r="G352" s="689"/>
      <c r="H352" s="689"/>
      <c r="I352" s="689"/>
      <c r="J352" s="689"/>
      <c r="K352" s="689"/>
      <c r="L352" s="689"/>
      <c r="M352" s="689"/>
      <c r="N352" s="689"/>
      <c r="S352" s="689"/>
      <c r="T352" s="690"/>
      <c r="U352" s="690"/>
      <c r="V352" s="690"/>
      <c r="W352" s="689"/>
      <c r="X352" s="467" t="s">
        <v>1770</v>
      </c>
      <c r="Y352" s="467"/>
    </row>
    <row r="353" spans="1:25" s="24" customFormat="1" ht="15">
      <c r="D353" s="676" t="s">
        <v>2316</v>
      </c>
      <c r="E353" s="674"/>
      <c r="F353" s="674"/>
      <c r="G353" s="674"/>
      <c r="H353" s="674"/>
      <c r="I353" s="674"/>
      <c r="J353" s="674"/>
      <c r="K353" s="674"/>
      <c r="L353" s="674"/>
      <c r="M353" s="674"/>
      <c r="N353" s="676" t="s">
        <v>2317</v>
      </c>
      <c r="S353" s="674"/>
      <c r="T353" s="682"/>
      <c r="U353" s="682"/>
      <c r="V353" s="682"/>
      <c r="W353" s="674"/>
      <c r="X353" s="676" t="s">
        <v>2317</v>
      </c>
      <c r="Y353" s="674"/>
    </row>
    <row r="354" spans="1:25" s="24" customFormat="1">
      <c r="D354" s="691" t="s">
        <v>2</v>
      </c>
      <c r="F354" s="692"/>
      <c r="H354" s="692"/>
      <c r="J354" s="691" t="s">
        <v>3</v>
      </c>
      <c r="L354" s="692"/>
      <c r="N354" s="691" t="s">
        <v>4</v>
      </c>
      <c r="T354" s="693"/>
      <c r="U354" s="688"/>
      <c r="V354" s="693"/>
      <c r="X354" s="3" t="s">
        <v>4</v>
      </c>
      <c r="Y354" s="683"/>
    </row>
    <row r="355" spans="1:25" s="24" customFormat="1">
      <c r="D355" s="694" t="s">
        <v>6</v>
      </c>
      <c r="F355" s="694" t="s">
        <v>7</v>
      </c>
      <c r="H355" s="694" t="s">
        <v>8</v>
      </c>
      <c r="J355" s="694" t="s">
        <v>9</v>
      </c>
      <c r="L355" s="694" t="s">
        <v>10</v>
      </c>
      <c r="N355" s="694" t="s">
        <v>6</v>
      </c>
      <c r="T355" s="693"/>
      <c r="U355" s="688"/>
      <c r="V355" s="693"/>
      <c r="X355" s="7" t="s">
        <v>6</v>
      </c>
      <c r="Y355" s="7" t="s">
        <v>13</v>
      </c>
    </row>
    <row r="356" spans="1:25" s="24" customFormat="1">
      <c r="D356" s="693"/>
      <c r="F356" s="693"/>
      <c r="H356" s="693"/>
      <c r="J356" s="693"/>
      <c r="L356" s="693"/>
      <c r="N356" s="693"/>
      <c r="T356" s="693"/>
      <c r="U356" s="688"/>
      <c r="V356" s="693"/>
      <c r="X356" s="693"/>
      <c r="Y356" s="693"/>
    </row>
    <row r="357" spans="1:25" s="24" customFormat="1">
      <c r="C357" s="25" t="s">
        <v>120</v>
      </c>
      <c r="T357" s="688"/>
      <c r="U357" s="688"/>
      <c r="V357" s="688"/>
    </row>
    <row r="358" spans="1:25" s="24" customFormat="1">
      <c r="C358" s="25" t="s">
        <v>116</v>
      </c>
      <c r="D358" s="695"/>
      <c r="E358" s="695"/>
      <c r="F358" s="695"/>
      <c r="G358" s="695"/>
      <c r="H358" s="695"/>
      <c r="I358" s="695"/>
      <c r="J358" s="695"/>
      <c r="K358" s="695"/>
      <c r="L358" s="695"/>
      <c r="M358" s="695"/>
      <c r="N358" s="695"/>
      <c r="O358" s="21"/>
      <c r="P358" s="20"/>
      <c r="S358" s="695"/>
      <c r="T358" s="695"/>
      <c r="U358" s="695"/>
      <c r="V358" s="695"/>
      <c r="W358" s="695"/>
      <c r="X358" s="695"/>
      <c r="Y358" s="695"/>
    </row>
    <row r="359" spans="1:25" s="24" customFormat="1">
      <c r="A359" s="688"/>
      <c r="B359" s="688"/>
      <c r="C359" s="24" t="s">
        <v>121</v>
      </c>
      <c r="D359" s="695">
        <v>0</v>
      </c>
      <c r="E359" s="695"/>
      <c r="F359" s="695">
        <v>0</v>
      </c>
      <c r="G359" s="695"/>
      <c r="H359" s="695">
        <v>0</v>
      </c>
      <c r="I359" s="695"/>
      <c r="J359" s="695">
        <v>0</v>
      </c>
      <c r="K359" s="695"/>
      <c r="L359" s="695">
        <v>0</v>
      </c>
      <c r="M359" s="695"/>
      <c r="N359" s="695">
        <v>0</v>
      </c>
      <c r="O359" s="21"/>
      <c r="P359" s="20"/>
      <c r="S359" s="695"/>
      <c r="T359" s="695"/>
      <c r="U359" s="695"/>
      <c r="V359" s="695"/>
      <c r="W359" s="695"/>
      <c r="X359" s="695"/>
      <c r="Y359" s="695">
        <v>0</v>
      </c>
    </row>
    <row r="360" spans="1:25" s="24" customFormat="1">
      <c r="C360" s="24" t="s">
        <v>76</v>
      </c>
      <c r="D360" s="695">
        <v>0</v>
      </c>
      <c r="E360" s="695"/>
      <c r="F360" s="695">
        <v>0</v>
      </c>
      <c r="G360" s="695"/>
      <c r="H360" s="695">
        <v>0</v>
      </c>
      <c r="I360" s="695"/>
      <c r="J360" s="695">
        <v>0</v>
      </c>
      <c r="K360" s="695"/>
      <c r="L360" s="695">
        <v>0</v>
      </c>
      <c r="M360" s="695"/>
      <c r="N360" s="695">
        <v>0</v>
      </c>
      <c r="O360" s="21"/>
      <c r="P360" s="20"/>
      <c r="S360" s="695"/>
      <c r="T360" s="695"/>
      <c r="U360" s="695"/>
      <c r="V360" s="695"/>
      <c r="W360" s="695"/>
      <c r="X360" s="695"/>
      <c r="Y360" s="695">
        <v>0</v>
      </c>
    </row>
    <row r="361" spans="1:25" s="24" customFormat="1">
      <c r="C361" s="24" t="s">
        <v>78</v>
      </c>
      <c r="D361" s="695">
        <v>0</v>
      </c>
      <c r="E361" s="695"/>
      <c r="F361" s="695">
        <v>0</v>
      </c>
      <c r="G361" s="695"/>
      <c r="H361" s="695">
        <v>0</v>
      </c>
      <c r="I361" s="695"/>
      <c r="J361" s="695">
        <v>0</v>
      </c>
      <c r="K361" s="695"/>
      <c r="L361" s="695">
        <v>0</v>
      </c>
      <c r="M361" s="695"/>
      <c r="N361" s="695">
        <v>0</v>
      </c>
      <c r="O361" s="21"/>
      <c r="P361" s="20"/>
      <c r="S361" s="695"/>
      <c r="T361" s="695"/>
      <c r="U361" s="695"/>
      <c r="V361" s="695"/>
      <c r="W361" s="695"/>
      <c r="X361" s="695"/>
      <c r="Y361" s="695">
        <v>0</v>
      </c>
    </row>
    <row r="362" spans="1:25" s="24" customFormat="1">
      <c r="C362" s="24" t="s">
        <v>80</v>
      </c>
      <c r="D362" s="695">
        <v>0</v>
      </c>
      <c r="E362" s="695"/>
      <c r="F362" s="695">
        <v>0</v>
      </c>
      <c r="G362" s="695"/>
      <c r="H362" s="695">
        <v>0</v>
      </c>
      <c r="I362" s="695"/>
      <c r="J362" s="695">
        <v>0</v>
      </c>
      <c r="K362" s="695"/>
      <c r="L362" s="695">
        <v>0</v>
      </c>
      <c r="M362" s="695"/>
      <c r="N362" s="695">
        <v>0</v>
      </c>
      <c r="O362" s="21"/>
      <c r="P362" s="20"/>
      <c r="S362" s="695"/>
      <c r="T362" s="695"/>
      <c r="U362" s="695"/>
      <c r="V362" s="695"/>
      <c r="W362" s="695"/>
      <c r="X362" s="695"/>
      <c r="Y362" s="695">
        <v>0</v>
      </c>
    </row>
    <row r="363" spans="1:25" s="24" customFormat="1">
      <c r="C363" s="688" t="s">
        <v>117</v>
      </c>
      <c r="D363" s="695">
        <v>0</v>
      </c>
      <c r="E363" s="695"/>
      <c r="F363" s="695">
        <v>0</v>
      </c>
      <c r="G363" s="695"/>
      <c r="H363" s="695">
        <v>0</v>
      </c>
      <c r="I363" s="695"/>
      <c r="J363" s="695">
        <v>0</v>
      </c>
      <c r="K363" s="695"/>
      <c r="L363" s="695">
        <v>0</v>
      </c>
      <c r="M363" s="695"/>
      <c r="N363" s="695">
        <v>0</v>
      </c>
      <c r="O363" s="21"/>
      <c r="P363" s="21"/>
      <c r="Q363" s="688"/>
      <c r="R363" s="688"/>
      <c r="S363" s="695"/>
      <c r="T363" s="695"/>
      <c r="U363" s="695"/>
      <c r="V363" s="695"/>
      <c r="W363" s="695"/>
      <c r="X363" s="695"/>
      <c r="Y363" s="695">
        <v>0</v>
      </c>
    </row>
    <row r="364" spans="1:25" s="688" customFormat="1">
      <c r="A364" s="24"/>
      <c r="B364" s="24"/>
      <c r="C364" s="24" t="s">
        <v>84</v>
      </c>
      <c r="D364" s="696">
        <v>0</v>
      </c>
      <c r="E364" s="695"/>
      <c r="F364" s="696">
        <v>0</v>
      </c>
      <c r="G364" s="695"/>
      <c r="H364" s="696">
        <v>0</v>
      </c>
      <c r="I364" s="695"/>
      <c r="J364" s="696">
        <v>0</v>
      </c>
      <c r="K364" s="695"/>
      <c r="L364" s="696">
        <v>0</v>
      </c>
      <c r="M364" s="695"/>
      <c r="N364" s="696">
        <v>0</v>
      </c>
      <c r="O364" s="21"/>
      <c r="P364" s="20"/>
      <c r="Q364" s="24"/>
      <c r="R364" s="24"/>
      <c r="S364" s="695"/>
      <c r="T364" s="695"/>
      <c r="U364" s="695"/>
      <c r="V364" s="695"/>
      <c r="W364" s="695"/>
      <c r="X364" s="696"/>
      <c r="Y364" s="696">
        <v>0</v>
      </c>
    </row>
    <row r="365" spans="1:25" s="24" customFormat="1">
      <c r="A365" s="6"/>
      <c r="B365" s="6"/>
      <c r="D365" s="695">
        <v>0</v>
      </c>
      <c r="E365" s="695"/>
      <c r="F365" s="695">
        <v>0</v>
      </c>
      <c r="G365" s="695"/>
      <c r="H365" s="695">
        <v>0</v>
      </c>
      <c r="I365" s="695"/>
      <c r="J365" s="695">
        <v>0</v>
      </c>
      <c r="K365" s="695"/>
      <c r="L365" s="695">
        <v>0</v>
      </c>
      <c r="M365" s="695"/>
      <c r="N365" s="695">
        <v>0</v>
      </c>
      <c r="O365" s="21"/>
      <c r="P365" s="20"/>
      <c r="S365" s="695"/>
      <c r="T365" s="695"/>
      <c r="U365" s="695"/>
      <c r="V365" s="695"/>
      <c r="W365" s="695"/>
      <c r="X365" s="695"/>
      <c r="Y365" s="695"/>
    </row>
    <row r="366" spans="1:25" s="24" customFormat="1">
      <c r="A366" s="6"/>
      <c r="B366" s="6"/>
      <c r="D366" s="695"/>
      <c r="E366" s="692"/>
      <c r="F366" s="695"/>
      <c r="G366" s="692"/>
      <c r="H366" s="695"/>
      <c r="I366" s="692"/>
      <c r="J366" s="695"/>
      <c r="K366" s="692"/>
      <c r="L366" s="695"/>
      <c r="M366" s="692"/>
      <c r="N366" s="695"/>
      <c r="O366" s="20"/>
      <c r="P366" s="20"/>
      <c r="S366" s="692"/>
      <c r="T366" s="695"/>
      <c r="U366" s="695"/>
      <c r="V366" s="695"/>
      <c r="W366" s="692"/>
      <c r="X366" s="695"/>
      <c r="Y366" s="695"/>
    </row>
    <row r="367" spans="1:25" s="24" customFormat="1">
      <c r="A367" s="6"/>
      <c r="B367" s="6"/>
      <c r="D367" s="692"/>
      <c r="E367" s="692"/>
      <c r="F367" s="692"/>
      <c r="G367" s="692"/>
      <c r="H367" s="692"/>
      <c r="I367" s="692"/>
      <c r="J367" s="692"/>
      <c r="K367" s="692"/>
      <c r="L367" s="692"/>
      <c r="M367" s="692"/>
      <c r="N367" s="692"/>
      <c r="O367" s="20"/>
      <c r="P367" s="20"/>
      <c r="S367" s="692"/>
      <c r="T367" s="695"/>
      <c r="U367" s="695"/>
      <c r="V367" s="695"/>
      <c r="W367" s="692"/>
      <c r="X367" s="692"/>
      <c r="Y367" s="692"/>
    </row>
    <row r="368" spans="1:25" s="24" customFormat="1" ht="13.5" thickBot="1">
      <c r="A368" s="6"/>
      <c r="B368" s="6"/>
      <c r="C368" s="25" t="s">
        <v>122</v>
      </c>
      <c r="D368" s="697">
        <v>0</v>
      </c>
      <c r="E368" s="692"/>
      <c r="F368" s="697">
        <v>0</v>
      </c>
      <c r="G368" s="692"/>
      <c r="H368" s="697">
        <v>0</v>
      </c>
      <c r="I368" s="692"/>
      <c r="J368" s="697">
        <v>0</v>
      </c>
      <c r="K368" s="692"/>
      <c r="L368" s="697">
        <v>0</v>
      </c>
      <c r="M368" s="692"/>
      <c r="N368" s="697">
        <v>0</v>
      </c>
      <c r="O368" s="20"/>
      <c r="P368" s="20"/>
      <c r="S368" s="692"/>
      <c r="T368" s="695"/>
      <c r="U368" s="695"/>
      <c r="V368" s="695"/>
      <c r="W368" s="692"/>
      <c r="X368" s="697">
        <v>0</v>
      </c>
      <c r="Y368" s="697">
        <v>0</v>
      </c>
    </row>
    <row r="369" spans="1:25" s="24" customFormat="1" ht="13.5" thickTop="1">
      <c r="A369" s="6"/>
      <c r="B369" s="6"/>
      <c r="C369" s="6"/>
      <c r="D369" s="678"/>
      <c r="E369" s="6"/>
      <c r="F369" s="678"/>
      <c r="G369" s="6"/>
      <c r="H369" s="678"/>
      <c r="I369" s="6"/>
      <c r="J369" s="678"/>
      <c r="K369" s="6"/>
      <c r="L369" s="678"/>
      <c r="M369" s="6"/>
      <c r="N369" s="678"/>
      <c r="O369" s="6"/>
      <c r="P369" s="6"/>
      <c r="Q369" s="6"/>
      <c r="R369" s="6"/>
      <c r="S369" s="6"/>
      <c r="T369" s="677"/>
      <c r="U369" s="679"/>
      <c r="V369" s="677"/>
      <c r="W369" s="6"/>
      <c r="X369" s="678"/>
      <c r="Y369" s="678"/>
    </row>
  </sheetData>
  <pageMargins left="0.75" right="0.75" top="1" bottom="1" header="0.5" footer="0.5"/>
  <pageSetup scale="46" fitToHeight="0" orientation="landscape" r:id="rId1"/>
  <headerFooter alignWithMargins="0"/>
  <rowBreaks count="7" manualBreakCount="7">
    <brk id="46" min="2" max="15" man="1"/>
    <brk id="79" max="16383" man="1"/>
    <brk id="113" min="2" max="15" man="1"/>
    <brk id="149" max="16383" man="1"/>
    <brk id="179" max="16383" man="1"/>
    <brk id="255" max="16383" man="1"/>
    <brk id="291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pageSetUpPr fitToPage="1"/>
  </sheetPr>
  <dimension ref="A1:W574"/>
  <sheetViews>
    <sheetView zoomScale="85" zoomScaleNormal="85" workbookViewId="0">
      <pane xSplit="4" ySplit="3" topLeftCell="E4" activePane="bottomRight" state="frozen"/>
      <selection activeCell="A52" sqref="A52"/>
      <selection pane="topRight" activeCell="A52" sqref="A52"/>
      <selection pane="bottomLeft" activeCell="A52" sqref="A52"/>
      <selection pane="bottomRight" activeCell="E4" sqref="E4"/>
    </sheetView>
  </sheetViews>
  <sheetFormatPr defaultColWidth="7.77734375" defaultRowHeight="15"/>
  <cols>
    <col min="1" max="1" width="5.21875" style="199" customWidth="1"/>
    <col min="2" max="2" width="4.21875" style="199" customWidth="1"/>
    <col min="3" max="3" width="6.44140625" style="199" customWidth="1"/>
    <col min="4" max="4" width="58.33203125" style="200" bestFit="1" customWidth="1"/>
    <col min="5" max="5" width="13.109375" style="200" customWidth="1"/>
    <col min="6" max="19" width="9.33203125" style="199" customWidth="1"/>
    <col min="20" max="20" width="12.21875" style="199" customWidth="1"/>
    <col min="21" max="21" width="7.77734375" style="199"/>
    <col min="22" max="23" width="10.33203125" style="199" bestFit="1" customWidth="1"/>
    <col min="24" max="16384" width="7.77734375" style="199"/>
  </cols>
  <sheetData>
    <row r="1" spans="1:20" s="429" customFormat="1" ht="18.75">
      <c r="A1" s="428"/>
      <c r="D1" s="430"/>
      <c r="E1" s="430"/>
    </row>
    <row r="2" spans="1:20" s="473" customFormat="1" ht="30">
      <c r="A2" s="473" t="s">
        <v>1772</v>
      </c>
      <c r="B2" s="473" t="s">
        <v>1773</v>
      </c>
      <c r="C2" s="473" t="s">
        <v>1774</v>
      </c>
      <c r="D2" s="474" t="s">
        <v>2325</v>
      </c>
      <c r="E2" s="475" t="s">
        <v>2364</v>
      </c>
      <c r="F2" s="473" t="s">
        <v>2326</v>
      </c>
      <c r="G2" s="473" t="s">
        <v>2327</v>
      </c>
      <c r="H2" s="473" t="s">
        <v>2328</v>
      </c>
      <c r="I2" s="473" t="s">
        <v>2329</v>
      </c>
      <c r="J2" s="473" t="s">
        <v>2330</v>
      </c>
      <c r="K2" s="473" t="s">
        <v>2331</v>
      </c>
      <c r="L2" s="473" t="s">
        <v>2332</v>
      </c>
      <c r="M2" s="473" t="s">
        <v>2333</v>
      </c>
      <c r="N2" s="473" t="s">
        <v>2334</v>
      </c>
      <c r="O2" s="473" t="s">
        <v>2335</v>
      </c>
      <c r="P2" s="473" t="s">
        <v>2336</v>
      </c>
      <c r="Q2" s="473" t="s">
        <v>2337</v>
      </c>
      <c r="R2" s="473" t="s">
        <v>2338</v>
      </c>
      <c r="S2" s="473" t="s">
        <v>2339</v>
      </c>
      <c r="T2" s="473" t="s">
        <v>2340</v>
      </c>
    </row>
    <row r="3" spans="1:20" s="473" customFormat="1">
      <c r="D3" s="474"/>
      <c r="E3" s="475"/>
    </row>
    <row r="4" spans="1:20" s="469" customFormat="1">
      <c r="D4" s="470"/>
      <c r="E4" s="468"/>
    </row>
    <row r="5" spans="1:20" s="469" customFormat="1">
      <c r="D5" s="668" t="s">
        <v>1775</v>
      </c>
      <c r="E5" s="669"/>
    </row>
    <row r="6" spans="1:20" s="469" customFormat="1">
      <c r="A6" s="469" t="str">
        <f t="shared" ref="A6:A69" si="0">MID($D6,4,2)</f>
        <v>KU</v>
      </c>
      <c r="B6" s="469" t="str">
        <f t="shared" ref="B6:B69" si="1">IF(MID($D6,12,2)="- ","KY",MID($D6,12,2))</f>
        <v>KY</v>
      </c>
      <c r="C6" s="469" t="str">
        <f t="shared" ref="C6:C69" si="2">MID($D6,8,3)</f>
        <v>301</v>
      </c>
      <c r="D6" s="470" t="s">
        <v>1776</v>
      </c>
      <c r="E6" s="468" t="str">
        <f t="shared" ref="E6:E19" si="3">IF(ISTEXT(MID($D6,SEARCH("FUTURE USE",$D6),3)),"FUTURE USE",IF(ISTEXT(MID($D6,SEARCH("ECR",$D6),3)),"ECR",IF(ISTEXT(MID($D6,SEARCH("ARO",$D6),3)),"ARO",IF(ISTEXT(MID($D6,SEARCH("DSM",$D6),3)),"DSM",""))))</f>
        <v/>
      </c>
      <c r="F6" s="469">
        <v>39.116889999999998</v>
      </c>
      <c r="G6" s="469">
        <v>39.116889999999998</v>
      </c>
      <c r="H6" s="469">
        <v>39.116889999999998</v>
      </c>
      <c r="I6" s="469">
        <v>39.116889999999998</v>
      </c>
      <c r="J6" s="469">
        <v>39.116889999999998</v>
      </c>
      <c r="K6" s="469">
        <v>39.116889999999998</v>
      </c>
      <c r="L6" s="469">
        <v>39.116889999999998</v>
      </c>
      <c r="M6" s="469">
        <v>39.116889999999998</v>
      </c>
      <c r="N6" s="469">
        <v>39.116889999999998</v>
      </c>
      <c r="O6" s="469">
        <v>39.116889999999998</v>
      </c>
      <c r="P6" s="469">
        <v>39.116889999999998</v>
      </c>
      <c r="Q6" s="469">
        <v>39.116889999999998</v>
      </c>
      <c r="R6" s="469">
        <v>39.116889999999998</v>
      </c>
      <c r="S6" s="469">
        <v>39.116889999999998</v>
      </c>
    </row>
    <row r="7" spans="1:20" s="469" customFormat="1">
      <c r="A7" s="469" t="str">
        <f t="shared" si="0"/>
        <v>KU</v>
      </c>
      <c r="B7" s="469" t="str">
        <f t="shared" si="1"/>
        <v>VA</v>
      </c>
      <c r="C7" s="469" t="str">
        <f t="shared" si="2"/>
        <v>301</v>
      </c>
      <c r="D7" s="470" t="s">
        <v>1777</v>
      </c>
      <c r="E7" s="468" t="str">
        <f t="shared" si="3"/>
        <v/>
      </c>
      <c r="F7" s="469">
        <v>5.3386899999999997</v>
      </c>
      <c r="G7" s="469">
        <v>5.3386899999999997</v>
      </c>
      <c r="H7" s="469">
        <v>5.3386899999999997</v>
      </c>
      <c r="I7" s="469">
        <v>5.3386899999999997</v>
      </c>
      <c r="J7" s="469">
        <v>5.3386899999999997</v>
      </c>
      <c r="K7" s="469">
        <v>5.3386899999999997</v>
      </c>
      <c r="L7" s="469">
        <v>5.3386899999999997</v>
      </c>
      <c r="M7" s="469">
        <v>5.3386899999999997</v>
      </c>
      <c r="N7" s="469">
        <v>5.3386899999999997</v>
      </c>
      <c r="O7" s="469">
        <v>5.3386899999999997</v>
      </c>
      <c r="P7" s="469">
        <v>5.3386899999999997</v>
      </c>
      <c r="Q7" s="469">
        <v>5.3386899999999997</v>
      </c>
      <c r="R7" s="469">
        <v>5.3386899999999997</v>
      </c>
      <c r="S7" s="469">
        <v>5.3386899999999997</v>
      </c>
    </row>
    <row r="8" spans="1:20" s="469" customFormat="1">
      <c r="A8" s="469" t="str">
        <f t="shared" si="0"/>
        <v>KU</v>
      </c>
      <c r="B8" s="469" t="str">
        <f t="shared" si="1"/>
        <v>KY</v>
      </c>
      <c r="C8" s="469" t="str">
        <f t="shared" si="2"/>
        <v>302</v>
      </c>
      <c r="D8" s="470" t="s">
        <v>1778</v>
      </c>
      <c r="E8" s="468" t="str">
        <f t="shared" si="3"/>
        <v/>
      </c>
      <c r="F8" s="469">
        <v>55.91883</v>
      </c>
      <c r="G8" s="469">
        <v>55.91883</v>
      </c>
      <c r="H8" s="469">
        <v>55.91883</v>
      </c>
      <c r="I8" s="469">
        <v>55.91883</v>
      </c>
      <c r="J8" s="469">
        <v>55.91883</v>
      </c>
      <c r="K8" s="469">
        <v>55.91883</v>
      </c>
      <c r="L8" s="469">
        <v>55.91883</v>
      </c>
      <c r="M8" s="469">
        <v>55.91883</v>
      </c>
      <c r="N8" s="469">
        <v>55.91883</v>
      </c>
      <c r="O8" s="469">
        <v>55.91883</v>
      </c>
      <c r="P8" s="469">
        <v>55.91883</v>
      </c>
      <c r="Q8" s="469">
        <v>55.91883</v>
      </c>
      <c r="R8" s="469">
        <v>55.91883</v>
      </c>
      <c r="S8" s="469">
        <v>55.91883</v>
      </c>
    </row>
    <row r="9" spans="1:20" s="469" customFormat="1">
      <c r="A9" s="469" t="str">
        <f t="shared" si="0"/>
        <v>KU</v>
      </c>
      <c r="B9" s="469" t="str">
        <f t="shared" si="1"/>
        <v>KY</v>
      </c>
      <c r="C9" s="469" t="str">
        <f t="shared" si="2"/>
        <v>303</v>
      </c>
      <c r="D9" s="470" t="s">
        <v>1779</v>
      </c>
      <c r="E9" s="468" t="str">
        <f t="shared" si="3"/>
        <v/>
      </c>
      <c r="F9" s="469">
        <v>52305.913650000002</v>
      </c>
      <c r="G9" s="469">
        <v>52451.724040000001</v>
      </c>
      <c r="H9" s="469">
        <v>52323.40941</v>
      </c>
      <c r="I9" s="469">
        <v>50064.100180000001</v>
      </c>
      <c r="J9" s="469">
        <v>49441.424919999998</v>
      </c>
      <c r="K9" s="469">
        <v>49287.796970000003</v>
      </c>
      <c r="L9" s="469">
        <v>49352.874790000002</v>
      </c>
      <c r="M9" s="469">
        <v>52572.107170000003</v>
      </c>
      <c r="N9" s="469">
        <v>52616.605080000001</v>
      </c>
      <c r="O9" s="469">
        <v>52261.949139999997</v>
      </c>
      <c r="P9" s="469">
        <v>52140.676139999901</v>
      </c>
      <c r="Q9" s="469">
        <v>60179.963319999901</v>
      </c>
      <c r="R9" s="469">
        <v>59988.3173199999</v>
      </c>
      <c r="S9" s="469">
        <v>60080.3173199999</v>
      </c>
    </row>
    <row r="10" spans="1:20" s="469" customFormat="1">
      <c r="A10" s="469" t="str">
        <f t="shared" si="0"/>
        <v>KU</v>
      </c>
      <c r="B10" s="469" t="str">
        <f t="shared" si="1"/>
        <v>KY</v>
      </c>
      <c r="C10" s="469" t="str">
        <f t="shared" si="2"/>
        <v>303</v>
      </c>
      <c r="D10" s="470" t="s">
        <v>1780</v>
      </c>
      <c r="E10" s="468" t="str">
        <f t="shared" si="3"/>
        <v/>
      </c>
      <c r="F10" s="469">
        <v>41045.494530000004</v>
      </c>
      <c r="G10" s="469">
        <v>41045.494530000004</v>
      </c>
      <c r="H10" s="469">
        <v>41045.494530000004</v>
      </c>
      <c r="I10" s="469">
        <v>41045.494530000004</v>
      </c>
      <c r="J10" s="469">
        <v>41045.494530000004</v>
      </c>
      <c r="K10" s="469">
        <v>41045.494530000004</v>
      </c>
      <c r="L10" s="469">
        <v>41045.494530000004</v>
      </c>
      <c r="M10" s="469">
        <v>41045.494530000004</v>
      </c>
      <c r="N10" s="469">
        <v>41045.494530000004</v>
      </c>
      <c r="O10" s="469">
        <v>41045.494530000004</v>
      </c>
      <c r="P10" s="469">
        <v>41045.494530000004</v>
      </c>
      <c r="Q10" s="469">
        <v>41177.094440000001</v>
      </c>
      <c r="R10" s="469">
        <v>41177.094440000001</v>
      </c>
      <c r="S10" s="469">
        <v>41177.094440000001</v>
      </c>
    </row>
    <row r="11" spans="1:20" s="469" customFormat="1">
      <c r="A11" s="469" t="str">
        <f t="shared" si="0"/>
        <v>KU</v>
      </c>
      <c r="B11" s="469" t="str">
        <f t="shared" si="1"/>
        <v>KY</v>
      </c>
      <c r="C11" s="469" t="str">
        <f t="shared" si="2"/>
        <v>310</v>
      </c>
      <c r="D11" s="470" t="s">
        <v>1781</v>
      </c>
      <c r="E11" s="468" t="str">
        <f t="shared" si="3"/>
        <v>ECR</v>
      </c>
      <c r="F11" s="469">
        <v>10406.297269999999</v>
      </c>
      <c r="G11" s="469">
        <v>10406.297269999999</v>
      </c>
      <c r="H11" s="469">
        <v>10406.297269999999</v>
      </c>
      <c r="I11" s="469">
        <v>10406.297269999999</v>
      </c>
      <c r="J11" s="469">
        <v>10406.297269999999</v>
      </c>
      <c r="K11" s="469">
        <v>10406.297269999999</v>
      </c>
      <c r="L11" s="469">
        <v>10406.297269999999</v>
      </c>
      <c r="M11" s="469">
        <v>10406.297269999999</v>
      </c>
      <c r="N11" s="469">
        <v>10406.297269999999</v>
      </c>
      <c r="O11" s="469">
        <v>10406.297269999999</v>
      </c>
      <c r="P11" s="469">
        <v>10406.297269999999</v>
      </c>
      <c r="Q11" s="469">
        <v>10406.297269999999</v>
      </c>
      <c r="R11" s="469">
        <v>10406.297269999999</v>
      </c>
      <c r="S11" s="469">
        <v>10406.297269999999</v>
      </c>
    </row>
    <row r="12" spans="1:20" s="469" customFormat="1">
      <c r="A12" s="469" t="str">
        <f t="shared" si="0"/>
        <v>KU</v>
      </c>
      <c r="B12" s="469" t="str">
        <f t="shared" si="1"/>
        <v>KY</v>
      </c>
      <c r="C12" s="469" t="str">
        <f t="shared" si="2"/>
        <v>310</v>
      </c>
      <c r="D12" s="470" t="s">
        <v>1782</v>
      </c>
      <c r="E12" s="468" t="str">
        <f t="shared" si="3"/>
        <v>ECR</v>
      </c>
      <c r="F12" s="469">
        <v>1672.6862900000001</v>
      </c>
      <c r="G12" s="469">
        <v>1672.6862900000001</v>
      </c>
      <c r="H12" s="469">
        <v>1672.6862900000001</v>
      </c>
      <c r="I12" s="469">
        <v>1672.6862900000001</v>
      </c>
      <c r="J12" s="469">
        <v>1672.6862900000001</v>
      </c>
      <c r="K12" s="469">
        <v>1406.9974500000001</v>
      </c>
      <c r="L12" s="469">
        <v>1406.9974500000001</v>
      </c>
      <c r="M12" s="469">
        <v>1406.9974500000001</v>
      </c>
      <c r="N12" s="469">
        <v>1406.9974500000001</v>
      </c>
      <c r="O12" s="469">
        <v>1406.9974500000001</v>
      </c>
      <c r="P12" s="469">
        <v>1406.9974500000001</v>
      </c>
      <c r="Q12" s="469">
        <v>1406.9974500000001</v>
      </c>
      <c r="R12" s="469">
        <v>1406.9974500000001</v>
      </c>
      <c r="S12" s="469">
        <v>1406.9974500000001</v>
      </c>
    </row>
    <row r="13" spans="1:20" s="469" customFormat="1">
      <c r="A13" s="469" t="str">
        <f t="shared" si="0"/>
        <v>KU</v>
      </c>
      <c r="B13" s="469" t="str">
        <f t="shared" si="1"/>
        <v>KY</v>
      </c>
      <c r="C13" s="469" t="str">
        <f t="shared" si="2"/>
        <v>310</v>
      </c>
      <c r="D13" s="470" t="s">
        <v>1783</v>
      </c>
      <c r="E13" s="468" t="str">
        <f t="shared" si="3"/>
        <v/>
      </c>
      <c r="F13" s="469">
        <v>10879.218860000001</v>
      </c>
      <c r="G13" s="469">
        <v>10879.218860000001</v>
      </c>
      <c r="H13" s="469">
        <v>10879.218860000001</v>
      </c>
      <c r="I13" s="469">
        <v>10879.218860000001</v>
      </c>
      <c r="J13" s="469">
        <v>10879.218860000001</v>
      </c>
      <c r="K13" s="469">
        <v>10879.218860000001</v>
      </c>
      <c r="L13" s="469">
        <v>10879.218860000001</v>
      </c>
      <c r="M13" s="469">
        <v>10879.218860000001</v>
      </c>
      <c r="N13" s="469">
        <v>10879.218860000001</v>
      </c>
      <c r="O13" s="469">
        <v>10879.218860000001</v>
      </c>
      <c r="P13" s="469">
        <v>11354.218860000001</v>
      </c>
      <c r="Q13" s="469">
        <v>11354.218860000001</v>
      </c>
      <c r="R13" s="469">
        <v>11354.218860000001</v>
      </c>
      <c r="S13" s="469">
        <v>11354.218860000001</v>
      </c>
    </row>
    <row r="14" spans="1:20" s="469" customFormat="1">
      <c r="A14" s="469" t="str">
        <f t="shared" si="0"/>
        <v>KU</v>
      </c>
      <c r="B14" s="469" t="str">
        <f t="shared" si="1"/>
        <v>KY</v>
      </c>
      <c r="C14" s="469" t="str">
        <f t="shared" si="2"/>
        <v>311</v>
      </c>
      <c r="D14" s="470" t="s">
        <v>1784</v>
      </c>
      <c r="E14" s="468" t="str">
        <f t="shared" si="3"/>
        <v>ECR</v>
      </c>
      <c r="F14" s="469">
        <v>3022.6807800000001</v>
      </c>
      <c r="G14" s="469">
        <v>3022.6807800000001</v>
      </c>
      <c r="H14" s="469">
        <v>3022.6807800000001</v>
      </c>
      <c r="I14" s="469">
        <v>3022.6807800000001</v>
      </c>
      <c r="J14" s="469">
        <v>3022.6807800000001</v>
      </c>
      <c r="K14" s="469">
        <v>3022.6807800000001</v>
      </c>
      <c r="L14" s="469">
        <v>3022.6807800000001</v>
      </c>
      <c r="M14" s="469">
        <v>3022.6807800000001</v>
      </c>
      <c r="N14" s="469">
        <v>3022.6807800000001</v>
      </c>
      <c r="O14" s="469">
        <v>3022.6807800000001</v>
      </c>
      <c r="P14" s="469">
        <v>3022.6807800000001</v>
      </c>
      <c r="Q14" s="469">
        <v>3022.6807800000001</v>
      </c>
      <c r="R14" s="469">
        <v>3022.6807800000001</v>
      </c>
      <c r="S14" s="469">
        <v>3022.6807800000001</v>
      </c>
    </row>
    <row r="15" spans="1:20" s="469" customFormat="1">
      <c r="A15" s="469" t="str">
        <f t="shared" si="0"/>
        <v>KU</v>
      </c>
      <c r="B15" s="469" t="str">
        <f t="shared" si="1"/>
        <v>KY</v>
      </c>
      <c r="C15" s="469" t="str">
        <f t="shared" si="2"/>
        <v>311</v>
      </c>
      <c r="D15" s="470" t="s">
        <v>2341</v>
      </c>
      <c r="E15" s="468" t="str">
        <f t="shared" si="3"/>
        <v>ECR</v>
      </c>
      <c r="F15" s="469">
        <v>8999.8046300000005</v>
      </c>
      <c r="G15" s="469">
        <v>8999.8046300000005</v>
      </c>
      <c r="H15" s="469">
        <v>8999.8046300000005</v>
      </c>
      <c r="I15" s="469">
        <v>8999.8046300000005</v>
      </c>
      <c r="J15" s="469">
        <v>8999.8046300000005</v>
      </c>
      <c r="K15" s="469">
        <v>8999.8046300000005</v>
      </c>
      <c r="L15" s="469">
        <v>8999.8046300000005</v>
      </c>
      <c r="M15" s="469">
        <v>8999.8046300000005</v>
      </c>
      <c r="N15" s="469">
        <v>8999.8046300000005</v>
      </c>
      <c r="O15" s="469">
        <v>8999.8046300000005</v>
      </c>
      <c r="P15" s="469">
        <v>8999.8046300000005</v>
      </c>
      <c r="Q15" s="469">
        <v>8999.8046300000005</v>
      </c>
      <c r="R15" s="469">
        <v>8999.8046300000005</v>
      </c>
      <c r="S15" s="469">
        <v>8999.8046300000005</v>
      </c>
    </row>
    <row r="16" spans="1:20" s="469" customFormat="1">
      <c r="A16" s="469" t="str">
        <f t="shared" si="0"/>
        <v>KU</v>
      </c>
      <c r="B16" s="469" t="str">
        <f t="shared" si="1"/>
        <v>KY</v>
      </c>
      <c r="C16" s="469" t="str">
        <f t="shared" si="2"/>
        <v>311</v>
      </c>
      <c r="D16" s="470" t="s">
        <v>1785</v>
      </c>
      <c r="E16" s="468" t="str">
        <f t="shared" si="3"/>
        <v/>
      </c>
      <c r="F16" s="469">
        <v>326049.89361000003</v>
      </c>
      <c r="G16" s="469">
        <v>326051.55979000003</v>
      </c>
      <c r="H16" s="469">
        <v>326469.76068000001</v>
      </c>
      <c r="I16" s="469">
        <v>326466.14760999999</v>
      </c>
      <c r="J16" s="469">
        <v>321246.30037000001</v>
      </c>
      <c r="K16" s="469">
        <v>320956.52351999999</v>
      </c>
      <c r="L16" s="469">
        <v>321174.50756</v>
      </c>
      <c r="M16" s="469">
        <v>321374.99440999998</v>
      </c>
      <c r="N16" s="469">
        <v>322649.70467000001</v>
      </c>
      <c r="O16" s="469">
        <v>322796.34031</v>
      </c>
      <c r="P16" s="469">
        <v>322876.04917000001</v>
      </c>
      <c r="Q16" s="469">
        <v>323372.00433999998</v>
      </c>
      <c r="R16" s="469">
        <v>323372.00433999998</v>
      </c>
      <c r="S16" s="469">
        <v>323372.00433999998</v>
      </c>
    </row>
    <row r="17" spans="1:19" s="469" customFormat="1">
      <c r="A17" s="469" t="str">
        <f t="shared" si="0"/>
        <v>KU</v>
      </c>
      <c r="B17" s="469" t="str">
        <f t="shared" si="1"/>
        <v>KY</v>
      </c>
      <c r="C17" s="469" t="str">
        <f t="shared" si="2"/>
        <v>312</v>
      </c>
      <c r="D17" s="470" t="s">
        <v>1786</v>
      </c>
      <c r="E17" s="468" t="str">
        <f t="shared" si="3"/>
        <v/>
      </c>
      <c r="F17" s="469">
        <v>2651020.4514000001</v>
      </c>
      <c r="G17" s="469">
        <v>2648034.1232799999</v>
      </c>
      <c r="H17" s="469">
        <v>2648751.5554</v>
      </c>
      <c r="I17" s="469">
        <v>2651883.79531</v>
      </c>
      <c r="J17" s="469">
        <v>2655435.8094500001</v>
      </c>
      <c r="K17" s="469">
        <v>2659779.02305</v>
      </c>
      <c r="L17" s="469">
        <v>2660851.21423</v>
      </c>
      <c r="M17" s="469">
        <v>2660214.6174099999</v>
      </c>
      <c r="N17" s="469">
        <v>2660996.2979700002</v>
      </c>
      <c r="O17" s="469">
        <v>2662133.2151299999</v>
      </c>
      <c r="P17" s="469">
        <v>2662320.3763299999</v>
      </c>
      <c r="Q17" s="469">
        <v>2667199.6134899999</v>
      </c>
      <c r="R17" s="469">
        <v>2667128.75086</v>
      </c>
      <c r="S17" s="469">
        <v>2664076.7871900001</v>
      </c>
    </row>
    <row r="18" spans="1:19" s="469" customFormat="1">
      <c r="A18" s="469" t="str">
        <f t="shared" si="0"/>
        <v>KU</v>
      </c>
      <c r="B18" s="469" t="str">
        <f t="shared" si="1"/>
        <v>KY</v>
      </c>
      <c r="C18" s="469" t="str">
        <f t="shared" si="2"/>
        <v>312</v>
      </c>
      <c r="D18" s="470" t="s">
        <v>1787</v>
      </c>
      <c r="E18" s="468" t="str">
        <f t="shared" si="3"/>
        <v>ECR</v>
      </c>
      <c r="F18" s="469">
        <v>444484.54975000001</v>
      </c>
      <c r="G18" s="469">
        <v>444458.91975</v>
      </c>
      <c r="H18" s="469">
        <v>444458.91966999997</v>
      </c>
      <c r="I18" s="469">
        <v>445272.55319999898</v>
      </c>
      <c r="J18" s="469">
        <v>445272.55325</v>
      </c>
      <c r="K18" s="469">
        <v>445272.55325</v>
      </c>
      <c r="L18" s="469">
        <v>455335.08244999999</v>
      </c>
      <c r="M18" s="469">
        <v>455335.08244999999</v>
      </c>
      <c r="N18" s="469">
        <v>471871.34334999998</v>
      </c>
      <c r="O18" s="469">
        <v>474311.60947000002</v>
      </c>
      <c r="P18" s="469">
        <v>476839.60947000002</v>
      </c>
      <c r="Q18" s="469">
        <v>478818.67647000001</v>
      </c>
      <c r="R18" s="469">
        <v>479068.67647000001</v>
      </c>
      <c r="S18" s="469">
        <v>479568.67647000001</v>
      </c>
    </row>
    <row r="19" spans="1:19" s="469" customFormat="1">
      <c r="A19" s="469" t="str">
        <f t="shared" si="0"/>
        <v>KU</v>
      </c>
      <c r="B19" s="469" t="str">
        <f t="shared" si="1"/>
        <v>KY</v>
      </c>
      <c r="C19" s="469" t="str">
        <f t="shared" si="2"/>
        <v>312</v>
      </c>
      <c r="D19" s="470" t="s">
        <v>1788</v>
      </c>
      <c r="E19" s="468" t="str">
        <f t="shared" si="3"/>
        <v>ECR</v>
      </c>
      <c r="F19" s="469">
        <v>698667.23199999996</v>
      </c>
      <c r="G19" s="469">
        <v>698667.23199999996</v>
      </c>
      <c r="H19" s="469">
        <v>698667.23195999896</v>
      </c>
      <c r="I19" s="469">
        <v>698667.23195999896</v>
      </c>
      <c r="J19" s="469">
        <v>698667.23199999996</v>
      </c>
      <c r="K19" s="469">
        <v>698667.23199999996</v>
      </c>
      <c r="L19" s="469">
        <v>698667.23199999996</v>
      </c>
      <c r="M19" s="469">
        <v>712438.72730000003</v>
      </c>
      <c r="N19" s="469">
        <v>808679.39092999999</v>
      </c>
      <c r="O19" s="469">
        <v>823985.78657999996</v>
      </c>
      <c r="P19" s="469">
        <v>829940.16865999997</v>
      </c>
      <c r="Q19" s="469">
        <v>835574.35519999999</v>
      </c>
      <c r="R19" s="469">
        <v>836174.35519999999</v>
      </c>
      <c r="S19" s="469">
        <v>836774.35519999999</v>
      </c>
    </row>
    <row r="20" spans="1:19" s="469" customFormat="1">
      <c r="A20" s="469" t="str">
        <f t="shared" si="0"/>
        <v>KU</v>
      </c>
      <c r="B20" s="469" t="str">
        <f t="shared" si="1"/>
        <v>KY</v>
      </c>
      <c r="C20" s="469" t="str">
        <f t="shared" si="2"/>
        <v>312</v>
      </c>
      <c r="D20" s="470" t="s">
        <v>2342</v>
      </c>
      <c r="E20" s="468" t="str">
        <f>IF(ISTEXT(MID($D20,SEARCH("FUTURE USE",$D20),3)),"FUTURE USE",IF(ISTEXT(MID($D20,SEARCH("ECR",$D20),3)),"ECR",IF(ISTEXT(MID($D20,SEARCH("ARO",$D20),3)),"ARO",IF(ISTEXT(MID($D20,SEARCH("DSM",$D20),3)),"DSM",""))))</f>
        <v>ECR</v>
      </c>
      <c r="F20" s="469">
        <v>0</v>
      </c>
      <c r="G20" s="469">
        <v>0</v>
      </c>
      <c r="H20" s="469">
        <v>0</v>
      </c>
      <c r="I20" s="469">
        <v>0</v>
      </c>
      <c r="J20" s="469">
        <v>0</v>
      </c>
      <c r="K20" s="469">
        <v>0</v>
      </c>
      <c r="L20" s="469">
        <v>0</v>
      </c>
      <c r="M20" s="469">
        <v>0</v>
      </c>
      <c r="N20" s="469">
        <v>0</v>
      </c>
      <c r="O20" s="469">
        <v>0</v>
      </c>
      <c r="P20" s="469">
        <v>0</v>
      </c>
      <c r="Q20" s="469">
        <v>2847.45964</v>
      </c>
      <c r="R20" s="469">
        <v>3122.45964</v>
      </c>
      <c r="S20" s="469">
        <v>3982.45964</v>
      </c>
    </row>
    <row r="21" spans="1:19" s="469" customFormat="1">
      <c r="A21" s="469" t="str">
        <f t="shared" si="0"/>
        <v>KU</v>
      </c>
      <c r="B21" s="469" t="str">
        <f t="shared" si="1"/>
        <v>KY</v>
      </c>
      <c r="C21" s="469" t="str">
        <f t="shared" si="2"/>
        <v>312</v>
      </c>
      <c r="D21" s="470" t="s">
        <v>2343</v>
      </c>
      <c r="E21" s="468" t="str">
        <f t="shared" ref="E21:E84" si="4">IF(ISTEXT(MID($D21,SEARCH("FUTURE USE",$D21),3)),"FUTURE USE",IF(ISTEXT(MID($D21,SEARCH("ECR",$D21),3)),"ECR",IF(ISTEXT(MID($D21,SEARCH("ARO",$D21),3)),"ARO",IF(ISTEXT(MID($D21,SEARCH("DSM",$D21),3)),"DSM",""))))</f>
        <v>ECR</v>
      </c>
      <c r="F21" s="469">
        <v>0</v>
      </c>
      <c r="G21" s="469">
        <v>0</v>
      </c>
      <c r="H21" s="469">
        <v>0</v>
      </c>
      <c r="I21" s="469">
        <v>0</v>
      </c>
      <c r="J21" s="469">
        <v>0</v>
      </c>
      <c r="K21" s="469">
        <v>0</v>
      </c>
      <c r="L21" s="469">
        <v>0</v>
      </c>
      <c r="M21" s="469">
        <v>0</v>
      </c>
      <c r="N21" s="469">
        <v>0</v>
      </c>
      <c r="O21" s="469">
        <v>0</v>
      </c>
      <c r="P21" s="469">
        <v>0</v>
      </c>
      <c r="Q21" s="469">
        <v>0</v>
      </c>
      <c r="R21" s="469">
        <v>0</v>
      </c>
      <c r="S21" s="469">
        <v>0</v>
      </c>
    </row>
    <row r="22" spans="1:19" s="469" customFormat="1">
      <c r="A22" s="469" t="str">
        <f t="shared" si="0"/>
        <v>KU</v>
      </c>
      <c r="B22" s="469" t="str">
        <f t="shared" si="1"/>
        <v>KY</v>
      </c>
      <c r="C22" s="469" t="str">
        <f t="shared" si="2"/>
        <v>314</v>
      </c>
      <c r="D22" s="470" t="s">
        <v>1790</v>
      </c>
      <c r="E22" s="468" t="str">
        <f t="shared" si="4"/>
        <v/>
      </c>
      <c r="F22" s="469">
        <v>329307.17852999998</v>
      </c>
      <c r="G22" s="469">
        <v>329044.97106000001</v>
      </c>
      <c r="H22" s="469">
        <v>328870.23947999999</v>
      </c>
      <c r="I22" s="469">
        <v>331902.11048999999</v>
      </c>
      <c r="J22" s="469">
        <v>331859.03106000001</v>
      </c>
      <c r="K22" s="469">
        <v>331898.80712000001</v>
      </c>
      <c r="L22" s="469">
        <v>332021.15525000001</v>
      </c>
      <c r="M22" s="469">
        <v>332038.30836000002</v>
      </c>
      <c r="N22" s="469">
        <v>332208.22590000002</v>
      </c>
      <c r="O22" s="469">
        <v>334411.46743000002</v>
      </c>
      <c r="P22" s="469">
        <v>335451.59317000001</v>
      </c>
      <c r="Q22" s="469">
        <v>335484.18927999999</v>
      </c>
      <c r="R22" s="469">
        <v>335484.18927999999</v>
      </c>
      <c r="S22" s="469">
        <v>335484.18927999999</v>
      </c>
    </row>
    <row r="23" spans="1:19" s="469" customFormat="1">
      <c r="A23" s="469" t="str">
        <f t="shared" si="0"/>
        <v>KU</v>
      </c>
      <c r="B23" s="469" t="str">
        <f t="shared" si="1"/>
        <v>KY</v>
      </c>
      <c r="C23" s="469" t="str">
        <f t="shared" si="2"/>
        <v>315</v>
      </c>
      <c r="D23" s="470" t="s">
        <v>1791</v>
      </c>
      <c r="E23" s="468" t="str">
        <f t="shared" si="4"/>
        <v/>
      </c>
      <c r="F23" s="469">
        <v>212460.60163999899</v>
      </c>
      <c r="G23" s="469">
        <v>212388.34514999899</v>
      </c>
      <c r="H23" s="469">
        <v>211926.65445999999</v>
      </c>
      <c r="I23" s="469">
        <v>212077.53983999899</v>
      </c>
      <c r="J23" s="469">
        <v>212058.18505999999</v>
      </c>
      <c r="K23" s="469">
        <v>212137.5252</v>
      </c>
      <c r="L23" s="469">
        <v>212137.6618</v>
      </c>
      <c r="M23" s="469">
        <v>212084.06859999901</v>
      </c>
      <c r="N23" s="469">
        <v>212209.63494999899</v>
      </c>
      <c r="O23" s="469">
        <v>212212.22694999899</v>
      </c>
      <c r="P23" s="469">
        <v>212311.63024999999</v>
      </c>
      <c r="Q23" s="469">
        <v>216753.4657</v>
      </c>
      <c r="R23" s="469">
        <v>216753.4657</v>
      </c>
      <c r="S23" s="469">
        <v>216753.4657</v>
      </c>
    </row>
    <row r="24" spans="1:19" s="469" customFormat="1">
      <c r="A24" s="469" t="str">
        <f t="shared" si="0"/>
        <v>KU</v>
      </c>
      <c r="B24" s="469" t="str">
        <f t="shared" si="1"/>
        <v>KY</v>
      </c>
      <c r="C24" s="469" t="str">
        <f t="shared" si="2"/>
        <v>315</v>
      </c>
      <c r="D24" s="470" t="s">
        <v>2344</v>
      </c>
      <c r="E24" s="468" t="str">
        <f t="shared" si="4"/>
        <v>ECR</v>
      </c>
      <c r="F24" s="469">
        <v>1303.7405899999901</v>
      </c>
      <c r="G24" s="469">
        <v>1303.7405899999901</v>
      </c>
      <c r="H24" s="469">
        <v>1303.7405899999901</v>
      </c>
      <c r="I24" s="469">
        <v>1303.7405899999901</v>
      </c>
      <c r="J24" s="469">
        <v>1303.7405899999901</v>
      </c>
      <c r="K24" s="469">
        <v>1303.7405899999901</v>
      </c>
      <c r="L24" s="469">
        <v>1303.7405899999901</v>
      </c>
      <c r="M24" s="469">
        <v>1303.7405899999901</v>
      </c>
      <c r="N24" s="469">
        <v>1303.7405899999901</v>
      </c>
      <c r="O24" s="469">
        <v>1303.7405899999901</v>
      </c>
      <c r="P24" s="469">
        <v>1303.7405899999901</v>
      </c>
      <c r="Q24" s="469">
        <v>1303.7405899999901</v>
      </c>
      <c r="R24" s="469">
        <v>1303.7405899999901</v>
      </c>
      <c r="S24" s="469">
        <v>1303.7405899999901</v>
      </c>
    </row>
    <row r="25" spans="1:19" s="469" customFormat="1">
      <c r="A25" s="469" t="str">
        <f t="shared" si="0"/>
        <v>KU</v>
      </c>
      <c r="B25" s="469" t="str">
        <f t="shared" si="1"/>
        <v>KY</v>
      </c>
      <c r="C25" s="469" t="str">
        <f t="shared" si="2"/>
        <v>315</v>
      </c>
      <c r="D25" s="470" t="s">
        <v>1792</v>
      </c>
      <c r="E25" s="468" t="str">
        <f t="shared" si="4"/>
        <v>ECR</v>
      </c>
      <c r="F25" s="469">
        <v>8074.0465599999998</v>
      </c>
      <c r="G25" s="469">
        <v>8074.0465599999998</v>
      </c>
      <c r="H25" s="469">
        <v>8074.0465599999998</v>
      </c>
      <c r="I25" s="469">
        <v>8074.0465599999998</v>
      </c>
      <c r="J25" s="469">
        <v>8074.0465599999998</v>
      </c>
      <c r="K25" s="469">
        <v>8074.0465599999998</v>
      </c>
      <c r="L25" s="469">
        <v>8074.0465599999998</v>
      </c>
      <c r="M25" s="469">
        <v>8219.8982599999999</v>
      </c>
      <c r="N25" s="469">
        <v>8219.8982599999999</v>
      </c>
      <c r="O25" s="469">
        <v>8219.8982599999999</v>
      </c>
      <c r="P25" s="469">
        <v>8219.8982599999999</v>
      </c>
      <c r="Q25" s="469">
        <v>8219.8982599999999</v>
      </c>
      <c r="R25" s="469">
        <v>8219.8982599999999</v>
      </c>
      <c r="S25" s="469">
        <v>8219.8982599999999</v>
      </c>
    </row>
    <row r="26" spans="1:19" s="469" customFormat="1">
      <c r="A26" s="469" t="str">
        <f t="shared" si="0"/>
        <v>KU</v>
      </c>
      <c r="B26" s="469" t="str">
        <f t="shared" si="1"/>
        <v>KY</v>
      </c>
      <c r="C26" s="469" t="str">
        <f t="shared" si="2"/>
        <v>316</v>
      </c>
      <c r="D26" s="470" t="s">
        <v>2345</v>
      </c>
      <c r="E26" s="468" t="str">
        <f t="shared" si="4"/>
        <v>ECR</v>
      </c>
      <c r="F26" s="469">
        <v>824.92337999999995</v>
      </c>
      <c r="G26" s="469">
        <v>824.92337999999995</v>
      </c>
      <c r="H26" s="469">
        <v>824.92337999999995</v>
      </c>
      <c r="I26" s="469">
        <v>824.92337999999995</v>
      </c>
      <c r="J26" s="469">
        <v>824.92337999999995</v>
      </c>
      <c r="K26" s="469">
        <v>824.92337999999995</v>
      </c>
      <c r="L26" s="469">
        <v>824.92337999999995</v>
      </c>
      <c r="M26" s="469">
        <v>824.92337999999995</v>
      </c>
      <c r="N26" s="469">
        <v>824.92337999999995</v>
      </c>
      <c r="O26" s="469">
        <v>824.92337999999995</v>
      </c>
      <c r="P26" s="469">
        <v>824.92337999999995</v>
      </c>
      <c r="Q26" s="469">
        <v>824.92337999999995</v>
      </c>
      <c r="R26" s="469">
        <v>824.92337999999995</v>
      </c>
      <c r="S26" s="469">
        <v>824.92337999999995</v>
      </c>
    </row>
    <row r="27" spans="1:19" s="469" customFormat="1">
      <c r="A27" s="469" t="str">
        <f t="shared" si="0"/>
        <v>KU</v>
      </c>
      <c r="B27" s="469" t="str">
        <f t="shared" si="1"/>
        <v>KY</v>
      </c>
      <c r="C27" s="469" t="str">
        <f t="shared" si="2"/>
        <v>316</v>
      </c>
      <c r="D27" s="470" t="s">
        <v>1793</v>
      </c>
      <c r="E27" s="468" t="str">
        <f t="shared" si="4"/>
        <v/>
      </c>
      <c r="F27" s="469">
        <v>35725.853470000002</v>
      </c>
      <c r="G27" s="469">
        <v>35770.335959999997</v>
      </c>
      <c r="H27" s="469">
        <v>35832.962460000002</v>
      </c>
      <c r="I27" s="469">
        <v>35864.465729999902</v>
      </c>
      <c r="J27" s="469">
        <v>35747.532829999996</v>
      </c>
      <c r="K27" s="469">
        <v>35689.888639999997</v>
      </c>
      <c r="L27" s="469">
        <v>35738.760219999996</v>
      </c>
      <c r="M27" s="469">
        <v>35815.4800399999</v>
      </c>
      <c r="N27" s="469">
        <v>36179.841839999899</v>
      </c>
      <c r="O27" s="469">
        <v>36293.953579999899</v>
      </c>
      <c r="P27" s="469">
        <v>36761.3838399999</v>
      </c>
      <c r="Q27" s="469">
        <v>36822.583819999898</v>
      </c>
      <c r="R27" s="469">
        <v>36833.292919999898</v>
      </c>
      <c r="S27" s="469">
        <v>36844.002009999902</v>
      </c>
    </row>
    <row r="28" spans="1:19" s="469" customFormat="1">
      <c r="A28" s="469" t="str">
        <f t="shared" si="0"/>
        <v>KU</v>
      </c>
      <c r="B28" s="469" t="str">
        <f t="shared" si="1"/>
        <v>KY</v>
      </c>
      <c r="C28" s="469" t="str">
        <f t="shared" si="2"/>
        <v>317</v>
      </c>
      <c r="D28" s="470" t="s">
        <v>1794</v>
      </c>
      <c r="E28" s="468" t="str">
        <f t="shared" si="4"/>
        <v>ARO</v>
      </c>
      <c r="F28" s="469">
        <v>329221.43530000001</v>
      </c>
      <c r="G28" s="469">
        <v>329221.43530000001</v>
      </c>
      <c r="H28" s="469">
        <v>329221.43526</v>
      </c>
      <c r="I28" s="469">
        <v>329221.43526</v>
      </c>
      <c r="J28" s="469">
        <v>329221.43530000001</v>
      </c>
      <c r="K28" s="469">
        <v>329221.43530000001</v>
      </c>
      <c r="L28" s="469">
        <v>331002.42839999998</v>
      </c>
      <c r="M28" s="469">
        <v>331002.42833000002</v>
      </c>
      <c r="N28" s="469">
        <v>331002.42833000002</v>
      </c>
      <c r="O28" s="469">
        <v>331002.42833000002</v>
      </c>
      <c r="P28" s="469">
        <v>331002.42833000002</v>
      </c>
      <c r="Q28" s="469">
        <v>331002.42833000002</v>
      </c>
      <c r="R28" s="469">
        <v>331002.42833000002</v>
      </c>
      <c r="S28" s="469">
        <v>331002.42833000002</v>
      </c>
    </row>
    <row r="29" spans="1:19" s="469" customFormat="1">
      <c r="A29" s="469" t="str">
        <f t="shared" si="0"/>
        <v>KU</v>
      </c>
      <c r="B29" s="469" t="str">
        <f t="shared" si="1"/>
        <v>KY</v>
      </c>
      <c r="C29" s="469" t="str">
        <f t="shared" si="2"/>
        <v>330</v>
      </c>
      <c r="D29" s="470" t="s">
        <v>1795</v>
      </c>
      <c r="E29" s="468" t="str">
        <f t="shared" si="4"/>
        <v/>
      </c>
      <c r="F29" s="469">
        <v>879.31146999999999</v>
      </c>
      <c r="G29" s="469">
        <v>879.31146999999999</v>
      </c>
      <c r="H29" s="469">
        <v>879.31146999999999</v>
      </c>
      <c r="I29" s="469">
        <v>879.31146999999999</v>
      </c>
      <c r="J29" s="469">
        <v>879.31146999999999</v>
      </c>
      <c r="K29" s="469">
        <v>879.31146999999999</v>
      </c>
      <c r="L29" s="469">
        <v>879.31146999999999</v>
      </c>
      <c r="M29" s="469">
        <v>879.31146999999999</v>
      </c>
      <c r="N29" s="469">
        <v>879.31146999999999</v>
      </c>
      <c r="O29" s="469">
        <v>879.31146999999999</v>
      </c>
      <c r="P29" s="469">
        <v>879.31146999999999</v>
      </c>
      <c r="Q29" s="469">
        <v>879.31146999999999</v>
      </c>
      <c r="R29" s="469">
        <v>879.31146999999999</v>
      </c>
      <c r="S29" s="469">
        <v>879.31146999999999</v>
      </c>
    </row>
    <row r="30" spans="1:19" s="469" customFormat="1">
      <c r="A30" s="469" t="str">
        <f t="shared" si="0"/>
        <v>KU</v>
      </c>
      <c r="B30" s="469" t="str">
        <f t="shared" si="1"/>
        <v>KY</v>
      </c>
      <c r="C30" s="469" t="str">
        <f t="shared" si="2"/>
        <v>331</v>
      </c>
      <c r="D30" s="470" t="s">
        <v>1796</v>
      </c>
      <c r="E30" s="468" t="str">
        <f t="shared" si="4"/>
        <v/>
      </c>
      <c r="F30" s="469">
        <v>827.60263999999995</v>
      </c>
      <c r="G30" s="469">
        <v>2928.6767599999998</v>
      </c>
      <c r="H30" s="469">
        <v>2930.1639300000002</v>
      </c>
      <c r="I30" s="469">
        <v>2930.1639300000002</v>
      </c>
      <c r="J30" s="469">
        <v>2930.1639300000002</v>
      </c>
      <c r="K30" s="469">
        <v>2930.1639300000002</v>
      </c>
      <c r="L30" s="469">
        <v>2930.1639300000002</v>
      </c>
      <c r="M30" s="469">
        <v>2930.1639300000002</v>
      </c>
      <c r="N30" s="469">
        <v>2930.1639300000002</v>
      </c>
      <c r="O30" s="469">
        <v>2930.1639300000002</v>
      </c>
      <c r="P30" s="469">
        <v>2930.1639300000002</v>
      </c>
      <c r="Q30" s="469">
        <v>2930.1639300000002</v>
      </c>
      <c r="R30" s="469">
        <v>2930.1639300000002</v>
      </c>
      <c r="S30" s="469">
        <v>2930.1639300000002</v>
      </c>
    </row>
    <row r="31" spans="1:19" s="469" customFormat="1">
      <c r="A31" s="469" t="str">
        <f t="shared" si="0"/>
        <v>KU</v>
      </c>
      <c r="B31" s="469" t="str">
        <f t="shared" si="1"/>
        <v>KY</v>
      </c>
      <c r="C31" s="469" t="str">
        <f t="shared" si="2"/>
        <v>332</v>
      </c>
      <c r="D31" s="470" t="s">
        <v>1797</v>
      </c>
      <c r="E31" s="468" t="str">
        <f t="shared" si="4"/>
        <v/>
      </c>
      <c r="F31" s="469">
        <v>21885.646369999999</v>
      </c>
      <c r="G31" s="469">
        <v>21885.646369999999</v>
      </c>
      <c r="H31" s="469">
        <v>21885.646369999999</v>
      </c>
      <c r="I31" s="469">
        <v>21885.646369999999</v>
      </c>
      <c r="J31" s="469">
        <v>21885.646369999999</v>
      </c>
      <c r="K31" s="469">
        <v>21885.646369999999</v>
      </c>
      <c r="L31" s="469">
        <v>21885.646369999999</v>
      </c>
      <c r="M31" s="469">
        <v>21885.646369999999</v>
      </c>
      <c r="N31" s="469">
        <v>21885.646369999999</v>
      </c>
      <c r="O31" s="469">
        <v>21885.646369999999</v>
      </c>
      <c r="P31" s="469">
        <v>21885.646369999999</v>
      </c>
      <c r="Q31" s="469">
        <v>21885.646369999999</v>
      </c>
      <c r="R31" s="469">
        <v>21885.646369999999</v>
      </c>
      <c r="S31" s="469">
        <v>21885.646369999999</v>
      </c>
    </row>
    <row r="32" spans="1:19" s="469" customFormat="1">
      <c r="A32" s="469" t="str">
        <f t="shared" si="0"/>
        <v>KU</v>
      </c>
      <c r="B32" s="469" t="str">
        <f t="shared" si="1"/>
        <v>KY</v>
      </c>
      <c r="C32" s="469" t="str">
        <f t="shared" si="2"/>
        <v>333</v>
      </c>
      <c r="D32" s="470" t="s">
        <v>1798</v>
      </c>
      <c r="E32" s="468" t="str">
        <f t="shared" si="4"/>
        <v/>
      </c>
      <c r="F32" s="469">
        <v>14059.58315</v>
      </c>
      <c r="G32" s="469">
        <v>14046.74158</v>
      </c>
      <c r="H32" s="469">
        <v>14046.74158</v>
      </c>
      <c r="I32" s="469">
        <v>14046.74158</v>
      </c>
      <c r="J32" s="469">
        <v>14046.74158</v>
      </c>
      <c r="K32" s="469">
        <v>14046.74158</v>
      </c>
      <c r="L32" s="469">
        <v>14046.74158</v>
      </c>
      <c r="M32" s="469">
        <v>14046.74158</v>
      </c>
      <c r="N32" s="469">
        <v>14046.74158</v>
      </c>
      <c r="O32" s="469">
        <v>14046.74158</v>
      </c>
      <c r="P32" s="469">
        <v>14046.74158</v>
      </c>
      <c r="Q32" s="469">
        <v>14046.74158</v>
      </c>
      <c r="R32" s="469">
        <v>14046.74158</v>
      </c>
      <c r="S32" s="469">
        <v>14046.74158</v>
      </c>
    </row>
    <row r="33" spans="1:19" s="469" customFormat="1">
      <c r="A33" s="469" t="str">
        <f t="shared" si="0"/>
        <v>KU</v>
      </c>
      <c r="B33" s="469" t="str">
        <f t="shared" si="1"/>
        <v>KY</v>
      </c>
      <c r="C33" s="469" t="str">
        <f t="shared" si="2"/>
        <v>334</v>
      </c>
      <c r="D33" s="470" t="s">
        <v>1799</v>
      </c>
      <c r="E33" s="468" t="str">
        <f t="shared" si="4"/>
        <v/>
      </c>
      <c r="F33" s="469">
        <v>1321.68877</v>
      </c>
      <c r="G33" s="469">
        <v>1368.1536699999999</v>
      </c>
      <c r="H33" s="469">
        <v>1362.5847900000001</v>
      </c>
      <c r="I33" s="469">
        <v>1362.5847900000001</v>
      </c>
      <c r="J33" s="469">
        <v>1362.5847900000001</v>
      </c>
      <c r="K33" s="469">
        <v>1362.5847900000001</v>
      </c>
      <c r="L33" s="469">
        <v>1362.5847900000001</v>
      </c>
      <c r="M33" s="469">
        <v>1362.5847900000001</v>
      </c>
      <c r="N33" s="469">
        <v>1362.5847900000001</v>
      </c>
      <c r="O33" s="469">
        <v>1362.5847900000001</v>
      </c>
      <c r="P33" s="469">
        <v>1362.5847900000001</v>
      </c>
      <c r="Q33" s="469">
        <v>1362.5847900000001</v>
      </c>
      <c r="R33" s="469">
        <v>1362.5847900000001</v>
      </c>
      <c r="S33" s="469">
        <v>1362.5847900000001</v>
      </c>
    </row>
    <row r="34" spans="1:19" s="469" customFormat="1">
      <c r="A34" s="469" t="str">
        <f t="shared" si="0"/>
        <v>KU</v>
      </c>
      <c r="B34" s="469" t="str">
        <f t="shared" si="1"/>
        <v>KY</v>
      </c>
      <c r="C34" s="469" t="str">
        <f t="shared" si="2"/>
        <v>335</v>
      </c>
      <c r="D34" s="470" t="s">
        <v>1800</v>
      </c>
      <c r="E34" s="468" t="str">
        <f t="shared" si="4"/>
        <v/>
      </c>
      <c r="F34" s="469">
        <v>316.94673999999998</v>
      </c>
      <c r="G34" s="469">
        <v>316.94673999999998</v>
      </c>
      <c r="H34" s="469">
        <v>316.94673999999998</v>
      </c>
      <c r="I34" s="469">
        <v>316.94673999999998</v>
      </c>
      <c r="J34" s="469">
        <v>316.94673999999998</v>
      </c>
      <c r="K34" s="469">
        <v>316.94673999999998</v>
      </c>
      <c r="L34" s="469">
        <v>316.94673999999998</v>
      </c>
      <c r="M34" s="469">
        <v>316.94673999999998</v>
      </c>
      <c r="N34" s="469">
        <v>316.94673999999998</v>
      </c>
      <c r="O34" s="469">
        <v>316.94673999999998</v>
      </c>
      <c r="P34" s="469">
        <v>316.94673999999998</v>
      </c>
      <c r="Q34" s="469">
        <v>316.94673999999998</v>
      </c>
      <c r="R34" s="469">
        <v>316.94673999999998</v>
      </c>
      <c r="S34" s="469">
        <v>316.94673999999998</v>
      </c>
    </row>
    <row r="35" spans="1:19" s="469" customFormat="1">
      <c r="A35" s="469" t="str">
        <f t="shared" si="0"/>
        <v>KU</v>
      </c>
      <c r="B35" s="469" t="str">
        <f t="shared" si="1"/>
        <v>KY</v>
      </c>
      <c r="C35" s="469" t="str">
        <f t="shared" si="2"/>
        <v>336</v>
      </c>
      <c r="D35" s="470" t="s">
        <v>1801</v>
      </c>
      <c r="E35" s="468" t="str">
        <f t="shared" si="4"/>
        <v/>
      </c>
      <c r="F35" s="469">
        <v>234.50913</v>
      </c>
      <c r="G35" s="469">
        <v>234.50913</v>
      </c>
      <c r="H35" s="469">
        <v>234.50913</v>
      </c>
      <c r="I35" s="469">
        <v>234.50913</v>
      </c>
      <c r="J35" s="469">
        <v>234.50913</v>
      </c>
      <c r="K35" s="469">
        <v>234.50913</v>
      </c>
      <c r="L35" s="469">
        <v>234.50913</v>
      </c>
      <c r="M35" s="469">
        <v>234.50913</v>
      </c>
      <c r="N35" s="469">
        <v>234.50913</v>
      </c>
      <c r="O35" s="469">
        <v>234.50913</v>
      </c>
      <c r="P35" s="469">
        <v>234.50913</v>
      </c>
      <c r="Q35" s="469">
        <v>234.50913</v>
      </c>
      <c r="R35" s="469">
        <v>234.50913</v>
      </c>
      <c r="S35" s="469">
        <v>234.50913</v>
      </c>
    </row>
    <row r="36" spans="1:19" s="469" customFormat="1">
      <c r="A36" s="469" t="str">
        <f t="shared" si="0"/>
        <v>KU</v>
      </c>
      <c r="B36" s="469" t="str">
        <f t="shared" si="1"/>
        <v>KY</v>
      </c>
      <c r="C36" s="469" t="str">
        <f t="shared" si="2"/>
        <v>337</v>
      </c>
      <c r="D36" s="470" t="s">
        <v>1802</v>
      </c>
      <c r="E36" s="468" t="str">
        <f t="shared" si="4"/>
        <v>ARO</v>
      </c>
      <c r="F36" s="469">
        <v>274.31054</v>
      </c>
      <c r="G36" s="469">
        <v>274.31054</v>
      </c>
      <c r="H36" s="469">
        <v>274.31054</v>
      </c>
      <c r="I36" s="469">
        <v>274.31054</v>
      </c>
      <c r="J36" s="469">
        <v>274.31054</v>
      </c>
      <c r="K36" s="469">
        <v>274.31054</v>
      </c>
      <c r="L36" s="469">
        <v>274.31054</v>
      </c>
      <c r="M36" s="469">
        <v>274.31054</v>
      </c>
      <c r="N36" s="469">
        <v>274.31054</v>
      </c>
      <c r="O36" s="469">
        <v>274.31054</v>
      </c>
      <c r="P36" s="469">
        <v>274.31054</v>
      </c>
      <c r="Q36" s="469">
        <v>274.31054</v>
      </c>
      <c r="R36" s="469">
        <v>274.31054</v>
      </c>
      <c r="S36" s="469">
        <v>274.31054</v>
      </c>
    </row>
    <row r="37" spans="1:19" s="469" customFormat="1">
      <c r="A37" s="469" t="str">
        <f t="shared" si="0"/>
        <v>KU</v>
      </c>
      <c r="B37" s="469" t="str">
        <f t="shared" si="1"/>
        <v>KY</v>
      </c>
      <c r="C37" s="469" t="str">
        <f t="shared" si="2"/>
        <v>340</v>
      </c>
      <c r="D37" s="470" t="s">
        <v>2346</v>
      </c>
      <c r="E37" s="468" t="str">
        <f t="shared" si="4"/>
        <v>FUTURE USE</v>
      </c>
      <c r="F37" s="469">
        <v>309.54084999999998</v>
      </c>
      <c r="G37" s="469">
        <v>309.54084999999998</v>
      </c>
      <c r="H37" s="469">
        <v>309.54084999999998</v>
      </c>
      <c r="I37" s="469">
        <v>309.54084999999998</v>
      </c>
      <c r="J37" s="469">
        <v>309.54084999999998</v>
      </c>
      <c r="K37" s="469">
        <v>309.54084999999998</v>
      </c>
      <c r="L37" s="469">
        <v>309.54084999999998</v>
      </c>
      <c r="M37" s="469">
        <v>309.54084999999998</v>
      </c>
      <c r="N37" s="469">
        <v>309.54084999999998</v>
      </c>
      <c r="O37" s="469">
        <v>309.54084999999998</v>
      </c>
      <c r="P37" s="469">
        <v>309.54084999999998</v>
      </c>
      <c r="Q37" s="469">
        <v>309.54084999999998</v>
      </c>
      <c r="R37" s="469">
        <v>309.54084999999998</v>
      </c>
      <c r="S37" s="469">
        <v>309.54084999999998</v>
      </c>
    </row>
    <row r="38" spans="1:19" s="469" customFormat="1">
      <c r="A38" s="469" t="str">
        <f t="shared" si="0"/>
        <v>KU</v>
      </c>
      <c r="B38" s="469" t="str">
        <f t="shared" si="1"/>
        <v>KY</v>
      </c>
      <c r="C38" s="469" t="str">
        <f t="shared" si="2"/>
        <v>340</v>
      </c>
      <c r="D38" s="470" t="s">
        <v>2347</v>
      </c>
      <c r="E38" s="468" t="str">
        <f t="shared" si="4"/>
        <v/>
      </c>
      <c r="F38" s="469">
        <v>176.40931</v>
      </c>
      <c r="G38" s="469">
        <v>176.40931</v>
      </c>
      <c r="H38" s="469">
        <v>176.40931</v>
      </c>
      <c r="I38" s="469">
        <v>176.40931</v>
      </c>
      <c r="J38" s="469">
        <v>176.40931</v>
      </c>
      <c r="K38" s="469">
        <v>176.40931</v>
      </c>
      <c r="L38" s="469">
        <v>176.40931</v>
      </c>
      <c r="M38" s="469">
        <v>176.40931</v>
      </c>
      <c r="N38" s="469">
        <v>176.40931</v>
      </c>
      <c r="O38" s="469">
        <v>176.40931</v>
      </c>
      <c r="P38" s="469">
        <v>176.40931</v>
      </c>
      <c r="Q38" s="469">
        <v>176.40931</v>
      </c>
      <c r="R38" s="469">
        <v>176.40931</v>
      </c>
      <c r="S38" s="469">
        <v>176.40931</v>
      </c>
    </row>
    <row r="39" spans="1:19" s="469" customFormat="1">
      <c r="A39" s="469" t="str">
        <f t="shared" si="0"/>
        <v>KU</v>
      </c>
      <c r="B39" s="469" t="str">
        <f t="shared" si="1"/>
        <v>KY</v>
      </c>
      <c r="C39" s="469" t="str">
        <f t="shared" si="2"/>
        <v>340</v>
      </c>
      <c r="D39" s="470" t="s">
        <v>1803</v>
      </c>
      <c r="E39" s="468" t="str">
        <f t="shared" si="4"/>
        <v/>
      </c>
      <c r="F39" s="469">
        <v>135.09902</v>
      </c>
      <c r="G39" s="469">
        <v>135.09902</v>
      </c>
      <c r="H39" s="469">
        <v>135.09902</v>
      </c>
      <c r="I39" s="469">
        <v>135.09902</v>
      </c>
      <c r="J39" s="469">
        <v>135.09902</v>
      </c>
      <c r="K39" s="469">
        <v>297.16921000000002</v>
      </c>
      <c r="L39" s="469">
        <v>297.16921000000002</v>
      </c>
      <c r="M39" s="469">
        <v>297.16921000000002</v>
      </c>
      <c r="N39" s="469">
        <v>297.16921000000002</v>
      </c>
      <c r="O39" s="469">
        <v>297.16921000000002</v>
      </c>
      <c r="P39" s="469">
        <v>297.16921000000002</v>
      </c>
      <c r="Q39" s="469">
        <v>297.16921000000002</v>
      </c>
      <c r="R39" s="469">
        <v>297.16921000000002</v>
      </c>
      <c r="S39" s="469">
        <v>297.16921000000002</v>
      </c>
    </row>
    <row r="40" spans="1:19" s="469" customFormat="1">
      <c r="A40" s="469" t="str">
        <f t="shared" si="0"/>
        <v>KU</v>
      </c>
      <c r="B40" s="469" t="str">
        <f t="shared" si="1"/>
        <v>KY</v>
      </c>
      <c r="C40" s="469" t="str">
        <f t="shared" si="2"/>
        <v>341</v>
      </c>
      <c r="D40" s="470" t="s">
        <v>1804</v>
      </c>
      <c r="E40" s="468" t="str">
        <f t="shared" si="4"/>
        <v/>
      </c>
      <c r="F40" s="469">
        <v>36180.212760000002</v>
      </c>
      <c r="G40" s="469">
        <v>36523.995219999997</v>
      </c>
      <c r="H40" s="469">
        <v>36527.231910000002</v>
      </c>
      <c r="I40" s="469">
        <v>36527.231910000002</v>
      </c>
      <c r="J40" s="469">
        <v>36360.330170000001</v>
      </c>
      <c r="K40" s="469">
        <v>36348.810859999998</v>
      </c>
      <c r="L40" s="469">
        <v>36348.844899999996</v>
      </c>
      <c r="M40" s="469">
        <v>36348.844899999996</v>
      </c>
      <c r="N40" s="469">
        <v>36348.844899999996</v>
      </c>
      <c r="O40" s="469">
        <v>36348.844899999996</v>
      </c>
      <c r="P40" s="469">
        <v>36348.844899999996</v>
      </c>
      <c r="Q40" s="469">
        <v>36348.844899999996</v>
      </c>
      <c r="R40" s="469">
        <v>36348.844899999996</v>
      </c>
      <c r="S40" s="469">
        <v>36348.844899999996</v>
      </c>
    </row>
    <row r="41" spans="1:19" s="469" customFormat="1">
      <c r="A41" s="469" t="str">
        <f t="shared" si="0"/>
        <v>KU</v>
      </c>
      <c r="B41" s="469" t="str">
        <f t="shared" si="1"/>
        <v>KY</v>
      </c>
      <c r="C41" s="469" t="str">
        <f t="shared" si="2"/>
        <v>341</v>
      </c>
      <c r="D41" s="470" t="s">
        <v>2348</v>
      </c>
      <c r="E41" s="468" t="str">
        <f t="shared" si="4"/>
        <v/>
      </c>
      <c r="F41" s="469">
        <v>46903.106829999997</v>
      </c>
      <c r="G41" s="469">
        <v>46903.934200000003</v>
      </c>
      <c r="H41" s="469">
        <v>46905.747649999998</v>
      </c>
      <c r="I41" s="469">
        <v>46906.082640000001</v>
      </c>
      <c r="J41" s="469">
        <v>46907.4577299999</v>
      </c>
      <c r="K41" s="469">
        <v>46907.4577299999</v>
      </c>
      <c r="L41" s="469">
        <v>47685.779009999998</v>
      </c>
      <c r="M41" s="469">
        <v>47685.779009999998</v>
      </c>
      <c r="N41" s="469">
        <v>47726.277450000001</v>
      </c>
      <c r="O41" s="469">
        <v>47866.677450000003</v>
      </c>
      <c r="P41" s="469">
        <v>47866.677450000003</v>
      </c>
      <c r="Q41" s="469">
        <v>47866.677450000003</v>
      </c>
      <c r="R41" s="469">
        <v>47866.677450000003</v>
      </c>
      <c r="S41" s="469">
        <v>47866.677450000003</v>
      </c>
    </row>
    <row r="42" spans="1:19" s="469" customFormat="1">
      <c r="A42" s="469" t="str">
        <f t="shared" si="0"/>
        <v>KU</v>
      </c>
      <c r="B42" s="469" t="str">
        <f t="shared" si="1"/>
        <v>KY</v>
      </c>
      <c r="C42" s="469" t="str">
        <f t="shared" si="2"/>
        <v>341</v>
      </c>
      <c r="D42" s="470" t="s">
        <v>2349</v>
      </c>
      <c r="E42" s="468" t="str">
        <f t="shared" si="4"/>
        <v/>
      </c>
      <c r="F42" s="469">
        <v>0</v>
      </c>
      <c r="G42" s="469">
        <v>0</v>
      </c>
      <c r="H42" s="469">
        <v>0</v>
      </c>
      <c r="I42" s="469">
        <v>0</v>
      </c>
      <c r="J42" s="469">
        <v>0</v>
      </c>
      <c r="K42" s="469">
        <v>857.36465999999996</v>
      </c>
      <c r="L42" s="469">
        <v>859.59628999999995</v>
      </c>
      <c r="M42" s="469">
        <v>861.26603999999998</v>
      </c>
      <c r="N42" s="469">
        <v>861.26603999999998</v>
      </c>
      <c r="O42" s="469">
        <v>861.26603999999998</v>
      </c>
      <c r="P42" s="469">
        <v>861.26603999999998</v>
      </c>
      <c r="Q42" s="469">
        <v>861.26603999999998</v>
      </c>
      <c r="R42" s="469">
        <v>861.26603999999998</v>
      </c>
      <c r="S42" s="469">
        <v>861.26603999999998</v>
      </c>
    </row>
    <row r="43" spans="1:19" s="469" customFormat="1">
      <c r="A43" s="469" t="str">
        <f t="shared" si="0"/>
        <v>KU</v>
      </c>
      <c r="B43" s="469" t="str">
        <f t="shared" si="1"/>
        <v>KY</v>
      </c>
      <c r="C43" s="469" t="str">
        <f t="shared" si="2"/>
        <v>342</v>
      </c>
      <c r="D43" s="470" t="s">
        <v>1805</v>
      </c>
      <c r="E43" s="468" t="str">
        <f t="shared" si="4"/>
        <v/>
      </c>
      <c r="F43" s="469">
        <v>12035.795480000001</v>
      </c>
      <c r="G43" s="469">
        <v>12035.795480000001</v>
      </c>
      <c r="H43" s="469">
        <v>12035.795480000001</v>
      </c>
      <c r="I43" s="469">
        <v>12035.795480000001</v>
      </c>
      <c r="J43" s="469">
        <v>20243.918169999899</v>
      </c>
      <c r="K43" s="469">
        <v>12035.795480000001</v>
      </c>
      <c r="L43" s="469">
        <v>12035.795480000001</v>
      </c>
      <c r="M43" s="469">
        <v>12035.795480000001</v>
      </c>
      <c r="N43" s="469">
        <v>12035.795480000001</v>
      </c>
      <c r="O43" s="469">
        <v>12035.795480000001</v>
      </c>
      <c r="P43" s="469">
        <v>12188.234479999999</v>
      </c>
      <c r="Q43" s="469">
        <v>18863.966270000001</v>
      </c>
      <c r="R43" s="469">
        <v>18863.966270000001</v>
      </c>
      <c r="S43" s="469">
        <v>18863.966270000001</v>
      </c>
    </row>
    <row r="44" spans="1:19" s="469" customFormat="1">
      <c r="A44" s="469" t="str">
        <f t="shared" si="0"/>
        <v>KU</v>
      </c>
      <c r="B44" s="469" t="str">
        <f t="shared" si="1"/>
        <v>KY</v>
      </c>
      <c r="C44" s="469" t="str">
        <f t="shared" si="2"/>
        <v>342</v>
      </c>
      <c r="D44" s="470" t="s">
        <v>2350</v>
      </c>
      <c r="E44" s="468" t="str">
        <f t="shared" si="4"/>
        <v/>
      </c>
      <c r="F44" s="469">
        <v>111553.70630000001</v>
      </c>
      <c r="G44" s="469">
        <v>111555.674099999</v>
      </c>
      <c r="H44" s="469">
        <v>111559.98718</v>
      </c>
      <c r="I44" s="469">
        <v>111560.78389000001</v>
      </c>
      <c r="J44" s="469">
        <v>111564.05439999999</v>
      </c>
      <c r="K44" s="469">
        <v>111564.05439999999</v>
      </c>
      <c r="L44" s="469">
        <v>6319.3980999999903</v>
      </c>
      <c r="M44" s="469">
        <v>6319.3980999999903</v>
      </c>
      <c r="N44" s="469">
        <v>6319.3980999999903</v>
      </c>
      <c r="O44" s="469">
        <v>6319.3980999999903</v>
      </c>
      <c r="P44" s="469">
        <v>6319.3980999999903</v>
      </c>
      <c r="Q44" s="469">
        <v>6319.3980999999903</v>
      </c>
      <c r="R44" s="469">
        <v>6319.3980999999903</v>
      </c>
      <c r="S44" s="469">
        <v>6319.3980999999903</v>
      </c>
    </row>
    <row r="45" spans="1:19" s="469" customFormat="1">
      <c r="A45" s="469" t="str">
        <f t="shared" si="0"/>
        <v>KU</v>
      </c>
      <c r="B45" s="469" t="str">
        <f t="shared" si="1"/>
        <v>KY</v>
      </c>
      <c r="C45" s="469" t="str">
        <f t="shared" si="2"/>
        <v>342</v>
      </c>
      <c r="D45" s="470" t="s">
        <v>2351</v>
      </c>
      <c r="E45" s="468" t="str">
        <f t="shared" si="4"/>
        <v/>
      </c>
      <c r="F45" s="469">
        <v>36467.658609999999</v>
      </c>
      <c r="G45" s="469">
        <v>36467.658609999999</v>
      </c>
      <c r="H45" s="469">
        <v>36467.723599999998</v>
      </c>
      <c r="I45" s="469">
        <v>36467.723599999998</v>
      </c>
      <c r="J45" s="469">
        <v>28259.600910000001</v>
      </c>
      <c r="K45" s="469">
        <v>36467.723599999998</v>
      </c>
      <c r="L45" s="469">
        <v>36467.723599999998</v>
      </c>
      <c r="M45" s="469">
        <v>36467.723599999998</v>
      </c>
      <c r="N45" s="469">
        <v>36467.723599999998</v>
      </c>
      <c r="O45" s="469">
        <v>36467.723599999998</v>
      </c>
      <c r="P45" s="469">
        <v>36467.723599999998</v>
      </c>
      <c r="Q45" s="469">
        <v>36467.723599999998</v>
      </c>
      <c r="R45" s="469">
        <v>36467.723599999998</v>
      </c>
      <c r="S45" s="469">
        <v>36467.723599999998</v>
      </c>
    </row>
    <row r="46" spans="1:19" s="469" customFormat="1">
      <c r="A46" s="469" t="str">
        <f t="shared" si="0"/>
        <v>KU</v>
      </c>
      <c r="B46" s="469" t="str">
        <f t="shared" si="1"/>
        <v>KY</v>
      </c>
      <c r="C46" s="469" t="str">
        <f t="shared" si="2"/>
        <v>343</v>
      </c>
      <c r="D46" s="470" t="s">
        <v>1806</v>
      </c>
      <c r="E46" s="468" t="str">
        <f t="shared" si="4"/>
        <v/>
      </c>
      <c r="F46" s="469">
        <v>383940.98080000002</v>
      </c>
      <c r="G46" s="469">
        <v>383951.50756</v>
      </c>
      <c r="H46" s="469">
        <v>383951.50756</v>
      </c>
      <c r="I46" s="469">
        <v>384064.37822999997</v>
      </c>
      <c r="J46" s="469">
        <v>384069.32399</v>
      </c>
      <c r="K46" s="469">
        <v>384066.44897000003</v>
      </c>
      <c r="L46" s="469">
        <v>384066.44897000003</v>
      </c>
      <c r="M46" s="469">
        <v>384141.66308000003</v>
      </c>
      <c r="N46" s="469">
        <v>384568.13144999999</v>
      </c>
      <c r="O46" s="469">
        <v>384646.13144999999</v>
      </c>
      <c r="P46" s="469">
        <v>384646.13144999999</v>
      </c>
      <c r="Q46" s="469">
        <v>388180.16970999999</v>
      </c>
      <c r="R46" s="469">
        <v>388180.16970999999</v>
      </c>
      <c r="S46" s="469">
        <v>388180.16970999999</v>
      </c>
    </row>
    <row r="47" spans="1:19" s="469" customFormat="1">
      <c r="A47" s="469" t="str">
        <f t="shared" si="0"/>
        <v>KU</v>
      </c>
      <c r="B47" s="469" t="str">
        <f t="shared" si="1"/>
        <v>KY</v>
      </c>
      <c r="C47" s="469" t="str">
        <f t="shared" si="2"/>
        <v>343</v>
      </c>
      <c r="D47" s="470" t="s">
        <v>2352</v>
      </c>
      <c r="E47" s="468" t="str">
        <f t="shared" si="4"/>
        <v/>
      </c>
      <c r="F47" s="469">
        <v>89887.96531</v>
      </c>
      <c r="G47" s="469">
        <v>89889.550929999998</v>
      </c>
      <c r="H47" s="469">
        <v>89893.02635</v>
      </c>
      <c r="I47" s="469">
        <v>89893.668319999997</v>
      </c>
      <c r="J47" s="469">
        <v>89896.303620000006</v>
      </c>
      <c r="K47" s="469">
        <v>89896.303620000006</v>
      </c>
      <c r="L47" s="469">
        <v>255352.72659999999</v>
      </c>
      <c r="M47" s="469">
        <v>255352.72659999999</v>
      </c>
      <c r="N47" s="469">
        <v>259142.86132</v>
      </c>
      <c r="O47" s="469">
        <v>259162.26381999999</v>
      </c>
      <c r="P47" s="469">
        <v>259202.34333999999</v>
      </c>
      <c r="Q47" s="469">
        <v>259202.34333999999</v>
      </c>
      <c r="R47" s="469">
        <v>259202.34333999999</v>
      </c>
      <c r="S47" s="469">
        <v>259202.34333999999</v>
      </c>
    </row>
    <row r="48" spans="1:19" s="469" customFormat="1">
      <c r="A48" s="469" t="str">
        <f t="shared" si="0"/>
        <v>KU</v>
      </c>
      <c r="B48" s="469" t="str">
        <f t="shared" si="1"/>
        <v>KY</v>
      </c>
      <c r="C48" s="469" t="str">
        <f t="shared" si="2"/>
        <v>344</v>
      </c>
      <c r="D48" s="470" t="s">
        <v>1807</v>
      </c>
      <c r="E48" s="468" t="str">
        <f t="shared" si="4"/>
        <v/>
      </c>
      <c r="F48" s="469">
        <v>59118.733289999996</v>
      </c>
      <c r="G48" s="469">
        <v>59118.733289999996</v>
      </c>
      <c r="H48" s="469">
        <v>59118.733289999996</v>
      </c>
      <c r="I48" s="469">
        <v>59118.733289999996</v>
      </c>
      <c r="J48" s="469">
        <v>59118.733289999996</v>
      </c>
      <c r="K48" s="469">
        <v>59118.733289999996</v>
      </c>
      <c r="L48" s="469">
        <v>59995.561479999997</v>
      </c>
      <c r="M48" s="469">
        <v>59625.740120000002</v>
      </c>
      <c r="N48" s="469">
        <v>59626.82314</v>
      </c>
      <c r="O48" s="469">
        <v>59637.223189999997</v>
      </c>
      <c r="P48" s="469">
        <v>59637.223189999997</v>
      </c>
      <c r="Q48" s="469">
        <v>59968.125839999899</v>
      </c>
      <c r="R48" s="469">
        <v>59968.125839999899</v>
      </c>
      <c r="S48" s="469">
        <v>59968.125839999899</v>
      </c>
    </row>
    <row r="49" spans="1:19" s="469" customFormat="1">
      <c r="A49" s="469" t="str">
        <f t="shared" si="0"/>
        <v>KU</v>
      </c>
      <c r="B49" s="469" t="str">
        <f t="shared" si="1"/>
        <v>KY</v>
      </c>
      <c r="C49" s="469" t="str">
        <f t="shared" si="2"/>
        <v>344</v>
      </c>
      <c r="D49" s="470" t="s">
        <v>2353</v>
      </c>
      <c r="E49" s="468" t="str">
        <f t="shared" si="4"/>
        <v/>
      </c>
      <c r="F49" s="469">
        <v>113408.66250000001</v>
      </c>
      <c r="G49" s="469">
        <v>113410.663099999</v>
      </c>
      <c r="H49" s="469">
        <v>113415.04789</v>
      </c>
      <c r="I49" s="469">
        <v>113415.85784</v>
      </c>
      <c r="J49" s="469">
        <v>113419.1827</v>
      </c>
      <c r="K49" s="469">
        <v>113419.1827</v>
      </c>
      <c r="L49" s="469">
        <v>57858.855739999999</v>
      </c>
      <c r="M49" s="469">
        <v>57858.855739999999</v>
      </c>
      <c r="N49" s="469">
        <v>57858.855739999999</v>
      </c>
      <c r="O49" s="469">
        <v>57858.855739999999</v>
      </c>
      <c r="P49" s="469">
        <v>57858.855739999999</v>
      </c>
      <c r="Q49" s="469">
        <v>57858.855739999999</v>
      </c>
      <c r="R49" s="469">
        <v>57858.855739999999</v>
      </c>
      <c r="S49" s="469">
        <v>57858.855739999999</v>
      </c>
    </row>
    <row r="50" spans="1:19" s="469" customFormat="1">
      <c r="A50" s="469" t="str">
        <f t="shared" si="0"/>
        <v>KU</v>
      </c>
      <c r="B50" s="469" t="str">
        <f t="shared" si="1"/>
        <v>KY</v>
      </c>
      <c r="C50" s="469" t="str">
        <f t="shared" si="2"/>
        <v>344</v>
      </c>
      <c r="D50" s="470" t="s">
        <v>2354</v>
      </c>
      <c r="E50" s="468" t="str">
        <f t="shared" si="4"/>
        <v/>
      </c>
      <c r="F50" s="469">
        <v>0</v>
      </c>
      <c r="G50" s="469">
        <v>0</v>
      </c>
      <c r="H50" s="469">
        <v>0</v>
      </c>
      <c r="I50" s="469">
        <v>0</v>
      </c>
      <c r="J50" s="469">
        <v>0</v>
      </c>
      <c r="K50" s="469">
        <v>12848.020329999999</v>
      </c>
      <c r="L50" s="469">
        <v>12881.462310000001</v>
      </c>
      <c r="M50" s="469">
        <v>12906.484329999999</v>
      </c>
      <c r="N50" s="469">
        <v>12906.484329999999</v>
      </c>
      <c r="O50" s="469">
        <v>12906.484329999999</v>
      </c>
      <c r="P50" s="469">
        <v>12906.484329999999</v>
      </c>
      <c r="Q50" s="469">
        <v>12906.484329999999</v>
      </c>
      <c r="R50" s="469">
        <v>12906.484329999999</v>
      </c>
      <c r="S50" s="469">
        <v>12906.484329999999</v>
      </c>
    </row>
    <row r="51" spans="1:19" s="469" customFormat="1">
      <c r="A51" s="469" t="str">
        <f t="shared" si="0"/>
        <v>KU</v>
      </c>
      <c r="B51" s="469" t="str">
        <f t="shared" si="1"/>
        <v>KY</v>
      </c>
      <c r="C51" s="469" t="str">
        <f t="shared" si="2"/>
        <v>345</v>
      </c>
      <c r="D51" s="470" t="s">
        <v>1808</v>
      </c>
      <c r="E51" s="468" t="str">
        <f t="shared" si="4"/>
        <v/>
      </c>
      <c r="F51" s="469">
        <v>47255.395629999999</v>
      </c>
      <c r="G51" s="469">
        <v>47255.395629999999</v>
      </c>
      <c r="H51" s="469">
        <v>47255.395629999999</v>
      </c>
      <c r="I51" s="469">
        <v>47484.857550000001</v>
      </c>
      <c r="J51" s="469">
        <v>47617.845999999998</v>
      </c>
      <c r="K51" s="469">
        <v>47617.845999999998</v>
      </c>
      <c r="L51" s="469">
        <v>47617.845999999998</v>
      </c>
      <c r="M51" s="469">
        <v>47617.845999999998</v>
      </c>
      <c r="N51" s="469">
        <v>47484.857550000001</v>
      </c>
      <c r="O51" s="469">
        <v>47484.857550000001</v>
      </c>
      <c r="P51" s="469">
        <v>47484.857550000001</v>
      </c>
      <c r="Q51" s="469">
        <v>47484.857550000001</v>
      </c>
      <c r="R51" s="469">
        <v>47484.857550000001</v>
      </c>
      <c r="S51" s="469">
        <v>47484.857550000001</v>
      </c>
    </row>
    <row r="52" spans="1:19" s="469" customFormat="1">
      <c r="A52" s="469" t="str">
        <f t="shared" si="0"/>
        <v>KU</v>
      </c>
      <c r="B52" s="469" t="str">
        <f t="shared" si="1"/>
        <v>KY</v>
      </c>
      <c r="C52" s="469" t="str">
        <f t="shared" si="2"/>
        <v>345</v>
      </c>
      <c r="D52" s="470" t="s">
        <v>2355</v>
      </c>
      <c r="E52" s="468" t="str">
        <f t="shared" si="4"/>
        <v/>
      </c>
      <c r="F52" s="469">
        <v>26290.731110000001</v>
      </c>
      <c r="G52" s="469">
        <v>26291.194899999999</v>
      </c>
      <c r="H52" s="469">
        <v>26292.21141</v>
      </c>
      <c r="I52" s="469">
        <v>26292.39918</v>
      </c>
      <c r="J52" s="469">
        <v>26293.16995</v>
      </c>
      <c r="K52" s="469">
        <v>26293.16995</v>
      </c>
      <c r="L52" s="469">
        <v>18137.467799999999</v>
      </c>
      <c r="M52" s="469">
        <v>18137.467799999999</v>
      </c>
      <c r="N52" s="469">
        <v>18137.467799999999</v>
      </c>
      <c r="O52" s="469">
        <v>18137.467799999999</v>
      </c>
      <c r="P52" s="469">
        <v>18254.467799999999</v>
      </c>
      <c r="Q52" s="469">
        <v>18254.467799999999</v>
      </c>
      <c r="R52" s="469">
        <v>18254.467799999999</v>
      </c>
      <c r="S52" s="469">
        <v>18254.467799999999</v>
      </c>
    </row>
    <row r="53" spans="1:19" s="469" customFormat="1">
      <c r="A53" s="469" t="str">
        <f t="shared" si="0"/>
        <v>KU</v>
      </c>
      <c r="B53" s="469" t="str">
        <f t="shared" si="1"/>
        <v>KY</v>
      </c>
      <c r="C53" s="469" t="str">
        <f t="shared" si="2"/>
        <v>345</v>
      </c>
      <c r="D53" s="470" t="s">
        <v>2356</v>
      </c>
      <c r="E53" s="468" t="str">
        <f t="shared" si="4"/>
        <v/>
      </c>
      <c r="F53" s="469">
        <v>0</v>
      </c>
      <c r="G53" s="469">
        <v>0</v>
      </c>
      <c r="H53" s="469">
        <v>0</v>
      </c>
      <c r="I53" s="469">
        <v>0</v>
      </c>
      <c r="J53" s="469">
        <v>0</v>
      </c>
      <c r="K53" s="469">
        <v>663.26691000000005</v>
      </c>
      <c r="L53" s="469">
        <v>664.99331999999902</v>
      </c>
      <c r="M53" s="469">
        <v>666.28506000000004</v>
      </c>
      <c r="N53" s="469">
        <v>805.43206999999995</v>
      </c>
      <c r="O53" s="469">
        <v>939.28206999999998</v>
      </c>
      <c r="P53" s="469">
        <v>1073.1320700000001</v>
      </c>
      <c r="Q53" s="469">
        <v>1585.84338</v>
      </c>
      <c r="R53" s="469">
        <v>1585.84338</v>
      </c>
      <c r="S53" s="469">
        <v>1585.84338</v>
      </c>
    </row>
    <row r="54" spans="1:19" s="469" customFormat="1">
      <c r="A54" s="469" t="str">
        <f t="shared" si="0"/>
        <v>KU</v>
      </c>
      <c r="B54" s="469" t="str">
        <f t="shared" si="1"/>
        <v>KY</v>
      </c>
      <c r="C54" s="469" t="str">
        <f t="shared" si="2"/>
        <v>346</v>
      </c>
      <c r="D54" s="470" t="s">
        <v>1809</v>
      </c>
      <c r="E54" s="468" t="str">
        <f t="shared" si="4"/>
        <v/>
      </c>
      <c r="F54" s="469">
        <v>5634.5428899999997</v>
      </c>
      <c r="G54" s="469">
        <v>5634.5428899999997</v>
      </c>
      <c r="H54" s="469">
        <v>5634.5428899999997</v>
      </c>
      <c r="I54" s="469">
        <v>5634.5428899999997</v>
      </c>
      <c r="J54" s="469">
        <v>5634.5428899999997</v>
      </c>
      <c r="K54" s="469">
        <v>5634.5428899999997</v>
      </c>
      <c r="L54" s="469">
        <v>5627.0371699999996</v>
      </c>
      <c r="M54" s="469">
        <v>5625.1129799999999</v>
      </c>
      <c r="N54" s="469">
        <v>5639.2129800000002</v>
      </c>
      <c r="O54" s="469">
        <v>5683.99845</v>
      </c>
      <c r="P54" s="469">
        <v>5756.1678000000002</v>
      </c>
      <c r="Q54" s="469">
        <v>5756.1678000000002</v>
      </c>
      <c r="R54" s="469">
        <v>5756.1678000000002</v>
      </c>
      <c r="S54" s="469">
        <v>5756.1678000000002</v>
      </c>
    </row>
    <row r="55" spans="1:19" s="469" customFormat="1">
      <c r="A55" s="469" t="str">
        <f t="shared" si="0"/>
        <v>KU</v>
      </c>
      <c r="B55" s="469" t="str">
        <f t="shared" si="1"/>
        <v>KY</v>
      </c>
      <c r="C55" s="469" t="str">
        <f t="shared" si="2"/>
        <v>346</v>
      </c>
      <c r="D55" s="470" t="s">
        <v>2357</v>
      </c>
      <c r="E55" s="468" t="str">
        <f t="shared" si="4"/>
        <v/>
      </c>
      <c r="F55" s="469">
        <v>21.065549999999899</v>
      </c>
      <c r="G55" s="469">
        <v>21.065549999999899</v>
      </c>
      <c r="H55" s="469">
        <v>22.234490000000001</v>
      </c>
      <c r="I55" s="469">
        <v>22.234490000000001</v>
      </c>
      <c r="J55" s="469">
        <v>22.234490000000001</v>
      </c>
      <c r="K55" s="469">
        <v>22.234490000000001</v>
      </c>
      <c r="L55" s="469">
        <v>3059.6657799999998</v>
      </c>
      <c r="M55" s="469">
        <v>3059.6657799999998</v>
      </c>
      <c r="N55" s="469">
        <v>3059.6657799999998</v>
      </c>
      <c r="O55" s="469">
        <v>3059.6657799999998</v>
      </c>
      <c r="P55" s="469">
        <v>3059.6657799999998</v>
      </c>
      <c r="Q55" s="469">
        <v>3059.6657799999998</v>
      </c>
      <c r="R55" s="469">
        <v>3059.6657799999998</v>
      </c>
      <c r="S55" s="469">
        <v>3059.6657799999998</v>
      </c>
    </row>
    <row r="56" spans="1:19" s="469" customFormat="1">
      <c r="A56" s="469" t="str">
        <f t="shared" si="0"/>
        <v>KU</v>
      </c>
      <c r="B56" s="469" t="str">
        <f t="shared" si="1"/>
        <v>KY</v>
      </c>
      <c r="C56" s="469" t="str">
        <f t="shared" si="2"/>
        <v>346</v>
      </c>
      <c r="D56" s="470" t="s">
        <v>2358</v>
      </c>
      <c r="E56" s="468" t="str">
        <f t="shared" si="4"/>
        <v/>
      </c>
      <c r="F56" s="469">
        <v>0</v>
      </c>
      <c r="G56" s="469">
        <v>0</v>
      </c>
      <c r="H56" s="469">
        <v>0</v>
      </c>
      <c r="I56" s="469">
        <v>0</v>
      </c>
      <c r="J56" s="469">
        <v>0</v>
      </c>
      <c r="K56" s="469">
        <v>292.40436</v>
      </c>
      <c r="L56" s="469">
        <v>293.16543999999999</v>
      </c>
      <c r="M56" s="469">
        <v>293.73491999999999</v>
      </c>
      <c r="N56" s="469">
        <v>293.73491999999999</v>
      </c>
      <c r="O56" s="469">
        <v>293.73491999999999</v>
      </c>
      <c r="P56" s="469">
        <v>293.73491999999999</v>
      </c>
      <c r="Q56" s="469">
        <v>293.73491999999999</v>
      </c>
      <c r="R56" s="469">
        <v>293.73491999999999</v>
      </c>
      <c r="S56" s="469">
        <v>293.73491999999999</v>
      </c>
    </row>
    <row r="57" spans="1:19" s="469" customFormat="1">
      <c r="A57" s="469" t="str">
        <f t="shared" si="0"/>
        <v>KU</v>
      </c>
      <c r="B57" s="469" t="str">
        <f t="shared" si="1"/>
        <v>KY</v>
      </c>
      <c r="C57" s="469" t="str">
        <f t="shared" si="2"/>
        <v>347</v>
      </c>
      <c r="D57" s="470" t="s">
        <v>2359</v>
      </c>
      <c r="E57" s="468" t="str">
        <f t="shared" si="4"/>
        <v>ARO</v>
      </c>
      <c r="F57" s="469">
        <v>403.34408999999999</v>
      </c>
      <c r="G57" s="469">
        <v>403.34408999999999</v>
      </c>
      <c r="H57" s="469">
        <v>403.34408999999999</v>
      </c>
      <c r="I57" s="469">
        <v>403.34408999999999</v>
      </c>
      <c r="J57" s="469">
        <v>403.34408999999999</v>
      </c>
      <c r="K57" s="469">
        <v>403.34408999999999</v>
      </c>
      <c r="L57" s="469">
        <v>403.34408999999999</v>
      </c>
      <c r="M57" s="469">
        <v>403.34408999999999</v>
      </c>
      <c r="N57" s="469">
        <v>403.34408999999999</v>
      </c>
      <c r="O57" s="469">
        <v>403.34408999999999</v>
      </c>
      <c r="P57" s="469">
        <v>403.34408999999999</v>
      </c>
      <c r="Q57" s="469">
        <v>403.34408999999999</v>
      </c>
      <c r="R57" s="469">
        <v>403.34408999999999</v>
      </c>
      <c r="S57" s="469">
        <v>403.34408999999999</v>
      </c>
    </row>
    <row r="58" spans="1:19" s="469" customFormat="1">
      <c r="A58" s="469" t="str">
        <f t="shared" si="0"/>
        <v>KU</v>
      </c>
      <c r="B58" s="469" t="str">
        <f t="shared" si="1"/>
        <v>KY</v>
      </c>
      <c r="C58" s="469" t="str">
        <f t="shared" si="2"/>
        <v>350</v>
      </c>
      <c r="D58" s="470" t="s">
        <v>1810</v>
      </c>
      <c r="E58" s="468" t="str">
        <f t="shared" si="4"/>
        <v/>
      </c>
      <c r="F58" s="469">
        <v>29624.494119999999</v>
      </c>
      <c r="G58" s="469">
        <v>29624.494119999999</v>
      </c>
      <c r="H58" s="469">
        <v>29624.494119999999</v>
      </c>
      <c r="I58" s="469">
        <v>29624.494119999999</v>
      </c>
      <c r="J58" s="469">
        <v>29624.494119999999</v>
      </c>
      <c r="K58" s="469">
        <v>29624.494119999999</v>
      </c>
      <c r="L58" s="469">
        <v>29624.494119999999</v>
      </c>
      <c r="M58" s="469">
        <v>29624.494119999999</v>
      </c>
      <c r="N58" s="469">
        <v>29624.494119999999</v>
      </c>
      <c r="O58" s="469">
        <v>29624.494119999999</v>
      </c>
      <c r="P58" s="469">
        <v>29624.494119999999</v>
      </c>
      <c r="Q58" s="469">
        <v>29624.494119999999</v>
      </c>
      <c r="R58" s="469">
        <v>29624.494119999999</v>
      </c>
      <c r="S58" s="469">
        <v>29624.494119999999</v>
      </c>
    </row>
    <row r="59" spans="1:19" s="469" customFormat="1">
      <c r="A59" s="469" t="str">
        <f t="shared" si="0"/>
        <v>KU</v>
      </c>
      <c r="B59" s="469" t="str">
        <f t="shared" si="1"/>
        <v>TN</v>
      </c>
      <c r="C59" s="469" t="str">
        <f t="shared" si="2"/>
        <v>350</v>
      </c>
      <c r="D59" s="470" t="s">
        <v>1811</v>
      </c>
      <c r="E59" s="468" t="str">
        <f t="shared" si="4"/>
        <v/>
      </c>
      <c r="F59" s="469">
        <v>0.43952999999999998</v>
      </c>
      <c r="G59" s="469">
        <v>0.43952999999999998</v>
      </c>
      <c r="H59" s="469">
        <v>0.43952999999999998</v>
      </c>
      <c r="I59" s="469">
        <v>0.43952999999999998</v>
      </c>
      <c r="J59" s="469">
        <v>0.43952999999999998</v>
      </c>
      <c r="K59" s="469">
        <v>0.43952999999999998</v>
      </c>
      <c r="L59" s="469">
        <v>0.43952999999999998</v>
      </c>
      <c r="M59" s="469">
        <v>0.43952999999999998</v>
      </c>
      <c r="N59" s="469">
        <v>0.43952999999999998</v>
      </c>
      <c r="O59" s="469">
        <v>0.43952999999999998</v>
      </c>
      <c r="P59" s="469">
        <v>0.43952999999999998</v>
      </c>
      <c r="Q59" s="469">
        <v>0.43952999999999998</v>
      </c>
      <c r="R59" s="469">
        <v>0.43952999999999998</v>
      </c>
      <c r="S59" s="469">
        <v>0.43952999999999998</v>
      </c>
    </row>
    <row r="60" spans="1:19" s="469" customFormat="1">
      <c r="A60" s="469" t="str">
        <f t="shared" si="0"/>
        <v>KU</v>
      </c>
      <c r="B60" s="469" t="str">
        <f t="shared" si="1"/>
        <v>VA</v>
      </c>
      <c r="C60" s="469" t="str">
        <f t="shared" si="2"/>
        <v>350</v>
      </c>
      <c r="D60" s="470" t="s">
        <v>1812</v>
      </c>
      <c r="E60" s="468" t="str">
        <f t="shared" si="4"/>
        <v/>
      </c>
      <c r="F60" s="469">
        <v>2164.3317200000001</v>
      </c>
      <c r="G60" s="469">
        <v>2164.3317200000001</v>
      </c>
      <c r="H60" s="469">
        <v>2164.3317200000001</v>
      </c>
      <c r="I60" s="469">
        <v>2164.3317200000001</v>
      </c>
      <c r="J60" s="469">
        <v>2164.3317200000001</v>
      </c>
      <c r="K60" s="469">
        <v>2164.3317200000001</v>
      </c>
      <c r="L60" s="469">
        <v>2164.3317200000001</v>
      </c>
      <c r="M60" s="469">
        <v>2164.3317200000001</v>
      </c>
      <c r="N60" s="469">
        <v>2164.3317200000001</v>
      </c>
      <c r="O60" s="469">
        <v>2164.3317200000001</v>
      </c>
      <c r="P60" s="469">
        <v>2164.3317200000001</v>
      </c>
      <c r="Q60" s="469">
        <v>2164.3317200000001</v>
      </c>
      <c r="R60" s="469">
        <v>2164.3317200000001</v>
      </c>
      <c r="S60" s="469">
        <v>2164.3317200000001</v>
      </c>
    </row>
    <row r="61" spans="1:19" s="469" customFormat="1">
      <c r="A61" s="469" t="str">
        <f t="shared" si="0"/>
        <v>KU</v>
      </c>
      <c r="B61" s="469" t="str">
        <f t="shared" si="1"/>
        <v>KY</v>
      </c>
      <c r="C61" s="469" t="str">
        <f t="shared" si="2"/>
        <v>352</v>
      </c>
      <c r="D61" s="470" t="s">
        <v>1813</v>
      </c>
      <c r="E61" s="468" t="str">
        <f t="shared" si="4"/>
        <v/>
      </c>
      <c r="F61" s="469">
        <v>1426.80755</v>
      </c>
      <c r="G61" s="469">
        <v>1426.80755</v>
      </c>
      <c r="H61" s="469">
        <v>1426.80755</v>
      </c>
      <c r="I61" s="469">
        <v>1418.0187000000001</v>
      </c>
      <c r="J61" s="469">
        <v>1418.0187000000001</v>
      </c>
      <c r="K61" s="469">
        <v>1418.0187000000001</v>
      </c>
      <c r="L61" s="469">
        <v>1418.0187000000001</v>
      </c>
      <c r="M61" s="469">
        <v>1418.0187000000001</v>
      </c>
      <c r="N61" s="469">
        <v>1418.0187000000001</v>
      </c>
      <c r="O61" s="469">
        <v>1418.0187000000001</v>
      </c>
      <c r="P61" s="469">
        <v>1418.0187000000001</v>
      </c>
      <c r="Q61" s="469">
        <v>1418.0187000000001</v>
      </c>
      <c r="R61" s="469">
        <v>1418.0187000000001</v>
      </c>
      <c r="S61" s="469">
        <v>1418.0187000000001</v>
      </c>
    </row>
    <row r="62" spans="1:19" s="469" customFormat="1">
      <c r="A62" s="469" t="str">
        <f t="shared" si="0"/>
        <v>KU</v>
      </c>
      <c r="B62" s="469" t="str">
        <f t="shared" si="1"/>
        <v>KY</v>
      </c>
      <c r="C62" s="469" t="str">
        <f t="shared" si="2"/>
        <v>352</v>
      </c>
      <c r="D62" s="470" t="s">
        <v>1814</v>
      </c>
      <c r="E62" s="468" t="str">
        <f t="shared" si="4"/>
        <v/>
      </c>
      <c r="F62" s="469">
        <v>22462.96212</v>
      </c>
      <c r="G62" s="469">
        <v>22465.389620000002</v>
      </c>
      <c r="H62" s="469">
        <v>22465.389620000002</v>
      </c>
      <c r="I62" s="469">
        <v>22654.847900000001</v>
      </c>
      <c r="J62" s="469">
        <v>22681.68951</v>
      </c>
      <c r="K62" s="469">
        <v>25801.421709999999</v>
      </c>
      <c r="L62" s="469">
        <v>25801.421709999999</v>
      </c>
      <c r="M62" s="469">
        <v>25793.78255</v>
      </c>
      <c r="N62" s="469">
        <v>25793.78255</v>
      </c>
      <c r="O62" s="469">
        <v>25793.78255</v>
      </c>
      <c r="P62" s="469">
        <v>25793.78255</v>
      </c>
      <c r="Q62" s="469">
        <v>25793.78255</v>
      </c>
      <c r="R62" s="469">
        <v>25793.78255</v>
      </c>
      <c r="S62" s="469">
        <v>25793.78255</v>
      </c>
    </row>
    <row r="63" spans="1:19" s="469" customFormat="1">
      <c r="A63" s="469" t="str">
        <f t="shared" si="0"/>
        <v>KU</v>
      </c>
      <c r="B63" s="469" t="str">
        <f t="shared" si="1"/>
        <v>VA</v>
      </c>
      <c r="C63" s="469" t="str">
        <f t="shared" si="2"/>
        <v>352</v>
      </c>
      <c r="D63" s="470" t="s">
        <v>1815</v>
      </c>
      <c r="E63" s="468" t="str">
        <f t="shared" si="4"/>
        <v/>
      </c>
      <c r="F63" s="469">
        <v>1617.9201599999999</v>
      </c>
      <c r="G63" s="469">
        <v>1617.9201599999999</v>
      </c>
      <c r="H63" s="469">
        <v>1617.9201599999999</v>
      </c>
      <c r="I63" s="469">
        <v>1617.9201599999999</v>
      </c>
      <c r="J63" s="469">
        <v>1617.9201599999999</v>
      </c>
      <c r="K63" s="469">
        <v>1617.9201599999999</v>
      </c>
      <c r="L63" s="469">
        <v>1617.9201599999999</v>
      </c>
      <c r="M63" s="469">
        <v>1617.9201599999999</v>
      </c>
      <c r="N63" s="469">
        <v>1617.9201599999999</v>
      </c>
      <c r="O63" s="469">
        <v>1617.9201599999999</v>
      </c>
      <c r="P63" s="469">
        <v>1617.9201599999999</v>
      </c>
      <c r="Q63" s="469">
        <v>1617.9201599999999</v>
      </c>
      <c r="R63" s="469">
        <v>1617.9201599999999</v>
      </c>
      <c r="S63" s="469">
        <v>1617.9201599999999</v>
      </c>
    </row>
    <row r="64" spans="1:19" s="469" customFormat="1">
      <c r="A64" s="469" t="str">
        <f t="shared" si="0"/>
        <v>KU</v>
      </c>
      <c r="B64" s="469" t="str">
        <f t="shared" si="1"/>
        <v>KY</v>
      </c>
      <c r="C64" s="469" t="str">
        <f t="shared" si="2"/>
        <v>353</v>
      </c>
      <c r="D64" s="470" t="s">
        <v>1816</v>
      </c>
      <c r="E64" s="468" t="str">
        <f t="shared" si="4"/>
        <v/>
      </c>
      <c r="F64" s="469">
        <v>237885.1367</v>
      </c>
      <c r="G64" s="469">
        <v>237689.3339</v>
      </c>
      <c r="H64" s="469">
        <v>238496.15998999999</v>
      </c>
      <c r="I64" s="469">
        <v>238608.03828000001</v>
      </c>
      <c r="J64" s="469">
        <v>239513.05419999899</v>
      </c>
      <c r="K64" s="469">
        <v>248297.204</v>
      </c>
      <c r="L64" s="469">
        <v>247676.03099999999</v>
      </c>
      <c r="M64" s="469">
        <v>247623.71599999999</v>
      </c>
      <c r="N64" s="469">
        <v>256956.15351</v>
      </c>
      <c r="O64" s="469">
        <v>260973.22205000001</v>
      </c>
      <c r="P64" s="469">
        <v>263590.14617000002</v>
      </c>
      <c r="Q64" s="469">
        <v>270530.82565999997</v>
      </c>
      <c r="R64" s="469">
        <v>270519.70647999999</v>
      </c>
      <c r="S64" s="469">
        <v>270375.75117</v>
      </c>
    </row>
    <row r="65" spans="1:19" s="469" customFormat="1">
      <c r="A65" s="469" t="str">
        <f t="shared" si="0"/>
        <v>KU</v>
      </c>
      <c r="B65" s="469" t="s">
        <v>17</v>
      </c>
      <c r="C65" s="469" t="str">
        <f t="shared" si="2"/>
        <v>353</v>
      </c>
      <c r="D65" s="470" t="s">
        <v>1817</v>
      </c>
      <c r="E65" s="468" t="str">
        <f t="shared" si="4"/>
        <v/>
      </c>
      <c r="F65" s="469">
        <v>6568.0602699999999</v>
      </c>
      <c r="G65" s="469">
        <v>6568.0602699999999</v>
      </c>
      <c r="H65" s="469">
        <v>6568.0602699999999</v>
      </c>
      <c r="I65" s="469">
        <v>6565.1590299999998</v>
      </c>
      <c r="J65" s="469">
        <v>6565.1590299999998</v>
      </c>
      <c r="K65" s="469">
        <v>6565.1590299999998</v>
      </c>
      <c r="L65" s="469">
        <v>6565.1590299999998</v>
      </c>
      <c r="M65" s="469">
        <v>6565.1590299999998</v>
      </c>
      <c r="N65" s="469">
        <v>6573.94589</v>
      </c>
      <c r="O65" s="469">
        <v>6573.94589</v>
      </c>
      <c r="P65" s="469">
        <v>6573.94589</v>
      </c>
      <c r="Q65" s="469">
        <v>6694.0005600000004</v>
      </c>
      <c r="R65" s="469">
        <v>6694.0005600000004</v>
      </c>
      <c r="S65" s="469">
        <v>6694.0005600000004</v>
      </c>
    </row>
    <row r="66" spans="1:19" s="469" customFormat="1">
      <c r="A66" s="469" t="str">
        <f t="shared" si="0"/>
        <v>KU</v>
      </c>
      <c r="B66" s="469" t="str">
        <f t="shared" si="1"/>
        <v>VA</v>
      </c>
      <c r="C66" s="469" t="str">
        <f t="shared" si="2"/>
        <v>353</v>
      </c>
      <c r="D66" s="470" t="s">
        <v>1818</v>
      </c>
      <c r="E66" s="468" t="str">
        <f t="shared" si="4"/>
        <v/>
      </c>
      <c r="F66" s="469">
        <v>21887.22954</v>
      </c>
      <c r="G66" s="469">
        <v>21887.22954</v>
      </c>
      <c r="H66" s="469">
        <v>21887.22954</v>
      </c>
      <c r="I66" s="469">
        <v>21887.225920000001</v>
      </c>
      <c r="J66" s="469">
        <v>21946.3217899999</v>
      </c>
      <c r="K66" s="469">
        <v>21946.3217899999</v>
      </c>
      <c r="L66" s="469">
        <v>21998.169409999999</v>
      </c>
      <c r="M66" s="469">
        <v>22027.040550000002</v>
      </c>
      <c r="N66" s="469">
        <v>22041.775310000001</v>
      </c>
      <c r="O66" s="469">
        <v>22059.296200000001</v>
      </c>
      <c r="P66" s="469">
        <v>22089.554029999999</v>
      </c>
      <c r="Q66" s="469">
        <v>22165.101019999998</v>
      </c>
      <c r="R66" s="469">
        <v>22165.101019999998</v>
      </c>
      <c r="S66" s="469">
        <v>22165.101019999998</v>
      </c>
    </row>
    <row r="67" spans="1:19" s="469" customFormat="1">
      <c r="A67" s="469" t="str">
        <f t="shared" si="0"/>
        <v>KU</v>
      </c>
      <c r="B67" s="469" t="str">
        <f t="shared" si="1"/>
        <v>KY</v>
      </c>
      <c r="C67" s="469" t="str">
        <f t="shared" si="2"/>
        <v>354</v>
      </c>
      <c r="D67" s="470" t="s">
        <v>1819</v>
      </c>
      <c r="E67" s="468" t="str">
        <f t="shared" si="4"/>
        <v/>
      </c>
      <c r="F67" s="469">
        <v>69223.443010000003</v>
      </c>
      <c r="G67" s="469">
        <v>69205.914420000001</v>
      </c>
      <c r="H67" s="469">
        <v>69205.914420000001</v>
      </c>
      <c r="I67" s="469">
        <v>69201.808720000001</v>
      </c>
      <c r="J67" s="469">
        <v>69201.808720000001</v>
      </c>
      <c r="K67" s="469">
        <v>69201.808720000001</v>
      </c>
      <c r="L67" s="469">
        <v>69205.914420000001</v>
      </c>
      <c r="M67" s="469">
        <v>69189.931339999996</v>
      </c>
      <c r="N67" s="469">
        <v>69189.931339999996</v>
      </c>
      <c r="O67" s="469">
        <v>69189.931339999996</v>
      </c>
      <c r="P67" s="469">
        <v>69189.931339999996</v>
      </c>
      <c r="Q67" s="469">
        <v>69189.931339999996</v>
      </c>
      <c r="R67" s="469">
        <v>69189.931339999996</v>
      </c>
      <c r="S67" s="469">
        <v>69189.931339999996</v>
      </c>
    </row>
    <row r="68" spans="1:19" s="469" customFormat="1">
      <c r="A68" s="469" t="str">
        <f t="shared" si="0"/>
        <v>KU</v>
      </c>
      <c r="B68" s="469" t="str">
        <f t="shared" si="1"/>
        <v>VA</v>
      </c>
      <c r="C68" s="469" t="str">
        <f t="shared" si="2"/>
        <v>354</v>
      </c>
      <c r="D68" s="470" t="s">
        <v>1820</v>
      </c>
      <c r="E68" s="468" t="str">
        <f t="shared" si="4"/>
        <v/>
      </c>
      <c r="F68" s="469">
        <v>7181.0812999999998</v>
      </c>
      <c r="G68" s="469">
        <v>7181.0812999999998</v>
      </c>
      <c r="H68" s="469">
        <v>7181.0812999999998</v>
      </c>
      <c r="I68" s="469">
        <v>7181.0812999999998</v>
      </c>
      <c r="J68" s="469">
        <v>7181.0812999999998</v>
      </c>
      <c r="K68" s="469">
        <v>7181.0812999999998</v>
      </c>
      <c r="L68" s="469">
        <v>7181.0812999999998</v>
      </c>
      <c r="M68" s="469">
        <v>7181.0812999999998</v>
      </c>
      <c r="N68" s="469">
        <v>7181.0812999999998</v>
      </c>
      <c r="O68" s="469">
        <v>7181.0812999999998</v>
      </c>
      <c r="P68" s="469">
        <v>7181.0812999999998</v>
      </c>
      <c r="Q68" s="469">
        <v>7181.0812999999998</v>
      </c>
      <c r="R68" s="469">
        <v>7181.0812999999998</v>
      </c>
      <c r="S68" s="469">
        <v>7181.0812999999998</v>
      </c>
    </row>
    <row r="69" spans="1:19" s="469" customFormat="1">
      <c r="A69" s="469" t="str">
        <f t="shared" si="0"/>
        <v>KU</v>
      </c>
      <c r="B69" s="469" t="str">
        <f t="shared" si="1"/>
        <v>KY</v>
      </c>
      <c r="C69" s="469" t="str">
        <f t="shared" si="2"/>
        <v>355</v>
      </c>
      <c r="D69" s="470" t="s">
        <v>1821</v>
      </c>
      <c r="E69" s="468" t="str">
        <f t="shared" si="4"/>
        <v/>
      </c>
      <c r="F69" s="469">
        <v>218294.1954</v>
      </c>
      <c r="G69" s="469">
        <v>219925.2499</v>
      </c>
      <c r="H69" s="469">
        <v>220052.53269999899</v>
      </c>
      <c r="I69" s="469">
        <v>220232.69413999899</v>
      </c>
      <c r="J69" s="469">
        <v>221632.1784</v>
      </c>
      <c r="K69" s="469">
        <v>227186.0871</v>
      </c>
      <c r="L69" s="469">
        <v>231058.4038</v>
      </c>
      <c r="M69" s="469">
        <v>233910.3014</v>
      </c>
      <c r="N69" s="469">
        <v>250441.36981</v>
      </c>
      <c r="O69" s="469">
        <v>261105.93051000001</v>
      </c>
      <c r="P69" s="469">
        <v>262105.59172999999</v>
      </c>
      <c r="Q69" s="469">
        <v>266662.45883000002</v>
      </c>
      <c r="R69" s="469">
        <v>268996.84052000003</v>
      </c>
      <c r="S69" s="469">
        <v>273567.84548000002</v>
      </c>
    </row>
    <row r="70" spans="1:19" s="469" customFormat="1">
      <c r="A70" s="469" t="str">
        <f t="shared" ref="A70:A135" si="5">MID($D70,4,2)</f>
        <v>KU</v>
      </c>
      <c r="B70" s="469" t="str">
        <f t="shared" ref="B70:B135" si="6">IF(MID($D70,12,2)="- ","KY",MID($D70,12,2))</f>
        <v>TN</v>
      </c>
      <c r="C70" s="469" t="str">
        <f t="shared" ref="C70:C135" si="7">MID($D70,8,3)</f>
        <v>355</v>
      </c>
      <c r="D70" s="470" t="s">
        <v>1822</v>
      </c>
      <c r="E70" s="468" t="str">
        <f t="shared" si="4"/>
        <v/>
      </c>
      <c r="F70" s="469">
        <v>125.979</v>
      </c>
      <c r="G70" s="469">
        <v>125.979</v>
      </c>
      <c r="H70" s="469">
        <v>125.979</v>
      </c>
      <c r="I70" s="469">
        <v>125.979</v>
      </c>
      <c r="J70" s="469">
        <v>125.979</v>
      </c>
      <c r="K70" s="469">
        <v>125.979</v>
      </c>
      <c r="L70" s="469">
        <v>125.979</v>
      </c>
      <c r="M70" s="469">
        <v>125.979</v>
      </c>
      <c r="N70" s="469">
        <v>125.979</v>
      </c>
      <c r="O70" s="469">
        <v>125.979</v>
      </c>
      <c r="P70" s="469">
        <v>125.979</v>
      </c>
      <c r="Q70" s="469">
        <v>125.979</v>
      </c>
      <c r="R70" s="469">
        <v>125.979</v>
      </c>
      <c r="S70" s="469">
        <v>125.979</v>
      </c>
    </row>
    <row r="71" spans="1:19" s="469" customFormat="1">
      <c r="A71" s="469" t="str">
        <f t="shared" si="5"/>
        <v>KU</v>
      </c>
      <c r="B71" s="469" t="str">
        <f t="shared" si="6"/>
        <v>VA</v>
      </c>
      <c r="C71" s="469" t="str">
        <f t="shared" si="7"/>
        <v>355</v>
      </c>
      <c r="D71" s="470" t="s">
        <v>1823</v>
      </c>
      <c r="E71" s="468" t="str">
        <f t="shared" si="4"/>
        <v/>
      </c>
      <c r="F71" s="469">
        <v>11213.58419</v>
      </c>
      <c r="G71" s="469">
        <v>11216.76787</v>
      </c>
      <c r="H71" s="469">
        <v>11244.152550000001</v>
      </c>
      <c r="I71" s="469">
        <v>11244.152550000001</v>
      </c>
      <c r="J71" s="469">
        <v>11244.152550000001</v>
      </c>
      <c r="K71" s="469">
        <v>11197.67381</v>
      </c>
      <c r="L71" s="469">
        <v>11160.70456</v>
      </c>
      <c r="M71" s="469">
        <v>11225.728939999901</v>
      </c>
      <c r="N71" s="469">
        <v>11225.728939999901</v>
      </c>
      <c r="O71" s="469">
        <v>11225.728939999901</v>
      </c>
      <c r="P71" s="469">
        <v>11225.728939999901</v>
      </c>
      <c r="Q71" s="469">
        <v>11225.728939999901</v>
      </c>
      <c r="R71" s="469">
        <v>11225.728939999901</v>
      </c>
      <c r="S71" s="469">
        <v>12330.7564099999</v>
      </c>
    </row>
    <row r="72" spans="1:19" s="469" customFormat="1">
      <c r="A72" s="469" t="str">
        <f t="shared" si="5"/>
        <v>KU</v>
      </c>
      <c r="B72" s="469" t="str">
        <f t="shared" si="6"/>
        <v>KY</v>
      </c>
      <c r="C72" s="469" t="str">
        <f t="shared" si="7"/>
        <v>356</v>
      </c>
      <c r="D72" s="470" t="s">
        <v>1824</v>
      </c>
      <c r="E72" s="468" t="str">
        <f t="shared" si="4"/>
        <v/>
      </c>
      <c r="F72" s="469">
        <v>161655.73199999999</v>
      </c>
      <c r="G72" s="469">
        <v>162503.51119999899</v>
      </c>
      <c r="H72" s="469">
        <v>162405.36038</v>
      </c>
      <c r="I72" s="469">
        <v>162557.956539999</v>
      </c>
      <c r="J72" s="469">
        <v>163897.8714</v>
      </c>
      <c r="K72" s="469">
        <v>163224.71780000001</v>
      </c>
      <c r="L72" s="469">
        <v>165769.8798</v>
      </c>
      <c r="M72" s="469">
        <v>163110.2132</v>
      </c>
      <c r="N72" s="469">
        <v>163604.549689999</v>
      </c>
      <c r="O72" s="469">
        <v>163868.9442</v>
      </c>
      <c r="P72" s="469">
        <v>164181.89840999999</v>
      </c>
      <c r="Q72" s="469">
        <v>164449.42861</v>
      </c>
      <c r="R72" s="469">
        <v>164521.19070000001</v>
      </c>
      <c r="S72" s="469">
        <v>164592.95280999999</v>
      </c>
    </row>
    <row r="73" spans="1:19" s="469" customFormat="1">
      <c r="A73" s="469" t="str">
        <f t="shared" si="5"/>
        <v>KU</v>
      </c>
      <c r="B73" s="469" t="str">
        <f t="shared" si="6"/>
        <v>TN</v>
      </c>
      <c r="C73" s="469" t="str">
        <f t="shared" si="7"/>
        <v>356</v>
      </c>
      <c r="D73" s="470" t="s">
        <v>1825</v>
      </c>
      <c r="E73" s="468" t="str">
        <f t="shared" si="4"/>
        <v/>
      </c>
      <c r="F73" s="469">
        <v>78.061729999999997</v>
      </c>
      <c r="G73" s="469">
        <v>78.061729999999997</v>
      </c>
      <c r="H73" s="469">
        <v>78.061729999999997</v>
      </c>
      <c r="I73" s="469">
        <v>78.061729999999997</v>
      </c>
      <c r="J73" s="469">
        <v>78.061729999999997</v>
      </c>
      <c r="K73" s="469">
        <v>78.061729999999997</v>
      </c>
      <c r="L73" s="469">
        <v>78.061729999999997</v>
      </c>
      <c r="M73" s="469">
        <v>78.061729999999997</v>
      </c>
      <c r="N73" s="469">
        <v>78.061729999999997</v>
      </c>
      <c r="O73" s="469">
        <v>78.061729999999997</v>
      </c>
      <c r="P73" s="469">
        <v>78.061729999999997</v>
      </c>
      <c r="Q73" s="469">
        <v>78.061729999999997</v>
      </c>
      <c r="R73" s="469">
        <v>78.061729999999997</v>
      </c>
      <c r="S73" s="469">
        <v>78.061729999999997</v>
      </c>
    </row>
    <row r="74" spans="1:19" s="469" customFormat="1">
      <c r="A74" s="469" t="str">
        <f t="shared" si="5"/>
        <v>KU</v>
      </c>
      <c r="B74" s="469" t="str">
        <f t="shared" si="6"/>
        <v>VA</v>
      </c>
      <c r="C74" s="469" t="str">
        <f t="shared" si="7"/>
        <v>356</v>
      </c>
      <c r="D74" s="470" t="s">
        <v>1826</v>
      </c>
      <c r="E74" s="468" t="str">
        <f t="shared" si="4"/>
        <v/>
      </c>
      <c r="F74" s="469">
        <v>16826.19155</v>
      </c>
      <c r="G74" s="469">
        <v>16829.375250000001</v>
      </c>
      <c r="H74" s="469">
        <v>16761.752380000002</v>
      </c>
      <c r="I74" s="469">
        <v>16761.752380000002</v>
      </c>
      <c r="J74" s="469">
        <v>16761.752380000002</v>
      </c>
      <c r="K74" s="469">
        <v>16778.878509999999</v>
      </c>
      <c r="L74" s="469">
        <v>16883.7836299999</v>
      </c>
      <c r="M74" s="469">
        <v>16787.54909</v>
      </c>
      <c r="N74" s="469">
        <v>16888.393469999999</v>
      </c>
      <c r="O74" s="469">
        <v>16888.393469999999</v>
      </c>
      <c r="P74" s="469">
        <v>17360.37874</v>
      </c>
      <c r="Q74" s="469">
        <v>17360.37874</v>
      </c>
      <c r="R74" s="469">
        <v>17360.37874</v>
      </c>
      <c r="S74" s="469">
        <v>17360.37874</v>
      </c>
    </row>
    <row r="75" spans="1:19" s="469" customFormat="1">
      <c r="A75" s="469" t="str">
        <f t="shared" si="5"/>
        <v>KU</v>
      </c>
      <c r="B75" s="469" t="str">
        <f t="shared" si="6"/>
        <v>KY</v>
      </c>
      <c r="C75" s="469" t="str">
        <f t="shared" si="7"/>
        <v>357</v>
      </c>
      <c r="D75" s="470" t="s">
        <v>1827</v>
      </c>
      <c r="E75" s="468" t="str">
        <f t="shared" si="4"/>
        <v/>
      </c>
      <c r="F75" s="469">
        <v>448.76026000000002</v>
      </c>
      <c r="G75" s="469">
        <v>448.76026000000002</v>
      </c>
      <c r="H75" s="469">
        <v>448.76026000000002</v>
      </c>
      <c r="I75" s="469">
        <v>448.76026000000002</v>
      </c>
      <c r="J75" s="469">
        <v>448.76026000000002</v>
      </c>
      <c r="K75" s="469">
        <v>448.76026000000002</v>
      </c>
      <c r="L75" s="469">
        <v>448.76026000000002</v>
      </c>
      <c r="M75" s="469">
        <v>448.76026000000002</v>
      </c>
      <c r="N75" s="469">
        <v>448.76026000000002</v>
      </c>
      <c r="O75" s="469">
        <v>448.76026000000002</v>
      </c>
      <c r="P75" s="469">
        <v>448.76026000000002</v>
      </c>
      <c r="Q75" s="469">
        <v>448.76026000000002</v>
      </c>
      <c r="R75" s="469">
        <v>448.76026000000002</v>
      </c>
      <c r="S75" s="469">
        <v>448.76026000000002</v>
      </c>
    </row>
    <row r="76" spans="1:19" s="469" customFormat="1">
      <c r="A76" s="469" t="str">
        <f t="shared" si="5"/>
        <v>KU</v>
      </c>
      <c r="B76" s="469" t="str">
        <f t="shared" si="6"/>
        <v>KY</v>
      </c>
      <c r="C76" s="469" t="str">
        <f t="shared" si="7"/>
        <v>358</v>
      </c>
      <c r="D76" s="470" t="s">
        <v>1828</v>
      </c>
      <c r="E76" s="468" t="str">
        <f t="shared" si="4"/>
        <v/>
      </c>
      <c r="F76" s="469">
        <v>1173.30332</v>
      </c>
      <c r="G76" s="469">
        <v>1173.30332</v>
      </c>
      <c r="H76" s="469">
        <v>1173.30332</v>
      </c>
      <c r="I76" s="469">
        <v>1173.30332</v>
      </c>
      <c r="J76" s="469">
        <v>1170.89123</v>
      </c>
      <c r="K76" s="469">
        <v>1170.89123</v>
      </c>
      <c r="L76" s="469">
        <v>1116.71408</v>
      </c>
      <c r="M76" s="469">
        <v>1116.71408</v>
      </c>
      <c r="N76" s="469">
        <v>1116.71408</v>
      </c>
      <c r="O76" s="469">
        <v>1116.71408</v>
      </c>
      <c r="P76" s="469">
        <v>1116.71408</v>
      </c>
      <c r="Q76" s="469">
        <v>1116.71408</v>
      </c>
      <c r="R76" s="469">
        <v>1116.71408</v>
      </c>
      <c r="S76" s="469">
        <v>1116.71408</v>
      </c>
    </row>
    <row r="77" spans="1:19" s="469" customFormat="1">
      <c r="A77" s="469" t="str">
        <f t="shared" si="5"/>
        <v>KU</v>
      </c>
      <c r="B77" s="469" t="str">
        <f t="shared" si="6"/>
        <v>KY</v>
      </c>
      <c r="C77" s="469" t="str">
        <f t="shared" si="7"/>
        <v>359</v>
      </c>
      <c r="D77" s="470" t="s">
        <v>1829</v>
      </c>
      <c r="E77" s="468" t="str">
        <f t="shared" si="4"/>
        <v>ARO</v>
      </c>
      <c r="F77" s="469">
        <v>413.45062999999999</v>
      </c>
      <c r="G77" s="469">
        <v>413.45062999999999</v>
      </c>
      <c r="H77" s="469">
        <v>413.45062999999999</v>
      </c>
      <c r="I77" s="469">
        <v>413.45062999999999</v>
      </c>
      <c r="J77" s="469">
        <v>413.45062999999999</v>
      </c>
      <c r="K77" s="469">
        <v>413.45062999999999</v>
      </c>
      <c r="L77" s="469">
        <v>413.45062999999999</v>
      </c>
      <c r="M77" s="469">
        <v>413.45062999999999</v>
      </c>
      <c r="N77" s="469">
        <v>413.45062999999999</v>
      </c>
      <c r="O77" s="469">
        <v>413.45062999999999</v>
      </c>
      <c r="P77" s="469">
        <v>413.45062999999999</v>
      </c>
      <c r="Q77" s="469">
        <v>413.45062999999999</v>
      </c>
      <c r="R77" s="469">
        <v>413.45062999999999</v>
      </c>
      <c r="S77" s="469">
        <v>413.45062999999999</v>
      </c>
    </row>
    <row r="78" spans="1:19" s="469" customFormat="1">
      <c r="A78" s="469" t="str">
        <f t="shared" si="5"/>
        <v>KU</v>
      </c>
      <c r="B78" s="469" t="s">
        <v>104</v>
      </c>
      <c r="C78" s="469" t="str">
        <f t="shared" si="7"/>
        <v>360</v>
      </c>
      <c r="D78" s="470" t="s">
        <v>1830</v>
      </c>
      <c r="E78" s="468" t="str">
        <f t="shared" si="4"/>
        <v>FUTURE USE</v>
      </c>
      <c r="F78" s="469">
        <v>324.08784000000003</v>
      </c>
      <c r="G78" s="469">
        <v>324.08784000000003</v>
      </c>
      <c r="H78" s="469">
        <v>324.08784000000003</v>
      </c>
      <c r="I78" s="469">
        <v>324.08784000000003</v>
      </c>
      <c r="J78" s="469">
        <v>437.97009000000003</v>
      </c>
      <c r="K78" s="469">
        <v>437.97009000000003</v>
      </c>
      <c r="L78" s="469">
        <v>437.97009000000003</v>
      </c>
      <c r="M78" s="469">
        <v>437.97009000000003</v>
      </c>
      <c r="N78" s="469">
        <v>437.97009000000003</v>
      </c>
      <c r="O78" s="469">
        <v>437.97009000000003</v>
      </c>
      <c r="P78" s="469">
        <v>437.97009000000003</v>
      </c>
      <c r="Q78" s="469">
        <v>437.97009000000003</v>
      </c>
      <c r="R78" s="469">
        <v>437.97009000000003</v>
      </c>
      <c r="S78" s="469">
        <v>437.97009000000003</v>
      </c>
    </row>
    <row r="79" spans="1:19" s="469" customFormat="1">
      <c r="A79" s="469" t="str">
        <f t="shared" si="5"/>
        <v>KU</v>
      </c>
      <c r="B79" s="469" t="str">
        <f t="shared" si="6"/>
        <v>KY</v>
      </c>
      <c r="C79" s="469" t="str">
        <f t="shared" si="7"/>
        <v>360</v>
      </c>
      <c r="D79" s="470" t="s">
        <v>1831</v>
      </c>
      <c r="E79" s="468" t="str">
        <f t="shared" si="4"/>
        <v/>
      </c>
      <c r="F79" s="469">
        <v>7644.5665899999904</v>
      </c>
      <c r="G79" s="469">
        <v>7644.5665899999904</v>
      </c>
      <c r="H79" s="469">
        <v>7644.5665899999904</v>
      </c>
      <c r="I79" s="469">
        <v>7644.5665899999904</v>
      </c>
      <c r="J79" s="469">
        <v>7530.6843399999898</v>
      </c>
      <c r="K79" s="469">
        <v>7530.6843399999998</v>
      </c>
      <c r="L79" s="469">
        <v>7530.6843399999998</v>
      </c>
      <c r="M79" s="469">
        <v>7530.6843399999998</v>
      </c>
      <c r="N79" s="469">
        <v>7530.6843399999998</v>
      </c>
      <c r="O79" s="469">
        <v>7530.7656499999903</v>
      </c>
      <c r="P79" s="469">
        <v>7530.7656499999903</v>
      </c>
      <c r="Q79" s="469">
        <v>8277.7551899999999</v>
      </c>
      <c r="R79" s="469">
        <v>8277.7551899999999</v>
      </c>
      <c r="S79" s="469">
        <v>8277.7551899999999</v>
      </c>
    </row>
    <row r="80" spans="1:19" s="469" customFormat="1">
      <c r="A80" s="469" t="str">
        <f t="shared" si="5"/>
        <v>KU</v>
      </c>
      <c r="B80" s="469" t="str">
        <f t="shared" si="6"/>
        <v>TN</v>
      </c>
      <c r="C80" s="469" t="str">
        <f t="shared" si="7"/>
        <v>360</v>
      </c>
      <c r="D80" s="470" t="s">
        <v>1832</v>
      </c>
      <c r="E80" s="468" t="str">
        <f t="shared" si="4"/>
        <v/>
      </c>
      <c r="F80" s="469">
        <v>5.0402300000000002</v>
      </c>
      <c r="G80" s="469">
        <v>5.0402300000000002</v>
      </c>
      <c r="H80" s="469">
        <v>5.0402300000000002</v>
      </c>
      <c r="I80" s="469">
        <v>5.0402300000000002</v>
      </c>
      <c r="J80" s="469">
        <v>5.0402300000000002</v>
      </c>
      <c r="K80" s="469">
        <v>5.0402300000000002</v>
      </c>
      <c r="L80" s="469">
        <v>5.0402300000000002</v>
      </c>
      <c r="M80" s="469">
        <v>5.0402300000000002</v>
      </c>
      <c r="N80" s="469">
        <v>5.0402300000000002</v>
      </c>
      <c r="O80" s="469">
        <v>5.0402300000000002</v>
      </c>
      <c r="P80" s="469">
        <v>5.0402300000000002</v>
      </c>
      <c r="Q80" s="469">
        <v>5.0402300000000002</v>
      </c>
      <c r="R80" s="469">
        <v>5.0402300000000002</v>
      </c>
      <c r="S80" s="469">
        <v>5.0402300000000002</v>
      </c>
    </row>
    <row r="81" spans="1:19" s="469" customFormat="1">
      <c r="A81" s="469" t="str">
        <f t="shared" si="5"/>
        <v>KU</v>
      </c>
      <c r="B81" s="469" t="str">
        <f t="shared" si="6"/>
        <v>VA</v>
      </c>
      <c r="C81" s="469" t="str">
        <f t="shared" si="7"/>
        <v>360</v>
      </c>
      <c r="D81" s="470" t="s">
        <v>1833</v>
      </c>
      <c r="E81" s="468" t="str">
        <f t="shared" si="4"/>
        <v/>
      </c>
      <c r="F81" s="469">
        <v>193.25044</v>
      </c>
      <c r="G81" s="469">
        <v>193.25044</v>
      </c>
      <c r="H81" s="469">
        <v>193.25044</v>
      </c>
      <c r="I81" s="469">
        <v>193.25044</v>
      </c>
      <c r="J81" s="469">
        <v>193.25044</v>
      </c>
      <c r="K81" s="469">
        <v>193.25044</v>
      </c>
      <c r="L81" s="469">
        <v>193.25044</v>
      </c>
      <c r="M81" s="469">
        <v>193.25044</v>
      </c>
      <c r="N81" s="469">
        <v>193.25044</v>
      </c>
      <c r="O81" s="469">
        <v>193.25044</v>
      </c>
      <c r="P81" s="469">
        <v>193.25044</v>
      </c>
      <c r="Q81" s="469">
        <v>343.25044000000003</v>
      </c>
      <c r="R81" s="469">
        <v>343.25044000000003</v>
      </c>
      <c r="S81" s="469">
        <v>343.25044000000003</v>
      </c>
    </row>
    <row r="82" spans="1:19" s="469" customFormat="1">
      <c r="A82" s="469" t="str">
        <f t="shared" si="5"/>
        <v>KU</v>
      </c>
      <c r="B82" s="469" t="str">
        <f t="shared" si="6"/>
        <v>KY</v>
      </c>
      <c r="C82" s="469" t="str">
        <f t="shared" si="7"/>
        <v>361</v>
      </c>
      <c r="D82" s="470" t="s">
        <v>1834</v>
      </c>
      <c r="E82" s="468" t="str">
        <f t="shared" si="4"/>
        <v/>
      </c>
      <c r="F82" s="469">
        <v>11877.813039999999</v>
      </c>
      <c r="G82" s="469">
        <v>11874.83604</v>
      </c>
      <c r="H82" s="469">
        <v>11859.16986</v>
      </c>
      <c r="I82" s="469">
        <v>11883.197</v>
      </c>
      <c r="J82" s="469">
        <v>11919.76677</v>
      </c>
      <c r="K82" s="469">
        <v>11897.0330299999</v>
      </c>
      <c r="L82" s="469">
        <v>11930.329680000001</v>
      </c>
      <c r="M82" s="469">
        <v>11951.181399999999</v>
      </c>
      <c r="N82" s="469">
        <v>11951.181399999999</v>
      </c>
      <c r="O82" s="469">
        <v>11951.181399999999</v>
      </c>
      <c r="P82" s="469">
        <v>11951.181399999999</v>
      </c>
      <c r="Q82" s="469">
        <v>12013.416149999999</v>
      </c>
      <c r="R82" s="469">
        <v>12013.416149999999</v>
      </c>
      <c r="S82" s="469">
        <v>12013.416149999999</v>
      </c>
    </row>
    <row r="83" spans="1:19" s="469" customFormat="1">
      <c r="A83" s="469" t="str">
        <f t="shared" si="5"/>
        <v>KU</v>
      </c>
      <c r="B83" s="469" t="str">
        <f t="shared" si="6"/>
        <v>TN</v>
      </c>
      <c r="C83" s="469" t="str">
        <f t="shared" si="7"/>
        <v>361</v>
      </c>
      <c r="D83" s="470" t="s">
        <v>1835</v>
      </c>
      <c r="E83" s="468" t="str">
        <f t="shared" si="4"/>
        <v/>
      </c>
      <c r="F83" s="469">
        <v>2.5758899999999998</v>
      </c>
      <c r="G83" s="469">
        <v>2.5758899999999998</v>
      </c>
      <c r="H83" s="469">
        <v>2.5758899999999998</v>
      </c>
      <c r="I83" s="469">
        <v>2.5758899999999998</v>
      </c>
      <c r="J83" s="469">
        <v>2.5758899999999998</v>
      </c>
      <c r="K83" s="469">
        <v>2.5758899999999998</v>
      </c>
      <c r="L83" s="469">
        <v>2.5758899999999998</v>
      </c>
      <c r="M83" s="469">
        <v>2.5758899999999998</v>
      </c>
      <c r="N83" s="469">
        <v>2.5758899999999998</v>
      </c>
      <c r="O83" s="469">
        <v>2.5758899999999998</v>
      </c>
      <c r="P83" s="469">
        <v>2.5758899999999998</v>
      </c>
      <c r="Q83" s="469">
        <v>2.5758899999999998</v>
      </c>
      <c r="R83" s="469">
        <v>2.5758899999999998</v>
      </c>
      <c r="S83" s="469">
        <v>2.5758899999999998</v>
      </c>
    </row>
    <row r="84" spans="1:19" s="469" customFormat="1">
      <c r="A84" s="469" t="str">
        <f t="shared" si="5"/>
        <v>KU</v>
      </c>
      <c r="B84" s="469" t="str">
        <f t="shared" si="6"/>
        <v>VA</v>
      </c>
      <c r="C84" s="469" t="str">
        <f t="shared" si="7"/>
        <v>361</v>
      </c>
      <c r="D84" s="470" t="s">
        <v>1836</v>
      </c>
      <c r="E84" s="468" t="str">
        <f t="shared" si="4"/>
        <v/>
      </c>
      <c r="F84" s="469">
        <v>486.25205</v>
      </c>
      <c r="G84" s="469">
        <v>486.25205</v>
      </c>
      <c r="H84" s="469">
        <v>486.25205</v>
      </c>
      <c r="I84" s="469">
        <v>486.25205</v>
      </c>
      <c r="J84" s="469">
        <v>486.25205</v>
      </c>
      <c r="K84" s="469">
        <v>486.25205</v>
      </c>
      <c r="L84" s="469">
        <v>493.67151999999999</v>
      </c>
      <c r="M84" s="469">
        <v>493.67151999999999</v>
      </c>
      <c r="N84" s="469">
        <v>493.67151999999999</v>
      </c>
      <c r="O84" s="469">
        <v>493.67151999999999</v>
      </c>
      <c r="P84" s="469">
        <v>493.67151999999999</v>
      </c>
      <c r="Q84" s="469">
        <v>493.67151999999999</v>
      </c>
      <c r="R84" s="469">
        <v>493.67151999999999</v>
      </c>
      <c r="S84" s="469">
        <v>493.67151999999999</v>
      </c>
    </row>
    <row r="85" spans="1:19" s="469" customFormat="1">
      <c r="A85" s="469" t="str">
        <f t="shared" si="5"/>
        <v>KU</v>
      </c>
      <c r="B85" s="469" t="str">
        <f t="shared" si="6"/>
        <v>KY</v>
      </c>
      <c r="C85" s="469" t="str">
        <f t="shared" si="7"/>
        <v>362</v>
      </c>
      <c r="D85" s="470" t="s">
        <v>1837</v>
      </c>
      <c r="E85" s="468" t="str">
        <f t="shared" ref="E85:E135" si="8">IF(ISTEXT(MID($D85,SEARCH("FUTURE USE",$D85),3)),"FUTURE USE",IF(ISTEXT(MID($D85,SEARCH("ECR",$D85),3)),"ECR",IF(ISTEXT(MID($D85,SEARCH("ARO",$D85),3)),"ARO",IF(ISTEXT(MID($D85,SEARCH("DSM",$D85),3)),"DSM",""))))</f>
        <v/>
      </c>
      <c r="F85" s="469">
        <v>169288.26119999899</v>
      </c>
      <c r="G85" s="469">
        <v>169192.6894</v>
      </c>
      <c r="H85" s="469">
        <v>168919.03279</v>
      </c>
      <c r="I85" s="469">
        <v>168771.74422999899</v>
      </c>
      <c r="J85" s="469">
        <v>168832.95540000001</v>
      </c>
      <c r="K85" s="469">
        <v>169679.5704</v>
      </c>
      <c r="L85" s="469">
        <v>169683.56390000001</v>
      </c>
      <c r="M85" s="469">
        <v>170192.92540000001</v>
      </c>
      <c r="N85" s="469">
        <v>170046.62270000001</v>
      </c>
      <c r="O85" s="469">
        <v>170122.4621</v>
      </c>
      <c r="P85" s="469">
        <v>170053.50210000001</v>
      </c>
      <c r="Q85" s="469">
        <v>182802.14525999999</v>
      </c>
      <c r="R85" s="469">
        <v>182749.99526</v>
      </c>
      <c r="S85" s="469">
        <v>182667.90126000001</v>
      </c>
    </row>
    <row r="86" spans="1:19" s="469" customFormat="1">
      <c r="A86" s="469" t="str">
        <f t="shared" si="5"/>
        <v>KU</v>
      </c>
      <c r="B86" s="469" t="str">
        <f t="shared" si="6"/>
        <v>TN</v>
      </c>
      <c r="C86" s="469" t="str">
        <f t="shared" si="7"/>
        <v>362</v>
      </c>
      <c r="D86" s="470" t="s">
        <v>1838</v>
      </c>
      <c r="E86" s="468" t="str">
        <f t="shared" si="8"/>
        <v/>
      </c>
      <c r="F86" s="469">
        <v>66.887249999999995</v>
      </c>
      <c r="G86" s="469">
        <v>66.887249999999995</v>
      </c>
      <c r="H86" s="469">
        <v>66.887249999999995</v>
      </c>
      <c r="I86" s="469">
        <v>66.887249999999995</v>
      </c>
      <c r="J86" s="469">
        <v>66.887249999999995</v>
      </c>
      <c r="K86" s="469">
        <v>66.887249999999995</v>
      </c>
      <c r="L86" s="469">
        <v>66.887249999999995</v>
      </c>
      <c r="M86" s="469">
        <v>66.887249999999995</v>
      </c>
      <c r="N86" s="469">
        <v>66.887249999999995</v>
      </c>
      <c r="O86" s="469">
        <v>66.887249999999995</v>
      </c>
      <c r="P86" s="469">
        <v>66.887249999999995</v>
      </c>
      <c r="Q86" s="469">
        <v>66.887249999999995</v>
      </c>
      <c r="R86" s="469">
        <v>66.887249999999995</v>
      </c>
      <c r="S86" s="469">
        <v>66.887249999999995</v>
      </c>
    </row>
    <row r="87" spans="1:19" s="469" customFormat="1">
      <c r="A87" s="469" t="str">
        <f t="shared" si="5"/>
        <v>KU</v>
      </c>
      <c r="B87" s="469" t="str">
        <f t="shared" si="6"/>
        <v>VA</v>
      </c>
      <c r="C87" s="469" t="str">
        <f t="shared" si="7"/>
        <v>362</v>
      </c>
      <c r="D87" s="470" t="s">
        <v>1839</v>
      </c>
      <c r="E87" s="468" t="str">
        <f t="shared" si="8"/>
        <v/>
      </c>
      <c r="F87" s="469">
        <v>8094.2036500000004</v>
      </c>
      <c r="G87" s="469">
        <v>8094.2036500000004</v>
      </c>
      <c r="H87" s="469">
        <v>8176.0011699999995</v>
      </c>
      <c r="I87" s="469">
        <v>8161.2674100000004</v>
      </c>
      <c r="J87" s="469">
        <v>8159.8218299999999</v>
      </c>
      <c r="K87" s="469">
        <v>8159.8218299999999</v>
      </c>
      <c r="L87" s="469">
        <v>8159.8218299999999</v>
      </c>
      <c r="M87" s="469">
        <v>8159.8218299999999</v>
      </c>
      <c r="N87" s="469">
        <v>8162.1422000000002</v>
      </c>
      <c r="O87" s="469">
        <v>8168.1422000000002</v>
      </c>
      <c r="P87" s="469">
        <v>8171.3741499999996</v>
      </c>
      <c r="Q87" s="469">
        <v>8233.1900100000003</v>
      </c>
      <c r="R87" s="469">
        <v>8233.1900100000003</v>
      </c>
      <c r="S87" s="469">
        <v>8233.1900100000003</v>
      </c>
    </row>
    <row r="88" spans="1:19" s="469" customFormat="1">
      <c r="A88" s="469" t="str">
        <f t="shared" si="5"/>
        <v>KU</v>
      </c>
      <c r="B88" s="469" t="str">
        <f t="shared" si="6"/>
        <v>KY</v>
      </c>
      <c r="C88" s="469" t="str">
        <f t="shared" si="7"/>
        <v>364</v>
      </c>
      <c r="D88" s="470" t="s">
        <v>2360</v>
      </c>
      <c r="E88" s="468" t="str">
        <f t="shared" si="8"/>
        <v>ECR</v>
      </c>
      <c r="F88" s="469">
        <v>26.531199999999998</v>
      </c>
      <c r="G88" s="469">
        <v>26.531199999999998</v>
      </c>
      <c r="H88" s="469">
        <v>26.531199999999998</v>
      </c>
      <c r="I88" s="469">
        <v>26.531199999999998</v>
      </c>
      <c r="J88" s="469">
        <v>26.531199999999998</v>
      </c>
      <c r="K88" s="469">
        <v>26.531199999999998</v>
      </c>
      <c r="L88" s="469">
        <v>26.531199999999998</v>
      </c>
      <c r="M88" s="469">
        <v>26.531199999999998</v>
      </c>
      <c r="N88" s="469">
        <v>26.531199999999998</v>
      </c>
      <c r="O88" s="469">
        <v>26.531199999999998</v>
      </c>
      <c r="P88" s="469">
        <v>26.531199999999998</v>
      </c>
      <c r="Q88" s="469">
        <v>26.531199999999998</v>
      </c>
      <c r="R88" s="469">
        <v>26.531199999999998</v>
      </c>
      <c r="S88" s="469">
        <v>26.531199999999998</v>
      </c>
    </row>
    <row r="89" spans="1:19" s="469" customFormat="1">
      <c r="A89" s="469" t="str">
        <f t="shared" si="5"/>
        <v>KU</v>
      </c>
      <c r="B89" s="469" t="str">
        <f t="shared" si="6"/>
        <v>KY</v>
      </c>
      <c r="C89" s="469" t="str">
        <f t="shared" si="7"/>
        <v>364</v>
      </c>
      <c r="D89" s="470" t="s">
        <v>1840</v>
      </c>
      <c r="E89" s="468" t="str">
        <f t="shared" si="8"/>
        <v/>
      </c>
      <c r="F89" s="469">
        <v>330234.25510000001</v>
      </c>
      <c r="G89" s="469">
        <v>336630.8493</v>
      </c>
      <c r="H89" s="469">
        <v>336886.80283999903</v>
      </c>
      <c r="I89" s="469">
        <v>338805.74437999999</v>
      </c>
      <c r="J89" s="469">
        <v>338772.2721</v>
      </c>
      <c r="K89" s="469">
        <v>339101.16089999903</v>
      </c>
      <c r="L89" s="469">
        <v>339251.63860000001</v>
      </c>
      <c r="M89" s="469">
        <v>337538.76360000001</v>
      </c>
      <c r="N89" s="469">
        <v>339357.15609</v>
      </c>
      <c r="O89" s="469">
        <v>339760.4472</v>
      </c>
      <c r="P89" s="469">
        <v>340157.43117</v>
      </c>
      <c r="Q89" s="469">
        <v>346899.89291999902</v>
      </c>
      <c r="R89" s="469">
        <v>347642.01441999897</v>
      </c>
      <c r="S89" s="469">
        <v>348339.19319999899</v>
      </c>
    </row>
    <row r="90" spans="1:19" s="469" customFormat="1">
      <c r="A90" s="469" t="str">
        <f t="shared" si="5"/>
        <v>KU</v>
      </c>
      <c r="B90" s="469" t="str">
        <f t="shared" si="6"/>
        <v>TN</v>
      </c>
      <c r="C90" s="469" t="str">
        <f t="shared" si="7"/>
        <v>364</v>
      </c>
      <c r="D90" s="470" t="s">
        <v>1841</v>
      </c>
      <c r="E90" s="468" t="str">
        <f t="shared" si="8"/>
        <v/>
      </c>
      <c r="F90" s="469">
        <v>47.785559999999997</v>
      </c>
      <c r="G90" s="469">
        <v>47.785559999999997</v>
      </c>
      <c r="H90" s="469">
        <v>47.785559999999997</v>
      </c>
      <c r="I90" s="469">
        <v>47.785559999999997</v>
      </c>
      <c r="J90" s="469">
        <v>47.785559999999997</v>
      </c>
      <c r="K90" s="469">
        <v>47.785559999999997</v>
      </c>
      <c r="L90" s="469">
        <v>47.785559999999997</v>
      </c>
      <c r="M90" s="469">
        <v>47.785559999999997</v>
      </c>
      <c r="N90" s="469">
        <v>47.785559999999997</v>
      </c>
      <c r="O90" s="469">
        <v>47.785559999999997</v>
      </c>
      <c r="P90" s="469">
        <v>47.785559999999997</v>
      </c>
      <c r="Q90" s="469">
        <v>47.785559999999997</v>
      </c>
      <c r="R90" s="469">
        <v>47.785559999999997</v>
      </c>
      <c r="S90" s="469">
        <v>47.785559999999997</v>
      </c>
    </row>
    <row r="91" spans="1:19" s="469" customFormat="1">
      <c r="A91" s="469" t="str">
        <f t="shared" si="5"/>
        <v>KU</v>
      </c>
      <c r="B91" s="469" t="str">
        <f t="shared" si="6"/>
        <v>VA</v>
      </c>
      <c r="C91" s="469" t="str">
        <f t="shared" si="7"/>
        <v>364</v>
      </c>
      <c r="D91" s="470" t="s">
        <v>1842</v>
      </c>
      <c r="E91" s="468" t="str">
        <f t="shared" si="8"/>
        <v/>
      </c>
      <c r="F91" s="469">
        <v>26569.15826</v>
      </c>
      <c r="G91" s="469">
        <v>26900.878909999999</v>
      </c>
      <c r="H91" s="469">
        <v>26924.771229999998</v>
      </c>
      <c r="I91" s="469">
        <v>26999.030940000001</v>
      </c>
      <c r="J91" s="469">
        <v>27133.735219999999</v>
      </c>
      <c r="K91" s="469">
        <v>27140.655620000001</v>
      </c>
      <c r="L91" s="469">
        <v>27225.100469999899</v>
      </c>
      <c r="M91" s="469">
        <v>27136.396550000001</v>
      </c>
      <c r="N91" s="469">
        <v>27379.55586</v>
      </c>
      <c r="O91" s="469">
        <v>28144.84072</v>
      </c>
      <c r="P91" s="469">
        <v>28124.99538</v>
      </c>
      <c r="Q91" s="469">
        <v>28590.825830000002</v>
      </c>
      <c r="R91" s="469">
        <v>28612.785940000002</v>
      </c>
      <c r="S91" s="469">
        <v>28632.977589999999</v>
      </c>
    </row>
    <row r="92" spans="1:19" s="469" customFormat="1">
      <c r="A92" s="469" t="str">
        <f t="shared" si="5"/>
        <v>KU</v>
      </c>
      <c r="B92" s="469" t="str">
        <f t="shared" si="6"/>
        <v>KY</v>
      </c>
      <c r="C92" s="469" t="str">
        <f t="shared" si="7"/>
        <v>365</v>
      </c>
      <c r="D92" s="470" t="s">
        <v>2361</v>
      </c>
      <c r="E92" s="468" t="str">
        <f t="shared" si="8"/>
        <v>ECR</v>
      </c>
      <c r="F92" s="469">
        <v>23.599409999999999</v>
      </c>
      <c r="G92" s="469">
        <v>23.599409999999999</v>
      </c>
      <c r="H92" s="469">
        <v>23.599409999999999</v>
      </c>
      <c r="I92" s="469">
        <v>23.599409999999999</v>
      </c>
      <c r="J92" s="469">
        <v>23.599409999999999</v>
      </c>
      <c r="K92" s="469">
        <v>23.599409999999999</v>
      </c>
      <c r="L92" s="469">
        <v>23.599409999999999</v>
      </c>
      <c r="M92" s="469">
        <v>23.599409999999999</v>
      </c>
      <c r="N92" s="469">
        <v>23.599409999999999</v>
      </c>
      <c r="O92" s="469">
        <v>23.599409999999999</v>
      </c>
      <c r="P92" s="469">
        <v>23.599409999999999</v>
      </c>
      <c r="Q92" s="469">
        <v>23.599409999999999</v>
      </c>
      <c r="R92" s="469">
        <v>23.599409999999999</v>
      </c>
      <c r="S92" s="469">
        <v>23.599409999999999</v>
      </c>
    </row>
    <row r="93" spans="1:19" s="469" customFormat="1">
      <c r="A93" s="469" t="str">
        <f t="shared" si="5"/>
        <v>KU</v>
      </c>
      <c r="B93" s="469" t="str">
        <f t="shared" si="6"/>
        <v>KY</v>
      </c>
      <c r="C93" s="469" t="str">
        <f t="shared" si="7"/>
        <v>365</v>
      </c>
      <c r="D93" s="470" t="s">
        <v>1843</v>
      </c>
      <c r="E93" s="468" t="str">
        <f t="shared" si="8"/>
        <v/>
      </c>
      <c r="F93" s="469">
        <v>317883.93867</v>
      </c>
      <c r="G93" s="469">
        <v>323611.87258999998</v>
      </c>
      <c r="H93" s="469">
        <v>324406.03949</v>
      </c>
      <c r="I93" s="469">
        <v>326607.09779000003</v>
      </c>
      <c r="J93" s="469">
        <v>327613.61839999998</v>
      </c>
      <c r="K93" s="469">
        <v>327748.64639999898</v>
      </c>
      <c r="L93" s="469">
        <v>327974.1912</v>
      </c>
      <c r="M93" s="469">
        <v>324942.85619999998</v>
      </c>
      <c r="N93" s="469">
        <v>329024.90765999898</v>
      </c>
      <c r="O93" s="469">
        <v>330539.11877999897</v>
      </c>
      <c r="P93" s="469">
        <v>331874.21355999901</v>
      </c>
      <c r="Q93" s="469">
        <v>340491.41089999903</v>
      </c>
      <c r="R93" s="469">
        <v>342047.744479999</v>
      </c>
      <c r="S93" s="469">
        <v>343362.77349999902</v>
      </c>
    </row>
    <row r="94" spans="1:19" s="469" customFormat="1">
      <c r="A94" s="469" t="str">
        <f t="shared" si="5"/>
        <v>KU</v>
      </c>
      <c r="B94" s="469" t="str">
        <f t="shared" si="6"/>
        <v>TN</v>
      </c>
      <c r="C94" s="469" t="str">
        <f t="shared" si="7"/>
        <v>365</v>
      </c>
      <c r="D94" s="470" t="s">
        <v>1844</v>
      </c>
      <c r="E94" s="468" t="str">
        <f t="shared" si="8"/>
        <v/>
      </c>
      <c r="F94" s="469">
        <v>46.763219999999997</v>
      </c>
      <c r="G94" s="469">
        <v>46.763219999999997</v>
      </c>
      <c r="H94" s="469">
        <v>46.763219999999997</v>
      </c>
      <c r="I94" s="469">
        <v>46.763219999999997</v>
      </c>
      <c r="J94" s="469">
        <v>46.763219999999997</v>
      </c>
      <c r="K94" s="469">
        <v>46.763219999999997</v>
      </c>
      <c r="L94" s="469">
        <v>46.763219999999997</v>
      </c>
      <c r="M94" s="469">
        <v>46.763219999999997</v>
      </c>
      <c r="N94" s="469">
        <v>46.763219999999997</v>
      </c>
      <c r="O94" s="469">
        <v>46.763219999999997</v>
      </c>
      <c r="P94" s="469">
        <v>46.763219999999997</v>
      </c>
      <c r="Q94" s="469">
        <v>46.763219999999997</v>
      </c>
      <c r="R94" s="469">
        <v>46.763219999999997</v>
      </c>
      <c r="S94" s="469">
        <v>46.763219999999997</v>
      </c>
    </row>
    <row r="95" spans="1:19" s="469" customFormat="1">
      <c r="A95" s="469" t="str">
        <f t="shared" si="5"/>
        <v>KU</v>
      </c>
      <c r="B95" s="469" t="str">
        <f t="shared" si="6"/>
        <v>VA</v>
      </c>
      <c r="C95" s="469" t="str">
        <f t="shared" si="7"/>
        <v>365</v>
      </c>
      <c r="D95" s="470" t="s">
        <v>1845</v>
      </c>
      <c r="E95" s="468" t="str">
        <f t="shared" si="8"/>
        <v/>
      </c>
      <c r="F95" s="469">
        <v>23904.887269999999</v>
      </c>
      <c r="G95" s="469">
        <v>24265.015340000002</v>
      </c>
      <c r="H95" s="469">
        <v>24285.916939999999</v>
      </c>
      <c r="I95" s="469">
        <v>24374.447609999999</v>
      </c>
      <c r="J95" s="469">
        <v>24404.712769999998</v>
      </c>
      <c r="K95" s="469">
        <v>24411.633160000001</v>
      </c>
      <c r="L95" s="469">
        <v>24401.048859999999</v>
      </c>
      <c r="M95" s="469">
        <v>24355.664680000002</v>
      </c>
      <c r="N95" s="469">
        <v>24977.498009999999</v>
      </c>
      <c r="O95" s="469">
        <v>25234.14457</v>
      </c>
      <c r="P95" s="469">
        <v>25351.242819999999</v>
      </c>
      <c r="Q95" s="469">
        <v>25677.716909999999</v>
      </c>
      <c r="R95" s="469">
        <v>25811.025420000002</v>
      </c>
      <c r="S95" s="469">
        <v>25952.712309999999</v>
      </c>
    </row>
    <row r="96" spans="1:19" s="469" customFormat="1">
      <c r="A96" s="469" t="str">
        <f t="shared" si="5"/>
        <v>KU</v>
      </c>
      <c r="B96" s="469" t="str">
        <f t="shared" si="6"/>
        <v>KY</v>
      </c>
      <c r="C96" s="469" t="str">
        <f t="shared" si="7"/>
        <v>366</v>
      </c>
      <c r="D96" s="470" t="s">
        <v>2362</v>
      </c>
      <c r="E96" s="468" t="str">
        <f t="shared" si="8"/>
        <v>ECR</v>
      </c>
      <c r="F96" s="469">
        <v>171.00252</v>
      </c>
      <c r="G96" s="469">
        <v>171.00252</v>
      </c>
      <c r="H96" s="469">
        <v>171.00252</v>
      </c>
      <c r="I96" s="469">
        <v>171.00252</v>
      </c>
      <c r="J96" s="469">
        <v>171.00252</v>
      </c>
      <c r="K96" s="469">
        <v>171.00252</v>
      </c>
      <c r="L96" s="469">
        <v>171.00252</v>
      </c>
      <c r="M96" s="469">
        <v>171.00252</v>
      </c>
      <c r="N96" s="469">
        <v>171.00252</v>
      </c>
      <c r="O96" s="469">
        <v>171.00252</v>
      </c>
      <c r="P96" s="469">
        <v>171.00252</v>
      </c>
      <c r="Q96" s="469">
        <v>171.00252</v>
      </c>
      <c r="R96" s="469">
        <v>171.00252</v>
      </c>
      <c r="S96" s="469">
        <v>171.00252</v>
      </c>
    </row>
    <row r="97" spans="1:19" s="469" customFormat="1">
      <c r="A97" s="469" t="str">
        <f t="shared" si="5"/>
        <v>KU</v>
      </c>
      <c r="B97" s="469" t="str">
        <f t="shared" si="6"/>
        <v>KY</v>
      </c>
      <c r="C97" s="469" t="str">
        <f t="shared" si="7"/>
        <v>366</v>
      </c>
      <c r="D97" s="470" t="s">
        <v>1846</v>
      </c>
      <c r="E97" s="468" t="str">
        <f t="shared" si="8"/>
        <v/>
      </c>
      <c r="F97" s="469">
        <v>2004.9649400000001</v>
      </c>
      <c r="G97" s="469">
        <v>2004.9649400000001</v>
      </c>
      <c r="H97" s="469">
        <v>2004.9649400000001</v>
      </c>
      <c r="I97" s="469">
        <v>2002.7788799999901</v>
      </c>
      <c r="J97" s="469">
        <v>2002.7788799999901</v>
      </c>
      <c r="K97" s="469">
        <v>2002.7788799999901</v>
      </c>
      <c r="L97" s="469">
        <v>2002.7788799999901</v>
      </c>
      <c r="M97" s="469">
        <v>2210.2251499999902</v>
      </c>
      <c r="N97" s="469">
        <v>2210.2251499999902</v>
      </c>
      <c r="O97" s="469">
        <v>2210.2251499999902</v>
      </c>
      <c r="P97" s="469">
        <v>2210.2251499999902</v>
      </c>
      <c r="Q97" s="469">
        <v>2210.2251499999902</v>
      </c>
      <c r="R97" s="469">
        <v>2210.2251499999902</v>
      </c>
      <c r="S97" s="469">
        <v>2210.2251499999902</v>
      </c>
    </row>
    <row r="98" spans="1:19" s="469" customFormat="1">
      <c r="A98" s="469" t="str">
        <f t="shared" si="5"/>
        <v>KU</v>
      </c>
      <c r="B98" s="469" t="str">
        <f t="shared" si="6"/>
        <v>KY</v>
      </c>
      <c r="C98" s="469" t="str">
        <f t="shared" si="7"/>
        <v>367</v>
      </c>
      <c r="D98" s="470" t="s">
        <v>2363</v>
      </c>
      <c r="E98" s="468" t="str">
        <f t="shared" si="8"/>
        <v>ECR</v>
      </c>
      <c r="F98" s="469">
        <v>1326.11537</v>
      </c>
      <c r="G98" s="469">
        <v>1326.11537</v>
      </c>
      <c r="H98" s="469">
        <v>1326.11537</v>
      </c>
      <c r="I98" s="469">
        <v>1326.11537</v>
      </c>
      <c r="J98" s="469">
        <v>1326.11537</v>
      </c>
      <c r="K98" s="469">
        <v>1326.11537</v>
      </c>
      <c r="L98" s="469">
        <v>1326.11537</v>
      </c>
      <c r="M98" s="469">
        <v>1326.11537</v>
      </c>
      <c r="N98" s="469">
        <v>1326.11537</v>
      </c>
      <c r="O98" s="469">
        <v>1326.11537</v>
      </c>
      <c r="P98" s="469">
        <v>1326.11537</v>
      </c>
      <c r="Q98" s="469">
        <v>1326.11537</v>
      </c>
      <c r="R98" s="469">
        <v>1326.11537</v>
      </c>
      <c r="S98" s="469">
        <v>1326.11537</v>
      </c>
    </row>
    <row r="99" spans="1:19" s="469" customFormat="1">
      <c r="A99" s="469" t="str">
        <f t="shared" si="5"/>
        <v>KU</v>
      </c>
      <c r="B99" s="469" t="str">
        <f t="shared" si="6"/>
        <v>KY</v>
      </c>
      <c r="C99" s="469" t="str">
        <f t="shared" si="7"/>
        <v>367</v>
      </c>
      <c r="D99" s="470" t="s">
        <v>1847</v>
      </c>
      <c r="E99" s="468" t="str">
        <f t="shared" si="8"/>
        <v/>
      </c>
      <c r="F99" s="469">
        <v>177640.59669999999</v>
      </c>
      <c r="G99" s="469">
        <v>178409.97889999999</v>
      </c>
      <c r="H99" s="469">
        <v>178451.16893000001</v>
      </c>
      <c r="I99" s="469">
        <v>180114.05395999999</v>
      </c>
      <c r="J99" s="469">
        <v>181036.83499999999</v>
      </c>
      <c r="K99" s="469">
        <v>181100.5471</v>
      </c>
      <c r="L99" s="469">
        <v>181897.66560000001</v>
      </c>
      <c r="M99" s="469">
        <v>179588.27410000001</v>
      </c>
      <c r="N99" s="469">
        <v>180640.29771000001</v>
      </c>
      <c r="O99" s="469">
        <v>182015.36682</v>
      </c>
      <c r="P99" s="469">
        <v>183143.39415000001</v>
      </c>
      <c r="Q99" s="469">
        <v>184169.4987</v>
      </c>
      <c r="R99" s="469">
        <v>185359.01341000001</v>
      </c>
      <c r="S99" s="469">
        <v>186427.96056000001</v>
      </c>
    </row>
    <row r="100" spans="1:19" s="469" customFormat="1">
      <c r="A100" s="469" t="str">
        <f t="shared" si="5"/>
        <v>KU</v>
      </c>
      <c r="B100" s="469" t="str">
        <f t="shared" si="6"/>
        <v>VA</v>
      </c>
      <c r="C100" s="469" t="str">
        <f t="shared" si="7"/>
        <v>367</v>
      </c>
      <c r="D100" s="470" t="s">
        <v>1848</v>
      </c>
      <c r="E100" s="468" t="str">
        <f t="shared" si="8"/>
        <v/>
      </c>
      <c r="F100" s="469">
        <v>3997.6299399999998</v>
      </c>
      <c r="G100" s="469">
        <v>4035.4618099999998</v>
      </c>
      <c r="H100" s="469">
        <v>4056.15337</v>
      </c>
      <c r="I100" s="469">
        <v>4127.7900200000004</v>
      </c>
      <c r="J100" s="469">
        <v>4164.4589800000003</v>
      </c>
      <c r="K100" s="469">
        <v>4173.0029400000003</v>
      </c>
      <c r="L100" s="469">
        <v>4062.6956300000002</v>
      </c>
      <c r="M100" s="469">
        <v>4089.5175399999998</v>
      </c>
      <c r="N100" s="469">
        <v>4136.6241099999997</v>
      </c>
      <c r="O100" s="469">
        <v>4151.82503</v>
      </c>
      <c r="P100" s="469">
        <v>4204.3819899999999</v>
      </c>
      <c r="Q100" s="469">
        <v>5125.7497199999998</v>
      </c>
      <c r="R100" s="469">
        <v>5168.7764299999999</v>
      </c>
      <c r="S100" s="469">
        <v>5200.6881100000001</v>
      </c>
    </row>
    <row r="101" spans="1:19" s="469" customFormat="1">
      <c r="A101" s="469" t="str">
        <f t="shared" si="5"/>
        <v>KU</v>
      </c>
      <c r="B101" s="469" t="str">
        <f t="shared" si="6"/>
        <v>KY</v>
      </c>
      <c r="C101" s="469" t="str">
        <f t="shared" si="7"/>
        <v>368</v>
      </c>
      <c r="D101" s="470" t="s">
        <v>1849</v>
      </c>
      <c r="E101" s="468" t="str">
        <f t="shared" si="8"/>
        <v/>
      </c>
      <c r="F101" s="469">
        <v>295026.99160000001</v>
      </c>
      <c r="G101" s="469">
        <v>295319.32049999997</v>
      </c>
      <c r="H101" s="469">
        <v>296061.03788000002</v>
      </c>
      <c r="I101" s="469">
        <v>296072.87796000001</v>
      </c>
      <c r="J101" s="469">
        <v>297519.50919999997</v>
      </c>
      <c r="K101" s="469">
        <v>297652.82689999999</v>
      </c>
      <c r="L101" s="469">
        <v>298075.92349999998</v>
      </c>
      <c r="M101" s="469">
        <v>298625.41580000002</v>
      </c>
      <c r="N101" s="469">
        <v>299434.21399000002</v>
      </c>
      <c r="O101" s="469">
        <v>300195.71779000002</v>
      </c>
      <c r="P101" s="469">
        <v>301011.31325000001</v>
      </c>
      <c r="Q101" s="469">
        <v>301697.20061999903</v>
      </c>
      <c r="R101" s="469">
        <v>301936.54531999998</v>
      </c>
      <c r="S101" s="469">
        <v>302543.33557999902</v>
      </c>
    </row>
    <row r="102" spans="1:19" s="469" customFormat="1">
      <c r="A102" s="469" t="str">
        <f t="shared" si="5"/>
        <v>KU</v>
      </c>
      <c r="B102" s="469" t="str">
        <f t="shared" si="6"/>
        <v>TN</v>
      </c>
      <c r="C102" s="469" t="str">
        <f t="shared" si="7"/>
        <v>368</v>
      </c>
      <c r="D102" s="470" t="s">
        <v>1850</v>
      </c>
      <c r="E102" s="468" t="str">
        <f t="shared" si="8"/>
        <v/>
      </c>
      <c r="F102" s="469">
        <v>3.1182799999999999</v>
      </c>
      <c r="G102" s="469">
        <v>3.1182799999999999</v>
      </c>
      <c r="H102" s="469">
        <v>3.1182799999999999</v>
      </c>
      <c r="I102" s="469">
        <v>3.1182799999999999</v>
      </c>
      <c r="J102" s="469">
        <v>3.1182799999999999</v>
      </c>
      <c r="K102" s="469">
        <v>3.1182799999999999</v>
      </c>
      <c r="L102" s="469">
        <v>3.1182799999999999</v>
      </c>
      <c r="M102" s="469">
        <v>3.1182799999999999</v>
      </c>
      <c r="N102" s="469">
        <v>3.1182799999999999</v>
      </c>
      <c r="O102" s="469">
        <v>3.1182799999999999</v>
      </c>
      <c r="P102" s="469">
        <v>3.1182799999999999</v>
      </c>
      <c r="Q102" s="469">
        <v>3.1182799999999999</v>
      </c>
      <c r="R102" s="469">
        <v>3.1182799999999999</v>
      </c>
      <c r="S102" s="469">
        <v>3.1182799999999999</v>
      </c>
    </row>
    <row r="103" spans="1:19" s="469" customFormat="1">
      <c r="A103" s="469" t="str">
        <f t="shared" si="5"/>
        <v>KU</v>
      </c>
      <c r="B103" s="469" t="str">
        <f t="shared" si="6"/>
        <v>VA</v>
      </c>
      <c r="C103" s="469" t="str">
        <f t="shared" si="7"/>
        <v>368</v>
      </c>
      <c r="D103" s="470" t="s">
        <v>1851</v>
      </c>
      <c r="E103" s="468" t="str">
        <f t="shared" si="8"/>
        <v/>
      </c>
      <c r="F103" s="469">
        <v>13334.88854</v>
      </c>
      <c r="G103" s="469">
        <v>13334.88854</v>
      </c>
      <c r="H103" s="469">
        <v>13334.88854</v>
      </c>
      <c r="I103" s="469">
        <v>13334.88854</v>
      </c>
      <c r="J103" s="469">
        <v>12729.215410000001</v>
      </c>
      <c r="K103" s="469">
        <v>12729.215410000001</v>
      </c>
      <c r="L103" s="469">
        <v>12729.215410000001</v>
      </c>
      <c r="M103" s="469">
        <v>12723.14867</v>
      </c>
      <c r="N103" s="469">
        <v>12723.14867</v>
      </c>
      <c r="O103" s="469">
        <v>12723.14867</v>
      </c>
      <c r="P103" s="469">
        <v>12723.14867</v>
      </c>
      <c r="Q103" s="469">
        <v>12723.14867</v>
      </c>
      <c r="R103" s="469">
        <v>12723.14867</v>
      </c>
      <c r="S103" s="469">
        <v>12723.14867</v>
      </c>
    </row>
    <row r="104" spans="1:19" s="469" customFormat="1">
      <c r="A104" s="469" t="str">
        <f t="shared" si="5"/>
        <v>KU</v>
      </c>
      <c r="B104" s="469" t="str">
        <f t="shared" si="6"/>
        <v>KY</v>
      </c>
      <c r="C104" s="469" t="str">
        <f t="shared" si="7"/>
        <v>369</v>
      </c>
      <c r="D104" s="470" t="s">
        <v>1852</v>
      </c>
      <c r="E104" s="468" t="str">
        <f t="shared" si="8"/>
        <v/>
      </c>
      <c r="F104" s="469">
        <v>89712.31912</v>
      </c>
      <c r="G104" s="469">
        <v>89733.863490000003</v>
      </c>
      <c r="H104" s="469">
        <v>89733.863490000003</v>
      </c>
      <c r="I104" s="469">
        <v>89788.439199999993</v>
      </c>
      <c r="J104" s="469">
        <v>89817.746180000002</v>
      </c>
      <c r="K104" s="469">
        <v>89817.746180000002</v>
      </c>
      <c r="L104" s="469">
        <v>89845.406310000006</v>
      </c>
      <c r="M104" s="469">
        <v>97324.943879999904</v>
      </c>
      <c r="N104" s="469">
        <v>97262.576699999903</v>
      </c>
      <c r="O104" s="469">
        <v>97262.576699999903</v>
      </c>
      <c r="P104" s="469">
        <v>97262.576699999903</v>
      </c>
      <c r="Q104" s="469">
        <v>97262.576699999903</v>
      </c>
      <c r="R104" s="469">
        <v>97262.576699999903</v>
      </c>
      <c r="S104" s="469">
        <v>97262.576699999903</v>
      </c>
    </row>
    <row r="105" spans="1:19" s="469" customFormat="1">
      <c r="A105" s="469" t="str">
        <f t="shared" si="5"/>
        <v>KU</v>
      </c>
      <c r="B105" s="469" t="str">
        <f t="shared" si="6"/>
        <v>TN</v>
      </c>
      <c r="C105" s="469" t="str">
        <f t="shared" si="7"/>
        <v>369</v>
      </c>
      <c r="D105" s="470" t="s">
        <v>1853</v>
      </c>
      <c r="E105" s="468" t="str">
        <f t="shared" si="8"/>
        <v/>
      </c>
      <c r="F105" s="469">
        <v>0.25462000000000001</v>
      </c>
      <c r="G105" s="469">
        <v>0.25462000000000001</v>
      </c>
      <c r="H105" s="469">
        <v>0.25462000000000001</v>
      </c>
      <c r="I105" s="469">
        <v>0.25462000000000001</v>
      </c>
      <c r="J105" s="469">
        <v>0.25462000000000001</v>
      </c>
      <c r="K105" s="469">
        <v>0.25462000000000001</v>
      </c>
      <c r="L105" s="469">
        <v>0.25462000000000001</v>
      </c>
      <c r="M105" s="469">
        <v>0.25462000000000001</v>
      </c>
      <c r="N105" s="469">
        <v>0.25462000000000001</v>
      </c>
      <c r="O105" s="469">
        <v>0.25462000000000001</v>
      </c>
      <c r="P105" s="469">
        <v>0.25462000000000001</v>
      </c>
      <c r="Q105" s="469">
        <v>0.25462000000000001</v>
      </c>
      <c r="R105" s="469">
        <v>0.25462000000000001</v>
      </c>
      <c r="S105" s="469">
        <v>0.25462000000000001</v>
      </c>
    </row>
    <row r="106" spans="1:19" s="469" customFormat="1">
      <c r="A106" s="469" t="str">
        <f t="shared" si="5"/>
        <v>KU</v>
      </c>
      <c r="B106" s="469" t="str">
        <f t="shared" si="6"/>
        <v>VA</v>
      </c>
      <c r="C106" s="469" t="str">
        <f t="shared" si="7"/>
        <v>369</v>
      </c>
      <c r="D106" s="470" t="s">
        <v>1854</v>
      </c>
      <c r="E106" s="468" t="str">
        <f t="shared" si="8"/>
        <v/>
      </c>
      <c r="F106" s="469">
        <v>5218.7064200000004</v>
      </c>
      <c r="G106" s="469">
        <v>5218.7064200000004</v>
      </c>
      <c r="H106" s="469">
        <v>5218.7064200000004</v>
      </c>
      <c r="I106" s="469">
        <v>5218.7064200000004</v>
      </c>
      <c r="J106" s="469">
        <v>5218.7064200000004</v>
      </c>
      <c r="K106" s="469">
        <v>5218.7064200000004</v>
      </c>
      <c r="L106" s="469">
        <v>5218.7064200000004</v>
      </c>
      <c r="M106" s="469">
        <v>5498.9874099999997</v>
      </c>
      <c r="N106" s="469">
        <v>5498.9874099999997</v>
      </c>
      <c r="O106" s="469">
        <v>5498.9874099999997</v>
      </c>
      <c r="P106" s="469">
        <v>5498.9874099999997</v>
      </c>
      <c r="Q106" s="469">
        <v>5498.9874099999997</v>
      </c>
      <c r="R106" s="469">
        <v>5498.9874099999997</v>
      </c>
      <c r="S106" s="469">
        <v>5498.9874099999997</v>
      </c>
    </row>
    <row r="107" spans="1:19" s="469" customFormat="1">
      <c r="A107" s="469" t="str">
        <f t="shared" si="5"/>
        <v>KU</v>
      </c>
      <c r="B107" s="469" t="str">
        <f t="shared" si="6"/>
        <v>KY</v>
      </c>
      <c r="C107" s="469" t="str">
        <f t="shared" si="7"/>
        <v>370</v>
      </c>
      <c r="D107" s="470" t="s">
        <v>1855</v>
      </c>
      <c r="E107" s="468" t="str">
        <f t="shared" si="8"/>
        <v/>
      </c>
      <c r="F107" s="469">
        <v>72632.901319999903</v>
      </c>
      <c r="G107" s="469">
        <v>72745.284870000003</v>
      </c>
      <c r="H107" s="469">
        <v>73049.56194</v>
      </c>
      <c r="I107" s="469">
        <v>73203.197270000004</v>
      </c>
      <c r="J107" s="469">
        <v>73331.851280000003</v>
      </c>
      <c r="K107" s="469">
        <v>73417.153420000002</v>
      </c>
      <c r="L107" s="469">
        <v>73473.494260000007</v>
      </c>
      <c r="M107" s="469">
        <v>73733.129419999997</v>
      </c>
      <c r="N107" s="469">
        <v>73906.389750000002</v>
      </c>
      <c r="O107" s="469">
        <v>74070.398749999993</v>
      </c>
      <c r="P107" s="469">
        <v>74189.338749999995</v>
      </c>
      <c r="Q107" s="469">
        <v>74201.845749999993</v>
      </c>
      <c r="R107" s="469">
        <v>74256.339070000002</v>
      </c>
      <c r="S107" s="469">
        <v>74503.497170000002</v>
      </c>
    </row>
    <row r="108" spans="1:19" s="469" customFormat="1">
      <c r="A108" s="469" t="str">
        <f t="shared" si="5"/>
        <v>KU</v>
      </c>
      <c r="B108" s="469" t="str">
        <f t="shared" si="6"/>
        <v>TN</v>
      </c>
      <c r="C108" s="469" t="str">
        <f t="shared" si="7"/>
        <v>370</v>
      </c>
      <c r="D108" s="470" t="s">
        <v>1856</v>
      </c>
      <c r="E108" s="468" t="str">
        <f t="shared" si="8"/>
        <v/>
      </c>
      <c r="F108" s="469">
        <v>4.1992099999999999</v>
      </c>
      <c r="G108" s="469">
        <v>4.1992099999999999</v>
      </c>
      <c r="H108" s="469">
        <v>4.1992099999999999</v>
      </c>
      <c r="I108" s="469">
        <v>4.1992099999999999</v>
      </c>
      <c r="J108" s="469">
        <v>4.1992099999999999</v>
      </c>
      <c r="K108" s="469">
        <v>4.1992099999999999</v>
      </c>
      <c r="L108" s="469">
        <v>4.1992099999999999</v>
      </c>
      <c r="M108" s="469">
        <v>4.1992099999999999</v>
      </c>
      <c r="N108" s="469">
        <v>4.1992099999999999</v>
      </c>
      <c r="O108" s="469">
        <v>4.1992099999999999</v>
      </c>
      <c r="P108" s="469">
        <v>4.1992099999999999</v>
      </c>
      <c r="Q108" s="469">
        <v>4.1992099999999999</v>
      </c>
      <c r="R108" s="469">
        <v>4.1992099999999999</v>
      </c>
      <c r="S108" s="469">
        <v>4.1992099999999999</v>
      </c>
    </row>
    <row r="109" spans="1:19" s="469" customFormat="1">
      <c r="A109" s="469" t="str">
        <f t="shared" si="5"/>
        <v>KU</v>
      </c>
      <c r="B109" s="469" t="str">
        <f t="shared" si="6"/>
        <v>VA</v>
      </c>
      <c r="C109" s="469" t="str">
        <f t="shared" si="7"/>
        <v>370</v>
      </c>
      <c r="D109" s="470" t="s">
        <v>1857</v>
      </c>
      <c r="E109" s="468" t="str">
        <f t="shared" si="8"/>
        <v/>
      </c>
      <c r="F109" s="469">
        <v>4062.0877999999998</v>
      </c>
      <c r="G109" s="469">
        <v>4118.2795800000004</v>
      </c>
      <c r="H109" s="469">
        <v>3950.6938700000001</v>
      </c>
      <c r="I109" s="469">
        <v>4027.51154</v>
      </c>
      <c r="J109" s="469">
        <v>4091.8385400000002</v>
      </c>
      <c r="K109" s="469">
        <v>4134.4896099999996</v>
      </c>
      <c r="L109" s="469">
        <v>4162.6600499999904</v>
      </c>
      <c r="M109" s="469">
        <v>3938.0738000000001</v>
      </c>
      <c r="N109" s="469">
        <v>3938.0738000000001</v>
      </c>
      <c r="O109" s="469">
        <v>3938.0738000000001</v>
      </c>
      <c r="P109" s="469">
        <v>3938.0738000000001</v>
      </c>
      <c r="Q109" s="469">
        <v>3938.0738000000001</v>
      </c>
      <c r="R109" s="469">
        <v>3938.0738000000001</v>
      </c>
      <c r="S109" s="469">
        <v>3938.0738000000001</v>
      </c>
    </row>
    <row r="110" spans="1:19" s="469" customFormat="1">
      <c r="A110" s="469" t="str">
        <f t="shared" si="5"/>
        <v>KU</v>
      </c>
      <c r="B110" s="469" t="str">
        <f t="shared" si="6"/>
        <v>KY</v>
      </c>
      <c r="C110" s="469" t="str">
        <f t="shared" si="7"/>
        <v>371</v>
      </c>
      <c r="D110" s="470" t="s">
        <v>1858</v>
      </c>
      <c r="E110" s="468" t="str">
        <f t="shared" si="8"/>
        <v/>
      </c>
      <c r="F110" s="469">
        <v>16198.922850000001</v>
      </c>
      <c r="G110" s="469">
        <v>16198.2006</v>
      </c>
      <c r="H110" s="469">
        <v>16198.2006</v>
      </c>
      <c r="I110" s="469">
        <v>16198.2006</v>
      </c>
      <c r="J110" s="469">
        <v>1554.7874299999901</v>
      </c>
      <c r="K110" s="469">
        <v>1554.7874299999901</v>
      </c>
      <c r="L110" s="469">
        <v>-4.4577900000000001</v>
      </c>
      <c r="M110" s="469">
        <v>-4.4577900000000001</v>
      </c>
      <c r="N110" s="469">
        <v>44.042209999999997</v>
      </c>
      <c r="O110" s="469">
        <v>68.292209999999997</v>
      </c>
      <c r="P110" s="469">
        <v>92.542209999999997</v>
      </c>
      <c r="Q110" s="469">
        <v>189.54221000000001</v>
      </c>
      <c r="R110" s="469">
        <v>197.45887999999999</v>
      </c>
      <c r="S110" s="469">
        <v>205.37555</v>
      </c>
    </row>
    <row r="111" spans="1:19" s="469" customFormat="1">
      <c r="A111" s="469" t="str">
        <f t="shared" si="5"/>
        <v>KU</v>
      </c>
      <c r="B111" s="469" t="str">
        <f t="shared" si="6"/>
        <v>VA</v>
      </c>
      <c r="C111" s="469" t="str">
        <f t="shared" si="7"/>
        <v>371</v>
      </c>
      <c r="D111" s="470" t="s">
        <v>1859</v>
      </c>
      <c r="E111" s="468" t="str">
        <f t="shared" si="8"/>
        <v/>
      </c>
      <c r="F111" s="469">
        <v>855.16889000000003</v>
      </c>
      <c r="G111" s="469">
        <v>855.16889000000003</v>
      </c>
      <c r="H111" s="469">
        <v>855.16889000000003</v>
      </c>
      <c r="I111" s="469">
        <v>855.16889000000003</v>
      </c>
      <c r="J111" s="469">
        <v>0</v>
      </c>
      <c r="K111" s="469">
        <v>0</v>
      </c>
      <c r="L111" s="469">
        <v>0</v>
      </c>
      <c r="M111" s="469">
        <v>0</v>
      </c>
      <c r="N111" s="469">
        <v>0</v>
      </c>
      <c r="O111" s="469">
        <v>0</v>
      </c>
      <c r="P111" s="469">
        <v>0</v>
      </c>
      <c r="Q111" s="469">
        <v>0</v>
      </c>
      <c r="R111" s="469">
        <v>0</v>
      </c>
      <c r="S111" s="469">
        <v>0</v>
      </c>
    </row>
    <row r="112" spans="1:19" s="469" customFormat="1">
      <c r="A112" s="469" t="str">
        <f t="shared" si="5"/>
        <v>KU</v>
      </c>
      <c r="B112" s="469" t="str">
        <f t="shared" si="6"/>
        <v>KY</v>
      </c>
      <c r="C112" s="469" t="str">
        <f t="shared" si="7"/>
        <v>373</v>
      </c>
      <c r="D112" s="470" t="s">
        <v>1860</v>
      </c>
      <c r="E112" s="468" t="str">
        <f t="shared" si="8"/>
        <v/>
      </c>
      <c r="F112" s="469">
        <v>94340.007719999994</v>
      </c>
      <c r="G112" s="469">
        <v>94842.826569999903</v>
      </c>
      <c r="H112" s="469">
        <v>94884.978069999997</v>
      </c>
      <c r="I112" s="469">
        <v>95915.124899999995</v>
      </c>
      <c r="J112" s="469">
        <v>111008.55620000001</v>
      </c>
      <c r="K112" s="469">
        <v>111017.4768</v>
      </c>
      <c r="L112" s="469">
        <v>111122.3805</v>
      </c>
      <c r="M112" s="469">
        <v>109658.3285</v>
      </c>
      <c r="N112" s="469">
        <v>109909.75048</v>
      </c>
      <c r="O112" s="469">
        <v>110248.93846999999</v>
      </c>
      <c r="P112" s="469">
        <v>110956.26596</v>
      </c>
      <c r="Q112" s="469">
        <v>110927.95542</v>
      </c>
      <c r="R112" s="469">
        <v>111373.09633</v>
      </c>
      <c r="S112" s="469">
        <v>111690.73324</v>
      </c>
    </row>
    <row r="113" spans="1:19" s="469" customFormat="1">
      <c r="A113" s="469" t="str">
        <f t="shared" si="5"/>
        <v>KU</v>
      </c>
      <c r="B113" s="469" t="str">
        <f t="shared" si="6"/>
        <v>VA</v>
      </c>
      <c r="C113" s="469" t="str">
        <f t="shared" si="7"/>
        <v>373</v>
      </c>
      <c r="D113" s="470" t="s">
        <v>1861</v>
      </c>
      <c r="E113" s="468" t="str">
        <f t="shared" si="8"/>
        <v/>
      </c>
      <c r="F113" s="469">
        <v>2650.5476600000002</v>
      </c>
      <c r="G113" s="469">
        <v>2707.59557</v>
      </c>
      <c r="H113" s="469">
        <v>2713.5316200000002</v>
      </c>
      <c r="I113" s="469">
        <v>2750.2136799999998</v>
      </c>
      <c r="J113" s="469">
        <v>3640.2529399999999</v>
      </c>
      <c r="K113" s="469">
        <v>3641.8764799999999</v>
      </c>
      <c r="L113" s="469">
        <v>3623.17904</v>
      </c>
      <c r="M113" s="469">
        <v>3638.6816199999998</v>
      </c>
      <c r="N113" s="469">
        <v>3666.0131900000001</v>
      </c>
      <c r="O113" s="469">
        <v>3627.8224399999999</v>
      </c>
      <c r="P113" s="469">
        <v>3661.29835</v>
      </c>
      <c r="Q113" s="469">
        <v>3687.6983300000002</v>
      </c>
      <c r="R113" s="469">
        <v>3703.61841</v>
      </c>
      <c r="S113" s="469">
        <v>3718.25848</v>
      </c>
    </row>
    <row r="114" spans="1:19" s="469" customFormat="1">
      <c r="A114" s="469" t="str">
        <f t="shared" si="5"/>
        <v>KU</v>
      </c>
      <c r="B114" s="469" t="str">
        <f t="shared" si="6"/>
        <v>KY</v>
      </c>
      <c r="C114" s="469" t="str">
        <f t="shared" si="7"/>
        <v>374</v>
      </c>
      <c r="D114" s="470" t="s">
        <v>1862</v>
      </c>
      <c r="E114" s="468" t="str">
        <f t="shared" si="8"/>
        <v>ARO</v>
      </c>
      <c r="F114" s="469">
        <v>907.69538999999895</v>
      </c>
      <c r="G114" s="469">
        <v>907.69538999999895</v>
      </c>
      <c r="H114" s="469">
        <v>907.69538999999895</v>
      </c>
      <c r="I114" s="469">
        <v>907.69538999999895</v>
      </c>
      <c r="J114" s="469">
        <v>907.69538999999895</v>
      </c>
      <c r="K114" s="469">
        <v>907.69538999999895</v>
      </c>
      <c r="L114" s="469">
        <v>907.69538999999895</v>
      </c>
      <c r="M114" s="469">
        <v>904.89685999999995</v>
      </c>
      <c r="N114" s="469">
        <v>904.89685999999995</v>
      </c>
      <c r="O114" s="469">
        <v>904.89685999999995</v>
      </c>
      <c r="P114" s="469">
        <v>904.89685999999995</v>
      </c>
      <c r="Q114" s="469">
        <v>904.89685999999995</v>
      </c>
      <c r="R114" s="469">
        <v>904.89685999999995</v>
      </c>
      <c r="S114" s="469">
        <v>904.89685999999995</v>
      </c>
    </row>
    <row r="115" spans="1:19" s="469" customFormat="1">
      <c r="A115" s="469" t="str">
        <f t="shared" si="5"/>
        <v>KU</v>
      </c>
      <c r="B115" s="469" t="str">
        <f t="shared" si="6"/>
        <v>KY</v>
      </c>
      <c r="C115" s="469" t="str">
        <f t="shared" si="7"/>
        <v>389</v>
      </c>
      <c r="D115" s="470" t="s">
        <v>1863</v>
      </c>
      <c r="E115" s="468" t="str">
        <f t="shared" si="8"/>
        <v/>
      </c>
      <c r="F115" s="469">
        <v>2729.4798999999998</v>
      </c>
      <c r="G115" s="469">
        <v>2729.4798999999998</v>
      </c>
      <c r="H115" s="469">
        <v>2729.4798999999998</v>
      </c>
      <c r="I115" s="469">
        <v>2729.4798999999998</v>
      </c>
      <c r="J115" s="469">
        <v>2729.4798999999998</v>
      </c>
      <c r="K115" s="469">
        <v>2729.4798999999998</v>
      </c>
      <c r="L115" s="469">
        <v>2861.4362099999998</v>
      </c>
      <c r="M115" s="469">
        <v>3033.12842</v>
      </c>
      <c r="N115" s="469">
        <v>3032.4370699999999</v>
      </c>
      <c r="O115" s="469">
        <v>3032.4370699999999</v>
      </c>
      <c r="P115" s="469">
        <v>3032.4370699999999</v>
      </c>
      <c r="Q115" s="469">
        <v>3032.4370699999999</v>
      </c>
      <c r="R115" s="469">
        <v>3032.4370699999999</v>
      </c>
      <c r="S115" s="469">
        <v>3032.4370699999999</v>
      </c>
    </row>
    <row r="116" spans="1:19" s="469" customFormat="1">
      <c r="A116" s="469" t="str">
        <f t="shared" si="5"/>
        <v>KU</v>
      </c>
      <c r="B116" s="469" t="str">
        <f t="shared" si="6"/>
        <v>VA</v>
      </c>
      <c r="C116" s="469" t="str">
        <f t="shared" si="7"/>
        <v>389</v>
      </c>
      <c r="D116" s="470" t="s">
        <v>1864</v>
      </c>
      <c r="E116" s="468" t="str">
        <f t="shared" si="8"/>
        <v/>
      </c>
      <c r="F116" s="469">
        <v>80.601699999999994</v>
      </c>
      <c r="G116" s="469">
        <v>80.601699999999994</v>
      </c>
      <c r="H116" s="469">
        <v>80.601699999999994</v>
      </c>
      <c r="I116" s="469">
        <v>80.601699999999994</v>
      </c>
      <c r="J116" s="469">
        <v>80.601699999999994</v>
      </c>
      <c r="K116" s="469">
        <v>80.601699999999994</v>
      </c>
      <c r="L116" s="469">
        <v>380.62943999999999</v>
      </c>
      <c r="M116" s="469">
        <v>380.62943999999999</v>
      </c>
      <c r="N116" s="469">
        <v>378.354999999999</v>
      </c>
      <c r="O116" s="469">
        <v>378.354999999999</v>
      </c>
      <c r="P116" s="469">
        <v>378.354999999999</v>
      </c>
      <c r="Q116" s="469">
        <v>378.354999999999</v>
      </c>
      <c r="R116" s="469">
        <v>378.354999999999</v>
      </c>
      <c r="S116" s="469">
        <v>378.354999999999</v>
      </c>
    </row>
    <row r="117" spans="1:19" s="469" customFormat="1">
      <c r="A117" s="469" t="str">
        <f t="shared" si="5"/>
        <v>KU</v>
      </c>
      <c r="B117" s="469" t="str">
        <f t="shared" si="6"/>
        <v>KY</v>
      </c>
      <c r="C117" s="469" t="str">
        <f t="shared" si="7"/>
        <v>390</v>
      </c>
      <c r="D117" s="470" t="s">
        <v>1865</v>
      </c>
      <c r="E117" s="468" t="str">
        <f t="shared" si="8"/>
        <v/>
      </c>
      <c r="F117" s="469">
        <v>2559.6706800000002</v>
      </c>
      <c r="G117" s="469">
        <v>2559.6706800000002</v>
      </c>
      <c r="H117" s="469">
        <v>2560.9369900000002</v>
      </c>
      <c r="I117" s="469">
        <v>2560.9369900000002</v>
      </c>
      <c r="J117" s="469">
        <v>2560.9369900000002</v>
      </c>
      <c r="K117" s="469">
        <v>2560.9369900000002</v>
      </c>
      <c r="L117" s="469">
        <v>2566.35187</v>
      </c>
      <c r="M117" s="469">
        <v>2566.35187</v>
      </c>
      <c r="N117" s="469">
        <v>2566.35187</v>
      </c>
      <c r="O117" s="469">
        <v>2566.35187</v>
      </c>
      <c r="P117" s="469">
        <v>2566.35187</v>
      </c>
      <c r="Q117" s="469">
        <v>2566.35187</v>
      </c>
      <c r="R117" s="469">
        <v>2566.35187</v>
      </c>
      <c r="S117" s="469">
        <v>2566.35187</v>
      </c>
    </row>
    <row r="118" spans="1:19" s="469" customFormat="1">
      <c r="A118" s="469" t="str">
        <f t="shared" si="5"/>
        <v>KU</v>
      </c>
      <c r="B118" s="469" t="str">
        <f t="shared" si="6"/>
        <v>KY</v>
      </c>
      <c r="C118" s="469" t="str">
        <f t="shared" si="7"/>
        <v>390</v>
      </c>
      <c r="D118" s="470" t="s">
        <v>1866</v>
      </c>
      <c r="E118" s="468" t="str">
        <f t="shared" si="8"/>
        <v/>
      </c>
      <c r="F118" s="469">
        <v>53605.21084</v>
      </c>
      <c r="G118" s="469">
        <v>53705.227059999997</v>
      </c>
      <c r="H118" s="469">
        <v>53818.421950000004</v>
      </c>
      <c r="I118" s="469">
        <v>53954.241379999999</v>
      </c>
      <c r="J118" s="469">
        <v>54369.238689999998</v>
      </c>
      <c r="K118" s="469">
        <v>54374.327160000001</v>
      </c>
      <c r="L118" s="469">
        <v>54485.453130000002</v>
      </c>
      <c r="M118" s="469">
        <v>54154.940969999901</v>
      </c>
      <c r="N118" s="469">
        <v>54810.373709999898</v>
      </c>
      <c r="O118" s="469">
        <v>55020.373709999898</v>
      </c>
      <c r="P118" s="469">
        <v>55874.118399999898</v>
      </c>
      <c r="Q118" s="469">
        <v>57865.917339999898</v>
      </c>
      <c r="R118" s="469">
        <v>57865.917339999898</v>
      </c>
      <c r="S118" s="469">
        <v>58115.917339999898</v>
      </c>
    </row>
    <row r="119" spans="1:19" s="469" customFormat="1">
      <c r="A119" s="469" t="str">
        <f t="shared" si="5"/>
        <v>KU</v>
      </c>
      <c r="B119" s="469" t="str">
        <f t="shared" si="6"/>
        <v>VA</v>
      </c>
      <c r="C119" s="469" t="str">
        <f t="shared" si="7"/>
        <v>390</v>
      </c>
      <c r="D119" s="470" t="s">
        <v>1867</v>
      </c>
      <c r="E119" s="468" t="str">
        <f t="shared" si="8"/>
        <v/>
      </c>
      <c r="F119" s="469">
        <v>1074.4594399999901</v>
      </c>
      <c r="G119" s="469">
        <v>1074.4594399999901</v>
      </c>
      <c r="H119" s="469">
        <v>1073.10103</v>
      </c>
      <c r="I119" s="469">
        <v>1073.10103</v>
      </c>
      <c r="J119" s="469">
        <v>1076.2556500000001</v>
      </c>
      <c r="K119" s="469">
        <v>1076.2556500000001</v>
      </c>
      <c r="L119" s="469">
        <v>1076.2556500000001</v>
      </c>
      <c r="M119" s="469">
        <v>1076.2556500000001</v>
      </c>
      <c r="N119" s="469">
        <v>1076.2556500000001</v>
      </c>
      <c r="O119" s="469">
        <v>1076.2556500000001</v>
      </c>
      <c r="P119" s="469">
        <v>1076.2556500000001</v>
      </c>
      <c r="Q119" s="469">
        <v>1076.2556500000001</v>
      </c>
      <c r="R119" s="469">
        <v>1076.2556500000001</v>
      </c>
      <c r="S119" s="469">
        <v>1076.2556500000001</v>
      </c>
    </row>
    <row r="120" spans="1:19" s="469" customFormat="1">
      <c r="A120" s="469" t="str">
        <f t="shared" si="5"/>
        <v>KU</v>
      </c>
      <c r="B120" s="469" t="str">
        <f t="shared" si="6"/>
        <v>KY</v>
      </c>
      <c r="C120" s="469" t="str">
        <f t="shared" si="7"/>
        <v>391</v>
      </c>
      <c r="D120" s="470" t="s">
        <v>1868</v>
      </c>
      <c r="E120" s="468" t="str">
        <f t="shared" si="8"/>
        <v/>
      </c>
      <c r="F120" s="469">
        <v>7510.0238099999997</v>
      </c>
      <c r="G120" s="469">
        <v>7504.4152299999996</v>
      </c>
      <c r="H120" s="469">
        <v>7531.4717499999997</v>
      </c>
      <c r="I120" s="469">
        <v>7605.4063399999995</v>
      </c>
      <c r="J120" s="469">
        <v>7589.0256499999996</v>
      </c>
      <c r="K120" s="469">
        <v>4563.0019499999999</v>
      </c>
      <c r="L120" s="469">
        <v>4478.6804099999999</v>
      </c>
      <c r="M120" s="469">
        <v>4478.6804099999999</v>
      </c>
      <c r="N120" s="469">
        <v>4406.0563099999999</v>
      </c>
      <c r="O120" s="469">
        <v>4391.1583099999998</v>
      </c>
      <c r="P120" s="469">
        <v>4391.1583099999998</v>
      </c>
      <c r="Q120" s="469">
        <v>5345.9056299999902</v>
      </c>
      <c r="R120" s="469">
        <v>5354.7914799999899</v>
      </c>
      <c r="S120" s="469">
        <v>5364.82232999999</v>
      </c>
    </row>
    <row r="121" spans="1:19" s="469" customFormat="1">
      <c r="A121" s="469" t="str">
        <f t="shared" si="5"/>
        <v>KU</v>
      </c>
      <c r="B121" s="469" t="str">
        <f t="shared" si="6"/>
        <v>KY</v>
      </c>
      <c r="C121" s="469" t="str">
        <f t="shared" si="7"/>
        <v>391</v>
      </c>
      <c r="D121" s="470" t="s">
        <v>1869</v>
      </c>
      <c r="E121" s="468" t="str">
        <f t="shared" si="8"/>
        <v/>
      </c>
      <c r="F121" s="469">
        <v>37440.315069999997</v>
      </c>
      <c r="G121" s="469">
        <v>37388.066189999998</v>
      </c>
      <c r="H121" s="469">
        <v>37262.109429999997</v>
      </c>
      <c r="I121" s="469">
        <v>36805.24035</v>
      </c>
      <c r="J121" s="469">
        <v>35098.321450000003</v>
      </c>
      <c r="K121" s="469">
        <v>34477.648159999997</v>
      </c>
      <c r="L121" s="469">
        <v>34685.887649999997</v>
      </c>
      <c r="M121" s="469">
        <v>35012.994449999998</v>
      </c>
      <c r="N121" s="469">
        <v>35229.22178</v>
      </c>
      <c r="O121" s="469">
        <v>35289.49134</v>
      </c>
      <c r="P121" s="469">
        <v>35596.153319999998</v>
      </c>
      <c r="Q121" s="469">
        <v>40190.855839999997</v>
      </c>
      <c r="R121" s="469">
        <v>39654.040840000001</v>
      </c>
      <c r="S121" s="469">
        <v>39681.207840000003</v>
      </c>
    </row>
    <row r="122" spans="1:19" s="469" customFormat="1">
      <c r="A122" s="469" t="str">
        <f t="shared" si="5"/>
        <v>KU</v>
      </c>
      <c r="B122" s="469" t="str">
        <f t="shared" si="6"/>
        <v>VA</v>
      </c>
      <c r="C122" s="469" t="str">
        <f t="shared" si="7"/>
        <v>391</v>
      </c>
      <c r="D122" s="470" t="s">
        <v>1870</v>
      </c>
      <c r="E122" s="468" t="str">
        <f t="shared" si="8"/>
        <v/>
      </c>
      <c r="F122" s="469">
        <v>7.3977599999999999</v>
      </c>
      <c r="G122" s="469">
        <v>7.3977599999999999</v>
      </c>
      <c r="H122" s="469">
        <v>7.3977599999999999</v>
      </c>
      <c r="I122" s="469">
        <v>7.3977599999999999</v>
      </c>
      <c r="J122" s="469">
        <v>7.3977599999999999</v>
      </c>
      <c r="K122" s="469">
        <v>0</v>
      </c>
      <c r="L122" s="469">
        <v>0</v>
      </c>
      <c r="M122" s="469">
        <v>0</v>
      </c>
      <c r="N122" s="469">
        <v>0</v>
      </c>
      <c r="O122" s="469">
        <v>0</v>
      </c>
      <c r="P122" s="469">
        <v>0</v>
      </c>
      <c r="Q122" s="469">
        <v>0</v>
      </c>
      <c r="R122" s="469">
        <v>0</v>
      </c>
      <c r="S122" s="469">
        <v>0</v>
      </c>
    </row>
    <row r="123" spans="1:19" s="469" customFormat="1">
      <c r="A123" s="469" t="str">
        <f t="shared" si="5"/>
        <v>KU</v>
      </c>
      <c r="B123" s="469" t="str">
        <f t="shared" si="6"/>
        <v>KY</v>
      </c>
      <c r="C123" s="469" t="str">
        <f t="shared" si="7"/>
        <v>392</v>
      </c>
      <c r="D123" s="470" t="s">
        <v>1871</v>
      </c>
      <c r="E123" s="468" t="str">
        <f t="shared" si="8"/>
        <v>ECR</v>
      </c>
      <c r="F123" s="469">
        <v>14.73354</v>
      </c>
      <c r="G123" s="469">
        <v>14.73354</v>
      </c>
      <c r="H123" s="469">
        <v>14.73354</v>
      </c>
      <c r="I123" s="469">
        <v>14.73354</v>
      </c>
      <c r="J123" s="469">
        <v>14.73354</v>
      </c>
      <c r="K123" s="469">
        <v>34.137360000000001</v>
      </c>
      <c r="L123" s="469">
        <v>34.137360000000001</v>
      </c>
      <c r="M123" s="469">
        <v>34.137360000000001</v>
      </c>
      <c r="N123" s="469">
        <v>86.801819999999907</v>
      </c>
      <c r="O123" s="469">
        <v>145.26344</v>
      </c>
      <c r="P123" s="469">
        <v>145.26344</v>
      </c>
      <c r="Q123" s="469">
        <v>145.26344</v>
      </c>
      <c r="R123" s="469">
        <v>145.26344</v>
      </c>
      <c r="S123" s="469">
        <v>145.26344</v>
      </c>
    </row>
    <row r="124" spans="1:19" s="469" customFormat="1">
      <c r="A124" s="469" t="str">
        <f t="shared" si="5"/>
        <v>KU</v>
      </c>
      <c r="B124" s="469" t="str">
        <f t="shared" si="6"/>
        <v>KY</v>
      </c>
      <c r="C124" s="469" t="str">
        <f t="shared" si="7"/>
        <v>392</v>
      </c>
      <c r="D124" s="470" t="s">
        <v>1872</v>
      </c>
      <c r="E124" s="468" t="str">
        <f t="shared" si="8"/>
        <v/>
      </c>
      <c r="F124" s="469">
        <v>5561.6108100000001</v>
      </c>
      <c r="G124" s="469">
        <v>5561.6108100000001</v>
      </c>
      <c r="H124" s="469">
        <v>5561.6108100000001</v>
      </c>
      <c r="I124" s="469">
        <v>5295.0220200000003</v>
      </c>
      <c r="J124" s="469">
        <v>5295.0220200000003</v>
      </c>
      <c r="K124" s="469">
        <v>7010.7884299999996</v>
      </c>
      <c r="L124" s="469">
        <v>7101.7601100000002</v>
      </c>
      <c r="M124" s="469">
        <v>7101.7601100000002</v>
      </c>
      <c r="N124" s="469">
        <v>7132.4559799999997</v>
      </c>
      <c r="O124" s="469">
        <v>7132.4559799999997</v>
      </c>
      <c r="P124" s="469">
        <v>7132.4559799999997</v>
      </c>
      <c r="Q124" s="469">
        <v>7132.4559799999997</v>
      </c>
      <c r="R124" s="469">
        <v>7132.4559799999997</v>
      </c>
      <c r="S124" s="469">
        <v>7132.4559799999997</v>
      </c>
    </row>
    <row r="125" spans="1:19" s="469" customFormat="1">
      <c r="A125" s="469" t="str">
        <f t="shared" si="5"/>
        <v>KU</v>
      </c>
      <c r="B125" s="469" t="str">
        <f t="shared" si="6"/>
        <v>KY</v>
      </c>
      <c r="C125" s="469" t="str">
        <f t="shared" si="7"/>
        <v>393</v>
      </c>
      <c r="D125" s="470" t="s">
        <v>1873</v>
      </c>
      <c r="E125" s="468" t="str">
        <f t="shared" si="8"/>
        <v/>
      </c>
      <c r="F125" s="469">
        <v>1503.1996899999999</v>
      </c>
      <c r="G125" s="469">
        <v>1503.1996899999999</v>
      </c>
      <c r="H125" s="469">
        <v>1503.1996899999999</v>
      </c>
      <c r="I125" s="469">
        <v>1503.9768899999999</v>
      </c>
      <c r="J125" s="469">
        <v>1509.11547</v>
      </c>
      <c r="K125" s="469">
        <v>1509.11547</v>
      </c>
      <c r="L125" s="469">
        <v>1509.11547</v>
      </c>
      <c r="M125" s="469">
        <v>1509.11547</v>
      </c>
      <c r="N125" s="469">
        <v>1509.11547</v>
      </c>
      <c r="O125" s="469">
        <v>1509.11547</v>
      </c>
      <c r="P125" s="469">
        <v>1509.11547</v>
      </c>
      <c r="Q125" s="469">
        <v>1509.11547</v>
      </c>
      <c r="R125" s="469">
        <v>1509.11547</v>
      </c>
      <c r="S125" s="469">
        <v>1509.11547</v>
      </c>
    </row>
    <row r="126" spans="1:19" s="469" customFormat="1">
      <c r="A126" s="469" t="str">
        <f t="shared" si="5"/>
        <v>KU</v>
      </c>
      <c r="B126" s="469" t="str">
        <f t="shared" si="6"/>
        <v>VA</v>
      </c>
      <c r="C126" s="469" t="str">
        <f t="shared" si="7"/>
        <v>393</v>
      </c>
      <c r="D126" s="470" t="s">
        <v>1874</v>
      </c>
      <c r="E126" s="468" t="str">
        <f t="shared" si="8"/>
        <v/>
      </c>
      <c r="F126" s="469">
        <v>4.5262200000000004</v>
      </c>
      <c r="G126" s="469">
        <v>4.5262200000000004</v>
      </c>
      <c r="H126" s="469">
        <v>4.5262200000000004</v>
      </c>
      <c r="I126" s="469">
        <v>4.5262200000000004</v>
      </c>
      <c r="J126" s="469">
        <v>4.5262200000000004</v>
      </c>
      <c r="K126" s="469">
        <v>4.5262200000000004</v>
      </c>
      <c r="L126" s="469">
        <v>4.5262200000000004</v>
      </c>
      <c r="M126" s="469">
        <v>4.5262200000000004</v>
      </c>
      <c r="N126" s="469">
        <v>4.5262200000000004</v>
      </c>
      <c r="O126" s="469">
        <v>4.5262200000000004</v>
      </c>
      <c r="P126" s="469">
        <v>4.5262200000000004</v>
      </c>
      <c r="Q126" s="469">
        <v>4.5262200000000004</v>
      </c>
      <c r="R126" s="469">
        <v>4.5262200000000004</v>
      </c>
      <c r="S126" s="469">
        <v>4.5262200000000004</v>
      </c>
    </row>
    <row r="127" spans="1:19" s="469" customFormat="1">
      <c r="A127" s="469" t="str">
        <f t="shared" si="5"/>
        <v>KU</v>
      </c>
      <c r="B127" s="469" t="str">
        <f t="shared" si="6"/>
        <v>KY</v>
      </c>
      <c r="C127" s="469" t="str">
        <f t="shared" si="7"/>
        <v>394</v>
      </c>
      <c r="D127" s="470" t="s">
        <v>1875</v>
      </c>
      <c r="E127" s="468" t="str">
        <f t="shared" si="8"/>
        <v/>
      </c>
      <c r="F127" s="469">
        <v>12045.576849999999</v>
      </c>
      <c r="G127" s="469">
        <v>12043.642750000001</v>
      </c>
      <c r="H127" s="469">
        <v>11954.372670000001</v>
      </c>
      <c r="I127" s="469">
        <v>11957.20801</v>
      </c>
      <c r="J127" s="469">
        <v>12032.764579999999</v>
      </c>
      <c r="K127" s="469">
        <v>11995.870140000001</v>
      </c>
      <c r="L127" s="469">
        <v>11975.364009999999</v>
      </c>
      <c r="M127" s="469">
        <v>12015.03061</v>
      </c>
      <c r="N127" s="469">
        <v>12418.678159999999</v>
      </c>
      <c r="O127" s="469">
        <v>12442.402259999901</v>
      </c>
      <c r="P127" s="469">
        <v>12419.852209999999</v>
      </c>
      <c r="Q127" s="469">
        <v>12790.092719999901</v>
      </c>
      <c r="R127" s="469">
        <v>12807.8639899999</v>
      </c>
      <c r="S127" s="469">
        <v>12825.6353699999</v>
      </c>
    </row>
    <row r="128" spans="1:19" s="469" customFormat="1">
      <c r="A128" s="469" t="str">
        <f t="shared" si="5"/>
        <v>KU</v>
      </c>
      <c r="B128" s="469" t="str">
        <f t="shared" si="6"/>
        <v>VA</v>
      </c>
      <c r="C128" s="469" t="str">
        <f t="shared" si="7"/>
        <v>394</v>
      </c>
      <c r="D128" s="470" t="s">
        <v>1876</v>
      </c>
      <c r="E128" s="468" t="str">
        <f t="shared" si="8"/>
        <v/>
      </c>
      <c r="F128" s="469">
        <v>464.25189</v>
      </c>
      <c r="G128" s="469">
        <v>464.25189</v>
      </c>
      <c r="H128" s="469">
        <v>464.25189</v>
      </c>
      <c r="I128" s="469">
        <v>464.25189</v>
      </c>
      <c r="J128" s="469">
        <v>473.47246999999999</v>
      </c>
      <c r="K128" s="469">
        <v>473.47246999999999</v>
      </c>
      <c r="L128" s="469">
        <v>473.47246999999999</v>
      </c>
      <c r="M128" s="469">
        <v>473.47246999999999</v>
      </c>
      <c r="N128" s="469">
        <v>487.19310999999999</v>
      </c>
      <c r="O128" s="469">
        <v>489.48347000000001</v>
      </c>
      <c r="P128" s="469">
        <v>491.77382999999998</v>
      </c>
      <c r="Q128" s="469">
        <v>491.77382999999998</v>
      </c>
      <c r="R128" s="469">
        <v>493.96836999999999</v>
      </c>
      <c r="S128" s="469">
        <v>496.16296</v>
      </c>
    </row>
    <row r="129" spans="1:20" s="469" customFormat="1">
      <c r="A129" s="469" t="str">
        <f t="shared" si="5"/>
        <v>KU</v>
      </c>
      <c r="B129" s="469" t="str">
        <f t="shared" si="6"/>
        <v>KY</v>
      </c>
      <c r="C129" s="469" t="str">
        <f t="shared" si="7"/>
        <v>396</v>
      </c>
      <c r="D129" s="470" t="s">
        <v>1877</v>
      </c>
      <c r="E129" s="468" t="str">
        <f t="shared" si="8"/>
        <v/>
      </c>
      <c r="F129" s="469">
        <v>1996.2373399999999</v>
      </c>
      <c r="G129" s="469">
        <v>1996.2373399999999</v>
      </c>
      <c r="H129" s="469">
        <v>1996.2373399999999</v>
      </c>
      <c r="I129" s="469">
        <v>1996.2373399999999</v>
      </c>
      <c r="J129" s="469">
        <v>1996.2373399999999</v>
      </c>
      <c r="K129" s="469">
        <v>2088.5994999999998</v>
      </c>
      <c r="L129" s="469">
        <v>2088.5994999999998</v>
      </c>
      <c r="M129" s="469">
        <v>2088.5994999999998</v>
      </c>
      <c r="N129" s="469">
        <v>2088.5994999999998</v>
      </c>
      <c r="O129" s="469">
        <v>2088.5994999999998</v>
      </c>
      <c r="P129" s="469">
        <v>2088.5994999999998</v>
      </c>
      <c r="Q129" s="469">
        <v>2088.5994999999998</v>
      </c>
      <c r="R129" s="469">
        <v>2088.5994999999998</v>
      </c>
      <c r="S129" s="469">
        <v>2088.5994999999998</v>
      </c>
    </row>
    <row r="130" spans="1:20" s="469" customFormat="1">
      <c r="A130" s="469" t="str">
        <f t="shared" si="5"/>
        <v>KU</v>
      </c>
      <c r="B130" s="469" t="str">
        <f t="shared" si="6"/>
        <v>VA</v>
      </c>
      <c r="C130" s="469" t="str">
        <f t="shared" si="7"/>
        <v>396</v>
      </c>
      <c r="D130" s="470" t="s">
        <v>1878</v>
      </c>
      <c r="E130" s="468" t="str">
        <f t="shared" si="8"/>
        <v/>
      </c>
      <c r="F130" s="469">
        <v>282.27726000000001</v>
      </c>
      <c r="G130" s="469">
        <v>282.27726000000001</v>
      </c>
      <c r="H130" s="469">
        <v>282.27726000000001</v>
      </c>
      <c r="I130" s="469">
        <v>282.27726000000001</v>
      </c>
      <c r="J130" s="469">
        <v>282.27726000000001</v>
      </c>
      <c r="K130" s="469">
        <v>282.27726000000001</v>
      </c>
      <c r="L130" s="469">
        <v>282.27726000000001</v>
      </c>
      <c r="M130" s="469">
        <v>282.27726000000001</v>
      </c>
      <c r="N130" s="469">
        <v>282.27726000000001</v>
      </c>
      <c r="O130" s="469">
        <v>282.27726000000001</v>
      </c>
      <c r="P130" s="469">
        <v>282.27726000000001</v>
      </c>
      <c r="Q130" s="469">
        <v>282.27726000000001</v>
      </c>
      <c r="R130" s="469">
        <v>282.27726000000001</v>
      </c>
      <c r="S130" s="469">
        <v>282.27726000000001</v>
      </c>
    </row>
    <row r="131" spans="1:20" s="469" customFormat="1">
      <c r="A131" s="469" t="str">
        <f t="shared" si="5"/>
        <v>KU</v>
      </c>
      <c r="B131" s="469" t="str">
        <f t="shared" si="6"/>
        <v>KY</v>
      </c>
      <c r="C131" s="670">
        <v>397</v>
      </c>
      <c r="D131" s="470" t="s">
        <v>1879</v>
      </c>
      <c r="E131" s="468" t="str">
        <f t="shared" si="8"/>
        <v>DSM</v>
      </c>
      <c r="F131" s="469">
        <v>6616.9443000000001</v>
      </c>
      <c r="G131" s="469">
        <v>6828.0519599999998</v>
      </c>
      <c r="H131" s="469">
        <v>7047.5647499999995</v>
      </c>
      <c r="I131" s="469">
        <v>7230.4956599999996</v>
      </c>
      <c r="J131" s="469">
        <v>7398.1064500000002</v>
      </c>
      <c r="K131" s="469">
        <v>7489.97678</v>
      </c>
      <c r="L131" s="469">
        <v>7627.5113499999998</v>
      </c>
      <c r="M131" s="469">
        <v>7696.2190000000001</v>
      </c>
      <c r="N131" s="469">
        <v>7918.9793399999999</v>
      </c>
      <c r="O131" s="469">
        <v>8190.40434</v>
      </c>
      <c r="P131" s="469">
        <v>8260.5705799999996</v>
      </c>
      <c r="Q131" s="469">
        <v>8856.6325799999995</v>
      </c>
      <c r="R131" s="469">
        <v>8948.6126800000002</v>
      </c>
      <c r="S131" s="469">
        <v>9232.0047799999993</v>
      </c>
    </row>
    <row r="132" spans="1:20" s="469" customFormat="1">
      <c r="A132" s="469" t="str">
        <f t="shared" si="5"/>
        <v>KU</v>
      </c>
      <c r="B132" s="469" t="str">
        <f t="shared" si="6"/>
        <v>KY</v>
      </c>
      <c r="C132" s="469" t="str">
        <f t="shared" si="7"/>
        <v>397</v>
      </c>
      <c r="D132" s="470" t="s">
        <v>1880</v>
      </c>
      <c r="E132" s="468" t="str">
        <f t="shared" si="8"/>
        <v/>
      </c>
      <c r="F132" s="469">
        <v>44801.575599999996</v>
      </c>
      <c r="G132" s="469">
        <v>44817.650690000002</v>
      </c>
      <c r="H132" s="469">
        <v>44802.357900000003</v>
      </c>
      <c r="I132" s="469">
        <v>44800.29146</v>
      </c>
      <c r="J132" s="469">
        <v>44800.36924</v>
      </c>
      <c r="K132" s="469">
        <v>45410.8479899999</v>
      </c>
      <c r="L132" s="469">
        <v>45410.8479899999</v>
      </c>
      <c r="M132" s="469">
        <v>45410.847990000002</v>
      </c>
      <c r="N132" s="469">
        <v>45351.02809</v>
      </c>
      <c r="O132" s="469">
        <v>45351.02809</v>
      </c>
      <c r="P132" s="469">
        <v>45351.02809</v>
      </c>
      <c r="Q132" s="469">
        <v>45814.359420000001</v>
      </c>
      <c r="R132" s="469">
        <v>45814.359420000001</v>
      </c>
      <c r="S132" s="469">
        <v>45814.359420000001</v>
      </c>
    </row>
    <row r="133" spans="1:20" s="469" customFormat="1">
      <c r="A133" s="469" t="str">
        <f t="shared" si="5"/>
        <v>KU</v>
      </c>
      <c r="B133" s="469" t="str">
        <f t="shared" si="6"/>
        <v>VA</v>
      </c>
      <c r="C133" s="469" t="str">
        <f t="shared" si="7"/>
        <v>397</v>
      </c>
      <c r="D133" s="470" t="s">
        <v>1881</v>
      </c>
      <c r="E133" s="468" t="str">
        <f t="shared" si="8"/>
        <v/>
      </c>
      <c r="F133" s="469">
        <v>925.24696999999901</v>
      </c>
      <c r="G133" s="469">
        <v>925.24696999999901</v>
      </c>
      <c r="H133" s="469">
        <v>925.24696999999901</v>
      </c>
      <c r="I133" s="469">
        <v>925.24696999999901</v>
      </c>
      <c r="J133" s="469">
        <v>925.24696999999901</v>
      </c>
      <c r="K133" s="469">
        <v>925.24696999999901</v>
      </c>
      <c r="L133" s="469">
        <v>925.24696999999901</v>
      </c>
      <c r="M133" s="469">
        <v>925.24696999999901</v>
      </c>
      <c r="N133" s="469">
        <v>925.24696999999901</v>
      </c>
      <c r="O133" s="469">
        <v>925.24696999999901</v>
      </c>
      <c r="P133" s="469">
        <v>925.24696999999901</v>
      </c>
      <c r="Q133" s="469">
        <v>925.24696999999901</v>
      </c>
      <c r="R133" s="469">
        <v>925.24696999999901</v>
      </c>
      <c r="S133" s="469">
        <v>925.24696999999901</v>
      </c>
    </row>
    <row r="134" spans="1:20" s="469" customFormat="1">
      <c r="A134" s="469" t="str">
        <f t="shared" si="5"/>
        <v>KU</v>
      </c>
      <c r="B134" s="469" t="str">
        <f t="shared" si="6"/>
        <v>KY</v>
      </c>
      <c r="C134" s="469" t="str">
        <f t="shared" si="7"/>
        <v>398</v>
      </c>
      <c r="D134" s="470" t="s">
        <v>1882</v>
      </c>
      <c r="E134" s="468" t="str">
        <f t="shared" si="8"/>
        <v/>
      </c>
      <c r="F134" s="469">
        <v>0</v>
      </c>
      <c r="G134" s="469">
        <v>0</v>
      </c>
      <c r="H134" s="469">
        <v>0</v>
      </c>
      <c r="I134" s="469">
        <v>0</v>
      </c>
      <c r="J134" s="469">
        <v>0</v>
      </c>
      <c r="K134" s="469">
        <v>0</v>
      </c>
      <c r="L134" s="469">
        <v>0</v>
      </c>
      <c r="M134" s="469">
        <v>0</v>
      </c>
      <c r="N134" s="469">
        <v>0</v>
      </c>
      <c r="O134" s="469">
        <v>0</v>
      </c>
      <c r="P134" s="469">
        <v>0</v>
      </c>
      <c r="Q134" s="469">
        <v>0</v>
      </c>
      <c r="R134" s="469">
        <v>0</v>
      </c>
      <c r="S134" s="469">
        <v>0</v>
      </c>
    </row>
    <row r="135" spans="1:20" s="469" customFormat="1">
      <c r="A135" s="469" t="str">
        <f t="shared" si="5"/>
        <v>KU</v>
      </c>
      <c r="B135" s="469" t="str">
        <f t="shared" si="6"/>
        <v>KY</v>
      </c>
      <c r="C135" s="469" t="str">
        <f t="shared" si="7"/>
        <v>121</v>
      </c>
      <c r="D135" s="470" t="s">
        <v>1883</v>
      </c>
      <c r="E135" s="468" t="str">
        <f t="shared" si="8"/>
        <v/>
      </c>
      <c r="F135" s="469">
        <v>971.31309999999996</v>
      </c>
      <c r="G135" s="469">
        <v>971.31309999999996</v>
      </c>
      <c r="H135" s="469">
        <v>971.31309999999996</v>
      </c>
      <c r="I135" s="469">
        <v>971.31309999999996</v>
      </c>
      <c r="J135" s="469">
        <v>971.31309999999996</v>
      </c>
      <c r="K135" s="469">
        <v>971.31309999999996</v>
      </c>
      <c r="L135" s="469">
        <v>971.31309999999996</v>
      </c>
      <c r="M135" s="469">
        <v>971.31309999999996</v>
      </c>
      <c r="N135" s="469">
        <v>971.31309999999996</v>
      </c>
      <c r="O135" s="469">
        <v>971.31309999999996</v>
      </c>
      <c r="P135" s="469">
        <v>971.31309999999996</v>
      </c>
      <c r="Q135" s="469">
        <v>971.31309999999996</v>
      </c>
      <c r="R135" s="469">
        <v>971.31309999999996</v>
      </c>
      <c r="S135" s="469">
        <v>971.31309999999996</v>
      </c>
    </row>
    <row r="142" spans="1:20">
      <c r="A142" s="199" t="str">
        <f t="shared" ref="A142" si="9">MID($D142,4,2)</f>
        <v/>
      </c>
      <c r="B142" s="199" t="str">
        <f t="shared" ref="B142" si="10">IF(MID($D142,12,2)="- ","KY",MID($D142,12,2))</f>
        <v/>
      </c>
      <c r="C142" s="199" t="str">
        <f t="shared" ref="C142" si="11">MID($D142,8,3)</f>
        <v/>
      </c>
    </row>
    <row r="143" spans="1:20">
      <c r="D143" s="431" t="s">
        <v>7</v>
      </c>
      <c r="E143" s="431"/>
    </row>
    <row r="144" spans="1:20" s="469" customFormat="1">
      <c r="A144" s="469" t="str">
        <f t="shared" ref="A144:A226" si="12">MID($D144,4,2)</f>
        <v>KU</v>
      </c>
      <c r="B144" s="469" t="str">
        <f t="shared" ref="B144:B226" si="13">IF(MID($D144,12,2)="- ","KY",MID($D144,12,2))</f>
        <v>KY</v>
      </c>
      <c r="C144" s="469" t="str">
        <f t="shared" ref="C144:C225" si="14">MID($D144,8,3)</f>
        <v>303</v>
      </c>
      <c r="D144" s="470" t="s">
        <v>1779</v>
      </c>
      <c r="E144" s="468" t="str">
        <f t="shared" ref="E144:E207" si="15">IF(ISTEXT(MID($D144,SEARCH("FUTURE USE",$D144),3)),"FUTURE USE",IF(ISTEXT(MID($D144,SEARCH("ECR",$D144),3)),"ECR",IF(ISTEXT(MID($D144,SEARCH("ARO",$D144),3)),"ARO",IF(ISTEXT(MID($D144,SEARCH("DSM",$D144),3)),"DSM",""))))</f>
        <v/>
      </c>
      <c r="F144" s="469">
        <v>1249.61996</v>
      </c>
      <c r="G144" s="469">
        <v>173.12263999999999</v>
      </c>
      <c r="H144" s="469">
        <v>49.3887</v>
      </c>
      <c r="I144" s="469">
        <v>43.23</v>
      </c>
      <c r="J144" s="469">
        <v>221.51526999999999</v>
      </c>
      <c r="K144" s="469">
        <v>432.98005999999998</v>
      </c>
      <c r="L144" s="469">
        <v>65.077820000000003</v>
      </c>
      <c r="M144" s="469">
        <v>3897.5692599999902</v>
      </c>
      <c r="N144" s="469">
        <v>44.497909999999997</v>
      </c>
      <c r="O144" s="469">
        <v>261.67606000000001</v>
      </c>
      <c r="P144" s="469">
        <v>62.613999999999997</v>
      </c>
      <c r="Q144" s="469">
        <v>8264.55818</v>
      </c>
      <c r="R144" s="469">
        <v>28</v>
      </c>
      <c r="S144" s="469">
        <v>92</v>
      </c>
      <c r="T144" s="469">
        <f>SUM(H144:S144)</f>
        <v>13463.10725999999</v>
      </c>
    </row>
    <row r="145" spans="1:20" s="469" customFormat="1">
      <c r="A145" s="469" t="str">
        <f t="shared" si="12"/>
        <v>KU</v>
      </c>
      <c r="B145" s="469" t="str">
        <f t="shared" si="13"/>
        <v>KY</v>
      </c>
      <c r="C145" s="469" t="str">
        <f t="shared" si="14"/>
        <v>303</v>
      </c>
      <c r="D145" s="470" t="s">
        <v>1780</v>
      </c>
      <c r="E145" s="468" t="str">
        <f t="shared" si="15"/>
        <v/>
      </c>
      <c r="F145" s="469">
        <v>0</v>
      </c>
      <c r="G145" s="469">
        <v>0</v>
      </c>
      <c r="H145" s="469">
        <v>0</v>
      </c>
      <c r="I145" s="469">
        <v>0</v>
      </c>
      <c r="J145" s="469">
        <v>0</v>
      </c>
      <c r="K145" s="469">
        <v>0</v>
      </c>
      <c r="L145" s="469">
        <v>0</v>
      </c>
      <c r="M145" s="469">
        <v>0</v>
      </c>
      <c r="N145" s="469">
        <v>0</v>
      </c>
      <c r="O145" s="469">
        <v>0</v>
      </c>
      <c r="P145" s="469">
        <v>0</v>
      </c>
      <c r="Q145" s="469">
        <v>131.59990999999999</v>
      </c>
      <c r="R145" s="469">
        <v>0</v>
      </c>
      <c r="S145" s="469">
        <v>0</v>
      </c>
      <c r="T145" s="469">
        <f t="shared" ref="T145:T208" si="16">SUM(H145:S145)</f>
        <v>131.59990999999999</v>
      </c>
    </row>
    <row r="146" spans="1:20" s="469" customFormat="1">
      <c r="A146" s="469" t="str">
        <f t="shared" si="12"/>
        <v>KU</v>
      </c>
      <c r="B146" s="469" t="str">
        <f t="shared" si="13"/>
        <v>KY</v>
      </c>
      <c r="C146" s="469" t="str">
        <f t="shared" si="14"/>
        <v>310</v>
      </c>
      <c r="D146" s="470" t="s">
        <v>1781</v>
      </c>
      <c r="E146" s="468" t="str">
        <f t="shared" si="15"/>
        <v>ECR</v>
      </c>
      <c r="F146" s="469">
        <v>0</v>
      </c>
      <c r="G146" s="469">
        <v>0</v>
      </c>
      <c r="H146" s="469">
        <v>0</v>
      </c>
      <c r="I146" s="469">
        <v>0</v>
      </c>
      <c r="J146" s="469">
        <v>0</v>
      </c>
      <c r="K146" s="469">
        <v>0</v>
      </c>
      <c r="L146" s="469">
        <v>0</v>
      </c>
      <c r="M146" s="469">
        <v>0</v>
      </c>
      <c r="N146" s="469">
        <v>0</v>
      </c>
      <c r="O146" s="469">
        <v>0</v>
      </c>
      <c r="P146" s="469">
        <v>0</v>
      </c>
      <c r="Q146" s="469">
        <v>0</v>
      </c>
      <c r="R146" s="469">
        <v>0</v>
      </c>
      <c r="S146" s="469">
        <v>0</v>
      </c>
      <c r="T146" s="469">
        <f t="shared" si="16"/>
        <v>0</v>
      </c>
    </row>
    <row r="147" spans="1:20" s="469" customFormat="1">
      <c r="A147" s="469" t="str">
        <f t="shared" si="12"/>
        <v>KU</v>
      </c>
      <c r="B147" s="469" t="str">
        <f t="shared" si="13"/>
        <v>KY</v>
      </c>
      <c r="C147" s="469" t="str">
        <f t="shared" si="14"/>
        <v>310</v>
      </c>
      <c r="D147" s="470" t="s">
        <v>1783</v>
      </c>
      <c r="E147" s="468" t="str">
        <f t="shared" si="15"/>
        <v/>
      </c>
      <c r="F147" s="469">
        <v>0</v>
      </c>
      <c r="G147" s="469">
        <v>0</v>
      </c>
      <c r="H147" s="469">
        <v>0</v>
      </c>
      <c r="I147" s="469">
        <v>0</v>
      </c>
      <c r="J147" s="469">
        <v>0</v>
      </c>
      <c r="K147" s="469">
        <v>0</v>
      </c>
      <c r="L147" s="469">
        <v>0</v>
      </c>
      <c r="M147" s="469">
        <v>0</v>
      </c>
      <c r="N147" s="469">
        <v>0</v>
      </c>
      <c r="O147" s="469">
        <v>0</v>
      </c>
      <c r="P147" s="469">
        <v>475</v>
      </c>
      <c r="Q147" s="469">
        <v>0</v>
      </c>
      <c r="R147" s="469">
        <v>0</v>
      </c>
      <c r="S147" s="469">
        <v>0</v>
      </c>
      <c r="T147" s="469">
        <f t="shared" si="16"/>
        <v>475</v>
      </c>
    </row>
    <row r="148" spans="1:20" s="469" customFormat="1">
      <c r="A148" s="469" t="str">
        <f t="shared" si="12"/>
        <v>KU</v>
      </c>
      <c r="B148" s="469" t="str">
        <f t="shared" si="13"/>
        <v>KY</v>
      </c>
      <c r="C148" s="469" t="str">
        <f t="shared" si="14"/>
        <v>311</v>
      </c>
      <c r="D148" s="470" t="s">
        <v>1785</v>
      </c>
      <c r="E148" s="468" t="str">
        <f t="shared" si="15"/>
        <v/>
      </c>
      <c r="F148" s="469">
        <v>473.17303999999899</v>
      </c>
      <c r="G148" s="469">
        <v>1.66618</v>
      </c>
      <c r="H148" s="469">
        <v>507.62644999999901</v>
      </c>
      <c r="I148" s="469">
        <v>6.8868600000000004</v>
      </c>
      <c r="J148" s="469">
        <v>102.56115999999901</v>
      </c>
      <c r="K148" s="469">
        <v>0.17327000000000001</v>
      </c>
      <c r="L148" s="469">
        <v>217.98403999999999</v>
      </c>
      <c r="M148" s="469">
        <v>290.57125000000002</v>
      </c>
      <c r="N148" s="469">
        <v>1274.7102600000001</v>
      </c>
      <c r="O148" s="469">
        <v>146.63564</v>
      </c>
      <c r="P148" s="469">
        <v>79.708860000000001</v>
      </c>
      <c r="Q148" s="469">
        <v>495.95516999999899</v>
      </c>
      <c r="R148" s="469">
        <v>0</v>
      </c>
      <c r="S148" s="469">
        <v>0</v>
      </c>
      <c r="T148" s="469">
        <f t="shared" si="16"/>
        <v>3122.812959999997</v>
      </c>
    </row>
    <row r="149" spans="1:20" s="469" customFormat="1">
      <c r="A149" s="469" t="str">
        <f t="shared" si="12"/>
        <v>KU</v>
      </c>
      <c r="B149" s="469" t="str">
        <f t="shared" si="13"/>
        <v>KY</v>
      </c>
      <c r="C149" s="469" t="str">
        <f t="shared" si="14"/>
        <v>312</v>
      </c>
      <c r="D149" s="470" t="s">
        <v>1786</v>
      </c>
      <c r="E149" s="468" t="str">
        <f t="shared" si="15"/>
        <v/>
      </c>
      <c r="F149" s="469">
        <v>5280.1966499999999</v>
      </c>
      <c r="G149" s="469">
        <v>-6.1812500000000004</v>
      </c>
      <c r="H149" s="469">
        <v>869.52017000000001</v>
      </c>
      <c r="I149" s="469">
        <v>3157.1592900000001</v>
      </c>
      <c r="J149" s="469">
        <v>1499.16209</v>
      </c>
      <c r="K149" s="469">
        <v>4603.7041499999996</v>
      </c>
      <c r="L149" s="469">
        <v>1260.4242300000001</v>
      </c>
      <c r="M149" s="469">
        <v>1578.44524</v>
      </c>
      <c r="N149" s="469">
        <v>920.99555999999995</v>
      </c>
      <c r="O149" s="469">
        <v>1295.74416</v>
      </c>
      <c r="P149" s="469">
        <v>1420.1762000000001</v>
      </c>
      <c r="Q149" s="469">
        <v>7515.7471599999899</v>
      </c>
      <c r="R149" s="469">
        <v>8.3333700000000004</v>
      </c>
      <c r="S149" s="469">
        <v>8.3333300000000001</v>
      </c>
      <c r="T149" s="469">
        <f t="shared" si="16"/>
        <v>24137.744949999993</v>
      </c>
    </row>
    <row r="150" spans="1:20" s="469" customFormat="1">
      <c r="A150" s="469" t="str">
        <f t="shared" si="12"/>
        <v>KU</v>
      </c>
      <c r="B150" s="469" t="str">
        <f t="shared" si="13"/>
        <v>KY</v>
      </c>
      <c r="C150" s="469" t="str">
        <f t="shared" si="14"/>
        <v>312</v>
      </c>
      <c r="D150" s="470" t="s">
        <v>1787</v>
      </c>
      <c r="E150" s="468" t="str">
        <f t="shared" si="15"/>
        <v>ECR</v>
      </c>
      <c r="F150" s="469">
        <v>0</v>
      </c>
      <c r="G150" s="469">
        <v>0</v>
      </c>
      <c r="H150" s="469">
        <v>0</v>
      </c>
      <c r="I150" s="469">
        <v>813.63352999999995</v>
      </c>
      <c r="J150" s="469">
        <v>0</v>
      </c>
      <c r="K150" s="469">
        <v>0</v>
      </c>
      <c r="L150" s="469">
        <v>10062.529189999999</v>
      </c>
      <c r="M150" s="469">
        <v>0</v>
      </c>
      <c r="N150" s="469">
        <v>16536.260900000001</v>
      </c>
      <c r="O150" s="469">
        <v>2440.2661199999998</v>
      </c>
      <c r="P150" s="469">
        <v>2528</v>
      </c>
      <c r="Q150" s="469">
        <v>1979.067</v>
      </c>
      <c r="R150" s="469">
        <v>250</v>
      </c>
      <c r="S150" s="469">
        <v>500</v>
      </c>
      <c r="T150" s="469">
        <f t="shared" si="16"/>
        <v>35109.756740000004</v>
      </c>
    </row>
    <row r="151" spans="1:20" s="469" customFormat="1">
      <c r="A151" s="469" t="str">
        <f t="shared" si="12"/>
        <v>KU</v>
      </c>
      <c r="B151" s="469" t="str">
        <f t="shared" si="13"/>
        <v>KY</v>
      </c>
      <c r="C151" s="469" t="str">
        <f t="shared" si="14"/>
        <v>312</v>
      </c>
      <c r="D151" s="470" t="s">
        <v>1788</v>
      </c>
      <c r="E151" s="468" t="str">
        <f t="shared" si="15"/>
        <v>ECR</v>
      </c>
      <c r="F151" s="469">
        <v>0</v>
      </c>
      <c r="G151" s="469">
        <v>0</v>
      </c>
      <c r="H151" s="469">
        <v>0</v>
      </c>
      <c r="I151" s="469">
        <v>0</v>
      </c>
      <c r="J151" s="469">
        <v>0</v>
      </c>
      <c r="K151" s="469">
        <v>0</v>
      </c>
      <c r="L151" s="469">
        <v>0</v>
      </c>
      <c r="M151" s="469">
        <v>13771.4953199999</v>
      </c>
      <c r="N151" s="469">
        <v>96240.663629999995</v>
      </c>
      <c r="O151" s="469">
        <v>15306.39565</v>
      </c>
      <c r="P151" s="469">
        <v>5954.3820800000003</v>
      </c>
      <c r="Q151" s="469">
        <v>5634.1865399999997</v>
      </c>
      <c r="R151" s="469">
        <v>600</v>
      </c>
      <c r="S151" s="469">
        <v>600</v>
      </c>
      <c r="T151" s="469">
        <f t="shared" si="16"/>
        <v>138107.12321999989</v>
      </c>
    </row>
    <row r="152" spans="1:20" s="469" customFormat="1">
      <c r="A152" s="469" t="str">
        <f t="shared" si="12"/>
        <v>KU</v>
      </c>
      <c r="B152" s="469" t="str">
        <f t="shared" si="13"/>
        <v>KY</v>
      </c>
      <c r="C152" s="469" t="str">
        <f t="shared" si="14"/>
        <v>312</v>
      </c>
      <c r="D152" s="470" t="s">
        <v>2342</v>
      </c>
      <c r="E152" s="468" t="str">
        <f t="shared" si="15"/>
        <v>ECR</v>
      </c>
      <c r="F152" s="469">
        <v>0</v>
      </c>
      <c r="G152" s="469">
        <v>0</v>
      </c>
      <c r="H152" s="469">
        <v>0</v>
      </c>
      <c r="I152" s="469">
        <v>0</v>
      </c>
      <c r="J152" s="469">
        <v>0</v>
      </c>
      <c r="K152" s="469">
        <v>0</v>
      </c>
      <c r="L152" s="469">
        <v>0</v>
      </c>
      <c r="M152" s="469">
        <v>0</v>
      </c>
      <c r="N152" s="469">
        <v>0</v>
      </c>
      <c r="O152" s="469">
        <v>0</v>
      </c>
      <c r="P152" s="469">
        <v>0</v>
      </c>
      <c r="Q152" s="469">
        <v>2847.45964</v>
      </c>
      <c r="R152" s="469">
        <v>275</v>
      </c>
      <c r="S152" s="469">
        <v>860</v>
      </c>
      <c r="T152" s="469">
        <f t="shared" si="16"/>
        <v>3982.45964</v>
      </c>
    </row>
    <row r="153" spans="1:20" s="469" customFormat="1">
      <c r="A153" s="469" t="str">
        <f t="shared" si="12"/>
        <v>KU</v>
      </c>
      <c r="B153" s="469" t="str">
        <f t="shared" si="13"/>
        <v>KY</v>
      </c>
      <c r="C153" s="469" t="str">
        <f t="shared" si="14"/>
        <v>312</v>
      </c>
      <c r="D153" s="470" t="s">
        <v>2343</v>
      </c>
      <c r="E153" s="468" t="str">
        <f t="shared" si="15"/>
        <v>ECR</v>
      </c>
      <c r="F153" s="469">
        <v>0</v>
      </c>
      <c r="G153" s="469">
        <v>0</v>
      </c>
      <c r="H153" s="469">
        <v>0</v>
      </c>
      <c r="I153" s="469">
        <v>0</v>
      </c>
      <c r="J153" s="469">
        <v>0</v>
      </c>
      <c r="K153" s="469">
        <v>0</v>
      </c>
      <c r="L153" s="469">
        <v>0</v>
      </c>
      <c r="M153" s="469">
        <v>0</v>
      </c>
      <c r="N153" s="469">
        <v>0</v>
      </c>
      <c r="O153" s="469">
        <v>0</v>
      </c>
      <c r="P153" s="469">
        <v>0</v>
      </c>
      <c r="Q153" s="469">
        <v>0</v>
      </c>
      <c r="R153" s="469">
        <v>0</v>
      </c>
      <c r="S153" s="469">
        <v>0</v>
      </c>
      <c r="T153" s="469">
        <f t="shared" si="16"/>
        <v>0</v>
      </c>
    </row>
    <row r="154" spans="1:20" s="469" customFormat="1">
      <c r="A154" s="469" t="str">
        <f t="shared" si="12"/>
        <v>KU</v>
      </c>
      <c r="B154" s="469" t="str">
        <f t="shared" si="13"/>
        <v>KY</v>
      </c>
      <c r="C154" s="469" t="str">
        <f t="shared" si="14"/>
        <v>314</v>
      </c>
      <c r="D154" s="470" t="s">
        <v>1790</v>
      </c>
      <c r="E154" s="468" t="str">
        <f t="shared" si="15"/>
        <v/>
      </c>
      <c r="F154" s="469">
        <v>166.75158999999999</v>
      </c>
      <c r="G154" s="469">
        <v>4.1350999999999898</v>
      </c>
      <c r="H154" s="469">
        <v>7.7984099999999996</v>
      </c>
      <c r="I154" s="469">
        <v>3090.91957</v>
      </c>
      <c r="J154" s="469">
        <v>-0.28276000000000001</v>
      </c>
      <c r="K154" s="469">
        <v>87.538579999999996</v>
      </c>
      <c r="L154" s="469">
        <v>161.35962000000001</v>
      </c>
      <c r="M154" s="469">
        <v>17.153110000000002</v>
      </c>
      <c r="N154" s="469">
        <v>169.91754</v>
      </c>
      <c r="O154" s="469">
        <v>2203.2415299999998</v>
      </c>
      <c r="P154" s="469">
        <v>1040.12574</v>
      </c>
      <c r="Q154" s="469">
        <v>32.596110000000003</v>
      </c>
      <c r="R154" s="469">
        <v>0</v>
      </c>
      <c r="S154" s="469">
        <v>0</v>
      </c>
      <c r="T154" s="469">
        <f t="shared" si="16"/>
        <v>6810.3674499999997</v>
      </c>
    </row>
    <row r="155" spans="1:20" s="469" customFormat="1">
      <c r="A155" s="469" t="str">
        <f t="shared" si="12"/>
        <v>KU</v>
      </c>
      <c r="B155" s="469" t="str">
        <f t="shared" si="13"/>
        <v>KY</v>
      </c>
      <c r="C155" s="469" t="str">
        <f t="shared" si="14"/>
        <v>315</v>
      </c>
      <c r="D155" s="470" t="s">
        <v>1791</v>
      </c>
      <c r="E155" s="468" t="str">
        <f t="shared" si="15"/>
        <v/>
      </c>
      <c r="F155" s="469">
        <v>425.88436999999999</v>
      </c>
      <c r="G155" s="469">
        <v>-1.3913199999999999</v>
      </c>
      <c r="H155" s="469">
        <v>-461.69069000000002</v>
      </c>
      <c r="I155" s="469">
        <v>150.88538</v>
      </c>
      <c r="J155" s="469">
        <v>-0.36381000000000002</v>
      </c>
      <c r="K155" s="469">
        <v>79.340140000000005</v>
      </c>
      <c r="L155" s="469">
        <v>0.1366</v>
      </c>
      <c r="M155" s="469">
        <v>55.932899999999997</v>
      </c>
      <c r="N155" s="469">
        <v>125.56635</v>
      </c>
      <c r="O155" s="469">
        <v>2.5920000000000001</v>
      </c>
      <c r="P155" s="469">
        <v>99.403300000000002</v>
      </c>
      <c r="Q155" s="469">
        <v>4441.8354499999996</v>
      </c>
      <c r="R155" s="469">
        <v>0</v>
      </c>
      <c r="S155" s="469">
        <v>0</v>
      </c>
      <c r="T155" s="469">
        <f t="shared" si="16"/>
        <v>4493.6376199999995</v>
      </c>
    </row>
    <row r="156" spans="1:20" s="469" customFormat="1">
      <c r="A156" s="469" t="str">
        <f t="shared" si="12"/>
        <v>KU</v>
      </c>
      <c r="B156" s="469" t="str">
        <f t="shared" si="13"/>
        <v>KY</v>
      </c>
      <c r="C156" s="469" t="str">
        <f t="shared" si="14"/>
        <v>315</v>
      </c>
      <c r="D156" s="470" t="s">
        <v>1792</v>
      </c>
      <c r="E156" s="468" t="str">
        <f t="shared" si="15"/>
        <v>ECR</v>
      </c>
      <c r="F156" s="469">
        <v>0</v>
      </c>
      <c r="G156" s="469">
        <v>0</v>
      </c>
      <c r="H156" s="469">
        <v>0</v>
      </c>
      <c r="I156" s="469">
        <v>0</v>
      </c>
      <c r="J156" s="469">
        <v>0</v>
      </c>
      <c r="K156" s="469">
        <v>0</v>
      </c>
      <c r="L156" s="469">
        <v>0</v>
      </c>
      <c r="M156" s="469">
        <v>145.85169999999999</v>
      </c>
      <c r="N156" s="469">
        <v>0</v>
      </c>
      <c r="O156" s="469">
        <v>0</v>
      </c>
      <c r="P156" s="469">
        <v>0</v>
      </c>
      <c r="Q156" s="469">
        <v>0</v>
      </c>
      <c r="R156" s="469">
        <v>0</v>
      </c>
      <c r="S156" s="469">
        <v>0</v>
      </c>
      <c r="T156" s="469">
        <f t="shared" si="16"/>
        <v>145.85169999999999</v>
      </c>
    </row>
    <row r="157" spans="1:20" s="469" customFormat="1">
      <c r="A157" s="469" t="str">
        <f t="shared" si="12"/>
        <v>KU</v>
      </c>
      <c r="B157" s="469" t="str">
        <f t="shared" si="13"/>
        <v>KY</v>
      </c>
      <c r="C157" s="469" t="str">
        <f t="shared" si="14"/>
        <v>316</v>
      </c>
      <c r="D157" s="470" t="s">
        <v>1793</v>
      </c>
      <c r="E157" s="468" t="str">
        <f t="shared" si="15"/>
        <v/>
      </c>
      <c r="F157" s="469">
        <v>285.25794999999999</v>
      </c>
      <c r="G157" s="469">
        <v>60.08173</v>
      </c>
      <c r="H157" s="469">
        <v>62.6265</v>
      </c>
      <c r="I157" s="469">
        <v>31.503270000000001</v>
      </c>
      <c r="J157" s="469">
        <v>-65.2117199999999</v>
      </c>
      <c r="K157" s="469">
        <v>0.17327000000000001</v>
      </c>
      <c r="L157" s="469">
        <v>48.871580000000002</v>
      </c>
      <c r="M157" s="469">
        <v>76.719819999999999</v>
      </c>
      <c r="N157" s="469">
        <v>364.36180000000002</v>
      </c>
      <c r="O157" s="469">
        <v>114.11174</v>
      </c>
      <c r="P157" s="469">
        <v>467.43025999999998</v>
      </c>
      <c r="Q157" s="469">
        <v>61.199979999999996</v>
      </c>
      <c r="R157" s="469">
        <v>10.709099999999999</v>
      </c>
      <c r="S157" s="469">
        <v>10.70909</v>
      </c>
      <c r="T157" s="469">
        <f t="shared" si="16"/>
        <v>1183.2046900000005</v>
      </c>
    </row>
    <row r="158" spans="1:20" s="469" customFormat="1">
      <c r="A158" s="469" t="str">
        <f t="shared" si="12"/>
        <v>KU</v>
      </c>
      <c r="B158" s="469" t="str">
        <f t="shared" si="13"/>
        <v>KY</v>
      </c>
      <c r="C158" s="469" t="str">
        <f t="shared" si="14"/>
        <v>317</v>
      </c>
      <c r="D158" s="470" t="s">
        <v>1794</v>
      </c>
      <c r="E158" s="468" t="str">
        <f t="shared" si="15"/>
        <v>ARO</v>
      </c>
      <c r="F158" s="469">
        <v>0</v>
      </c>
      <c r="G158" s="469">
        <v>0</v>
      </c>
      <c r="H158" s="469">
        <v>0</v>
      </c>
      <c r="I158" s="469">
        <v>0</v>
      </c>
      <c r="J158" s="469">
        <v>0</v>
      </c>
      <c r="K158" s="469">
        <v>0</v>
      </c>
      <c r="L158" s="469">
        <v>1780.9930899999999</v>
      </c>
      <c r="M158" s="469">
        <v>0</v>
      </c>
      <c r="N158" s="469">
        <v>0</v>
      </c>
      <c r="O158" s="469">
        <v>0</v>
      </c>
      <c r="P158" s="469">
        <v>0</v>
      </c>
      <c r="Q158" s="469">
        <v>0</v>
      </c>
      <c r="R158" s="469">
        <v>0</v>
      </c>
      <c r="S158" s="469">
        <v>0</v>
      </c>
      <c r="T158" s="469">
        <f t="shared" si="16"/>
        <v>1780.9930899999999</v>
      </c>
    </row>
    <row r="159" spans="1:20" s="469" customFormat="1">
      <c r="A159" s="469" t="str">
        <f t="shared" si="12"/>
        <v>KU</v>
      </c>
      <c r="B159" s="469" t="str">
        <f t="shared" si="13"/>
        <v>KY</v>
      </c>
      <c r="C159" s="469" t="str">
        <f t="shared" si="14"/>
        <v>331</v>
      </c>
      <c r="D159" s="470" t="s">
        <v>1796</v>
      </c>
      <c r="E159" s="468" t="str">
        <f t="shared" si="15"/>
        <v/>
      </c>
      <c r="F159" s="469">
        <v>0</v>
      </c>
      <c r="G159" s="469">
        <v>2172.6562699999999</v>
      </c>
      <c r="H159" s="469">
        <v>1.4871700000000001</v>
      </c>
      <c r="I159" s="469">
        <v>0</v>
      </c>
      <c r="J159" s="469">
        <v>0</v>
      </c>
      <c r="K159" s="469">
        <v>0</v>
      </c>
      <c r="L159" s="469">
        <v>0</v>
      </c>
      <c r="M159" s="469">
        <v>0</v>
      </c>
      <c r="N159" s="469">
        <v>0</v>
      </c>
      <c r="O159" s="469">
        <v>0</v>
      </c>
      <c r="P159" s="469">
        <v>0</v>
      </c>
      <c r="Q159" s="469">
        <v>0</v>
      </c>
      <c r="R159" s="469">
        <v>0</v>
      </c>
      <c r="S159" s="469">
        <v>0</v>
      </c>
      <c r="T159" s="469">
        <f t="shared" si="16"/>
        <v>1.4871700000000001</v>
      </c>
    </row>
    <row r="160" spans="1:20" s="469" customFormat="1">
      <c r="A160" s="469" t="str">
        <f t="shared" si="12"/>
        <v>KU</v>
      </c>
      <c r="B160" s="469" t="str">
        <f t="shared" si="13"/>
        <v>KY</v>
      </c>
      <c r="C160" s="469" t="str">
        <f t="shared" si="14"/>
        <v>332</v>
      </c>
      <c r="D160" s="470" t="s">
        <v>1797</v>
      </c>
      <c r="E160" s="468" t="str">
        <f t="shared" si="15"/>
        <v/>
      </c>
      <c r="F160" s="469">
        <v>0</v>
      </c>
      <c r="G160" s="469">
        <v>0</v>
      </c>
      <c r="H160" s="469">
        <v>0</v>
      </c>
      <c r="I160" s="469">
        <v>0</v>
      </c>
      <c r="J160" s="469">
        <v>0</v>
      </c>
      <c r="K160" s="469">
        <v>0</v>
      </c>
      <c r="L160" s="469">
        <v>0</v>
      </c>
      <c r="M160" s="469">
        <v>0</v>
      </c>
      <c r="N160" s="469">
        <v>0</v>
      </c>
      <c r="O160" s="469">
        <v>0</v>
      </c>
      <c r="P160" s="469">
        <v>0</v>
      </c>
      <c r="Q160" s="469">
        <v>0</v>
      </c>
      <c r="R160" s="469">
        <v>0</v>
      </c>
      <c r="S160" s="469">
        <v>0</v>
      </c>
      <c r="T160" s="469">
        <f t="shared" si="16"/>
        <v>0</v>
      </c>
    </row>
    <row r="161" spans="1:20" s="469" customFormat="1">
      <c r="A161" s="469" t="str">
        <f t="shared" si="12"/>
        <v>KU</v>
      </c>
      <c r="B161" s="469" t="str">
        <f t="shared" si="13"/>
        <v>KY</v>
      </c>
      <c r="C161" s="469" t="str">
        <f t="shared" si="14"/>
        <v>333</v>
      </c>
      <c r="D161" s="470" t="s">
        <v>1798</v>
      </c>
      <c r="E161" s="468" t="str">
        <f t="shared" si="15"/>
        <v/>
      </c>
      <c r="F161" s="469">
        <v>0.68683000000000005</v>
      </c>
      <c r="G161" s="469">
        <v>-1.31E-3</v>
      </c>
      <c r="H161" s="469">
        <v>0</v>
      </c>
      <c r="I161" s="469">
        <v>0</v>
      </c>
      <c r="J161" s="469">
        <v>0</v>
      </c>
      <c r="K161" s="469">
        <v>0</v>
      </c>
      <c r="L161" s="469">
        <v>0</v>
      </c>
      <c r="M161" s="469">
        <v>0</v>
      </c>
      <c r="N161" s="469">
        <v>0</v>
      </c>
      <c r="O161" s="469">
        <v>0</v>
      </c>
      <c r="P161" s="469">
        <v>0</v>
      </c>
      <c r="Q161" s="469">
        <v>0</v>
      </c>
      <c r="R161" s="469">
        <v>0</v>
      </c>
      <c r="S161" s="469">
        <v>0</v>
      </c>
      <c r="T161" s="469">
        <f t="shared" si="16"/>
        <v>0</v>
      </c>
    </row>
    <row r="162" spans="1:20" s="469" customFormat="1">
      <c r="A162" s="469" t="str">
        <f t="shared" si="12"/>
        <v>KU</v>
      </c>
      <c r="B162" s="469" t="str">
        <f t="shared" si="13"/>
        <v>KY</v>
      </c>
      <c r="C162" s="469" t="str">
        <f t="shared" si="14"/>
        <v>334</v>
      </c>
      <c r="D162" s="470" t="s">
        <v>1799</v>
      </c>
      <c r="E162" s="468" t="str">
        <f t="shared" si="15"/>
        <v/>
      </c>
      <c r="F162" s="469">
        <v>0</v>
      </c>
      <c r="G162" s="469">
        <v>46.4649</v>
      </c>
      <c r="H162" s="469">
        <v>-5.5688800000000001</v>
      </c>
      <c r="I162" s="469">
        <v>0</v>
      </c>
      <c r="J162" s="469">
        <v>0</v>
      </c>
      <c r="K162" s="469">
        <v>0</v>
      </c>
      <c r="L162" s="469">
        <v>0</v>
      </c>
      <c r="M162" s="469">
        <v>0</v>
      </c>
      <c r="N162" s="469">
        <v>0</v>
      </c>
      <c r="O162" s="469">
        <v>0</v>
      </c>
      <c r="P162" s="469">
        <v>0</v>
      </c>
      <c r="Q162" s="469">
        <v>0</v>
      </c>
      <c r="R162" s="469">
        <v>0</v>
      </c>
      <c r="S162" s="469">
        <v>0</v>
      </c>
      <c r="T162" s="469">
        <f t="shared" si="16"/>
        <v>-5.5688800000000001</v>
      </c>
    </row>
    <row r="163" spans="1:20" s="469" customFormat="1">
      <c r="A163" s="469" t="str">
        <f t="shared" si="12"/>
        <v>KU</v>
      </c>
      <c r="B163" s="469" t="str">
        <f t="shared" si="13"/>
        <v>KY</v>
      </c>
      <c r="C163" s="469" t="str">
        <f t="shared" si="14"/>
        <v>336</v>
      </c>
      <c r="D163" s="470" t="s">
        <v>1801</v>
      </c>
      <c r="E163" s="468" t="str">
        <f t="shared" si="15"/>
        <v/>
      </c>
      <c r="F163" s="469">
        <v>0</v>
      </c>
      <c r="G163" s="469">
        <v>0</v>
      </c>
      <c r="H163" s="469">
        <v>0</v>
      </c>
      <c r="I163" s="469">
        <v>0</v>
      </c>
      <c r="J163" s="469">
        <v>0</v>
      </c>
      <c r="K163" s="469">
        <v>0</v>
      </c>
      <c r="L163" s="469">
        <v>0</v>
      </c>
      <c r="M163" s="469">
        <v>0</v>
      </c>
      <c r="N163" s="469">
        <v>0</v>
      </c>
      <c r="O163" s="469">
        <v>0</v>
      </c>
      <c r="P163" s="469">
        <v>0</v>
      </c>
      <c r="Q163" s="469">
        <v>0</v>
      </c>
      <c r="R163" s="469">
        <v>0</v>
      </c>
      <c r="S163" s="469">
        <v>0</v>
      </c>
      <c r="T163" s="469">
        <f t="shared" si="16"/>
        <v>0</v>
      </c>
    </row>
    <row r="164" spans="1:20" s="469" customFormat="1">
      <c r="A164" s="469" t="str">
        <f t="shared" si="12"/>
        <v>KU</v>
      </c>
      <c r="B164" s="469" t="str">
        <f t="shared" si="13"/>
        <v>KY</v>
      </c>
      <c r="C164" s="469" t="str">
        <f t="shared" si="14"/>
        <v>341</v>
      </c>
      <c r="D164" s="470" t="s">
        <v>1804</v>
      </c>
      <c r="E164" s="468" t="str">
        <f t="shared" si="15"/>
        <v/>
      </c>
      <c r="F164" s="469">
        <v>2.7591000000000001</v>
      </c>
      <c r="G164" s="469">
        <v>343.78246000000001</v>
      </c>
      <c r="H164" s="469">
        <v>3.2366899999999998</v>
      </c>
      <c r="I164" s="469">
        <v>0</v>
      </c>
      <c r="J164" s="469">
        <v>0</v>
      </c>
      <c r="K164" s="469">
        <v>0</v>
      </c>
      <c r="L164" s="469">
        <v>3.4040000000000001E-2</v>
      </c>
      <c r="M164" s="469">
        <v>0</v>
      </c>
      <c r="N164" s="469">
        <v>0</v>
      </c>
      <c r="O164" s="469">
        <v>0</v>
      </c>
      <c r="P164" s="469">
        <v>0</v>
      </c>
      <c r="Q164" s="469">
        <v>0</v>
      </c>
      <c r="R164" s="469">
        <v>0</v>
      </c>
      <c r="S164" s="469">
        <v>0</v>
      </c>
      <c r="T164" s="469">
        <f t="shared" si="16"/>
        <v>3.2707299999999999</v>
      </c>
    </row>
    <row r="165" spans="1:20" s="469" customFormat="1">
      <c r="A165" s="469" t="str">
        <f t="shared" si="12"/>
        <v>KU</v>
      </c>
      <c r="B165" s="469" t="str">
        <f t="shared" si="13"/>
        <v>KY</v>
      </c>
      <c r="C165" s="469" t="str">
        <f t="shared" si="14"/>
        <v>341</v>
      </c>
      <c r="D165" s="470" t="s">
        <v>2348</v>
      </c>
      <c r="E165" s="468" t="str">
        <f t="shared" si="15"/>
        <v/>
      </c>
      <c r="F165" s="469">
        <v>7.6330400000000003</v>
      </c>
      <c r="G165" s="469">
        <v>0.82737000000000005</v>
      </c>
      <c r="H165" s="469">
        <v>1.81345</v>
      </c>
      <c r="I165" s="469">
        <v>0.33499000000000001</v>
      </c>
      <c r="J165" s="469">
        <v>1.3750899999999999</v>
      </c>
      <c r="K165" s="469">
        <v>0</v>
      </c>
      <c r="L165" s="469">
        <v>778.32128</v>
      </c>
      <c r="M165" s="469">
        <v>0</v>
      </c>
      <c r="N165" s="469">
        <v>40.498440000000002</v>
      </c>
      <c r="O165" s="469">
        <v>140.4</v>
      </c>
      <c r="P165" s="469">
        <v>0</v>
      </c>
      <c r="Q165" s="469">
        <v>0</v>
      </c>
      <c r="R165" s="469">
        <v>0</v>
      </c>
      <c r="S165" s="469">
        <v>0</v>
      </c>
      <c r="T165" s="469">
        <f t="shared" si="16"/>
        <v>962.74324999999999</v>
      </c>
    </row>
    <row r="166" spans="1:20" s="469" customFormat="1">
      <c r="A166" s="469" t="str">
        <f t="shared" si="12"/>
        <v>KU</v>
      </c>
      <c r="B166" s="469" t="str">
        <f t="shared" si="13"/>
        <v>KY</v>
      </c>
      <c r="C166" s="469" t="str">
        <f t="shared" si="14"/>
        <v>341</v>
      </c>
      <c r="D166" s="470" t="s">
        <v>2349</v>
      </c>
      <c r="E166" s="468" t="str">
        <f t="shared" si="15"/>
        <v/>
      </c>
      <c r="F166" s="469">
        <v>0</v>
      </c>
      <c r="G166" s="469">
        <v>0</v>
      </c>
      <c r="H166" s="469">
        <v>0</v>
      </c>
      <c r="I166" s="469">
        <v>0</v>
      </c>
      <c r="J166" s="469">
        <v>0</v>
      </c>
      <c r="K166" s="469">
        <v>857.36465999999996</v>
      </c>
      <c r="L166" s="469">
        <v>2.23163</v>
      </c>
      <c r="M166" s="469">
        <v>1.6697500000000001</v>
      </c>
      <c r="N166" s="469">
        <v>0</v>
      </c>
      <c r="O166" s="469">
        <v>0</v>
      </c>
      <c r="P166" s="469">
        <v>0</v>
      </c>
      <c r="Q166" s="469">
        <v>0</v>
      </c>
      <c r="R166" s="469">
        <v>0</v>
      </c>
      <c r="S166" s="469">
        <v>0</v>
      </c>
      <c r="T166" s="469">
        <f t="shared" si="16"/>
        <v>861.26603999999998</v>
      </c>
    </row>
    <row r="167" spans="1:20" s="469" customFormat="1">
      <c r="A167" s="469" t="str">
        <f t="shared" si="12"/>
        <v>KU</v>
      </c>
      <c r="B167" s="469" t="str">
        <f t="shared" si="13"/>
        <v>KY</v>
      </c>
      <c r="C167" s="469" t="str">
        <f t="shared" si="14"/>
        <v>342</v>
      </c>
      <c r="D167" s="470" t="s">
        <v>1805</v>
      </c>
      <c r="E167" s="468" t="str">
        <f t="shared" si="15"/>
        <v/>
      </c>
      <c r="F167" s="469">
        <v>0</v>
      </c>
      <c r="G167" s="469">
        <v>0</v>
      </c>
      <c r="H167" s="469">
        <v>0</v>
      </c>
      <c r="I167" s="469">
        <v>0</v>
      </c>
      <c r="J167" s="469">
        <v>0</v>
      </c>
      <c r="K167" s="469">
        <v>0</v>
      </c>
      <c r="L167" s="469">
        <v>0</v>
      </c>
      <c r="M167" s="469">
        <v>0</v>
      </c>
      <c r="N167" s="469">
        <v>0</v>
      </c>
      <c r="O167" s="469">
        <v>0</v>
      </c>
      <c r="P167" s="469">
        <v>152.43899999999999</v>
      </c>
      <c r="Q167" s="469">
        <v>6675.7317899999998</v>
      </c>
      <c r="R167" s="469">
        <v>0</v>
      </c>
      <c r="S167" s="469">
        <v>0</v>
      </c>
      <c r="T167" s="469">
        <f t="shared" si="16"/>
        <v>6828.1707900000001</v>
      </c>
    </row>
    <row r="168" spans="1:20" s="469" customFormat="1">
      <c r="A168" s="469" t="str">
        <f t="shared" si="12"/>
        <v>KU</v>
      </c>
      <c r="B168" s="469" t="str">
        <f t="shared" si="13"/>
        <v>KY</v>
      </c>
      <c r="C168" s="469" t="str">
        <f t="shared" si="14"/>
        <v>342</v>
      </c>
      <c r="D168" s="470" t="s">
        <v>2350</v>
      </c>
      <c r="E168" s="468" t="str">
        <f t="shared" si="15"/>
        <v/>
      </c>
      <c r="F168" s="469">
        <v>18.154319999999998</v>
      </c>
      <c r="G168" s="469">
        <v>1.9678100000000001</v>
      </c>
      <c r="H168" s="469">
        <v>4.3131000000000004</v>
      </c>
      <c r="I168" s="469">
        <v>0.79671000000000003</v>
      </c>
      <c r="J168" s="469">
        <v>3.2705000000000002</v>
      </c>
      <c r="K168" s="469">
        <v>0</v>
      </c>
      <c r="L168" s="469">
        <v>-105244.6563</v>
      </c>
      <c r="M168" s="469">
        <v>0</v>
      </c>
      <c r="N168" s="469">
        <v>0</v>
      </c>
      <c r="O168" s="469">
        <v>0</v>
      </c>
      <c r="P168" s="469">
        <v>0</v>
      </c>
      <c r="Q168" s="469">
        <v>0</v>
      </c>
      <c r="R168" s="469">
        <v>0</v>
      </c>
      <c r="S168" s="469">
        <v>0</v>
      </c>
      <c r="T168" s="469">
        <f t="shared" si="16"/>
        <v>-105236.27599000001</v>
      </c>
    </row>
    <row r="169" spans="1:20" s="469" customFormat="1">
      <c r="A169" s="469" t="str">
        <f t="shared" si="12"/>
        <v>KU</v>
      </c>
      <c r="B169" s="469" t="str">
        <f t="shared" si="13"/>
        <v>KY</v>
      </c>
      <c r="C169" s="469" t="str">
        <f t="shared" si="14"/>
        <v>342</v>
      </c>
      <c r="D169" s="470" t="s">
        <v>2351</v>
      </c>
      <c r="E169" s="468" t="str">
        <f t="shared" si="15"/>
        <v/>
      </c>
      <c r="F169" s="469">
        <v>-11.1256</v>
      </c>
      <c r="G169" s="469">
        <v>0</v>
      </c>
      <c r="H169" s="469">
        <v>6.4989999999999895E-2</v>
      </c>
      <c r="I169" s="469">
        <v>0</v>
      </c>
      <c r="J169" s="469">
        <v>0</v>
      </c>
      <c r="K169" s="469">
        <v>0</v>
      </c>
      <c r="L169" s="469">
        <v>0</v>
      </c>
      <c r="M169" s="469">
        <v>0</v>
      </c>
      <c r="N169" s="469">
        <v>0</v>
      </c>
      <c r="O169" s="469">
        <v>0</v>
      </c>
      <c r="P169" s="469">
        <v>0</v>
      </c>
      <c r="Q169" s="469">
        <v>0</v>
      </c>
      <c r="R169" s="469">
        <v>0</v>
      </c>
      <c r="S169" s="469">
        <v>0</v>
      </c>
      <c r="T169" s="469">
        <f t="shared" si="16"/>
        <v>6.4989999999999895E-2</v>
      </c>
    </row>
    <row r="170" spans="1:20" s="469" customFormat="1">
      <c r="A170" s="469" t="str">
        <f t="shared" si="12"/>
        <v>KU</v>
      </c>
      <c r="B170" s="469" t="str">
        <f t="shared" si="13"/>
        <v>KY</v>
      </c>
      <c r="C170" s="469" t="str">
        <f t="shared" si="14"/>
        <v>343</v>
      </c>
      <c r="D170" s="470" t="s">
        <v>1806</v>
      </c>
      <c r="E170" s="468" t="str">
        <f t="shared" si="15"/>
        <v/>
      </c>
      <c r="F170" s="469">
        <v>0</v>
      </c>
      <c r="G170" s="469">
        <v>10.526759999999999</v>
      </c>
      <c r="H170" s="469">
        <v>0</v>
      </c>
      <c r="I170" s="469">
        <v>112.87067</v>
      </c>
      <c r="J170" s="469">
        <v>4.9457599999999999</v>
      </c>
      <c r="K170" s="469">
        <v>1.4366099999999999</v>
      </c>
      <c r="L170" s="469">
        <v>0</v>
      </c>
      <c r="M170" s="469">
        <v>75.214110000000005</v>
      </c>
      <c r="N170" s="469">
        <v>426.46836999999999</v>
      </c>
      <c r="O170" s="469">
        <v>78</v>
      </c>
      <c r="P170" s="469">
        <v>0</v>
      </c>
      <c r="Q170" s="469">
        <v>3534.0382599999998</v>
      </c>
      <c r="R170" s="469">
        <v>0</v>
      </c>
      <c r="S170" s="469">
        <v>0</v>
      </c>
      <c r="T170" s="469">
        <f t="shared" si="16"/>
        <v>4232.9737800000003</v>
      </c>
    </row>
    <row r="171" spans="1:20" s="469" customFormat="1">
      <c r="A171" s="469" t="str">
        <f t="shared" si="12"/>
        <v>KU</v>
      </c>
      <c r="B171" s="469" t="str">
        <f t="shared" si="13"/>
        <v>KY</v>
      </c>
      <c r="C171" s="469" t="str">
        <f t="shared" si="14"/>
        <v>343</v>
      </c>
      <c r="D171" s="470" t="s">
        <v>2352</v>
      </c>
      <c r="E171" s="468" t="str">
        <f t="shared" si="15"/>
        <v/>
      </c>
      <c r="F171" s="469">
        <v>14.62843</v>
      </c>
      <c r="G171" s="469">
        <v>1.58562</v>
      </c>
      <c r="H171" s="469">
        <v>3.4754200000000002</v>
      </c>
      <c r="I171" s="469">
        <v>0.64197000000000004</v>
      </c>
      <c r="J171" s="469">
        <v>2.6353</v>
      </c>
      <c r="K171" s="469">
        <v>0</v>
      </c>
      <c r="L171" s="469">
        <v>165456.42300000001</v>
      </c>
      <c r="M171" s="469">
        <v>0</v>
      </c>
      <c r="N171" s="469">
        <v>3790.13472</v>
      </c>
      <c r="O171" s="469">
        <v>19.4025</v>
      </c>
      <c r="P171" s="469">
        <v>40.079519999999903</v>
      </c>
      <c r="Q171" s="469">
        <v>0</v>
      </c>
      <c r="R171" s="469">
        <v>0</v>
      </c>
      <c r="S171" s="469">
        <v>0</v>
      </c>
      <c r="T171" s="469">
        <f t="shared" si="16"/>
        <v>169312.79243</v>
      </c>
    </row>
    <row r="172" spans="1:20" s="469" customFormat="1">
      <c r="A172" s="469" t="str">
        <f t="shared" si="12"/>
        <v>KU</v>
      </c>
      <c r="B172" s="469" t="str">
        <f t="shared" si="13"/>
        <v>KY</v>
      </c>
      <c r="C172" s="469" t="str">
        <f t="shared" si="14"/>
        <v>344</v>
      </c>
      <c r="D172" s="470" t="s">
        <v>1807</v>
      </c>
      <c r="E172" s="468" t="str">
        <f t="shared" si="15"/>
        <v/>
      </c>
      <c r="F172" s="469">
        <v>0</v>
      </c>
      <c r="G172" s="469">
        <v>0</v>
      </c>
      <c r="H172" s="469">
        <v>0</v>
      </c>
      <c r="I172" s="469">
        <v>0</v>
      </c>
      <c r="J172" s="469">
        <v>0</v>
      </c>
      <c r="K172" s="469">
        <v>0</v>
      </c>
      <c r="L172" s="469">
        <v>876.82818999999995</v>
      </c>
      <c r="M172" s="469">
        <v>0.57362999999999997</v>
      </c>
      <c r="N172" s="469">
        <v>1.0830200000000001</v>
      </c>
      <c r="O172" s="469">
        <v>10.40005</v>
      </c>
      <c r="P172" s="469">
        <v>0</v>
      </c>
      <c r="Q172" s="469">
        <v>330.90264999999999</v>
      </c>
      <c r="R172" s="469">
        <v>0</v>
      </c>
      <c r="S172" s="469">
        <v>0</v>
      </c>
      <c r="T172" s="469">
        <f t="shared" si="16"/>
        <v>1219.7875399999998</v>
      </c>
    </row>
    <row r="173" spans="1:20" s="469" customFormat="1">
      <c r="A173" s="469" t="str">
        <f t="shared" si="12"/>
        <v>KU</v>
      </c>
      <c r="B173" s="469" t="str">
        <f t="shared" si="13"/>
        <v>KY</v>
      </c>
      <c r="C173" s="469" t="str">
        <f t="shared" si="14"/>
        <v>344</v>
      </c>
      <c r="D173" s="470" t="s">
        <v>2353</v>
      </c>
      <c r="E173" s="468" t="str">
        <f t="shared" si="15"/>
        <v/>
      </c>
      <c r="F173" s="469">
        <v>18.456199999999999</v>
      </c>
      <c r="G173" s="469">
        <v>2.00054</v>
      </c>
      <c r="H173" s="469">
        <v>4.3848199999999897</v>
      </c>
      <c r="I173" s="469">
        <v>0.80994999999999995</v>
      </c>
      <c r="J173" s="469">
        <v>3.32486999999999</v>
      </c>
      <c r="K173" s="469">
        <v>0</v>
      </c>
      <c r="L173" s="469">
        <v>-55560.326970000002</v>
      </c>
      <c r="M173" s="469">
        <v>0</v>
      </c>
      <c r="N173" s="469">
        <v>0</v>
      </c>
      <c r="O173" s="469">
        <v>0</v>
      </c>
      <c r="P173" s="469">
        <v>0</v>
      </c>
      <c r="Q173" s="469">
        <v>0</v>
      </c>
      <c r="R173" s="469">
        <v>0</v>
      </c>
      <c r="S173" s="469">
        <v>0</v>
      </c>
      <c r="T173" s="469">
        <f t="shared" si="16"/>
        <v>-55551.807330000003</v>
      </c>
    </row>
    <row r="174" spans="1:20" s="469" customFormat="1">
      <c r="A174" s="469" t="str">
        <f t="shared" si="12"/>
        <v>KU</v>
      </c>
      <c r="B174" s="469" t="str">
        <f t="shared" si="13"/>
        <v>KY</v>
      </c>
      <c r="C174" s="469" t="str">
        <f t="shared" si="14"/>
        <v>344</v>
      </c>
      <c r="D174" s="470" t="s">
        <v>2354</v>
      </c>
      <c r="E174" s="468" t="str">
        <f t="shared" si="15"/>
        <v/>
      </c>
      <c r="F174" s="469">
        <v>0</v>
      </c>
      <c r="G174" s="469">
        <v>0</v>
      </c>
      <c r="H174" s="469">
        <v>0</v>
      </c>
      <c r="I174" s="469">
        <v>0</v>
      </c>
      <c r="J174" s="469">
        <v>0</v>
      </c>
      <c r="K174" s="469">
        <v>12848.020329999999</v>
      </c>
      <c r="L174" s="469">
        <v>33.441980000000001</v>
      </c>
      <c r="M174" s="469">
        <v>25.022020000000001</v>
      </c>
      <c r="N174" s="469">
        <v>0</v>
      </c>
      <c r="O174" s="469">
        <v>0</v>
      </c>
      <c r="P174" s="469">
        <v>0</v>
      </c>
      <c r="Q174" s="469">
        <v>0</v>
      </c>
      <c r="R174" s="469">
        <v>0</v>
      </c>
      <c r="S174" s="469">
        <v>0</v>
      </c>
      <c r="T174" s="469">
        <f t="shared" si="16"/>
        <v>12906.484329999999</v>
      </c>
    </row>
    <row r="175" spans="1:20" s="469" customFormat="1">
      <c r="A175" s="469" t="str">
        <f t="shared" si="12"/>
        <v>KU</v>
      </c>
      <c r="B175" s="469" t="str">
        <f t="shared" si="13"/>
        <v>KY</v>
      </c>
      <c r="C175" s="469" t="str">
        <f t="shared" si="14"/>
        <v>345</v>
      </c>
      <c r="D175" s="470" t="s">
        <v>1808</v>
      </c>
      <c r="E175" s="468" t="str">
        <f t="shared" si="15"/>
        <v/>
      </c>
      <c r="F175" s="469">
        <v>0</v>
      </c>
      <c r="G175" s="469">
        <v>0</v>
      </c>
      <c r="H175" s="469">
        <v>0</v>
      </c>
      <c r="I175" s="469">
        <v>229.46191999999999</v>
      </c>
      <c r="J175" s="469">
        <v>132.98845</v>
      </c>
      <c r="K175" s="469">
        <v>-2.8421709430404001E-14</v>
      </c>
      <c r="L175" s="469">
        <v>0</v>
      </c>
      <c r="M175" s="469">
        <v>0</v>
      </c>
      <c r="N175" s="469">
        <v>-132.98845</v>
      </c>
      <c r="O175" s="469">
        <v>0</v>
      </c>
      <c r="P175" s="469">
        <v>0</v>
      </c>
      <c r="Q175" s="469">
        <v>0</v>
      </c>
      <c r="R175" s="469">
        <v>0</v>
      </c>
      <c r="S175" s="469">
        <v>0</v>
      </c>
      <c r="T175" s="469">
        <f t="shared" si="16"/>
        <v>229.46192000000002</v>
      </c>
    </row>
    <row r="176" spans="1:20" s="469" customFormat="1">
      <c r="A176" s="469" t="str">
        <f t="shared" si="12"/>
        <v>KU</v>
      </c>
      <c r="B176" s="469" t="str">
        <f t="shared" si="13"/>
        <v>KY</v>
      </c>
      <c r="C176" s="469" t="str">
        <f t="shared" si="14"/>
        <v>345</v>
      </c>
      <c r="D176" s="470" t="s">
        <v>2355</v>
      </c>
      <c r="E176" s="468" t="str">
        <f t="shared" si="15"/>
        <v/>
      </c>
      <c r="F176" s="469">
        <v>4.2785500000000001</v>
      </c>
      <c r="G176" s="469">
        <v>0.46378999999999998</v>
      </c>
      <c r="H176" s="469">
        <v>1.01651</v>
      </c>
      <c r="I176" s="469">
        <v>0.18776999999999999</v>
      </c>
      <c r="J176" s="469">
        <v>0.77076999999999996</v>
      </c>
      <c r="K176" s="469">
        <v>0</v>
      </c>
      <c r="L176" s="469">
        <v>-8155.7021500000001</v>
      </c>
      <c r="M176" s="469">
        <v>0</v>
      </c>
      <c r="N176" s="469">
        <v>0</v>
      </c>
      <c r="O176" s="469">
        <v>0</v>
      </c>
      <c r="P176" s="469">
        <v>117</v>
      </c>
      <c r="Q176" s="469">
        <v>0</v>
      </c>
      <c r="R176" s="469">
        <v>0</v>
      </c>
      <c r="S176" s="469">
        <v>0</v>
      </c>
      <c r="T176" s="469">
        <f t="shared" si="16"/>
        <v>-8036.7271000000001</v>
      </c>
    </row>
    <row r="177" spans="1:20" s="469" customFormat="1">
      <c r="A177" s="469" t="str">
        <f t="shared" si="12"/>
        <v>KU</v>
      </c>
      <c r="B177" s="469" t="str">
        <f t="shared" si="13"/>
        <v>KY</v>
      </c>
      <c r="C177" s="469" t="str">
        <f t="shared" si="14"/>
        <v>345</v>
      </c>
      <c r="D177" s="470" t="s">
        <v>2356</v>
      </c>
      <c r="E177" s="468" t="str">
        <f t="shared" si="15"/>
        <v/>
      </c>
      <c r="F177" s="469">
        <v>0</v>
      </c>
      <c r="G177" s="469">
        <v>0</v>
      </c>
      <c r="H177" s="469">
        <v>0</v>
      </c>
      <c r="I177" s="469">
        <v>0</v>
      </c>
      <c r="J177" s="469">
        <v>0</v>
      </c>
      <c r="K177" s="469">
        <v>663.26691000000005</v>
      </c>
      <c r="L177" s="469">
        <v>1.72641</v>
      </c>
      <c r="M177" s="469">
        <v>1.2917400000000001</v>
      </c>
      <c r="N177" s="469">
        <v>139.14700999999999</v>
      </c>
      <c r="O177" s="469">
        <v>133.85</v>
      </c>
      <c r="P177" s="469">
        <v>133.85</v>
      </c>
      <c r="Q177" s="469">
        <v>512.71131000000003</v>
      </c>
      <c r="R177" s="469">
        <v>0</v>
      </c>
      <c r="S177" s="469">
        <v>0</v>
      </c>
      <c r="T177" s="469">
        <f t="shared" si="16"/>
        <v>1585.8433800000003</v>
      </c>
    </row>
    <row r="178" spans="1:20" s="469" customFormat="1">
      <c r="A178" s="469" t="str">
        <f t="shared" si="12"/>
        <v>KU</v>
      </c>
      <c r="B178" s="469" t="str">
        <f t="shared" si="13"/>
        <v>KY</v>
      </c>
      <c r="C178" s="469" t="str">
        <f t="shared" si="14"/>
        <v>346</v>
      </c>
      <c r="D178" s="470" t="s">
        <v>1809</v>
      </c>
      <c r="E178" s="468" t="str">
        <f t="shared" si="15"/>
        <v/>
      </c>
      <c r="F178" s="469">
        <v>0</v>
      </c>
      <c r="G178" s="469">
        <v>0</v>
      </c>
      <c r="H178" s="469">
        <v>0</v>
      </c>
      <c r="I178" s="469">
        <v>0</v>
      </c>
      <c r="J178" s="469">
        <v>0</v>
      </c>
      <c r="K178" s="469">
        <v>0</v>
      </c>
      <c r="L178" s="469">
        <v>0</v>
      </c>
      <c r="M178" s="469">
        <v>-1.9241900000000001</v>
      </c>
      <c r="N178" s="469">
        <v>14.1</v>
      </c>
      <c r="O178" s="469">
        <v>44.785469999999997</v>
      </c>
      <c r="P178" s="469">
        <v>72.169349999999994</v>
      </c>
      <c r="Q178" s="469">
        <v>0</v>
      </c>
      <c r="R178" s="469">
        <v>0</v>
      </c>
      <c r="S178" s="469">
        <v>0</v>
      </c>
      <c r="T178" s="469">
        <f t="shared" si="16"/>
        <v>129.13063</v>
      </c>
    </row>
    <row r="179" spans="1:20" s="469" customFormat="1">
      <c r="A179" s="469" t="str">
        <f t="shared" si="12"/>
        <v>KU</v>
      </c>
      <c r="B179" s="469" t="str">
        <f t="shared" si="13"/>
        <v>KY</v>
      </c>
      <c r="C179" s="469" t="str">
        <f t="shared" si="14"/>
        <v>346</v>
      </c>
      <c r="D179" s="470" t="s">
        <v>2357</v>
      </c>
      <c r="E179" s="468" t="str">
        <f t="shared" si="15"/>
        <v/>
      </c>
      <c r="F179" s="469">
        <v>0</v>
      </c>
      <c r="G179" s="469">
        <v>0</v>
      </c>
      <c r="H179" s="469">
        <v>1.1689400000000001</v>
      </c>
      <c r="I179" s="469">
        <v>0</v>
      </c>
      <c r="J179" s="469">
        <v>0</v>
      </c>
      <c r="K179" s="469">
        <v>0</v>
      </c>
      <c r="L179" s="469">
        <v>3037.43129</v>
      </c>
      <c r="M179" s="469">
        <v>0</v>
      </c>
      <c r="N179" s="469">
        <v>0</v>
      </c>
      <c r="O179" s="469">
        <v>0</v>
      </c>
      <c r="P179" s="469">
        <v>0</v>
      </c>
      <c r="Q179" s="469">
        <v>0</v>
      </c>
      <c r="R179" s="469">
        <v>0</v>
      </c>
      <c r="S179" s="469">
        <v>0</v>
      </c>
      <c r="T179" s="469">
        <f t="shared" si="16"/>
        <v>3038.60023</v>
      </c>
    </row>
    <row r="180" spans="1:20" s="469" customFormat="1">
      <c r="A180" s="469" t="str">
        <f t="shared" si="12"/>
        <v>KU</v>
      </c>
      <c r="B180" s="469" t="str">
        <f t="shared" si="13"/>
        <v>KY</v>
      </c>
      <c r="C180" s="469" t="str">
        <f t="shared" si="14"/>
        <v>346</v>
      </c>
      <c r="D180" s="470" t="s">
        <v>2358</v>
      </c>
      <c r="E180" s="468" t="str">
        <f t="shared" si="15"/>
        <v/>
      </c>
      <c r="F180" s="469">
        <v>0</v>
      </c>
      <c r="G180" s="469">
        <v>0</v>
      </c>
      <c r="H180" s="469">
        <v>0</v>
      </c>
      <c r="I180" s="469">
        <v>0</v>
      </c>
      <c r="J180" s="469">
        <v>0</v>
      </c>
      <c r="K180" s="469">
        <v>292.40436</v>
      </c>
      <c r="L180" s="469">
        <v>0.76107999999999998</v>
      </c>
      <c r="M180" s="469">
        <v>0.56947999999999999</v>
      </c>
      <c r="N180" s="469">
        <v>0</v>
      </c>
      <c r="O180" s="469">
        <v>0</v>
      </c>
      <c r="P180" s="469">
        <v>0</v>
      </c>
      <c r="Q180" s="469">
        <v>0</v>
      </c>
      <c r="R180" s="469">
        <v>0</v>
      </c>
      <c r="S180" s="469">
        <v>0</v>
      </c>
      <c r="T180" s="469">
        <f t="shared" si="16"/>
        <v>293.73491999999999</v>
      </c>
    </row>
    <row r="181" spans="1:20" s="469" customFormat="1">
      <c r="A181" s="469" t="str">
        <f t="shared" si="12"/>
        <v>KU</v>
      </c>
      <c r="B181" s="469" t="str">
        <f t="shared" si="13"/>
        <v>KY</v>
      </c>
      <c r="C181" s="469" t="str">
        <f t="shared" si="14"/>
        <v>352</v>
      </c>
      <c r="D181" s="470" t="s">
        <v>1814</v>
      </c>
      <c r="E181" s="468" t="str">
        <f t="shared" si="15"/>
        <v/>
      </c>
      <c r="F181" s="469">
        <v>0</v>
      </c>
      <c r="G181" s="469">
        <v>8.4245900000000002</v>
      </c>
      <c r="H181" s="469">
        <v>0</v>
      </c>
      <c r="I181" s="469">
        <v>189.46376999999899</v>
      </c>
      <c r="J181" s="469">
        <v>26.841609999999999</v>
      </c>
      <c r="K181" s="469">
        <v>3119.7321999999999</v>
      </c>
      <c r="L181" s="469">
        <v>0</v>
      </c>
      <c r="M181" s="469">
        <v>-7.6391600000000004</v>
      </c>
      <c r="N181" s="469">
        <v>0</v>
      </c>
      <c r="O181" s="469">
        <v>0</v>
      </c>
      <c r="P181" s="469">
        <v>0</v>
      </c>
      <c r="Q181" s="469">
        <v>0</v>
      </c>
      <c r="R181" s="469">
        <v>0</v>
      </c>
      <c r="S181" s="469">
        <v>0</v>
      </c>
      <c r="T181" s="469">
        <f t="shared" si="16"/>
        <v>3328.3984199999986</v>
      </c>
    </row>
    <row r="182" spans="1:20" s="469" customFormat="1">
      <c r="A182" s="469" t="str">
        <f t="shared" si="12"/>
        <v>KU</v>
      </c>
      <c r="B182" s="469" t="str">
        <f t="shared" si="13"/>
        <v>KY</v>
      </c>
      <c r="C182" s="469" t="str">
        <f t="shared" si="14"/>
        <v>353</v>
      </c>
      <c r="D182" s="470" t="s">
        <v>1816</v>
      </c>
      <c r="E182" s="468" t="str">
        <f t="shared" si="15"/>
        <v/>
      </c>
      <c r="F182" s="469">
        <v>2019.6154300000001</v>
      </c>
      <c r="G182" s="469">
        <v>-59.555729999999997</v>
      </c>
      <c r="H182" s="469">
        <v>729.74820999999997</v>
      </c>
      <c r="I182" s="469">
        <v>-21.16714</v>
      </c>
      <c r="J182" s="469">
        <v>931.86725000000001</v>
      </c>
      <c r="K182" s="469">
        <v>9301.7994499999895</v>
      </c>
      <c r="L182" s="469">
        <v>-705.78476999999998</v>
      </c>
      <c r="M182" s="469">
        <v>-52.315089999999998</v>
      </c>
      <c r="N182" s="469">
        <v>9354.8095099999991</v>
      </c>
      <c r="O182" s="469">
        <v>4105.7295400000003</v>
      </c>
      <c r="P182" s="469">
        <v>2681.4751200000001</v>
      </c>
      <c r="Q182" s="469">
        <v>7148.2194899999904</v>
      </c>
      <c r="R182" s="469">
        <v>31.693819999999999</v>
      </c>
      <c r="S182" s="469">
        <v>196.93269000000001</v>
      </c>
      <c r="T182" s="469">
        <f t="shared" si="16"/>
        <v>33703.008079999978</v>
      </c>
    </row>
    <row r="183" spans="1:20" s="469" customFormat="1">
      <c r="A183" s="469" t="str">
        <f t="shared" si="12"/>
        <v>KU</v>
      </c>
      <c r="B183" s="469" t="s">
        <v>17</v>
      </c>
      <c r="C183" s="469" t="str">
        <f t="shared" si="14"/>
        <v>353</v>
      </c>
      <c r="D183" s="470" t="s">
        <v>1817</v>
      </c>
      <c r="E183" s="468" t="str">
        <f t="shared" si="15"/>
        <v/>
      </c>
      <c r="F183" s="469">
        <v>0</v>
      </c>
      <c r="G183" s="469">
        <v>0</v>
      </c>
      <c r="H183" s="469">
        <v>0</v>
      </c>
      <c r="I183" s="469">
        <v>0</v>
      </c>
      <c r="J183" s="469">
        <v>0</v>
      </c>
      <c r="K183" s="469">
        <v>0</v>
      </c>
      <c r="L183" s="469">
        <v>0</v>
      </c>
      <c r="M183" s="469">
        <v>0</v>
      </c>
      <c r="N183" s="469">
        <v>8.7868600000000008</v>
      </c>
      <c r="O183" s="469">
        <v>0</v>
      </c>
      <c r="P183" s="469">
        <v>0</v>
      </c>
      <c r="Q183" s="469">
        <v>120.05467</v>
      </c>
      <c r="R183" s="469">
        <v>0</v>
      </c>
      <c r="S183" s="469">
        <v>0</v>
      </c>
      <c r="T183" s="469">
        <f t="shared" si="16"/>
        <v>128.84153000000001</v>
      </c>
    </row>
    <row r="184" spans="1:20" s="469" customFormat="1">
      <c r="A184" s="469" t="str">
        <f t="shared" si="12"/>
        <v>KU</v>
      </c>
      <c r="B184" s="469" t="str">
        <f t="shared" si="13"/>
        <v>VA</v>
      </c>
      <c r="C184" s="469" t="str">
        <f t="shared" si="14"/>
        <v>353</v>
      </c>
      <c r="D184" s="470" t="s">
        <v>1818</v>
      </c>
      <c r="E184" s="468" t="str">
        <f t="shared" si="15"/>
        <v/>
      </c>
      <c r="F184" s="469">
        <v>29.86505</v>
      </c>
      <c r="G184" s="469">
        <v>0</v>
      </c>
      <c r="H184" s="469">
        <v>0</v>
      </c>
      <c r="I184" s="469">
        <v>0</v>
      </c>
      <c r="J184" s="469">
        <v>62.391500000000001</v>
      </c>
      <c r="K184" s="469">
        <v>0</v>
      </c>
      <c r="L184" s="469">
        <v>0</v>
      </c>
      <c r="M184" s="469">
        <v>28.87114</v>
      </c>
      <c r="N184" s="469">
        <v>14.73476</v>
      </c>
      <c r="O184" s="469">
        <v>17.520890000000001</v>
      </c>
      <c r="P184" s="469">
        <v>30.257829999999998</v>
      </c>
      <c r="Q184" s="469">
        <v>75.546989999999994</v>
      </c>
      <c r="R184" s="469">
        <v>0</v>
      </c>
      <c r="S184" s="469">
        <v>0</v>
      </c>
      <c r="T184" s="469">
        <f t="shared" si="16"/>
        <v>229.32310999999999</v>
      </c>
    </row>
    <row r="185" spans="1:20" s="469" customFormat="1">
      <c r="A185" s="469" t="str">
        <f t="shared" si="12"/>
        <v>KU</v>
      </c>
      <c r="B185" s="469" t="str">
        <f t="shared" si="13"/>
        <v>KY</v>
      </c>
      <c r="C185" s="469" t="str">
        <f t="shared" si="14"/>
        <v>354</v>
      </c>
      <c r="D185" s="470" t="s">
        <v>1819</v>
      </c>
      <c r="E185" s="468" t="str">
        <f t="shared" si="15"/>
        <v/>
      </c>
      <c r="F185" s="469">
        <v>-2.95669</v>
      </c>
      <c r="G185" s="469">
        <v>-7.7109999999999998E-2</v>
      </c>
      <c r="H185" s="469">
        <v>0</v>
      </c>
      <c r="I185" s="469">
        <v>-4.1056999999999997</v>
      </c>
      <c r="J185" s="469">
        <v>0</v>
      </c>
      <c r="K185" s="469">
        <v>0</v>
      </c>
      <c r="L185" s="469">
        <v>4.1056999999999997</v>
      </c>
      <c r="M185" s="469">
        <v>2.9118499999999998</v>
      </c>
      <c r="N185" s="469">
        <v>0</v>
      </c>
      <c r="O185" s="469">
        <v>0</v>
      </c>
      <c r="P185" s="469">
        <v>0</v>
      </c>
      <c r="Q185" s="469">
        <v>0</v>
      </c>
      <c r="R185" s="469">
        <v>0</v>
      </c>
      <c r="S185" s="469">
        <v>0</v>
      </c>
      <c r="T185" s="469">
        <f t="shared" si="16"/>
        <v>2.9118499999999998</v>
      </c>
    </row>
    <row r="186" spans="1:20" s="469" customFormat="1">
      <c r="A186" s="469" t="str">
        <f t="shared" si="12"/>
        <v>KU</v>
      </c>
      <c r="B186" s="469" t="str">
        <f t="shared" si="13"/>
        <v>KY</v>
      </c>
      <c r="C186" s="469" t="str">
        <f t="shared" si="14"/>
        <v>355</v>
      </c>
      <c r="D186" s="470" t="s">
        <v>1821</v>
      </c>
      <c r="E186" s="468" t="str">
        <f t="shared" si="15"/>
        <v/>
      </c>
      <c r="F186" s="469">
        <v>911.83570999999995</v>
      </c>
      <c r="G186" s="469">
        <v>1732.2647400000001</v>
      </c>
      <c r="H186" s="469">
        <v>136.63604999999899</v>
      </c>
      <c r="I186" s="469">
        <v>180.16144</v>
      </c>
      <c r="J186" s="469">
        <v>1403.17338</v>
      </c>
      <c r="K186" s="469">
        <v>6293.9245499999997</v>
      </c>
      <c r="L186" s="469">
        <v>4145.7135900000003</v>
      </c>
      <c r="M186" s="469">
        <v>3466.60239</v>
      </c>
      <c r="N186" s="469">
        <v>16531.06841</v>
      </c>
      <c r="O186" s="469">
        <v>10664.5607</v>
      </c>
      <c r="P186" s="469">
        <v>999.66121999999996</v>
      </c>
      <c r="Q186" s="469">
        <v>4556.8670999999904</v>
      </c>
      <c r="R186" s="469">
        <v>2334.3816900000002</v>
      </c>
      <c r="S186" s="469">
        <v>4571.0049600000002</v>
      </c>
      <c r="T186" s="469">
        <f t="shared" si="16"/>
        <v>55283.755479999993</v>
      </c>
    </row>
    <row r="187" spans="1:20" s="469" customFormat="1">
      <c r="A187" s="469" t="str">
        <f t="shared" si="12"/>
        <v>KU</v>
      </c>
      <c r="B187" s="469" t="str">
        <f t="shared" si="13"/>
        <v>VA</v>
      </c>
      <c r="C187" s="469" t="str">
        <f t="shared" si="14"/>
        <v>355</v>
      </c>
      <c r="D187" s="470" t="s">
        <v>1823</v>
      </c>
      <c r="E187" s="468" t="str">
        <f t="shared" si="15"/>
        <v/>
      </c>
      <c r="F187" s="469">
        <v>0</v>
      </c>
      <c r="G187" s="469">
        <v>3.1836799999999998</v>
      </c>
      <c r="H187" s="469">
        <v>65.939530000000005</v>
      </c>
      <c r="I187" s="469">
        <v>0</v>
      </c>
      <c r="J187" s="469">
        <v>0</v>
      </c>
      <c r="K187" s="469">
        <v>53.665080000000003</v>
      </c>
      <c r="L187" s="469">
        <v>16.139849999999999</v>
      </c>
      <c r="M187" s="469">
        <v>112.020429999999</v>
      </c>
      <c r="N187" s="469">
        <v>0</v>
      </c>
      <c r="O187" s="469">
        <v>0</v>
      </c>
      <c r="P187" s="469">
        <v>0</v>
      </c>
      <c r="Q187" s="469">
        <v>0</v>
      </c>
      <c r="R187" s="469">
        <v>0</v>
      </c>
      <c r="S187" s="469">
        <v>1105.02747</v>
      </c>
      <c r="T187" s="469">
        <f t="shared" si="16"/>
        <v>1352.792359999999</v>
      </c>
    </row>
    <row r="188" spans="1:20" s="469" customFormat="1">
      <c r="A188" s="469" t="str">
        <f t="shared" si="12"/>
        <v>KU</v>
      </c>
      <c r="B188" s="469" t="str">
        <f t="shared" si="13"/>
        <v>KY</v>
      </c>
      <c r="C188" s="469" t="str">
        <f t="shared" si="14"/>
        <v>356</v>
      </c>
      <c r="D188" s="470" t="s">
        <v>1824</v>
      </c>
      <c r="E188" s="468" t="str">
        <f t="shared" si="15"/>
        <v/>
      </c>
      <c r="F188" s="469">
        <v>23.276869999999999</v>
      </c>
      <c r="G188" s="469">
        <v>859.05141000000003</v>
      </c>
      <c r="H188" s="469">
        <v>-97.084940000000003</v>
      </c>
      <c r="I188" s="469">
        <v>152.59616</v>
      </c>
      <c r="J188" s="469">
        <v>1341.42957</v>
      </c>
      <c r="K188" s="469">
        <v>-215.50050999999999</v>
      </c>
      <c r="L188" s="469">
        <v>2797.3407299999999</v>
      </c>
      <c r="M188" s="469">
        <v>-2244.45039</v>
      </c>
      <c r="N188" s="469">
        <v>494.33649000000003</v>
      </c>
      <c r="O188" s="469">
        <v>264.39451000000003</v>
      </c>
      <c r="P188" s="469">
        <v>312.95420999999999</v>
      </c>
      <c r="Q188" s="469">
        <v>267.53019999999998</v>
      </c>
      <c r="R188" s="469">
        <v>71.762090000000001</v>
      </c>
      <c r="S188" s="469">
        <v>71.762110000000007</v>
      </c>
      <c r="T188" s="469">
        <f t="shared" si="16"/>
        <v>3217.0702300000003</v>
      </c>
    </row>
    <row r="189" spans="1:20" s="469" customFormat="1">
      <c r="A189" s="469" t="str">
        <f t="shared" si="12"/>
        <v>KU</v>
      </c>
      <c r="B189" s="469" t="str">
        <f t="shared" si="13"/>
        <v>VA</v>
      </c>
      <c r="C189" s="469" t="str">
        <f t="shared" si="14"/>
        <v>356</v>
      </c>
      <c r="D189" s="470" t="s">
        <v>1826</v>
      </c>
      <c r="E189" s="468" t="str">
        <f t="shared" si="15"/>
        <v/>
      </c>
      <c r="F189" s="469">
        <v>0</v>
      </c>
      <c r="G189" s="469">
        <v>3.1837</v>
      </c>
      <c r="H189" s="469">
        <v>-65.939530000000005</v>
      </c>
      <c r="I189" s="469">
        <v>0</v>
      </c>
      <c r="J189" s="469">
        <v>0</v>
      </c>
      <c r="K189" s="469">
        <v>25.46414</v>
      </c>
      <c r="L189" s="469">
        <v>139.3723</v>
      </c>
      <c r="M189" s="469">
        <v>-76.091449999999995</v>
      </c>
      <c r="N189" s="469">
        <v>100.84438</v>
      </c>
      <c r="O189" s="469">
        <v>0</v>
      </c>
      <c r="P189" s="469">
        <v>471.98527000000001</v>
      </c>
      <c r="Q189" s="469">
        <v>0</v>
      </c>
      <c r="R189" s="469">
        <v>0</v>
      </c>
      <c r="S189" s="469">
        <v>0</v>
      </c>
      <c r="T189" s="469">
        <f t="shared" si="16"/>
        <v>595.63511000000005</v>
      </c>
    </row>
    <row r="190" spans="1:20" s="469" customFormat="1">
      <c r="A190" s="469" t="str">
        <f t="shared" si="12"/>
        <v>KU</v>
      </c>
      <c r="B190" s="469" t="str">
        <f t="shared" si="13"/>
        <v>KY</v>
      </c>
      <c r="C190" s="469" t="str">
        <f t="shared" si="14"/>
        <v>358</v>
      </c>
      <c r="D190" s="470" t="s">
        <v>1828</v>
      </c>
      <c r="E190" s="468" t="str">
        <f t="shared" si="15"/>
        <v/>
      </c>
      <c r="F190" s="469">
        <v>0</v>
      </c>
      <c r="G190" s="469">
        <v>0</v>
      </c>
      <c r="H190" s="469">
        <v>0</v>
      </c>
      <c r="I190" s="469">
        <v>0</v>
      </c>
      <c r="J190" s="469">
        <v>0</v>
      </c>
      <c r="K190" s="469">
        <v>0</v>
      </c>
      <c r="L190" s="469">
        <v>0</v>
      </c>
      <c r="M190" s="469">
        <v>0</v>
      </c>
      <c r="N190" s="469">
        <v>0</v>
      </c>
      <c r="O190" s="469">
        <v>0</v>
      </c>
      <c r="P190" s="469">
        <v>0</v>
      </c>
      <c r="Q190" s="469">
        <v>0</v>
      </c>
      <c r="R190" s="469">
        <v>0</v>
      </c>
      <c r="S190" s="469">
        <v>0</v>
      </c>
      <c r="T190" s="469">
        <f t="shared" si="16"/>
        <v>0</v>
      </c>
    </row>
    <row r="191" spans="1:20" s="469" customFormat="1">
      <c r="A191" s="469" t="str">
        <f t="shared" si="12"/>
        <v>KU</v>
      </c>
      <c r="B191" s="469" t="str">
        <f t="shared" si="13"/>
        <v>KY</v>
      </c>
      <c r="C191" s="469" t="str">
        <f t="shared" si="14"/>
        <v>360</v>
      </c>
      <c r="D191" s="470" t="s">
        <v>1831</v>
      </c>
      <c r="E191" s="468" t="str">
        <f t="shared" si="15"/>
        <v/>
      </c>
      <c r="F191" s="469">
        <v>0</v>
      </c>
      <c r="G191" s="469">
        <v>0</v>
      </c>
      <c r="H191" s="469">
        <v>0</v>
      </c>
      <c r="I191" s="469">
        <v>0</v>
      </c>
      <c r="J191" s="469">
        <v>0</v>
      </c>
      <c r="K191" s="469">
        <v>0</v>
      </c>
      <c r="L191" s="469">
        <v>0</v>
      </c>
      <c r="M191" s="469">
        <v>0</v>
      </c>
      <c r="N191" s="469">
        <v>0</v>
      </c>
      <c r="O191" s="469">
        <v>8.1309999999999993E-2</v>
      </c>
      <c r="P191" s="469">
        <v>0</v>
      </c>
      <c r="Q191" s="469">
        <v>746.98954000000003</v>
      </c>
      <c r="R191" s="469">
        <v>0</v>
      </c>
      <c r="S191" s="469">
        <v>0</v>
      </c>
      <c r="T191" s="469">
        <f t="shared" si="16"/>
        <v>747.07085000000006</v>
      </c>
    </row>
    <row r="192" spans="1:20" s="469" customFormat="1">
      <c r="A192" s="469" t="str">
        <f t="shared" si="12"/>
        <v>KU</v>
      </c>
      <c r="B192" s="469" t="str">
        <f t="shared" si="13"/>
        <v>VA</v>
      </c>
      <c r="C192" s="469" t="str">
        <f t="shared" si="14"/>
        <v>360</v>
      </c>
      <c r="D192" s="470" t="s">
        <v>1833</v>
      </c>
      <c r="E192" s="468" t="str">
        <f t="shared" si="15"/>
        <v/>
      </c>
      <c r="F192" s="469">
        <v>0</v>
      </c>
      <c r="G192" s="469">
        <v>0</v>
      </c>
      <c r="H192" s="469">
        <v>0</v>
      </c>
      <c r="I192" s="469">
        <v>0</v>
      </c>
      <c r="J192" s="469">
        <v>0</v>
      </c>
      <c r="K192" s="469">
        <v>0</v>
      </c>
      <c r="L192" s="469">
        <v>0</v>
      </c>
      <c r="M192" s="469">
        <v>0</v>
      </c>
      <c r="N192" s="469">
        <v>0</v>
      </c>
      <c r="O192" s="469">
        <v>0</v>
      </c>
      <c r="P192" s="469">
        <v>0</v>
      </c>
      <c r="Q192" s="469">
        <v>150</v>
      </c>
      <c r="R192" s="469">
        <v>0</v>
      </c>
      <c r="S192" s="469">
        <v>0</v>
      </c>
      <c r="T192" s="469">
        <f t="shared" si="16"/>
        <v>150</v>
      </c>
    </row>
    <row r="193" spans="1:20" s="469" customFormat="1">
      <c r="A193" s="469" t="str">
        <f t="shared" si="12"/>
        <v>KU</v>
      </c>
      <c r="B193" s="469" t="str">
        <f t="shared" si="13"/>
        <v>KY</v>
      </c>
      <c r="C193" s="469" t="str">
        <f t="shared" si="14"/>
        <v>361</v>
      </c>
      <c r="D193" s="470" t="s">
        <v>1834</v>
      </c>
      <c r="E193" s="468" t="str">
        <f t="shared" si="15"/>
        <v/>
      </c>
      <c r="F193" s="469">
        <v>1647.8442500000001</v>
      </c>
      <c r="G193" s="469">
        <v>-2.9769999999999999</v>
      </c>
      <c r="H193" s="469">
        <v>-15.666180000000001</v>
      </c>
      <c r="I193" s="469">
        <v>24.027139999999999</v>
      </c>
      <c r="J193" s="469">
        <v>37.60736</v>
      </c>
      <c r="K193" s="469">
        <v>-14.295159999999999</v>
      </c>
      <c r="L193" s="469">
        <v>33.480969999999999</v>
      </c>
      <c r="M193" s="469">
        <v>20.85172</v>
      </c>
      <c r="N193" s="469">
        <v>0</v>
      </c>
      <c r="O193" s="469">
        <v>0</v>
      </c>
      <c r="P193" s="469">
        <v>0</v>
      </c>
      <c r="Q193" s="469">
        <v>62.234749999999998</v>
      </c>
      <c r="R193" s="469">
        <v>0</v>
      </c>
      <c r="S193" s="469">
        <v>0</v>
      </c>
      <c r="T193" s="469">
        <f t="shared" si="16"/>
        <v>148.2406</v>
      </c>
    </row>
    <row r="194" spans="1:20" s="469" customFormat="1">
      <c r="A194" s="469" t="str">
        <f t="shared" si="12"/>
        <v>KU</v>
      </c>
      <c r="B194" s="469" t="str">
        <f t="shared" si="13"/>
        <v>VA</v>
      </c>
      <c r="C194" s="469" t="str">
        <f t="shared" si="14"/>
        <v>361</v>
      </c>
      <c r="D194" s="470" t="s">
        <v>1836</v>
      </c>
      <c r="E194" s="468" t="str">
        <f t="shared" si="15"/>
        <v/>
      </c>
      <c r="F194" s="469">
        <v>0</v>
      </c>
      <c r="G194" s="469">
        <v>0</v>
      </c>
      <c r="H194" s="469">
        <v>0</v>
      </c>
      <c r="I194" s="469">
        <v>0</v>
      </c>
      <c r="J194" s="469">
        <v>0</v>
      </c>
      <c r="K194" s="469">
        <v>0</v>
      </c>
      <c r="L194" s="469">
        <v>8.0389300000000006</v>
      </c>
      <c r="M194" s="469">
        <v>0</v>
      </c>
      <c r="N194" s="469">
        <v>0</v>
      </c>
      <c r="O194" s="469">
        <v>0</v>
      </c>
      <c r="P194" s="469">
        <v>0</v>
      </c>
      <c r="Q194" s="469">
        <v>0</v>
      </c>
      <c r="R194" s="469">
        <v>0</v>
      </c>
      <c r="S194" s="469">
        <v>0</v>
      </c>
      <c r="T194" s="469">
        <f t="shared" si="16"/>
        <v>8.0389300000000006</v>
      </c>
    </row>
    <row r="195" spans="1:20" s="469" customFormat="1">
      <c r="A195" s="469" t="str">
        <f t="shared" si="12"/>
        <v>KU</v>
      </c>
      <c r="B195" s="469" t="str">
        <f t="shared" si="13"/>
        <v>KY</v>
      </c>
      <c r="C195" s="469" t="str">
        <f t="shared" si="14"/>
        <v>362</v>
      </c>
      <c r="D195" s="470" t="s">
        <v>1837</v>
      </c>
      <c r="E195" s="468" t="str">
        <f t="shared" si="15"/>
        <v/>
      </c>
      <c r="F195" s="469">
        <v>4193.0789999999997</v>
      </c>
      <c r="G195" s="469">
        <v>79.299049999999994</v>
      </c>
      <c r="H195" s="469">
        <v>-153.37385</v>
      </c>
      <c r="I195" s="469">
        <v>87.998159999999999</v>
      </c>
      <c r="J195" s="469">
        <v>63.962110000000003</v>
      </c>
      <c r="K195" s="469">
        <v>904.78594999999996</v>
      </c>
      <c r="L195" s="469">
        <v>4.09964</v>
      </c>
      <c r="M195" s="469">
        <v>518.97355000000005</v>
      </c>
      <c r="N195" s="469">
        <v>-77.161699999999996</v>
      </c>
      <c r="O195" s="469">
        <v>175.3724</v>
      </c>
      <c r="P195" s="469">
        <v>0</v>
      </c>
      <c r="Q195" s="469">
        <v>12937.338159999999</v>
      </c>
      <c r="R195" s="469">
        <v>0</v>
      </c>
      <c r="S195" s="469">
        <v>4.58</v>
      </c>
      <c r="T195" s="469">
        <f t="shared" si="16"/>
        <v>14466.574419999999</v>
      </c>
    </row>
    <row r="196" spans="1:20" s="469" customFormat="1">
      <c r="A196" s="469" t="str">
        <f t="shared" si="12"/>
        <v>KU</v>
      </c>
      <c r="B196" s="469" t="str">
        <f t="shared" si="13"/>
        <v>VA</v>
      </c>
      <c r="C196" s="469" t="str">
        <f t="shared" si="14"/>
        <v>362</v>
      </c>
      <c r="D196" s="470" t="s">
        <v>1839</v>
      </c>
      <c r="E196" s="468" t="str">
        <f t="shared" si="15"/>
        <v/>
      </c>
      <c r="F196" s="469">
        <v>29.981809999999999</v>
      </c>
      <c r="G196" s="469">
        <v>0</v>
      </c>
      <c r="H196" s="469">
        <v>120.17126</v>
      </c>
      <c r="I196" s="469">
        <v>15.757059999999999</v>
      </c>
      <c r="J196" s="469">
        <v>-1.4455799999999901</v>
      </c>
      <c r="K196" s="469">
        <v>0</v>
      </c>
      <c r="L196" s="469">
        <v>0</v>
      </c>
      <c r="M196" s="469">
        <v>0</v>
      </c>
      <c r="N196" s="469">
        <v>2.32037</v>
      </c>
      <c r="O196" s="469">
        <v>6</v>
      </c>
      <c r="P196" s="469">
        <v>3.2319499999999999</v>
      </c>
      <c r="Q196" s="469">
        <v>61.815860000000001</v>
      </c>
      <c r="R196" s="469">
        <v>0</v>
      </c>
      <c r="S196" s="469">
        <v>0</v>
      </c>
      <c r="T196" s="469">
        <f t="shared" si="16"/>
        <v>207.85092000000003</v>
      </c>
    </row>
    <row r="197" spans="1:20" s="469" customFormat="1">
      <c r="A197" s="469" t="str">
        <f t="shared" si="12"/>
        <v>KU</v>
      </c>
      <c r="B197" s="469" t="str">
        <f t="shared" si="13"/>
        <v>KY</v>
      </c>
      <c r="C197" s="469" t="str">
        <f t="shared" si="14"/>
        <v>364</v>
      </c>
      <c r="D197" s="470" t="s">
        <v>1840</v>
      </c>
      <c r="E197" s="468" t="str">
        <f t="shared" si="15"/>
        <v/>
      </c>
      <c r="F197" s="469">
        <v>2019.14204</v>
      </c>
      <c r="G197" s="469">
        <v>6396.8130199999996</v>
      </c>
      <c r="H197" s="469">
        <v>272.36266000000001</v>
      </c>
      <c r="I197" s="469">
        <v>1918.94154</v>
      </c>
      <c r="J197" s="469">
        <v>56.229819999999997</v>
      </c>
      <c r="K197" s="469">
        <v>332.25099999999998</v>
      </c>
      <c r="L197" s="469">
        <v>494.65512999999999</v>
      </c>
      <c r="M197" s="469">
        <v>-903.61517000000003</v>
      </c>
      <c r="N197" s="469">
        <v>1908.9984899999999</v>
      </c>
      <c r="O197" s="469">
        <v>533.72411</v>
      </c>
      <c r="P197" s="469">
        <v>487.352969999999</v>
      </c>
      <c r="Q197" s="469">
        <v>6989.73675</v>
      </c>
      <c r="R197" s="469">
        <v>810.46149999999898</v>
      </c>
      <c r="S197" s="469">
        <v>810.75977999999998</v>
      </c>
      <c r="T197" s="469">
        <f t="shared" si="16"/>
        <v>13711.858579999998</v>
      </c>
    </row>
    <row r="198" spans="1:20" s="469" customFormat="1">
      <c r="A198" s="469" t="str">
        <f t="shared" si="12"/>
        <v>KU</v>
      </c>
      <c r="B198" s="469" t="str">
        <f t="shared" si="13"/>
        <v>VA</v>
      </c>
      <c r="C198" s="469" t="str">
        <f t="shared" si="14"/>
        <v>364</v>
      </c>
      <c r="D198" s="470" t="s">
        <v>1842</v>
      </c>
      <c r="E198" s="468" t="str">
        <f t="shared" si="15"/>
        <v/>
      </c>
      <c r="F198" s="469">
        <v>64.438479999999998</v>
      </c>
      <c r="G198" s="469">
        <v>331.72064999999998</v>
      </c>
      <c r="H198" s="469">
        <v>23.892320000000002</v>
      </c>
      <c r="I198" s="469">
        <v>74.259709999999998</v>
      </c>
      <c r="J198" s="469">
        <v>143.31151</v>
      </c>
      <c r="K198" s="469">
        <v>6.9203999999999999</v>
      </c>
      <c r="L198" s="469">
        <v>111.06621</v>
      </c>
      <c r="M198" s="469">
        <v>-67.445039999999906</v>
      </c>
      <c r="N198" s="469">
        <v>243.15931</v>
      </c>
      <c r="O198" s="469">
        <v>765.28485999999998</v>
      </c>
      <c r="P198" s="469">
        <v>-19.84534</v>
      </c>
      <c r="Q198" s="469">
        <v>465.83044999999998</v>
      </c>
      <c r="R198" s="469">
        <v>21.96011</v>
      </c>
      <c r="S198" s="469">
        <v>20.191649999999999</v>
      </c>
      <c r="T198" s="469">
        <f t="shared" si="16"/>
        <v>1788.5861499999999</v>
      </c>
    </row>
    <row r="199" spans="1:20" s="469" customFormat="1">
      <c r="A199" s="469" t="str">
        <f t="shared" si="12"/>
        <v>KU</v>
      </c>
      <c r="B199" s="469" t="str">
        <f t="shared" si="13"/>
        <v>KY</v>
      </c>
      <c r="C199" s="469" t="str">
        <f t="shared" si="14"/>
        <v>365</v>
      </c>
      <c r="D199" s="470" t="s">
        <v>1843</v>
      </c>
      <c r="E199" s="468" t="str">
        <f t="shared" si="15"/>
        <v/>
      </c>
      <c r="F199" s="469">
        <v>3810.4820800000002</v>
      </c>
      <c r="G199" s="469">
        <v>5733.6981299999998</v>
      </c>
      <c r="H199" s="469">
        <v>831.86344999999994</v>
      </c>
      <c r="I199" s="469">
        <v>2201.0582999999901</v>
      </c>
      <c r="J199" s="469">
        <v>2059.1160199999999</v>
      </c>
      <c r="K199" s="469">
        <v>806.54416000000003</v>
      </c>
      <c r="L199" s="469">
        <v>2710.02477</v>
      </c>
      <c r="M199" s="469">
        <v>451.66687999999999</v>
      </c>
      <c r="N199" s="469">
        <v>4359.4204600000003</v>
      </c>
      <c r="O199" s="469">
        <v>1913.49512</v>
      </c>
      <c r="P199" s="469">
        <v>1611.7367799999899</v>
      </c>
      <c r="Q199" s="469">
        <v>9374.1713399999899</v>
      </c>
      <c r="R199" s="469">
        <v>1765.5395799999999</v>
      </c>
      <c r="S199" s="469">
        <v>1662.7320199999999</v>
      </c>
      <c r="T199" s="469">
        <f t="shared" si="16"/>
        <v>29747.368879999969</v>
      </c>
    </row>
    <row r="200" spans="1:20" s="469" customFormat="1">
      <c r="A200" s="469" t="str">
        <f t="shared" si="12"/>
        <v>KU</v>
      </c>
      <c r="B200" s="469" t="str">
        <f t="shared" si="13"/>
        <v>VA</v>
      </c>
      <c r="C200" s="469" t="str">
        <f t="shared" si="14"/>
        <v>365</v>
      </c>
      <c r="D200" s="470" t="s">
        <v>1845</v>
      </c>
      <c r="E200" s="468" t="str">
        <f t="shared" si="15"/>
        <v/>
      </c>
      <c r="F200" s="469">
        <v>116.17084</v>
      </c>
      <c r="G200" s="469">
        <v>411.93200000000002</v>
      </c>
      <c r="H200" s="469">
        <v>20.901599999999998</v>
      </c>
      <c r="I200" s="469">
        <v>88.530670000000001</v>
      </c>
      <c r="J200" s="469">
        <v>153.18271999999999</v>
      </c>
      <c r="K200" s="469">
        <v>6.9203900000000003</v>
      </c>
      <c r="L200" s="469">
        <v>130.44069999999999</v>
      </c>
      <c r="M200" s="469">
        <v>20.40766</v>
      </c>
      <c r="N200" s="469">
        <v>621.83333000000005</v>
      </c>
      <c r="O200" s="469">
        <v>256.646559999999</v>
      </c>
      <c r="P200" s="469">
        <v>117.09824999999999</v>
      </c>
      <c r="Q200" s="469">
        <v>326.47408999999999</v>
      </c>
      <c r="R200" s="469">
        <v>133.30851000000001</v>
      </c>
      <c r="S200" s="469">
        <v>141.68689000000001</v>
      </c>
      <c r="T200" s="469">
        <f t="shared" si="16"/>
        <v>2017.4313699999991</v>
      </c>
    </row>
    <row r="201" spans="1:20" s="469" customFormat="1">
      <c r="A201" s="469" t="str">
        <f t="shared" si="12"/>
        <v>KU</v>
      </c>
      <c r="B201" s="469" t="str">
        <f t="shared" si="13"/>
        <v>KY</v>
      </c>
      <c r="C201" s="469" t="str">
        <f t="shared" si="14"/>
        <v>366</v>
      </c>
      <c r="D201" s="470" t="s">
        <v>1846</v>
      </c>
      <c r="E201" s="468" t="str">
        <f t="shared" si="15"/>
        <v/>
      </c>
      <c r="F201" s="469">
        <v>125.44577</v>
      </c>
      <c r="G201" s="469">
        <v>0</v>
      </c>
      <c r="H201" s="469">
        <v>0</v>
      </c>
      <c r="I201" s="469">
        <v>0</v>
      </c>
      <c r="J201" s="469">
        <v>0</v>
      </c>
      <c r="K201" s="469">
        <v>0</v>
      </c>
      <c r="L201" s="469">
        <v>0</v>
      </c>
      <c r="M201" s="469">
        <v>207.44627</v>
      </c>
      <c r="N201" s="469">
        <v>0</v>
      </c>
      <c r="O201" s="469">
        <v>0</v>
      </c>
      <c r="P201" s="469">
        <v>0</v>
      </c>
      <c r="Q201" s="469">
        <v>0</v>
      </c>
      <c r="R201" s="469">
        <v>0</v>
      </c>
      <c r="S201" s="469">
        <v>0</v>
      </c>
      <c r="T201" s="469">
        <f t="shared" si="16"/>
        <v>207.44627</v>
      </c>
    </row>
    <row r="202" spans="1:20" s="469" customFormat="1">
      <c r="A202" s="469" t="str">
        <f t="shared" si="12"/>
        <v>KU</v>
      </c>
      <c r="B202" s="469" t="str">
        <f t="shared" si="13"/>
        <v>KY</v>
      </c>
      <c r="C202" s="469" t="str">
        <f t="shared" si="14"/>
        <v>367</v>
      </c>
      <c r="D202" s="470" t="s">
        <v>1847</v>
      </c>
      <c r="E202" s="468" t="str">
        <f t="shared" si="15"/>
        <v/>
      </c>
      <c r="F202" s="469">
        <v>1525.48062</v>
      </c>
      <c r="G202" s="469">
        <v>874.79349000000002</v>
      </c>
      <c r="H202" s="469">
        <v>41.19</v>
      </c>
      <c r="I202" s="469">
        <v>1702.08941</v>
      </c>
      <c r="J202" s="469">
        <v>924.60295999999903</v>
      </c>
      <c r="K202" s="469">
        <v>69.914709999999999</v>
      </c>
      <c r="L202" s="469">
        <v>897.80876999999998</v>
      </c>
      <c r="M202" s="469">
        <v>-1775.3366100000001</v>
      </c>
      <c r="N202" s="469">
        <v>1052.02361</v>
      </c>
      <c r="O202" s="469">
        <v>1375.0691099999999</v>
      </c>
      <c r="P202" s="469">
        <v>1128.0273299999999</v>
      </c>
      <c r="Q202" s="469">
        <v>1026.10455</v>
      </c>
      <c r="R202" s="469">
        <v>1189.5147099999999</v>
      </c>
      <c r="S202" s="469">
        <v>1068.94715</v>
      </c>
      <c r="T202" s="469">
        <f t="shared" si="16"/>
        <v>8699.9556999999986</v>
      </c>
    </row>
    <row r="203" spans="1:20" s="469" customFormat="1">
      <c r="A203" s="469" t="str">
        <f t="shared" si="12"/>
        <v>KU</v>
      </c>
      <c r="B203" s="469" t="str">
        <f t="shared" si="13"/>
        <v>VA</v>
      </c>
      <c r="C203" s="469" t="str">
        <f t="shared" si="14"/>
        <v>367</v>
      </c>
      <c r="D203" s="470" t="s">
        <v>1848</v>
      </c>
      <c r="E203" s="468" t="str">
        <f t="shared" si="15"/>
        <v/>
      </c>
      <c r="F203" s="469">
        <v>45.200609999999998</v>
      </c>
      <c r="G203" s="469">
        <v>37.831870000000002</v>
      </c>
      <c r="H203" s="469">
        <v>20.691559999999999</v>
      </c>
      <c r="I203" s="469">
        <v>71.636649999999904</v>
      </c>
      <c r="J203" s="469">
        <v>36.668959999999998</v>
      </c>
      <c r="K203" s="469">
        <v>8.5439599999999896</v>
      </c>
      <c r="L203" s="469">
        <v>-108.02974</v>
      </c>
      <c r="M203" s="469">
        <v>31.643000000000001</v>
      </c>
      <c r="N203" s="469">
        <v>47.106569999999898</v>
      </c>
      <c r="O203" s="469">
        <v>15.20092</v>
      </c>
      <c r="P203" s="469">
        <v>52.556959999999997</v>
      </c>
      <c r="Q203" s="469">
        <v>921.36773000000005</v>
      </c>
      <c r="R203" s="469">
        <v>43.026710000000001</v>
      </c>
      <c r="S203" s="469">
        <v>31.91168</v>
      </c>
      <c r="T203" s="469">
        <f t="shared" si="16"/>
        <v>1172.3249599999999</v>
      </c>
    </row>
    <row r="204" spans="1:20" s="469" customFormat="1">
      <c r="A204" s="469" t="str">
        <f t="shared" si="12"/>
        <v>KU</v>
      </c>
      <c r="B204" s="469" t="str">
        <f t="shared" si="13"/>
        <v>KY</v>
      </c>
      <c r="C204" s="469" t="str">
        <f t="shared" si="14"/>
        <v>368</v>
      </c>
      <c r="D204" s="470" t="s">
        <v>1849</v>
      </c>
      <c r="E204" s="468" t="str">
        <f t="shared" si="15"/>
        <v/>
      </c>
      <c r="F204" s="469">
        <v>310.99826000000002</v>
      </c>
      <c r="G204" s="469">
        <v>294.87473999999997</v>
      </c>
      <c r="H204" s="469">
        <v>741.71736999999996</v>
      </c>
      <c r="I204" s="469">
        <v>11.84008</v>
      </c>
      <c r="J204" s="469">
        <v>2139.1039500000002</v>
      </c>
      <c r="K204" s="469">
        <v>133.79252</v>
      </c>
      <c r="L204" s="469">
        <v>423.39067999999997</v>
      </c>
      <c r="M204" s="469">
        <v>679.20889</v>
      </c>
      <c r="N204" s="469">
        <v>900.26018999999997</v>
      </c>
      <c r="O204" s="469">
        <v>893.16880000000003</v>
      </c>
      <c r="P204" s="469">
        <v>906.81845999999996</v>
      </c>
      <c r="Q204" s="469">
        <v>935.49937</v>
      </c>
      <c r="R204" s="469">
        <v>308.33069999999998</v>
      </c>
      <c r="S204" s="469">
        <v>721.44525999999905</v>
      </c>
      <c r="T204" s="469">
        <f t="shared" si="16"/>
        <v>8794.5762699999996</v>
      </c>
    </row>
    <row r="205" spans="1:20" s="469" customFormat="1">
      <c r="A205" s="469" t="str">
        <f t="shared" si="12"/>
        <v>KU</v>
      </c>
      <c r="B205" s="469" t="str">
        <f t="shared" si="13"/>
        <v>VA</v>
      </c>
      <c r="C205" s="469" t="str">
        <f t="shared" si="14"/>
        <v>368</v>
      </c>
      <c r="D205" s="470" t="s">
        <v>1851</v>
      </c>
      <c r="E205" s="468" t="str">
        <f t="shared" si="15"/>
        <v/>
      </c>
      <c r="F205" s="469">
        <v>0</v>
      </c>
      <c r="G205" s="469">
        <v>0</v>
      </c>
      <c r="H205" s="469">
        <v>0</v>
      </c>
      <c r="I205" s="469">
        <v>0</v>
      </c>
      <c r="J205" s="469">
        <v>2.5710299999999999</v>
      </c>
      <c r="K205" s="469">
        <v>0</v>
      </c>
      <c r="L205" s="469">
        <v>0</v>
      </c>
      <c r="M205" s="469">
        <v>13.759679999999999</v>
      </c>
      <c r="N205" s="469">
        <v>0</v>
      </c>
      <c r="O205" s="469">
        <v>0</v>
      </c>
      <c r="P205" s="469">
        <v>0</v>
      </c>
      <c r="Q205" s="469">
        <v>0</v>
      </c>
      <c r="R205" s="469">
        <v>0</v>
      </c>
      <c r="S205" s="469">
        <v>0</v>
      </c>
      <c r="T205" s="469">
        <f t="shared" si="16"/>
        <v>16.33071</v>
      </c>
    </row>
    <row r="206" spans="1:20" s="469" customFormat="1">
      <c r="A206" s="469" t="str">
        <f t="shared" si="12"/>
        <v>KU</v>
      </c>
      <c r="B206" s="469" t="str">
        <f t="shared" si="13"/>
        <v>KY</v>
      </c>
      <c r="C206" s="469" t="str">
        <f t="shared" si="14"/>
        <v>369</v>
      </c>
      <c r="D206" s="470" t="s">
        <v>1852</v>
      </c>
      <c r="E206" s="468" t="str">
        <f t="shared" si="15"/>
        <v/>
      </c>
      <c r="F206" s="469">
        <v>55.912109999999998</v>
      </c>
      <c r="G206" s="469">
        <v>21.544370000000001</v>
      </c>
      <c r="H206" s="469">
        <v>0</v>
      </c>
      <c r="I206" s="469">
        <v>54.575710000000001</v>
      </c>
      <c r="J206" s="469">
        <v>29.306979999999999</v>
      </c>
      <c r="K206" s="469">
        <v>0</v>
      </c>
      <c r="L206" s="469">
        <v>27.660129999999999</v>
      </c>
      <c r="M206" s="469">
        <v>7703.7773900000002</v>
      </c>
      <c r="N206" s="469">
        <v>-62.367179999999998</v>
      </c>
      <c r="O206" s="469">
        <v>0</v>
      </c>
      <c r="P206" s="469">
        <v>0</v>
      </c>
      <c r="Q206" s="469">
        <v>0</v>
      </c>
      <c r="R206" s="469">
        <v>0</v>
      </c>
      <c r="S206" s="469">
        <v>0</v>
      </c>
      <c r="T206" s="469">
        <f t="shared" si="16"/>
        <v>7752.9530299999997</v>
      </c>
    </row>
    <row r="207" spans="1:20" s="469" customFormat="1">
      <c r="A207" s="469" t="str">
        <f t="shared" si="12"/>
        <v>KU</v>
      </c>
      <c r="B207" s="469" t="str">
        <f t="shared" si="13"/>
        <v>VA</v>
      </c>
      <c r="C207" s="469" t="str">
        <f t="shared" si="14"/>
        <v>369</v>
      </c>
      <c r="D207" s="470" t="s">
        <v>1854</v>
      </c>
      <c r="E207" s="468" t="str">
        <f t="shared" si="15"/>
        <v/>
      </c>
      <c r="F207" s="469">
        <v>0</v>
      </c>
      <c r="G207" s="469">
        <v>0</v>
      </c>
      <c r="H207" s="469">
        <v>0</v>
      </c>
      <c r="I207" s="469">
        <v>0</v>
      </c>
      <c r="J207" s="469">
        <v>0</v>
      </c>
      <c r="K207" s="469">
        <v>0</v>
      </c>
      <c r="L207" s="469">
        <v>0</v>
      </c>
      <c r="M207" s="469">
        <v>287.84431000000001</v>
      </c>
      <c r="N207" s="469">
        <v>0</v>
      </c>
      <c r="O207" s="469">
        <v>0</v>
      </c>
      <c r="P207" s="469">
        <v>0</v>
      </c>
      <c r="Q207" s="469">
        <v>0</v>
      </c>
      <c r="R207" s="469">
        <v>0</v>
      </c>
      <c r="S207" s="469">
        <v>0</v>
      </c>
      <c r="T207" s="469">
        <f t="shared" si="16"/>
        <v>287.84431000000001</v>
      </c>
    </row>
    <row r="208" spans="1:20" s="469" customFormat="1">
      <c r="A208" s="469" t="str">
        <f t="shared" si="12"/>
        <v>KU</v>
      </c>
      <c r="B208" s="469" t="str">
        <f t="shared" si="13"/>
        <v>KY</v>
      </c>
      <c r="C208" s="469" t="str">
        <f t="shared" si="14"/>
        <v>370</v>
      </c>
      <c r="D208" s="470" t="s">
        <v>1855</v>
      </c>
      <c r="E208" s="468" t="str">
        <f t="shared" ref="E208:E228" si="17">IF(ISTEXT(MID($D208,SEARCH("FUTURE USE",$D208),3)),"FUTURE USE",IF(ISTEXT(MID($D208,SEARCH("ECR",$D208),3)),"ECR",IF(ISTEXT(MID($D208,SEARCH("ARO",$D208),3)),"ARO",IF(ISTEXT(MID($D208,SEARCH("DSM",$D208),3)),"DSM",""))))</f>
        <v/>
      </c>
      <c r="F208" s="469">
        <v>49.80742</v>
      </c>
      <c r="G208" s="469">
        <v>112.38355</v>
      </c>
      <c r="H208" s="469">
        <v>378.76990000000001</v>
      </c>
      <c r="I208" s="469">
        <v>153.63533000000001</v>
      </c>
      <c r="J208" s="469">
        <v>128.65401</v>
      </c>
      <c r="K208" s="469">
        <v>85.302139999999994</v>
      </c>
      <c r="L208" s="469">
        <v>56.34084</v>
      </c>
      <c r="M208" s="469">
        <v>329.08411000000001</v>
      </c>
      <c r="N208" s="469">
        <v>173.26033000000001</v>
      </c>
      <c r="O208" s="469">
        <v>164.00899999999999</v>
      </c>
      <c r="P208" s="469">
        <v>118.94</v>
      </c>
      <c r="Q208" s="469">
        <v>12.507</v>
      </c>
      <c r="R208" s="469">
        <v>54.493319999999997</v>
      </c>
      <c r="S208" s="469">
        <v>247.15809999999999</v>
      </c>
      <c r="T208" s="469">
        <f t="shared" si="16"/>
        <v>1902.1540800000002</v>
      </c>
    </row>
    <row r="209" spans="1:20" s="469" customFormat="1">
      <c r="A209" s="469" t="str">
        <f t="shared" si="12"/>
        <v>KU</v>
      </c>
      <c r="B209" s="469" t="str">
        <f t="shared" si="13"/>
        <v>VA</v>
      </c>
      <c r="C209" s="469" t="str">
        <f t="shared" si="14"/>
        <v>370</v>
      </c>
      <c r="D209" s="470" t="s">
        <v>1857</v>
      </c>
      <c r="E209" s="468" t="str">
        <f t="shared" si="17"/>
        <v/>
      </c>
      <c r="F209" s="469">
        <v>19.89837</v>
      </c>
      <c r="G209" s="469">
        <v>56.191780000000001</v>
      </c>
      <c r="H209" s="469">
        <v>-166.09404000000001</v>
      </c>
      <c r="I209" s="469">
        <v>76.817670000000007</v>
      </c>
      <c r="J209" s="469">
        <v>64.326999999999998</v>
      </c>
      <c r="K209" s="469">
        <v>42.651069999999997</v>
      </c>
      <c r="L209" s="469">
        <v>28.170439999999999</v>
      </c>
      <c r="M209" s="469">
        <v>-216.56473</v>
      </c>
      <c r="N209" s="469">
        <v>0</v>
      </c>
      <c r="O209" s="469">
        <v>0</v>
      </c>
      <c r="P209" s="469">
        <v>0</v>
      </c>
      <c r="Q209" s="469">
        <v>0</v>
      </c>
      <c r="R209" s="469">
        <v>0</v>
      </c>
      <c r="S209" s="469">
        <v>0</v>
      </c>
      <c r="T209" s="469">
        <f t="shared" ref="T209:T228" si="18">SUM(H209:S209)</f>
        <v>-170.69259</v>
      </c>
    </row>
    <row r="210" spans="1:20" s="469" customFormat="1">
      <c r="A210" s="469" t="str">
        <f t="shared" si="12"/>
        <v>KU</v>
      </c>
      <c r="B210" s="469" t="str">
        <f t="shared" si="13"/>
        <v>KY</v>
      </c>
      <c r="C210" s="469" t="str">
        <f t="shared" si="14"/>
        <v>371</v>
      </c>
      <c r="D210" s="470" t="s">
        <v>1858</v>
      </c>
      <c r="E210" s="468" t="str">
        <f t="shared" si="17"/>
        <v/>
      </c>
      <c r="F210" s="469">
        <v>0</v>
      </c>
      <c r="G210" s="469">
        <v>0</v>
      </c>
      <c r="H210" s="469">
        <v>0</v>
      </c>
      <c r="I210" s="469">
        <v>0</v>
      </c>
      <c r="J210" s="469">
        <v>0</v>
      </c>
      <c r="K210" s="469">
        <v>0</v>
      </c>
      <c r="L210" s="469">
        <v>0</v>
      </c>
      <c r="M210" s="469">
        <v>0</v>
      </c>
      <c r="N210" s="469">
        <v>48.5</v>
      </c>
      <c r="O210" s="469">
        <v>24.25</v>
      </c>
      <c r="P210" s="469">
        <v>24.25</v>
      </c>
      <c r="Q210" s="469">
        <v>97</v>
      </c>
      <c r="R210" s="469">
        <v>7.9166699999999999</v>
      </c>
      <c r="S210" s="469">
        <v>7.9166699999999999</v>
      </c>
      <c r="T210" s="469">
        <f t="shared" si="18"/>
        <v>209.83334000000002</v>
      </c>
    </row>
    <row r="211" spans="1:20" s="469" customFormat="1">
      <c r="A211" s="469" t="str">
        <f t="shared" si="12"/>
        <v>KU</v>
      </c>
      <c r="B211" s="469" t="str">
        <f t="shared" si="13"/>
        <v>KY</v>
      </c>
      <c r="C211" s="469" t="str">
        <f t="shared" si="14"/>
        <v>373</v>
      </c>
      <c r="D211" s="470" t="s">
        <v>1860</v>
      </c>
      <c r="E211" s="468" t="str">
        <f t="shared" si="17"/>
        <v/>
      </c>
      <c r="F211" s="469">
        <v>963.03922</v>
      </c>
      <c r="G211" s="469">
        <v>502.81885</v>
      </c>
      <c r="H211" s="469">
        <v>44.757460000000002</v>
      </c>
      <c r="I211" s="469">
        <v>1030.1468299999999</v>
      </c>
      <c r="J211" s="469">
        <v>466.10309999999998</v>
      </c>
      <c r="K211" s="469">
        <v>8.9206399999999899</v>
      </c>
      <c r="L211" s="469">
        <v>2632.3056799999999</v>
      </c>
      <c r="M211" s="469">
        <v>-1058.41599</v>
      </c>
      <c r="N211" s="469">
        <v>427.53798</v>
      </c>
      <c r="O211" s="469">
        <v>592.71699000000001</v>
      </c>
      <c r="P211" s="469">
        <v>531.67349000000002</v>
      </c>
      <c r="Q211" s="469">
        <v>452.33145999999999</v>
      </c>
      <c r="R211" s="469">
        <v>577.97690999999998</v>
      </c>
      <c r="S211" s="469">
        <v>538.41090999999994</v>
      </c>
      <c r="T211" s="469">
        <f t="shared" si="18"/>
        <v>6244.4654600000013</v>
      </c>
    </row>
    <row r="212" spans="1:20" s="469" customFormat="1">
      <c r="A212" s="469" t="str">
        <f t="shared" si="12"/>
        <v>KU</v>
      </c>
      <c r="B212" s="469" t="str">
        <f t="shared" si="13"/>
        <v>VA</v>
      </c>
      <c r="C212" s="469" t="str">
        <f t="shared" si="14"/>
        <v>373</v>
      </c>
      <c r="D212" s="470" t="s">
        <v>1861</v>
      </c>
      <c r="E212" s="468" t="str">
        <f t="shared" si="17"/>
        <v/>
      </c>
      <c r="F212" s="469">
        <v>29.693860000000001</v>
      </c>
      <c r="G212" s="469">
        <v>57.047910000000002</v>
      </c>
      <c r="H212" s="469">
        <v>5.9360499999999998</v>
      </c>
      <c r="I212" s="469">
        <v>36.68206</v>
      </c>
      <c r="J212" s="469">
        <v>36.677010000000003</v>
      </c>
      <c r="K212" s="469">
        <v>1.62354</v>
      </c>
      <c r="L212" s="469">
        <v>82.397300000000001</v>
      </c>
      <c r="M212" s="469">
        <v>15.74108</v>
      </c>
      <c r="N212" s="469">
        <v>27.331569999999999</v>
      </c>
      <c r="O212" s="469">
        <v>-38.190750000000001</v>
      </c>
      <c r="P212" s="469">
        <v>33.475909999999999</v>
      </c>
      <c r="Q212" s="469">
        <v>26.399979999999999</v>
      </c>
      <c r="R212" s="469">
        <v>15.920079999999899</v>
      </c>
      <c r="S212" s="469">
        <v>14.64007</v>
      </c>
      <c r="T212" s="469">
        <f t="shared" si="18"/>
        <v>258.63389999999993</v>
      </c>
    </row>
    <row r="213" spans="1:20" s="469" customFormat="1">
      <c r="A213" s="469" t="str">
        <f t="shared" si="12"/>
        <v>KU</v>
      </c>
      <c r="B213" s="469" t="str">
        <f t="shared" si="13"/>
        <v>KY</v>
      </c>
      <c r="C213" s="469" t="str">
        <f t="shared" si="14"/>
        <v>389</v>
      </c>
      <c r="D213" s="470" t="s">
        <v>1863</v>
      </c>
      <c r="E213" s="468" t="str">
        <f t="shared" si="17"/>
        <v/>
      </c>
      <c r="F213" s="469">
        <v>0</v>
      </c>
      <c r="G213" s="469">
        <v>0</v>
      </c>
      <c r="H213" s="469">
        <v>0</v>
      </c>
      <c r="I213" s="469">
        <v>0</v>
      </c>
      <c r="J213" s="469">
        <v>0</v>
      </c>
      <c r="K213" s="469">
        <v>0</v>
      </c>
      <c r="L213" s="469">
        <v>131.95631</v>
      </c>
      <c r="M213" s="469">
        <v>171.69220999999999</v>
      </c>
      <c r="N213" s="469">
        <v>-0.69134999999999902</v>
      </c>
      <c r="O213" s="469">
        <v>0</v>
      </c>
      <c r="P213" s="469">
        <v>0</v>
      </c>
      <c r="Q213" s="469">
        <v>0</v>
      </c>
      <c r="R213" s="469">
        <v>0</v>
      </c>
      <c r="S213" s="469">
        <v>0</v>
      </c>
      <c r="T213" s="469">
        <f t="shared" si="18"/>
        <v>302.95716999999996</v>
      </c>
    </row>
    <row r="214" spans="1:20" s="469" customFormat="1">
      <c r="A214" s="469" t="str">
        <f t="shared" si="12"/>
        <v>KU</v>
      </c>
      <c r="B214" s="469" t="str">
        <f t="shared" si="13"/>
        <v>VA</v>
      </c>
      <c r="C214" s="469" t="str">
        <f t="shared" si="14"/>
        <v>389</v>
      </c>
      <c r="D214" s="470" t="s">
        <v>1864</v>
      </c>
      <c r="E214" s="468" t="str">
        <f t="shared" si="17"/>
        <v/>
      </c>
      <c r="F214" s="469">
        <v>0</v>
      </c>
      <c r="G214" s="469">
        <v>0</v>
      </c>
      <c r="H214" s="469">
        <v>0</v>
      </c>
      <c r="I214" s="469">
        <v>0</v>
      </c>
      <c r="J214" s="469">
        <v>0</v>
      </c>
      <c r="K214" s="469">
        <v>0</v>
      </c>
      <c r="L214" s="469">
        <v>300.02773999999999</v>
      </c>
      <c r="M214" s="469">
        <v>0</v>
      </c>
      <c r="N214" s="469">
        <v>-2.2744399999999998</v>
      </c>
      <c r="O214" s="469">
        <v>0</v>
      </c>
      <c r="P214" s="469">
        <v>0</v>
      </c>
      <c r="Q214" s="469">
        <v>0</v>
      </c>
      <c r="R214" s="469">
        <v>0</v>
      </c>
      <c r="S214" s="469">
        <v>0</v>
      </c>
      <c r="T214" s="469">
        <f t="shared" si="18"/>
        <v>297.75329999999997</v>
      </c>
    </row>
    <row r="215" spans="1:20" s="469" customFormat="1">
      <c r="A215" s="469" t="str">
        <f t="shared" si="12"/>
        <v>KU</v>
      </c>
      <c r="B215" s="469" t="str">
        <f t="shared" si="13"/>
        <v>KY</v>
      </c>
      <c r="C215" s="469" t="str">
        <f t="shared" si="14"/>
        <v>390</v>
      </c>
      <c r="D215" s="470" t="s">
        <v>1865</v>
      </c>
      <c r="E215" s="468" t="str">
        <f t="shared" si="17"/>
        <v/>
      </c>
      <c r="F215" s="469">
        <v>0</v>
      </c>
      <c r="G215" s="469">
        <v>0</v>
      </c>
      <c r="H215" s="469">
        <v>1.26631</v>
      </c>
      <c r="I215" s="469">
        <v>0</v>
      </c>
      <c r="J215" s="469">
        <v>0</v>
      </c>
      <c r="K215" s="469">
        <v>0</v>
      </c>
      <c r="L215" s="469">
        <v>5.5650000000000004</v>
      </c>
      <c r="M215" s="469">
        <v>0</v>
      </c>
      <c r="N215" s="469">
        <v>0</v>
      </c>
      <c r="O215" s="469">
        <v>0</v>
      </c>
      <c r="P215" s="469">
        <v>0</v>
      </c>
      <c r="Q215" s="469">
        <v>0</v>
      </c>
      <c r="R215" s="469">
        <v>0</v>
      </c>
      <c r="S215" s="469">
        <v>0</v>
      </c>
      <c r="T215" s="469">
        <f t="shared" si="18"/>
        <v>6.8313100000000002</v>
      </c>
    </row>
    <row r="216" spans="1:20" s="469" customFormat="1">
      <c r="A216" s="469" t="str">
        <f t="shared" si="12"/>
        <v>KU</v>
      </c>
      <c r="B216" s="469" t="str">
        <f t="shared" si="13"/>
        <v>KY</v>
      </c>
      <c r="C216" s="469" t="str">
        <f t="shared" si="14"/>
        <v>390</v>
      </c>
      <c r="D216" s="470" t="s">
        <v>1866</v>
      </c>
      <c r="E216" s="468" t="str">
        <f t="shared" si="17"/>
        <v/>
      </c>
      <c r="F216" s="469">
        <v>34.321489999999997</v>
      </c>
      <c r="G216" s="469">
        <v>122.99538</v>
      </c>
      <c r="H216" s="469">
        <v>113.19489</v>
      </c>
      <c r="I216" s="469">
        <v>135.81943000000001</v>
      </c>
      <c r="J216" s="469">
        <v>414.997309999999</v>
      </c>
      <c r="K216" s="469">
        <v>6.4635400000000001</v>
      </c>
      <c r="L216" s="469">
        <v>112.7201</v>
      </c>
      <c r="M216" s="469">
        <v>-10.44778</v>
      </c>
      <c r="N216" s="469">
        <v>655.43273999999894</v>
      </c>
      <c r="O216" s="469">
        <v>210</v>
      </c>
      <c r="P216" s="469">
        <v>853.74468999999999</v>
      </c>
      <c r="Q216" s="469">
        <v>1991.7989399999999</v>
      </c>
      <c r="R216" s="469">
        <v>0</v>
      </c>
      <c r="S216" s="469">
        <v>250</v>
      </c>
      <c r="T216" s="469">
        <f t="shared" si="18"/>
        <v>4733.7238599999982</v>
      </c>
    </row>
    <row r="217" spans="1:20" s="469" customFormat="1">
      <c r="A217" s="469" t="str">
        <f t="shared" si="12"/>
        <v>KU</v>
      </c>
      <c r="B217" s="469" t="str">
        <f t="shared" si="13"/>
        <v>VA</v>
      </c>
      <c r="C217" s="469" t="str">
        <f t="shared" si="14"/>
        <v>390</v>
      </c>
      <c r="D217" s="470" t="s">
        <v>1867</v>
      </c>
      <c r="E217" s="468" t="str">
        <f t="shared" si="17"/>
        <v/>
      </c>
      <c r="F217" s="469">
        <v>0</v>
      </c>
      <c r="G217" s="469">
        <v>0</v>
      </c>
      <c r="H217" s="469">
        <v>0</v>
      </c>
      <c r="I217" s="469">
        <v>0</v>
      </c>
      <c r="J217" s="469">
        <v>3.15462</v>
      </c>
      <c r="K217" s="469">
        <v>0</v>
      </c>
      <c r="L217" s="469">
        <v>0</v>
      </c>
      <c r="M217" s="469">
        <v>0</v>
      </c>
      <c r="N217" s="469">
        <v>0</v>
      </c>
      <c r="O217" s="469">
        <v>0</v>
      </c>
      <c r="P217" s="469">
        <v>0</v>
      </c>
      <c r="Q217" s="469">
        <v>0</v>
      </c>
      <c r="R217" s="469">
        <v>0</v>
      </c>
      <c r="S217" s="469">
        <v>0</v>
      </c>
      <c r="T217" s="469">
        <f t="shared" si="18"/>
        <v>3.15462</v>
      </c>
    </row>
    <row r="218" spans="1:20" s="469" customFormat="1">
      <c r="A218" s="469" t="str">
        <f t="shared" si="12"/>
        <v>KU</v>
      </c>
      <c r="B218" s="469" t="str">
        <f t="shared" si="13"/>
        <v>KY</v>
      </c>
      <c r="C218" s="469" t="str">
        <f t="shared" si="14"/>
        <v>391</v>
      </c>
      <c r="D218" s="470" t="s">
        <v>1868</v>
      </c>
      <c r="E218" s="468" t="str">
        <f t="shared" si="17"/>
        <v/>
      </c>
      <c r="F218" s="469">
        <v>22.845949999999998</v>
      </c>
      <c r="G218" s="469">
        <v>-5.6085799999999999</v>
      </c>
      <c r="H218" s="469">
        <v>27.056519999999999</v>
      </c>
      <c r="I218" s="469">
        <v>73.93459</v>
      </c>
      <c r="J218" s="469">
        <v>-16.380690000000001</v>
      </c>
      <c r="K218" s="469">
        <v>135.42875000000001</v>
      </c>
      <c r="L218" s="469">
        <v>-84.321539999999999</v>
      </c>
      <c r="M218" s="469">
        <v>0</v>
      </c>
      <c r="N218" s="469">
        <v>-26.909099999999899</v>
      </c>
      <c r="O218" s="469">
        <v>0</v>
      </c>
      <c r="P218" s="469">
        <v>0</v>
      </c>
      <c r="Q218" s="469">
        <v>1000.18131999999</v>
      </c>
      <c r="R218" s="469">
        <v>8.8858499999999996</v>
      </c>
      <c r="S218" s="469">
        <v>10.030849999999999</v>
      </c>
      <c r="T218" s="469">
        <f t="shared" si="18"/>
        <v>1127.9065499999901</v>
      </c>
    </row>
    <row r="219" spans="1:20" s="469" customFormat="1">
      <c r="A219" s="469" t="str">
        <f t="shared" si="12"/>
        <v>KU</v>
      </c>
      <c r="B219" s="469" t="str">
        <f t="shared" si="13"/>
        <v>KY</v>
      </c>
      <c r="C219" s="469" t="str">
        <f t="shared" si="14"/>
        <v>391</v>
      </c>
      <c r="D219" s="470" t="s">
        <v>1869</v>
      </c>
      <c r="E219" s="468" t="str">
        <f t="shared" si="17"/>
        <v/>
      </c>
      <c r="F219" s="469">
        <v>688.45776000000001</v>
      </c>
      <c r="G219" s="469">
        <v>107.49123</v>
      </c>
      <c r="H219" s="469">
        <v>-8.0654499999999896</v>
      </c>
      <c r="I219" s="469">
        <v>237.50993</v>
      </c>
      <c r="J219" s="469">
        <v>-120.98595</v>
      </c>
      <c r="K219" s="469">
        <v>347.44583999999998</v>
      </c>
      <c r="L219" s="469">
        <v>208.23948999999999</v>
      </c>
      <c r="M219" s="469">
        <v>683.59390999999903</v>
      </c>
      <c r="N219" s="469">
        <v>428.25332999999898</v>
      </c>
      <c r="O219" s="469">
        <v>720.76056000000005</v>
      </c>
      <c r="P219" s="469">
        <v>400.28798</v>
      </c>
      <c r="Q219" s="469">
        <v>4805.1645199999903</v>
      </c>
      <c r="R219" s="469">
        <v>36</v>
      </c>
      <c r="S219" s="469">
        <v>36</v>
      </c>
      <c r="T219" s="469">
        <f t="shared" si="18"/>
        <v>7774.2041599999884</v>
      </c>
    </row>
    <row r="220" spans="1:20" s="469" customFormat="1">
      <c r="A220" s="469" t="str">
        <f t="shared" si="12"/>
        <v>KU</v>
      </c>
      <c r="B220" s="469" t="str">
        <f t="shared" si="13"/>
        <v>KY</v>
      </c>
      <c r="C220" s="469" t="str">
        <f t="shared" si="14"/>
        <v>392</v>
      </c>
      <c r="D220" s="470" t="s">
        <v>1871</v>
      </c>
      <c r="E220" s="468" t="str">
        <f t="shared" si="17"/>
        <v>ECR</v>
      </c>
      <c r="F220" s="469">
        <v>0</v>
      </c>
      <c r="G220" s="469">
        <v>0</v>
      </c>
      <c r="H220" s="469">
        <v>0</v>
      </c>
      <c r="I220" s="469">
        <v>0</v>
      </c>
      <c r="J220" s="469">
        <v>0</v>
      </c>
      <c r="K220" s="469">
        <v>0</v>
      </c>
      <c r="L220" s="469">
        <v>0</v>
      </c>
      <c r="M220" s="469">
        <v>0</v>
      </c>
      <c r="N220" s="469">
        <v>52.664459999999998</v>
      </c>
      <c r="O220" s="469">
        <v>58.461620000000003</v>
      </c>
      <c r="P220" s="469">
        <v>0</v>
      </c>
      <c r="Q220" s="469">
        <v>0</v>
      </c>
      <c r="R220" s="469">
        <v>0</v>
      </c>
      <c r="S220" s="469">
        <v>0</v>
      </c>
      <c r="T220" s="469">
        <f t="shared" si="18"/>
        <v>111.12608</v>
      </c>
    </row>
    <row r="221" spans="1:20" s="469" customFormat="1">
      <c r="A221" s="469" t="str">
        <f t="shared" si="12"/>
        <v>KU</v>
      </c>
      <c r="B221" s="469" t="str">
        <f t="shared" si="13"/>
        <v>KY</v>
      </c>
      <c r="C221" s="469" t="str">
        <f t="shared" si="14"/>
        <v>392</v>
      </c>
      <c r="D221" s="470" t="s">
        <v>1872</v>
      </c>
      <c r="E221" s="468" t="str">
        <f t="shared" si="17"/>
        <v/>
      </c>
      <c r="F221" s="469">
        <v>0</v>
      </c>
      <c r="G221" s="469">
        <v>0</v>
      </c>
      <c r="H221" s="469">
        <v>0</v>
      </c>
      <c r="I221" s="469">
        <v>0</v>
      </c>
      <c r="J221" s="469">
        <v>0</v>
      </c>
      <c r="K221" s="469">
        <v>1735.1702299999999</v>
      </c>
      <c r="L221" s="469">
        <v>90.971679999999907</v>
      </c>
      <c r="M221" s="469">
        <v>0</v>
      </c>
      <c r="N221" s="469">
        <v>30.695869999999999</v>
      </c>
      <c r="O221" s="469">
        <v>0</v>
      </c>
      <c r="P221" s="469">
        <v>0</v>
      </c>
      <c r="Q221" s="469">
        <v>0</v>
      </c>
      <c r="R221" s="469">
        <v>0</v>
      </c>
      <c r="S221" s="469">
        <v>0</v>
      </c>
      <c r="T221" s="469">
        <f t="shared" si="18"/>
        <v>1856.8377799999998</v>
      </c>
    </row>
    <row r="222" spans="1:20" s="469" customFormat="1">
      <c r="A222" s="469" t="str">
        <f t="shared" si="12"/>
        <v>KU</v>
      </c>
      <c r="B222" s="469" t="str">
        <f t="shared" si="13"/>
        <v>KY</v>
      </c>
      <c r="C222" s="469" t="str">
        <f t="shared" si="14"/>
        <v>393</v>
      </c>
      <c r="D222" s="470" t="s">
        <v>1873</v>
      </c>
      <c r="E222" s="468" t="str">
        <f t="shared" si="17"/>
        <v/>
      </c>
      <c r="F222" s="469">
        <v>3.3</v>
      </c>
      <c r="G222" s="469">
        <v>0</v>
      </c>
      <c r="H222" s="469">
        <v>0</v>
      </c>
      <c r="I222" s="469">
        <v>0.7772</v>
      </c>
      <c r="J222" s="469">
        <v>5.1385800000000001</v>
      </c>
      <c r="K222" s="469">
        <v>0</v>
      </c>
      <c r="L222" s="469">
        <v>0</v>
      </c>
      <c r="M222" s="469">
        <v>0</v>
      </c>
      <c r="N222" s="469">
        <v>0</v>
      </c>
      <c r="O222" s="469">
        <v>0</v>
      </c>
      <c r="P222" s="469">
        <v>0</v>
      </c>
      <c r="Q222" s="469">
        <v>0</v>
      </c>
      <c r="R222" s="469">
        <v>0</v>
      </c>
      <c r="S222" s="469">
        <v>0</v>
      </c>
      <c r="T222" s="469">
        <f t="shared" si="18"/>
        <v>5.9157799999999998</v>
      </c>
    </row>
    <row r="223" spans="1:20" s="469" customFormat="1">
      <c r="A223" s="469" t="str">
        <f t="shared" si="12"/>
        <v>KU</v>
      </c>
      <c r="B223" s="469" t="str">
        <f t="shared" si="13"/>
        <v>KY</v>
      </c>
      <c r="C223" s="469" t="str">
        <f t="shared" si="14"/>
        <v>394</v>
      </c>
      <c r="D223" s="470" t="s">
        <v>1875</v>
      </c>
      <c r="E223" s="468" t="str">
        <f t="shared" si="17"/>
        <v/>
      </c>
      <c r="F223" s="469">
        <v>362.93069000000003</v>
      </c>
      <c r="G223" s="469">
        <v>-1.9340999999999999</v>
      </c>
      <c r="H223" s="469">
        <v>-89.270079999999993</v>
      </c>
      <c r="I223" s="469">
        <v>2.83534</v>
      </c>
      <c r="J223" s="469">
        <v>82.185469999999995</v>
      </c>
      <c r="K223" s="469">
        <v>-36.894440000000003</v>
      </c>
      <c r="L223" s="469">
        <v>-20.506129999999999</v>
      </c>
      <c r="M223" s="469">
        <v>78.244169999999997</v>
      </c>
      <c r="N223" s="469">
        <v>427.19354999999899</v>
      </c>
      <c r="O223" s="469">
        <v>23.7241</v>
      </c>
      <c r="P223" s="469">
        <v>3.1289500000000001</v>
      </c>
      <c r="Q223" s="469">
        <v>370.24050999999997</v>
      </c>
      <c r="R223" s="469">
        <v>17.771270000000001</v>
      </c>
      <c r="S223" s="469">
        <v>17.771380000000001</v>
      </c>
      <c r="T223" s="469">
        <f t="shared" si="18"/>
        <v>876.42408999999896</v>
      </c>
    </row>
    <row r="224" spans="1:20" s="469" customFormat="1">
      <c r="A224" s="469" t="str">
        <f t="shared" si="12"/>
        <v>KU</v>
      </c>
      <c r="B224" s="469" t="str">
        <f t="shared" si="13"/>
        <v>VA</v>
      </c>
      <c r="C224" s="469" t="str">
        <f t="shared" si="14"/>
        <v>394</v>
      </c>
      <c r="D224" s="470" t="s">
        <v>1876</v>
      </c>
      <c r="E224" s="468" t="str">
        <f t="shared" si="17"/>
        <v/>
      </c>
      <c r="F224" s="469">
        <v>0</v>
      </c>
      <c r="G224" s="469">
        <v>0</v>
      </c>
      <c r="H224" s="469">
        <v>0</v>
      </c>
      <c r="I224" s="469">
        <v>0</v>
      </c>
      <c r="J224" s="469">
        <v>13.14479</v>
      </c>
      <c r="K224" s="469">
        <v>0</v>
      </c>
      <c r="L224" s="469">
        <v>0</v>
      </c>
      <c r="M224" s="469">
        <v>0</v>
      </c>
      <c r="N224" s="469">
        <v>13.72064</v>
      </c>
      <c r="O224" s="469">
        <v>2.2903600000000002</v>
      </c>
      <c r="P224" s="469">
        <v>2.2903600000000002</v>
      </c>
      <c r="Q224" s="469">
        <v>0</v>
      </c>
      <c r="R224" s="469">
        <v>2.1945399999999999</v>
      </c>
      <c r="S224" s="469">
        <v>2.1945899999999998</v>
      </c>
      <c r="T224" s="469">
        <f t="shared" si="18"/>
        <v>35.835279999999997</v>
      </c>
    </row>
    <row r="225" spans="1:20" s="469" customFormat="1">
      <c r="A225" s="469" t="str">
        <f t="shared" si="12"/>
        <v>KU</v>
      </c>
      <c r="B225" s="469" t="str">
        <f t="shared" si="13"/>
        <v>KY</v>
      </c>
      <c r="C225" s="469" t="str">
        <f t="shared" si="14"/>
        <v>396</v>
      </c>
      <c r="D225" s="470" t="s">
        <v>1877</v>
      </c>
      <c r="E225" s="468" t="str">
        <f t="shared" si="17"/>
        <v/>
      </c>
      <c r="F225" s="469">
        <v>-14.68568</v>
      </c>
      <c r="G225" s="469">
        <v>0</v>
      </c>
      <c r="H225" s="469">
        <v>0</v>
      </c>
      <c r="I225" s="469">
        <v>0</v>
      </c>
      <c r="J225" s="469">
        <v>0</v>
      </c>
      <c r="K225" s="469">
        <v>92.362160000000003</v>
      </c>
      <c r="L225" s="469">
        <v>0</v>
      </c>
      <c r="M225" s="469">
        <v>0</v>
      </c>
      <c r="N225" s="469">
        <v>0</v>
      </c>
      <c r="O225" s="469">
        <v>0</v>
      </c>
      <c r="P225" s="469">
        <v>0</v>
      </c>
      <c r="Q225" s="469">
        <v>0</v>
      </c>
      <c r="R225" s="469">
        <v>0</v>
      </c>
      <c r="S225" s="469">
        <v>0</v>
      </c>
      <c r="T225" s="469">
        <f t="shared" si="18"/>
        <v>92.362160000000003</v>
      </c>
    </row>
    <row r="226" spans="1:20" s="469" customFormat="1">
      <c r="A226" s="469" t="str">
        <f t="shared" si="12"/>
        <v>KU</v>
      </c>
      <c r="B226" s="469" t="str">
        <f t="shared" si="13"/>
        <v>KY</v>
      </c>
      <c r="C226" s="670">
        <v>397</v>
      </c>
      <c r="D226" s="470" t="s">
        <v>1879</v>
      </c>
      <c r="E226" s="468" t="str">
        <f t="shared" si="17"/>
        <v>DSM</v>
      </c>
      <c r="F226" s="469">
        <v>42.542929999999899</v>
      </c>
      <c r="G226" s="469">
        <v>211.10766000000001</v>
      </c>
      <c r="H226" s="469">
        <v>219.51279</v>
      </c>
      <c r="I226" s="469">
        <v>182.93091000000001</v>
      </c>
      <c r="J226" s="469">
        <v>167.61079000000001</v>
      </c>
      <c r="K226" s="469">
        <v>91.870329999999996</v>
      </c>
      <c r="L226" s="469">
        <v>137.53457</v>
      </c>
      <c r="M226" s="469">
        <v>68.707650000000001</v>
      </c>
      <c r="N226" s="469">
        <v>222.76033999999899</v>
      </c>
      <c r="O226" s="469">
        <v>271.42500000000001</v>
      </c>
      <c r="P226" s="469">
        <v>70.166240000000002</v>
      </c>
      <c r="Q226" s="469">
        <v>596.06200000000001</v>
      </c>
      <c r="R226" s="469">
        <v>91.980099999999993</v>
      </c>
      <c r="S226" s="469">
        <v>283.39210000000003</v>
      </c>
      <c r="T226" s="469">
        <f t="shared" si="18"/>
        <v>2403.9528199999986</v>
      </c>
    </row>
    <row r="227" spans="1:20" s="469" customFormat="1">
      <c r="A227" s="469" t="str">
        <f t="shared" ref="A227:A228" si="19">MID($D227,4,2)</f>
        <v>KU</v>
      </c>
      <c r="B227" s="469" t="str">
        <f t="shared" ref="B227:B228" si="20">IF(MID($D227,12,2)="- ","KY",MID($D227,12,2))</f>
        <v>KY</v>
      </c>
      <c r="C227" s="469" t="str">
        <f t="shared" ref="C227:C228" si="21">MID($D227,8,3)</f>
        <v>397</v>
      </c>
      <c r="D227" s="470" t="s">
        <v>1880</v>
      </c>
      <c r="E227" s="468" t="str">
        <f t="shared" si="17"/>
        <v/>
      </c>
      <c r="F227" s="469">
        <v>-139.98240999999999</v>
      </c>
      <c r="G227" s="469">
        <v>16.075089999999999</v>
      </c>
      <c r="H227" s="469">
        <v>-15.29279</v>
      </c>
      <c r="I227" s="469">
        <v>-2.0664400000000001</v>
      </c>
      <c r="J227" s="469">
        <v>7.7780000000000599E-2</v>
      </c>
      <c r="K227" s="469">
        <v>610.47874999999999</v>
      </c>
      <c r="L227" s="469">
        <v>0</v>
      </c>
      <c r="M227" s="469">
        <v>0</v>
      </c>
      <c r="N227" s="469">
        <v>-59.819899999999997</v>
      </c>
      <c r="O227" s="469">
        <v>0</v>
      </c>
      <c r="P227" s="469">
        <v>0</v>
      </c>
      <c r="Q227" s="469">
        <v>463.33132999999998</v>
      </c>
      <c r="R227" s="469">
        <v>0</v>
      </c>
      <c r="S227" s="469">
        <v>0</v>
      </c>
      <c r="T227" s="469">
        <f t="shared" si="18"/>
        <v>996.70873000000006</v>
      </c>
    </row>
    <row r="228" spans="1:20" s="469" customFormat="1">
      <c r="A228" s="469" t="str">
        <f t="shared" si="19"/>
        <v>KU</v>
      </c>
      <c r="B228" s="469" t="str">
        <f t="shared" si="20"/>
        <v>KY</v>
      </c>
      <c r="C228" s="469" t="str">
        <f t="shared" si="21"/>
        <v>398</v>
      </c>
      <c r="D228" s="470" t="s">
        <v>1882</v>
      </c>
      <c r="E228" s="468" t="str">
        <f t="shared" si="17"/>
        <v/>
      </c>
      <c r="F228" s="469">
        <v>0</v>
      </c>
      <c r="G228" s="469">
        <v>0</v>
      </c>
      <c r="H228" s="469">
        <v>0</v>
      </c>
      <c r="I228" s="469">
        <v>0</v>
      </c>
      <c r="J228" s="469">
        <v>0</v>
      </c>
      <c r="K228" s="469">
        <v>0</v>
      </c>
      <c r="L228" s="469">
        <v>0</v>
      </c>
      <c r="M228" s="469">
        <v>0</v>
      </c>
      <c r="N228" s="469">
        <v>0</v>
      </c>
      <c r="O228" s="469">
        <v>0</v>
      </c>
      <c r="P228" s="469">
        <v>0</v>
      </c>
      <c r="Q228" s="469">
        <v>0</v>
      </c>
      <c r="R228" s="469">
        <v>0</v>
      </c>
      <c r="S228" s="469">
        <v>0</v>
      </c>
      <c r="T228" s="469">
        <f t="shared" si="18"/>
        <v>0</v>
      </c>
    </row>
    <row r="233" spans="1:20">
      <c r="D233" s="431" t="s">
        <v>1885</v>
      </c>
      <c r="E233" s="431"/>
      <c r="T233" s="199">
        <f t="shared" ref="T233:T290" si="22">SUM(H233:S233)</f>
        <v>0</v>
      </c>
    </row>
    <row r="234" spans="1:20" s="469" customFormat="1">
      <c r="A234" s="469" t="str">
        <f t="shared" ref="A234:A290" si="23">MID($D234,4,2)</f>
        <v>KU</v>
      </c>
      <c r="B234" s="469" t="str">
        <f t="shared" ref="B234:B290" si="24">IF(MID($D234,12,2)="- ","KY",MID($D234,12,2))</f>
        <v>KY</v>
      </c>
      <c r="C234" s="469" t="str">
        <f t="shared" ref="C234:C290" si="25">MID($D234,8,3)</f>
        <v>303</v>
      </c>
      <c r="D234" s="470" t="s">
        <v>1779</v>
      </c>
      <c r="E234" s="468" t="str">
        <f t="shared" ref="E234:E290" si="26">IF(ISTEXT(MID($D234,SEARCH("FUTURE USE",$D234),3)),"FUTURE USE",IF(ISTEXT(MID($D234,SEARCH("ECR",$D234),3)),"ECR",IF(ISTEXT(MID($D234,SEARCH("ARO",$D234),3)),"ARO",IF(ISTEXT(MID($D234,SEARCH("DSM",$D234),3)),"DSM",""))))</f>
        <v/>
      </c>
      <c r="F234" s="469">
        <v>153.13827000000001</v>
      </c>
      <c r="G234" s="469">
        <v>27.312249999999999</v>
      </c>
      <c r="H234" s="469">
        <v>177.70332999999999</v>
      </c>
      <c r="I234" s="469">
        <v>2302.5392299999999</v>
      </c>
      <c r="J234" s="469">
        <v>844.19052999999997</v>
      </c>
      <c r="K234" s="469">
        <v>586.60801000000004</v>
      </c>
      <c r="L234" s="469">
        <v>0</v>
      </c>
      <c r="M234" s="469">
        <v>678.33687999999995</v>
      </c>
      <c r="N234" s="469">
        <v>0</v>
      </c>
      <c r="O234" s="469">
        <v>616.33199999999999</v>
      </c>
      <c r="P234" s="469">
        <v>183.887</v>
      </c>
      <c r="Q234" s="469">
        <v>225.27099999999999</v>
      </c>
      <c r="R234" s="469">
        <v>219.64599999999999</v>
      </c>
      <c r="S234" s="469">
        <v>0</v>
      </c>
      <c r="T234" s="469">
        <f t="shared" si="22"/>
        <v>5834.5139799999988</v>
      </c>
    </row>
    <row r="235" spans="1:20" s="469" customFormat="1">
      <c r="A235" s="469" t="str">
        <f t="shared" si="23"/>
        <v>KU</v>
      </c>
      <c r="B235" s="469" t="str">
        <f t="shared" si="24"/>
        <v>KY</v>
      </c>
      <c r="C235" s="469" t="str">
        <f t="shared" si="25"/>
        <v>303</v>
      </c>
      <c r="D235" s="470" t="s">
        <v>1780</v>
      </c>
      <c r="E235" s="468" t="str">
        <f t="shared" si="26"/>
        <v/>
      </c>
      <c r="F235" s="469">
        <v>0</v>
      </c>
      <c r="G235" s="469">
        <v>0</v>
      </c>
      <c r="H235" s="469">
        <v>0</v>
      </c>
      <c r="I235" s="469">
        <v>0</v>
      </c>
      <c r="J235" s="469">
        <v>0</v>
      </c>
      <c r="K235" s="469">
        <v>0</v>
      </c>
      <c r="L235" s="469">
        <v>0</v>
      </c>
      <c r="M235" s="469">
        <v>0</v>
      </c>
      <c r="N235" s="469">
        <v>0</v>
      </c>
      <c r="O235" s="469">
        <v>0</v>
      </c>
      <c r="P235" s="469">
        <v>0</v>
      </c>
      <c r="Q235" s="469">
        <v>0</v>
      </c>
      <c r="R235" s="469">
        <v>0</v>
      </c>
      <c r="S235" s="469">
        <v>0</v>
      </c>
      <c r="T235" s="469">
        <f t="shared" si="22"/>
        <v>0</v>
      </c>
    </row>
    <row r="236" spans="1:20" s="469" customFormat="1">
      <c r="A236" s="469" t="str">
        <f t="shared" si="23"/>
        <v>KU</v>
      </c>
      <c r="B236" s="469" t="str">
        <f t="shared" si="24"/>
        <v>KY</v>
      </c>
      <c r="C236" s="469" t="str">
        <f t="shared" si="25"/>
        <v>310</v>
      </c>
      <c r="D236" s="470" t="s">
        <v>1782</v>
      </c>
      <c r="E236" s="468" t="str">
        <f t="shared" si="26"/>
        <v>ECR</v>
      </c>
      <c r="F236" s="469">
        <v>0</v>
      </c>
      <c r="G236" s="469">
        <v>0</v>
      </c>
      <c r="H236" s="469">
        <v>0</v>
      </c>
      <c r="I236" s="469">
        <v>0</v>
      </c>
      <c r="J236" s="469">
        <v>0</v>
      </c>
      <c r="K236" s="469">
        <v>103.61865</v>
      </c>
      <c r="L236" s="469">
        <v>0</v>
      </c>
      <c r="M236" s="469">
        <v>0</v>
      </c>
      <c r="N236" s="469">
        <v>0</v>
      </c>
      <c r="O236" s="469">
        <v>0</v>
      </c>
      <c r="P236" s="469">
        <v>0</v>
      </c>
      <c r="Q236" s="469">
        <v>0</v>
      </c>
      <c r="R236" s="469">
        <v>0</v>
      </c>
      <c r="S236" s="469">
        <v>0</v>
      </c>
      <c r="T236" s="469">
        <f t="shared" si="22"/>
        <v>103.61865</v>
      </c>
    </row>
    <row r="237" spans="1:20" s="469" customFormat="1">
      <c r="A237" s="469" t="str">
        <f t="shared" si="23"/>
        <v>KU</v>
      </c>
      <c r="B237" s="469" t="str">
        <f t="shared" si="24"/>
        <v>KY</v>
      </c>
      <c r="C237" s="469" t="str">
        <f t="shared" si="25"/>
        <v>311</v>
      </c>
      <c r="D237" s="470" t="s">
        <v>1785</v>
      </c>
      <c r="E237" s="468" t="str">
        <f t="shared" si="26"/>
        <v/>
      </c>
      <c r="F237" s="469">
        <v>0</v>
      </c>
      <c r="G237" s="469">
        <v>0</v>
      </c>
      <c r="H237" s="469">
        <v>89.425560000000004</v>
      </c>
      <c r="I237" s="469">
        <v>10.499930000000001</v>
      </c>
      <c r="J237" s="469">
        <v>397.498999999999</v>
      </c>
      <c r="K237" s="469">
        <v>289.95012000000003</v>
      </c>
      <c r="L237" s="469">
        <v>0</v>
      </c>
      <c r="M237" s="469">
        <v>90.084400000000002</v>
      </c>
      <c r="N237" s="469">
        <v>0</v>
      </c>
      <c r="O237" s="469">
        <v>0</v>
      </c>
      <c r="P237" s="469">
        <v>0</v>
      </c>
      <c r="Q237" s="469">
        <v>0</v>
      </c>
      <c r="R237" s="469">
        <v>0</v>
      </c>
      <c r="S237" s="469">
        <v>0</v>
      </c>
      <c r="T237" s="469">
        <f t="shared" si="22"/>
        <v>877.45900999999901</v>
      </c>
    </row>
    <row r="238" spans="1:20" s="469" customFormat="1">
      <c r="A238" s="469" t="str">
        <f t="shared" si="23"/>
        <v>KU</v>
      </c>
      <c r="B238" s="469" t="str">
        <f t="shared" si="24"/>
        <v>KY</v>
      </c>
      <c r="C238" s="469" t="str">
        <f t="shared" si="25"/>
        <v>312</v>
      </c>
      <c r="D238" s="470" t="s">
        <v>1786</v>
      </c>
      <c r="E238" s="468" t="str">
        <f t="shared" si="26"/>
        <v/>
      </c>
      <c r="F238" s="469">
        <v>151.75488000000001</v>
      </c>
      <c r="G238" s="469">
        <v>2980.1468100000002</v>
      </c>
      <c r="H238" s="469">
        <v>152.08806999999999</v>
      </c>
      <c r="I238" s="469">
        <v>24.919379999999901</v>
      </c>
      <c r="J238" s="469">
        <v>2872.05753</v>
      </c>
      <c r="K238" s="469">
        <v>318.30783000000002</v>
      </c>
      <c r="L238" s="469">
        <v>188.23311999999899</v>
      </c>
      <c r="M238" s="469">
        <v>2215.0420999999901</v>
      </c>
      <c r="N238" s="469">
        <v>139.315</v>
      </c>
      <c r="O238" s="469">
        <v>158.827</v>
      </c>
      <c r="P238" s="469">
        <v>1233.0150000000001</v>
      </c>
      <c r="Q238" s="469">
        <v>2636.51</v>
      </c>
      <c r="R238" s="469">
        <v>79.195999999999998</v>
      </c>
      <c r="S238" s="469">
        <v>3060.297</v>
      </c>
      <c r="T238" s="469">
        <f t="shared" si="22"/>
        <v>13077.808029999991</v>
      </c>
    </row>
    <row r="239" spans="1:20" s="469" customFormat="1">
      <c r="A239" s="469" t="str">
        <f t="shared" si="23"/>
        <v>KU</v>
      </c>
      <c r="B239" s="469" t="str">
        <f t="shared" si="24"/>
        <v>KY</v>
      </c>
      <c r="C239" s="469" t="str">
        <f t="shared" si="25"/>
        <v>312</v>
      </c>
      <c r="D239" s="470" t="s">
        <v>1787</v>
      </c>
      <c r="E239" s="468" t="str">
        <f t="shared" si="26"/>
        <v>ECR</v>
      </c>
      <c r="F239" s="469">
        <v>0</v>
      </c>
      <c r="G239" s="469">
        <v>25.63007</v>
      </c>
      <c r="H239" s="469">
        <v>0</v>
      </c>
      <c r="I239" s="469">
        <v>0</v>
      </c>
      <c r="J239" s="469">
        <v>0</v>
      </c>
      <c r="K239" s="469">
        <v>0</v>
      </c>
      <c r="L239" s="469">
        <v>0</v>
      </c>
      <c r="M239" s="469">
        <v>0</v>
      </c>
      <c r="N239" s="469">
        <v>0</v>
      </c>
      <c r="O239" s="469">
        <v>0</v>
      </c>
      <c r="P239" s="469">
        <v>0</v>
      </c>
      <c r="Q239" s="469">
        <v>0</v>
      </c>
      <c r="R239" s="469">
        <v>0</v>
      </c>
      <c r="S239" s="469">
        <v>0</v>
      </c>
      <c r="T239" s="469">
        <f t="shared" si="22"/>
        <v>0</v>
      </c>
    </row>
    <row r="240" spans="1:20" s="469" customFormat="1">
      <c r="A240" s="469" t="str">
        <f t="shared" si="23"/>
        <v>KU</v>
      </c>
      <c r="B240" s="469" t="str">
        <f t="shared" si="24"/>
        <v>KY</v>
      </c>
      <c r="C240" s="469" t="str">
        <f t="shared" si="25"/>
        <v>314</v>
      </c>
      <c r="D240" s="470" t="s">
        <v>1790</v>
      </c>
      <c r="E240" s="468" t="str">
        <f t="shared" si="26"/>
        <v/>
      </c>
      <c r="F240" s="469">
        <v>-93.298299999999998</v>
      </c>
      <c r="G240" s="469">
        <v>266.34257000000002</v>
      </c>
      <c r="H240" s="469">
        <v>182.52999</v>
      </c>
      <c r="I240" s="469">
        <v>59.048560000000002</v>
      </c>
      <c r="J240" s="469">
        <v>42.796669999999999</v>
      </c>
      <c r="K240" s="469">
        <v>47.762519999999903</v>
      </c>
      <c r="L240" s="469">
        <v>39.011490000000002</v>
      </c>
      <c r="M240" s="469">
        <v>0</v>
      </c>
      <c r="N240" s="469">
        <v>0</v>
      </c>
      <c r="O240" s="469">
        <v>0</v>
      </c>
      <c r="P240" s="469">
        <v>0</v>
      </c>
      <c r="Q240" s="469">
        <v>0</v>
      </c>
      <c r="R240" s="469">
        <v>0</v>
      </c>
      <c r="S240" s="469">
        <v>0</v>
      </c>
      <c r="T240" s="469">
        <f t="shared" si="22"/>
        <v>371.14922999999987</v>
      </c>
    </row>
    <row r="241" spans="1:20" s="469" customFormat="1">
      <c r="A241" s="469" t="str">
        <f t="shared" si="23"/>
        <v>KU</v>
      </c>
      <c r="B241" s="469" t="str">
        <f t="shared" si="24"/>
        <v>KY</v>
      </c>
      <c r="C241" s="469" t="str">
        <f t="shared" si="25"/>
        <v>315</v>
      </c>
      <c r="D241" s="470" t="s">
        <v>1791</v>
      </c>
      <c r="E241" s="468" t="str">
        <f t="shared" si="26"/>
        <v/>
      </c>
      <c r="F241" s="469">
        <v>0</v>
      </c>
      <c r="G241" s="469">
        <v>70.865170000000006</v>
      </c>
      <c r="H241" s="469">
        <v>0</v>
      </c>
      <c r="I241" s="469">
        <v>0</v>
      </c>
      <c r="J241" s="469">
        <v>18.990970000000001</v>
      </c>
      <c r="K241" s="469">
        <v>0</v>
      </c>
      <c r="L241" s="469">
        <v>0</v>
      </c>
      <c r="M241" s="469">
        <v>109.5261</v>
      </c>
      <c r="N241" s="469">
        <v>0</v>
      </c>
      <c r="O241" s="469">
        <v>0</v>
      </c>
      <c r="P241" s="469">
        <v>0</v>
      </c>
      <c r="Q241" s="469">
        <v>0</v>
      </c>
      <c r="R241" s="469">
        <v>0</v>
      </c>
      <c r="S241" s="469">
        <v>0</v>
      </c>
      <c r="T241" s="469">
        <f t="shared" si="22"/>
        <v>128.51706999999999</v>
      </c>
    </row>
    <row r="242" spans="1:20" s="469" customFormat="1">
      <c r="A242" s="469" t="str">
        <f t="shared" si="23"/>
        <v>KU</v>
      </c>
      <c r="B242" s="469" t="str">
        <f t="shared" si="24"/>
        <v>KY</v>
      </c>
      <c r="C242" s="469" t="str">
        <f t="shared" si="25"/>
        <v>316</v>
      </c>
      <c r="D242" s="470" t="s">
        <v>1793</v>
      </c>
      <c r="E242" s="468" t="str">
        <f t="shared" si="26"/>
        <v/>
      </c>
      <c r="F242" s="469">
        <v>0</v>
      </c>
      <c r="G242" s="469">
        <v>15.59924</v>
      </c>
      <c r="H242" s="469">
        <v>0</v>
      </c>
      <c r="I242" s="469">
        <v>0</v>
      </c>
      <c r="J242" s="469">
        <v>51.721179999999997</v>
      </c>
      <c r="K242" s="469">
        <v>0</v>
      </c>
      <c r="L242" s="469">
        <v>0</v>
      </c>
      <c r="M242" s="469">
        <v>0</v>
      </c>
      <c r="N242" s="469">
        <v>0</v>
      </c>
      <c r="O242" s="469">
        <v>0</v>
      </c>
      <c r="P242" s="469">
        <v>0</v>
      </c>
      <c r="Q242" s="469">
        <v>0</v>
      </c>
      <c r="R242" s="469">
        <v>0</v>
      </c>
      <c r="S242" s="469">
        <v>0</v>
      </c>
      <c r="T242" s="469">
        <f t="shared" si="22"/>
        <v>51.721179999999997</v>
      </c>
    </row>
    <row r="243" spans="1:20" s="469" customFormat="1">
      <c r="A243" s="469" t="str">
        <f t="shared" si="23"/>
        <v>KU</v>
      </c>
      <c r="B243" s="469" t="str">
        <f t="shared" si="24"/>
        <v>KY</v>
      </c>
      <c r="C243" s="469" t="str">
        <f t="shared" si="25"/>
        <v>331</v>
      </c>
      <c r="D243" s="470" t="s">
        <v>1796</v>
      </c>
      <c r="E243" s="468" t="str">
        <f t="shared" si="26"/>
        <v/>
      </c>
      <c r="F243" s="469">
        <v>0</v>
      </c>
      <c r="G243" s="469">
        <v>71.582149999999999</v>
      </c>
      <c r="H243" s="469">
        <v>0</v>
      </c>
      <c r="I243" s="469">
        <v>0</v>
      </c>
      <c r="J243" s="469">
        <v>0</v>
      </c>
      <c r="K243" s="469">
        <v>0</v>
      </c>
      <c r="L243" s="469">
        <v>0</v>
      </c>
      <c r="M243" s="469">
        <v>0</v>
      </c>
      <c r="N243" s="469">
        <v>0</v>
      </c>
      <c r="O243" s="469">
        <v>0</v>
      </c>
      <c r="P243" s="469">
        <v>0</v>
      </c>
      <c r="Q243" s="469">
        <v>0</v>
      </c>
      <c r="R243" s="469">
        <v>0</v>
      </c>
      <c r="S243" s="469">
        <v>0</v>
      </c>
      <c r="T243" s="469">
        <f t="shared" si="22"/>
        <v>0</v>
      </c>
    </row>
    <row r="244" spans="1:20" s="469" customFormat="1">
      <c r="A244" s="469" t="str">
        <f t="shared" si="23"/>
        <v>KU</v>
      </c>
      <c r="B244" s="469" t="str">
        <f t="shared" si="24"/>
        <v>KY</v>
      </c>
      <c r="C244" s="469" t="str">
        <f t="shared" si="25"/>
        <v>333</v>
      </c>
      <c r="D244" s="470" t="s">
        <v>1798</v>
      </c>
      <c r="E244" s="468" t="str">
        <f t="shared" si="26"/>
        <v/>
      </c>
      <c r="F244" s="469">
        <v>0</v>
      </c>
      <c r="G244" s="469">
        <v>12.840260000000001</v>
      </c>
      <c r="H244" s="469">
        <v>0</v>
      </c>
      <c r="I244" s="469">
        <v>0</v>
      </c>
      <c r="J244" s="469">
        <v>0</v>
      </c>
      <c r="K244" s="469">
        <v>0</v>
      </c>
      <c r="L244" s="469">
        <v>0</v>
      </c>
      <c r="M244" s="469">
        <v>0</v>
      </c>
      <c r="N244" s="469">
        <v>0</v>
      </c>
      <c r="O244" s="469">
        <v>0</v>
      </c>
      <c r="P244" s="469">
        <v>0</v>
      </c>
      <c r="Q244" s="469">
        <v>0</v>
      </c>
      <c r="R244" s="469">
        <v>0</v>
      </c>
      <c r="S244" s="469">
        <v>0</v>
      </c>
      <c r="T244" s="469">
        <f t="shared" si="22"/>
        <v>0</v>
      </c>
    </row>
    <row r="245" spans="1:20" s="469" customFormat="1">
      <c r="A245" s="469" t="str">
        <f t="shared" si="23"/>
        <v>KU</v>
      </c>
      <c r="B245" s="469" t="str">
        <f t="shared" si="24"/>
        <v>KY</v>
      </c>
      <c r="C245" s="469" t="str">
        <f t="shared" si="25"/>
        <v>341</v>
      </c>
      <c r="D245" s="470" t="s">
        <v>1804</v>
      </c>
      <c r="E245" s="468" t="str">
        <f t="shared" si="26"/>
        <v/>
      </c>
      <c r="F245" s="469">
        <v>0</v>
      </c>
      <c r="G245" s="469">
        <v>0</v>
      </c>
      <c r="H245" s="469">
        <v>0</v>
      </c>
      <c r="I245" s="469">
        <v>0</v>
      </c>
      <c r="J245" s="469">
        <v>166.90173999999999</v>
      </c>
      <c r="K245" s="469">
        <v>11.5193099999999</v>
      </c>
      <c r="L245" s="469">
        <v>0</v>
      </c>
      <c r="M245" s="469">
        <v>0</v>
      </c>
      <c r="N245" s="469">
        <v>0</v>
      </c>
      <c r="O245" s="469">
        <v>0</v>
      </c>
      <c r="P245" s="469">
        <v>0</v>
      </c>
      <c r="Q245" s="469">
        <v>0</v>
      </c>
      <c r="R245" s="469">
        <v>0</v>
      </c>
      <c r="S245" s="469">
        <v>0</v>
      </c>
      <c r="T245" s="469">
        <f t="shared" si="22"/>
        <v>178.42104999999989</v>
      </c>
    </row>
    <row r="246" spans="1:20" s="469" customFormat="1">
      <c r="A246" s="469" t="str">
        <f t="shared" si="23"/>
        <v>KU</v>
      </c>
      <c r="B246" s="469" t="str">
        <f t="shared" si="24"/>
        <v>KY</v>
      </c>
      <c r="C246" s="469" t="str">
        <f t="shared" si="25"/>
        <v>343</v>
      </c>
      <c r="D246" s="470" t="s">
        <v>1806</v>
      </c>
      <c r="E246" s="468" t="str">
        <f t="shared" si="26"/>
        <v/>
      </c>
      <c r="F246" s="469">
        <v>0</v>
      </c>
      <c r="G246" s="469">
        <v>0</v>
      </c>
      <c r="H246" s="469">
        <v>0</v>
      </c>
      <c r="I246" s="469">
        <v>0</v>
      </c>
      <c r="J246" s="469">
        <v>0</v>
      </c>
      <c r="K246" s="469">
        <v>4.3116300000000001</v>
      </c>
      <c r="L246" s="469">
        <v>0</v>
      </c>
      <c r="M246" s="469">
        <v>0</v>
      </c>
      <c r="N246" s="469">
        <v>0</v>
      </c>
      <c r="O246" s="469">
        <v>0</v>
      </c>
      <c r="P246" s="469">
        <v>0</v>
      </c>
      <c r="Q246" s="469">
        <v>0</v>
      </c>
      <c r="R246" s="469">
        <v>0</v>
      </c>
      <c r="S246" s="469">
        <v>0</v>
      </c>
      <c r="T246" s="469">
        <f t="shared" si="22"/>
        <v>4.3116300000000001</v>
      </c>
    </row>
    <row r="247" spans="1:20" s="469" customFormat="1">
      <c r="A247" s="469" t="str">
        <f t="shared" si="23"/>
        <v>KU</v>
      </c>
      <c r="B247" s="469" t="str">
        <f t="shared" si="24"/>
        <v>KY</v>
      </c>
      <c r="C247" s="469" t="str">
        <f t="shared" si="25"/>
        <v>344</v>
      </c>
      <c r="D247" s="470" t="s">
        <v>1807</v>
      </c>
      <c r="E247" s="468" t="str">
        <f t="shared" si="26"/>
        <v/>
      </c>
      <c r="F247" s="469">
        <v>0</v>
      </c>
      <c r="G247" s="469">
        <v>0</v>
      </c>
      <c r="H247" s="469">
        <v>0</v>
      </c>
      <c r="I247" s="469">
        <v>0</v>
      </c>
      <c r="J247" s="469">
        <v>0</v>
      </c>
      <c r="K247" s="469">
        <v>0</v>
      </c>
      <c r="L247" s="469">
        <v>0</v>
      </c>
      <c r="M247" s="469">
        <v>370.39499000000001</v>
      </c>
      <c r="N247" s="469">
        <v>0</v>
      </c>
      <c r="O247" s="469">
        <v>0</v>
      </c>
      <c r="P247" s="469">
        <v>0</v>
      </c>
      <c r="Q247" s="469">
        <v>0</v>
      </c>
      <c r="R247" s="469">
        <v>0</v>
      </c>
      <c r="S247" s="469">
        <v>0</v>
      </c>
      <c r="T247" s="469">
        <f t="shared" si="22"/>
        <v>370.39499000000001</v>
      </c>
    </row>
    <row r="248" spans="1:20" s="469" customFormat="1">
      <c r="A248" s="469" t="str">
        <f t="shared" si="23"/>
        <v>KU</v>
      </c>
      <c r="B248" s="469" t="str">
        <f t="shared" si="24"/>
        <v>KY</v>
      </c>
      <c r="C248" s="469" t="str">
        <f t="shared" si="25"/>
        <v>346</v>
      </c>
      <c r="D248" s="470" t="s">
        <v>1809</v>
      </c>
      <c r="E248" s="468" t="str">
        <f t="shared" si="26"/>
        <v/>
      </c>
      <c r="F248" s="469">
        <v>0</v>
      </c>
      <c r="G248" s="469">
        <v>0</v>
      </c>
      <c r="H248" s="469">
        <v>0</v>
      </c>
      <c r="I248" s="469">
        <v>0</v>
      </c>
      <c r="J248" s="469">
        <v>0</v>
      </c>
      <c r="K248" s="469">
        <v>0</v>
      </c>
      <c r="L248" s="469">
        <v>7.5057200000000002</v>
      </c>
      <c r="M248" s="469">
        <v>0</v>
      </c>
      <c r="N248" s="469">
        <v>0</v>
      </c>
      <c r="O248" s="469">
        <v>0</v>
      </c>
      <c r="P248" s="469">
        <v>0</v>
      </c>
      <c r="Q248" s="469">
        <v>0</v>
      </c>
      <c r="R248" s="469">
        <v>0</v>
      </c>
      <c r="S248" s="469">
        <v>0</v>
      </c>
      <c r="T248" s="469">
        <f t="shared" si="22"/>
        <v>7.5057200000000002</v>
      </c>
    </row>
    <row r="249" spans="1:20" s="469" customFormat="1">
      <c r="A249" s="469" t="str">
        <f t="shared" si="23"/>
        <v>KU</v>
      </c>
      <c r="B249" s="469" t="str">
        <f t="shared" si="24"/>
        <v>KY</v>
      </c>
      <c r="C249" s="469" t="str">
        <f t="shared" si="25"/>
        <v>352</v>
      </c>
      <c r="D249" s="470" t="s">
        <v>1813</v>
      </c>
      <c r="E249" s="468" t="str">
        <f t="shared" si="26"/>
        <v/>
      </c>
      <c r="F249" s="469">
        <v>0</v>
      </c>
      <c r="G249" s="469">
        <v>0</v>
      </c>
      <c r="H249" s="469">
        <v>0</v>
      </c>
      <c r="I249" s="469">
        <v>8.7888500000000001</v>
      </c>
      <c r="J249" s="469">
        <v>0</v>
      </c>
      <c r="K249" s="469">
        <v>0</v>
      </c>
      <c r="L249" s="469">
        <v>0</v>
      </c>
      <c r="M249" s="469">
        <v>0</v>
      </c>
      <c r="N249" s="469">
        <v>0</v>
      </c>
      <c r="O249" s="469">
        <v>0</v>
      </c>
      <c r="P249" s="469">
        <v>0</v>
      </c>
      <c r="Q249" s="469">
        <v>0</v>
      </c>
      <c r="R249" s="469">
        <v>0</v>
      </c>
      <c r="S249" s="469">
        <v>0</v>
      </c>
      <c r="T249" s="469">
        <f t="shared" si="22"/>
        <v>8.7888500000000001</v>
      </c>
    </row>
    <row r="250" spans="1:20" s="469" customFormat="1">
      <c r="A250" s="469" t="str">
        <f t="shared" si="23"/>
        <v>KU</v>
      </c>
      <c r="B250" s="469" t="str">
        <f t="shared" si="24"/>
        <v>KY</v>
      </c>
      <c r="C250" s="469" t="str">
        <f t="shared" si="25"/>
        <v>352</v>
      </c>
      <c r="D250" s="470" t="s">
        <v>1814</v>
      </c>
      <c r="E250" s="468" t="str">
        <f t="shared" si="26"/>
        <v/>
      </c>
      <c r="F250" s="469">
        <v>0</v>
      </c>
      <c r="G250" s="469">
        <v>5.99709</v>
      </c>
      <c r="H250" s="469">
        <v>0</v>
      </c>
      <c r="I250" s="469">
        <v>5.4900000000000001E-3</v>
      </c>
      <c r="J250" s="469">
        <v>0</v>
      </c>
      <c r="K250" s="469">
        <v>0</v>
      </c>
      <c r="L250" s="469">
        <v>0</v>
      </c>
      <c r="M250" s="469">
        <v>0</v>
      </c>
      <c r="N250" s="469">
        <v>0</v>
      </c>
      <c r="O250" s="469">
        <v>0</v>
      </c>
      <c r="P250" s="469">
        <v>0</v>
      </c>
      <c r="Q250" s="469">
        <v>0</v>
      </c>
      <c r="R250" s="469">
        <v>0</v>
      </c>
      <c r="S250" s="469">
        <v>0</v>
      </c>
      <c r="T250" s="469">
        <f t="shared" si="22"/>
        <v>5.4900000000000001E-3</v>
      </c>
    </row>
    <row r="251" spans="1:20" s="469" customFormat="1">
      <c r="A251" s="469" t="str">
        <f t="shared" si="23"/>
        <v>KU</v>
      </c>
      <c r="B251" s="469" t="str">
        <f t="shared" si="24"/>
        <v>KY</v>
      </c>
      <c r="C251" s="469" t="str">
        <f t="shared" si="25"/>
        <v>353</v>
      </c>
      <c r="D251" s="470" t="s">
        <v>1816</v>
      </c>
      <c r="E251" s="468" t="str">
        <f t="shared" si="26"/>
        <v/>
      </c>
      <c r="F251" s="469">
        <v>0</v>
      </c>
      <c r="G251" s="469">
        <v>136.24706</v>
      </c>
      <c r="H251" s="469">
        <v>-77.077889999999996</v>
      </c>
      <c r="I251" s="469">
        <v>37.111939999999997</v>
      </c>
      <c r="J251" s="469">
        <v>26.85135</v>
      </c>
      <c r="K251" s="469">
        <v>517.64966000000004</v>
      </c>
      <c r="L251" s="469">
        <v>0</v>
      </c>
      <c r="M251" s="469">
        <v>0</v>
      </c>
      <c r="N251" s="469">
        <v>22.372</v>
      </c>
      <c r="O251" s="469">
        <v>88.661000000000001</v>
      </c>
      <c r="P251" s="469">
        <v>64.551000000000002</v>
      </c>
      <c r="Q251" s="469">
        <v>207.54</v>
      </c>
      <c r="R251" s="469">
        <v>42.813000000000002</v>
      </c>
      <c r="S251" s="469">
        <v>340.88799999999998</v>
      </c>
      <c r="T251" s="469">
        <f t="shared" si="22"/>
        <v>1271.36006</v>
      </c>
    </row>
    <row r="252" spans="1:20" s="469" customFormat="1">
      <c r="A252" s="469" t="str">
        <f t="shared" si="23"/>
        <v>KU</v>
      </c>
      <c r="B252" s="469" t="s">
        <v>17</v>
      </c>
      <c r="C252" s="469" t="str">
        <f t="shared" si="25"/>
        <v>353</v>
      </c>
      <c r="D252" s="470" t="s">
        <v>1817</v>
      </c>
      <c r="E252" s="468" t="str">
        <f t="shared" si="26"/>
        <v/>
      </c>
      <c r="F252" s="469">
        <v>0</v>
      </c>
      <c r="G252" s="469">
        <v>0</v>
      </c>
      <c r="H252" s="469">
        <v>0</v>
      </c>
      <c r="I252" s="469">
        <v>2.90124</v>
      </c>
      <c r="J252" s="469">
        <v>0</v>
      </c>
      <c r="K252" s="469">
        <v>0</v>
      </c>
      <c r="L252" s="469">
        <v>0</v>
      </c>
      <c r="M252" s="469">
        <v>0</v>
      </c>
      <c r="N252" s="469">
        <v>0</v>
      </c>
      <c r="O252" s="469">
        <v>0</v>
      </c>
      <c r="P252" s="469">
        <v>0</v>
      </c>
      <c r="Q252" s="469">
        <v>0</v>
      </c>
      <c r="R252" s="469">
        <v>0</v>
      </c>
      <c r="S252" s="469">
        <v>0</v>
      </c>
      <c r="T252" s="469">
        <f t="shared" si="22"/>
        <v>2.90124</v>
      </c>
    </row>
    <row r="253" spans="1:20" s="469" customFormat="1">
      <c r="A253" s="469" t="str">
        <f t="shared" si="23"/>
        <v>KU</v>
      </c>
      <c r="B253" s="469" t="str">
        <f t="shared" si="24"/>
        <v>VA</v>
      </c>
      <c r="C253" s="469" t="str">
        <f t="shared" si="25"/>
        <v>353</v>
      </c>
      <c r="D253" s="470" t="s">
        <v>1818</v>
      </c>
      <c r="E253" s="468" t="str">
        <f t="shared" si="26"/>
        <v/>
      </c>
      <c r="F253" s="469">
        <v>12.751530000000001</v>
      </c>
      <c r="G253" s="469">
        <v>0</v>
      </c>
      <c r="H253" s="469">
        <v>0</v>
      </c>
      <c r="I253" s="469">
        <v>3.62E-3</v>
      </c>
      <c r="J253" s="469">
        <v>3.2956300000000001</v>
      </c>
      <c r="K253" s="469">
        <v>0</v>
      </c>
      <c r="L253" s="469">
        <v>0</v>
      </c>
      <c r="M253" s="469">
        <v>0</v>
      </c>
      <c r="N253" s="469">
        <v>0</v>
      </c>
      <c r="O253" s="469">
        <v>0</v>
      </c>
      <c r="P253" s="469">
        <v>0</v>
      </c>
      <c r="Q253" s="469">
        <v>0</v>
      </c>
      <c r="R253" s="469">
        <v>0</v>
      </c>
      <c r="S253" s="469">
        <v>0</v>
      </c>
      <c r="T253" s="469">
        <f t="shared" si="22"/>
        <v>3.2992500000000002</v>
      </c>
    </row>
    <row r="254" spans="1:20" s="469" customFormat="1">
      <c r="A254" s="469" t="str">
        <f t="shared" si="23"/>
        <v>KU</v>
      </c>
      <c r="B254" s="469" t="str">
        <f t="shared" si="24"/>
        <v>KY</v>
      </c>
      <c r="C254" s="469" t="str">
        <f t="shared" si="25"/>
        <v>354</v>
      </c>
      <c r="D254" s="470" t="s">
        <v>1819</v>
      </c>
      <c r="E254" s="468" t="str">
        <f t="shared" si="26"/>
        <v/>
      </c>
      <c r="F254" s="469">
        <v>-4.1823600000000001</v>
      </c>
      <c r="G254" s="469">
        <v>17.45148</v>
      </c>
      <c r="H254" s="469">
        <v>0</v>
      </c>
      <c r="I254" s="469">
        <v>0</v>
      </c>
      <c r="J254" s="469">
        <v>0</v>
      </c>
      <c r="K254" s="469">
        <v>0</v>
      </c>
      <c r="L254" s="469">
        <v>0</v>
      </c>
      <c r="M254" s="469">
        <v>18.894929999999999</v>
      </c>
      <c r="N254" s="469">
        <v>0</v>
      </c>
      <c r="O254" s="469">
        <v>0</v>
      </c>
      <c r="P254" s="469">
        <v>0</v>
      </c>
      <c r="Q254" s="469">
        <v>0</v>
      </c>
      <c r="R254" s="469">
        <v>0</v>
      </c>
      <c r="S254" s="469">
        <v>0</v>
      </c>
      <c r="T254" s="469">
        <f t="shared" si="22"/>
        <v>18.894929999999999</v>
      </c>
    </row>
    <row r="255" spans="1:20" s="469" customFormat="1">
      <c r="A255" s="469" t="str">
        <f t="shared" si="23"/>
        <v>KU</v>
      </c>
      <c r="B255" s="469" t="str">
        <f t="shared" si="24"/>
        <v>KY</v>
      </c>
      <c r="C255" s="469" t="str">
        <f t="shared" si="25"/>
        <v>355</v>
      </c>
      <c r="D255" s="470" t="s">
        <v>1821</v>
      </c>
      <c r="E255" s="468" t="str">
        <f t="shared" si="26"/>
        <v/>
      </c>
      <c r="F255" s="469">
        <v>77.922830000000005</v>
      </c>
      <c r="G255" s="469">
        <v>101.21032</v>
      </c>
      <c r="H255" s="469">
        <v>9.3531999999999993</v>
      </c>
      <c r="I255" s="469">
        <v>0</v>
      </c>
      <c r="J255" s="469">
        <v>3.68915999999999</v>
      </c>
      <c r="K255" s="469">
        <v>740.01580000000001</v>
      </c>
      <c r="L255" s="469">
        <v>188.7851</v>
      </c>
      <c r="M255" s="469">
        <v>614.70475999999996</v>
      </c>
      <c r="N255" s="469">
        <v>0</v>
      </c>
      <c r="O255" s="469">
        <v>0</v>
      </c>
      <c r="P255" s="469">
        <v>0</v>
      </c>
      <c r="Q255" s="469">
        <v>0</v>
      </c>
      <c r="R255" s="469">
        <v>0</v>
      </c>
      <c r="S255" s="469">
        <v>0</v>
      </c>
      <c r="T255" s="469">
        <f t="shared" si="22"/>
        <v>1556.5480200000002</v>
      </c>
    </row>
    <row r="256" spans="1:20" s="469" customFormat="1">
      <c r="A256" s="469" t="str">
        <f t="shared" si="23"/>
        <v>KU</v>
      </c>
      <c r="B256" s="469" t="str">
        <f t="shared" si="24"/>
        <v>VA</v>
      </c>
      <c r="C256" s="469" t="str">
        <f t="shared" si="25"/>
        <v>355</v>
      </c>
      <c r="D256" s="470" t="s">
        <v>1823</v>
      </c>
      <c r="E256" s="468" t="str">
        <f t="shared" si="26"/>
        <v/>
      </c>
      <c r="F256" s="469">
        <v>0</v>
      </c>
      <c r="G256" s="469">
        <v>0</v>
      </c>
      <c r="H256" s="469">
        <v>38.554850000000002</v>
      </c>
      <c r="I256" s="469">
        <v>0</v>
      </c>
      <c r="J256" s="469">
        <v>0</v>
      </c>
      <c r="K256" s="469">
        <v>100.14382000000001</v>
      </c>
      <c r="L256" s="469">
        <v>1.2614799999999999</v>
      </c>
      <c r="M256" s="469">
        <v>46.996049999999997</v>
      </c>
      <c r="N256" s="469">
        <v>0</v>
      </c>
      <c r="O256" s="469">
        <v>0</v>
      </c>
      <c r="P256" s="469">
        <v>0</v>
      </c>
      <c r="Q256" s="469">
        <v>0</v>
      </c>
      <c r="R256" s="469">
        <v>0</v>
      </c>
      <c r="S256" s="469">
        <v>0</v>
      </c>
      <c r="T256" s="469">
        <f t="shared" si="22"/>
        <v>186.9562</v>
      </c>
    </row>
    <row r="257" spans="1:20" s="469" customFormat="1">
      <c r="A257" s="469" t="str">
        <f t="shared" si="23"/>
        <v>KU</v>
      </c>
      <c r="B257" s="469" t="str">
        <f t="shared" si="24"/>
        <v>KY</v>
      </c>
      <c r="C257" s="469" t="str">
        <f t="shared" si="25"/>
        <v>356</v>
      </c>
      <c r="D257" s="470" t="s">
        <v>1824</v>
      </c>
      <c r="E257" s="468" t="str">
        <f t="shared" si="26"/>
        <v/>
      </c>
      <c r="F257" s="469">
        <v>6.0057900000000002</v>
      </c>
      <c r="G257" s="469">
        <v>11.27223</v>
      </c>
      <c r="H257" s="469">
        <v>1.0658799999999999</v>
      </c>
      <c r="I257" s="469">
        <v>0</v>
      </c>
      <c r="J257" s="469">
        <v>1.5146999999999999</v>
      </c>
      <c r="K257" s="469">
        <v>457.65312999999998</v>
      </c>
      <c r="L257" s="469">
        <v>252.17875000000001</v>
      </c>
      <c r="M257" s="469">
        <v>415.21620000000001</v>
      </c>
      <c r="N257" s="469">
        <v>0</v>
      </c>
      <c r="O257" s="469">
        <v>0</v>
      </c>
      <c r="P257" s="469">
        <v>0</v>
      </c>
      <c r="Q257" s="469">
        <v>0</v>
      </c>
      <c r="R257" s="469">
        <v>0</v>
      </c>
      <c r="S257" s="469">
        <v>0</v>
      </c>
      <c r="T257" s="469">
        <f t="shared" si="22"/>
        <v>1127.6286600000001</v>
      </c>
    </row>
    <row r="258" spans="1:20" s="469" customFormat="1">
      <c r="A258" s="469" t="str">
        <f t="shared" si="23"/>
        <v>KU</v>
      </c>
      <c r="B258" s="469" t="str">
        <f t="shared" si="24"/>
        <v>VA</v>
      </c>
      <c r="C258" s="469" t="str">
        <f t="shared" si="25"/>
        <v>356</v>
      </c>
      <c r="D258" s="470" t="s">
        <v>1826</v>
      </c>
      <c r="E258" s="468" t="str">
        <f t="shared" si="26"/>
        <v/>
      </c>
      <c r="F258" s="469">
        <v>0</v>
      </c>
      <c r="G258" s="469">
        <v>0</v>
      </c>
      <c r="H258" s="469">
        <v>1.6833400000000001</v>
      </c>
      <c r="I258" s="469">
        <v>0</v>
      </c>
      <c r="J258" s="469">
        <v>0</v>
      </c>
      <c r="K258" s="469">
        <v>8.3380100000000006</v>
      </c>
      <c r="L258" s="469">
        <v>34.467179999999999</v>
      </c>
      <c r="M258" s="469">
        <v>20.143090000000001</v>
      </c>
      <c r="N258" s="469">
        <v>0</v>
      </c>
      <c r="O258" s="469">
        <v>0</v>
      </c>
      <c r="P258" s="469">
        <v>0</v>
      </c>
      <c r="Q258" s="469">
        <v>0</v>
      </c>
      <c r="R258" s="469">
        <v>0</v>
      </c>
      <c r="S258" s="469">
        <v>0</v>
      </c>
      <c r="T258" s="469">
        <f t="shared" si="22"/>
        <v>64.631619999999998</v>
      </c>
    </row>
    <row r="259" spans="1:20" s="469" customFormat="1">
      <c r="A259" s="469" t="str">
        <f t="shared" si="23"/>
        <v>KU</v>
      </c>
      <c r="B259" s="469" t="str">
        <f t="shared" si="24"/>
        <v>KY</v>
      </c>
      <c r="C259" s="469" t="str">
        <f t="shared" si="25"/>
        <v>358</v>
      </c>
      <c r="D259" s="470" t="s">
        <v>1828</v>
      </c>
      <c r="E259" s="468" t="str">
        <f t="shared" si="26"/>
        <v/>
      </c>
      <c r="F259" s="469">
        <v>0</v>
      </c>
      <c r="G259" s="469">
        <v>0</v>
      </c>
      <c r="H259" s="469">
        <v>0</v>
      </c>
      <c r="I259" s="469">
        <v>0</v>
      </c>
      <c r="J259" s="469">
        <v>2.4120900000000001</v>
      </c>
      <c r="K259" s="469">
        <v>0</v>
      </c>
      <c r="L259" s="469">
        <v>0</v>
      </c>
      <c r="M259" s="469">
        <v>0</v>
      </c>
      <c r="N259" s="469">
        <v>0</v>
      </c>
      <c r="O259" s="469">
        <v>0</v>
      </c>
      <c r="P259" s="469">
        <v>0</v>
      </c>
      <c r="Q259" s="469">
        <v>0</v>
      </c>
      <c r="R259" s="469">
        <v>0</v>
      </c>
      <c r="S259" s="469">
        <v>0</v>
      </c>
      <c r="T259" s="469">
        <f t="shared" si="22"/>
        <v>2.4120900000000001</v>
      </c>
    </row>
    <row r="260" spans="1:20" s="469" customFormat="1">
      <c r="A260" s="469" t="str">
        <f t="shared" si="23"/>
        <v>KU</v>
      </c>
      <c r="B260" s="469" t="str">
        <f t="shared" si="24"/>
        <v>KY</v>
      </c>
      <c r="C260" s="469" t="str">
        <f t="shared" si="25"/>
        <v>361</v>
      </c>
      <c r="D260" s="470" t="s">
        <v>1834</v>
      </c>
      <c r="E260" s="468" t="str">
        <f t="shared" si="26"/>
        <v/>
      </c>
      <c r="F260" s="469">
        <v>0</v>
      </c>
      <c r="G260" s="469">
        <v>0</v>
      </c>
      <c r="H260" s="469">
        <v>0</v>
      </c>
      <c r="I260" s="469">
        <v>0</v>
      </c>
      <c r="J260" s="469">
        <v>1.03759</v>
      </c>
      <c r="K260" s="469">
        <v>8.43858</v>
      </c>
      <c r="L260" s="469">
        <v>0.18431999999999901</v>
      </c>
      <c r="M260" s="469">
        <v>0</v>
      </c>
      <c r="N260" s="469">
        <v>0</v>
      </c>
      <c r="O260" s="469">
        <v>0</v>
      </c>
      <c r="P260" s="469">
        <v>0</v>
      </c>
      <c r="Q260" s="469">
        <v>0</v>
      </c>
      <c r="R260" s="469">
        <v>0</v>
      </c>
      <c r="S260" s="469">
        <v>0</v>
      </c>
      <c r="T260" s="469">
        <f t="shared" si="22"/>
        <v>9.6604899999999994</v>
      </c>
    </row>
    <row r="261" spans="1:20" s="469" customFormat="1">
      <c r="A261" s="469" t="str">
        <f t="shared" si="23"/>
        <v>KU</v>
      </c>
      <c r="B261" s="469" t="str">
        <f t="shared" si="24"/>
        <v>VA</v>
      </c>
      <c r="C261" s="469" t="str">
        <f t="shared" si="25"/>
        <v>361</v>
      </c>
      <c r="D261" s="470" t="s">
        <v>1836</v>
      </c>
      <c r="E261" s="468" t="str">
        <f t="shared" si="26"/>
        <v/>
      </c>
      <c r="F261" s="469">
        <v>0</v>
      </c>
      <c r="G261" s="469">
        <v>0</v>
      </c>
      <c r="H261" s="469">
        <v>0</v>
      </c>
      <c r="I261" s="469">
        <v>0</v>
      </c>
      <c r="J261" s="469">
        <v>0</v>
      </c>
      <c r="K261" s="469">
        <v>0</v>
      </c>
      <c r="L261" s="469">
        <v>0.61946000000000001</v>
      </c>
      <c r="M261" s="469">
        <v>0</v>
      </c>
      <c r="N261" s="469">
        <v>0</v>
      </c>
      <c r="O261" s="469">
        <v>0</v>
      </c>
      <c r="P261" s="469">
        <v>0</v>
      </c>
      <c r="Q261" s="469">
        <v>0</v>
      </c>
      <c r="R261" s="469">
        <v>0</v>
      </c>
      <c r="S261" s="469">
        <v>0</v>
      </c>
      <c r="T261" s="469">
        <f t="shared" si="22"/>
        <v>0.61946000000000001</v>
      </c>
    </row>
    <row r="262" spans="1:20" s="469" customFormat="1">
      <c r="A262" s="469" t="str">
        <f t="shared" si="23"/>
        <v>KU</v>
      </c>
      <c r="B262" s="469" t="str">
        <f t="shared" si="24"/>
        <v>KY</v>
      </c>
      <c r="C262" s="469" t="str">
        <f t="shared" si="25"/>
        <v>362</v>
      </c>
      <c r="D262" s="470" t="s">
        <v>1837</v>
      </c>
      <c r="E262" s="468" t="str">
        <f t="shared" si="26"/>
        <v/>
      </c>
      <c r="F262" s="469">
        <v>2.46556</v>
      </c>
      <c r="G262" s="469">
        <v>207.11994000000001</v>
      </c>
      <c r="H262" s="469">
        <v>158.65645000000001</v>
      </c>
      <c r="I262" s="469">
        <v>91.119910000000004</v>
      </c>
      <c r="J262" s="469">
        <v>2.75095</v>
      </c>
      <c r="K262" s="469">
        <v>58.170920000000002</v>
      </c>
      <c r="L262" s="469">
        <v>0.10614</v>
      </c>
      <c r="M262" s="469">
        <v>9.6120699999999992</v>
      </c>
      <c r="N262" s="469">
        <v>69.141000000000005</v>
      </c>
      <c r="O262" s="469">
        <v>99.533000000000001</v>
      </c>
      <c r="P262" s="469">
        <v>68.959999999999994</v>
      </c>
      <c r="Q262" s="469">
        <v>188.69499999999999</v>
      </c>
      <c r="R262" s="469">
        <v>52.15</v>
      </c>
      <c r="S262" s="469">
        <v>86.674000000000007</v>
      </c>
      <c r="T262" s="469">
        <f t="shared" si="22"/>
        <v>885.5694400000001</v>
      </c>
    </row>
    <row r="263" spans="1:20" s="469" customFormat="1">
      <c r="A263" s="469" t="str">
        <f t="shared" si="23"/>
        <v>KU</v>
      </c>
      <c r="B263" s="469" t="str">
        <f t="shared" si="24"/>
        <v>VA</v>
      </c>
      <c r="C263" s="469" t="str">
        <f t="shared" si="25"/>
        <v>362</v>
      </c>
      <c r="D263" s="470" t="s">
        <v>1839</v>
      </c>
      <c r="E263" s="468" t="str">
        <f t="shared" si="26"/>
        <v/>
      </c>
      <c r="F263" s="469">
        <v>0</v>
      </c>
      <c r="G263" s="469">
        <v>0</v>
      </c>
      <c r="H263" s="469">
        <v>0</v>
      </c>
      <c r="I263" s="469">
        <v>4.5002599999999999</v>
      </c>
      <c r="J263" s="469">
        <v>0</v>
      </c>
      <c r="K263" s="469">
        <v>0</v>
      </c>
      <c r="L263" s="469">
        <v>0</v>
      </c>
      <c r="M263" s="469">
        <v>0</v>
      </c>
      <c r="N263" s="469">
        <v>0</v>
      </c>
      <c r="O263" s="469">
        <v>0</v>
      </c>
      <c r="P263" s="469">
        <v>0</v>
      </c>
      <c r="Q263" s="469">
        <v>0</v>
      </c>
      <c r="R263" s="469">
        <v>0</v>
      </c>
      <c r="S263" s="469">
        <v>0</v>
      </c>
      <c r="T263" s="469">
        <f t="shared" si="22"/>
        <v>4.5002599999999999</v>
      </c>
    </row>
    <row r="264" spans="1:20" s="469" customFormat="1">
      <c r="A264" s="469" t="str">
        <f t="shared" si="23"/>
        <v>KU</v>
      </c>
      <c r="B264" s="469" t="str">
        <f t="shared" si="24"/>
        <v>KY</v>
      </c>
      <c r="C264" s="469" t="str">
        <f t="shared" si="25"/>
        <v>364</v>
      </c>
      <c r="D264" s="470" t="s">
        <v>1840</v>
      </c>
      <c r="E264" s="468" t="str">
        <f t="shared" si="26"/>
        <v/>
      </c>
      <c r="F264" s="469">
        <v>3.0906899999999999</v>
      </c>
      <c r="G264" s="469">
        <v>0.21886</v>
      </c>
      <c r="H264" s="469">
        <v>16.409109999999998</v>
      </c>
      <c r="I264" s="469">
        <v>0</v>
      </c>
      <c r="J264" s="469">
        <v>89.702060000000003</v>
      </c>
      <c r="K264" s="469">
        <v>3.3622000000000001</v>
      </c>
      <c r="L264" s="469">
        <v>344.17748</v>
      </c>
      <c r="M264" s="469">
        <v>809.25986</v>
      </c>
      <c r="N264" s="469">
        <v>90.605999999999995</v>
      </c>
      <c r="O264" s="469">
        <v>130.43299999999999</v>
      </c>
      <c r="P264" s="469">
        <v>90.369</v>
      </c>
      <c r="Q264" s="469">
        <v>247.27500000000001</v>
      </c>
      <c r="R264" s="469">
        <v>68.34</v>
      </c>
      <c r="S264" s="469">
        <v>113.581</v>
      </c>
      <c r="T264" s="469">
        <f t="shared" si="22"/>
        <v>2003.5147099999999</v>
      </c>
    </row>
    <row r="265" spans="1:20" s="469" customFormat="1">
      <c r="A265" s="469" t="str">
        <f t="shared" si="23"/>
        <v>KU</v>
      </c>
      <c r="B265" s="469" t="str">
        <f t="shared" si="24"/>
        <v>VA</v>
      </c>
      <c r="C265" s="469" t="str">
        <f t="shared" si="25"/>
        <v>364</v>
      </c>
      <c r="D265" s="470" t="s">
        <v>1842</v>
      </c>
      <c r="E265" s="468" t="str">
        <f t="shared" si="26"/>
        <v/>
      </c>
      <c r="F265" s="469">
        <v>0</v>
      </c>
      <c r="G265" s="469">
        <v>0</v>
      </c>
      <c r="H265" s="469">
        <v>0</v>
      </c>
      <c r="I265" s="469">
        <v>0</v>
      </c>
      <c r="J265" s="469">
        <v>8.6072299999999995</v>
      </c>
      <c r="K265" s="469">
        <v>0</v>
      </c>
      <c r="L265" s="469">
        <v>26.621359999999999</v>
      </c>
      <c r="M265" s="469">
        <v>21.258880000000001</v>
      </c>
      <c r="N265" s="469">
        <v>0</v>
      </c>
      <c r="O265" s="469">
        <v>0</v>
      </c>
      <c r="P265" s="469">
        <v>0</v>
      </c>
      <c r="Q265" s="469">
        <v>0</v>
      </c>
      <c r="R265" s="469">
        <v>0</v>
      </c>
      <c r="S265" s="469">
        <v>0</v>
      </c>
      <c r="T265" s="469">
        <f t="shared" si="22"/>
        <v>56.487470000000002</v>
      </c>
    </row>
    <row r="266" spans="1:20" s="469" customFormat="1">
      <c r="A266" s="469" t="str">
        <f t="shared" si="23"/>
        <v>KU</v>
      </c>
      <c r="B266" s="469" t="str">
        <f t="shared" si="24"/>
        <v>KY</v>
      </c>
      <c r="C266" s="469" t="str">
        <f t="shared" si="25"/>
        <v>365</v>
      </c>
      <c r="D266" s="470" t="s">
        <v>1843</v>
      </c>
      <c r="E266" s="468" t="str">
        <f t="shared" si="26"/>
        <v/>
      </c>
      <c r="F266" s="469">
        <v>5.1086099999999997</v>
      </c>
      <c r="G266" s="469">
        <v>25.3187</v>
      </c>
      <c r="H266" s="469">
        <v>37.697000000000003</v>
      </c>
      <c r="I266" s="469">
        <v>0</v>
      </c>
      <c r="J266" s="469">
        <v>1052.59545</v>
      </c>
      <c r="K266" s="469">
        <v>671.51616999999999</v>
      </c>
      <c r="L266" s="469">
        <v>2538.65706</v>
      </c>
      <c r="M266" s="469">
        <v>3483.00191</v>
      </c>
      <c r="N266" s="469">
        <v>277.36900000000003</v>
      </c>
      <c r="O266" s="469">
        <v>399.28399999999999</v>
      </c>
      <c r="P266" s="469">
        <v>276.642</v>
      </c>
      <c r="Q266" s="469">
        <v>756.97400000000005</v>
      </c>
      <c r="R266" s="469">
        <v>209.20599999999999</v>
      </c>
      <c r="S266" s="469">
        <v>347.70299999999997</v>
      </c>
      <c r="T266" s="469">
        <f t="shared" si="22"/>
        <v>10050.645589999998</v>
      </c>
    </row>
    <row r="267" spans="1:20" s="469" customFormat="1">
      <c r="A267" s="469" t="str">
        <f t="shared" si="23"/>
        <v>KU</v>
      </c>
      <c r="B267" s="469" t="str">
        <f t="shared" si="24"/>
        <v>VA</v>
      </c>
      <c r="C267" s="469" t="str">
        <f t="shared" si="25"/>
        <v>365</v>
      </c>
      <c r="D267" s="470" t="s">
        <v>1845</v>
      </c>
      <c r="E267" s="468" t="str">
        <f t="shared" si="26"/>
        <v/>
      </c>
      <c r="F267" s="469">
        <v>0</v>
      </c>
      <c r="G267" s="469">
        <v>0</v>
      </c>
      <c r="H267" s="469">
        <v>0</v>
      </c>
      <c r="I267" s="469">
        <v>0</v>
      </c>
      <c r="J267" s="469">
        <v>122.91755999999999</v>
      </c>
      <c r="K267" s="469">
        <v>0</v>
      </c>
      <c r="L267" s="469">
        <v>141.02500000000001</v>
      </c>
      <c r="M267" s="469">
        <v>65.791839999999993</v>
      </c>
      <c r="N267" s="469">
        <v>0</v>
      </c>
      <c r="O267" s="469">
        <v>0</v>
      </c>
      <c r="P267" s="469">
        <v>0</v>
      </c>
      <c r="Q267" s="469">
        <v>0</v>
      </c>
      <c r="R267" s="469">
        <v>0</v>
      </c>
      <c r="S267" s="469">
        <v>0</v>
      </c>
      <c r="T267" s="469">
        <f t="shared" si="22"/>
        <v>329.73439999999999</v>
      </c>
    </row>
    <row r="268" spans="1:20" s="469" customFormat="1">
      <c r="A268" s="469" t="str">
        <f t="shared" si="23"/>
        <v>KU</v>
      </c>
      <c r="B268" s="469" t="str">
        <f t="shared" si="24"/>
        <v>KY</v>
      </c>
      <c r="C268" s="469" t="str">
        <f t="shared" si="25"/>
        <v>366</v>
      </c>
      <c r="D268" s="470" t="s">
        <v>1846</v>
      </c>
      <c r="E268" s="468" t="str">
        <f t="shared" si="26"/>
        <v/>
      </c>
      <c r="F268" s="469">
        <v>0</v>
      </c>
      <c r="G268" s="469">
        <v>0</v>
      </c>
      <c r="H268" s="469">
        <v>0</v>
      </c>
      <c r="I268" s="469">
        <v>2.1860599999999999</v>
      </c>
      <c r="J268" s="469">
        <v>0</v>
      </c>
      <c r="K268" s="469">
        <v>0</v>
      </c>
      <c r="L268" s="469">
        <v>0</v>
      </c>
      <c r="M268" s="469">
        <v>0</v>
      </c>
      <c r="N268" s="469">
        <v>0</v>
      </c>
      <c r="O268" s="469">
        <v>0</v>
      </c>
      <c r="P268" s="469">
        <v>0</v>
      </c>
      <c r="Q268" s="469">
        <v>0</v>
      </c>
      <c r="R268" s="469">
        <v>0</v>
      </c>
      <c r="S268" s="469">
        <v>0</v>
      </c>
      <c r="T268" s="469">
        <f t="shared" si="22"/>
        <v>2.1860599999999999</v>
      </c>
    </row>
    <row r="269" spans="1:20" s="469" customFormat="1">
      <c r="A269" s="469" t="str">
        <f t="shared" si="23"/>
        <v>KU</v>
      </c>
      <c r="B269" s="469" t="str">
        <f t="shared" si="24"/>
        <v>KY</v>
      </c>
      <c r="C269" s="469" t="str">
        <f t="shared" si="25"/>
        <v>367</v>
      </c>
      <c r="D269" s="470" t="s">
        <v>1847</v>
      </c>
      <c r="E269" s="468" t="str">
        <f t="shared" si="26"/>
        <v/>
      </c>
      <c r="F269" s="469">
        <v>0</v>
      </c>
      <c r="G269" s="469">
        <v>105.41127</v>
      </c>
      <c r="H269" s="469">
        <v>0</v>
      </c>
      <c r="I269" s="469">
        <v>39.20438</v>
      </c>
      <c r="J269" s="469">
        <v>1.82195</v>
      </c>
      <c r="K269" s="469">
        <v>6.2025800000000002</v>
      </c>
      <c r="L269" s="469">
        <v>100.69031</v>
      </c>
      <c r="M269" s="469">
        <v>534.05487000000005</v>
      </c>
      <c r="N269" s="469">
        <v>0</v>
      </c>
      <c r="O269" s="469">
        <v>0</v>
      </c>
      <c r="P269" s="469">
        <v>0</v>
      </c>
      <c r="Q269" s="469">
        <v>0</v>
      </c>
      <c r="R269" s="469">
        <v>0</v>
      </c>
      <c r="S269" s="469">
        <v>0</v>
      </c>
      <c r="T269" s="469">
        <f t="shared" si="22"/>
        <v>681.97409000000005</v>
      </c>
    </row>
    <row r="270" spans="1:20" s="469" customFormat="1">
      <c r="A270" s="469" t="str">
        <f t="shared" si="23"/>
        <v>KU</v>
      </c>
      <c r="B270" s="469" t="str">
        <f t="shared" si="24"/>
        <v>VA</v>
      </c>
      <c r="C270" s="469" t="str">
        <f t="shared" si="25"/>
        <v>367</v>
      </c>
      <c r="D270" s="470" t="s">
        <v>1848</v>
      </c>
      <c r="E270" s="468" t="str">
        <f t="shared" si="26"/>
        <v/>
      </c>
      <c r="F270" s="469">
        <v>0</v>
      </c>
      <c r="G270" s="469">
        <v>0</v>
      </c>
      <c r="H270" s="469">
        <v>0</v>
      </c>
      <c r="I270" s="469">
        <v>0</v>
      </c>
      <c r="J270" s="469">
        <v>0</v>
      </c>
      <c r="K270" s="469">
        <v>0</v>
      </c>
      <c r="L270" s="469">
        <v>2.2775699999999999</v>
      </c>
      <c r="M270" s="469">
        <v>4.8210899999999999</v>
      </c>
      <c r="N270" s="469">
        <v>0</v>
      </c>
      <c r="O270" s="469">
        <v>0</v>
      </c>
      <c r="P270" s="469">
        <v>0</v>
      </c>
      <c r="Q270" s="469">
        <v>0</v>
      </c>
      <c r="R270" s="469">
        <v>0</v>
      </c>
      <c r="S270" s="469">
        <v>0</v>
      </c>
      <c r="T270" s="469">
        <f t="shared" si="22"/>
        <v>7.0986599999999997</v>
      </c>
    </row>
    <row r="271" spans="1:20" s="469" customFormat="1">
      <c r="A271" s="469" t="str">
        <f t="shared" si="23"/>
        <v>KU</v>
      </c>
      <c r="B271" s="469" t="str">
        <f t="shared" si="24"/>
        <v>KY</v>
      </c>
      <c r="C271" s="469" t="str">
        <f t="shared" si="25"/>
        <v>368</v>
      </c>
      <c r="D271" s="470" t="s">
        <v>1849</v>
      </c>
      <c r="E271" s="468" t="str">
        <f t="shared" si="26"/>
        <v/>
      </c>
      <c r="F271" s="469">
        <v>0</v>
      </c>
      <c r="G271" s="469">
        <v>2.5457800000000002</v>
      </c>
      <c r="H271" s="469">
        <v>0</v>
      </c>
      <c r="I271" s="469">
        <v>0</v>
      </c>
      <c r="J271" s="469">
        <v>692.47266999999999</v>
      </c>
      <c r="K271" s="469">
        <v>0.47488000000000002</v>
      </c>
      <c r="L271" s="469">
        <v>0.29408000000000001</v>
      </c>
      <c r="M271" s="469">
        <v>129.71656999999999</v>
      </c>
      <c r="N271" s="469">
        <v>91.462000000000003</v>
      </c>
      <c r="O271" s="469">
        <v>131.66499999999999</v>
      </c>
      <c r="P271" s="469">
        <v>91.222999999999999</v>
      </c>
      <c r="Q271" s="469">
        <v>249.61199999999999</v>
      </c>
      <c r="R271" s="469">
        <v>68.986000000000004</v>
      </c>
      <c r="S271" s="469">
        <v>114.655</v>
      </c>
      <c r="T271" s="469">
        <f t="shared" si="22"/>
        <v>1570.5612000000001</v>
      </c>
    </row>
    <row r="272" spans="1:20" s="469" customFormat="1">
      <c r="A272" s="469" t="str">
        <f t="shared" si="23"/>
        <v>KU</v>
      </c>
      <c r="B272" s="469" t="str">
        <f t="shared" si="24"/>
        <v>VA</v>
      </c>
      <c r="C272" s="469" t="str">
        <f t="shared" si="25"/>
        <v>368</v>
      </c>
      <c r="D272" s="470" t="s">
        <v>1851</v>
      </c>
      <c r="E272" s="468" t="str">
        <f t="shared" si="26"/>
        <v/>
      </c>
      <c r="F272" s="469">
        <v>0</v>
      </c>
      <c r="G272" s="469">
        <v>0</v>
      </c>
      <c r="H272" s="469">
        <v>0</v>
      </c>
      <c r="I272" s="469">
        <v>0</v>
      </c>
      <c r="J272" s="469">
        <v>608.24415999999997</v>
      </c>
      <c r="K272" s="469">
        <v>0</v>
      </c>
      <c r="L272" s="469">
        <v>0</v>
      </c>
      <c r="M272" s="469">
        <v>19.826419999999999</v>
      </c>
      <c r="N272" s="469">
        <v>0</v>
      </c>
      <c r="O272" s="469">
        <v>0</v>
      </c>
      <c r="P272" s="469">
        <v>0</v>
      </c>
      <c r="Q272" s="469">
        <v>0</v>
      </c>
      <c r="R272" s="469">
        <v>0</v>
      </c>
      <c r="S272" s="469">
        <v>0</v>
      </c>
      <c r="T272" s="469">
        <f t="shared" si="22"/>
        <v>628.07057999999995</v>
      </c>
    </row>
    <row r="273" spans="1:20" s="469" customFormat="1">
      <c r="A273" s="469" t="str">
        <f t="shared" si="23"/>
        <v>KU</v>
      </c>
      <c r="B273" s="469" t="str">
        <f t="shared" si="24"/>
        <v>KY</v>
      </c>
      <c r="C273" s="469" t="str">
        <f t="shared" si="25"/>
        <v>369</v>
      </c>
      <c r="D273" s="470" t="s">
        <v>1852</v>
      </c>
      <c r="E273" s="468" t="str">
        <f t="shared" si="26"/>
        <v/>
      </c>
      <c r="F273" s="469">
        <v>0</v>
      </c>
      <c r="G273" s="469">
        <v>0</v>
      </c>
      <c r="H273" s="469">
        <v>0</v>
      </c>
      <c r="I273" s="469">
        <v>0</v>
      </c>
      <c r="J273" s="469">
        <v>0</v>
      </c>
      <c r="K273" s="469">
        <v>0</v>
      </c>
      <c r="L273" s="469">
        <v>0</v>
      </c>
      <c r="M273" s="469">
        <v>224.23982000000001</v>
      </c>
      <c r="N273" s="469">
        <v>0</v>
      </c>
      <c r="O273" s="469">
        <v>0</v>
      </c>
      <c r="P273" s="469">
        <v>0</v>
      </c>
      <c r="Q273" s="469">
        <v>0</v>
      </c>
      <c r="R273" s="469">
        <v>0</v>
      </c>
      <c r="S273" s="469">
        <v>0</v>
      </c>
      <c r="T273" s="469">
        <f t="shared" si="22"/>
        <v>224.23982000000001</v>
      </c>
    </row>
    <row r="274" spans="1:20" s="469" customFormat="1">
      <c r="A274" s="469" t="str">
        <f t="shared" si="23"/>
        <v>KU</v>
      </c>
      <c r="B274" s="469" t="str">
        <f t="shared" si="24"/>
        <v>VA</v>
      </c>
      <c r="C274" s="469" t="str">
        <f t="shared" si="25"/>
        <v>369</v>
      </c>
      <c r="D274" s="470" t="s">
        <v>1854</v>
      </c>
      <c r="E274" s="468" t="str">
        <f t="shared" si="26"/>
        <v/>
      </c>
      <c r="F274" s="469">
        <v>0</v>
      </c>
      <c r="G274" s="469">
        <v>0</v>
      </c>
      <c r="H274" s="469">
        <v>0</v>
      </c>
      <c r="I274" s="469">
        <v>0</v>
      </c>
      <c r="J274" s="469">
        <v>0</v>
      </c>
      <c r="K274" s="469">
        <v>0</v>
      </c>
      <c r="L274" s="469">
        <v>0</v>
      </c>
      <c r="M274" s="469">
        <v>7.56332</v>
      </c>
      <c r="N274" s="469">
        <v>0</v>
      </c>
      <c r="O274" s="469">
        <v>0</v>
      </c>
      <c r="P274" s="469">
        <v>0</v>
      </c>
      <c r="Q274" s="469">
        <v>0</v>
      </c>
      <c r="R274" s="469">
        <v>0</v>
      </c>
      <c r="S274" s="469">
        <v>0</v>
      </c>
      <c r="T274" s="469">
        <f t="shared" si="22"/>
        <v>7.56332</v>
      </c>
    </row>
    <row r="275" spans="1:20" s="469" customFormat="1">
      <c r="A275" s="469" t="str">
        <f t="shared" si="23"/>
        <v>KU</v>
      </c>
      <c r="B275" s="469" t="str">
        <f t="shared" si="24"/>
        <v>KY</v>
      </c>
      <c r="C275" s="469" t="str">
        <f t="shared" si="25"/>
        <v>370</v>
      </c>
      <c r="D275" s="470" t="s">
        <v>1855</v>
      </c>
      <c r="E275" s="468" t="str">
        <f t="shared" si="26"/>
        <v/>
      </c>
      <c r="F275" s="469">
        <v>0</v>
      </c>
      <c r="G275" s="469">
        <v>0</v>
      </c>
      <c r="H275" s="469">
        <v>74.492829999999998</v>
      </c>
      <c r="I275" s="469">
        <v>0</v>
      </c>
      <c r="J275" s="469">
        <v>0</v>
      </c>
      <c r="K275" s="469">
        <v>0</v>
      </c>
      <c r="L275" s="469">
        <v>0</v>
      </c>
      <c r="M275" s="469">
        <v>69.448949999999996</v>
      </c>
      <c r="N275" s="469">
        <v>0</v>
      </c>
      <c r="O275" s="469">
        <v>0</v>
      </c>
      <c r="P275" s="469">
        <v>0</v>
      </c>
      <c r="Q275" s="469">
        <v>0</v>
      </c>
      <c r="R275" s="469">
        <v>0</v>
      </c>
      <c r="S275" s="469">
        <v>0</v>
      </c>
      <c r="T275" s="469">
        <f t="shared" si="22"/>
        <v>143.94177999999999</v>
      </c>
    </row>
    <row r="276" spans="1:20" s="469" customFormat="1">
      <c r="A276" s="469" t="str">
        <f t="shared" si="23"/>
        <v>KU</v>
      </c>
      <c r="B276" s="469" t="str">
        <f t="shared" si="24"/>
        <v>TN</v>
      </c>
      <c r="C276" s="469" t="str">
        <f t="shared" si="25"/>
        <v>370</v>
      </c>
      <c r="D276" s="470" t="s">
        <v>1856</v>
      </c>
      <c r="E276" s="468" t="str">
        <f t="shared" si="26"/>
        <v/>
      </c>
      <c r="F276" s="469">
        <v>0</v>
      </c>
      <c r="G276" s="469">
        <v>0</v>
      </c>
      <c r="H276" s="469">
        <v>0</v>
      </c>
      <c r="I276" s="469">
        <v>0</v>
      </c>
      <c r="J276" s="469">
        <v>0</v>
      </c>
      <c r="K276" s="469">
        <v>0</v>
      </c>
      <c r="L276" s="469">
        <v>0</v>
      </c>
      <c r="M276" s="469">
        <v>0</v>
      </c>
      <c r="N276" s="469">
        <v>0</v>
      </c>
      <c r="O276" s="469">
        <v>0</v>
      </c>
      <c r="P276" s="469">
        <v>0</v>
      </c>
      <c r="Q276" s="469">
        <v>0</v>
      </c>
      <c r="R276" s="469">
        <v>0</v>
      </c>
      <c r="S276" s="469">
        <v>0</v>
      </c>
      <c r="T276" s="469">
        <f t="shared" si="22"/>
        <v>0</v>
      </c>
    </row>
    <row r="277" spans="1:20" s="469" customFormat="1">
      <c r="A277" s="469" t="str">
        <f t="shared" si="23"/>
        <v>KU</v>
      </c>
      <c r="B277" s="469" t="str">
        <f t="shared" si="24"/>
        <v>VA</v>
      </c>
      <c r="C277" s="469" t="str">
        <f t="shared" si="25"/>
        <v>370</v>
      </c>
      <c r="D277" s="470" t="s">
        <v>1857</v>
      </c>
      <c r="E277" s="468" t="str">
        <f t="shared" si="26"/>
        <v/>
      </c>
      <c r="F277" s="469">
        <v>0</v>
      </c>
      <c r="G277" s="469">
        <v>0</v>
      </c>
      <c r="H277" s="469">
        <v>1.4916700000000001</v>
      </c>
      <c r="I277" s="469">
        <v>0</v>
      </c>
      <c r="J277" s="469">
        <v>0</v>
      </c>
      <c r="K277" s="469">
        <v>0</v>
      </c>
      <c r="L277" s="469">
        <v>0</v>
      </c>
      <c r="M277" s="469">
        <v>8.0215200000000006</v>
      </c>
      <c r="N277" s="469">
        <v>0</v>
      </c>
      <c r="O277" s="469">
        <v>0</v>
      </c>
      <c r="P277" s="469">
        <v>0</v>
      </c>
      <c r="Q277" s="469">
        <v>0</v>
      </c>
      <c r="R277" s="469">
        <v>0</v>
      </c>
      <c r="S277" s="469">
        <v>0</v>
      </c>
      <c r="T277" s="469">
        <f t="shared" si="22"/>
        <v>9.5131900000000016</v>
      </c>
    </row>
    <row r="278" spans="1:20" s="469" customFormat="1">
      <c r="A278" s="469" t="str">
        <f t="shared" si="23"/>
        <v>KU</v>
      </c>
      <c r="B278" s="469" t="str">
        <f t="shared" si="24"/>
        <v>KY</v>
      </c>
      <c r="C278" s="469" t="str">
        <f t="shared" si="25"/>
        <v>371</v>
      </c>
      <c r="D278" s="470" t="s">
        <v>1858</v>
      </c>
      <c r="E278" s="468" t="str">
        <f t="shared" si="26"/>
        <v/>
      </c>
      <c r="F278" s="469">
        <v>0</v>
      </c>
      <c r="G278" s="469">
        <v>0.72224999999999995</v>
      </c>
      <c r="H278" s="469">
        <v>0</v>
      </c>
      <c r="I278" s="469">
        <v>0</v>
      </c>
      <c r="J278" s="469">
        <v>0</v>
      </c>
      <c r="K278" s="469">
        <v>0</v>
      </c>
      <c r="L278" s="469">
        <v>0</v>
      </c>
      <c r="M278" s="469">
        <v>0</v>
      </c>
      <c r="N278" s="469">
        <v>0</v>
      </c>
      <c r="O278" s="469">
        <v>0</v>
      </c>
      <c r="P278" s="469">
        <v>0</v>
      </c>
      <c r="Q278" s="469">
        <v>0</v>
      </c>
      <c r="R278" s="469">
        <v>0</v>
      </c>
      <c r="S278" s="469">
        <v>0</v>
      </c>
      <c r="T278" s="469">
        <f t="shared" si="22"/>
        <v>0</v>
      </c>
    </row>
    <row r="279" spans="1:20" s="469" customFormat="1">
      <c r="A279" s="469" t="str">
        <f t="shared" si="23"/>
        <v>KU</v>
      </c>
      <c r="B279" s="469" t="str">
        <f t="shared" si="24"/>
        <v>KY</v>
      </c>
      <c r="C279" s="469" t="str">
        <f t="shared" si="25"/>
        <v>373</v>
      </c>
      <c r="D279" s="470" t="s">
        <v>1860</v>
      </c>
      <c r="E279" s="468" t="str">
        <f t="shared" si="26"/>
        <v/>
      </c>
      <c r="F279" s="469">
        <v>0</v>
      </c>
      <c r="G279" s="469">
        <v>0</v>
      </c>
      <c r="H279" s="469">
        <v>2.6059600000000001</v>
      </c>
      <c r="I279" s="469">
        <v>0</v>
      </c>
      <c r="J279" s="469">
        <v>16.084990000000001</v>
      </c>
      <c r="K279" s="469">
        <v>0</v>
      </c>
      <c r="L279" s="469">
        <v>4086.6472699999999</v>
      </c>
      <c r="M279" s="469">
        <v>405.63596000000001</v>
      </c>
      <c r="N279" s="469">
        <v>176.11600000000001</v>
      </c>
      <c r="O279" s="469">
        <v>253.529</v>
      </c>
      <c r="P279" s="469">
        <v>-175.654</v>
      </c>
      <c r="Q279" s="469">
        <v>480.642</v>
      </c>
      <c r="R279" s="469">
        <v>132.83600000000001</v>
      </c>
      <c r="S279" s="469">
        <v>220.774</v>
      </c>
      <c r="T279" s="469">
        <f t="shared" si="22"/>
        <v>5599.2171799999996</v>
      </c>
    </row>
    <row r="280" spans="1:20" s="469" customFormat="1">
      <c r="A280" s="469" t="str">
        <f t="shared" si="23"/>
        <v>KU</v>
      </c>
      <c r="B280" s="469" t="str">
        <f t="shared" si="24"/>
        <v>VA</v>
      </c>
      <c r="C280" s="469" t="str">
        <f t="shared" si="25"/>
        <v>373</v>
      </c>
      <c r="D280" s="470" t="s">
        <v>1861</v>
      </c>
      <c r="E280" s="468" t="str">
        <f t="shared" si="26"/>
        <v/>
      </c>
      <c r="F280" s="469">
        <v>0</v>
      </c>
      <c r="G280" s="469">
        <v>0</v>
      </c>
      <c r="H280" s="469">
        <v>0</v>
      </c>
      <c r="I280" s="469">
        <v>0</v>
      </c>
      <c r="J280" s="469">
        <v>1.80664</v>
      </c>
      <c r="K280" s="469">
        <v>0</v>
      </c>
      <c r="L280" s="469">
        <v>101.09474</v>
      </c>
      <c r="M280" s="469">
        <v>0.23849999999999999</v>
      </c>
      <c r="N280" s="469">
        <v>0</v>
      </c>
      <c r="O280" s="469">
        <v>0</v>
      </c>
      <c r="P280" s="469">
        <v>0</v>
      </c>
      <c r="Q280" s="469">
        <v>0</v>
      </c>
      <c r="R280" s="469">
        <v>0</v>
      </c>
      <c r="S280" s="469">
        <v>0</v>
      </c>
      <c r="T280" s="469">
        <f t="shared" si="22"/>
        <v>103.13988000000001</v>
      </c>
    </row>
    <row r="281" spans="1:20" s="469" customFormat="1">
      <c r="A281" s="469" t="str">
        <f t="shared" si="23"/>
        <v>KU</v>
      </c>
      <c r="B281" s="469" t="str">
        <f t="shared" si="24"/>
        <v>KY</v>
      </c>
      <c r="C281" s="469" t="str">
        <f t="shared" si="25"/>
        <v>374</v>
      </c>
      <c r="D281" s="470" t="s">
        <v>1862</v>
      </c>
      <c r="E281" s="468" t="str">
        <f t="shared" si="26"/>
        <v>ARO</v>
      </c>
      <c r="F281" s="469">
        <v>0</v>
      </c>
      <c r="G281" s="469">
        <v>0</v>
      </c>
      <c r="H281" s="469">
        <v>0</v>
      </c>
      <c r="I281" s="469">
        <v>0</v>
      </c>
      <c r="J281" s="469">
        <v>0</v>
      </c>
      <c r="K281" s="469">
        <v>0</v>
      </c>
      <c r="L281" s="469">
        <v>0</v>
      </c>
      <c r="M281" s="469">
        <v>2.79853</v>
      </c>
      <c r="N281" s="469">
        <v>0</v>
      </c>
      <c r="O281" s="469">
        <v>0</v>
      </c>
      <c r="P281" s="469">
        <v>0</v>
      </c>
      <c r="Q281" s="469">
        <v>0</v>
      </c>
      <c r="R281" s="469">
        <v>0</v>
      </c>
      <c r="S281" s="469">
        <v>0</v>
      </c>
      <c r="T281" s="469">
        <f t="shared" si="22"/>
        <v>2.79853</v>
      </c>
    </row>
    <row r="282" spans="1:20" s="469" customFormat="1">
      <c r="A282" s="469" t="str">
        <f t="shared" si="23"/>
        <v>KU</v>
      </c>
      <c r="B282" s="469" t="str">
        <f t="shared" si="24"/>
        <v>KY</v>
      </c>
      <c r="C282" s="469" t="str">
        <f t="shared" si="25"/>
        <v>390</v>
      </c>
      <c r="D282" s="470" t="s">
        <v>1865</v>
      </c>
      <c r="E282" s="468" t="str">
        <f t="shared" si="26"/>
        <v/>
      </c>
      <c r="F282" s="469">
        <v>0</v>
      </c>
      <c r="G282" s="469">
        <v>0</v>
      </c>
      <c r="H282" s="469">
        <v>0</v>
      </c>
      <c r="I282" s="469">
        <v>0</v>
      </c>
      <c r="J282" s="469">
        <v>0</v>
      </c>
      <c r="K282" s="469">
        <v>0</v>
      </c>
      <c r="L282" s="469">
        <v>0.15012</v>
      </c>
      <c r="M282" s="469">
        <v>0</v>
      </c>
      <c r="N282" s="469">
        <v>0</v>
      </c>
      <c r="O282" s="469">
        <v>0</v>
      </c>
      <c r="P282" s="469">
        <v>0</v>
      </c>
      <c r="Q282" s="469">
        <v>0</v>
      </c>
      <c r="R282" s="469">
        <v>0</v>
      </c>
      <c r="S282" s="469">
        <v>0</v>
      </c>
      <c r="T282" s="469">
        <f t="shared" si="22"/>
        <v>0.15012</v>
      </c>
    </row>
    <row r="283" spans="1:20" s="469" customFormat="1">
      <c r="A283" s="469" t="str">
        <f t="shared" si="23"/>
        <v>KU</v>
      </c>
      <c r="B283" s="469" t="str">
        <f t="shared" si="24"/>
        <v>KY</v>
      </c>
      <c r="C283" s="469" t="str">
        <f t="shared" si="25"/>
        <v>390</v>
      </c>
      <c r="D283" s="470" t="s">
        <v>1866</v>
      </c>
      <c r="E283" s="468" t="str">
        <f t="shared" si="26"/>
        <v/>
      </c>
      <c r="F283" s="469">
        <v>0</v>
      </c>
      <c r="G283" s="469">
        <v>22.97916</v>
      </c>
      <c r="H283" s="469">
        <v>0</v>
      </c>
      <c r="I283" s="469">
        <v>0</v>
      </c>
      <c r="J283" s="469">
        <v>0</v>
      </c>
      <c r="K283" s="469">
        <v>1.37507</v>
      </c>
      <c r="L283" s="469">
        <v>1.59413</v>
      </c>
      <c r="M283" s="469">
        <v>320.06438000000003</v>
      </c>
      <c r="N283" s="469">
        <v>0</v>
      </c>
      <c r="O283" s="469">
        <v>0</v>
      </c>
      <c r="P283" s="469">
        <v>0</v>
      </c>
      <c r="Q283" s="469">
        <v>0</v>
      </c>
      <c r="R283" s="469">
        <v>0</v>
      </c>
      <c r="S283" s="469">
        <v>0</v>
      </c>
      <c r="T283" s="469">
        <f t="shared" si="22"/>
        <v>323.03358000000003</v>
      </c>
    </row>
    <row r="284" spans="1:20" s="469" customFormat="1">
      <c r="A284" s="469" t="str">
        <f t="shared" si="23"/>
        <v>KU</v>
      </c>
      <c r="B284" s="469" t="str">
        <f t="shared" si="24"/>
        <v>VA</v>
      </c>
      <c r="C284" s="469" t="str">
        <f t="shared" si="25"/>
        <v>390</v>
      </c>
      <c r="D284" s="470" t="s">
        <v>1867</v>
      </c>
      <c r="E284" s="468" t="str">
        <f t="shared" si="26"/>
        <v/>
      </c>
      <c r="F284" s="469">
        <v>0</v>
      </c>
      <c r="G284" s="469">
        <v>0</v>
      </c>
      <c r="H284" s="469">
        <v>1.3584099999999999</v>
      </c>
      <c r="I284" s="469">
        <v>0</v>
      </c>
      <c r="J284" s="469">
        <v>0</v>
      </c>
      <c r="K284" s="469">
        <v>0</v>
      </c>
      <c r="L284" s="469">
        <v>0</v>
      </c>
      <c r="M284" s="469">
        <v>0</v>
      </c>
      <c r="N284" s="469">
        <v>0</v>
      </c>
      <c r="O284" s="469">
        <v>0</v>
      </c>
      <c r="P284" s="469">
        <v>0</v>
      </c>
      <c r="Q284" s="469">
        <v>0</v>
      </c>
      <c r="R284" s="469">
        <v>0</v>
      </c>
      <c r="S284" s="469">
        <v>0</v>
      </c>
      <c r="T284" s="469">
        <f t="shared" si="22"/>
        <v>1.3584099999999999</v>
      </c>
    </row>
    <row r="285" spans="1:20" s="469" customFormat="1">
      <c r="A285" s="469" t="str">
        <f t="shared" si="23"/>
        <v>KU</v>
      </c>
      <c r="B285" s="469" t="str">
        <f t="shared" si="24"/>
        <v>KY</v>
      </c>
      <c r="C285" s="469" t="str">
        <f t="shared" si="25"/>
        <v>391</v>
      </c>
      <c r="D285" s="470" t="s">
        <v>1868</v>
      </c>
      <c r="E285" s="468" t="str">
        <f t="shared" si="26"/>
        <v/>
      </c>
      <c r="F285" s="469">
        <v>0</v>
      </c>
      <c r="G285" s="469">
        <v>0</v>
      </c>
      <c r="H285" s="469">
        <v>0</v>
      </c>
      <c r="I285" s="469">
        <v>0</v>
      </c>
      <c r="J285" s="469">
        <v>0</v>
      </c>
      <c r="K285" s="469">
        <v>3161.4524500000002</v>
      </c>
      <c r="L285" s="469">
        <v>0</v>
      </c>
      <c r="M285" s="469">
        <v>0</v>
      </c>
      <c r="N285" s="469">
        <v>45.715000000000003</v>
      </c>
      <c r="O285" s="469">
        <v>14.898</v>
      </c>
      <c r="P285" s="469">
        <v>0</v>
      </c>
      <c r="Q285" s="469">
        <v>45.433999999999997</v>
      </c>
      <c r="R285" s="469">
        <v>0</v>
      </c>
      <c r="S285" s="469">
        <v>0</v>
      </c>
      <c r="T285" s="469">
        <f t="shared" si="22"/>
        <v>3267.4994500000007</v>
      </c>
    </row>
    <row r="286" spans="1:20" s="469" customFormat="1">
      <c r="A286" s="469" t="str">
        <f t="shared" si="23"/>
        <v>KU</v>
      </c>
      <c r="B286" s="469" t="str">
        <f t="shared" si="24"/>
        <v>KY</v>
      </c>
      <c r="C286" s="469" t="str">
        <f t="shared" si="25"/>
        <v>391</v>
      </c>
      <c r="D286" s="470" t="s">
        <v>1869</v>
      </c>
      <c r="E286" s="468" t="str">
        <f t="shared" si="26"/>
        <v/>
      </c>
      <c r="F286" s="469">
        <v>194.10719</v>
      </c>
      <c r="G286" s="469">
        <v>159.74010999999999</v>
      </c>
      <c r="H286" s="469">
        <v>117.89131</v>
      </c>
      <c r="I286" s="469">
        <v>694.37900999999999</v>
      </c>
      <c r="J286" s="469">
        <v>1585.9329499999999</v>
      </c>
      <c r="K286" s="469">
        <v>968.11913000000004</v>
      </c>
      <c r="L286" s="469">
        <v>0</v>
      </c>
      <c r="M286" s="469">
        <v>356.48710999999997</v>
      </c>
      <c r="N286" s="469">
        <v>212.02600000000001</v>
      </c>
      <c r="O286" s="469">
        <v>660.49099999999999</v>
      </c>
      <c r="P286" s="469">
        <v>93.626000000000005</v>
      </c>
      <c r="Q286" s="469">
        <v>210.46199999999999</v>
      </c>
      <c r="R286" s="469">
        <v>572.81500000000005</v>
      </c>
      <c r="S286" s="469">
        <v>8.8330000000000002</v>
      </c>
      <c r="T286" s="469">
        <f t="shared" si="22"/>
        <v>5481.0625100000007</v>
      </c>
    </row>
    <row r="287" spans="1:20" s="469" customFormat="1">
      <c r="A287" s="469" t="str">
        <f t="shared" si="23"/>
        <v>KU</v>
      </c>
      <c r="B287" s="469" t="str">
        <f t="shared" si="24"/>
        <v>VA</v>
      </c>
      <c r="C287" s="469" t="str">
        <f t="shared" si="25"/>
        <v>391</v>
      </c>
      <c r="D287" s="470" t="s">
        <v>1870</v>
      </c>
      <c r="E287" s="468" t="str">
        <f t="shared" si="26"/>
        <v/>
      </c>
      <c r="F287" s="469">
        <v>0</v>
      </c>
      <c r="G287" s="469">
        <v>0</v>
      </c>
      <c r="H287" s="469">
        <v>0</v>
      </c>
      <c r="I287" s="469">
        <v>0</v>
      </c>
      <c r="J287" s="469">
        <v>0</v>
      </c>
      <c r="K287" s="469">
        <v>7.3977599999999999</v>
      </c>
      <c r="L287" s="469">
        <v>0</v>
      </c>
      <c r="M287" s="469">
        <v>0</v>
      </c>
      <c r="N287" s="469">
        <v>0</v>
      </c>
      <c r="O287" s="469">
        <v>0</v>
      </c>
      <c r="P287" s="469">
        <v>0</v>
      </c>
      <c r="Q287" s="469">
        <v>0</v>
      </c>
      <c r="R287" s="469">
        <v>0</v>
      </c>
      <c r="S287" s="469">
        <v>0</v>
      </c>
      <c r="T287" s="469">
        <f t="shared" si="22"/>
        <v>7.3977599999999999</v>
      </c>
    </row>
    <row r="288" spans="1:20" s="469" customFormat="1">
      <c r="A288" s="469" t="str">
        <f t="shared" si="23"/>
        <v>KU</v>
      </c>
      <c r="B288" s="469" t="str">
        <f t="shared" si="24"/>
        <v>KY</v>
      </c>
      <c r="C288" s="469" t="str">
        <f t="shared" si="25"/>
        <v>392</v>
      </c>
      <c r="D288" s="470" t="s">
        <v>1872</v>
      </c>
      <c r="E288" s="468" t="str">
        <f t="shared" si="26"/>
        <v/>
      </c>
      <c r="F288" s="469">
        <v>0</v>
      </c>
      <c r="G288" s="469">
        <v>0</v>
      </c>
      <c r="H288" s="469">
        <v>0</v>
      </c>
      <c r="I288" s="469">
        <v>266.58879000000002</v>
      </c>
      <c r="J288" s="469">
        <v>0</v>
      </c>
      <c r="K288" s="469">
        <v>0</v>
      </c>
      <c r="L288" s="469">
        <v>0</v>
      </c>
      <c r="M288" s="469">
        <v>0</v>
      </c>
      <c r="N288" s="469">
        <v>0</v>
      </c>
      <c r="O288" s="469">
        <v>0</v>
      </c>
      <c r="P288" s="469">
        <v>0</v>
      </c>
      <c r="Q288" s="469">
        <v>0</v>
      </c>
      <c r="R288" s="469">
        <v>0</v>
      </c>
      <c r="S288" s="469">
        <v>0</v>
      </c>
      <c r="T288" s="469">
        <f t="shared" si="22"/>
        <v>266.58879000000002</v>
      </c>
    </row>
    <row r="289" spans="1:20" s="469" customFormat="1">
      <c r="A289" s="469" t="str">
        <f t="shared" si="23"/>
        <v>KU</v>
      </c>
      <c r="B289" s="469" t="str">
        <f t="shared" si="24"/>
        <v>KY</v>
      </c>
      <c r="C289" s="469" t="str">
        <f t="shared" si="25"/>
        <v>394</v>
      </c>
      <c r="D289" s="470" t="s">
        <v>1875</v>
      </c>
      <c r="E289" s="468" t="str">
        <f t="shared" si="26"/>
        <v/>
      </c>
      <c r="F289" s="469">
        <v>0</v>
      </c>
      <c r="G289" s="469">
        <v>0</v>
      </c>
      <c r="H289" s="469">
        <v>0</v>
      </c>
      <c r="I289" s="469">
        <v>0</v>
      </c>
      <c r="J289" s="469">
        <v>6.6288999999999998</v>
      </c>
      <c r="K289" s="469">
        <v>0</v>
      </c>
      <c r="L289" s="469">
        <v>0</v>
      </c>
      <c r="M289" s="469">
        <v>38.577570000000001</v>
      </c>
      <c r="N289" s="469">
        <v>23.545999999999999</v>
      </c>
      <c r="O289" s="469">
        <v>0</v>
      </c>
      <c r="P289" s="469">
        <v>25.678999999999998</v>
      </c>
      <c r="Q289" s="469">
        <v>0</v>
      </c>
      <c r="R289" s="469">
        <v>0</v>
      </c>
      <c r="S289" s="469">
        <v>0</v>
      </c>
      <c r="T289" s="469">
        <f t="shared" si="22"/>
        <v>94.431470000000004</v>
      </c>
    </row>
    <row r="290" spans="1:20" s="469" customFormat="1">
      <c r="A290" s="469" t="str">
        <f t="shared" si="23"/>
        <v>KU</v>
      </c>
      <c r="B290" s="469" t="str">
        <f t="shared" si="24"/>
        <v>VA</v>
      </c>
      <c r="C290" s="469" t="str">
        <f t="shared" si="25"/>
        <v>394</v>
      </c>
      <c r="D290" s="470" t="s">
        <v>1876</v>
      </c>
      <c r="E290" s="468" t="str">
        <f t="shared" si="26"/>
        <v/>
      </c>
      <c r="F290" s="469">
        <v>0</v>
      </c>
      <c r="G290" s="469">
        <v>0</v>
      </c>
      <c r="H290" s="469">
        <v>0</v>
      </c>
      <c r="I290" s="469">
        <v>0</v>
      </c>
      <c r="J290" s="469">
        <v>3.92421</v>
      </c>
      <c r="K290" s="469">
        <v>0</v>
      </c>
      <c r="L290" s="469">
        <v>0</v>
      </c>
      <c r="M290" s="469">
        <v>0</v>
      </c>
      <c r="N290" s="469">
        <v>0</v>
      </c>
      <c r="O290" s="469">
        <v>0</v>
      </c>
      <c r="P290" s="469">
        <v>0</v>
      </c>
      <c r="Q290" s="469">
        <v>0</v>
      </c>
      <c r="R290" s="469">
        <v>0</v>
      </c>
      <c r="S290" s="469">
        <v>0</v>
      </c>
      <c r="T290" s="469">
        <f t="shared" si="22"/>
        <v>3.92421</v>
      </c>
    </row>
    <row r="293" spans="1:20">
      <c r="D293" s="431" t="s">
        <v>1886</v>
      </c>
      <c r="E293" s="431"/>
    </row>
    <row r="294" spans="1:20" s="469" customFormat="1">
      <c r="A294" s="469" t="str">
        <f t="shared" ref="A294:A359" si="27">MID($D294,4,2)</f>
        <v>KU</v>
      </c>
      <c r="B294" s="469" t="str">
        <f t="shared" ref="B294:B359" si="28">IF(MID($D294,12,2)="- ","KY",MID($D294,12,2))</f>
        <v>KY</v>
      </c>
      <c r="C294" s="469" t="str">
        <f t="shared" ref="C294:C359" si="29">MID($D294,8,3)</f>
        <v>302</v>
      </c>
      <c r="D294" s="470" t="s">
        <v>1778</v>
      </c>
      <c r="E294" s="468" t="str">
        <f t="shared" ref="E294:E359" si="30">IF(ISTEXT(MID($D294,SEARCH("FUTURE USE",$D294),3)),"FUTURE USE",IF(ISTEXT(MID($D294,SEARCH("ECR",$D294),3)),"ECR",IF(ISTEXT(MID($D294,SEARCH("ARO",$D294),3)),"ARO",IF(ISTEXT(MID($D294,SEARCH("DSM",$D294),3)),"DSM",""))))</f>
        <v/>
      </c>
      <c r="F294" s="469">
        <v>53.453360000000004</v>
      </c>
      <c r="G294" s="469">
        <v>54.328490000000002</v>
      </c>
      <c r="H294" s="469">
        <v>55.203620000000001</v>
      </c>
      <c r="I294" s="469">
        <v>56.078749999999999</v>
      </c>
      <c r="J294" s="469">
        <v>56.953879999999998</v>
      </c>
      <c r="K294" s="469">
        <v>57.829009999999997</v>
      </c>
      <c r="L294" s="469">
        <v>58.704139999999903</v>
      </c>
      <c r="M294" s="469">
        <v>59.579270000000001</v>
      </c>
      <c r="N294" s="469">
        <v>60.454399689500001</v>
      </c>
      <c r="O294" s="469">
        <v>61.329529379</v>
      </c>
      <c r="P294" s="469">
        <v>62.2046590685</v>
      </c>
      <c r="Q294" s="469">
        <v>63.079788757999999</v>
      </c>
      <c r="R294" s="469">
        <v>63.954918447499999</v>
      </c>
      <c r="S294" s="469">
        <v>64.830048137000006</v>
      </c>
    </row>
    <row r="295" spans="1:20" s="469" customFormat="1">
      <c r="A295" s="469" t="str">
        <f t="shared" si="27"/>
        <v>KU</v>
      </c>
      <c r="B295" s="469" t="str">
        <f t="shared" si="28"/>
        <v>KY</v>
      </c>
      <c r="C295" s="469" t="str">
        <f t="shared" si="29"/>
        <v>303</v>
      </c>
      <c r="D295" s="470" t="s">
        <v>1779</v>
      </c>
      <c r="E295" s="468" t="str">
        <f t="shared" si="30"/>
        <v/>
      </c>
      <c r="F295" s="469">
        <v>18293.979510000001</v>
      </c>
      <c r="G295" s="469">
        <v>18933.6242199999</v>
      </c>
      <c r="H295" s="469">
        <v>19422.989239999999</v>
      </c>
      <c r="I295" s="469">
        <v>17772.317149999999</v>
      </c>
      <c r="J295" s="469">
        <v>17561.645130000001</v>
      </c>
      <c r="K295" s="469">
        <v>17603.613170000001</v>
      </c>
      <c r="L295" s="469">
        <v>18231.62545</v>
      </c>
      <c r="M295" s="469">
        <v>18202.21096</v>
      </c>
      <c r="N295" s="469">
        <v>18871.912428</v>
      </c>
      <c r="O295" s="469">
        <v>18923.307223200001</v>
      </c>
      <c r="P295" s="469">
        <v>19404.116937499999</v>
      </c>
      <c r="Q295" s="469">
        <v>19893.954008699999</v>
      </c>
      <c r="R295" s="469">
        <v>20439.379395399999</v>
      </c>
      <c r="S295" s="469">
        <v>21203.816369299999</v>
      </c>
    </row>
    <row r="296" spans="1:20" s="469" customFormat="1">
      <c r="A296" s="469" t="str">
        <f t="shared" si="27"/>
        <v>KU</v>
      </c>
      <c r="B296" s="469" t="str">
        <f t="shared" si="28"/>
        <v>KY</v>
      </c>
      <c r="C296" s="469" t="str">
        <f t="shared" si="29"/>
        <v>303</v>
      </c>
      <c r="D296" s="470" t="s">
        <v>1780</v>
      </c>
      <c r="E296" s="468" t="str">
        <f t="shared" si="30"/>
        <v/>
      </c>
      <c r="F296" s="469">
        <v>26926.86852</v>
      </c>
      <c r="G296" s="469">
        <v>27266.86203</v>
      </c>
      <c r="H296" s="469">
        <v>27606.85554</v>
      </c>
      <c r="I296" s="469">
        <v>27946.849050000001</v>
      </c>
      <c r="J296" s="469">
        <v>28286.842560000001</v>
      </c>
      <c r="K296" s="469">
        <v>28626.836070000001</v>
      </c>
      <c r="L296" s="469">
        <v>28966.8295799999</v>
      </c>
      <c r="M296" s="469">
        <v>29306.823090000002</v>
      </c>
      <c r="N296" s="469">
        <v>29646.816602999999</v>
      </c>
      <c r="O296" s="469">
        <v>29986.810116000001</v>
      </c>
      <c r="P296" s="469">
        <v>30326.803629000002</v>
      </c>
      <c r="Q296" s="469">
        <v>30667.342185000001</v>
      </c>
      <c r="R296" s="469">
        <v>31008.425783899998</v>
      </c>
      <c r="S296" s="469">
        <v>31349.509382799999</v>
      </c>
    </row>
    <row r="297" spans="1:20" s="469" customFormat="1">
      <c r="A297" s="469" t="str">
        <f t="shared" si="27"/>
        <v>KU</v>
      </c>
      <c r="B297" s="469" t="str">
        <f t="shared" si="28"/>
        <v>KY</v>
      </c>
      <c r="C297" s="469" t="str">
        <f t="shared" si="29"/>
        <v>311</v>
      </c>
      <c r="D297" s="470" t="s">
        <v>1784</v>
      </c>
      <c r="E297" s="468" t="str">
        <f t="shared" si="30"/>
        <v>ECR</v>
      </c>
      <c r="F297" s="469">
        <v>113.24118</v>
      </c>
      <c r="G297" s="469">
        <v>118.6317</v>
      </c>
      <c r="H297" s="469">
        <v>124.02222</v>
      </c>
      <c r="I297" s="469">
        <v>129.41273999999899</v>
      </c>
      <c r="J297" s="469">
        <v>134.80325999999999</v>
      </c>
      <c r="K297" s="469">
        <v>140.19378</v>
      </c>
      <c r="L297" s="469">
        <v>145.58429999999899</v>
      </c>
      <c r="M297" s="469">
        <v>150.97481999999999</v>
      </c>
      <c r="N297" s="469">
        <v>156.3653419437</v>
      </c>
      <c r="O297" s="469">
        <v>161.75586388740001</v>
      </c>
      <c r="P297" s="469">
        <v>167.14638583109999</v>
      </c>
      <c r="Q297" s="469">
        <v>172.5369077748</v>
      </c>
      <c r="R297" s="469">
        <v>177.92742971850001</v>
      </c>
      <c r="S297" s="469">
        <v>183.31795166219999</v>
      </c>
    </row>
    <row r="298" spans="1:20" s="469" customFormat="1">
      <c r="A298" s="469" t="str">
        <f t="shared" si="27"/>
        <v>KU</v>
      </c>
      <c r="B298" s="469" t="str">
        <f t="shared" si="28"/>
        <v>KY</v>
      </c>
      <c r="C298" s="469" t="str">
        <f t="shared" si="29"/>
        <v>311</v>
      </c>
      <c r="D298" s="470" t="s">
        <v>2341</v>
      </c>
      <c r="E298" s="468" t="str">
        <f t="shared" si="30"/>
        <v>ECR</v>
      </c>
      <c r="F298" s="469">
        <v>104.85933</v>
      </c>
      <c r="G298" s="469">
        <v>114.60912</v>
      </c>
      <c r="H298" s="469">
        <v>124.35890999999999</v>
      </c>
      <c r="I298" s="469">
        <v>134.1087</v>
      </c>
      <c r="J298" s="469">
        <v>143.85848999999999</v>
      </c>
      <c r="K298" s="469">
        <v>153.60828000000001</v>
      </c>
      <c r="L298" s="469">
        <v>163.35807</v>
      </c>
      <c r="M298" s="469">
        <v>173.10785999999999</v>
      </c>
      <c r="N298" s="469">
        <v>182.85764834950001</v>
      </c>
      <c r="O298" s="469">
        <v>192.607436699</v>
      </c>
      <c r="P298" s="469">
        <v>202.3572250485</v>
      </c>
      <c r="Q298" s="469">
        <v>212.10701339799999</v>
      </c>
      <c r="R298" s="469">
        <v>221.85680174749999</v>
      </c>
      <c r="S298" s="469">
        <v>231.60659009700001</v>
      </c>
    </row>
    <row r="299" spans="1:20" s="469" customFormat="1">
      <c r="A299" s="469" t="str">
        <f t="shared" si="27"/>
        <v>KU</v>
      </c>
      <c r="B299" s="469" t="str">
        <f t="shared" si="28"/>
        <v>KY</v>
      </c>
      <c r="C299" s="469" t="str">
        <f t="shared" si="29"/>
        <v>311</v>
      </c>
      <c r="D299" s="470" t="s">
        <v>1785</v>
      </c>
      <c r="E299" s="468" t="str">
        <f t="shared" si="30"/>
        <v/>
      </c>
      <c r="F299" s="469">
        <v>172571.50847999999</v>
      </c>
      <c r="G299" s="469">
        <v>173084.31675</v>
      </c>
      <c r="H299" s="469">
        <v>173507.56492999999</v>
      </c>
      <c r="I299" s="469">
        <v>174003.47951999999</v>
      </c>
      <c r="J299" s="469">
        <v>172570.66153000001</v>
      </c>
      <c r="K299" s="469">
        <v>172764.3015</v>
      </c>
      <c r="L299" s="469">
        <v>173269.81396999999</v>
      </c>
      <c r="M299" s="469">
        <v>173655.11786</v>
      </c>
      <c r="N299" s="469">
        <v>173876.71876254099</v>
      </c>
      <c r="O299" s="469">
        <v>174379.29013188399</v>
      </c>
      <c r="P299" s="469">
        <v>174875.62289906299</v>
      </c>
      <c r="Q299" s="469">
        <v>175382.75382748601</v>
      </c>
      <c r="R299" s="469">
        <v>175890.321817788</v>
      </c>
      <c r="S299" s="469">
        <v>176397.88980808901</v>
      </c>
    </row>
    <row r="300" spans="1:20" s="469" customFormat="1">
      <c r="A300" s="469" t="str">
        <f t="shared" si="27"/>
        <v>KU</v>
      </c>
      <c r="B300" s="469" t="str">
        <f t="shared" si="28"/>
        <v>KY</v>
      </c>
      <c r="C300" s="469" t="str">
        <f t="shared" si="29"/>
        <v>312</v>
      </c>
      <c r="D300" s="470" t="s">
        <v>1786</v>
      </c>
      <c r="E300" s="468" t="str">
        <f t="shared" si="30"/>
        <v/>
      </c>
      <c r="F300" s="469">
        <v>1002292.70774999</v>
      </c>
      <c r="G300" s="469">
        <v>1005214.46942999</v>
      </c>
      <c r="H300" s="469">
        <v>1010359.15279999</v>
      </c>
      <c r="I300" s="469">
        <v>1016256.62466</v>
      </c>
      <c r="J300" s="469">
        <v>1020877.10743</v>
      </c>
      <c r="K300" s="469">
        <v>1026534.34188</v>
      </c>
      <c r="L300" s="469">
        <v>1032017.645</v>
      </c>
      <c r="M300" s="469">
        <v>1035343.38634</v>
      </c>
      <c r="N300" s="469">
        <v>1039180.61473802</v>
      </c>
      <c r="O300" s="469">
        <v>1045006.74971704</v>
      </c>
      <c r="P300" s="469">
        <v>1049711.46004177</v>
      </c>
      <c r="Q300" s="469">
        <v>1049306.99542972</v>
      </c>
      <c r="R300" s="469">
        <v>1055251.3140590601</v>
      </c>
      <c r="S300" s="469">
        <v>1058211.50238126</v>
      </c>
    </row>
    <row r="301" spans="1:20" s="469" customFormat="1">
      <c r="A301" s="469" t="str">
        <f t="shared" si="27"/>
        <v>KU</v>
      </c>
      <c r="B301" s="469" t="str">
        <f t="shared" si="28"/>
        <v>KY</v>
      </c>
      <c r="C301" s="469" t="str">
        <f t="shared" si="29"/>
        <v>312</v>
      </c>
      <c r="D301" s="470" t="s">
        <v>1787</v>
      </c>
      <c r="E301" s="468" t="str">
        <f t="shared" si="30"/>
        <v>ECR</v>
      </c>
      <c r="F301" s="469">
        <v>18927.530839999999</v>
      </c>
      <c r="G301" s="469">
        <v>19758.01153</v>
      </c>
      <c r="H301" s="469">
        <v>20614.097180000001</v>
      </c>
      <c r="I301" s="469">
        <v>21470.979529999899</v>
      </c>
      <c r="J301" s="469">
        <v>22328.65856</v>
      </c>
      <c r="K301" s="469">
        <v>23186.337589999999</v>
      </c>
      <c r="L301" s="469">
        <v>24053.701809999999</v>
      </c>
      <c r="M301" s="469">
        <v>24930.751219999998</v>
      </c>
      <c r="N301" s="469">
        <v>25823.717065275698</v>
      </c>
      <c r="O301" s="469">
        <v>26734.948119810397</v>
      </c>
      <c r="P301" s="469">
        <v>27650.961130445095</v>
      </c>
      <c r="Q301" s="469">
        <v>28571.312193079797</v>
      </c>
      <c r="R301" s="469">
        <v>29493.808732684498</v>
      </c>
      <c r="S301" s="469">
        <v>30417.027147289198</v>
      </c>
    </row>
    <row r="302" spans="1:20" s="469" customFormat="1">
      <c r="A302" s="469" t="str">
        <f t="shared" si="27"/>
        <v>KU</v>
      </c>
      <c r="B302" s="469" t="str">
        <f t="shared" si="28"/>
        <v>KY</v>
      </c>
      <c r="C302" s="469" t="str">
        <f t="shared" si="29"/>
        <v>312</v>
      </c>
      <c r="D302" s="470" t="s">
        <v>3308</v>
      </c>
      <c r="E302" s="468" t="str">
        <f t="shared" si="30"/>
        <v/>
      </c>
      <c r="N302" s="469">
        <v>-650.02203999999995</v>
      </c>
      <c r="O302" s="469">
        <v>-650.02203999999995</v>
      </c>
      <c r="P302" s="469">
        <v>-650.02203999999995</v>
      </c>
      <c r="Q302" s="469">
        <v>-650.02203999999995</v>
      </c>
      <c r="R302" s="469">
        <v>-650.02203999999995</v>
      </c>
      <c r="S302" s="469">
        <v>-650.02203999999995</v>
      </c>
    </row>
    <row r="303" spans="1:20" s="469" customFormat="1">
      <c r="A303" s="469" t="str">
        <f t="shared" si="27"/>
        <v>KU</v>
      </c>
      <c r="B303" s="469" t="str">
        <f t="shared" si="28"/>
        <v>KY</v>
      </c>
      <c r="C303" s="469" t="str">
        <f t="shared" si="29"/>
        <v>312</v>
      </c>
      <c r="D303" s="470" t="s">
        <v>1788</v>
      </c>
      <c r="E303" s="468" t="str">
        <f t="shared" si="30"/>
        <v>ECR</v>
      </c>
      <c r="F303" s="469">
        <v>12851.123180000001</v>
      </c>
      <c r="G303" s="469">
        <v>14096.565129999901</v>
      </c>
      <c r="H303" s="469">
        <v>15342.007079999999</v>
      </c>
      <c r="I303" s="469">
        <v>16587.44903</v>
      </c>
      <c r="J303" s="469">
        <v>17832.89098</v>
      </c>
      <c r="K303" s="469">
        <v>19078.33293</v>
      </c>
      <c r="L303" s="469">
        <v>20323.774879999899</v>
      </c>
      <c r="M303" s="469">
        <v>21579.858929999999</v>
      </c>
      <c r="N303" s="469">
        <v>22943.52734547</v>
      </c>
      <c r="O303" s="469">
        <v>24418.945811923</v>
      </c>
      <c r="P303" s="469">
        <v>25914.861566785999</v>
      </c>
      <c r="Q303" s="469">
        <v>27421.786081561</v>
      </c>
      <c r="R303" s="469">
        <v>28934.643657688001</v>
      </c>
      <c r="S303" s="469">
        <v>30448.728733815002</v>
      </c>
    </row>
    <row r="304" spans="1:20" s="469" customFormat="1">
      <c r="A304" s="469" t="str">
        <f t="shared" si="27"/>
        <v>KU</v>
      </c>
      <c r="B304" s="469" t="str">
        <f t="shared" si="28"/>
        <v>KY</v>
      </c>
      <c r="C304" s="469" t="str">
        <f t="shared" si="29"/>
        <v>312</v>
      </c>
      <c r="D304" s="470" t="s">
        <v>3309</v>
      </c>
      <c r="E304" s="468" t="str">
        <f t="shared" si="30"/>
        <v/>
      </c>
      <c r="N304" s="469">
        <v>-23244.243939999898</v>
      </c>
      <c r="O304" s="469">
        <v>-23274.878339999897</v>
      </c>
      <c r="P304" s="469">
        <v>-23274.878339999897</v>
      </c>
      <c r="Q304" s="469">
        <v>-23274.878339999897</v>
      </c>
      <c r="R304" s="469">
        <v>-24274.877339999897</v>
      </c>
      <c r="S304" s="469">
        <v>-25274.878339999897</v>
      </c>
    </row>
    <row r="305" spans="1:19" s="469" customFormat="1">
      <c r="A305" s="469" t="str">
        <f t="shared" si="27"/>
        <v>KU</v>
      </c>
      <c r="B305" s="469" t="str">
        <f t="shared" si="28"/>
        <v>KY</v>
      </c>
      <c r="C305" s="469" t="str">
        <f t="shared" si="29"/>
        <v>312</v>
      </c>
      <c r="D305" s="470" t="s">
        <v>2342</v>
      </c>
      <c r="E305" s="468" t="str">
        <f t="shared" si="30"/>
        <v>ECR</v>
      </c>
      <c r="F305" s="469">
        <v>0</v>
      </c>
      <c r="G305" s="469">
        <v>0</v>
      </c>
      <c r="H305" s="469">
        <v>0</v>
      </c>
      <c r="I305" s="469">
        <v>0</v>
      </c>
      <c r="J305" s="469">
        <v>0</v>
      </c>
      <c r="K305" s="469">
        <v>0</v>
      </c>
      <c r="L305" s="469">
        <v>0</v>
      </c>
      <c r="M305" s="469">
        <v>0</v>
      </c>
      <c r="N305" s="469">
        <v>0</v>
      </c>
      <c r="O305" s="469">
        <v>0</v>
      </c>
      <c r="P305" s="469">
        <v>0</v>
      </c>
      <c r="Q305" s="469">
        <v>2.5019438516299899</v>
      </c>
      <c r="R305" s="469">
        <v>7.7476023882599998</v>
      </c>
      <c r="S305" s="469">
        <v>13.991115091659999</v>
      </c>
    </row>
    <row r="306" spans="1:19" s="469" customFormat="1">
      <c r="A306" s="469" t="str">
        <f t="shared" si="27"/>
        <v>KU</v>
      </c>
      <c r="B306" s="469" t="str">
        <f t="shared" si="28"/>
        <v>KY</v>
      </c>
      <c r="C306" s="469" t="str">
        <f t="shared" si="29"/>
        <v>312</v>
      </c>
      <c r="D306" s="470" t="s">
        <v>2343</v>
      </c>
      <c r="E306" s="468" t="str">
        <f t="shared" si="30"/>
        <v>ECR</v>
      </c>
      <c r="F306" s="469">
        <v>0</v>
      </c>
      <c r="G306" s="469">
        <v>0</v>
      </c>
      <c r="H306" s="469">
        <v>0</v>
      </c>
      <c r="I306" s="469">
        <v>0</v>
      </c>
      <c r="J306" s="469">
        <v>0</v>
      </c>
      <c r="K306" s="469">
        <v>0</v>
      </c>
      <c r="L306" s="469">
        <v>0</v>
      </c>
      <c r="M306" s="469">
        <v>0</v>
      </c>
      <c r="N306" s="469">
        <v>0</v>
      </c>
      <c r="O306" s="469">
        <v>0</v>
      </c>
      <c r="P306" s="469">
        <v>0</v>
      </c>
      <c r="Q306" s="469">
        <v>0</v>
      </c>
      <c r="R306" s="469">
        <v>0</v>
      </c>
      <c r="S306" s="469">
        <v>0</v>
      </c>
    </row>
    <row r="307" spans="1:19" s="469" customFormat="1">
      <c r="A307" s="469" t="str">
        <f t="shared" si="27"/>
        <v>KU</v>
      </c>
      <c r="B307" s="469" t="str">
        <f t="shared" si="28"/>
        <v>KY</v>
      </c>
      <c r="C307" s="469" t="str">
        <f t="shared" si="29"/>
        <v>314</v>
      </c>
      <c r="D307" s="470" t="s">
        <v>1790</v>
      </c>
      <c r="E307" s="468" t="str">
        <f t="shared" si="30"/>
        <v/>
      </c>
      <c r="F307" s="469">
        <v>161324.45071999999</v>
      </c>
      <c r="G307" s="469">
        <v>161497.02014000001</v>
      </c>
      <c r="H307" s="469">
        <v>161853.13404</v>
      </c>
      <c r="I307" s="469">
        <v>162146.90513</v>
      </c>
      <c r="J307" s="469">
        <v>162648.59831</v>
      </c>
      <c r="K307" s="469">
        <v>163145.32584999999</v>
      </c>
      <c r="L307" s="469">
        <v>163638.141399999</v>
      </c>
      <c r="M307" s="469">
        <v>164182.92162000001</v>
      </c>
      <c r="N307" s="469">
        <v>164639.004337816</v>
      </c>
      <c r="O307" s="469">
        <v>165103.80923406701</v>
      </c>
      <c r="P307" s="469">
        <v>165641.136246448</v>
      </c>
      <c r="Q307" s="469">
        <v>166176.679392294</v>
      </c>
      <c r="R307" s="469">
        <v>166727.480911805</v>
      </c>
      <c r="S307" s="469">
        <v>167278.28243131499</v>
      </c>
    </row>
    <row r="308" spans="1:19" s="469" customFormat="1">
      <c r="A308" s="469" t="str">
        <f t="shared" si="27"/>
        <v>KU</v>
      </c>
      <c r="B308" s="469" t="str">
        <f t="shared" si="28"/>
        <v>KY</v>
      </c>
      <c r="C308" s="469" t="str">
        <f t="shared" si="29"/>
        <v>315</v>
      </c>
      <c r="D308" s="470" t="s">
        <v>1791</v>
      </c>
      <c r="E308" s="468" t="str">
        <f t="shared" si="30"/>
        <v/>
      </c>
      <c r="F308" s="469">
        <v>100227.91494</v>
      </c>
      <c r="G308" s="469">
        <v>100559.303019999</v>
      </c>
      <c r="H308" s="469">
        <v>100964.04074</v>
      </c>
      <c r="I308" s="469">
        <v>101368.60897</v>
      </c>
      <c r="J308" s="469">
        <v>101750.15876999901</v>
      </c>
      <c r="K308" s="469">
        <v>102154.868399999</v>
      </c>
      <c r="L308" s="469">
        <v>102559.61954</v>
      </c>
      <c r="M308" s="469">
        <v>102831.44658</v>
      </c>
      <c r="N308" s="469">
        <v>103235.38273454399</v>
      </c>
      <c r="O308" s="469">
        <v>103640.116825504</v>
      </c>
      <c r="P308" s="469">
        <v>104042.909813801</v>
      </c>
      <c r="Q308" s="469">
        <v>104440.325655956</v>
      </c>
      <c r="R308" s="469">
        <v>104850.588287843</v>
      </c>
      <c r="S308" s="469">
        <v>105260.85091973</v>
      </c>
    </row>
    <row r="309" spans="1:19" s="469" customFormat="1">
      <c r="A309" s="469" t="str">
        <f t="shared" si="27"/>
        <v>KU</v>
      </c>
      <c r="B309" s="469" t="str">
        <f t="shared" si="28"/>
        <v>KY</v>
      </c>
      <c r="C309" s="469" t="str">
        <f t="shared" si="29"/>
        <v>315</v>
      </c>
      <c r="D309" s="470" t="s">
        <v>2344</v>
      </c>
      <c r="E309" s="468" t="str">
        <f t="shared" si="30"/>
        <v>ECR</v>
      </c>
      <c r="F309" s="469">
        <v>23.160229999999999</v>
      </c>
      <c r="G309" s="469">
        <v>25.242339999999999</v>
      </c>
      <c r="H309" s="469">
        <v>27.324449999999999</v>
      </c>
      <c r="I309" s="469">
        <v>29.406559999999999</v>
      </c>
      <c r="J309" s="469">
        <v>31.488669999999999</v>
      </c>
      <c r="K309" s="469">
        <v>33.570779999999999</v>
      </c>
      <c r="L309" s="469">
        <v>35.652889999999999</v>
      </c>
      <c r="M309" s="469">
        <v>37.734999999999999</v>
      </c>
      <c r="N309" s="469">
        <v>39.817109822669998</v>
      </c>
      <c r="O309" s="469">
        <v>41.899219645339997</v>
      </c>
      <c r="P309" s="469">
        <v>43.981329468009903</v>
      </c>
      <c r="Q309" s="469">
        <v>46.063439290679902</v>
      </c>
      <c r="R309" s="469">
        <v>48.145549113349901</v>
      </c>
      <c r="S309" s="469">
        <v>50.2276589360199</v>
      </c>
    </row>
    <row r="310" spans="1:19" s="469" customFormat="1">
      <c r="A310" s="469" t="str">
        <f t="shared" si="27"/>
        <v>KU</v>
      </c>
      <c r="B310" s="469" t="str">
        <f t="shared" si="28"/>
        <v>KY</v>
      </c>
      <c r="C310" s="469" t="str">
        <f t="shared" si="29"/>
        <v>315</v>
      </c>
      <c r="D310" s="470" t="s">
        <v>1792</v>
      </c>
      <c r="E310" s="468" t="str">
        <f t="shared" si="30"/>
        <v>ECR</v>
      </c>
      <c r="F310" s="469">
        <v>104.65393</v>
      </c>
      <c r="G310" s="469">
        <v>112.13077</v>
      </c>
      <c r="H310" s="469">
        <v>119.60760999999999</v>
      </c>
      <c r="I310" s="469">
        <v>127.08445</v>
      </c>
      <c r="J310" s="469">
        <v>134.56129000000001</v>
      </c>
      <c r="K310" s="469">
        <v>142.03813</v>
      </c>
      <c r="L310" s="469">
        <v>149.51497000000001</v>
      </c>
      <c r="M310" s="469">
        <v>157.07529</v>
      </c>
      <c r="N310" s="469">
        <v>164.71904096050699</v>
      </c>
      <c r="O310" s="469">
        <v>172.36279192101301</v>
      </c>
      <c r="P310" s="469">
        <v>180.00654288152001</v>
      </c>
      <c r="Q310" s="469">
        <v>187.650293842027</v>
      </c>
      <c r="R310" s="469">
        <v>195.29404480253399</v>
      </c>
      <c r="S310" s="469">
        <v>202.93779576304101</v>
      </c>
    </row>
    <row r="311" spans="1:19" s="469" customFormat="1">
      <c r="A311" s="469" t="str">
        <f t="shared" si="27"/>
        <v>KU</v>
      </c>
      <c r="B311" s="469" t="str">
        <f t="shared" si="28"/>
        <v>KY</v>
      </c>
      <c r="C311" s="469" t="str">
        <f t="shared" si="29"/>
        <v>316</v>
      </c>
      <c r="D311" s="470" t="s">
        <v>2345</v>
      </c>
      <c r="E311" s="468" t="str">
        <f t="shared" si="30"/>
        <v>ECR</v>
      </c>
      <c r="F311" s="469">
        <v>7.8370499999999996</v>
      </c>
      <c r="G311" s="469">
        <v>8.5657399999999999</v>
      </c>
      <c r="H311" s="469">
        <v>9.2944300000000002</v>
      </c>
      <c r="I311" s="469">
        <v>10.02312</v>
      </c>
      <c r="J311" s="469">
        <v>10.7518099999999</v>
      </c>
      <c r="K311" s="469">
        <v>11.480499999999999</v>
      </c>
      <c r="L311" s="469">
        <v>12.20919</v>
      </c>
      <c r="M311" s="469">
        <v>12.93788</v>
      </c>
      <c r="N311" s="469">
        <v>13.666562319000001</v>
      </c>
      <c r="O311" s="469">
        <v>14.395244637999999</v>
      </c>
      <c r="P311" s="469">
        <v>15.123926957</v>
      </c>
      <c r="Q311" s="469">
        <v>15.852609276000001</v>
      </c>
      <c r="R311" s="469">
        <v>16.581291595</v>
      </c>
      <c r="S311" s="469">
        <v>17.309973914</v>
      </c>
    </row>
    <row r="312" spans="1:19" s="469" customFormat="1">
      <c r="A312" s="469" t="str">
        <f t="shared" si="27"/>
        <v>KU</v>
      </c>
      <c r="B312" s="469" t="str">
        <f t="shared" si="28"/>
        <v>KY</v>
      </c>
      <c r="C312" s="469" t="str">
        <f t="shared" si="29"/>
        <v>316</v>
      </c>
      <c r="D312" s="470" t="s">
        <v>1793</v>
      </c>
      <c r="E312" s="468" t="str">
        <f t="shared" si="30"/>
        <v/>
      </c>
      <c r="F312" s="469">
        <v>15969.460129999999</v>
      </c>
      <c r="G312" s="469">
        <v>16018.557429999901</v>
      </c>
      <c r="H312" s="469">
        <v>16083.37775</v>
      </c>
      <c r="I312" s="469">
        <v>16148.301449999901</v>
      </c>
      <c r="J312" s="469">
        <v>16161.37905</v>
      </c>
      <c r="K312" s="469">
        <v>16224.43764</v>
      </c>
      <c r="L312" s="469">
        <v>16289.218580000001</v>
      </c>
      <c r="M312" s="469">
        <v>16354.211009999901</v>
      </c>
      <c r="N312" s="469">
        <v>16446.9283550658</v>
      </c>
      <c r="O312" s="469">
        <v>16513.148865479099</v>
      </c>
      <c r="P312" s="469">
        <v>16580.002766223501</v>
      </c>
      <c r="Q312" s="469">
        <v>16647.4404636986</v>
      </c>
      <c r="R312" s="469">
        <v>16714.948324364901</v>
      </c>
      <c r="S312" s="469">
        <v>16782.4802804953</v>
      </c>
    </row>
    <row r="313" spans="1:19" s="469" customFormat="1">
      <c r="A313" s="469" t="str">
        <f t="shared" si="27"/>
        <v>KU</v>
      </c>
      <c r="B313" s="469" t="str">
        <f t="shared" si="28"/>
        <v>KY</v>
      </c>
      <c r="C313" s="469" t="str">
        <f t="shared" si="29"/>
        <v>317</v>
      </c>
      <c r="D313" s="470" t="s">
        <v>1794</v>
      </c>
      <c r="E313" s="468" t="str">
        <f t="shared" si="30"/>
        <v>ARO</v>
      </c>
      <c r="F313" s="469">
        <v>58348.754589999997</v>
      </c>
      <c r="G313" s="469">
        <v>62113.353159999999</v>
      </c>
      <c r="H313" s="469">
        <v>65877.952250000002</v>
      </c>
      <c r="I313" s="469">
        <v>69642.551389999993</v>
      </c>
      <c r="J313" s="469">
        <v>73407.150420000005</v>
      </c>
      <c r="K313" s="469">
        <v>77171.748779999994</v>
      </c>
      <c r="L313" s="469">
        <v>80939.491529999999</v>
      </c>
      <c r="M313" s="469">
        <v>84710.403229999996</v>
      </c>
      <c r="N313" s="469">
        <v>88478.145980000001</v>
      </c>
      <c r="O313" s="469">
        <v>92245.888730000006</v>
      </c>
      <c r="P313" s="469">
        <v>96013.631479999996</v>
      </c>
      <c r="Q313" s="469">
        <v>99781.374230000001</v>
      </c>
      <c r="R313" s="469">
        <v>103549.11698000001</v>
      </c>
      <c r="S313" s="469">
        <v>107316.85973</v>
      </c>
    </row>
    <row r="314" spans="1:19" s="469" customFormat="1">
      <c r="A314" s="469" t="str">
        <f t="shared" si="27"/>
        <v>KU</v>
      </c>
      <c r="B314" s="469" t="str">
        <f t="shared" si="28"/>
        <v>KY</v>
      </c>
      <c r="C314" s="469" t="str">
        <f t="shared" si="29"/>
        <v>330</v>
      </c>
      <c r="D314" s="470" t="s">
        <v>1795</v>
      </c>
      <c r="E314" s="468" t="str">
        <f t="shared" si="30"/>
        <v/>
      </c>
      <c r="F314" s="469">
        <v>912.33259999999996</v>
      </c>
      <c r="G314" s="469">
        <v>912.33259999999996</v>
      </c>
      <c r="H314" s="469">
        <v>912.33259999999996</v>
      </c>
      <c r="I314" s="469">
        <v>912.33259999999996</v>
      </c>
      <c r="J314" s="469">
        <v>912.33259999999996</v>
      </c>
      <c r="K314" s="469">
        <v>912.33259999999996</v>
      </c>
      <c r="L314" s="469">
        <v>912.33259999999996</v>
      </c>
      <c r="M314" s="469">
        <v>912.33259999999996</v>
      </c>
      <c r="N314" s="469">
        <v>912.33259999999996</v>
      </c>
      <c r="O314" s="469">
        <v>912.33259999999996</v>
      </c>
      <c r="P314" s="469">
        <v>912.33259999999996</v>
      </c>
      <c r="Q314" s="469">
        <v>912.33259999999996</v>
      </c>
      <c r="R314" s="469">
        <v>912.33259999999996</v>
      </c>
      <c r="S314" s="469">
        <v>912.33259999999996</v>
      </c>
    </row>
    <row r="315" spans="1:19" s="469" customFormat="1">
      <c r="A315" s="469" t="str">
        <f t="shared" si="27"/>
        <v>KU</v>
      </c>
      <c r="B315" s="469" t="str">
        <f t="shared" si="28"/>
        <v>KY</v>
      </c>
      <c r="C315" s="469" t="str">
        <f t="shared" si="29"/>
        <v>331</v>
      </c>
      <c r="D315" s="470" t="s">
        <v>1796</v>
      </c>
      <c r="E315" s="468" t="str">
        <f t="shared" si="30"/>
        <v/>
      </c>
      <c r="F315" s="469">
        <v>346.67905999999999</v>
      </c>
      <c r="G315" s="469">
        <v>277.63240000000002</v>
      </c>
      <c r="H315" s="469">
        <v>281.58712000000003</v>
      </c>
      <c r="I315" s="469">
        <v>285.54284000000001</v>
      </c>
      <c r="J315" s="469">
        <v>289.49856</v>
      </c>
      <c r="K315" s="469">
        <v>293.45427999999998</v>
      </c>
      <c r="L315" s="469">
        <v>297.41000000000003</v>
      </c>
      <c r="M315" s="469">
        <v>301.36571999999899</v>
      </c>
      <c r="N315" s="469">
        <v>279.45870130579999</v>
      </c>
      <c r="O315" s="469">
        <v>283.4144226116</v>
      </c>
      <c r="P315" s="469">
        <v>287.37014391740001</v>
      </c>
      <c r="Q315" s="469">
        <v>291.32586522320003</v>
      </c>
      <c r="R315" s="469">
        <v>295.28158652899998</v>
      </c>
      <c r="S315" s="469">
        <v>299.23730783479999</v>
      </c>
    </row>
    <row r="316" spans="1:19" s="469" customFormat="1">
      <c r="A316" s="469" t="str">
        <f t="shared" si="27"/>
        <v>KU</v>
      </c>
      <c r="B316" s="469" t="str">
        <f t="shared" si="28"/>
        <v>KY</v>
      </c>
      <c r="C316" s="469" t="str">
        <f t="shared" si="29"/>
        <v>332</v>
      </c>
      <c r="D316" s="470" t="s">
        <v>1797</v>
      </c>
      <c r="E316" s="468" t="str">
        <f t="shared" si="30"/>
        <v/>
      </c>
      <c r="F316" s="469">
        <v>8261.8507599999994</v>
      </c>
      <c r="G316" s="469">
        <v>8307.0810899999997</v>
      </c>
      <c r="H316" s="469">
        <v>8352.31142</v>
      </c>
      <c r="I316" s="469">
        <v>8397.5417500000003</v>
      </c>
      <c r="J316" s="469">
        <v>8442.7720800000006</v>
      </c>
      <c r="K316" s="469">
        <v>8488.0024099999991</v>
      </c>
      <c r="L316" s="469">
        <v>8533.2327399999995</v>
      </c>
      <c r="M316" s="469">
        <v>8578.4630699999998</v>
      </c>
      <c r="N316" s="469">
        <v>8623.6934058349998</v>
      </c>
      <c r="O316" s="469">
        <v>8668.9237416699998</v>
      </c>
      <c r="P316" s="469">
        <v>8714.1540775049998</v>
      </c>
      <c r="Q316" s="469">
        <v>8759.3844133399998</v>
      </c>
      <c r="R316" s="469">
        <v>8804.6147491749998</v>
      </c>
      <c r="S316" s="469">
        <v>8849.8450850099998</v>
      </c>
    </row>
    <row r="317" spans="1:19" s="469" customFormat="1">
      <c r="A317" s="469" t="str">
        <f t="shared" si="27"/>
        <v>KU</v>
      </c>
      <c r="B317" s="469" t="str">
        <f t="shared" si="28"/>
        <v>KY</v>
      </c>
      <c r="C317" s="469" t="str">
        <f t="shared" si="29"/>
        <v>333</v>
      </c>
      <c r="D317" s="470" t="s">
        <v>1798</v>
      </c>
      <c r="E317" s="468" t="str">
        <f t="shared" si="30"/>
        <v/>
      </c>
      <c r="F317" s="469">
        <v>860.60299999999995</v>
      </c>
      <c r="G317" s="469">
        <v>890.62489000000005</v>
      </c>
      <c r="H317" s="469">
        <v>933.46745999999996</v>
      </c>
      <c r="I317" s="469">
        <v>976.31002999999998</v>
      </c>
      <c r="J317" s="469">
        <v>1019.1526</v>
      </c>
      <c r="K317" s="469">
        <v>1061.9951699999999</v>
      </c>
      <c r="L317" s="469">
        <v>1104.8377399999999</v>
      </c>
      <c r="M317" s="469">
        <v>1147.68031</v>
      </c>
      <c r="N317" s="469">
        <v>1190.5228718187</v>
      </c>
      <c r="O317" s="469">
        <v>1233.3654336374</v>
      </c>
      <c r="P317" s="469">
        <v>1276.2079954561</v>
      </c>
      <c r="Q317" s="469">
        <v>1319.0505572748</v>
      </c>
      <c r="R317" s="469">
        <v>1361.8931190935</v>
      </c>
      <c r="S317" s="469">
        <v>1404.7356809122</v>
      </c>
    </row>
    <row r="318" spans="1:19" s="469" customFormat="1">
      <c r="A318" s="469" t="str">
        <f t="shared" si="27"/>
        <v>KU</v>
      </c>
      <c r="B318" s="469" t="str">
        <f t="shared" si="28"/>
        <v>KY</v>
      </c>
      <c r="C318" s="469" t="str">
        <f t="shared" si="29"/>
        <v>334</v>
      </c>
      <c r="D318" s="470" t="s">
        <v>1799</v>
      </c>
      <c r="E318" s="468" t="str">
        <f t="shared" si="30"/>
        <v/>
      </c>
      <c r="F318" s="469">
        <v>224.38369</v>
      </c>
      <c r="G318" s="469">
        <v>228.31759</v>
      </c>
      <c r="H318" s="469">
        <v>232.31129000000001</v>
      </c>
      <c r="I318" s="469">
        <v>236.29685000000001</v>
      </c>
      <c r="J318" s="469">
        <v>240.28241</v>
      </c>
      <c r="K318" s="469">
        <v>244.26796999999999</v>
      </c>
      <c r="L318" s="469">
        <v>248.25353000000001</v>
      </c>
      <c r="M318" s="469">
        <v>252.23909</v>
      </c>
      <c r="N318" s="469">
        <v>256.2246505105</v>
      </c>
      <c r="O318" s="469">
        <v>260.21021102100002</v>
      </c>
      <c r="P318" s="469">
        <v>264.19577153149999</v>
      </c>
      <c r="Q318" s="469">
        <v>268.18133204200001</v>
      </c>
      <c r="R318" s="469">
        <v>272.16689255249997</v>
      </c>
      <c r="S318" s="469">
        <v>276.152453063</v>
      </c>
    </row>
    <row r="319" spans="1:19" s="469" customFormat="1">
      <c r="A319" s="469" t="str">
        <f t="shared" si="27"/>
        <v>KU</v>
      </c>
      <c r="B319" s="469" t="str">
        <f t="shared" si="28"/>
        <v>KY</v>
      </c>
      <c r="C319" s="469" t="str">
        <f t="shared" si="29"/>
        <v>335</v>
      </c>
      <c r="D319" s="470" t="s">
        <v>1800</v>
      </c>
      <c r="E319" s="468" t="str">
        <f t="shared" si="30"/>
        <v/>
      </c>
      <c r="F319" s="469">
        <v>117.71442</v>
      </c>
      <c r="G319" s="469">
        <v>118.87128</v>
      </c>
      <c r="H319" s="469">
        <v>120.02813999999999</v>
      </c>
      <c r="I319" s="469">
        <v>121.185</v>
      </c>
      <c r="J319" s="469">
        <v>122.34186</v>
      </c>
      <c r="K319" s="469">
        <v>123.49872000000001</v>
      </c>
      <c r="L319" s="469">
        <v>124.65558</v>
      </c>
      <c r="M319" s="469">
        <v>125.81244</v>
      </c>
      <c r="N319" s="469">
        <v>126.96929560082999</v>
      </c>
      <c r="O319" s="469">
        <v>128.12615120166001</v>
      </c>
      <c r="P319" s="469">
        <v>129.28300680249001</v>
      </c>
      <c r="Q319" s="469">
        <v>130.43986240332001</v>
      </c>
      <c r="R319" s="469">
        <v>131.59671800415001</v>
      </c>
      <c r="S319" s="469">
        <v>132.75357360498001</v>
      </c>
    </row>
    <row r="320" spans="1:19" s="469" customFormat="1">
      <c r="A320" s="469" t="str">
        <f t="shared" si="27"/>
        <v>KU</v>
      </c>
      <c r="B320" s="469" t="str">
        <f t="shared" si="28"/>
        <v>KY</v>
      </c>
      <c r="C320" s="469" t="str">
        <f t="shared" si="29"/>
        <v>336</v>
      </c>
      <c r="D320" s="470" t="s">
        <v>1801</v>
      </c>
      <c r="E320" s="468" t="str">
        <f t="shared" si="30"/>
        <v/>
      </c>
      <c r="F320" s="469">
        <v>71.319609999999997</v>
      </c>
      <c r="G320" s="469">
        <v>72.072000000000003</v>
      </c>
      <c r="H320" s="469">
        <v>72.824389999999994</v>
      </c>
      <c r="I320" s="469">
        <v>73.576779999999999</v>
      </c>
      <c r="J320" s="469">
        <v>74.329170000000005</v>
      </c>
      <c r="K320" s="469">
        <v>75.081559999999996</v>
      </c>
      <c r="L320" s="469">
        <v>75.833950000000002</v>
      </c>
      <c r="M320" s="469">
        <v>76.586339999999893</v>
      </c>
      <c r="N320" s="469">
        <v>77.338723458749996</v>
      </c>
      <c r="O320" s="469">
        <v>78.091106917499999</v>
      </c>
      <c r="P320" s="469">
        <v>78.843490376250003</v>
      </c>
      <c r="Q320" s="469">
        <v>79.595873835000006</v>
      </c>
      <c r="R320" s="469">
        <v>80.348257293749995</v>
      </c>
      <c r="S320" s="469">
        <v>81.100640752499999</v>
      </c>
    </row>
    <row r="321" spans="1:19" s="469" customFormat="1">
      <c r="A321" s="469" t="str">
        <f t="shared" si="27"/>
        <v>KU</v>
      </c>
      <c r="B321" s="469" t="str">
        <f t="shared" si="28"/>
        <v>KY</v>
      </c>
      <c r="C321" s="469" t="str">
        <f t="shared" si="29"/>
        <v>337</v>
      </c>
      <c r="D321" s="470" t="s">
        <v>1802</v>
      </c>
      <c r="E321" s="468" t="str">
        <f t="shared" si="30"/>
        <v>ARO</v>
      </c>
      <c r="F321" s="469">
        <v>27.902290000000001</v>
      </c>
      <c r="G321" s="469">
        <v>28.35012</v>
      </c>
      <c r="H321" s="469">
        <v>28.79795</v>
      </c>
      <c r="I321" s="469">
        <v>29.24578</v>
      </c>
      <c r="J321" s="469">
        <v>29.69361</v>
      </c>
      <c r="K321" s="469">
        <v>30.141439999999999</v>
      </c>
      <c r="L321" s="469">
        <v>30.589269999999999</v>
      </c>
      <c r="M321" s="469">
        <v>31.037099999999999</v>
      </c>
      <c r="N321" s="469">
        <v>31.484929999999999</v>
      </c>
      <c r="O321" s="469">
        <v>31.932759999999998</v>
      </c>
      <c r="P321" s="469">
        <v>32.380589999999998</v>
      </c>
      <c r="Q321" s="469">
        <v>32.828420000000001</v>
      </c>
      <c r="R321" s="469">
        <v>33.276249999999997</v>
      </c>
      <c r="S321" s="469">
        <v>33.724080000000001</v>
      </c>
    </row>
    <row r="322" spans="1:19" s="469" customFormat="1">
      <c r="A322" s="469" t="str">
        <f t="shared" si="27"/>
        <v>KU</v>
      </c>
      <c r="B322" s="469" t="str">
        <f t="shared" si="28"/>
        <v>KY</v>
      </c>
      <c r="C322" s="469" t="str">
        <f t="shared" si="29"/>
        <v>340</v>
      </c>
      <c r="D322" s="470" t="s">
        <v>2347</v>
      </c>
      <c r="E322" s="468" t="str">
        <f t="shared" si="30"/>
        <v/>
      </c>
      <c r="F322" s="469">
        <v>116.8617</v>
      </c>
      <c r="G322" s="469">
        <v>117.191</v>
      </c>
      <c r="H322" s="469">
        <v>117.52030000000001</v>
      </c>
      <c r="I322" s="469">
        <v>117.8496</v>
      </c>
      <c r="J322" s="469">
        <v>118.1789</v>
      </c>
      <c r="K322" s="469">
        <v>118.5082</v>
      </c>
      <c r="L322" s="469">
        <v>118.83750000000001</v>
      </c>
      <c r="M322" s="469">
        <v>119.16679999999999</v>
      </c>
      <c r="N322" s="469">
        <v>119.4960973787</v>
      </c>
      <c r="O322" s="469">
        <v>119.82539475740001</v>
      </c>
      <c r="P322" s="469">
        <v>120.1546921361</v>
      </c>
      <c r="Q322" s="469">
        <v>120.4839895148</v>
      </c>
      <c r="R322" s="469">
        <v>120.81328689350001</v>
      </c>
      <c r="S322" s="469">
        <v>121.1425842722</v>
      </c>
    </row>
    <row r="323" spans="1:19" s="469" customFormat="1">
      <c r="A323" s="469" t="str">
        <f t="shared" si="27"/>
        <v>KU</v>
      </c>
      <c r="B323" s="469" t="str">
        <f t="shared" si="28"/>
        <v>KY</v>
      </c>
      <c r="C323" s="469" t="str">
        <f t="shared" si="29"/>
        <v>341</v>
      </c>
      <c r="D323" s="470" t="s">
        <v>1804</v>
      </c>
      <c r="E323" s="468" t="str">
        <f t="shared" si="30"/>
        <v/>
      </c>
      <c r="F323" s="469">
        <v>17932.899730000001</v>
      </c>
      <c r="G323" s="469">
        <v>18041.678329999999</v>
      </c>
      <c r="H323" s="469">
        <v>18150.99336</v>
      </c>
      <c r="I323" s="469">
        <v>18260.313389999999</v>
      </c>
      <c r="J323" s="469">
        <v>18202.473669999999</v>
      </c>
      <c r="K323" s="469">
        <v>18299.739580000001</v>
      </c>
      <c r="L323" s="469">
        <v>18408.50604</v>
      </c>
      <c r="M323" s="469">
        <v>18517.272550000002</v>
      </c>
      <c r="N323" s="469">
        <v>18618.264821809898</v>
      </c>
      <c r="O323" s="469">
        <v>18727.0313336199</v>
      </c>
      <c r="P323" s="469">
        <v>18835.797845429901</v>
      </c>
      <c r="Q323" s="469">
        <v>18944.5643572398</v>
      </c>
      <c r="R323" s="469">
        <v>19053.330869049802</v>
      </c>
      <c r="S323" s="469">
        <v>19162.097380859799</v>
      </c>
    </row>
    <row r="324" spans="1:19" s="469" customFormat="1">
      <c r="A324" s="469" t="str">
        <f t="shared" si="27"/>
        <v>KU</v>
      </c>
      <c r="B324" s="469" t="str">
        <f t="shared" si="28"/>
        <v>KY</v>
      </c>
      <c r="C324" s="469" t="str">
        <f t="shared" si="29"/>
        <v>341</v>
      </c>
      <c r="D324" s="470" t="s">
        <v>2348</v>
      </c>
      <c r="E324" s="468" t="str">
        <f t="shared" si="30"/>
        <v/>
      </c>
      <c r="F324" s="469">
        <v>765.62495999999999</v>
      </c>
      <c r="G324" s="469">
        <v>868.03098</v>
      </c>
      <c r="H324" s="469">
        <v>970.43988000000002</v>
      </c>
      <c r="I324" s="469">
        <v>1072.85113</v>
      </c>
      <c r="J324" s="469">
        <v>1175.26424</v>
      </c>
      <c r="K324" s="469">
        <v>1277.67886</v>
      </c>
      <c r="L324" s="469">
        <v>1380.9431399999901</v>
      </c>
      <c r="M324" s="469">
        <v>1485.05709</v>
      </c>
      <c r="N324" s="469">
        <v>1589.2152516000001</v>
      </c>
      <c r="O324" s="469">
        <v>1693.570894</v>
      </c>
      <c r="P324" s="469">
        <v>1798.0798064000001</v>
      </c>
      <c r="Q324" s="469">
        <v>1902.5887187999999</v>
      </c>
      <c r="R324" s="469">
        <v>2007.0976312</v>
      </c>
      <c r="S324" s="469">
        <v>2111.6065435999999</v>
      </c>
    </row>
    <row r="325" spans="1:19" s="469" customFormat="1">
      <c r="A325" s="469" t="str">
        <f t="shared" si="27"/>
        <v>KU</v>
      </c>
      <c r="B325" s="469" t="str">
        <f t="shared" si="28"/>
        <v>KY</v>
      </c>
      <c r="C325" s="469" t="str">
        <f t="shared" si="29"/>
        <v>341</v>
      </c>
      <c r="D325" s="470" t="s">
        <v>2349</v>
      </c>
      <c r="E325" s="468" t="str">
        <f t="shared" si="30"/>
        <v/>
      </c>
      <c r="F325" s="469">
        <v>0</v>
      </c>
      <c r="G325" s="469">
        <v>0</v>
      </c>
      <c r="H325" s="469">
        <v>0</v>
      </c>
      <c r="I325" s="469">
        <v>0</v>
      </c>
      <c r="J325" s="469">
        <v>0</v>
      </c>
      <c r="K325" s="469">
        <v>1.51468</v>
      </c>
      <c r="L325" s="469">
        <v>4.5479799999999999</v>
      </c>
      <c r="M325" s="469">
        <v>7.5881699999999999</v>
      </c>
      <c r="N325" s="469">
        <v>10.631310008</v>
      </c>
      <c r="O325" s="469">
        <v>13.674450016</v>
      </c>
      <c r="P325" s="469">
        <v>16.7175900239999</v>
      </c>
      <c r="Q325" s="469">
        <v>19.760730031999898</v>
      </c>
      <c r="R325" s="469">
        <v>22.8038700399999</v>
      </c>
      <c r="S325" s="469">
        <v>25.847010047999898</v>
      </c>
    </row>
    <row r="326" spans="1:19" s="469" customFormat="1">
      <c r="A326" s="469" t="str">
        <f t="shared" si="27"/>
        <v>KU</v>
      </c>
      <c r="B326" s="469" t="str">
        <f t="shared" si="28"/>
        <v>KY</v>
      </c>
      <c r="C326" s="469" t="str">
        <f t="shared" si="29"/>
        <v>342</v>
      </c>
      <c r="D326" s="470" t="s">
        <v>1805</v>
      </c>
      <c r="E326" s="468" t="str">
        <f t="shared" si="30"/>
        <v/>
      </c>
      <c r="F326" s="469">
        <v>4409.67202</v>
      </c>
      <c r="G326" s="469">
        <v>4453.2730199999996</v>
      </c>
      <c r="H326" s="469">
        <v>4496.8740199999102</v>
      </c>
      <c r="I326" s="469">
        <v>4540.4750199999999</v>
      </c>
      <c r="J326" s="469">
        <v>4584.0760199999904</v>
      </c>
      <c r="K326" s="469">
        <v>4627.6770200000001</v>
      </c>
      <c r="L326" s="469">
        <v>4671.2780199999997</v>
      </c>
      <c r="M326" s="469">
        <v>4714.8790199999903</v>
      </c>
      <c r="N326" s="469">
        <v>4758.4800242498904</v>
      </c>
      <c r="O326" s="469">
        <v>4802.0810284997897</v>
      </c>
      <c r="P326" s="469">
        <v>4820.6820327471896</v>
      </c>
      <c r="Q326" s="469">
        <v>4874.4078968848899</v>
      </c>
      <c r="R326" s="469">
        <v>4938.2586209064903</v>
      </c>
      <c r="S326" s="469">
        <v>5002.1093449280897</v>
      </c>
    </row>
    <row r="327" spans="1:19" s="469" customFormat="1">
      <c r="A327" s="469" t="str">
        <f t="shared" si="27"/>
        <v>KU</v>
      </c>
      <c r="B327" s="469" t="str">
        <f t="shared" si="28"/>
        <v>KY</v>
      </c>
      <c r="C327" s="469" t="str">
        <f t="shared" si="29"/>
        <v>342</v>
      </c>
      <c r="D327" s="470" t="s">
        <v>2350</v>
      </c>
      <c r="E327" s="468" t="str">
        <f t="shared" si="30"/>
        <v/>
      </c>
      <c r="F327" s="469">
        <v>1897.4041</v>
      </c>
      <c r="G327" s="469">
        <v>2151.1910200000002</v>
      </c>
      <c r="H327" s="469">
        <v>2404.9850799999999</v>
      </c>
      <c r="I327" s="469">
        <v>2658.78496</v>
      </c>
      <c r="J327" s="469">
        <v>2912.5894600000001</v>
      </c>
      <c r="K327" s="469">
        <v>3166.3976899999998</v>
      </c>
      <c r="L327" s="469">
        <v>3300.4901099999902</v>
      </c>
      <c r="M327" s="469">
        <v>3314.8667399999999</v>
      </c>
      <c r="N327" s="469">
        <v>3329.2433706808001</v>
      </c>
      <c r="O327" s="469">
        <v>3343.6200013615999</v>
      </c>
      <c r="P327" s="469">
        <v>3357.9966320424001</v>
      </c>
      <c r="Q327" s="469">
        <v>3372.3732627231998</v>
      </c>
      <c r="R327" s="469">
        <v>3386.749893404</v>
      </c>
      <c r="S327" s="469">
        <v>3401.1265240848002</v>
      </c>
    </row>
    <row r="328" spans="1:19" s="469" customFormat="1">
      <c r="A328" s="469" t="str">
        <f t="shared" si="27"/>
        <v>KU</v>
      </c>
      <c r="B328" s="469" t="str">
        <f t="shared" si="28"/>
        <v>KY</v>
      </c>
      <c r="C328" s="469" t="str">
        <f t="shared" si="29"/>
        <v>342</v>
      </c>
      <c r="D328" s="470" t="s">
        <v>2351</v>
      </c>
      <c r="E328" s="468" t="str">
        <f t="shared" si="30"/>
        <v/>
      </c>
      <c r="F328" s="469">
        <v>7902.0763900000002</v>
      </c>
      <c r="G328" s="469">
        <v>7987.3036499999998</v>
      </c>
      <c r="H328" s="469">
        <v>8072.5309799999904</v>
      </c>
      <c r="I328" s="469">
        <v>8157.75839</v>
      </c>
      <c r="J328" s="469">
        <v>8242.9858000000004</v>
      </c>
      <c r="K328" s="469">
        <v>8328.2132099999999</v>
      </c>
      <c r="L328" s="469">
        <v>8413.4406199999994</v>
      </c>
      <c r="M328" s="469">
        <v>8498.6680300000007</v>
      </c>
      <c r="N328" s="469">
        <v>8583.8954332419999</v>
      </c>
      <c r="O328" s="469">
        <v>8669.1228364840008</v>
      </c>
      <c r="P328" s="469">
        <v>8754.5217336009991</v>
      </c>
      <c r="Q328" s="469">
        <v>8840.0921245930003</v>
      </c>
      <c r="R328" s="469">
        <v>8925.6625155849997</v>
      </c>
      <c r="S328" s="469">
        <v>9011.2329065770009</v>
      </c>
    </row>
    <row r="329" spans="1:19" s="469" customFormat="1">
      <c r="A329" s="469" t="str">
        <f t="shared" si="27"/>
        <v>KU</v>
      </c>
      <c r="B329" s="469" t="str">
        <f t="shared" si="28"/>
        <v>KY</v>
      </c>
      <c r="C329" s="469" t="str">
        <f t="shared" si="29"/>
        <v>343</v>
      </c>
      <c r="D329" s="470" t="s">
        <v>1806</v>
      </c>
      <c r="E329" s="468" t="str">
        <f t="shared" si="30"/>
        <v/>
      </c>
      <c r="F329" s="469">
        <v>159903.19279999999</v>
      </c>
      <c r="G329" s="469">
        <v>161251.68779</v>
      </c>
      <c r="H329" s="469">
        <v>162367.43229</v>
      </c>
      <c r="I329" s="469">
        <v>163716.126829999</v>
      </c>
      <c r="J329" s="469">
        <v>165065.01478</v>
      </c>
      <c r="K329" s="469">
        <v>166409.59573999999</v>
      </c>
      <c r="L329" s="469">
        <v>167758.48483</v>
      </c>
      <c r="M329" s="469">
        <v>169107.51243</v>
      </c>
      <c r="N329" s="469">
        <v>170454.65104003999</v>
      </c>
      <c r="O329" s="469">
        <v>171805.56122708399</v>
      </c>
      <c r="P329" s="469">
        <v>173156.57703912799</v>
      </c>
      <c r="Q329" s="469">
        <v>174510.248099105</v>
      </c>
      <c r="R329" s="469">
        <v>175873.92858701499</v>
      </c>
      <c r="S329" s="469">
        <v>177237.60907492501</v>
      </c>
    </row>
    <row r="330" spans="1:19" s="469" customFormat="1">
      <c r="A330" s="469" t="str">
        <f t="shared" si="27"/>
        <v>KU</v>
      </c>
      <c r="B330" s="469" t="str">
        <f t="shared" si="28"/>
        <v>KY</v>
      </c>
      <c r="C330" s="469" t="str">
        <f t="shared" si="29"/>
        <v>343</v>
      </c>
      <c r="D330" s="470" t="s">
        <v>2352</v>
      </c>
      <c r="E330" s="468" t="str">
        <f t="shared" si="30"/>
        <v/>
      </c>
      <c r="F330" s="469">
        <v>1562.4960900000001</v>
      </c>
      <c r="G330" s="469">
        <v>1771.4874500000001</v>
      </c>
      <c r="H330" s="469">
        <v>1980.4847</v>
      </c>
      <c r="I330" s="469">
        <v>2189.4867399999998</v>
      </c>
      <c r="J330" s="469">
        <v>2398.4925899999998</v>
      </c>
      <c r="K330" s="469">
        <v>2607.5014900000001</v>
      </c>
      <c r="L330" s="469">
        <v>3008.85349</v>
      </c>
      <c r="M330" s="469">
        <v>3602.5485800000001</v>
      </c>
      <c r="N330" s="469">
        <v>4200.6497009109999</v>
      </c>
      <c r="O330" s="469">
        <v>4803.1794088569904</v>
      </c>
      <c r="P330" s="469">
        <v>5405.7782646379901</v>
      </c>
      <c r="Q330" s="469">
        <v>6008.4237128949999</v>
      </c>
      <c r="R330" s="469">
        <v>6611.0691611519997</v>
      </c>
      <c r="S330" s="469">
        <v>7213.7146094090003</v>
      </c>
    </row>
    <row r="331" spans="1:19" s="469" customFormat="1">
      <c r="A331" s="469" t="str">
        <f t="shared" si="27"/>
        <v>KU</v>
      </c>
      <c r="B331" s="469" t="str">
        <f t="shared" si="28"/>
        <v>KY</v>
      </c>
      <c r="C331" s="469" t="str">
        <f t="shared" si="29"/>
        <v>344</v>
      </c>
      <c r="D331" s="470" t="s">
        <v>1807</v>
      </c>
      <c r="E331" s="468" t="str">
        <f t="shared" si="30"/>
        <v/>
      </c>
      <c r="F331" s="469">
        <v>31063.510649999898</v>
      </c>
      <c r="G331" s="469">
        <v>31223.177439999901</v>
      </c>
      <c r="H331" s="469">
        <v>31382.844229999999</v>
      </c>
      <c r="I331" s="469">
        <v>31542.5110199999</v>
      </c>
      <c r="J331" s="469">
        <v>31702.177810000001</v>
      </c>
      <c r="K331" s="469">
        <v>31861.844599999898</v>
      </c>
      <c r="L331" s="469">
        <v>32022.782789999899</v>
      </c>
      <c r="M331" s="469">
        <v>31814.061140000002</v>
      </c>
      <c r="N331" s="469">
        <v>31975.199850818299</v>
      </c>
      <c r="O331" s="469">
        <v>32136.355212088001</v>
      </c>
      <c r="P331" s="469">
        <v>32297.525653430599</v>
      </c>
      <c r="Q331" s="469">
        <v>32337.966258232798</v>
      </c>
      <c r="R331" s="469">
        <v>32500.107366474302</v>
      </c>
      <c r="S331" s="469">
        <v>32662.248474715801</v>
      </c>
    </row>
    <row r="332" spans="1:19" s="469" customFormat="1">
      <c r="A332" s="469" t="str">
        <f t="shared" si="27"/>
        <v>KU</v>
      </c>
      <c r="B332" s="469" t="str">
        <f t="shared" si="28"/>
        <v>KY</v>
      </c>
      <c r="C332" s="469" t="str">
        <f t="shared" si="29"/>
        <v>344</v>
      </c>
      <c r="D332" s="470" t="s">
        <v>2353</v>
      </c>
      <c r="E332" s="468" t="str">
        <f t="shared" si="30"/>
        <v/>
      </c>
      <c r="F332" s="469">
        <v>2197.4540299999999</v>
      </c>
      <c r="G332" s="469">
        <v>2491.37408</v>
      </c>
      <c r="H332" s="469">
        <v>2785.3024</v>
      </c>
      <c r="I332" s="469">
        <v>3079.2374500000001</v>
      </c>
      <c r="J332" s="469">
        <v>3373.17785</v>
      </c>
      <c r="K332" s="469">
        <v>3667.12257</v>
      </c>
      <c r="L332" s="469">
        <v>3889.0703600000002</v>
      </c>
      <c r="M332" s="469">
        <v>4039.0212299999998</v>
      </c>
      <c r="N332" s="469">
        <v>4188.9720977730003</v>
      </c>
      <c r="O332" s="469">
        <v>4338.9229655460003</v>
      </c>
      <c r="P332" s="469">
        <v>4488.8738333190004</v>
      </c>
      <c r="Q332" s="469">
        <v>4638.8247010920004</v>
      </c>
      <c r="R332" s="469">
        <v>4788.7755688650004</v>
      </c>
      <c r="S332" s="469">
        <v>4938.7264366380005</v>
      </c>
    </row>
    <row r="333" spans="1:19" s="469" customFormat="1">
      <c r="A333" s="469" t="str">
        <f t="shared" si="27"/>
        <v>KU</v>
      </c>
      <c r="B333" s="469" t="str">
        <f t="shared" si="28"/>
        <v>KY</v>
      </c>
      <c r="C333" s="469" t="str">
        <f t="shared" si="29"/>
        <v>344</v>
      </c>
      <c r="D333" s="470" t="s">
        <v>2354</v>
      </c>
      <c r="E333" s="468" t="str">
        <f t="shared" si="30"/>
        <v/>
      </c>
      <c r="F333" s="469">
        <v>0</v>
      </c>
      <c r="G333" s="469">
        <v>0</v>
      </c>
      <c r="H333" s="469">
        <v>0</v>
      </c>
      <c r="I333" s="469">
        <v>0</v>
      </c>
      <c r="J333" s="469">
        <v>0</v>
      </c>
      <c r="K333" s="469">
        <v>24.678909999999998</v>
      </c>
      <c r="L333" s="469">
        <v>74.100960000000001</v>
      </c>
      <c r="M333" s="469">
        <v>123.6353</v>
      </c>
      <c r="N333" s="469">
        <v>173.21771063369999</v>
      </c>
      <c r="O333" s="469">
        <v>222.80012126739999</v>
      </c>
      <c r="P333" s="469">
        <v>272.38253190109998</v>
      </c>
      <c r="Q333" s="469">
        <v>321.9649425348</v>
      </c>
      <c r="R333" s="469">
        <v>371.54735316850002</v>
      </c>
      <c r="S333" s="469">
        <v>421.12976380219999</v>
      </c>
    </row>
    <row r="334" spans="1:19" s="469" customFormat="1">
      <c r="A334" s="469" t="str">
        <f t="shared" si="27"/>
        <v>KU</v>
      </c>
      <c r="B334" s="469" t="str">
        <f t="shared" si="28"/>
        <v>KY</v>
      </c>
      <c r="C334" s="469" t="str">
        <f t="shared" si="29"/>
        <v>345</v>
      </c>
      <c r="D334" s="470" t="s">
        <v>1808</v>
      </c>
      <c r="E334" s="468" t="str">
        <f t="shared" si="30"/>
        <v/>
      </c>
      <c r="F334" s="469">
        <v>20332.819759999998</v>
      </c>
      <c r="G334" s="469">
        <v>20481.180759999999</v>
      </c>
      <c r="H334" s="469">
        <v>20629.54176</v>
      </c>
      <c r="I334" s="469">
        <v>20778.263869999999</v>
      </c>
      <c r="J334" s="469">
        <v>20927.548350000001</v>
      </c>
      <c r="K334" s="469">
        <v>21077.084760000002</v>
      </c>
      <c r="L334" s="469">
        <v>21226.6718</v>
      </c>
      <c r="M334" s="469">
        <v>21376.258839999999</v>
      </c>
      <c r="N334" s="469">
        <v>21525.633651337299</v>
      </c>
      <c r="O334" s="469">
        <v>21674.796235280599</v>
      </c>
      <c r="P334" s="469">
        <v>21823.958819223899</v>
      </c>
      <c r="Q334" s="469">
        <v>21973.121403167199</v>
      </c>
      <c r="R334" s="469">
        <v>22122.283987110499</v>
      </c>
      <c r="S334" s="469">
        <v>22271.446571053799</v>
      </c>
    </row>
    <row r="335" spans="1:19" s="469" customFormat="1">
      <c r="A335" s="469" t="str">
        <f t="shared" si="27"/>
        <v>KU</v>
      </c>
      <c r="B335" s="469" t="str">
        <f t="shared" si="28"/>
        <v>KY</v>
      </c>
      <c r="C335" s="469" t="str">
        <f t="shared" si="29"/>
        <v>345</v>
      </c>
      <c r="D335" s="470" t="s">
        <v>2355</v>
      </c>
      <c r="E335" s="468" t="str">
        <f t="shared" si="30"/>
        <v/>
      </c>
      <c r="F335" s="469">
        <v>486.48815999999999</v>
      </c>
      <c r="G335" s="469">
        <v>551.55829000000006</v>
      </c>
      <c r="H335" s="469">
        <v>616.63026000000002</v>
      </c>
      <c r="I335" s="469">
        <v>681.70371999999998</v>
      </c>
      <c r="J335" s="469">
        <v>746.77836000000002</v>
      </c>
      <c r="K335" s="469">
        <v>811.85396000000003</v>
      </c>
      <c r="L335" s="469">
        <v>866.83687999999995</v>
      </c>
      <c r="M335" s="469">
        <v>911.72711000000004</v>
      </c>
      <c r="N335" s="469">
        <v>956.61734280999997</v>
      </c>
      <c r="O335" s="469">
        <v>1001.50757562</v>
      </c>
      <c r="P335" s="469">
        <v>1046.5425959300001</v>
      </c>
      <c r="Q335" s="469">
        <v>1091.7224037399999</v>
      </c>
      <c r="R335" s="469">
        <v>1136.9022115499999</v>
      </c>
      <c r="S335" s="469">
        <v>1182.08201936</v>
      </c>
    </row>
    <row r="336" spans="1:19" s="469" customFormat="1">
      <c r="A336" s="469" t="str">
        <f t="shared" si="27"/>
        <v>KU</v>
      </c>
      <c r="B336" s="469" t="str">
        <f t="shared" si="28"/>
        <v>KY</v>
      </c>
      <c r="C336" s="469" t="str">
        <f t="shared" si="29"/>
        <v>345</v>
      </c>
      <c r="D336" s="470" t="s">
        <v>2356</v>
      </c>
      <c r="E336" s="468" t="str">
        <f t="shared" si="30"/>
        <v/>
      </c>
      <c r="F336" s="469">
        <v>0</v>
      </c>
      <c r="G336" s="469">
        <v>0</v>
      </c>
      <c r="H336" s="469">
        <v>0</v>
      </c>
      <c r="I336" s="469">
        <v>0</v>
      </c>
      <c r="J336" s="469">
        <v>0</v>
      </c>
      <c r="K336" s="469">
        <v>1.2049399999999999</v>
      </c>
      <c r="L336" s="469">
        <v>3.6179399999999999</v>
      </c>
      <c r="M336" s="469">
        <v>6.0364300000000002</v>
      </c>
      <c r="N336" s="469">
        <v>8.7100494528999999</v>
      </c>
      <c r="O336" s="469">
        <v>11.879613474199999</v>
      </c>
      <c r="P336" s="469">
        <v>15.535499161500001</v>
      </c>
      <c r="Q336" s="469">
        <v>20.365971229399999</v>
      </c>
      <c r="R336" s="469">
        <v>26.1278688439</v>
      </c>
      <c r="S336" s="469">
        <v>31.8897664584</v>
      </c>
    </row>
    <row r="337" spans="1:19" s="469" customFormat="1">
      <c r="A337" s="469" t="str">
        <f t="shared" si="27"/>
        <v>KU</v>
      </c>
      <c r="B337" s="469" t="str">
        <f t="shared" si="28"/>
        <v>KY</v>
      </c>
      <c r="C337" s="469" t="str">
        <f t="shared" si="29"/>
        <v>346</v>
      </c>
      <c r="D337" s="470" t="s">
        <v>1809</v>
      </c>
      <c r="E337" s="468" t="str">
        <f t="shared" si="30"/>
        <v/>
      </c>
      <c r="F337" s="469">
        <v>2950.7288599999902</v>
      </c>
      <c r="G337" s="469">
        <v>2968.4405000000002</v>
      </c>
      <c r="H337" s="469">
        <v>2986.1521400000001</v>
      </c>
      <c r="I337" s="469">
        <v>3003.8637800000001</v>
      </c>
      <c r="J337" s="469">
        <v>3021.5754199999901</v>
      </c>
      <c r="K337" s="469">
        <v>3039.2870599999901</v>
      </c>
      <c r="L337" s="469">
        <v>3049.4779100000001</v>
      </c>
      <c r="M337" s="469">
        <v>3067.1560599999998</v>
      </c>
      <c r="N337" s="469">
        <v>3084.8536139995199</v>
      </c>
      <c r="O337" s="469">
        <v>3102.6569439741802</v>
      </c>
      <c r="P337" s="469">
        <v>3120.6275112500898</v>
      </c>
      <c r="Q337" s="469">
        <v>3138.6822761011099</v>
      </c>
      <c r="R337" s="469">
        <v>3156.73704095214</v>
      </c>
      <c r="S337" s="469">
        <v>3174.7918058031701</v>
      </c>
    </row>
    <row r="338" spans="1:19" s="469" customFormat="1">
      <c r="A338" s="469" t="str">
        <f t="shared" si="27"/>
        <v>KU</v>
      </c>
      <c r="B338" s="469" t="str">
        <f t="shared" si="28"/>
        <v>KY</v>
      </c>
      <c r="C338" s="469" t="str">
        <f t="shared" si="29"/>
        <v>346</v>
      </c>
      <c r="D338" s="470" t="s">
        <v>2357</v>
      </c>
      <c r="E338" s="468" t="str">
        <f t="shared" si="30"/>
        <v/>
      </c>
      <c r="F338" s="469">
        <v>0.13772999999999999</v>
      </c>
      <c r="G338" s="469">
        <v>0.18723000000000001</v>
      </c>
      <c r="H338" s="469">
        <v>0.23810999999999999</v>
      </c>
      <c r="I338" s="469">
        <v>0.29036000000000001</v>
      </c>
      <c r="J338" s="469">
        <v>0.34261000000000003</v>
      </c>
      <c r="K338" s="469">
        <v>0.39485999999999999</v>
      </c>
      <c r="L338" s="469">
        <v>4.0160900000000002</v>
      </c>
      <c r="M338" s="469">
        <v>11.206299999999899</v>
      </c>
      <c r="N338" s="469">
        <v>18.396514582999998</v>
      </c>
      <c r="O338" s="469">
        <v>25.586729165999898</v>
      </c>
      <c r="P338" s="469">
        <v>32.776943748999997</v>
      </c>
      <c r="Q338" s="469">
        <v>39.967158331999997</v>
      </c>
      <c r="R338" s="469">
        <v>47.157372914999897</v>
      </c>
      <c r="S338" s="469">
        <v>54.347587497999903</v>
      </c>
    </row>
    <row r="339" spans="1:19" s="469" customFormat="1">
      <c r="A339" s="469" t="str">
        <f t="shared" si="27"/>
        <v>KU</v>
      </c>
      <c r="B339" s="469" t="str">
        <f t="shared" si="28"/>
        <v>KY</v>
      </c>
      <c r="C339" s="469" t="str">
        <f t="shared" si="29"/>
        <v>346</v>
      </c>
      <c r="D339" s="470" t="s">
        <v>2358</v>
      </c>
      <c r="E339" s="468" t="str">
        <f t="shared" si="30"/>
        <v/>
      </c>
      <c r="F339" s="469">
        <v>0</v>
      </c>
      <c r="G339" s="469">
        <v>0</v>
      </c>
      <c r="H339" s="469">
        <v>0</v>
      </c>
      <c r="I339" s="469">
        <v>0</v>
      </c>
      <c r="J339" s="469">
        <v>0</v>
      </c>
      <c r="K339" s="469">
        <v>0.51779999999999904</v>
      </c>
      <c r="L339" s="469">
        <v>1.5547500000000001</v>
      </c>
      <c r="M339" s="469">
        <v>2.5940500000000002</v>
      </c>
      <c r="N339" s="469">
        <v>3.634361175</v>
      </c>
      <c r="O339" s="469">
        <v>4.6746723499999998</v>
      </c>
      <c r="P339" s="469">
        <v>5.7149835250000001</v>
      </c>
      <c r="Q339" s="469">
        <v>6.7552947000000003</v>
      </c>
      <c r="R339" s="469">
        <v>7.7956058749999997</v>
      </c>
      <c r="S339" s="469">
        <v>8.8359170500000008</v>
      </c>
    </row>
    <row r="340" spans="1:19" s="469" customFormat="1">
      <c r="A340" s="469" t="str">
        <f t="shared" si="27"/>
        <v>KU</v>
      </c>
      <c r="B340" s="469" t="str">
        <f t="shared" si="28"/>
        <v>KY</v>
      </c>
      <c r="C340" s="469" t="str">
        <f t="shared" si="29"/>
        <v>347</v>
      </c>
      <c r="D340" s="470" t="s">
        <v>2359</v>
      </c>
      <c r="E340" s="468" t="str">
        <f t="shared" si="30"/>
        <v>ARO</v>
      </c>
      <c r="F340" s="469">
        <v>13.88336</v>
      </c>
      <c r="G340" s="469">
        <v>15.618779999999999</v>
      </c>
      <c r="H340" s="469">
        <v>17.354199999999999</v>
      </c>
      <c r="I340" s="469">
        <v>19.08962</v>
      </c>
      <c r="J340" s="469">
        <v>20.825040000000001</v>
      </c>
      <c r="K340" s="469">
        <v>22.560459999999999</v>
      </c>
      <c r="L340" s="469">
        <v>24.29588</v>
      </c>
      <c r="M340" s="469">
        <v>26.031299999999899</v>
      </c>
      <c r="N340" s="469">
        <v>27.766719999999999</v>
      </c>
      <c r="O340" s="469">
        <v>29.502140000000001</v>
      </c>
      <c r="P340" s="469">
        <v>31.237559999999998</v>
      </c>
      <c r="Q340" s="469">
        <v>32.97298</v>
      </c>
      <c r="R340" s="469">
        <v>34.708399999999997</v>
      </c>
      <c r="S340" s="469">
        <v>36.443819999999903</v>
      </c>
    </row>
    <row r="341" spans="1:19" s="469" customFormat="1">
      <c r="A341" s="469" t="str">
        <f t="shared" si="27"/>
        <v>KU</v>
      </c>
      <c r="B341" s="469" t="str">
        <f t="shared" si="28"/>
        <v>KY</v>
      </c>
      <c r="C341" s="469" t="str">
        <f t="shared" si="29"/>
        <v>350</v>
      </c>
      <c r="D341" s="470" t="s">
        <v>1810</v>
      </c>
      <c r="E341" s="468" t="str">
        <f t="shared" si="30"/>
        <v/>
      </c>
      <c r="F341" s="469">
        <v>15160.41359</v>
      </c>
      <c r="G341" s="469">
        <v>15182.26153</v>
      </c>
      <c r="H341" s="469">
        <v>15204.109469999999</v>
      </c>
      <c r="I341" s="469">
        <v>15225.957410000001</v>
      </c>
      <c r="J341" s="469">
        <v>15247.805350000001</v>
      </c>
      <c r="K341" s="469">
        <v>15269.65329</v>
      </c>
      <c r="L341" s="469">
        <v>15291.50123</v>
      </c>
      <c r="M341" s="469">
        <v>15313.34917</v>
      </c>
      <c r="N341" s="469">
        <v>15335.197109639999</v>
      </c>
      <c r="O341" s="469">
        <v>15357.045049279999</v>
      </c>
      <c r="P341" s="469">
        <v>15378.892988919901</v>
      </c>
      <c r="Q341" s="469">
        <v>15400.740928559901</v>
      </c>
      <c r="R341" s="469">
        <v>15422.5888681999</v>
      </c>
      <c r="S341" s="469">
        <v>15444.4368078399</v>
      </c>
    </row>
    <row r="342" spans="1:19" s="469" customFormat="1">
      <c r="A342" s="469" t="str">
        <f t="shared" si="27"/>
        <v>KU</v>
      </c>
      <c r="B342" s="469" t="str">
        <f t="shared" si="28"/>
        <v>TN</v>
      </c>
      <c r="C342" s="469" t="str">
        <f t="shared" si="29"/>
        <v>350</v>
      </c>
      <c r="D342" s="470" t="s">
        <v>1811</v>
      </c>
      <c r="E342" s="468" t="str">
        <f t="shared" si="30"/>
        <v/>
      </c>
      <c r="F342" s="469">
        <v>0.36141000000000001</v>
      </c>
      <c r="G342" s="469">
        <v>0.36176000000000003</v>
      </c>
      <c r="H342" s="469">
        <v>0.36210999999999999</v>
      </c>
      <c r="I342" s="469">
        <v>0.36246</v>
      </c>
      <c r="J342" s="469">
        <v>0.36281000000000002</v>
      </c>
      <c r="K342" s="469">
        <v>0.36315999999999998</v>
      </c>
      <c r="L342" s="469">
        <v>0.36351</v>
      </c>
      <c r="M342" s="469">
        <v>0.36386000000000002</v>
      </c>
      <c r="N342" s="469">
        <v>0.36421162400000001</v>
      </c>
      <c r="O342" s="469">
        <v>0.36456324800000001</v>
      </c>
      <c r="P342" s="469">
        <v>0.364914872</v>
      </c>
      <c r="Q342" s="469">
        <v>0.365266496</v>
      </c>
      <c r="R342" s="469">
        <v>0.36561811999999999</v>
      </c>
      <c r="S342" s="469">
        <v>0.36596974399999999</v>
      </c>
    </row>
    <row r="343" spans="1:19" s="469" customFormat="1">
      <c r="A343" s="469" t="str">
        <f t="shared" si="27"/>
        <v>KU</v>
      </c>
      <c r="B343" s="469" t="str">
        <f t="shared" si="28"/>
        <v>VA</v>
      </c>
      <c r="C343" s="469" t="str">
        <f t="shared" si="29"/>
        <v>350</v>
      </c>
      <c r="D343" s="470" t="s">
        <v>1812</v>
      </c>
      <c r="E343" s="468" t="str">
        <f t="shared" si="30"/>
        <v/>
      </c>
      <c r="F343" s="469">
        <v>1906.82617</v>
      </c>
      <c r="G343" s="469">
        <v>1908.52107</v>
      </c>
      <c r="H343" s="469">
        <v>1910.21597</v>
      </c>
      <c r="I343" s="469">
        <v>1911.9108699999999</v>
      </c>
      <c r="J343" s="469">
        <v>1913.6057699999999</v>
      </c>
      <c r="K343" s="469">
        <v>1915.3006699999901</v>
      </c>
      <c r="L343" s="469">
        <v>1916.99557</v>
      </c>
      <c r="M343" s="469">
        <v>1918.69047</v>
      </c>
      <c r="N343" s="469">
        <v>1920.3853749760001</v>
      </c>
      <c r="O343" s="469">
        <v>1922.080279952</v>
      </c>
      <c r="P343" s="469">
        <v>1923.775184928</v>
      </c>
      <c r="Q343" s="469">
        <v>1925.4700899039999</v>
      </c>
      <c r="R343" s="469">
        <v>1927.16499488</v>
      </c>
      <c r="S343" s="469">
        <v>1928.8598998560001</v>
      </c>
    </row>
    <row r="344" spans="1:19" s="469" customFormat="1">
      <c r="A344" s="469" t="str">
        <f t="shared" si="27"/>
        <v>KU</v>
      </c>
      <c r="B344" s="469" t="str">
        <f t="shared" si="28"/>
        <v>KY</v>
      </c>
      <c r="C344" s="469" t="str">
        <f t="shared" si="29"/>
        <v>352</v>
      </c>
      <c r="D344" s="470" t="s">
        <v>1813</v>
      </c>
      <c r="E344" s="468" t="str">
        <f t="shared" si="30"/>
        <v/>
      </c>
      <c r="F344" s="469">
        <v>959.63882000000001</v>
      </c>
      <c r="G344" s="469">
        <v>961.69220999999902</v>
      </c>
      <c r="H344" s="469">
        <v>963.74559999999997</v>
      </c>
      <c r="I344" s="469">
        <v>927.92430999999999</v>
      </c>
      <c r="J344" s="469">
        <v>929.96487999999999</v>
      </c>
      <c r="K344" s="469">
        <v>932.00545</v>
      </c>
      <c r="L344" s="469">
        <v>934.04602</v>
      </c>
      <c r="M344" s="469">
        <v>936.08658999999898</v>
      </c>
      <c r="N344" s="469">
        <v>938.12716025279894</v>
      </c>
      <c r="O344" s="469">
        <v>940.16773050559902</v>
      </c>
      <c r="P344" s="469">
        <v>942.20830075839899</v>
      </c>
      <c r="Q344" s="469">
        <v>944.24887101119896</v>
      </c>
      <c r="R344" s="469">
        <v>946.28944126399904</v>
      </c>
      <c r="S344" s="469">
        <v>948.330011516799</v>
      </c>
    </row>
    <row r="345" spans="1:19" s="469" customFormat="1">
      <c r="A345" s="469" t="str">
        <f t="shared" si="27"/>
        <v>KU</v>
      </c>
      <c r="B345" s="469" t="str">
        <f t="shared" si="28"/>
        <v>KY</v>
      </c>
      <c r="C345" s="469" t="str">
        <f t="shared" si="29"/>
        <v>352</v>
      </c>
      <c r="D345" s="470" t="s">
        <v>1814</v>
      </c>
      <c r="E345" s="468" t="str">
        <f t="shared" si="30"/>
        <v/>
      </c>
      <c r="F345" s="469">
        <v>4993.40236</v>
      </c>
      <c r="G345" s="469">
        <v>5014.2659699999904</v>
      </c>
      <c r="H345" s="469">
        <v>5047.0280000000002</v>
      </c>
      <c r="I345" s="469">
        <v>5079.9226799999997</v>
      </c>
      <c r="J345" s="469">
        <v>5112.9805699999997</v>
      </c>
      <c r="K345" s="469">
        <v>5148.3328300000003</v>
      </c>
      <c r="L345" s="469">
        <v>5185.9598999999998</v>
      </c>
      <c r="M345" s="469">
        <v>5223.5814</v>
      </c>
      <c r="N345" s="469">
        <v>5259.2313728869904</v>
      </c>
      <c r="O345" s="469">
        <v>5296.8473057739902</v>
      </c>
      <c r="P345" s="469">
        <v>5334.4632386609901</v>
      </c>
      <c r="Q345" s="469">
        <v>5372.07917154799</v>
      </c>
      <c r="R345" s="469">
        <v>5409.6951044349898</v>
      </c>
      <c r="S345" s="469">
        <v>5447.3110373219897</v>
      </c>
    </row>
    <row r="346" spans="1:19" s="469" customFormat="1">
      <c r="A346" s="469" t="str">
        <f t="shared" si="27"/>
        <v>KU</v>
      </c>
      <c r="B346" s="469" t="str">
        <f t="shared" si="28"/>
        <v>VA</v>
      </c>
      <c r="C346" s="469" t="str">
        <f t="shared" si="29"/>
        <v>352</v>
      </c>
      <c r="D346" s="470" t="s">
        <v>1815</v>
      </c>
      <c r="E346" s="468" t="str">
        <f t="shared" si="30"/>
        <v/>
      </c>
      <c r="F346" s="469">
        <v>781.78216999999995</v>
      </c>
      <c r="G346" s="469">
        <v>784.14162999999996</v>
      </c>
      <c r="H346" s="469">
        <v>786.50108999999998</v>
      </c>
      <c r="I346" s="469">
        <v>788.86054999999999</v>
      </c>
      <c r="J346" s="469">
        <v>791.22001</v>
      </c>
      <c r="K346" s="469">
        <v>793.57947000000001</v>
      </c>
      <c r="L346" s="469">
        <v>795.93893000000003</v>
      </c>
      <c r="M346" s="469">
        <v>798.29839000000004</v>
      </c>
      <c r="N346" s="469">
        <v>800.65785689999996</v>
      </c>
      <c r="O346" s="469">
        <v>803.01732379999999</v>
      </c>
      <c r="P346" s="469">
        <v>805.37679070000002</v>
      </c>
      <c r="Q346" s="469">
        <v>807.73625760000004</v>
      </c>
      <c r="R346" s="469">
        <v>810.09572449999996</v>
      </c>
      <c r="S346" s="469">
        <v>812.45519139999999</v>
      </c>
    </row>
    <row r="347" spans="1:19" s="469" customFormat="1">
      <c r="A347" s="469" t="str">
        <f t="shared" si="27"/>
        <v>KU</v>
      </c>
      <c r="B347" s="469" t="str">
        <f t="shared" si="28"/>
        <v>KY</v>
      </c>
      <c r="C347" s="469" t="str">
        <f t="shared" si="29"/>
        <v>353</v>
      </c>
      <c r="D347" s="470" t="s">
        <v>1816</v>
      </c>
      <c r="E347" s="468" t="str">
        <f t="shared" si="30"/>
        <v/>
      </c>
      <c r="F347" s="469">
        <v>61176.6689799999</v>
      </c>
      <c r="G347" s="469">
        <v>61342.274160000001</v>
      </c>
      <c r="H347" s="469">
        <v>61737.169799999901</v>
      </c>
      <c r="I347" s="469">
        <v>62008.908759999998</v>
      </c>
      <c r="J347" s="469">
        <v>62314.75</v>
      </c>
      <c r="K347" s="469">
        <v>62112.557130000001</v>
      </c>
      <c r="L347" s="469">
        <v>62484.717369999998</v>
      </c>
      <c r="M347" s="469">
        <v>62829.363449999997</v>
      </c>
      <c r="N347" s="469">
        <v>62444.244852439901</v>
      </c>
      <c r="O347" s="469">
        <v>62659.473836209901</v>
      </c>
      <c r="P347" s="469">
        <v>62941.975983219898</v>
      </c>
      <c r="Q347" s="469">
        <v>62817.698819359903</v>
      </c>
      <c r="R347" s="469">
        <v>63151.366814619898</v>
      </c>
      <c r="S347" s="469">
        <v>63186.851903809897</v>
      </c>
    </row>
    <row r="348" spans="1:19" s="469" customFormat="1">
      <c r="A348" s="469" t="str">
        <f t="shared" si="27"/>
        <v>KU</v>
      </c>
      <c r="B348" s="469" t="s">
        <v>17</v>
      </c>
      <c r="C348" s="469" t="str">
        <f t="shared" si="29"/>
        <v>353</v>
      </c>
      <c r="D348" s="470" t="s">
        <v>1817</v>
      </c>
      <c r="E348" s="468" t="str">
        <f t="shared" si="30"/>
        <v/>
      </c>
      <c r="F348" s="469">
        <v>9724.3293300000005</v>
      </c>
      <c r="G348" s="469">
        <v>9724.3293300000005</v>
      </c>
      <c r="H348" s="469">
        <v>9724.3293300000005</v>
      </c>
      <c r="I348" s="469">
        <v>9711.8288400000001</v>
      </c>
      <c r="J348" s="469">
        <v>9711.8288400000001</v>
      </c>
      <c r="K348" s="469">
        <v>9711.8288400000001</v>
      </c>
      <c r="L348" s="469">
        <v>9711.8288400000001</v>
      </c>
      <c r="M348" s="469">
        <v>9711.8288400000001</v>
      </c>
      <c r="N348" s="469">
        <v>9711.8288400000001</v>
      </c>
      <c r="O348" s="469">
        <v>9711.8288400000001</v>
      </c>
      <c r="P348" s="469">
        <v>9711.8288400000001</v>
      </c>
      <c r="Q348" s="469">
        <v>9711.8288400000001</v>
      </c>
      <c r="R348" s="469">
        <v>9711.8288400000001</v>
      </c>
      <c r="S348" s="469">
        <v>9711.8288400000001</v>
      </c>
    </row>
    <row r="349" spans="1:19" s="469" customFormat="1">
      <c r="A349" s="469" t="str">
        <f t="shared" si="27"/>
        <v>KU</v>
      </c>
      <c r="B349" s="469" t="str">
        <f t="shared" si="28"/>
        <v>VA</v>
      </c>
      <c r="C349" s="469" t="str">
        <f t="shared" si="29"/>
        <v>353</v>
      </c>
      <c r="D349" s="470" t="s">
        <v>1818</v>
      </c>
      <c r="E349" s="468" t="str">
        <f t="shared" si="30"/>
        <v/>
      </c>
      <c r="F349" s="469">
        <v>7428.1888399999998</v>
      </c>
      <c r="G349" s="469">
        <v>7458.6485599999996</v>
      </c>
      <c r="H349" s="469">
        <v>7489.1082800000004</v>
      </c>
      <c r="I349" s="469">
        <v>7519.5643799999998</v>
      </c>
      <c r="J349" s="469">
        <v>7541.4726600000004</v>
      </c>
      <c r="K349" s="469">
        <v>7572.0146199999999</v>
      </c>
      <c r="L349" s="469">
        <v>7624.1652699999904</v>
      </c>
      <c r="M349" s="469">
        <v>7654.7994799999997</v>
      </c>
      <c r="N349" s="469">
        <v>7684.9099410316003</v>
      </c>
      <c r="O349" s="469">
        <v>7715.0428466214998</v>
      </c>
      <c r="P349" s="469">
        <v>7745.7630882413996</v>
      </c>
      <c r="Q349" s="469">
        <v>7774.0222623822001</v>
      </c>
      <c r="R349" s="469">
        <v>7804.8686946394</v>
      </c>
      <c r="S349" s="469">
        <v>7835.7151268965999</v>
      </c>
    </row>
    <row r="350" spans="1:19" s="469" customFormat="1">
      <c r="A350" s="469" t="str">
        <f t="shared" si="27"/>
        <v>KU</v>
      </c>
      <c r="B350" s="469" t="str">
        <f t="shared" si="28"/>
        <v>KY</v>
      </c>
      <c r="C350" s="469" t="str">
        <f t="shared" si="29"/>
        <v>354</v>
      </c>
      <c r="D350" s="470" t="s">
        <v>1819</v>
      </c>
      <c r="E350" s="468" t="str">
        <f t="shared" si="30"/>
        <v/>
      </c>
      <c r="F350" s="469">
        <v>44398.979460000002</v>
      </c>
      <c r="G350" s="469">
        <v>44459.971279999998</v>
      </c>
      <c r="H350" s="469">
        <v>44538.404649999997</v>
      </c>
      <c r="I350" s="469">
        <v>44616.83569</v>
      </c>
      <c r="J350" s="469">
        <v>44695.264409999902</v>
      </c>
      <c r="K350" s="469">
        <v>44773.69313</v>
      </c>
      <c r="L350" s="469">
        <v>44852.124170000003</v>
      </c>
      <c r="M350" s="469">
        <v>44905.5376599999</v>
      </c>
      <c r="N350" s="469">
        <v>44983.952915517897</v>
      </c>
      <c r="O350" s="469">
        <v>45062.368171035901</v>
      </c>
      <c r="P350" s="469">
        <v>45140.783426553899</v>
      </c>
      <c r="Q350" s="469">
        <v>45219.198682071903</v>
      </c>
      <c r="R350" s="469">
        <v>45297.6139375899</v>
      </c>
      <c r="S350" s="469">
        <v>45376.029193107897</v>
      </c>
    </row>
    <row r="351" spans="1:19" s="469" customFormat="1">
      <c r="A351" s="469" t="str">
        <f t="shared" si="27"/>
        <v>KU</v>
      </c>
      <c r="B351" s="469" t="str">
        <f t="shared" si="28"/>
        <v>VA</v>
      </c>
      <c r="C351" s="469" t="str">
        <f t="shared" si="29"/>
        <v>354</v>
      </c>
      <c r="D351" s="470" t="s">
        <v>1820</v>
      </c>
      <c r="E351" s="468" t="str">
        <f t="shared" si="30"/>
        <v/>
      </c>
      <c r="F351" s="469">
        <v>4835.5263599999998</v>
      </c>
      <c r="G351" s="469">
        <v>4843.6649299999999</v>
      </c>
      <c r="H351" s="469">
        <v>4851.8035</v>
      </c>
      <c r="I351" s="469">
        <v>4859.9420700000001</v>
      </c>
      <c r="J351" s="469">
        <v>4868.0806400000001</v>
      </c>
      <c r="K351" s="469">
        <v>4876.2192100000002</v>
      </c>
      <c r="L351" s="469">
        <v>4884.3577800000003</v>
      </c>
      <c r="M351" s="469">
        <v>4892.4963499999903</v>
      </c>
      <c r="N351" s="469">
        <v>4900.63490880669</v>
      </c>
      <c r="O351" s="469">
        <v>4908.7734676133896</v>
      </c>
      <c r="P351" s="469">
        <v>4916.9120264200901</v>
      </c>
      <c r="Q351" s="469">
        <v>4925.0505852267897</v>
      </c>
      <c r="R351" s="469">
        <v>4933.1891440334903</v>
      </c>
      <c r="S351" s="469">
        <v>4941.3277028401899</v>
      </c>
    </row>
    <row r="352" spans="1:19" s="469" customFormat="1">
      <c r="A352" s="469" t="str">
        <f t="shared" si="27"/>
        <v>KU</v>
      </c>
      <c r="B352" s="469" t="str">
        <f t="shared" si="28"/>
        <v>KY</v>
      </c>
      <c r="C352" s="469" t="str">
        <f t="shared" si="29"/>
        <v>355</v>
      </c>
      <c r="D352" s="470" t="s">
        <v>1821</v>
      </c>
      <c r="E352" s="468" t="str">
        <f t="shared" si="30"/>
        <v/>
      </c>
      <c r="F352" s="469">
        <v>68524.77175</v>
      </c>
      <c r="G352" s="469">
        <v>68379.617670000007</v>
      </c>
      <c r="H352" s="469">
        <v>68662.309949999995</v>
      </c>
      <c r="I352" s="469">
        <v>69091.588049999904</v>
      </c>
      <c r="J352" s="469">
        <v>69518.717139999993</v>
      </c>
      <c r="K352" s="469">
        <v>68402.347569999998</v>
      </c>
      <c r="L352" s="469">
        <v>68375.289109999998</v>
      </c>
      <c r="M352" s="469">
        <v>67441.819959999993</v>
      </c>
      <c r="N352" s="469">
        <v>63401.360189489998</v>
      </c>
      <c r="O352" s="469">
        <v>62884.998897309997</v>
      </c>
      <c r="P352" s="469">
        <v>63362.617181439899</v>
      </c>
      <c r="Q352" s="469">
        <v>63778.613590759902</v>
      </c>
      <c r="R352" s="469">
        <v>64300.881407579902</v>
      </c>
      <c r="S352" s="469">
        <v>64195.276076349903</v>
      </c>
    </row>
    <row r="353" spans="1:19" s="469" customFormat="1">
      <c r="A353" s="469" t="str">
        <f t="shared" si="27"/>
        <v>KU</v>
      </c>
      <c r="B353" s="469" t="str">
        <f t="shared" si="28"/>
        <v>TN</v>
      </c>
      <c r="C353" s="469" t="str">
        <f t="shared" si="29"/>
        <v>355</v>
      </c>
      <c r="D353" s="470" t="s">
        <v>1822</v>
      </c>
      <c r="E353" s="468" t="str">
        <f t="shared" si="30"/>
        <v/>
      </c>
      <c r="F353" s="469">
        <v>83.493399999999994</v>
      </c>
      <c r="G353" s="469">
        <v>83.739050000000006</v>
      </c>
      <c r="H353" s="469">
        <v>83.984700000000004</v>
      </c>
      <c r="I353" s="469">
        <v>84.230350000000001</v>
      </c>
      <c r="J353" s="469">
        <v>84.475999999999999</v>
      </c>
      <c r="K353" s="469">
        <v>84.721649999999997</v>
      </c>
      <c r="L353" s="469">
        <v>84.967299999999994</v>
      </c>
      <c r="M353" s="469">
        <v>85.212949999999907</v>
      </c>
      <c r="N353" s="469">
        <v>85.458609049999893</v>
      </c>
      <c r="O353" s="469">
        <v>85.704268099999993</v>
      </c>
      <c r="P353" s="469">
        <v>85.949927149999994</v>
      </c>
      <c r="Q353" s="469">
        <v>86.195586199999994</v>
      </c>
      <c r="R353" s="469">
        <v>86.441245249999994</v>
      </c>
      <c r="S353" s="469">
        <v>86.686904299999995</v>
      </c>
    </row>
    <row r="354" spans="1:19" s="469" customFormat="1">
      <c r="A354" s="469" t="str">
        <f t="shared" si="27"/>
        <v>KU</v>
      </c>
      <c r="B354" s="469" t="str">
        <f t="shared" si="28"/>
        <v>VA</v>
      </c>
      <c r="C354" s="469" t="str">
        <f t="shared" si="29"/>
        <v>355</v>
      </c>
      <c r="D354" s="470" t="s">
        <v>1823</v>
      </c>
      <c r="E354" s="468" t="str">
        <f t="shared" si="30"/>
        <v/>
      </c>
      <c r="F354" s="469">
        <v>4566.2727299999997</v>
      </c>
      <c r="G354" s="469">
        <v>4588.1423199999999</v>
      </c>
      <c r="H354" s="469">
        <v>4395.8001599999998</v>
      </c>
      <c r="I354" s="469">
        <v>4417.7262599999904</v>
      </c>
      <c r="J354" s="469">
        <v>4439.65236</v>
      </c>
      <c r="K354" s="469">
        <v>4333.5834100000002</v>
      </c>
      <c r="L354" s="469">
        <v>4331.5668399999904</v>
      </c>
      <c r="M354" s="469">
        <v>4269.6279800000002</v>
      </c>
      <c r="N354" s="469">
        <v>4291.5181514366996</v>
      </c>
      <c r="O354" s="469">
        <v>4313.4083228733898</v>
      </c>
      <c r="P354" s="469">
        <v>4335.2984943100901</v>
      </c>
      <c r="Q354" s="469">
        <v>4357.1886657467903</v>
      </c>
      <c r="R354" s="469">
        <v>4379.0788371834897</v>
      </c>
      <c r="S354" s="469">
        <v>3965.08397040419</v>
      </c>
    </row>
    <row r="355" spans="1:19" s="469" customFormat="1">
      <c r="A355" s="469" t="str">
        <f t="shared" si="27"/>
        <v>KU</v>
      </c>
      <c r="B355" s="469" t="str">
        <f t="shared" si="28"/>
        <v>KY</v>
      </c>
      <c r="C355" s="469" t="str">
        <f t="shared" si="29"/>
        <v>356</v>
      </c>
      <c r="D355" s="470" t="s">
        <v>1824</v>
      </c>
      <c r="E355" s="468" t="str">
        <f t="shared" si="30"/>
        <v/>
      </c>
      <c r="F355" s="469">
        <v>104384.90517</v>
      </c>
      <c r="G355" s="469">
        <v>104571.17845000001</v>
      </c>
      <c r="H355" s="469">
        <v>104795.63449</v>
      </c>
      <c r="I355" s="469">
        <v>105058.31318</v>
      </c>
      <c r="J355" s="469">
        <v>105320.68360999999</v>
      </c>
      <c r="K355" s="469">
        <v>104760.24559999999</v>
      </c>
      <c r="L355" s="469">
        <v>104321.2043</v>
      </c>
      <c r="M355" s="469">
        <v>103767.5953</v>
      </c>
      <c r="N355" s="469">
        <v>103909.57984325</v>
      </c>
      <c r="O355" s="469">
        <v>103977.59973406</v>
      </c>
      <c r="P355" s="469">
        <v>104242.77416514</v>
      </c>
      <c r="Q355" s="469">
        <v>104486.70823105999</v>
      </c>
      <c r="R355" s="469">
        <v>104732.671358219</v>
      </c>
      <c r="S355" s="469">
        <v>104978.750460799</v>
      </c>
    </row>
    <row r="356" spans="1:19" s="469" customFormat="1">
      <c r="A356" s="469" t="str">
        <f t="shared" si="27"/>
        <v>KU</v>
      </c>
      <c r="B356" s="469" t="str">
        <f t="shared" si="28"/>
        <v>TN</v>
      </c>
      <c r="C356" s="469" t="str">
        <f t="shared" si="29"/>
        <v>356</v>
      </c>
      <c r="D356" s="470" t="s">
        <v>1825</v>
      </c>
      <c r="E356" s="468" t="str">
        <f t="shared" si="30"/>
        <v/>
      </c>
      <c r="F356" s="469">
        <v>50.681399999999996</v>
      </c>
      <c r="G356" s="469">
        <v>50.807609999999997</v>
      </c>
      <c r="H356" s="469">
        <v>50.933819999999997</v>
      </c>
      <c r="I356" s="469">
        <v>51.060029999999998</v>
      </c>
      <c r="J356" s="469">
        <v>51.186239999999998</v>
      </c>
      <c r="K356" s="469">
        <v>51.312449999999998</v>
      </c>
      <c r="L356" s="469">
        <v>51.438659999999999</v>
      </c>
      <c r="M356" s="469">
        <v>51.564869999999999</v>
      </c>
      <c r="N356" s="469">
        <v>51.691069796836999</v>
      </c>
      <c r="O356" s="469">
        <v>51.817269593673998</v>
      </c>
      <c r="P356" s="469">
        <v>51.943469390510998</v>
      </c>
      <c r="Q356" s="469">
        <v>52.069669187347998</v>
      </c>
      <c r="R356" s="469">
        <v>52.195868984184997</v>
      </c>
      <c r="S356" s="469">
        <v>52.322068781021997</v>
      </c>
    </row>
    <row r="357" spans="1:19" s="469" customFormat="1">
      <c r="A357" s="469" t="str">
        <f t="shared" si="27"/>
        <v>KU</v>
      </c>
      <c r="B357" s="469" t="str">
        <f t="shared" si="28"/>
        <v>VA</v>
      </c>
      <c r="C357" s="469" t="str">
        <f t="shared" si="29"/>
        <v>356</v>
      </c>
      <c r="D357" s="470" t="s">
        <v>1826</v>
      </c>
      <c r="E357" s="468" t="str">
        <f t="shared" si="30"/>
        <v/>
      </c>
      <c r="F357" s="469">
        <v>10025.958070000001</v>
      </c>
      <c r="G357" s="469">
        <v>10053.162990000001</v>
      </c>
      <c r="H357" s="469">
        <v>10069.477150000001</v>
      </c>
      <c r="I357" s="469">
        <v>10096.57532</v>
      </c>
      <c r="J357" s="469">
        <v>10123.673489999999</v>
      </c>
      <c r="K357" s="469">
        <v>10133.94973</v>
      </c>
      <c r="L357" s="469">
        <v>10099.72911</v>
      </c>
      <c r="M357" s="469">
        <v>10077.07863</v>
      </c>
      <c r="N357" s="469">
        <v>10104.300016900999</v>
      </c>
      <c r="O357" s="469">
        <v>10131.602919673</v>
      </c>
      <c r="P357" s="469">
        <v>10145.627893872999</v>
      </c>
      <c r="Q357" s="469">
        <v>10173.6938395</v>
      </c>
      <c r="R357" s="469">
        <v>10201.759785127</v>
      </c>
      <c r="S357" s="469">
        <v>10229.825730754001</v>
      </c>
    </row>
    <row r="358" spans="1:19" s="469" customFormat="1">
      <c r="A358" s="469" t="str">
        <f t="shared" si="27"/>
        <v>KU</v>
      </c>
      <c r="B358" s="469" t="str">
        <f t="shared" si="28"/>
        <v>KY</v>
      </c>
      <c r="C358" s="469" t="str">
        <f t="shared" si="29"/>
        <v>357</v>
      </c>
      <c r="D358" s="470" t="s">
        <v>1827</v>
      </c>
      <c r="E358" s="468" t="str">
        <f t="shared" si="30"/>
        <v/>
      </c>
      <c r="F358" s="469">
        <v>230.49468999999999</v>
      </c>
      <c r="G358" s="469">
        <v>231.34359000000001</v>
      </c>
      <c r="H358" s="469">
        <v>232.19248999999999</v>
      </c>
      <c r="I358" s="469">
        <v>233.04139000000001</v>
      </c>
      <c r="J358" s="469">
        <v>233.89028999999999</v>
      </c>
      <c r="K358" s="469">
        <v>234.73919000000001</v>
      </c>
      <c r="L358" s="469">
        <v>235.58808999999999</v>
      </c>
      <c r="M358" s="469">
        <v>236.43699000000001</v>
      </c>
      <c r="N358" s="469">
        <v>237.28589482519999</v>
      </c>
      <c r="O358" s="469">
        <v>238.1347996504</v>
      </c>
      <c r="P358" s="469">
        <v>238.98370447560001</v>
      </c>
      <c r="Q358" s="469">
        <v>239.83260930079999</v>
      </c>
      <c r="R358" s="469">
        <v>240.681514126</v>
      </c>
      <c r="S358" s="469">
        <v>241.53041895120001</v>
      </c>
    </row>
    <row r="359" spans="1:19" s="469" customFormat="1">
      <c r="A359" s="469" t="str">
        <f t="shared" si="27"/>
        <v>KU</v>
      </c>
      <c r="B359" s="469" t="str">
        <f t="shared" si="28"/>
        <v>KY</v>
      </c>
      <c r="C359" s="469" t="str">
        <f t="shared" si="29"/>
        <v>358</v>
      </c>
      <c r="D359" s="470" t="s">
        <v>1828</v>
      </c>
      <c r="E359" s="468" t="str">
        <f t="shared" si="30"/>
        <v/>
      </c>
      <c r="F359" s="469">
        <v>967.58083999999997</v>
      </c>
      <c r="G359" s="469">
        <v>968.53904</v>
      </c>
      <c r="H359" s="469">
        <v>969.49724000000003</v>
      </c>
      <c r="I359" s="469">
        <v>970.45543999999995</v>
      </c>
      <c r="J359" s="469">
        <v>968.61086999999998</v>
      </c>
      <c r="K359" s="469">
        <v>969.56709999999998</v>
      </c>
      <c r="L359" s="469">
        <v>957.19520999999997</v>
      </c>
      <c r="M359" s="469">
        <v>958.10718999999995</v>
      </c>
      <c r="N359" s="469">
        <v>959.01917316529898</v>
      </c>
      <c r="O359" s="469">
        <v>959.93115633059904</v>
      </c>
      <c r="P359" s="469">
        <v>960.84313949589898</v>
      </c>
      <c r="Q359" s="469">
        <v>961.75512266119904</v>
      </c>
      <c r="R359" s="469">
        <v>962.66710582649898</v>
      </c>
      <c r="S359" s="469">
        <v>963.57908899179904</v>
      </c>
    </row>
    <row r="360" spans="1:19" s="469" customFormat="1">
      <c r="A360" s="469" t="str">
        <f t="shared" ref="A360:A415" si="31">MID($D360,4,2)</f>
        <v>KU</v>
      </c>
      <c r="B360" s="469" t="str">
        <f t="shared" ref="B360:B415" si="32">IF(MID($D360,12,2)="- ","KY",MID($D360,12,2))</f>
        <v>KY</v>
      </c>
      <c r="C360" s="469" t="str">
        <f t="shared" ref="C360:C415" si="33">MID($D360,8,3)</f>
        <v>359</v>
      </c>
      <c r="D360" s="470" t="s">
        <v>1829</v>
      </c>
      <c r="E360" s="468" t="str">
        <f t="shared" ref="E360:E415" si="34">IF(ISTEXT(MID($D360,SEARCH("FUTURE USE",$D360),3)),"FUTURE USE",IF(ISTEXT(MID($D360,SEARCH("ECR",$D360),3)),"ECR",IF(ISTEXT(MID($D360,SEARCH("ARO",$D360),3)),"ARO",IF(ISTEXT(MID($D360,SEARCH("DSM",$D360),3)),"DSM",""))))</f>
        <v>ARO</v>
      </c>
      <c r="F360" s="469">
        <v>44.400559999999999</v>
      </c>
      <c r="G360" s="469">
        <v>45.100009999999997</v>
      </c>
      <c r="H360" s="469">
        <v>45.799459999999897</v>
      </c>
      <c r="I360" s="469">
        <v>46.498910000000002</v>
      </c>
      <c r="J360" s="469">
        <v>47.198360000000001</v>
      </c>
      <c r="K360" s="469">
        <v>47.89781</v>
      </c>
      <c r="L360" s="469">
        <v>48.597259999999999</v>
      </c>
      <c r="M360" s="469">
        <v>49.296709999999997</v>
      </c>
      <c r="N360" s="469">
        <v>49.996159999999897</v>
      </c>
      <c r="O360" s="469">
        <v>50.695609999999903</v>
      </c>
      <c r="P360" s="469">
        <v>51.395059999999901</v>
      </c>
      <c r="Q360" s="469">
        <v>52.0945099999999</v>
      </c>
      <c r="R360" s="469">
        <v>52.793959999999899</v>
      </c>
      <c r="S360" s="469">
        <v>53.493409999999898</v>
      </c>
    </row>
    <row r="361" spans="1:19" s="469" customFormat="1">
      <c r="A361" s="469" t="str">
        <f t="shared" si="31"/>
        <v>KU</v>
      </c>
      <c r="B361" s="469" t="str">
        <f t="shared" si="32"/>
        <v>KY</v>
      </c>
      <c r="C361" s="469" t="str">
        <f t="shared" si="33"/>
        <v>360</v>
      </c>
      <c r="D361" s="470" t="s">
        <v>1831</v>
      </c>
      <c r="E361" s="468" t="str">
        <f t="shared" si="34"/>
        <v/>
      </c>
      <c r="F361" s="469">
        <v>1388.6638499999999</v>
      </c>
      <c r="G361" s="469">
        <v>1389.6669099999999</v>
      </c>
      <c r="H361" s="469">
        <v>1390.6699699999999</v>
      </c>
      <c r="I361" s="469">
        <v>1391.6730299999999</v>
      </c>
      <c r="J361" s="469">
        <v>1392.6760899999999</v>
      </c>
      <c r="K361" s="469">
        <v>1393.6791499999999</v>
      </c>
      <c r="L361" s="469">
        <v>1394.6822099999999</v>
      </c>
      <c r="M361" s="469">
        <v>1395.6852699999999</v>
      </c>
      <c r="N361" s="469">
        <v>1396.6883317009999</v>
      </c>
      <c r="O361" s="469">
        <v>1397.6913934019999</v>
      </c>
      <c r="P361" s="469">
        <v>1398.6944551029901</v>
      </c>
      <c r="Q361" s="469">
        <v>1399.6975168039901</v>
      </c>
      <c r="R361" s="469">
        <v>1400.7005785049901</v>
      </c>
      <c r="S361" s="469">
        <v>1401.70364020599</v>
      </c>
    </row>
    <row r="362" spans="1:19" s="469" customFormat="1">
      <c r="A362" s="469" t="str">
        <f t="shared" si="31"/>
        <v>KU</v>
      </c>
      <c r="B362" s="469" t="str">
        <f t="shared" si="32"/>
        <v>TN</v>
      </c>
      <c r="C362" s="469" t="str">
        <f t="shared" si="33"/>
        <v>360</v>
      </c>
      <c r="D362" s="470" t="s">
        <v>1832</v>
      </c>
      <c r="E362" s="468" t="str">
        <f t="shared" si="34"/>
        <v/>
      </c>
      <c r="F362" s="469">
        <v>2.43915999999999</v>
      </c>
      <c r="G362" s="469">
        <v>2.4404300000000001</v>
      </c>
      <c r="H362" s="469">
        <v>2.4417</v>
      </c>
      <c r="I362" s="469">
        <v>2.4429699999999999</v>
      </c>
      <c r="J362" s="469">
        <v>2.44423999999999</v>
      </c>
      <c r="K362" s="469">
        <v>2.4455100000000001</v>
      </c>
      <c r="L362" s="469">
        <v>2.44678</v>
      </c>
      <c r="M362" s="469">
        <v>2.4480499999999998</v>
      </c>
      <c r="N362" s="469">
        <v>2.449319914833</v>
      </c>
      <c r="O362" s="469">
        <v>2.4505898296659998</v>
      </c>
      <c r="P362" s="469">
        <v>2.451859744499</v>
      </c>
      <c r="Q362" s="469">
        <v>2.4531296593319998</v>
      </c>
      <c r="R362" s="469">
        <v>2.454399574165</v>
      </c>
      <c r="S362" s="469">
        <v>2.4556694889980002</v>
      </c>
    </row>
    <row r="363" spans="1:19" s="469" customFormat="1">
      <c r="A363" s="469" t="str">
        <f t="shared" si="31"/>
        <v>KU</v>
      </c>
      <c r="B363" s="469" t="str">
        <f t="shared" si="32"/>
        <v>VA</v>
      </c>
      <c r="C363" s="469" t="str">
        <f t="shared" si="33"/>
        <v>360</v>
      </c>
      <c r="D363" s="470" t="s">
        <v>1833</v>
      </c>
      <c r="E363" s="468" t="str">
        <f t="shared" si="34"/>
        <v/>
      </c>
      <c r="F363" s="469">
        <v>68.050280000000001</v>
      </c>
      <c r="G363" s="469">
        <v>68.094259999999906</v>
      </c>
      <c r="H363" s="469">
        <v>68.138239999999996</v>
      </c>
      <c r="I363" s="469">
        <v>68.182220000000001</v>
      </c>
      <c r="J363" s="469">
        <v>68.226199999999906</v>
      </c>
      <c r="K363" s="469">
        <v>68.270179999999996</v>
      </c>
      <c r="L363" s="469">
        <v>68.314160000000001</v>
      </c>
      <c r="M363" s="469">
        <v>68.358140000000006</v>
      </c>
      <c r="N363" s="469">
        <v>68.402124217830007</v>
      </c>
      <c r="O363" s="469">
        <v>68.446108435659994</v>
      </c>
      <c r="P363" s="469">
        <v>68.490092653489995</v>
      </c>
      <c r="Q363" s="469">
        <v>68.534076871319996</v>
      </c>
      <c r="R363" s="469">
        <v>68.578061089149998</v>
      </c>
      <c r="S363" s="469">
        <v>68.622045306979999</v>
      </c>
    </row>
    <row r="364" spans="1:19" s="469" customFormat="1">
      <c r="A364" s="469" t="str">
        <f t="shared" si="31"/>
        <v>KU</v>
      </c>
      <c r="B364" s="469" t="str">
        <f t="shared" si="32"/>
        <v>KY</v>
      </c>
      <c r="C364" s="469" t="str">
        <f t="shared" si="33"/>
        <v>361</v>
      </c>
      <c r="D364" s="470" t="s">
        <v>1834</v>
      </c>
      <c r="E364" s="468" t="str">
        <f t="shared" si="34"/>
        <v/>
      </c>
      <c r="F364" s="469">
        <v>2152.5196599999999</v>
      </c>
      <c r="G364" s="469">
        <v>2172.3135299999999</v>
      </c>
      <c r="H364" s="469">
        <v>2192.0918700000002</v>
      </c>
      <c r="I364" s="469">
        <v>2211.87718</v>
      </c>
      <c r="J364" s="469">
        <v>2226.6254800000002</v>
      </c>
      <c r="K364" s="469">
        <v>2207.0006800000001</v>
      </c>
      <c r="L364" s="469">
        <v>2226.55917</v>
      </c>
      <c r="M364" s="469">
        <v>2246.4604300000001</v>
      </c>
      <c r="N364" s="469">
        <v>2266.3790656649999</v>
      </c>
      <c r="O364" s="469">
        <v>2286.2977013299901</v>
      </c>
      <c r="P364" s="469">
        <v>2306.2163369949899</v>
      </c>
      <c r="Q364" s="469">
        <v>2313.57956495799</v>
      </c>
      <c r="R364" s="469">
        <v>2333.60192520899</v>
      </c>
      <c r="S364" s="469">
        <v>2353.62428545999</v>
      </c>
    </row>
    <row r="365" spans="1:19" s="469" customFormat="1">
      <c r="A365" s="469" t="str">
        <f t="shared" si="31"/>
        <v>KU</v>
      </c>
      <c r="B365" s="469" t="str">
        <f t="shared" si="32"/>
        <v>TN</v>
      </c>
      <c r="C365" s="469" t="str">
        <f t="shared" si="33"/>
        <v>361</v>
      </c>
      <c r="D365" s="470" t="s">
        <v>1835</v>
      </c>
      <c r="E365" s="468" t="str">
        <f t="shared" si="34"/>
        <v/>
      </c>
      <c r="F365" s="469">
        <v>2.5681099999999999</v>
      </c>
      <c r="G365" s="469">
        <v>2.5724</v>
      </c>
      <c r="H365" s="469">
        <v>2.5766900000000001</v>
      </c>
      <c r="I365" s="469">
        <v>2.5809799999999998</v>
      </c>
      <c r="J365" s="469">
        <v>2.58527</v>
      </c>
      <c r="K365" s="469">
        <v>2.5895600000000001</v>
      </c>
      <c r="L365" s="469">
        <v>2.59384999999999</v>
      </c>
      <c r="M365" s="469">
        <v>2.5981399999999999</v>
      </c>
      <c r="N365" s="469">
        <v>2.60243315</v>
      </c>
      <c r="O365" s="469">
        <v>2.6067263000000001</v>
      </c>
      <c r="P365" s="469">
        <v>2.6110194500000001</v>
      </c>
      <c r="Q365" s="469">
        <v>2.6153126000000002</v>
      </c>
      <c r="R365" s="469">
        <v>2.6196057499999998</v>
      </c>
      <c r="S365" s="469">
        <v>2.6238988999999999</v>
      </c>
    </row>
    <row r="366" spans="1:19" s="469" customFormat="1">
      <c r="A366" s="469" t="str">
        <f t="shared" si="31"/>
        <v>KU</v>
      </c>
      <c r="B366" s="469" t="str">
        <f t="shared" si="32"/>
        <v>VA</v>
      </c>
      <c r="C366" s="469" t="str">
        <f t="shared" si="33"/>
        <v>361</v>
      </c>
      <c r="D366" s="470" t="s">
        <v>1836</v>
      </c>
      <c r="E366" s="468" t="str">
        <f t="shared" si="34"/>
        <v/>
      </c>
      <c r="F366" s="469">
        <v>120.944369999999</v>
      </c>
      <c r="G366" s="469">
        <v>121.75479</v>
      </c>
      <c r="H366" s="469">
        <v>122.56520999999999</v>
      </c>
      <c r="I366" s="469">
        <v>123.37563</v>
      </c>
      <c r="J366" s="469">
        <v>124.18604999999999</v>
      </c>
      <c r="K366" s="469">
        <v>124.99647</v>
      </c>
      <c r="L366" s="469">
        <v>124.8128</v>
      </c>
      <c r="M366" s="469">
        <v>125.63558999999999</v>
      </c>
      <c r="N366" s="469">
        <v>126.4583758667</v>
      </c>
      <c r="O366" s="469">
        <v>127.2811617334</v>
      </c>
      <c r="P366" s="469">
        <v>128.10394760009899</v>
      </c>
      <c r="Q366" s="469">
        <v>128.92673346679999</v>
      </c>
      <c r="R366" s="469">
        <v>129.74951933349999</v>
      </c>
      <c r="S366" s="469">
        <v>130.57230520019999</v>
      </c>
    </row>
    <row r="367" spans="1:19" s="469" customFormat="1">
      <c r="A367" s="469" t="str">
        <f t="shared" si="31"/>
        <v>KU</v>
      </c>
      <c r="B367" s="469" t="str">
        <f t="shared" si="32"/>
        <v>KY</v>
      </c>
      <c r="C367" s="469" t="str">
        <f t="shared" si="33"/>
        <v>362</v>
      </c>
      <c r="D367" s="470" t="s">
        <v>1837</v>
      </c>
      <c r="E367" s="468" t="str">
        <f t="shared" si="34"/>
        <v/>
      </c>
      <c r="F367" s="469">
        <v>45204.022929999999</v>
      </c>
      <c r="G367" s="469">
        <v>45401.411639999998</v>
      </c>
      <c r="H367" s="469">
        <v>45521.21759</v>
      </c>
      <c r="I367" s="469">
        <v>45634.363239999999</v>
      </c>
      <c r="J367" s="469">
        <v>45940.192539999996</v>
      </c>
      <c r="K367" s="469">
        <v>46160.70708</v>
      </c>
      <c r="L367" s="469">
        <v>46481.516659999899</v>
      </c>
      <c r="M367" s="469">
        <v>46784.701820000002</v>
      </c>
      <c r="N367" s="469">
        <v>46694.967985900003</v>
      </c>
      <c r="O367" s="469">
        <v>46910.902285310003</v>
      </c>
      <c r="P367" s="469">
        <v>47163.692051489998</v>
      </c>
      <c r="Q367" s="469">
        <v>46357.07704466</v>
      </c>
      <c r="R367" s="469">
        <v>46650.678444259996</v>
      </c>
      <c r="S367" s="469">
        <v>46909.628871410001</v>
      </c>
    </row>
    <row r="368" spans="1:19" s="469" customFormat="1">
      <c r="A368" s="469" t="str">
        <f t="shared" si="31"/>
        <v>KU</v>
      </c>
      <c r="B368" s="469" t="str">
        <f t="shared" si="32"/>
        <v>TN</v>
      </c>
      <c r="C368" s="469" t="str">
        <f t="shared" si="33"/>
        <v>362</v>
      </c>
      <c r="D368" s="470" t="s">
        <v>1838</v>
      </c>
      <c r="E368" s="468" t="str">
        <f t="shared" si="34"/>
        <v/>
      </c>
      <c r="F368" s="469">
        <v>31.579169999999898</v>
      </c>
      <c r="G368" s="469">
        <v>31.705690000000001</v>
      </c>
      <c r="H368" s="469">
        <v>31.83221</v>
      </c>
      <c r="I368" s="469">
        <v>31.958729999999999</v>
      </c>
      <c r="J368" s="469">
        <v>32.085250000000002</v>
      </c>
      <c r="K368" s="469">
        <v>32.211770000000001</v>
      </c>
      <c r="L368" s="469">
        <v>32.338290000000001</v>
      </c>
      <c r="M368" s="469">
        <v>32.46481</v>
      </c>
      <c r="N368" s="469">
        <v>32.591338381249997</v>
      </c>
      <c r="O368" s="469">
        <v>32.717866762499902</v>
      </c>
      <c r="P368" s="469">
        <v>32.8443951437499</v>
      </c>
      <c r="Q368" s="469">
        <v>32.970923524999897</v>
      </c>
      <c r="R368" s="469">
        <v>33.097451906249901</v>
      </c>
      <c r="S368" s="469">
        <v>33.223980287499899</v>
      </c>
    </row>
    <row r="369" spans="1:19" s="469" customFormat="1">
      <c r="A369" s="469" t="str">
        <f t="shared" si="31"/>
        <v>KU</v>
      </c>
      <c r="B369" s="469" t="str">
        <f t="shared" si="32"/>
        <v>VA</v>
      </c>
      <c r="C369" s="469" t="str">
        <f t="shared" si="33"/>
        <v>362</v>
      </c>
      <c r="D369" s="470" t="s">
        <v>1839</v>
      </c>
      <c r="E369" s="468" t="str">
        <f t="shared" si="34"/>
        <v/>
      </c>
      <c r="F369" s="469">
        <v>2935.4350199999999</v>
      </c>
      <c r="G369" s="469">
        <v>2950.74656</v>
      </c>
      <c r="H369" s="469">
        <v>2952.1462900000001</v>
      </c>
      <c r="I369" s="469">
        <v>2949.5605399999999</v>
      </c>
      <c r="J369" s="469">
        <v>2964.9975599999998</v>
      </c>
      <c r="K369" s="469">
        <v>2980.4332199999999</v>
      </c>
      <c r="L369" s="469">
        <v>2995.86888</v>
      </c>
      <c r="M369" s="469">
        <v>3011.3045400000001</v>
      </c>
      <c r="N369" s="469">
        <v>3004.8201276483001</v>
      </c>
      <c r="O369" s="469">
        <v>3020.2658549799999</v>
      </c>
      <c r="P369" s="469">
        <v>3035.7203141909999</v>
      </c>
      <c r="Q369" s="469">
        <v>3012.2656277956999</v>
      </c>
      <c r="R369" s="469">
        <v>3027.8400788956901</v>
      </c>
      <c r="S369" s="469">
        <v>3043.4145299956899</v>
      </c>
    </row>
    <row r="370" spans="1:19" s="469" customFormat="1">
      <c r="A370" s="469" t="str">
        <f t="shared" si="31"/>
        <v>KU</v>
      </c>
      <c r="B370" s="469" t="str">
        <f t="shared" si="32"/>
        <v>KY</v>
      </c>
      <c r="C370" s="469" t="str">
        <f t="shared" si="33"/>
        <v>364</v>
      </c>
      <c r="D370" s="470" t="s">
        <v>2360</v>
      </c>
      <c r="E370" s="468" t="str">
        <f t="shared" si="34"/>
        <v>ECR</v>
      </c>
      <c r="F370" s="469">
        <v>0.85007999999999995</v>
      </c>
      <c r="G370" s="469">
        <v>0.90159999999999996</v>
      </c>
      <c r="H370" s="469">
        <v>0.95311999999999997</v>
      </c>
      <c r="I370" s="469">
        <v>1.00464</v>
      </c>
      <c r="J370" s="469">
        <v>1.05616</v>
      </c>
      <c r="K370" s="469">
        <v>1.10768</v>
      </c>
      <c r="L370" s="469">
        <v>1.1592</v>
      </c>
      <c r="M370" s="469">
        <v>1.21072</v>
      </c>
      <c r="N370" s="469">
        <v>1.262234746673</v>
      </c>
      <c r="O370" s="469">
        <v>1.3137494933459899</v>
      </c>
      <c r="P370" s="469">
        <v>1.36526424001899</v>
      </c>
      <c r="Q370" s="469">
        <v>1.41677898669199</v>
      </c>
      <c r="R370" s="469">
        <v>1.4682937333649899</v>
      </c>
      <c r="S370" s="469">
        <v>1.5198084800379901</v>
      </c>
    </row>
    <row r="371" spans="1:19" s="469" customFormat="1">
      <c r="A371" s="469" t="str">
        <f t="shared" si="31"/>
        <v>KU</v>
      </c>
      <c r="B371" s="469" t="str">
        <f t="shared" si="32"/>
        <v>KY</v>
      </c>
      <c r="C371" s="469" t="str">
        <f t="shared" si="33"/>
        <v>364</v>
      </c>
      <c r="D371" s="470" t="s">
        <v>1840</v>
      </c>
      <c r="E371" s="468" t="str">
        <f t="shared" si="34"/>
        <v/>
      </c>
      <c r="F371" s="469">
        <v>141178.13339999999</v>
      </c>
      <c r="G371" s="469">
        <v>141825.32941000001</v>
      </c>
      <c r="H371" s="469">
        <v>142456.88232</v>
      </c>
      <c r="I371" s="469">
        <v>143112.86716999899</v>
      </c>
      <c r="J371" s="469">
        <v>143611.21812999999</v>
      </c>
      <c r="K371" s="469">
        <v>144256.60558999999</v>
      </c>
      <c r="L371" s="469">
        <v>144322.16419000001</v>
      </c>
      <c r="M371" s="469">
        <v>144069.73248999999</v>
      </c>
      <c r="N371" s="469">
        <v>143221.21746197899</v>
      </c>
      <c r="O371" s="469">
        <v>143719.51495843899</v>
      </c>
      <c r="P371" s="469">
        <v>144263.55379865901</v>
      </c>
      <c r="Q371" s="469">
        <v>143682.19882075899</v>
      </c>
      <c r="R371" s="469">
        <v>144196.92059574899</v>
      </c>
      <c r="S371" s="469">
        <v>144662.38652136899</v>
      </c>
    </row>
    <row r="372" spans="1:19" s="469" customFormat="1">
      <c r="A372" s="469" t="str">
        <f t="shared" si="31"/>
        <v>KU</v>
      </c>
      <c r="B372" s="469" t="str">
        <f t="shared" si="32"/>
        <v>TN</v>
      </c>
      <c r="C372" s="469" t="str">
        <f t="shared" si="33"/>
        <v>364</v>
      </c>
      <c r="D372" s="470" t="s">
        <v>1841</v>
      </c>
      <c r="E372" s="468" t="str">
        <f t="shared" si="34"/>
        <v/>
      </c>
      <c r="F372" s="469">
        <v>45.428309999999897</v>
      </c>
      <c r="G372" s="469">
        <v>45.521090000000001</v>
      </c>
      <c r="H372" s="469">
        <v>45.613869999999999</v>
      </c>
      <c r="I372" s="469">
        <v>45.706650000000003</v>
      </c>
      <c r="J372" s="469">
        <v>45.799430000000001</v>
      </c>
      <c r="K372" s="469">
        <v>45.892209999999999</v>
      </c>
      <c r="L372" s="469">
        <v>45.984989999999897</v>
      </c>
      <c r="M372" s="469">
        <v>46.077770000000001</v>
      </c>
      <c r="N372" s="469">
        <v>46.170553628999997</v>
      </c>
      <c r="O372" s="469">
        <v>46.2633372579999</v>
      </c>
      <c r="P372" s="469">
        <v>46.356120886999904</v>
      </c>
      <c r="Q372" s="469">
        <v>46.448904515999899</v>
      </c>
      <c r="R372" s="469">
        <v>46.541688144999902</v>
      </c>
      <c r="S372" s="469">
        <v>46.634471773999898</v>
      </c>
    </row>
    <row r="373" spans="1:19" s="469" customFormat="1">
      <c r="A373" s="469" t="str">
        <f t="shared" si="31"/>
        <v>KU</v>
      </c>
      <c r="B373" s="469" t="str">
        <f t="shared" si="32"/>
        <v>VA</v>
      </c>
      <c r="C373" s="469" t="str">
        <f t="shared" si="33"/>
        <v>364</v>
      </c>
      <c r="D373" s="470" t="s">
        <v>1842</v>
      </c>
      <c r="E373" s="468" t="str">
        <f t="shared" si="34"/>
        <v/>
      </c>
      <c r="F373" s="469">
        <v>11604.136479999999</v>
      </c>
      <c r="G373" s="469">
        <v>11656.046979999999</v>
      </c>
      <c r="H373" s="469">
        <v>11708.30271</v>
      </c>
      <c r="I373" s="469">
        <v>11760.65373</v>
      </c>
      <c r="J373" s="469">
        <v>11796.97084</v>
      </c>
      <c r="K373" s="469">
        <v>11849.66222</v>
      </c>
      <c r="L373" s="469">
        <v>11847.96704</v>
      </c>
      <c r="M373" s="469">
        <v>11873.070170000001</v>
      </c>
      <c r="N373" s="469">
        <v>11933.839303806</v>
      </c>
      <c r="O373" s="469">
        <v>11963.348038816999</v>
      </c>
      <c r="P373" s="469">
        <v>12010.900741363999</v>
      </c>
      <c r="Q373" s="469">
        <v>11976.04342113</v>
      </c>
      <c r="R373" s="469">
        <v>12029.153574221</v>
      </c>
      <c r="S373" s="469">
        <v>12081.159649653</v>
      </c>
    </row>
    <row r="374" spans="1:19" s="469" customFormat="1">
      <c r="A374" s="469" t="str">
        <f t="shared" si="31"/>
        <v>KU</v>
      </c>
      <c r="B374" s="469" t="str">
        <f t="shared" si="32"/>
        <v>KY</v>
      </c>
      <c r="C374" s="469" t="str">
        <f t="shared" si="33"/>
        <v>365</v>
      </c>
      <c r="D374" s="470" t="s">
        <v>2361</v>
      </c>
      <c r="E374" s="468" t="str">
        <f t="shared" si="34"/>
        <v>ECR</v>
      </c>
      <c r="F374" s="469">
        <v>1.0482400000000001</v>
      </c>
      <c r="G374" s="469">
        <v>1.1117699999999999</v>
      </c>
      <c r="H374" s="469">
        <v>1.1753</v>
      </c>
      <c r="I374" s="469">
        <v>1.2388299999999901</v>
      </c>
      <c r="J374" s="469">
        <v>1.30236</v>
      </c>
      <c r="K374" s="469">
        <v>1.36589</v>
      </c>
      <c r="L374" s="469">
        <v>1.4294199999999999</v>
      </c>
      <c r="M374" s="469">
        <v>1.49295</v>
      </c>
      <c r="N374" s="469">
        <v>1.5564717452500001</v>
      </c>
      <c r="O374" s="469">
        <v>1.6199934905</v>
      </c>
      <c r="P374" s="469">
        <v>1.6835152357500001</v>
      </c>
      <c r="Q374" s="469">
        <v>1.7470369809999999</v>
      </c>
      <c r="R374" s="469">
        <v>1.81055872625</v>
      </c>
      <c r="S374" s="469">
        <v>1.8740804714999999</v>
      </c>
    </row>
    <row r="375" spans="1:19" s="469" customFormat="1">
      <c r="A375" s="469" t="str">
        <f t="shared" si="31"/>
        <v>KU</v>
      </c>
      <c r="B375" s="469" t="str">
        <f t="shared" si="32"/>
        <v>KY</v>
      </c>
      <c r="C375" s="469" t="str">
        <f t="shared" si="33"/>
        <v>365</v>
      </c>
      <c r="D375" s="470" t="s">
        <v>1843</v>
      </c>
      <c r="E375" s="468" t="str">
        <f t="shared" si="34"/>
        <v/>
      </c>
      <c r="F375" s="469">
        <v>111325.5141</v>
      </c>
      <c r="G375" s="469">
        <v>112159.22752</v>
      </c>
      <c r="H375" s="469">
        <v>112990.50855</v>
      </c>
      <c r="I375" s="469">
        <v>113866.66373</v>
      </c>
      <c r="J375" s="469">
        <v>113191.6856</v>
      </c>
      <c r="K375" s="469">
        <v>113210.50818999999</v>
      </c>
      <c r="L375" s="469">
        <v>110713.55699</v>
      </c>
      <c r="M375" s="469">
        <v>107738.80239</v>
      </c>
      <c r="N375" s="469">
        <v>106700.470165509</v>
      </c>
      <c r="O375" s="469">
        <v>107056.80553779</v>
      </c>
      <c r="P375" s="469">
        <v>107558.602140879</v>
      </c>
      <c r="Q375" s="469">
        <v>106940.32629045899</v>
      </c>
      <c r="R375" s="469">
        <v>107576.30137698899</v>
      </c>
      <c r="S375" s="469">
        <v>108059.865698989</v>
      </c>
    </row>
    <row r="376" spans="1:19" s="469" customFormat="1">
      <c r="A376" s="469" t="str">
        <f t="shared" si="31"/>
        <v>KU</v>
      </c>
      <c r="B376" s="469" t="str">
        <f t="shared" si="32"/>
        <v>TN</v>
      </c>
      <c r="C376" s="469" t="str">
        <f t="shared" si="33"/>
        <v>365</v>
      </c>
      <c r="D376" s="470" t="s">
        <v>1844</v>
      </c>
      <c r="E376" s="468" t="str">
        <f t="shared" si="34"/>
        <v/>
      </c>
      <c r="F376" s="469">
        <v>49.945929999999997</v>
      </c>
      <c r="G376" s="469">
        <v>50.071800000000003</v>
      </c>
      <c r="H376" s="469">
        <v>50.197670000000002</v>
      </c>
      <c r="I376" s="469">
        <v>50.323540000000001</v>
      </c>
      <c r="J376" s="469">
        <v>50.44941</v>
      </c>
      <c r="K376" s="469">
        <v>50.575279999999999</v>
      </c>
      <c r="L376" s="469">
        <v>50.701149999999998</v>
      </c>
      <c r="M376" s="469">
        <v>50.827019999999997</v>
      </c>
      <c r="N376" s="469">
        <v>50.952891000499903</v>
      </c>
      <c r="O376" s="469">
        <v>51.078762000999902</v>
      </c>
      <c r="P376" s="469">
        <v>51.2046330014999</v>
      </c>
      <c r="Q376" s="469">
        <v>51.330504001999898</v>
      </c>
      <c r="R376" s="469">
        <v>51.456375002499897</v>
      </c>
      <c r="S376" s="469">
        <v>51.582246002999902</v>
      </c>
    </row>
    <row r="377" spans="1:19" s="469" customFormat="1">
      <c r="A377" s="469" t="str">
        <f t="shared" si="31"/>
        <v>KU</v>
      </c>
      <c r="B377" s="469" t="str">
        <f t="shared" si="32"/>
        <v>VA</v>
      </c>
      <c r="C377" s="469" t="str">
        <f t="shared" si="33"/>
        <v>365</v>
      </c>
      <c r="D377" s="470" t="s">
        <v>1845</v>
      </c>
      <c r="E377" s="468" t="str">
        <f t="shared" si="34"/>
        <v/>
      </c>
      <c r="F377" s="469">
        <v>8935.6312699999999</v>
      </c>
      <c r="G377" s="469">
        <v>9000.3902199999993</v>
      </c>
      <c r="H377" s="469">
        <v>9065.7316800000008</v>
      </c>
      <c r="I377" s="469">
        <v>9131.2204199999996</v>
      </c>
      <c r="J377" s="469">
        <v>9038.3310799999999</v>
      </c>
      <c r="K377" s="469">
        <v>9104.0297399999999</v>
      </c>
      <c r="L377" s="469">
        <v>8945.9105399999899</v>
      </c>
      <c r="M377" s="469">
        <v>8926.8773000000001</v>
      </c>
      <c r="N377" s="469">
        <v>8884.8859147849998</v>
      </c>
      <c r="O377" s="469">
        <v>8928.7394170959997</v>
      </c>
      <c r="P377" s="469">
        <v>8975.3862776259994</v>
      </c>
      <c r="Q377" s="469">
        <v>9006.2718125989995</v>
      </c>
      <c r="R377" s="469">
        <v>9067.1470283220006</v>
      </c>
      <c r="S377" s="469">
        <v>9123.0207520149997</v>
      </c>
    </row>
    <row r="378" spans="1:19" s="469" customFormat="1">
      <c r="A378" s="469" t="str">
        <f t="shared" si="31"/>
        <v>KU</v>
      </c>
      <c r="B378" s="469" t="str">
        <f t="shared" si="32"/>
        <v>KY</v>
      </c>
      <c r="C378" s="469" t="str">
        <f t="shared" si="33"/>
        <v>366</v>
      </c>
      <c r="D378" s="470" t="s">
        <v>2362</v>
      </c>
      <c r="E378" s="468" t="str">
        <f t="shared" si="34"/>
        <v>ECR</v>
      </c>
      <c r="F378" s="469">
        <v>6.3485399999999998</v>
      </c>
      <c r="G378" s="469">
        <v>6.7332999999999998</v>
      </c>
      <c r="H378" s="469">
        <v>7.1180599999999998</v>
      </c>
      <c r="I378" s="469">
        <v>7.5028199999999998</v>
      </c>
      <c r="J378" s="469">
        <v>7.8875799999999998</v>
      </c>
      <c r="K378" s="469">
        <v>8.2723399999999998</v>
      </c>
      <c r="L378" s="469">
        <v>8.6570999999999998</v>
      </c>
      <c r="M378" s="469">
        <v>9.0418599999999998</v>
      </c>
      <c r="N378" s="469">
        <v>9.4266156700000003</v>
      </c>
      <c r="O378" s="469">
        <v>9.8113713400000009</v>
      </c>
      <c r="P378" s="469">
        <v>10.19612701</v>
      </c>
      <c r="Q378" s="469">
        <v>10.58088268</v>
      </c>
      <c r="R378" s="469">
        <v>10.965638350000001</v>
      </c>
      <c r="S378" s="469">
        <v>11.35039402</v>
      </c>
    </row>
    <row r="379" spans="1:19" s="469" customFormat="1">
      <c r="A379" s="469" t="str">
        <f t="shared" si="31"/>
        <v>KU</v>
      </c>
      <c r="B379" s="469" t="str">
        <f t="shared" si="32"/>
        <v>KY</v>
      </c>
      <c r="C379" s="469" t="str">
        <f t="shared" si="33"/>
        <v>366</v>
      </c>
      <c r="D379" s="470" t="s">
        <v>1846</v>
      </c>
      <c r="E379" s="468" t="str">
        <f t="shared" si="34"/>
        <v/>
      </c>
      <c r="F379" s="469">
        <v>830.97028999999998</v>
      </c>
      <c r="G379" s="469">
        <v>835.48145999999997</v>
      </c>
      <c r="H379" s="469">
        <v>839.99262999999996</v>
      </c>
      <c r="I379" s="469">
        <v>842.31529</v>
      </c>
      <c r="J379" s="469">
        <v>846.82154000000003</v>
      </c>
      <c r="K379" s="469">
        <v>851.32779000000005</v>
      </c>
      <c r="L379" s="469">
        <v>855.83403999999996</v>
      </c>
      <c r="M379" s="469">
        <v>860.57366999999999</v>
      </c>
      <c r="N379" s="469">
        <v>865.54667658790004</v>
      </c>
      <c r="O379" s="469">
        <v>870.51968317579997</v>
      </c>
      <c r="P379" s="469">
        <v>875.49268976369899</v>
      </c>
      <c r="Q379" s="469">
        <v>880.46569635159904</v>
      </c>
      <c r="R379" s="469">
        <v>885.43870293949897</v>
      </c>
      <c r="S379" s="469">
        <v>890.41170952739901</v>
      </c>
    </row>
    <row r="380" spans="1:19" s="469" customFormat="1">
      <c r="A380" s="469" t="str">
        <f t="shared" si="31"/>
        <v>KU</v>
      </c>
      <c r="B380" s="469" t="str">
        <f t="shared" si="32"/>
        <v>KY</v>
      </c>
      <c r="C380" s="469" t="str">
        <f t="shared" si="33"/>
        <v>367</v>
      </c>
      <c r="D380" s="470" t="s">
        <v>2363</v>
      </c>
      <c r="E380" s="468" t="str">
        <f t="shared" si="34"/>
        <v>ECR</v>
      </c>
      <c r="F380" s="469">
        <v>43.214820000000003</v>
      </c>
      <c r="G380" s="469">
        <v>45.8339</v>
      </c>
      <c r="H380" s="469">
        <v>48.452979999999997</v>
      </c>
      <c r="I380" s="469">
        <v>51.07206</v>
      </c>
      <c r="J380" s="469">
        <v>53.691139999999997</v>
      </c>
      <c r="K380" s="469">
        <v>56.310220000000001</v>
      </c>
      <c r="L380" s="469">
        <v>58.929299999999998</v>
      </c>
      <c r="M380" s="469">
        <v>61.548380000000002</v>
      </c>
      <c r="N380" s="469">
        <v>64.167457856200002</v>
      </c>
      <c r="O380" s="469">
        <v>66.786535712399996</v>
      </c>
      <c r="P380" s="469">
        <v>69.405613568599904</v>
      </c>
      <c r="Q380" s="469">
        <v>72.024691424799897</v>
      </c>
      <c r="R380" s="469">
        <v>74.643769280999905</v>
      </c>
      <c r="S380" s="469">
        <v>77.262847137199898</v>
      </c>
    </row>
    <row r="381" spans="1:19" s="469" customFormat="1">
      <c r="A381" s="469" t="str">
        <f t="shared" si="31"/>
        <v>KU</v>
      </c>
      <c r="B381" s="469" t="str">
        <f t="shared" si="32"/>
        <v>KY</v>
      </c>
      <c r="C381" s="469" t="str">
        <f t="shared" si="33"/>
        <v>367</v>
      </c>
      <c r="D381" s="470" t="s">
        <v>1847</v>
      </c>
      <c r="E381" s="468" t="str">
        <f t="shared" si="34"/>
        <v/>
      </c>
      <c r="F381" s="469">
        <v>40418.352250000004</v>
      </c>
      <c r="G381" s="469">
        <v>40664.540919999999</v>
      </c>
      <c r="H381" s="469">
        <v>41016.941299999999</v>
      </c>
      <c r="I381" s="469">
        <v>41331.820079999998</v>
      </c>
      <c r="J381" s="469">
        <v>41685.747000000003</v>
      </c>
      <c r="K381" s="469">
        <v>42037.15509</v>
      </c>
      <c r="L381" s="469">
        <v>42275.66994</v>
      </c>
      <c r="M381" s="469">
        <v>42068.84893</v>
      </c>
      <c r="N381" s="469">
        <v>42194.119134610002</v>
      </c>
      <c r="O381" s="469">
        <v>42530.015883319997</v>
      </c>
      <c r="P381" s="469">
        <v>42861.350759740002</v>
      </c>
      <c r="Q381" s="469">
        <v>43202.351721350002</v>
      </c>
      <c r="R381" s="469">
        <v>43528.860426990002</v>
      </c>
      <c r="S381" s="469">
        <v>43867.846623700003</v>
      </c>
    </row>
    <row r="382" spans="1:19" s="469" customFormat="1">
      <c r="A382" s="469" t="str">
        <f t="shared" si="31"/>
        <v>KU</v>
      </c>
      <c r="B382" s="469" t="str">
        <f t="shared" si="32"/>
        <v>VA</v>
      </c>
      <c r="C382" s="469" t="str">
        <f t="shared" si="33"/>
        <v>367</v>
      </c>
      <c r="D382" s="470" t="s">
        <v>1848</v>
      </c>
      <c r="E382" s="468" t="str">
        <f t="shared" si="34"/>
        <v/>
      </c>
      <c r="F382" s="469">
        <v>484.29815000000002</v>
      </c>
      <c r="G382" s="469">
        <v>492.23083000000003</v>
      </c>
      <c r="H382" s="469">
        <v>500.22129999999999</v>
      </c>
      <c r="I382" s="469">
        <v>508.30293999999998</v>
      </c>
      <c r="J382" s="469">
        <v>516.49153000000001</v>
      </c>
      <c r="K382" s="469">
        <v>524.72478000000001</v>
      </c>
      <c r="L382" s="469">
        <v>530.10347999999999</v>
      </c>
      <c r="M382" s="469">
        <v>531.97083999999995</v>
      </c>
      <c r="N382" s="469">
        <v>500.90671487959997</v>
      </c>
      <c r="O382" s="469">
        <v>504.30598840509998</v>
      </c>
      <c r="P382" s="469">
        <v>512.55774283760002</v>
      </c>
      <c r="Q382" s="469">
        <v>521.77124790100004</v>
      </c>
      <c r="R382" s="469">
        <v>527.08706247409998</v>
      </c>
      <c r="S382" s="469">
        <v>537.32690870759996</v>
      </c>
    </row>
    <row r="383" spans="1:19" s="469" customFormat="1">
      <c r="A383" s="469" t="str">
        <f t="shared" si="31"/>
        <v>KU</v>
      </c>
      <c r="B383" s="469" t="str">
        <f t="shared" si="32"/>
        <v>KY</v>
      </c>
      <c r="C383" s="469" t="str">
        <f t="shared" si="33"/>
        <v>368</v>
      </c>
      <c r="D383" s="470" t="s">
        <v>1849</v>
      </c>
      <c r="E383" s="468" t="str">
        <f t="shared" si="34"/>
        <v/>
      </c>
      <c r="F383" s="469">
        <v>134473.90455000001</v>
      </c>
      <c r="G383" s="469">
        <v>135076.58411</v>
      </c>
      <c r="H383" s="469">
        <v>135680.28488999899</v>
      </c>
      <c r="I383" s="469">
        <v>136284.75493</v>
      </c>
      <c r="J383" s="469">
        <v>136190.00863999999</v>
      </c>
      <c r="K383" s="469">
        <v>136797.10550000001</v>
      </c>
      <c r="L383" s="469">
        <v>137405.1287</v>
      </c>
      <c r="M383" s="469">
        <v>137756.86550000001</v>
      </c>
      <c r="N383" s="469">
        <v>138356.30203538001</v>
      </c>
      <c r="O383" s="469">
        <v>138836.75925745899</v>
      </c>
      <c r="P383" s="469">
        <v>139356.98072492899</v>
      </c>
      <c r="Q383" s="469">
        <v>139737.733596209</v>
      </c>
      <c r="R383" s="469">
        <v>140284.95704516899</v>
      </c>
      <c r="S383" s="469">
        <v>140782.60432692899</v>
      </c>
    </row>
    <row r="384" spans="1:19" s="469" customFormat="1">
      <c r="A384" s="469" t="str">
        <f t="shared" si="31"/>
        <v>KU</v>
      </c>
      <c r="B384" s="469" t="str">
        <f t="shared" si="32"/>
        <v>TN</v>
      </c>
      <c r="C384" s="469" t="str">
        <f t="shared" si="33"/>
        <v>368</v>
      </c>
      <c r="D384" s="470" t="s">
        <v>1850</v>
      </c>
      <c r="E384" s="468" t="str">
        <f t="shared" si="34"/>
        <v/>
      </c>
      <c r="F384" s="469">
        <v>5.0630899999999999</v>
      </c>
      <c r="G384" s="469">
        <v>5.0694499999999998</v>
      </c>
      <c r="H384" s="469">
        <v>5.0758099999999997</v>
      </c>
      <c r="I384" s="469">
        <v>5.0821699999999996</v>
      </c>
      <c r="J384" s="469">
        <v>5.0885299999999898</v>
      </c>
      <c r="K384" s="469">
        <v>5.0948900000000004</v>
      </c>
      <c r="L384" s="469">
        <v>5.1012500000000003</v>
      </c>
      <c r="M384" s="469">
        <v>5.1076100000000002</v>
      </c>
      <c r="N384" s="469">
        <v>5.1139764883329999</v>
      </c>
      <c r="O384" s="469">
        <v>5.1203429766659996</v>
      </c>
      <c r="P384" s="469">
        <v>5.1267094649990002</v>
      </c>
      <c r="Q384" s="469">
        <v>5.1330759533319998</v>
      </c>
      <c r="R384" s="469">
        <v>5.1394424416650004</v>
      </c>
      <c r="S384" s="469">
        <v>5.1458089299980001</v>
      </c>
    </row>
    <row r="385" spans="1:19" s="469" customFormat="1">
      <c r="A385" s="469" t="str">
        <f t="shared" si="31"/>
        <v>KU</v>
      </c>
      <c r="B385" s="469" t="str">
        <f t="shared" si="32"/>
        <v>VA</v>
      </c>
      <c r="C385" s="469" t="str">
        <f t="shared" si="33"/>
        <v>368</v>
      </c>
      <c r="D385" s="470" t="s">
        <v>1851</v>
      </c>
      <c r="E385" s="468" t="str">
        <f t="shared" si="34"/>
        <v/>
      </c>
      <c r="F385" s="469">
        <v>7326.9879099999998</v>
      </c>
      <c r="G385" s="469">
        <v>7354.2133100000001</v>
      </c>
      <c r="H385" s="469">
        <v>7381.4387100000004</v>
      </c>
      <c r="I385" s="469">
        <v>7408.6641099999997</v>
      </c>
      <c r="J385" s="469">
        <v>6821.9977900000004</v>
      </c>
      <c r="K385" s="469">
        <v>6847.9866099999999</v>
      </c>
      <c r="L385" s="469">
        <v>6873.9754299999904</v>
      </c>
      <c r="M385" s="469">
        <v>6855.4583499999999</v>
      </c>
      <c r="N385" s="469">
        <v>6881.4347785355003</v>
      </c>
      <c r="O385" s="469">
        <v>6907.4112070709998</v>
      </c>
      <c r="P385" s="469">
        <v>6933.3876356065002</v>
      </c>
      <c r="Q385" s="469">
        <v>6959.3640641419997</v>
      </c>
      <c r="R385" s="469">
        <v>6985.3404926775002</v>
      </c>
      <c r="S385" s="469">
        <v>7011.3169212129997</v>
      </c>
    </row>
    <row r="386" spans="1:19" s="469" customFormat="1">
      <c r="A386" s="469" t="str">
        <f t="shared" si="31"/>
        <v>KU</v>
      </c>
      <c r="B386" s="469" t="str">
        <f t="shared" si="32"/>
        <v>KY</v>
      </c>
      <c r="C386" s="469" t="str">
        <f t="shared" si="33"/>
        <v>369</v>
      </c>
      <c r="D386" s="470" t="s">
        <v>1852</v>
      </c>
      <c r="E386" s="468" t="str">
        <f t="shared" si="34"/>
        <v/>
      </c>
      <c r="F386" s="469">
        <v>57880.948199999999</v>
      </c>
      <c r="G386" s="469">
        <v>58032.729760000002</v>
      </c>
      <c r="H386" s="469">
        <v>58184.529540000003</v>
      </c>
      <c r="I386" s="469">
        <v>58336.375489999999</v>
      </c>
      <c r="J386" s="469">
        <v>58488.292390000002</v>
      </c>
      <c r="K386" s="469">
        <v>58640.234080000002</v>
      </c>
      <c r="L386" s="469">
        <v>58792.199159999996</v>
      </c>
      <c r="M386" s="469">
        <v>58407.421240000003</v>
      </c>
      <c r="N386" s="469">
        <v>58557.372061180002</v>
      </c>
      <c r="O386" s="469">
        <v>58721.907920090001</v>
      </c>
      <c r="P386" s="469">
        <v>58886.443779000001</v>
      </c>
      <c r="Q386" s="469">
        <v>59050.979637910001</v>
      </c>
      <c r="R386" s="469">
        <v>59215.51549682</v>
      </c>
      <c r="S386" s="469">
        <v>59380.05135573</v>
      </c>
    </row>
    <row r="387" spans="1:19" s="469" customFormat="1">
      <c r="A387" s="469" t="str">
        <f t="shared" si="31"/>
        <v>KU</v>
      </c>
      <c r="B387" s="469" t="str">
        <f t="shared" si="32"/>
        <v>TN</v>
      </c>
      <c r="C387" s="469" t="str">
        <f t="shared" si="33"/>
        <v>369</v>
      </c>
      <c r="D387" s="470" t="s">
        <v>1853</v>
      </c>
      <c r="E387" s="468" t="str">
        <f t="shared" si="34"/>
        <v/>
      </c>
      <c r="F387" s="469">
        <v>1.13974</v>
      </c>
      <c r="G387" s="469">
        <v>1.1401699999999999</v>
      </c>
      <c r="H387" s="469">
        <v>1.1405999999999901</v>
      </c>
      <c r="I387" s="469">
        <v>1.14103</v>
      </c>
      <c r="J387" s="469">
        <v>1.1414599999999999</v>
      </c>
      <c r="K387" s="469">
        <v>1.1418900000000001</v>
      </c>
      <c r="L387" s="469">
        <v>1.14232</v>
      </c>
      <c r="M387" s="469">
        <v>1.1427499999999999</v>
      </c>
      <c r="N387" s="469">
        <v>1.14318073216699</v>
      </c>
      <c r="O387" s="469">
        <v>1.1436114643339901</v>
      </c>
      <c r="P387" s="469">
        <v>1.1440421965009899</v>
      </c>
      <c r="Q387" s="469">
        <v>1.14447292866799</v>
      </c>
      <c r="R387" s="469">
        <v>1.1449036608349901</v>
      </c>
      <c r="S387" s="469">
        <v>1.1453343930019899</v>
      </c>
    </row>
    <row r="388" spans="1:19" s="469" customFormat="1">
      <c r="A388" s="469" t="str">
        <f t="shared" si="31"/>
        <v>KU</v>
      </c>
      <c r="B388" s="469" t="str">
        <f t="shared" si="32"/>
        <v>VA</v>
      </c>
      <c r="C388" s="469" t="str">
        <f t="shared" si="33"/>
        <v>369</v>
      </c>
      <c r="D388" s="470" t="s">
        <v>1854</v>
      </c>
      <c r="E388" s="468" t="str">
        <f t="shared" si="34"/>
        <v/>
      </c>
      <c r="F388" s="469">
        <v>4115.9715500000002</v>
      </c>
      <c r="G388" s="469">
        <v>4124.7998600000001</v>
      </c>
      <c r="H388" s="469">
        <v>4133.62817</v>
      </c>
      <c r="I388" s="469">
        <v>4142.4564799999998</v>
      </c>
      <c r="J388" s="469">
        <v>4151.2847899999997</v>
      </c>
      <c r="K388" s="469">
        <v>4160.1130999999996</v>
      </c>
      <c r="L388" s="469">
        <v>4168.9414100000004</v>
      </c>
      <c r="M388" s="469">
        <v>4152.1828500000001</v>
      </c>
      <c r="N388" s="469">
        <v>4161.4853037019902</v>
      </c>
      <c r="O388" s="469">
        <v>4170.7877574039903</v>
      </c>
      <c r="P388" s="469">
        <v>4180.0902111059904</v>
      </c>
      <c r="Q388" s="469">
        <v>4189.3926648079896</v>
      </c>
      <c r="R388" s="469">
        <v>4198.6951185099897</v>
      </c>
      <c r="S388" s="469">
        <v>4207.9975722119898</v>
      </c>
    </row>
    <row r="389" spans="1:19" s="469" customFormat="1">
      <c r="A389" s="469" t="str">
        <f t="shared" si="31"/>
        <v>KU</v>
      </c>
      <c r="B389" s="469" t="str">
        <f t="shared" si="32"/>
        <v>KY</v>
      </c>
      <c r="C389" s="469" t="str">
        <f t="shared" si="33"/>
        <v>370</v>
      </c>
      <c r="D389" s="470" t="s">
        <v>1855</v>
      </c>
      <c r="E389" s="468" t="str">
        <f t="shared" si="34"/>
        <v/>
      </c>
      <c r="F389" s="469">
        <v>35404.818149999999</v>
      </c>
      <c r="G389" s="469">
        <v>35543.533170000002</v>
      </c>
      <c r="H389" s="469">
        <v>35608.15292</v>
      </c>
      <c r="I389" s="469">
        <v>35747.702429999998</v>
      </c>
      <c r="J389" s="469">
        <v>35887.521289999902</v>
      </c>
      <c r="K389" s="469">
        <v>36027.544300000001</v>
      </c>
      <c r="L389" s="469">
        <v>36167.70246</v>
      </c>
      <c r="M389" s="469">
        <v>36238.713159999999</v>
      </c>
      <c r="N389" s="469">
        <v>36379.585867900001</v>
      </c>
      <c r="O389" s="469">
        <v>36520.780386899998</v>
      </c>
      <c r="P389" s="469">
        <v>36662.244886399902</v>
      </c>
      <c r="Q389" s="469">
        <v>36803.8348082999</v>
      </c>
      <c r="R389" s="469">
        <v>36945.488659599898</v>
      </c>
      <c r="S389" s="469">
        <v>37087.430336699901</v>
      </c>
    </row>
    <row r="390" spans="1:19" s="469" customFormat="1">
      <c r="A390" s="469" t="str">
        <f t="shared" si="31"/>
        <v>KU</v>
      </c>
      <c r="B390" s="469" t="str">
        <f t="shared" si="32"/>
        <v>TN</v>
      </c>
      <c r="C390" s="469" t="str">
        <f t="shared" si="33"/>
        <v>370</v>
      </c>
      <c r="D390" s="470" t="s">
        <v>1856</v>
      </c>
      <c r="E390" s="468" t="str">
        <f t="shared" si="34"/>
        <v/>
      </c>
      <c r="F390" s="469">
        <v>0.20518</v>
      </c>
      <c r="G390" s="469">
        <v>0.21318999999999999</v>
      </c>
      <c r="H390" s="469">
        <v>0.22119999999999901</v>
      </c>
      <c r="I390" s="469">
        <v>0.22921</v>
      </c>
      <c r="J390" s="469">
        <v>0.23721999999999999</v>
      </c>
      <c r="K390" s="469">
        <v>0.24523</v>
      </c>
      <c r="L390" s="469">
        <v>0.25324000000000002</v>
      </c>
      <c r="M390" s="469">
        <v>0.26124999999999998</v>
      </c>
      <c r="N390" s="469">
        <v>0.26926349241699998</v>
      </c>
      <c r="O390" s="469">
        <v>0.27727698483399998</v>
      </c>
      <c r="P390" s="469">
        <v>0.28529047725099999</v>
      </c>
      <c r="Q390" s="469">
        <v>0.29330396966799999</v>
      </c>
      <c r="R390" s="469">
        <v>0.30131746208499999</v>
      </c>
      <c r="S390" s="469">
        <v>0.30933095450199999</v>
      </c>
    </row>
    <row r="391" spans="1:19" s="469" customFormat="1">
      <c r="A391" s="469" t="str">
        <f t="shared" si="31"/>
        <v>KU</v>
      </c>
      <c r="B391" s="469" t="str">
        <f t="shared" si="32"/>
        <v>VA</v>
      </c>
      <c r="C391" s="469" t="str">
        <f t="shared" si="33"/>
        <v>370</v>
      </c>
      <c r="D391" s="470" t="s">
        <v>1857</v>
      </c>
      <c r="E391" s="468" t="str">
        <f t="shared" si="34"/>
        <v/>
      </c>
      <c r="F391" s="469">
        <v>2676.4883</v>
      </c>
      <c r="G391" s="469">
        <v>2684.2937299999999</v>
      </c>
      <c r="H391" s="469">
        <v>2690.5012099999999</v>
      </c>
      <c r="I391" s="469">
        <v>2698.11375</v>
      </c>
      <c r="J391" s="469">
        <v>2705.86096</v>
      </c>
      <c r="K391" s="469">
        <v>2713.7102500000001</v>
      </c>
      <c r="L391" s="469">
        <v>2721.6271099999999</v>
      </c>
      <c r="M391" s="469">
        <v>2721.3350399999999</v>
      </c>
      <c r="N391" s="469">
        <v>2728.8501975019999</v>
      </c>
      <c r="O391" s="469">
        <v>2736.3653550039999</v>
      </c>
      <c r="P391" s="469">
        <v>2743.8805125059998</v>
      </c>
      <c r="Q391" s="469">
        <v>2751.3956700079998</v>
      </c>
      <c r="R391" s="469">
        <v>2758.9108275099902</v>
      </c>
      <c r="S391" s="469">
        <v>2766.4259850119902</v>
      </c>
    </row>
    <row r="392" spans="1:19" s="469" customFormat="1">
      <c r="A392" s="469" t="str">
        <f t="shared" si="31"/>
        <v>KU</v>
      </c>
      <c r="B392" s="469" t="str">
        <f t="shared" si="32"/>
        <v>KY</v>
      </c>
      <c r="C392" s="469" t="str">
        <f t="shared" si="33"/>
        <v>371</v>
      </c>
      <c r="D392" s="470" t="s">
        <v>1858</v>
      </c>
      <c r="E392" s="468" t="str">
        <f t="shared" si="34"/>
        <v/>
      </c>
      <c r="F392" s="469">
        <v>16060.66381</v>
      </c>
      <c r="G392" s="469">
        <v>16070.626099999999</v>
      </c>
      <c r="H392" s="469">
        <v>16081.559880000001</v>
      </c>
      <c r="I392" s="469">
        <v>16092.49366</v>
      </c>
      <c r="J392" s="469">
        <v>1528.9933799999999</v>
      </c>
      <c r="K392" s="469">
        <v>1530.04286</v>
      </c>
      <c r="L392" s="469">
        <v>-3.9345300000000001</v>
      </c>
      <c r="M392" s="469">
        <v>-3.9375399999999998</v>
      </c>
      <c r="N392" s="469">
        <v>-3.9241802582459999</v>
      </c>
      <c r="O392" s="469">
        <v>-3.8862673914919998</v>
      </c>
      <c r="P392" s="469">
        <v>-3.8319857747460002</v>
      </c>
      <c r="Q392" s="469">
        <v>-3.7367822829959998</v>
      </c>
      <c r="R392" s="469">
        <v>-3.6061694151079999</v>
      </c>
      <c r="S392" s="469">
        <v>-3.4702127949700001</v>
      </c>
    </row>
    <row r="393" spans="1:19" s="469" customFormat="1">
      <c r="A393" s="469" t="str">
        <f t="shared" si="31"/>
        <v>KU</v>
      </c>
      <c r="B393" s="469" t="str">
        <f t="shared" si="32"/>
        <v>VA</v>
      </c>
      <c r="C393" s="469" t="str">
        <f t="shared" si="33"/>
        <v>371</v>
      </c>
      <c r="D393" s="470" t="s">
        <v>1859</v>
      </c>
      <c r="E393" s="468" t="str">
        <f t="shared" si="34"/>
        <v/>
      </c>
      <c r="F393" s="469">
        <v>963.55795000000001</v>
      </c>
      <c r="G393" s="469">
        <v>964.13517999999999</v>
      </c>
      <c r="H393" s="469">
        <v>964.71240999999998</v>
      </c>
      <c r="I393" s="469">
        <v>965.28963999999996</v>
      </c>
      <c r="J393" s="469">
        <v>0.28856999999999999</v>
      </c>
      <c r="K393" s="469">
        <v>0</v>
      </c>
      <c r="L393" s="469">
        <v>0</v>
      </c>
      <c r="M393" s="469">
        <v>0</v>
      </c>
      <c r="N393" s="469">
        <v>0</v>
      </c>
      <c r="O393" s="469">
        <v>0</v>
      </c>
      <c r="P393" s="469">
        <v>0</v>
      </c>
      <c r="Q393" s="469">
        <v>0</v>
      </c>
      <c r="R393" s="469">
        <v>0</v>
      </c>
      <c r="S393" s="469">
        <v>0</v>
      </c>
    </row>
    <row r="394" spans="1:19" s="469" customFormat="1">
      <c r="A394" s="469" t="str">
        <f t="shared" si="31"/>
        <v>KU</v>
      </c>
      <c r="B394" s="469" t="str">
        <f t="shared" si="32"/>
        <v>KY</v>
      </c>
      <c r="C394" s="469" t="str">
        <f t="shared" si="33"/>
        <v>373</v>
      </c>
      <c r="D394" s="470" t="s">
        <v>1860</v>
      </c>
      <c r="E394" s="468" t="str">
        <f t="shared" si="34"/>
        <v/>
      </c>
      <c r="F394" s="469">
        <v>20610.75128</v>
      </c>
      <c r="G394" s="469">
        <v>20926.05601</v>
      </c>
      <c r="H394" s="469">
        <v>21239.663059999999</v>
      </c>
      <c r="I394" s="469">
        <v>21557.6632399999</v>
      </c>
      <c r="J394" s="469">
        <v>36451.506990000002</v>
      </c>
      <c r="K394" s="469">
        <v>36821.550369999997</v>
      </c>
      <c r="L394" s="469">
        <v>34405.350769999997</v>
      </c>
      <c r="M394" s="469">
        <v>34348.84506</v>
      </c>
      <c r="N394" s="469">
        <v>34553.692518349999</v>
      </c>
      <c r="O394" s="469">
        <v>34653.933746589901</v>
      </c>
      <c r="P394" s="469">
        <v>35188.685537349898</v>
      </c>
      <c r="Q394" s="469">
        <v>35066.098582959901</v>
      </c>
      <c r="R394" s="469">
        <v>35276.663135919996</v>
      </c>
      <c r="S394" s="469">
        <v>35411.715615159999</v>
      </c>
    </row>
    <row r="395" spans="1:19" s="469" customFormat="1">
      <c r="A395" s="469" t="str">
        <f t="shared" si="31"/>
        <v>KU</v>
      </c>
      <c r="B395" s="469" t="str">
        <f t="shared" si="32"/>
        <v>VA</v>
      </c>
      <c r="C395" s="469" t="str">
        <f t="shared" si="33"/>
        <v>373</v>
      </c>
      <c r="D395" s="470" t="s">
        <v>1861</v>
      </c>
      <c r="E395" s="468" t="str">
        <f t="shared" si="34"/>
        <v/>
      </c>
      <c r="F395" s="469">
        <v>657.91773999999998</v>
      </c>
      <c r="G395" s="469">
        <v>666.84798000000001</v>
      </c>
      <c r="H395" s="469">
        <v>675.88319000000001</v>
      </c>
      <c r="I395" s="469">
        <v>684.98942999999997</v>
      </c>
      <c r="J395" s="469">
        <v>1658.48307</v>
      </c>
      <c r="K395" s="469">
        <v>1670.90852</v>
      </c>
      <c r="L395" s="469">
        <v>1574.3142800000001</v>
      </c>
      <c r="M395" s="469">
        <v>1586.1473000000001</v>
      </c>
      <c r="N395" s="469">
        <v>1580.5706713520001</v>
      </c>
      <c r="O395" s="469">
        <v>1587.9414940669999</v>
      </c>
      <c r="P395" s="469">
        <v>1600.090028716</v>
      </c>
      <c r="Q395" s="469">
        <v>1612.338356518</v>
      </c>
      <c r="R395" s="469">
        <v>1624.657217749</v>
      </c>
      <c r="S395" s="469">
        <v>1635.746992563</v>
      </c>
    </row>
    <row r="396" spans="1:19" s="469" customFormat="1">
      <c r="A396" s="469" t="str">
        <f t="shared" si="31"/>
        <v>KU</v>
      </c>
      <c r="B396" s="469" t="str">
        <f t="shared" si="32"/>
        <v>KY</v>
      </c>
      <c r="C396" s="469" t="str">
        <f t="shared" si="33"/>
        <v>374</v>
      </c>
      <c r="D396" s="470" t="s">
        <v>1862</v>
      </c>
      <c r="E396" s="468" t="str">
        <f t="shared" si="34"/>
        <v>ARO</v>
      </c>
      <c r="F396" s="469">
        <v>105.416029999999</v>
      </c>
      <c r="G396" s="469">
        <v>107.30056</v>
      </c>
      <c r="H396" s="469">
        <v>109.18509</v>
      </c>
      <c r="I396" s="469">
        <v>111.06962</v>
      </c>
      <c r="J396" s="469">
        <v>112.95415</v>
      </c>
      <c r="K396" s="469">
        <v>114.83868</v>
      </c>
      <c r="L396" s="469">
        <v>116.72320999999999</v>
      </c>
      <c r="M396" s="469">
        <v>118.39967999999899</v>
      </c>
      <c r="N396" s="469">
        <v>120.28420999999901</v>
      </c>
      <c r="O396" s="469">
        <v>122.168739999999</v>
      </c>
      <c r="P396" s="469">
        <v>124.053269999999</v>
      </c>
      <c r="Q396" s="469">
        <v>125.937799999999</v>
      </c>
      <c r="R396" s="469">
        <v>127.822329999999</v>
      </c>
      <c r="S396" s="469">
        <v>129.70685999999901</v>
      </c>
    </row>
    <row r="397" spans="1:19" s="469" customFormat="1">
      <c r="A397" s="469" t="str">
        <f t="shared" si="31"/>
        <v>KU</v>
      </c>
      <c r="B397" s="469" t="str">
        <f t="shared" si="32"/>
        <v>KY</v>
      </c>
      <c r="C397" s="469" t="str">
        <f t="shared" si="33"/>
        <v>389</v>
      </c>
      <c r="D397" s="470" t="s">
        <v>1863</v>
      </c>
      <c r="E397" s="468" t="str">
        <f t="shared" si="34"/>
        <v/>
      </c>
      <c r="F397" s="469">
        <v>0</v>
      </c>
      <c r="G397" s="469">
        <v>0</v>
      </c>
      <c r="H397" s="469">
        <v>0</v>
      </c>
      <c r="I397" s="469">
        <v>0</v>
      </c>
      <c r="J397" s="469">
        <v>0</v>
      </c>
      <c r="K397" s="469">
        <v>0</v>
      </c>
      <c r="L397" s="469">
        <v>0</v>
      </c>
      <c r="M397" s="469">
        <v>0</v>
      </c>
      <c r="N397" s="469">
        <v>-17.05</v>
      </c>
      <c r="O397" s="469">
        <v>-17.05</v>
      </c>
      <c r="P397" s="469">
        <v>-17.05</v>
      </c>
      <c r="Q397" s="469">
        <v>-17.05</v>
      </c>
      <c r="R397" s="469">
        <v>-17.05</v>
      </c>
      <c r="S397" s="469">
        <v>-17.05</v>
      </c>
    </row>
    <row r="398" spans="1:19" s="469" customFormat="1">
      <c r="A398" s="469" t="str">
        <f t="shared" si="31"/>
        <v>KU</v>
      </c>
      <c r="B398" s="469" t="str">
        <f t="shared" si="32"/>
        <v>KY</v>
      </c>
      <c r="C398" s="469" t="str">
        <f t="shared" si="33"/>
        <v>390</v>
      </c>
      <c r="D398" s="470" t="s">
        <v>1865</v>
      </c>
      <c r="E398" s="468" t="str">
        <f t="shared" si="34"/>
        <v/>
      </c>
      <c r="F398" s="469">
        <v>723.366479999999</v>
      </c>
      <c r="G398" s="469">
        <v>727.53602999999998</v>
      </c>
      <c r="H398" s="469">
        <v>731.70664999999997</v>
      </c>
      <c r="I398" s="469">
        <v>735.87832000000003</v>
      </c>
      <c r="J398" s="469">
        <v>740.04998999999998</v>
      </c>
      <c r="K398" s="469">
        <v>744.22166000000004</v>
      </c>
      <c r="L398" s="469">
        <v>748.24774999999897</v>
      </c>
      <c r="M398" s="469">
        <v>752.42849999999999</v>
      </c>
      <c r="N398" s="469">
        <v>756.60926048966905</v>
      </c>
      <c r="O398" s="469">
        <v>760.79002097933801</v>
      </c>
      <c r="P398" s="469">
        <v>764.97078146900697</v>
      </c>
      <c r="Q398" s="469">
        <v>769.15154195867603</v>
      </c>
      <c r="R398" s="469">
        <v>773.33230244834499</v>
      </c>
      <c r="S398" s="469">
        <v>777.51306293801395</v>
      </c>
    </row>
    <row r="399" spans="1:19" s="469" customFormat="1">
      <c r="A399" s="469" t="str">
        <f t="shared" si="31"/>
        <v>KU</v>
      </c>
      <c r="B399" s="469" t="str">
        <f t="shared" si="32"/>
        <v>KY</v>
      </c>
      <c r="C399" s="469" t="str">
        <f t="shared" si="33"/>
        <v>390</v>
      </c>
      <c r="D399" s="470" t="s">
        <v>1866</v>
      </c>
      <c r="E399" s="468" t="str">
        <f t="shared" si="34"/>
        <v/>
      </c>
      <c r="F399" s="469">
        <v>10657.46797</v>
      </c>
      <c r="G399" s="469">
        <v>10724.36131</v>
      </c>
      <c r="H399" s="469">
        <v>10814.4123599999</v>
      </c>
      <c r="I399" s="469">
        <v>10904.671969999999</v>
      </c>
      <c r="J399" s="469">
        <v>10995.392879999999</v>
      </c>
      <c r="K399" s="469">
        <v>11080.22054</v>
      </c>
      <c r="L399" s="469">
        <v>11169.796469999999</v>
      </c>
      <c r="M399" s="469">
        <v>10894.170770000001</v>
      </c>
      <c r="N399" s="469">
        <v>10867.20690105</v>
      </c>
      <c r="O399" s="469">
        <v>10959.190152015</v>
      </c>
      <c r="P399" s="469">
        <v>11042.164289161999</v>
      </c>
      <c r="Q399" s="469">
        <v>11111.644599091</v>
      </c>
      <c r="R399" s="469">
        <v>11208.570010641</v>
      </c>
      <c r="S399" s="469">
        <v>11305.704797191</v>
      </c>
    </row>
    <row r="400" spans="1:19" s="469" customFormat="1">
      <c r="A400" s="469" t="str">
        <f t="shared" si="31"/>
        <v>KU</v>
      </c>
      <c r="B400" s="469" t="str">
        <f t="shared" si="32"/>
        <v>VA</v>
      </c>
      <c r="C400" s="469" t="str">
        <f t="shared" si="33"/>
        <v>390</v>
      </c>
      <c r="D400" s="470" t="s">
        <v>1867</v>
      </c>
      <c r="E400" s="468" t="str">
        <f t="shared" si="34"/>
        <v/>
      </c>
      <c r="F400" s="469">
        <v>317.89508999999998</v>
      </c>
      <c r="G400" s="469">
        <v>319.68492999999899</v>
      </c>
      <c r="H400" s="469">
        <v>313.20522</v>
      </c>
      <c r="I400" s="469">
        <v>314.99277999999998</v>
      </c>
      <c r="J400" s="469">
        <v>316.78298999999998</v>
      </c>
      <c r="K400" s="469">
        <v>318.575839999999</v>
      </c>
      <c r="L400" s="469">
        <v>320.36868999999899</v>
      </c>
      <c r="M400" s="469">
        <v>322.16153999999898</v>
      </c>
      <c r="N400" s="469">
        <v>323.95438801016599</v>
      </c>
      <c r="O400" s="469">
        <v>325.74723602033299</v>
      </c>
      <c r="P400" s="469">
        <v>327.5400840305</v>
      </c>
      <c r="Q400" s="469">
        <v>329.332932040667</v>
      </c>
      <c r="R400" s="469">
        <v>331.12578005083498</v>
      </c>
      <c r="S400" s="469">
        <v>332.91862806100198</v>
      </c>
    </row>
    <row r="401" spans="1:19" s="469" customFormat="1">
      <c r="A401" s="469" t="str">
        <f t="shared" si="31"/>
        <v>KU</v>
      </c>
      <c r="B401" s="469" t="str">
        <f t="shared" si="32"/>
        <v>KY</v>
      </c>
      <c r="C401" s="469" t="str">
        <f t="shared" si="33"/>
        <v>391</v>
      </c>
      <c r="D401" s="470" t="s">
        <v>1868</v>
      </c>
      <c r="E401" s="468" t="str">
        <f t="shared" si="34"/>
        <v/>
      </c>
      <c r="F401" s="469">
        <v>3406.71135</v>
      </c>
      <c r="G401" s="469">
        <v>3462.5775800000001</v>
      </c>
      <c r="H401" s="469">
        <v>3518.5236099999902</v>
      </c>
      <c r="I401" s="469">
        <v>3574.8454099999999</v>
      </c>
      <c r="J401" s="469">
        <v>3631.3813599999999</v>
      </c>
      <c r="K401" s="469">
        <v>515.14458000000002</v>
      </c>
      <c r="L401" s="469">
        <v>548.78716999999995</v>
      </c>
      <c r="M401" s="469">
        <v>582.11602000000005</v>
      </c>
      <c r="N401" s="469">
        <v>569.45964455000001</v>
      </c>
      <c r="O401" s="469">
        <v>587.29461394999998</v>
      </c>
      <c r="P401" s="469">
        <v>619.97215037000001</v>
      </c>
      <c r="Q401" s="469">
        <v>610.76814245000003</v>
      </c>
      <c r="R401" s="469">
        <v>650.58365294999999</v>
      </c>
      <c r="S401" s="469">
        <v>690.46954932999995</v>
      </c>
    </row>
    <row r="402" spans="1:19" s="469" customFormat="1">
      <c r="A402" s="469" t="str">
        <f t="shared" si="31"/>
        <v>KU</v>
      </c>
      <c r="B402" s="469" t="str">
        <f t="shared" si="32"/>
        <v>KY</v>
      </c>
      <c r="C402" s="469" t="str">
        <f t="shared" si="33"/>
        <v>391</v>
      </c>
      <c r="D402" s="470" t="s">
        <v>1869</v>
      </c>
      <c r="E402" s="468" t="str">
        <f t="shared" si="34"/>
        <v/>
      </c>
      <c r="F402" s="469">
        <v>20276.601350000001</v>
      </c>
      <c r="G402" s="469">
        <v>20645.4944</v>
      </c>
      <c r="H402" s="469">
        <v>21054.13582</v>
      </c>
      <c r="I402" s="469">
        <v>20850.818220000001</v>
      </c>
      <c r="J402" s="469">
        <v>19764.813689999999</v>
      </c>
      <c r="K402" s="469">
        <v>19281.22567</v>
      </c>
      <c r="L402" s="469">
        <v>19766.5360899999</v>
      </c>
      <c r="M402" s="469">
        <v>19894.183730000001</v>
      </c>
      <c r="N402" s="469">
        <v>20171.933844509898</v>
      </c>
      <c r="O402" s="469">
        <v>19992.217139079999</v>
      </c>
      <c r="P402" s="469">
        <v>20382.5131763299</v>
      </c>
      <c r="Q402" s="469">
        <v>20699.816999969898</v>
      </c>
      <c r="R402" s="469">
        <v>20690.770545989999</v>
      </c>
      <c r="S402" s="469">
        <v>21240.672915849998</v>
      </c>
    </row>
    <row r="403" spans="1:19" s="469" customFormat="1">
      <c r="A403" s="469" t="str">
        <f t="shared" si="31"/>
        <v>KU</v>
      </c>
      <c r="B403" s="469" t="str">
        <f t="shared" si="32"/>
        <v>VA</v>
      </c>
      <c r="C403" s="469" t="str">
        <f t="shared" si="33"/>
        <v>391</v>
      </c>
      <c r="D403" s="470" t="s">
        <v>1870</v>
      </c>
      <c r="E403" s="468" t="str">
        <f t="shared" si="34"/>
        <v/>
      </c>
      <c r="F403" s="469">
        <v>8.1066099999999999</v>
      </c>
      <c r="G403" s="469">
        <v>8.1341099999999997</v>
      </c>
      <c r="H403" s="469">
        <v>8.1616099999999996</v>
      </c>
      <c r="I403" s="469">
        <v>8.1891099999999994</v>
      </c>
      <c r="J403" s="469">
        <v>8.2166099999999993</v>
      </c>
      <c r="K403" s="469">
        <v>0.83260000000000001</v>
      </c>
      <c r="L403" s="469">
        <v>0.83260000000000001</v>
      </c>
      <c r="M403" s="469">
        <v>0.83260000000000001</v>
      </c>
      <c r="N403" s="469">
        <v>0.83260000000000001</v>
      </c>
      <c r="O403" s="469">
        <v>0.83260000000000001</v>
      </c>
      <c r="P403" s="469">
        <v>0.83260000000000001</v>
      </c>
      <c r="Q403" s="469">
        <v>0.83260000000000001</v>
      </c>
      <c r="R403" s="469">
        <v>0.83260000000000001</v>
      </c>
      <c r="S403" s="469">
        <v>0.83260000000000001</v>
      </c>
    </row>
    <row r="404" spans="1:19" s="469" customFormat="1">
      <c r="A404" s="469" t="str">
        <f t="shared" si="31"/>
        <v>KU</v>
      </c>
      <c r="B404" s="469" t="str">
        <f t="shared" si="32"/>
        <v>KY</v>
      </c>
      <c r="C404" s="469" t="str">
        <f t="shared" si="33"/>
        <v>392</v>
      </c>
      <c r="D404" s="470" t="s">
        <v>1871</v>
      </c>
      <c r="E404" s="468" t="str">
        <f t="shared" si="34"/>
        <v>ECR</v>
      </c>
      <c r="F404" s="469">
        <v>8.7173799999999897</v>
      </c>
      <c r="G404" s="469">
        <v>8.9629399999999997</v>
      </c>
      <c r="H404" s="469">
        <v>9.2085000000000008</v>
      </c>
      <c r="I404" s="469">
        <v>9.4540600000000001</v>
      </c>
      <c r="J404" s="469">
        <v>9.6996199999999995</v>
      </c>
      <c r="K404" s="469">
        <v>22.637039999999999</v>
      </c>
      <c r="L404" s="469">
        <v>23.226800000000001</v>
      </c>
      <c r="M404" s="469">
        <v>23.816559999999999</v>
      </c>
      <c r="N404" s="469">
        <v>24.824386499999999</v>
      </c>
      <c r="O404" s="469">
        <v>26.758263666999998</v>
      </c>
      <c r="P404" s="469">
        <v>29.179320999999998</v>
      </c>
      <c r="Q404" s="469">
        <v>31.600378332999998</v>
      </c>
      <c r="R404" s="469">
        <v>34.021435665999995</v>
      </c>
      <c r="S404" s="469">
        <v>36.442492998999995</v>
      </c>
    </row>
    <row r="405" spans="1:19" s="469" customFormat="1">
      <c r="A405" s="469" t="str">
        <f t="shared" si="31"/>
        <v>KU</v>
      </c>
      <c r="B405" s="469" t="str">
        <f t="shared" si="32"/>
        <v>KY</v>
      </c>
      <c r="C405" s="469" t="str">
        <f t="shared" si="33"/>
        <v>392</v>
      </c>
      <c r="D405" s="470" t="s">
        <v>3310</v>
      </c>
      <c r="E405" s="468" t="str">
        <f t="shared" si="34"/>
        <v/>
      </c>
      <c r="N405" s="469">
        <v>-4.37113</v>
      </c>
      <c r="O405" s="469">
        <v>-7.8985899999999898</v>
      </c>
      <c r="P405" s="469">
        <v>-9.2766099999999891</v>
      </c>
      <c r="Q405" s="469">
        <v>-9.2766099999999891</v>
      </c>
      <c r="R405" s="469">
        <v>-9.2766099999999891</v>
      </c>
      <c r="S405" s="469">
        <v>-9.2766099999999891</v>
      </c>
    </row>
    <row r="406" spans="1:19" s="469" customFormat="1">
      <c r="A406" s="469" t="str">
        <f t="shared" si="31"/>
        <v>KU</v>
      </c>
      <c r="B406" s="469" t="str">
        <f t="shared" si="32"/>
        <v>KY</v>
      </c>
      <c r="C406" s="469" t="str">
        <f t="shared" si="33"/>
        <v>392</v>
      </c>
      <c r="D406" s="470" t="s">
        <v>1872</v>
      </c>
      <c r="E406" s="468" t="str">
        <f t="shared" si="34"/>
        <v/>
      </c>
      <c r="F406" s="469">
        <v>3394.4634799999999</v>
      </c>
      <c r="G406" s="469">
        <v>3440.6915800000002</v>
      </c>
      <c r="H406" s="469">
        <v>3486.9196999999999</v>
      </c>
      <c r="I406" s="469">
        <v>3266.5590400000001</v>
      </c>
      <c r="J406" s="469">
        <v>3312.5825</v>
      </c>
      <c r="K406" s="469">
        <v>3372.0032700000002</v>
      </c>
      <c r="L406" s="469">
        <v>3446.8917799999999</v>
      </c>
      <c r="M406" s="469">
        <v>3522.5384100000001</v>
      </c>
      <c r="N406" s="469">
        <v>3544.8309709199998</v>
      </c>
      <c r="O406" s="469">
        <v>3566.6246107499901</v>
      </c>
      <c r="P406" s="469">
        <v>3588.4182505799899</v>
      </c>
      <c r="Q406" s="469">
        <v>3602.6118904099899</v>
      </c>
      <c r="R406" s="469">
        <v>3624.4055302399902</v>
      </c>
      <c r="S406" s="469">
        <v>3646.19917006999</v>
      </c>
    </row>
    <row r="407" spans="1:19" s="469" customFormat="1">
      <c r="A407" s="469" t="str">
        <f t="shared" si="31"/>
        <v>KU</v>
      </c>
      <c r="B407" s="469" t="str">
        <f t="shared" si="32"/>
        <v>KY</v>
      </c>
      <c r="C407" s="469" t="str">
        <f t="shared" si="33"/>
        <v>393</v>
      </c>
      <c r="D407" s="470" t="s">
        <v>1873</v>
      </c>
      <c r="E407" s="468" t="str">
        <f t="shared" si="34"/>
        <v/>
      </c>
      <c r="F407" s="469">
        <v>314.81959000000001</v>
      </c>
      <c r="G407" s="469">
        <v>321.17061000000001</v>
      </c>
      <c r="H407" s="469">
        <v>327.52163000000002</v>
      </c>
      <c r="I407" s="469">
        <v>333.87428999999997</v>
      </c>
      <c r="J407" s="469">
        <v>340.23944999999998</v>
      </c>
      <c r="K407" s="469">
        <v>346.61545999999998</v>
      </c>
      <c r="L407" s="469">
        <v>352.99146999999999</v>
      </c>
      <c r="M407" s="469">
        <v>359.36748</v>
      </c>
      <c r="N407" s="469">
        <v>365.74349286099999</v>
      </c>
      <c r="O407" s="469">
        <v>372.11950572199999</v>
      </c>
      <c r="P407" s="469">
        <v>378.49551858299998</v>
      </c>
      <c r="Q407" s="469">
        <v>384.871531443999</v>
      </c>
      <c r="R407" s="469">
        <v>391.247544304999</v>
      </c>
      <c r="S407" s="469">
        <v>397.62355716599899</v>
      </c>
    </row>
    <row r="408" spans="1:19" s="469" customFormat="1">
      <c r="A408" s="469" t="str">
        <f t="shared" si="31"/>
        <v>KU</v>
      </c>
      <c r="B408" s="469" t="str">
        <f t="shared" si="32"/>
        <v>VA</v>
      </c>
      <c r="C408" s="469" t="str">
        <f t="shared" si="33"/>
        <v>393</v>
      </c>
      <c r="D408" s="470" t="s">
        <v>1874</v>
      </c>
      <c r="E408" s="468" t="str">
        <f t="shared" si="34"/>
        <v/>
      </c>
      <c r="F408" s="469">
        <v>3.28193</v>
      </c>
      <c r="G408" s="469">
        <v>3.30105</v>
      </c>
      <c r="H408" s="469">
        <v>3.3201700000000001</v>
      </c>
      <c r="I408" s="469">
        <v>3.3392900000000001</v>
      </c>
      <c r="J408" s="469">
        <v>3.3584100000000001</v>
      </c>
      <c r="K408" s="469">
        <v>3.3775300000000001</v>
      </c>
      <c r="L408" s="469">
        <v>3.3966500000000002</v>
      </c>
      <c r="M408" s="469">
        <v>3.4157700000000002</v>
      </c>
      <c r="N408" s="469">
        <v>3.4348932794999998</v>
      </c>
      <c r="O408" s="469">
        <v>3.4540165589999998</v>
      </c>
      <c r="P408" s="469">
        <v>3.4731398384999999</v>
      </c>
      <c r="Q408" s="469">
        <v>3.4922631179999999</v>
      </c>
      <c r="R408" s="469">
        <v>3.5113863974999999</v>
      </c>
      <c r="S408" s="469">
        <v>3.530509677</v>
      </c>
    </row>
    <row r="409" spans="1:19" s="469" customFormat="1">
      <c r="A409" s="469" t="str">
        <f t="shared" si="31"/>
        <v>KU</v>
      </c>
      <c r="B409" s="469" t="str">
        <f t="shared" si="32"/>
        <v>KY</v>
      </c>
      <c r="C409" s="469" t="str">
        <f t="shared" si="33"/>
        <v>394</v>
      </c>
      <c r="D409" s="470" t="s">
        <v>1875</v>
      </c>
      <c r="E409" s="468" t="str">
        <f t="shared" si="34"/>
        <v/>
      </c>
      <c r="F409" s="469">
        <v>3458.2450699999999</v>
      </c>
      <c r="G409" s="469">
        <v>3501.1038100000001</v>
      </c>
      <c r="H409" s="469">
        <v>3543.8002799999999</v>
      </c>
      <c r="I409" s="469">
        <v>3586.3429700000002</v>
      </c>
      <c r="J409" s="469">
        <v>3622.3962299999998</v>
      </c>
      <c r="K409" s="469">
        <v>3665.1471799999999</v>
      </c>
      <c r="L409" s="469">
        <v>3707.7959999999998</v>
      </c>
      <c r="M409" s="469">
        <v>3710.4489899999999</v>
      </c>
      <c r="N409" s="469">
        <v>3730.3746301900001</v>
      </c>
      <c r="O409" s="469">
        <v>3774.6066357700001</v>
      </c>
      <c r="P409" s="469">
        <v>3793.1617301800002</v>
      </c>
      <c r="Q409" s="469">
        <v>3838.01442387</v>
      </c>
      <c r="R409" s="469">
        <v>3883.55745518</v>
      </c>
      <c r="S409" s="469">
        <v>3929.1637227900001</v>
      </c>
    </row>
    <row r="410" spans="1:19" s="469" customFormat="1">
      <c r="A410" s="469" t="str">
        <f t="shared" si="31"/>
        <v>KU</v>
      </c>
      <c r="B410" s="469" t="str">
        <f t="shared" si="32"/>
        <v>VA</v>
      </c>
      <c r="C410" s="469" t="str">
        <f t="shared" si="33"/>
        <v>394</v>
      </c>
      <c r="D410" s="470" t="s">
        <v>1876</v>
      </c>
      <c r="E410" s="468" t="str">
        <f t="shared" si="34"/>
        <v/>
      </c>
      <c r="F410" s="469">
        <v>169.85425000000001</v>
      </c>
      <c r="G410" s="469">
        <v>171.50620999999899</v>
      </c>
      <c r="H410" s="469">
        <v>173.15817000000001</v>
      </c>
      <c r="I410" s="469">
        <v>174.81012999999999</v>
      </c>
      <c r="J410" s="469">
        <v>172.55429000000001</v>
      </c>
      <c r="K410" s="469">
        <v>174.23905999999999</v>
      </c>
      <c r="L410" s="469">
        <v>175.92382999999899</v>
      </c>
      <c r="M410" s="469">
        <v>177.6086</v>
      </c>
      <c r="N410" s="469">
        <v>179.31778417799899</v>
      </c>
      <c r="O410" s="469">
        <v>181.05545459299901</v>
      </c>
      <c r="P410" s="469">
        <v>182.80127487299899</v>
      </c>
      <c r="Q410" s="469">
        <v>184.551170085</v>
      </c>
      <c r="R410" s="469">
        <v>186.30496974900001</v>
      </c>
      <c r="S410" s="469">
        <v>188.06657840700001</v>
      </c>
    </row>
    <row r="411" spans="1:19" s="469" customFormat="1">
      <c r="A411" s="469" t="str">
        <f t="shared" si="31"/>
        <v>KU</v>
      </c>
      <c r="B411" s="469" t="str">
        <f t="shared" si="32"/>
        <v>KY</v>
      </c>
      <c r="C411" s="469" t="str">
        <f t="shared" si="33"/>
        <v>396</v>
      </c>
      <c r="D411" s="470" t="s">
        <v>1877</v>
      </c>
      <c r="E411" s="468" t="str">
        <f t="shared" si="34"/>
        <v/>
      </c>
      <c r="F411" s="469">
        <v>680.11218999999903</v>
      </c>
      <c r="G411" s="469">
        <v>694.90098</v>
      </c>
      <c r="H411" s="469">
        <v>709.68976999999995</v>
      </c>
      <c r="I411" s="469">
        <v>724.47856000000002</v>
      </c>
      <c r="J411" s="469">
        <v>739.26734999999996</v>
      </c>
      <c r="K411" s="469">
        <v>754.39827000000002</v>
      </c>
      <c r="L411" s="469">
        <v>769.87130999999999</v>
      </c>
      <c r="M411" s="469">
        <v>785.34434999999996</v>
      </c>
      <c r="N411" s="469">
        <v>800.81739129999903</v>
      </c>
      <c r="O411" s="469">
        <v>816.29043259999901</v>
      </c>
      <c r="P411" s="469">
        <v>831.76347389999898</v>
      </c>
      <c r="Q411" s="469">
        <v>847.23651519999896</v>
      </c>
      <c r="R411" s="469">
        <v>862.70955649999905</v>
      </c>
      <c r="S411" s="469">
        <v>878.18259779999903</v>
      </c>
    </row>
    <row r="412" spans="1:19" s="469" customFormat="1">
      <c r="A412" s="469" t="str">
        <f t="shared" si="31"/>
        <v>KU</v>
      </c>
      <c r="B412" s="469" t="str">
        <f t="shared" si="32"/>
        <v>VA</v>
      </c>
      <c r="C412" s="469" t="str">
        <f t="shared" si="33"/>
        <v>396</v>
      </c>
      <c r="D412" s="470" t="s">
        <v>1878</v>
      </c>
      <c r="E412" s="468" t="str">
        <f t="shared" si="34"/>
        <v/>
      </c>
      <c r="F412" s="469">
        <v>70.744339999999994</v>
      </c>
      <c r="G412" s="469">
        <v>72.835539999999995</v>
      </c>
      <c r="H412" s="469">
        <v>74.926739999999995</v>
      </c>
      <c r="I412" s="469">
        <v>77.017939999999996</v>
      </c>
      <c r="J412" s="469">
        <v>79.109139999999996</v>
      </c>
      <c r="K412" s="469">
        <v>81.200339999999997</v>
      </c>
      <c r="L412" s="469">
        <v>83.291539999999998</v>
      </c>
      <c r="M412" s="469">
        <v>85.382739999999998</v>
      </c>
      <c r="N412" s="469">
        <v>87.473944035000002</v>
      </c>
      <c r="O412" s="469">
        <v>89.565148070000006</v>
      </c>
      <c r="P412" s="469">
        <v>91.656352104999996</v>
      </c>
      <c r="Q412" s="469">
        <v>93.74755614</v>
      </c>
      <c r="R412" s="469">
        <v>95.838760175000004</v>
      </c>
      <c r="S412" s="469">
        <v>97.929964209999994</v>
      </c>
    </row>
    <row r="413" spans="1:19" s="469" customFormat="1">
      <c r="A413" s="469" t="str">
        <f t="shared" si="31"/>
        <v>KU</v>
      </c>
      <c r="B413" s="469" t="str">
        <f t="shared" si="32"/>
        <v>KY</v>
      </c>
      <c r="C413" s="670">
        <v>397</v>
      </c>
      <c r="D413" s="470" t="s">
        <v>1879</v>
      </c>
      <c r="E413" s="468" t="str">
        <f t="shared" si="34"/>
        <v>DSM</v>
      </c>
      <c r="F413" s="469">
        <v>531.52719000000002</v>
      </c>
      <c r="G413" s="469">
        <v>561.32569000000001</v>
      </c>
      <c r="H413" s="469">
        <v>591.95663999999999</v>
      </c>
      <c r="I413" s="469">
        <v>623.48267999999996</v>
      </c>
      <c r="J413" s="469">
        <v>655.83088999999995</v>
      </c>
      <c r="K413" s="469">
        <v>688.78707999999995</v>
      </c>
      <c r="L413" s="469">
        <v>722.28565999999898</v>
      </c>
      <c r="M413" s="469">
        <v>756.23478</v>
      </c>
      <c r="N413" s="469">
        <v>790.83684069699996</v>
      </c>
      <c r="O413" s="469">
        <v>826.61259158400003</v>
      </c>
      <c r="P413" s="469">
        <v>863.19962166100004</v>
      </c>
      <c r="Q413" s="469">
        <v>901.36894380800004</v>
      </c>
      <c r="R413" s="469">
        <v>941.17236594500002</v>
      </c>
      <c r="S413" s="469">
        <v>981.86729705200003</v>
      </c>
    </row>
    <row r="414" spans="1:19" s="469" customFormat="1">
      <c r="A414" s="469" t="str">
        <f t="shared" si="31"/>
        <v>KU</v>
      </c>
      <c r="B414" s="469" t="str">
        <f t="shared" si="32"/>
        <v>KY</v>
      </c>
      <c r="C414" s="469" t="str">
        <f t="shared" si="33"/>
        <v>397</v>
      </c>
      <c r="D414" s="470" t="s">
        <v>1880</v>
      </c>
      <c r="E414" s="468" t="str">
        <f t="shared" si="34"/>
        <v/>
      </c>
      <c r="F414" s="469">
        <v>16384.594079999999</v>
      </c>
      <c r="G414" s="469">
        <v>16565.709070000001</v>
      </c>
      <c r="H414" s="469">
        <v>16746.830629999899</v>
      </c>
      <c r="I414" s="469">
        <v>16927.925070000001</v>
      </c>
      <c r="J414" s="469">
        <v>17109.036980000001</v>
      </c>
      <c r="K414" s="469">
        <v>17291.6194699999</v>
      </c>
      <c r="L414" s="469">
        <v>17475.651849999998</v>
      </c>
      <c r="M414" s="469">
        <v>17659.787120000001</v>
      </c>
      <c r="N414" s="469">
        <v>17830.93131837</v>
      </c>
      <c r="O414" s="469">
        <v>18014.885344440001</v>
      </c>
      <c r="P414" s="469">
        <v>18198.839370509999</v>
      </c>
      <c r="Q414" s="469">
        <v>18382.868968480001</v>
      </c>
      <c r="R414" s="469">
        <v>18569.023818350001</v>
      </c>
      <c r="S414" s="469">
        <v>18755.17866822</v>
      </c>
    </row>
    <row r="415" spans="1:19" s="469" customFormat="1">
      <c r="A415" s="469" t="str">
        <f t="shared" si="31"/>
        <v>KU</v>
      </c>
      <c r="B415" s="469" t="str">
        <f t="shared" si="32"/>
        <v>VA</v>
      </c>
      <c r="C415" s="469" t="str">
        <f t="shared" si="33"/>
        <v>397</v>
      </c>
      <c r="D415" s="470" t="s">
        <v>1881</v>
      </c>
      <c r="E415" s="468" t="str">
        <f t="shared" si="34"/>
        <v/>
      </c>
      <c r="F415" s="469">
        <v>534.03097000000002</v>
      </c>
      <c r="G415" s="469">
        <v>537.80435</v>
      </c>
      <c r="H415" s="469">
        <v>541.57772999999997</v>
      </c>
      <c r="I415" s="469">
        <v>545.35110999999995</v>
      </c>
      <c r="J415" s="469">
        <v>549.12449000000004</v>
      </c>
      <c r="K415" s="469">
        <v>552.89787000000001</v>
      </c>
      <c r="L415" s="469">
        <v>556.67124999999999</v>
      </c>
      <c r="M415" s="469">
        <v>560.44462999999996</v>
      </c>
      <c r="N415" s="469">
        <v>564.21801615300001</v>
      </c>
      <c r="O415" s="469">
        <v>567.99140230600005</v>
      </c>
      <c r="P415" s="469">
        <v>571.76478845899999</v>
      </c>
      <c r="Q415" s="469">
        <v>575.53817461200003</v>
      </c>
      <c r="R415" s="469">
        <v>579.31156076499997</v>
      </c>
      <c r="S415" s="469">
        <v>583.08494691800001</v>
      </c>
    </row>
    <row r="418" spans="1:20">
      <c r="D418" s="431" t="s">
        <v>1887</v>
      </c>
      <c r="E418" s="431"/>
    </row>
    <row r="419" spans="1:20" s="469" customFormat="1">
      <c r="A419" s="469" t="str">
        <f t="shared" ref="A419:A482" si="35">MID($D419,4,2)</f>
        <v>KU</v>
      </c>
      <c r="B419" s="469" t="str">
        <f t="shared" ref="B419:B482" si="36">IF(MID($D419,12,2)="- ","KY",MID($D419,12,2))</f>
        <v>KY</v>
      </c>
      <c r="C419" s="469" t="str">
        <f t="shared" ref="C419:C482" si="37">MID($D419,8,3)</f>
        <v>302</v>
      </c>
      <c r="D419" s="470" t="s">
        <v>1778</v>
      </c>
      <c r="E419" s="468" t="str">
        <f t="shared" ref="E419:E497" si="38">IF(ISTEXT(MID($D419,SEARCH("FUTURE USE",$D419),3)),"FUTURE USE",IF(ISTEXT(MID($D419,SEARCH("ECR",$D419),3)),"ECR",IF(ISTEXT(MID($D419,SEARCH("ARO",$D419),3)),"ARO",IF(ISTEXT(MID($D419,SEARCH("DSM",$D419),3)),"DSM",""))))</f>
        <v/>
      </c>
      <c r="H419" s="469">
        <v>0.87512999999999996</v>
      </c>
      <c r="I419" s="469">
        <v>0.87512999999999996</v>
      </c>
      <c r="J419" s="469">
        <v>0.87512999999999996</v>
      </c>
      <c r="K419" s="469">
        <v>0.87512999999999996</v>
      </c>
      <c r="L419" s="469">
        <v>0.87512999999999996</v>
      </c>
      <c r="M419" s="469">
        <v>0.87512999999999996</v>
      </c>
      <c r="N419" s="469">
        <v>0.87512968950000003</v>
      </c>
      <c r="O419" s="469">
        <v>0.87512968950000003</v>
      </c>
      <c r="P419" s="469">
        <v>0.87512968950000003</v>
      </c>
      <c r="Q419" s="469">
        <v>0.87512968950000003</v>
      </c>
      <c r="R419" s="469">
        <v>0.87512968950000003</v>
      </c>
      <c r="S419" s="469">
        <v>0.87512968950000003</v>
      </c>
      <c r="T419" s="469">
        <f t="shared" ref="T419:T482" si="39">SUM(H419:S419)</f>
        <v>10.501558136999998</v>
      </c>
    </row>
    <row r="420" spans="1:20" s="469" customFormat="1">
      <c r="A420" s="469" t="str">
        <f t="shared" si="35"/>
        <v>KU</v>
      </c>
      <c r="B420" s="469" t="str">
        <f t="shared" si="36"/>
        <v>KY</v>
      </c>
      <c r="C420" s="469" t="str">
        <f t="shared" si="37"/>
        <v>303</v>
      </c>
      <c r="D420" s="470" t="s">
        <v>1779</v>
      </c>
      <c r="E420" s="468" t="str">
        <f t="shared" si="38"/>
        <v/>
      </c>
      <c r="H420" s="469">
        <v>667.06835000000001</v>
      </c>
      <c r="I420" s="469">
        <v>651.86713999999995</v>
      </c>
      <c r="J420" s="469">
        <v>633.51850999999999</v>
      </c>
      <c r="K420" s="469">
        <v>628.57605000000001</v>
      </c>
      <c r="L420" s="469">
        <v>628.01228000000003</v>
      </c>
      <c r="M420" s="469">
        <v>648.92238999999995</v>
      </c>
      <c r="N420" s="469">
        <v>669.70146799999998</v>
      </c>
      <c r="O420" s="469">
        <v>667.72679519999997</v>
      </c>
      <c r="P420" s="469">
        <v>664.69671430000005</v>
      </c>
      <c r="Q420" s="469">
        <v>715.10807120000004</v>
      </c>
      <c r="R420" s="469">
        <v>765.07138669999995</v>
      </c>
      <c r="S420" s="469">
        <v>764.4369739</v>
      </c>
      <c r="T420" s="469">
        <f t="shared" si="39"/>
        <v>8104.7061293000015</v>
      </c>
    </row>
    <row r="421" spans="1:20" s="469" customFormat="1">
      <c r="A421" s="469" t="str">
        <f t="shared" si="35"/>
        <v>KU</v>
      </c>
      <c r="B421" s="469" t="str">
        <f t="shared" si="36"/>
        <v>KY</v>
      </c>
      <c r="C421" s="469" t="str">
        <f t="shared" si="37"/>
        <v>303</v>
      </c>
      <c r="D421" s="470" t="s">
        <v>1780</v>
      </c>
      <c r="E421" s="468" t="str">
        <f t="shared" si="38"/>
        <v/>
      </c>
      <c r="H421" s="469">
        <v>339.99351000000001</v>
      </c>
      <c r="I421" s="469">
        <v>339.99351000000001</v>
      </c>
      <c r="J421" s="469">
        <v>339.99351000000001</v>
      </c>
      <c r="K421" s="469">
        <v>339.99351000000001</v>
      </c>
      <c r="L421" s="469">
        <v>339.99351000000001</v>
      </c>
      <c r="M421" s="469">
        <v>339.99351000000001</v>
      </c>
      <c r="N421" s="469">
        <v>339.99351300000001</v>
      </c>
      <c r="O421" s="469">
        <v>339.99351300000001</v>
      </c>
      <c r="P421" s="469">
        <v>339.99351300000001</v>
      </c>
      <c r="Q421" s="469">
        <v>340.53855599999901</v>
      </c>
      <c r="R421" s="469">
        <v>341.083598899999</v>
      </c>
      <c r="S421" s="469">
        <v>341.083598899999</v>
      </c>
      <c r="T421" s="469">
        <f t="shared" si="39"/>
        <v>4082.6473527999965</v>
      </c>
    </row>
    <row r="422" spans="1:20" s="469" customFormat="1">
      <c r="A422" s="469" t="str">
        <f t="shared" si="35"/>
        <v>KU</v>
      </c>
      <c r="B422" s="469" t="str">
        <f t="shared" si="36"/>
        <v>KY</v>
      </c>
      <c r="C422" s="469" t="str">
        <f t="shared" si="37"/>
        <v>311</v>
      </c>
      <c r="D422" s="470" t="s">
        <v>1784</v>
      </c>
      <c r="E422" s="468" t="str">
        <f t="shared" si="38"/>
        <v>ECR</v>
      </c>
      <c r="H422" s="469">
        <v>5.3905199999999898</v>
      </c>
      <c r="I422" s="469">
        <v>5.3905199999999898</v>
      </c>
      <c r="J422" s="469">
        <v>5.3905199999999898</v>
      </c>
      <c r="K422" s="469">
        <v>5.3905199999999898</v>
      </c>
      <c r="L422" s="469">
        <v>5.3905199999999898</v>
      </c>
      <c r="M422" s="469">
        <v>5.3905199999999898</v>
      </c>
      <c r="N422" s="469">
        <v>5.3905219436999996</v>
      </c>
      <c r="O422" s="469">
        <v>5.3905219436999996</v>
      </c>
      <c r="P422" s="469">
        <v>5.3905219436999996</v>
      </c>
      <c r="Q422" s="469">
        <v>5.3905219436999996</v>
      </c>
      <c r="R422" s="469">
        <v>5.3905219436999996</v>
      </c>
      <c r="S422" s="469">
        <v>5.3905219436999996</v>
      </c>
      <c r="T422" s="469">
        <f t="shared" si="39"/>
        <v>64.686251662199936</v>
      </c>
    </row>
    <row r="423" spans="1:20" s="469" customFormat="1">
      <c r="A423" s="469" t="str">
        <f t="shared" si="35"/>
        <v>KU</v>
      </c>
      <c r="B423" s="469" t="str">
        <f t="shared" si="36"/>
        <v>KY</v>
      </c>
      <c r="C423" s="469" t="str">
        <f t="shared" si="37"/>
        <v>311</v>
      </c>
      <c r="D423" s="470" t="s">
        <v>2341</v>
      </c>
      <c r="E423" s="468" t="str">
        <f t="shared" si="38"/>
        <v>ECR</v>
      </c>
      <c r="H423" s="469">
        <v>9.7497900000000008</v>
      </c>
      <c r="I423" s="469">
        <v>9.7497900000000008</v>
      </c>
      <c r="J423" s="469">
        <v>9.7497900000000008</v>
      </c>
      <c r="K423" s="469">
        <v>9.7497900000000008</v>
      </c>
      <c r="L423" s="469">
        <v>9.7497900000000008</v>
      </c>
      <c r="M423" s="469">
        <v>9.7497900000000008</v>
      </c>
      <c r="N423" s="469">
        <v>9.7497883494999993</v>
      </c>
      <c r="O423" s="469">
        <v>9.7497883494999993</v>
      </c>
      <c r="P423" s="469">
        <v>9.7497883494999993</v>
      </c>
      <c r="Q423" s="469">
        <v>9.7497883494999993</v>
      </c>
      <c r="R423" s="469">
        <v>9.7497883494999993</v>
      </c>
      <c r="S423" s="469">
        <v>9.7497883494999993</v>
      </c>
      <c r="T423" s="469">
        <f t="shared" si="39"/>
        <v>116.99747009699998</v>
      </c>
    </row>
    <row r="424" spans="1:20" s="469" customFormat="1">
      <c r="A424" s="469" t="str">
        <f t="shared" si="35"/>
        <v>KU</v>
      </c>
      <c r="B424" s="469" t="str">
        <f t="shared" si="36"/>
        <v>KY</v>
      </c>
      <c r="C424" s="469" t="str">
        <f t="shared" si="37"/>
        <v>311</v>
      </c>
      <c r="D424" s="470" t="s">
        <v>1785</v>
      </c>
      <c r="E424" s="468" t="str">
        <f t="shared" si="38"/>
        <v/>
      </c>
      <c r="H424" s="469">
        <v>512.67373999999995</v>
      </c>
      <c r="I424" s="469">
        <v>512.54157999999995</v>
      </c>
      <c r="J424" s="469">
        <v>508.98642000000001</v>
      </c>
      <c r="K424" s="469">
        <v>505.39389</v>
      </c>
      <c r="L424" s="469">
        <v>505.51247000000001</v>
      </c>
      <c r="M424" s="469">
        <v>505.65893999999997</v>
      </c>
      <c r="N424" s="469">
        <v>506.06030254092002</v>
      </c>
      <c r="O424" s="469">
        <v>506.57136934385301</v>
      </c>
      <c r="P424" s="469">
        <v>506.68456717908703</v>
      </c>
      <c r="Q424" s="469">
        <v>507.130928422887</v>
      </c>
      <c r="R424" s="469">
        <v>507.567990301387</v>
      </c>
      <c r="S424" s="469">
        <v>507.567990301387</v>
      </c>
      <c r="T424" s="469">
        <f t="shared" si="39"/>
        <v>6092.350188089521</v>
      </c>
    </row>
    <row r="425" spans="1:20" s="469" customFormat="1">
      <c r="A425" s="469" t="str">
        <f t="shared" si="35"/>
        <v>KU</v>
      </c>
      <c r="B425" s="469" t="str">
        <f t="shared" si="36"/>
        <v>KY</v>
      </c>
      <c r="C425" s="469" t="str">
        <f t="shared" si="37"/>
        <v>312</v>
      </c>
      <c r="D425" s="470" t="s">
        <v>1786</v>
      </c>
      <c r="E425" s="468" t="str">
        <f t="shared" si="38"/>
        <v/>
      </c>
      <c r="H425" s="469">
        <v>5991.2338600000003</v>
      </c>
      <c r="I425" s="469">
        <v>5994.5472799999998</v>
      </c>
      <c r="J425" s="469">
        <v>5999.6904599999998</v>
      </c>
      <c r="K425" s="469">
        <v>6006.1622299999999</v>
      </c>
      <c r="L425" s="469">
        <v>6011.0050899999997</v>
      </c>
      <c r="M425" s="469">
        <v>6011.3213100000003</v>
      </c>
      <c r="N425" s="469">
        <v>6011.6398380252904</v>
      </c>
      <c r="O425" s="469">
        <v>6014.15835901629</v>
      </c>
      <c r="P425" s="469">
        <v>6015.8053847312904</v>
      </c>
      <c r="Q425" s="469">
        <v>6020.2643579492897</v>
      </c>
      <c r="R425" s="469">
        <v>6024.5562593382901</v>
      </c>
      <c r="S425" s="469">
        <v>6021.5269922032803</v>
      </c>
      <c r="T425" s="469">
        <f t="shared" si="39"/>
        <v>72121.911421263721</v>
      </c>
    </row>
    <row r="426" spans="1:20" s="469" customFormat="1">
      <c r="A426" s="469" t="str">
        <f t="shared" si="35"/>
        <v>KU</v>
      </c>
      <c r="B426" s="469" t="str">
        <f t="shared" si="36"/>
        <v>KY</v>
      </c>
      <c r="C426" s="469" t="str">
        <f t="shared" si="37"/>
        <v>312</v>
      </c>
      <c r="D426" s="470" t="s">
        <v>1787</v>
      </c>
      <c r="E426" s="468" t="str">
        <f t="shared" si="38"/>
        <v>ECR</v>
      </c>
      <c r="H426" s="469">
        <v>856.08564999999999</v>
      </c>
      <c r="I426" s="469">
        <v>856.88234999999997</v>
      </c>
      <c r="J426" s="469">
        <v>857.67903000000001</v>
      </c>
      <c r="K426" s="469">
        <v>857.67903000000001</v>
      </c>
      <c r="L426" s="469">
        <v>867.36422000000005</v>
      </c>
      <c r="M426" s="469">
        <v>877.04940999999997</v>
      </c>
      <c r="N426" s="469">
        <v>892.96584527569996</v>
      </c>
      <c r="O426" s="469">
        <v>911.23105453469998</v>
      </c>
      <c r="P426" s="469">
        <v>916.01301063469998</v>
      </c>
      <c r="Q426" s="469">
        <v>920.35106263469902</v>
      </c>
      <c r="R426" s="469">
        <v>922.49653960469902</v>
      </c>
      <c r="S426" s="469">
        <v>923.2184146047</v>
      </c>
      <c r="T426" s="469">
        <f t="shared" si="39"/>
        <v>10659.015617289198</v>
      </c>
    </row>
    <row r="427" spans="1:20" s="469" customFormat="1">
      <c r="A427" s="469" t="str">
        <f t="shared" si="35"/>
        <v>KU</v>
      </c>
      <c r="B427" s="469" t="str">
        <f t="shared" si="36"/>
        <v>KY</v>
      </c>
      <c r="C427" s="469" t="str">
        <f t="shared" si="37"/>
        <v>312</v>
      </c>
      <c r="D427" s="470" t="s">
        <v>1788</v>
      </c>
      <c r="E427" s="468" t="str">
        <f t="shared" si="38"/>
        <v>ECR</v>
      </c>
      <c r="H427" s="469">
        <v>1245.4419499999999</v>
      </c>
      <c r="I427" s="469">
        <v>1245.4419499999999</v>
      </c>
      <c r="J427" s="469">
        <v>1245.4419499999999</v>
      </c>
      <c r="K427" s="469">
        <v>1245.4419499999999</v>
      </c>
      <c r="L427" s="469">
        <v>1245.4419499999999</v>
      </c>
      <c r="M427" s="469">
        <v>1256.0840499999999</v>
      </c>
      <c r="N427" s="469">
        <v>1363.6684154699999</v>
      </c>
      <c r="O427" s="469">
        <v>1475.4184664530001</v>
      </c>
      <c r="P427" s="469">
        <v>1495.9157548630001</v>
      </c>
      <c r="Q427" s="469">
        <v>1506.924514775</v>
      </c>
      <c r="R427" s="469">
        <v>1512.8575761269999</v>
      </c>
      <c r="S427" s="469">
        <v>1514.0850761270001</v>
      </c>
      <c r="T427" s="469">
        <f t="shared" si="39"/>
        <v>16352.163603815001</v>
      </c>
    </row>
    <row r="428" spans="1:20" s="469" customFormat="1">
      <c r="A428" s="469" t="str">
        <f t="shared" si="35"/>
        <v>KU</v>
      </c>
      <c r="B428" s="469" t="str">
        <f t="shared" si="36"/>
        <v>KY</v>
      </c>
      <c r="C428" s="469" t="str">
        <f t="shared" si="37"/>
        <v>312</v>
      </c>
      <c r="D428" s="470" t="s">
        <v>2342</v>
      </c>
      <c r="E428" s="468" t="str">
        <f t="shared" si="38"/>
        <v>ECR</v>
      </c>
      <c r="H428" s="469">
        <v>0</v>
      </c>
      <c r="I428" s="469">
        <v>0</v>
      </c>
      <c r="J428" s="469">
        <v>0</v>
      </c>
      <c r="K428" s="469">
        <v>0</v>
      </c>
      <c r="L428" s="469">
        <v>0</v>
      </c>
      <c r="M428" s="469">
        <v>0</v>
      </c>
      <c r="N428" s="469">
        <v>0</v>
      </c>
      <c r="O428" s="469">
        <v>0</v>
      </c>
      <c r="P428" s="469">
        <v>0</v>
      </c>
      <c r="Q428" s="469">
        <v>2.5019438516299899</v>
      </c>
      <c r="R428" s="469">
        <v>5.2456585366299997</v>
      </c>
      <c r="S428" s="469">
        <v>6.2435127034000004</v>
      </c>
      <c r="T428" s="469">
        <f t="shared" si="39"/>
        <v>13.99111509165999</v>
      </c>
    </row>
    <row r="429" spans="1:20" s="469" customFormat="1">
      <c r="A429" s="469" t="str">
        <f t="shared" si="35"/>
        <v>KU</v>
      </c>
      <c r="B429" s="469" t="str">
        <f t="shared" si="36"/>
        <v>KY</v>
      </c>
      <c r="C429" s="469" t="str">
        <f t="shared" si="37"/>
        <v>312</v>
      </c>
      <c r="D429" s="470" t="s">
        <v>2343</v>
      </c>
      <c r="E429" s="468" t="str">
        <f t="shared" si="38"/>
        <v>ECR</v>
      </c>
      <c r="H429" s="469">
        <v>0</v>
      </c>
      <c r="I429" s="469">
        <v>0</v>
      </c>
      <c r="J429" s="469">
        <v>0</v>
      </c>
      <c r="K429" s="469">
        <v>0</v>
      </c>
      <c r="L429" s="469">
        <v>0</v>
      </c>
      <c r="M429" s="469">
        <v>0</v>
      </c>
      <c r="N429" s="469">
        <v>0</v>
      </c>
      <c r="O429" s="469">
        <v>0</v>
      </c>
      <c r="P429" s="469">
        <v>0</v>
      </c>
      <c r="Q429" s="469">
        <v>0</v>
      </c>
      <c r="R429" s="469">
        <v>0</v>
      </c>
      <c r="S429" s="469">
        <v>0</v>
      </c>
      <c r="T429" s="469">
        <f t="shared" si="39"/>
        <v>0</v>
      </c>
    </row>
    <row r="430" spans="1:20" s="469" customFormat="1">
      <c r="A430" s="469" t="str">
        <f t="shared" si="35"/>
        <v>KU</v>
      </c>
      <c r="B430" s="469" t="str">
        <f t="shared" si="36"/>
        <v>KY</v>
      </c>
      <c r="C430" s="469" t="str">
        <f t="shared" si="37"/>
        <v>314</v>
      </c>
      <c r="D430" s="470" t="s">
        <v>1790</v>
      </c>
      <c r="E430" s="468" t="str">
        <f t="shared" si="38"/>
        <v/>
      </c>
      <c r="H430" s="469">
        <v>538.64389000000006</v>
      </c>
      <c r="I430" s="469">
        <v>541.51710000000003</v>
      </c>
      <c r="J430" s="469">
        <v>544.48985000000005</v>
      </c>
      <c r="K430" s="469">
        <v>544.49005999999997</v>
      </c>
      <c r="L430" s="469">
        <v>544.65495999999996</v>
      </c>
      <c r="M430" s="469">
        <v>544.78021999999999</v>
      </c>
      <c r="N430" s="469">
        <v>544.9506578168</v>
      </c>
      <c r="O430" s="469">
        <v>547.03447625080003</v>
      </c>
      <c r="P430" s="469">
        <v>549.85269238080002</v>
      </c>
      <c r="Q430" s="469">
        <v>550.77229584580004</v>
      </c>
      <c r="R430" s="469">
        <v>550.80151951079995</v>
      </c>
      <c r="S430" s="469">
        <v>550.80151951079995</v>
      </c>
      <c r="T430" s="469">
        <f t="shared" si="39"/>
        <v>6552.7892413158006</v>
      </c>
    </row>
    <row r="431" spans="1:20" s="469" customFormat="1">
      <c r="A431" s="469" t="str">
        <f t="shared" si="35"/>
        <v>KU</v>
      </c>
      <c r="B431" s="469" t="str">
        <f t="shared" si="36"/>
        <v>KY</v>
      </c>
      <c r="C431" s="469" t="str">
        <f t="shared" si="37"/>
        <v>315</v>
      </c>
      <c r="D431" s="470" t="s">
        <v>1791</v>
      </c>
      <c r="E431" s="468" t="str">
        <f t="shared" si="38"/>
        <v/>
      </c>
      <c r="H431" s="469">
        <v>404.73772000000002</v>
      </c>
      <c r="I431" s="469">
        <v>404.56822999999901</v>
      </c>
      <c r="J431" s="469">
        <v>404.67881</v>
      </c>
      <c r="K431" s="469">
        <v>404.70963</v>
      </c>
      <c r="L431" s="469">
        <v>404.75114000000002</v>
      </c>
      <c r="M431" s="469">
        <v>404.66311999999999</v>
      </c>
      <c r="N431" s="469">
        <v>404.65385454444998</v>
      </c>
      <c r="O431" s="469">
        <v>404.73409095977001</v>
      </c>
      <c r="P431" s="469">
        <v>404.79298829678999</v>
      </c>
      <c r="Q431" s="469">
        <v>407.55656215511999</v>
      </c>
      <c r="R431" s="469">
        <v>410.26263188734998</v>
      </c>
      <c r="S431" s="469">
        <v>410.26263188734998</v>
      </c>
      <c r="T431" s="469">
        <f t="shared" si="39"/>
        <v>4870.3714097308293</v>
      </c>
    </row>
    <row r="432" spans="1:20" s="469" customFormat="1">
      <c r="A432" s="469" t="str">
        <f t="shared" si="35"/>
        <v>KU</v>
      </c>
      <c r="B432" s="469" t="str">
        <f t="shared" si="36"/>
        <v>KY</v>
      </c>
      <c r="C432" s="469" t="str">
        <f t="shared" si="37"/>
        <v>315</v>
      </c>
      <c r="D432" s="470" t="s">
        <v>2344</v>
      </c>
      <c r="E432" s="468" t="str">
        <f t="shared" si="38"/>
        <v>ECR</v>
      </c>
      <c r="H432" s="469">
        <v>2.0821100000000001</v>
      </c>
      <c r="I432" s="469">
        <v>2.0821100000000001</v>
      </c>
      <c r="J432" s="469">
        <v>2.0821100000000001</v>
      </c>
      <c r="K432" s="469">
        <v>2.0821100000000001</v>
      </c>
      <c r="L432" s="469">
        <v>2.0821100000000001</v>
      </c>
      <c r="M432" s="469">
        <v>2.0821100000000001</v>
      </c>
      <c r="N432" s="469">
        <v>2.0821098226700001</v>
      </c>
      <c r="O432" s="469">
        <v>2.0821098226700001</v>
      </c>
      <c r="P432" s="469">
        <v>2.0821098226700001</v>
      </c>
      <c r="Q432" s="469">
        <v>2.0821098226700001</v>
      </c>
      <c r="R432" s="469">
        <v>2.0821098226700001</v>
      </c>
      <c r="S432" s="469">
        <v>2.0821098226700001</v>
      </c>
      <c r="T432" s="469">
        <f t="shared" si="39"/>
        <v>24.985318936019997</v>
      </c>
    </row>
    <row r="433" spans="1:20" s="469" customFormat="1">
      <c r="A433" s="469" t="str">
        <f t="shared" si="35"/>
        <v>KU</v>
      </c>
      <c r="B433" s="469" t="str">
        <f t="shared" si="36"/>
        <v>KY</v>
      </c>
      <c r="C433" s="469" t="str">
        <f t="shared" si="37"/>
        <v>315</v>
      </c>
      <c r="D433" s="470" t="s">
        <v>1792</v>
      </c>
      <c r="E433" s="468" t="str">
        <f t="shared" si="38"/>
        <v>ECR</v>
      </c>
      <c r="H433" s="469">
        <v>7.4768400000000002</v>
      </c>
      <c r="I433" s="469">
        <v>7.4768400000000002</v>
      </c>
      <c r="J433" s="469">
        <v>7.4768400000000002</v>
      </c>
      <c r="K433" s="469">
        <v>7.4768400000000002</v>
      </c>
      <c r="L433" s="469">
        <v>7.4768400000000002</v>
      </c>
      <c r="M433" s="469">
        <v>7.5603199999999999</v>
      </c>
      <c r="N433" s="469">
        <v>7.643750960507</v>
      </c>
      <c r="O433" s="469">
        <v>7.643750960507</v>
      </c>
      <c r="P433" s="469">
        <v>7.643750960507</v>
      </c>
      <c r="Q433" s="469">
        <v>7.643750960507</v>
      </c>
      <c r="R433" s="469">
        <v>7.643750960507</v>
      </c>
      <c r="S433" s="469">
        <v>7.643750960507</v>
      </c>
      <c r="T433" s="469">
        <f t="shared" si="39"/>
        <v>90.80702576304202</v>
      </c>
    </row>
    <row r="434" spans="1:20" s="469" customFormat="1">
      <c r="A434" s="469" t="str">
        <f t="shared" si="35"/>
        <v>KU</v>
      </c>
      <c r="B434" s="469" t="str">
        <f t="shared" si="36"/>
        <v>KY</v>
      </c>
      <c r="C434" s="469" t="str">
        <f t="shared" si="37"/>
        <v>316</v>
      </c>
      <c r="D434" s="470" t="s">
        <v>2345</v>
      </c>
      <c r="E434" s="468" t="str">
        <f t="shared" si="38"/>
        <v>ECR</v>
      </c>
      <c r="H434" s="469">
        <v>0.72868999999999995</v>
      </c>
      <c r="I434" s="469">
        <v>0.72868999999999995</v>
      </c>
      <c r="J434" s="469">
        <v>0.72868999999999995</v>
      </c>
      <c r="K434" s="469">
        <v>0.72868999999999995</v>
      </c>
      <c r="L434" s="469">
        <v>0.72868999999999995</v>
      </c>
      <c r="M434" s="469">
        <v>0.72868999999999995</v>
      </c>
      <c r="N434" s="469">
        <v>0.72868231900000002</v>
      </c>
      <c r="O434" s="469">
        <v>0.72868231900000002</v>
      </c>
      <c r="P434" s="469">
        <v>0.72868231900000002</v>
      </c>
      <c r="Q434" s="469">
        <v>0.72868231900000002</v>
      </c>
      <c r="R434" s="469">
        <v>0.72868231900000002</v>
      </c>
      <c r="S434" s="469">
        <v>0.72868231900000002</v>
      </c>
      <c r="T434" s="469">
        <f t="shared" si="39"/>
        <v>8.7442339140000005</v>
      </c>
    </row>
    <row r="435" spans="1:20" s="469" customFormat="1">
      <c r="A435" s="469" t="str">
        <f t="shared" si="35"/>
        <v>KU</v>
      </c>
      <c r="B435" s="469" t="str">
        <f t="shared" si="36"/>
        <v>KY</v>
      </c>
      <c r="C435" s="469" t="str">
        <f t="shared" si="37"/>
        <v>316</v>
      </c>
      <c r="D435" s="470" t="s">
        <v>1793</v>
      </c>
      <c r="E435" s="468" t="str">
        <f t="shared" si="38"/>
        <v/>
      </c>
      <c r="H435" s="469">
        <v>64.820319999999995</v>
      </c>
      <c r="I435" s="469">
        <v>64.923699999999897</v>
      </c>
      <c r="J435" s="469">
        <v>64.798779999999994</v>
      </c>
      <c r="K435" s="469">
        <v>64.650019999999998</v>
      </c>
      <c r="L435" s="469">
        <v>64.780940000000001</v>
      </c>
      <c r="M435" s="469">
        <v>64.992429999999999</v>
      </c>
      <c r="N435" s="469">
        <v>65.595625065890005</v>
      </c>
      <c r="O435" s="469">
        <v>66.220510413270006</v>
      </c>
      <c r="P435" s="469">
        <v>66.853900744390003</v>
      </c>
      <c r="Q435" s="469">
        <v>67.437697475069996</v>
      </c>
      <c r="R435" s="469">
        <v>67.507860666369993</v>
      </c>
      <c r="S435" s="469">
        <v>67.531956130369906</v>
      </c>
      <c r="T435" s="469">
        <f t="shared" si="39"/>
        <v>790.11374049535971</v>
      </c>
    </row>
    <row r="436" spans="1:20" s="469" customFormat="1">
      <c r="A436" s="469" t="str">
        <f t="shared" si="35"/>
        <v>KU</v>
      </c>
      <c r="B436" s="469" t="str">
        <f t="shared" si="36"/>
        <v>KY</v>
      </c>
      <c r="C436" s="469" t="str">
        <f t="shared" si="37"/>
        <v>317</v>
      </c>
      <c r="D436" s="470" t="s">
        <v>1794</v>
      </c>
      <c r="E436" s="468" t="str">
        <f t="shared" si="38"/>
        <v>ARO</v>
      </c>
      <c r="H436" s="469">
        <v>3764.5990899999902</v>
      </c>
      <c r="I436" s="469">
        <v>3764.5991399999998</v>
      </c>
      <c r="J436" s="469">
        <v>3764.5990299999999</v>
      </c>
      <c r="K436" s="469">
        <v>3764.59836</v>
      </c>
      <c r="L436" s="469">
        <v>3767.7427499999999</v>
      </c>
      <c r="M436" s="469">
        <v>3770.9117000000001</v>
      </c>
      <c r="N436" s="469">
        <v>3767.7427499999999</v>
      </c>
      <c r="O436" s="469">
        <v>3767.7427499999999</v>
      </c>
      <c r="P436" s="469">
        <v>3767.7427499999999</v>
      </c>
      <c r="Q436" s="469">
        <v>3767.7427499999999</v>
      </c>
      <c r="R436" s="469">
        <v>3767.7427499999999</v>
      </c>
      <c r="S436" s="469">
        <v>3767.7427499999999</v>
      </c>
      <c r="T436" s="469">
        <f t="shared" si="39"/>
        <v>45203.506569999983</v>
      </c>
    </row>
    <row r="437" spans="1:20" s="469" customFormat="1">
      <c r="A437" s="469" t="str">
        <f t="shared" si="35"/>
        <v>KU</v>
      </c>
      <c r="B437" s="469" t="str">
        <f t="shared" si="36"/>
        <v>KY</v>
      </c>
      <c r="C437" s="469" t="str">
        <f t="shared" si="37"/>
        <v>331</v>
      </c>
      <c r="D437" s="470" t="s">
        <v>1796</v>
      </c>
      <c r="E437" s="468" t="str">
        <f t="shared" si="38"/>
        <v/>
      </c>
      <c r="H437" s="469">
        <v>3.95472</v>
      </c>
      <c r="I437" s="469">
        <v>3.9557199999999999</v>
      </c>
      <c r="J437" s="469">
        <v>3.9557199999999999</v>
      </c>
      <c r="K437" s="469">
        <v>3.9557199999999999</v>
      </c>
      <c r="L437" s="469">
        <v>3.9557199999999999</v>
      </c>
      <c r="M437" s="469">
        <v>3.9557199999999999</v>
      </c>
      <c r="N437" s="469">
        <v>3.9557213058</v>
      </c>
      <c r="O437" s="469">
        <v>3.9557213058</v>
      </c>
      <c r="P437" s="469">
        <v>3.9557213058</v>
      </c>
      <c r="Q437" s="469">
        <v>3.9557213058</v>
      </c>
      <c r="R437" s="469">
        <v>3.9557213058</v>
      </c>
      <c r="S437" s="469">
        <v>3.9557213058</v>
      </c>
      <c r="T437" s="469">
        <f t="shared" si="39"/>
        <v>47.46764783479999</v>
      </c>
    </row>
    <row r="438" spans="1:20" s="469" customFormat="1">
      <c r="A438" s="469" t="str">
        <f t="shared" si="35"/>
        <v>KU</v>
      </c>
      <c r="B438" s="469" t="str">
        <f t="shared" si="36"/>
        <v>KY</v>
      </c>
      <c r="C438" s="469" t="str">
        <f t="shared" si="37"/>
        <v>332</v>
      </c>
      <c r="D438" s="470" t="s">
        <v>1797</v>
      </c>
      <c r="E438" s="468" t="str">
        <f t="shared" si="38"/>
        <v/>
      </c>
      <c r="H438" s="469">
        <v>45.230330000000002</v>
      </c>
      <c r="I438" s="469">
        <v>45.230330000000002</v>
      </c>
      <c r="J438" s="469">
        <v>45.230330000000002</v>
      </c>
      <c r="K438" s="469">
        <v>45.230330000000002</v>
      </c>
      <c r="L438" s="469">
        <v>45.230330000000002</v>
      </c>
      <c r="M438" s="469">
        <v>45.230330000000002</v>
      </c>
      <c r="N438" s="469">
        <v>45.230335834999998</v>
      </c>
      <c r="O438" s="469">
        <v>45.230335834999998</v>
      </c>
      <c r="P438" s="469">
        <v>45.230335834999998</v>
      </c>
      <c r="Q438" s="469">
        <v>45.230335834999998</v>
      </c>
      <c r="R438" s="469">
        <v>45.230335834999998</v>
      </c>
      <c r="S438" s="469">
        <v>45.230335834999998</v>
      </c>
      <c r="T438" s="469">
        <f t="shared" si="39"/>
        <v>542.76399501000003</v>
      </c>
    </row>
    <row r="439" spans="1:20" s="469" customFormat="1">
      <c r="A439" s="469" t="str">
        <f t="shared" si="35"/>
        <v>KU</v>
      </c>
      <c r="B439" s="469" t="str">
        <f t="shared" si="36"/>
        <v>KY</v>
      </c>
      <c r="C439" s="469" t="str">
        <f t="shared" si="37"/>
        <v>333</v>
      </c>
      <c r="D439" s="470" t="s">
        <v>1798</v>
      </c>
      <c r="E439" s="468" t="str">
        <f t="shared" si="38"/>
        <v/>
      </c>
      <c r="H439" s="469">
        <v>42.842570000000002</v>
      </c>
      <c r="I439" s="469">
        <v>42.842570000000002</v>
      </c>
      <c r="J439" s="469">
        <v>42.842570000000002</v>
      </c>
      <c r="K439" s="469">
        <v>42.842570000000002</v>
      </c>
      <c r="L439" s="469">
        <v>42.842570000000002</v>
      </c>
      <c r="M439" s="469">
        <v>42.842570000000002</v>
      </c>
      <c r="N439" s="469">
        <v>42.842561818699998</v>
      </c>
      <c r="O439" s="469">
        <v>42.842561818699998</v>
      </c>
      <c r="P439" s="469">
        <v>42.842561818699998</v>
      </c>
      <c r="Q439" s="469">
        <v>42.842561818699998</v>
      </c>
      <c r="R439" s="469">
        <v>42.842561818699998</v>
      </c>
      <c r="S439" s="469">
        <v>42.842561818699998</v>
      </c>
      <c r="T439" s="469">
        <f t="shared" si="39"/>
        <v>514.11079091220006</v>
      </c>
    </row>
    <row r="440" spans="1:20" s="469" customFormat="1">
      <c r="A440" s="469" t="str">
        <f t="shared" si="35"/>
        <v>KU</v>
      </c>
      <c r="B440" s="469" t="str">
        <f t="shared" si="36"/>
        <v>KY</v>
      </c>
      <c r="C440" s="469" t="str">
        <f t="shared" si="37"/>
        <v>334</v>
      </c>
      <c r="D440" s="470" t="s">
        <v>1799</v>
      </c>
      <c r="E440" s="468" t="str">
        <f t="shared" si="38"/>
        <v/>
      </c>
      <c r="H440" s="469">
        <v>3.9937</v>
      </c>
      <c r="I440" s="469">
        <v>3.98556</v>
      </c>
      <c r="J440" s="469">
        <v>3.98556</v>
      </c>
      <c r="K440" s="469">
        <v>3.98556</v>
      </c>
      <c r="L440" s="469">
        <v>3.98556</v>
      </c>
      <c r="M440" s="469">
        <v>3.98556</v>
      </c>
      <c r="N440" s="469">
        <v>3.9855605105</v>
      </c>
      <c r="O440" s="469">
        <v>3.9855605105</v>
      </c>
      <c r="P440" s="469">
        <v>3.9855605105</v>
      </c>
      <c r="Q440" s="469">
        <v>3.9855605105</v>
      </c>
      <c r="R440" s="469">
        <v>3.9855605105</v>
      </c>
      <c r="S440" s="469">
        <v>3.9855605105</v>
      </c>
      <c r="T440" s="469">
        <f t="shared" si="39"/>
        <v>47.834863063</v>
      </c>
    </row>
    <row r="441" spans="1:20" s="469" customFormat="1">
      <c r="A441" s="469" t="str">
        <f t="shared" si="35"/>
        <v>KU</v>
      </c>
      <c r="B441" s="469" t="str">
        <f t="shared" si="36"/>
        <v>KY</v>
      </c>
      <c r="C441" s="469" t="str">
        <f t="shared" si="37"/>
        <v>335</v>
      </c>
      <c r="D441" s="470" t="s">
        <v>1800</v>
      </c>
      <c r="E441" s="468" t="str">
        <f t="shared" si="38"/>
        <v/>
      </c>
      <c r="H441" s="469">
        <v>1.15686</v>
      </c>
      <c r="I441" s="469">
        <v>1.15686</v>
      </c>
      <c r="J441" s="469">
        <v>1.15686</v>
      </c>
      <c r="K441" s="469">
        <v>1.15686</v>
      </c>
      <c r="L441" s="469">
        <v>1.15686</v>
      </c>
      <c r="M441" s="469">
        <v>1.15686</v>
      </c>
      <c r="N441" s="469">
        <v>1.1568556008299999</v>
      </c>
      <c r="O441" s="469">
        <v>1.1568556008299999</v>
      </c>
      <c r="P441" s="469">
        <v>1.1568556008299999</v>
      </c>
      <c r="Q441" s="469">
        <v>1.1568556008299999</v>
      </c>
      <c r="R441" s="469">
        <v>1.1568556008299999</v>
      </c>
      <c r="S441" s="469">
        <v>1.1568556008299999</v>
      </c>
      <c r="T441" s="469">
        <f t="shared" si="39"/>
        <v>13.882293604979996</v>
      </c>
    </row>
    <row r="442" spans="1:20" s="469" customFormat="1">
      <c r="A442" s="469" t="str">
        <f t="shared" si="35"/>
        <v>KU</v>
      </c>
      <c r="B442" s="469" t="str">
        <f t="shared" si="36"/>
        <v>KY</v>
      </c>
      <c r="C442" s="469" t="str">
        <f t="shared" si="37"/>
        <v>336</v>
      </c>
      <c r="D442" s="470" t="s">
        <v>1801</v>
      </c>
      <c r="E442" s="468" t="str">
        <f t="shared" si="38"/>
        <v/>
      </c>
      <c r="H442" s="469">
        <v>0.75239</v>
      </c>
      <c r="I442" s="469">
        <v>0.75239</v>
      </c>
      <c r="J442" s="469">
        <v>0.75239</v>
      </c>
      <c r="K442" s="469">
        <v>0.75239</v>
      </c>
      <c r="L442" s="469">
        <v>0.75239</v>
      </c>
      <c r="M442" s="469">
        <v>0.75239</v>
      </c>
      <c r="N442" s="469">
        <v>0.75238345875000001</v>
      </c>
      <c r="O442" s="469">
        <v>0.75238345875000001</v>
      </c>
      <c r="P442" s="469">
        <v>0.75238345875000001</v>
      </c>
      <c r="Q442" s="469">
        <v>0.75238345875000001</v>
      </c>
      <c r="R442" s="469">
        <v>0.75238345875000001</v>
      </c>
      <c r="S442" s="469">
        <v>0.75238345875000001</v>
      </c>
      <c r="T442" s="469">
        <f t="shared" si="39"/>
        <v>9.0286407524999994</v>
      </c>
    </row>
    <row r="443" spans="1:20" s="469" customFormat="1">
      <c r="A443" s="469" t="str">
        <f t="shared" si="35"/>
        <v>KU</v>
      </c>
      <c r="B443" s="469" t="str">
        <f t="shared" si="36"/>
        <v>KY</v>
      </c>
      <c r="C443" s="469" t="str">
        <f t="shared" si="37"/>
        <v>337</v>
      </c>
      <c r="D443" s="470" t="s">
        <v>1802</v>
      </c>
      <c r="E443" s="468" t="str">
        <f t="shared" si="38"/>
        <v>ARO</v>
      </c>
      <c r="H443" s="469">
        <v>0.44783000000000001</v>
      </c>
      <c r="I443" s="469">
        <v>0.44783000000000001</v>
      </c>
      <c r="J443" s="469">
        <v>0.44783000000000001</v>
      </c>
      <c r="K443" s="469">
        <v>0.44783000000000001</v>
      </c>
      <c r="L443" s="469">
        <v>0.44783000000000001</v>
      </c>
      <c r="M443" s="469">
        <v>0.44783000000000001</v>
      </c>
      <c r="N443" s="469">
        <v>0.44783000000000001</v>
      </c>
      <c r="O443" s="469">
        <v>0.44783000000000001</v>
      </c>
      <c r="P443" s="469">
        <v>0.44783000000000001</v>
      </c>
      <c r="Q443" s="469">
        <v>0.44783000000000001</v>
      </c>
      <c r="R443" s="469">
        <v>0.44783000000000001</v>
      </c>
      <c r="S443" s="469">
        <v>0.44783000000000001</v>
      </c>
      <c r="T443" s="469">
        <f t="shared" si="39"/>
        <v>5.3739599999999994</v>
      </c>
    </row>
    <row r="444" spans="1:20" s="469" customFormat="1">
      <c r="A444" s="469" t="str">
        <f t="shared" si="35"/>
        <v>KU</v>
      </c>
      <c r="B444" s="469" t="str">
        <f t="shared" si="36"/>
        <v>KY</v>
      </c>
      <c r="C444" s="469" t="str">
        <f t="shared" si="37"/>
        <v>340</v>
      </c>
      <c r="D444" s="470" t="s">
        <v>2347</v>
      </c>
      <c r="E444" s="468" t="str">
        <f t="shared" si="38"/>
        <v/>
      </c>
      <c r="H444" s="469">
        <v>0.32929999999999998</v>
      </c>
      <c r="I444" s="469">
        <v>0.32929999999999998</v>
      </c>
      <c r="J444" s="469">
        <v>0.32929999999999998</v>
      </c>
      <c r="K444" s="469">
        <v>0.32929999999999998</v>
      </c>
      <c r="L444" s="469">
        <v>0.32929999999999998</v>
      </c>
      <c r="M444" s="469">
        <v>0.32929999999999998</v>
      </c>
      <c r="N444" s="469">
        <v>0.32929737869999998</v>
      </c>
      <c r="O444" s="469">
        <v>0.32929737869999998</v>
      </c>
      <c r="P444" s="469">
        <v>0.32929737869999998</v>
      </c>
      <c r="Q444" s="469">
        <v>0.32929737869999998</v>
      </c>
      <c r="R444" s="469">
        <v>0.32929737869999998</v>
      </c>
      <c r="S444" s="469">
        <v>0.32929737869999998</v>
      </c>
      <c r="T444" s="469">
        <f t="shared" si="39"/>
        <v>3.951584272199999</v>
      </c>
    </row>
    <row r="445" spans="1:20" s="469" customFormat="1">
      <c r="A445" s="469" t="str">
        <f t="shared" si="35"/>
        <v>KU</v>
      </c>
      <c r="B445" s="469" t="str">
        <f t="shared" si="36"/>
        <v>KY</v>
      </c>
      <c r="C445" s="469" t="str">
        <f t="shared" si="37"/>
        <v>341</v>
      </c>
      <c r="D445" s="470" t="s">
        <v>1804</v>
      </c>
      <c r="E445" s="468" t="str">
        <f t="shared" si="38"/>
        <v/>
      </c>
      <c r="H445" s="469">
        <v>109.31502999999999</v>
      </c>
      <c r="I445" s="469">
        <v>109.32002999999899</v>
      </c>
      <c r="J445" s="469">
        <v>109.06201999999899</v>
      </c>
      <c r="K445" s="469">
        <v>108.78522</v>
      </c>
      <c r="L445" s="469">
        <v>108.76646</v>
      </c>
      <c r="M445" s="469">
        <v>108.76651</v>
      </c>
      <c r="N445" s="469">
        <v>108.76651180997</v>
      </c>
      <c r="O445" s="469">
        <v>108.76651180997</v>
      </c>
      <c r="P445" s="469">
        <v>108.76651180997</v>
      </c>
      <c r="Q445" s="469">
        <v>108.76651180997</v>
      </c>
      <c r="R445" s="469">
        <v>108.76651180997</v>
      </c>
      <c r="S445" s="469">
        <v>108.76651180997</v>
      </c>
      <c r="T445" s="469">
        <f t="shared" si="39"/>
        <v>1306.6143408598182</v>
      </c>
    </row>
    <row r="446" spans="1:20" s="469" customFormat="1">
      <c r="A446" s="469" t="str">
        <f t="shared" si="35"/>
        <v>KU</v>
      </c>
      <c r="B446" s="469" t="str">
        <f t="shared" si="36"/>
        <v>KY</v>
      </c>
      <c r="C446" s="469" t="str">
        <f t="shared" si="37"/>
        <v>341</v>
      </c>
      <c r="D446" s="470" t="s">
        <v>2348</v>
      </c>
      <c r="E446" s="468" t="str">
        <f t="shared" si="38"/>
        <v/>
      </c>
      <c r="H446" s="469">
        <v>102.4089</v>
      </c>
      <c r="I446" s="469">
        <v>102.41125</v>
      </c>
      <c r="J446" s="469">
        <v>102.41311</v>
      </c>
      <c r="K446" s="469">
        <v>102.41462</v>
      </c>
      <c r="L446" s="469">
        <v>103.26428</v>
      </c>
      <c r="M446" s="469">
        <v>104.11395</v>
      </c>
      <c r="N446" s="469">
        <v>104.1581616</v>
      </c>
      <c r="O446" s="469">
        <v>104.35564239999999</v>
      </c>
      <c r="P446" s="469">
        <v>104.5089124</v>
      </c>
      <c r="Q446" s="469">
        <v>104.5089124</v>
      </c>
      <c r="R446" s="469">
        <v>104.5089124</v>
      </c>
      <c r="S446" s="469">
        <v>104.5089124</v>
      </c>
      <c r="T446" s="469">
        <f t="shared" si="39"/>
        <v>1243.5755636000004</v>
      </c>
    </row>
    <row r="447" spans="1:20" s="469" customFormat="1">
      <c r="A447" s="469" t="str">
        <f t="shared" si="35"/>
        <v>KU</v>
      </c>
      <c r="B447" s="469" t="str">
        <f t="shared" si="36"/>
        <v>KY</v>
      </c>
      <c r="C447" s="469" t="str">
        <f t="shared" si="37"/>
        <v>341</v>
      </c>
      <c r="D447" s="470" t="s">
        <v>2349</v>
      </c>
      <c r="E447" s="468" t="str">
        <f t="shared" si="38"/>
        <v/>
      </c>
      <c r="H447" s="469">
        <v>0</v>
      </c>
      <c r="I447" s="469">
        <v>0</v>
      </c>
      <c r="J447" s="469">
        <v>0</v>
      </c>
      <c r="K447" s="469">
        <v>1.51468</v>
      </c>
      <c r="L447" s="469">
        <v>3.0333000000000001</v>
      </c>
      <c r="M447" s="469">
        <v>3.0401899999999999</v>
      </c>
      <c r="N447" s="469">
        <v>3.043140008</v>
      </c>
      <c r="O447" s="469">
        <v>3.043140008</v>
      </c>
      <c r="P447" s="469">
        <v>3.043140008</v>
      </c>
      <c r="Q447" s="469">
        <v>3.043140008</v>
      </c>
      <c r="R447" s="469">
        <v>3.043140008</v>
      </c>
      <c r="S447" s="469">
        <v>3.043140008</v>
      </c>
      <c r="T447" s="469">
        <f t="shared" si="39"/>
        <v>25.847010048000001</v>
      </c>
    </row>
    <row r="448" spans="1:20" s="469" customFormat="1">
      <c r="A448" s="469" t="str">
        <f t="shared" si="35"/>
        <v>KU</v>
      </c>
      <c r="B448" s="469" t="str">
        <f t="shared" si="36"/>
        <v>KY</v>
      </c>
      <c r="C448" s="469" t="str">
        <f t="shared" si="37"/>
        <v>342</v>
      </c>
      <c r="D448" s="470" t="s">
        <v>1805</v>
      </c>
      <c r="E448" s="468" t="str">
        <f t="shared" si="38"/>
        <v/>
      </c>
      <c r="H448" s="469">
        <v>43.600999999999999</v>
      </c>
      <c r="I448" s="469">
        <v>43.600999999999999</v>
      </c>
      <c r="J448" s="469">
        <v>43.600999999999999</v>
      </c>
      <c r="K448" s="469">
        <v>43.600999999999999</v>
      </c>
      <c r="L448" s="469">
        <v>43.600999999999999</v>
      </c>
      <c r="M448" s="469">
        <v>43.600999999999999</v>
      </c>
      <c r="N448" s="469">
        <v>43.601004249899802</v>
      </c>
      <c r="O448" s="469">
        <v>43.601004249899802</v>
      </c>
      <c r="P448" s="469">
        <v>43.6010042473998</v>
      </c>
      <c r="Q448" s="469">
        <v>53.725864137699901</v>
      </c>
      <c r="R448" s="469">
        <v>63.850724021599902</v>
      </c>
      <c r="S448" s="469">
        <v>63.850724021599902</v>
      </c>
      <c r="T448" s="469">
        <f t="shared" si="39"/>
        <v>573.83632492809909</v>
      </c>
    </row>
    <row r="449" spans="1:20" s="469" customFormat="1">
      <c r="A449" s="469" t="str">
        <f t="shared" si="35"/>
        <v>KU</v>
      </c>
      <c r="B449" s="469" t="str">
        <f t="shared" si="36"/>
        <v>KY</v>
      </c>
      <c r="C449" s="469" t="str">
        <f t="shared" si="37"/>
        <v>342</v>
      </c>
      <c r="D449" s="470" t="s">
        <v>2350</v>
      </c>
      <c r="E449" s="468" t="str">
        <f t="shared" si="38"/>
        <v/>
      </c>
      <c r="H449" s="469">
        <v>253.79406</v>
      </c>
      <c r="I449" s="469">
        <v>253.79988</v>
      </c>
      <c r="J449" s="469">
        <v>253.80449999999999</v>
      </c>
      <c r="K449" s="469">
        <v>253.80823000000001</v>
      </c>
      <c r="L449" s="469">
        <v>134.09242</v>
      </c>
      <c r="M449" s="469">
        <v>14.376629999999899</v>
      </c>
      <c r="N449" s="469">
        <v>14.3766306808</v>
      </c>
      <c r="O449" s="469">
        <v>14.3766306808</v>
      </c>
      <c r="P449" s="469">
        <v>14.3766306808</v>
      </c>
      <c r="Q449" s="469">
        <v>14.3766306808</v>
      </c>
      <c r="R449" s="469">
        <v>14.3766306808</v>
      </c>
      <c r="S449" s="469">
        <v>14.3766306808</v>
      </c>
      <c r="T449" s="469">
        <f t="shared" si="39"/>
        <v>1249.9355040847997</v>
      </c>
    </row>
    <row r="450" spans="1:20" s="469" customFormat="1">
      <c r="A450" s="469" t="str">
        <f t="shared" si="35"/>
        <v>KU</v>
      </c>
      <c r="B450" s="469" t="str">
        <f t="shared" si="36"/>
        <v>KY</v>
      </c>
      <c r="C450" s="469" t="str">
        <f t="shared" si="37"/>
        <v>342</v>
      </c>
      <c r="D450" s="470" t="s">
        <v>2351</v>
      </c>
      <c r="E450" s="468" t="str">
        <f t="shared" si="38"/>
        <v/>
      </c>
      <c r="H450" s="469">
        <v>85.227329999999995</v>
      </c>
      <c r="I450" s="469">
        <v>85.227410000000006</v>
      </c>
      <c r="J450" s="469">
        <v>85.227410000000006</v>
      </c>
      <c r="K450" s="469">
        <v>85.227410000000006</v>
      </c>
      <c r="L450" s="469">
        <v>85.227410000000006</v>
      </c>
      <c r="M450" s="469">
        <v>85.227410000000006</v>
      </c>
      <c r="N450" s="469">
        <v>85.227403241999994</v>
      </c>
      <c r="O450" s="469">
        <v>85.227403241999994</v>
      </c>
      <c r="P450" s="469">
        <v>85.398897117000004</v>
      </c>
      <c r="Q450" s="469">
        <v>85.570390992</v>
      </c>
      <c r="R450" s="469">
        <v>85.570390992</v>
      </c>
      <c r="S450" s="469">
        <v>85.570390992</v>
      </c>
      <c r="T450" s="469">
        <f t="shared" si="39"/>
        <v>1023.9292565770004</v>
      </c>
    </row>
    <row r="451" spans="1:20" s="469" customFormat="1">
      <c r="A451" s="469" t="str">
        <f t="shared" si="35"/>
        <v>KU</v>
      </c>
      <c r="B451" s="469" t="str">
        <f t="shared" si="36"/>
        <v>KY</v>
      </c>
      <c r="C451" s="469" t="str">
        <f t="shared" si="37"/>
        <v>343</v>
      </c>
      <c r="D451" s="470" t="s">
        <v>1806</v>
      </c>
      <c r="E451" s="468" t="str">
        <f t="shared" si="38"/>
        <v/>
      </c>
      <c r="H451" s="469">
        <v>1348.5092500000001</v>
      </c>
      <c r="I451" s="469">
        <v>1348.69454</v>
      </c>
      <c r="J451" s="469">
        <v>1348.88795</v>
      </c>
      <c r="K451" s="469">
        <v>1348.8925899999999</v>
      </c>
      <c r="L451" s="469">
        <v>1348.8890899999999</v>
      </c>
      <c r="M451" s="469">
        <v>1349.0275999999999</v>
      </c>
      <c r="N451" s="469">
        <v>1349.9853600408001</v>
      </c>
      <c r="O451" s="469">
        <v>1350.9101870439999</v>
      </c>
      <c r="P451" s="469">
        <v>1351.0158120440001</v>
      </c>
      <c r="Q451" s="469">
        <v>1357.348149977</v>
      </c>
      <c r="R451" s="469">
        <v>1363.68048791</v>
      </c>
      <c r="S451" s="469">
        <v>1363.68048791</v>
      </c>
      <c r="T451" s="469">
        <f t="shared" si="39"/>
        <v>16229.521504925799</v>
      </c>
    </row>
    <row r="452" spans="1:20" s="469" customFormat="1">
      <c r="A452" s="469" t="str">
        <f t="shared" si="35"/>
        <v>KU</v>
      </c>
      <c r="B452" s="469" t="str">
        <f t="shared" si="36"/>
        <v>KY</v>
      </c>
      <c r="C452" s="469" t="str">
        <f t="shared" si="37"/>
        <v>343</v>
      </c>
      <c r="D452" s="470" t="s">
        <v>2352</v>
      </c>
      <c r="E452" s="468" t="str">
        <f t="shared" si="38"/>
        <v/>
      </c>
      <c r="H452" s="469">
        <v>208.99725000000001</v>
      </c>
      <c r="I452" s="469">
        <v>209.00203999999999</v>
      </c>
      <c r="J452" s="469">
        <v>209.00585000000001</v>
      </c>
      <c r="K452" s="469">
        <v>209.00890000000001</v>
      </c>
      <c r="L452" s="469">
        <v>401.35199999999998</v>
      </c>
      <c r="M452" s="469">
        <v>593.69508999999903</v>
      </c>
      <c r="N452" s="469">
        <v>598.10112091099995</v>
      </c>
      <c r="O452" s="469">
        <v>602.52970794600003</v>
      </c>
      <c r="P452" s="469">
        <v>602.598855781</v>
      </c>
      <c r="Q452" s="469">
        <v>602.645448257</v>
      </c>
      <c r="R452" s="469">
        <v>602.645448257</v>
      </c>
      <c r="S452" s="469">
        <v>602.645448257</v>
      </c>
      <c r="T452" s="469">
        <f t="shared" si="39"/>
        <v>5442.2271594089989</v>
      </c>
    </row>
    <row r="453" spans="1:20" s="469" customFormat="1">
      <c r="A453" s="469" t="str">
        <f t="shared" si="35"/>
        <v>KU</v>
      </c>
      <c r="B453" s="469" t="str">
        <f t="shared" si="36"/>
        <v>KY</v>
      </c>
      <c r="C453" s="469" t="str">
        <f t="shared" si="37"/>
        <v>344</v>
      </c>
      <c r="D453" s="470" t="s">
        <v>1807</v>
      </c>
      <c r="E453" s="468" t="str">
        <f t="shared" si="38"/>
        <v/>
      </c>
      <c r="H453" s="469">
        <v>159.666789999999</v>
      </c>
      <c r="I453" s="469">
        <v>159.666789999999</v>
      </c>
      <c r="J453" s="469">
        <v>159.666789999999</v>
      </c>
      <c r="K453" s="469">
        <v>159.666789999999</v>
      </c>
      <c r="L453" s="469">
        <v>160.938189999999</v>
      </c>
      <c r="M453" s="469">
        <v>161.673339999999</v>
      </c>
      <c r="N453" s="469">
        <v>161.13871081831999</v>
      </c>
      <c r="O453" s="469">
        <v>161.15536126974001</v>
      </c>
      <c r="P453" s="469">
        <v>161.17044134261999</v>
      </c>
      <c r="Q453" s="469">
        <v>161.65577480219</v>
      </c>
      <c r="R453" s="469">
        <v>162.14110824146999</v>
      </c>
      <c r="S453" s="469">
        <v>162.14110824146999</v>
      </c>
      <c r="T453" s="469">
        <f t="shared" si="39"/>
        <v>1930.6811947158042</v>
      </c>
    </row>
    <row r="454" spans="1:20" s="469" customFormat="1">
      <c r="A454" s="469" t="str">
        <f t="shared" si="35"/>
        <v>KU</v>
      </c>
      <c r="B454" s="469" t="str">
        <f t="shared" si="36"/>
        <v>KY</v>
      </c>
      <c r="C454" s="469" t="str">
        <f t="shared" si="37"/>
        <v>344</v>
      </c>
      <c r="D454" s="470" t="s">
        <v>2353</v>
      </c>
      <c r="E454" s="468" t="str">
        <f t="shared" si="38"/>
        <v/>
      </c>
      <c r="H454" s="469">
        <v>293.92831999999999</v>
      </c>
      <c r="I454" s="469">
        <v>293.93504999999999</v>
      </c>
      <c r="J454" s="469">
        <v>293.94040000000001</v>
      </c>
      <c r="K454" s="469">
        <v>293.94471999999899</v>
      </c>
      <c r="L454" s="469">
        <v>221.94779</v>
      </c>
      <c r="M454" s="469">
        <v>149.95087000000001</v>
      </c>
      <c r="N454" s="469">
        <v>149.950867773</v>
      </c>
      <c r="O454" s="469">
        <v>149.950867773</v>
      </c>
      <c r="P454" s="469">
        <v>149.950867773</v>
      </c>
      <c r="Q454" s="469">
        <v>149.950867773</v>
      </c>
      <c r="R454" s="469">
        <v>149.950867773</v>
      </c>
      <c r="S454" s="469">
        <v>149.950867773</v>
      </c>
      <c r="T454" s="469">
        <f t="shared" si="39"/>
        <v>2447.352356637999</v>
      </c>
    </row>
    <row r="455" spans="1:20" s="469" customFormat="1">
      <c r="A455" s="469" t="str">
        <f t="shared" si="35"/>
        <v>KU</v>
      </c>
      <c r="B455" s="469" t="str">
        <f t="shared" si="36"/>
        <v>KY</v>
      </c>
      <c r="C455" s="469" t="str">
        <f t="shared" si="37"/>
        <v>344</v>
      </c>
      <c r="D455" s="470" t="s">
        <v>2354</v>
      </c>
      <c r="E455" s="468" t="str">
        <f t="shared" si="38"/>
        <v/>
      </c>
      <c r="H455" s="469">
        <v>0</v>
      </c>
      <c r="I455" s="469">
        <v>0</v>
      </c>
      <c r="J455" s="469">
        <v>0</v>
      </c>
      <c r="K455" s="469">
        <v>24.678909999999998</v>
      </c>
      <c r="L455" s="469">
        <v>49.422049999999999</v>
      </c>
      <c r="M455" s="469">
        <v>49.53434</v>
      </c>
      <c r="N455" s="469">
        <v>49.5824106337</v>
      </c>
      <c r="O455" s="469">
        <v>49.5824106337</v>
      </c>
      <c r="P455" s="469">
        <v>49.5824106337</v>
      </c>
      <c r="Q455" s="469">
        <v>49.5824106337</v>
      </c>
      <c r="R455" s="469">
        <v>49.5824106337</v>
      </c>
      <c r="S455" s="469">
        <v>49.5824106337</v>
      </c>
      <c r="T455" s="469">
        <f t="shared" si="39"/>
        <v>421.12976380220005</v>
      </c>
    </row>
    <row r="456" spans="1:20" s="469" customFormat="1">
      <c r="A456" s="469" t="str">
        <f t="shared" si="35"/>
        <v>KU</v>
      </c>
      <c r="B456" s="469" t="str">
        <f t="shared" si="36"/>
        <v>KY</v>
      </c>
      <c r="C456" s="469" t="str">
        <f t="shared" si="37"/>
        <v>345</v>
      </c>
      <c r="D456" s="470" t="s">
        <v>1808</v>
      </c>
      <c r="E456" s="468" t="str">
        <f t="shared" si="38"/>
        <v/>
      </c>
      <c r="H456" s="469">
        <v>148.36099999999999</v>
      </c>
      <c r="I456" s="469">
        <v>148.72210999999999</v>
      </c>
      <c r="J456" s="469">
        <v>149.28448</v>
      </c>
      <c r="K456" s="469">
        <v>149.53640999999999</v>
      </c>
      <c r="L456" s="469">
        <v>149.58704</v>
      </c>
      <c r="M456" s="469">
        <v>149.58704</v>
      </c>
      <c r="N456" s="469">
        <v>149.37481133729901</v>
      </c>
      <c r="O456" s="469">
        <v>149.16258394330001</v>
      </c>
      <c r="P456" s="469">
        <v>149.16258394330001</v>
      </c>
      <c r="Q456" s="469">
        <v>149.16258394330001</v>
      </c>
      <c r="R456" s="469">
        <v>149.16258394330001</v>
      </c>
      <c r="S456" s="469">
        <v>149.16258394330001</v>
      </c>
      <c r="T456" s="469">
        <f t="shared" si="39"/>
        <v>1790.2658110537989</v>
      </c>
    </row>
    <row r="457" spans="1:20" s="469" customFormat="1">
      <c r="A457" s="469" t="str">
        <f t="shared" si="35"/>
        <v>KU</v>
      </c>
      <c r="B457" s="469" t="str">
        <f t="shared" si="36"/>
        <v>KY</v>
      </c>
      <c r="C457" s="469" t="str">
        <f t="shared" si="37"/>
        <v>345</v>
      </c>
      <c r="D457" s="470" t="s">
        <v>2355</v>
      </c>
      <c r="E457" s="468" t="str">
        <f t="shared" si="38"/>
        <v/>
      </c>
      <c r="H457" s="469">
        <v>65.071969999999993</v>
      </c>
      <c r="I457" s="469">
        <v>65.073459999999997</v>
      </c>
      <c r="J457" s="469">
        <v>65.074640000000002</v>
      </c>
      <c r="K457" s="469">
        <v>65.075599999999994</v>
      </c>
      <c r="L457" s="469">
        <v>54.98292</v>
      </c>
      <c r="M457" s="469">
        <v>44.890230000000003</v>
      </c>
      <c r="N457" s="469">
        <v>44.890232810000001</v>
      </c>
      <c r="O457" s="469">
        <v>44.890232810000001</v>
      </c>
      <c r="P457" s="469">
        <v>45.03502031</v>
      </c>
      <c r="Q457" s="469">
        <v>45.17980781</v>
      </c>
      <c r="R457" s="469">
        <v>45.17980781</v>
      </c>
      <c r="S457" s="469">
        <v>45.17980781</v>
      </c>
      <c r="T457" s="469">
        <f t="shared" si="39"/>
        <v>630.52372936000006</v>
      </c>
    </row>
    <row r="458" spans="1:20" s="469" customFormat="1">
      <c r="A458" s="469" t="str">
        <f t="shared" si="35"/>
        <v>KU</v>
      </c>
      <c r="B458" s="469" t="str">
        <f t="shared" si="36"/>
        <v>KY</v>
      </c>
      <c r="C458" s="469" t="str">
        <f t="shared" si="37"/>
        <v>345</v>
      </c>
      <c r="D458" s="470" t="s">
        <v>2356</v>
      </c>
      <c r="E458" s="468" t="str">
        <f t="shared" si="38"/>
        <v/>
      </c>
      <c r="H458" s="469">
        <v>0</v>
      </c>
      <c r="I458" s="469">
        <v>0</v>
      </c>
      <c r="J458" s="469">
        <v>0</v>
      </c>
      <c r="K458" s="469">
        <v>1.2049399999999999</v>
      </c>
      <c r="L458" s="469">
        <v>2.4129999999999998</v>
      </c>
      <c r="M458" s="469">
        <v>2.4184899999999998</v>
      </c>
      <c r="N458" s="469">
        <v>2.6736194528999899</v>
      </c>
      <c r="O458" s="469">
        <v>3.1695640212999998</v>
      </c>
      <c r="P458" s="469">
        <v>3.6558856873000001</v>
      </c>
      <c r="Q458" s="469">
        <v>4.8304720678999997</v>
      </c>
      <c r="R458" s="469">
        <v>5.7618976144999996</v>
      </c>
      <c r="S458" s="469">
        <v>5.7618976144999996</v>
      </c>
      <c r="T458" s="469">
        <f t="shared" si="39"/>
        <v>31.88976645839999</v>
      </c>
    </row>
    <row r="459" spans="1:20" s="469" customFormat="1">
      <c r="A459" s="469" t="str">
        <f t="shared" si="35"/>
        <v>KU</v>
      </c>
      <c r="B459" s="469" t="str">
        <f t="shared" si="36"/>
        <v>KY</v>
      </c>
      <c r="C459" s="469" t="str">
        <f t="shared" si="37"/>
        <v>346</v>
      </c>
      <c r="D459" s="470" t="s">
        <v>1809</v>
      </c>
      <c r="E459" s="468" t="str">
        <f t="shared" si="38"/>
        <v/>
      </c>
      <c r="H459" s="469">
        <v>17.7116399999999</v>
      </c>
      <c r="I459" s="469">
        <v>17.7116399999999</v>
      </c>
      <c r="J459" s="469">
        <v>17.7116399999999</v>
      </c>
      <c r="K459" s="469">
        <v>17.7116399999999</v>
      </c>
      <c r="L459" s="469">
        <v>17.696569999999902</v>
      </c>
      <c r="M459" s="469">
        <v>17.678149999999899</v>
      </c>
      <c r="N459" s="469">
        <v>17.697553999526999</v>
      </c>
      <c r="O459" s="469">
        <v>17.803329974656901</v>
      </c>
      <c r="P459" s="469">
        <v>17.970567275906902</v>
      </c>
      <c r="Q459" s="469">
        <v>18.054764851026999</v>
      </c>
      <c r="R459" s="469">
        <v>18.054764851026999</v>
      </c>
      <c r="S459" s="469">
        <v>18.054764851026999</v>
      </c>
      <c r="T459" s="469">
        <f t="shared" si="39"/>
        <v>213.85702580317118</v>
      </c>
    </row>
    <row r="460" spans="1:20" s="469" customFormat="1">
      <c r="A460" s="469" t="str">
        <f t="shared" si="35"/>
        <v>KU</v>
      </c>
      <c r="B460" s="469" t="str">
        <f t="shared" si="36"/>
        <v>KY</v>
      </c>
      <c r="C460" s="469" t="str">
        <f t="shared" si="37"/>
        <v>346</v>
      </c>
      <c r="D460" s="470" t="s">
        <v>2357</v>
      </c>
      <c r="E460" s="468" t="str">
        <f t="shared" si="38"/>
        <v/>
      </c>
      <c r="H460" s="469">
        <v>5.0880000000000002E-2</v>
      </c>
      <c r="I460" s="469">
        <v>5.2249999999999998E-2</v>
      </c>
      <c r="J460" s="469">
        <v>5.2249999999999998E-2</v>
      </c>
      <c r="K460" s="469">
        <v>5.2249999999999998E-2</v>
      </c>
      <c r="L460" s="469">
        <v>3.6212300000000002</v>
      </c>
      <c r="M460" s="469">
        <v>7.1902100000000004</v>
      </c>
      <c r="N460" s="469">
        <v>7.1902145830000004</v>
      </c>
      <c r="O460" s="469">
        <v>7.1902145830000004</v>
      </c>
      <c r="P460" s="469">
        <v>7.1902145830000004</v>
      </c>
      <c r="Q460" s="469">
        <v>7.1902145830000004</v>
      </c>
      <c r="R460" s="469">
        <v>7.1902145830000004</v>
      </c>
      <c r="S460" s="469">
        <v>7.1902145830000004</v>
      </c>
      <c r="T460" s="469">
        <f t="shared" si="39"/>
        <v>54.160357498000003</v>
      </c>
    </row>
    <row r="461" spans="1:20" s="469" customFormat="1">
      <c r="A461" s="469" t="str">
        <f t="shared" si="35"/>
        <v>KU</v>
      </c>
      <c r="B461" s="469" t="str">
        <f t="shared" si="36"/>
        <v>KY</v>
      </c>
      <c r="C461" s="469" t="str">
        <f t="shared" si="37"/>
        <v>346</v>
      </c>
      <c r="D461" s="470" t="s">
        <v>2358</v>
      </c>
      <c r="E461" s="468" t="str">
        <f t="shared" si="38"/>
        <v/>
      </c>
      <c r="H461" s="469">
        <v>0</v>
      </c>
      <c r="I461" s="469">
        <v>0</v>
      </c>
      <c r="J461" s="469">
        <v>0</v>
      </c>
      <c r="K461" s="469">
        <v>0.51779999999999904</v>
      </c>
      <c r="L461" s="469">
        <v>1.03695</v>
      </c>
      <c r="M461" s="469">
        <v>1.0392999999999999</v>
      </c>
      <c r="N461" s="469">
        <v>1.040311175</v>
      </c>
      <c r="O461" s="469">
        <v>1.040311175</v>
      </c>
      <c r="P461" s="469">
        <v>1.040311175</v>
      </c>
      <c r="Q461" s="469">
        <v>1.040311175</v>
      </c>
      <c r="R461" s="469">
        <v>1.040311175</v>
      </c>
      <c r="S461" s="469">
        <v>1.040311175</v>
      </c>
      <c r="T461" s="469">
        <f t="shared" si="39"/>
        <v>8.8359170499999991</v>
      </c>
    </row>
    <row r="462" spans="1:20" s="469" customFormat="1">
      <c r="A462" s="469" t="str">
        <f t="shared" si="35"/>
        <v>KU</v>
      </c>
      <c r="B462" s="469" t="str">
        <f t="shared" si="36"/>
        <v>KY</v>
      </c>
      <c r="C462" s="469" t="str">
        <f t="shared" si="37"/>
        <v>347</v>
      </c>
      <c r="D462" s="470" t="s">
        <v>2359</v>
      </c>
      <c r="E462" s="468" t="str">
        <f t="shared" si="38"/>
        <v>ARO</v>
      </c>
      <c r="H462" s="469">
        <v>1.73542</v>
      </c>
      <c r="I462" s="469">
        <v>1.73542</v>
      </c>
      <c r="J462" s="469">
        <v>1.73542</v>
      </c>
      <c r="K462" s="469">
        <v>1.73542</v>
      </c>
      <c r="L462" s="469">
        <v>1.73542</v>
      </c>
      <c r="M462" s="469">
        <v>1.73542</v>
      </c>
      <c r="N462" s="469">
        <v>1.73542</v>
      </c>
      <c r="O462" s="469">
        <v>1.73542</v>
      </c>
      <c r="P462" s="469">
        <v>1.73542</v>
      </c>
      <c r="Q462" s="469">
        <v>1.73542</v>
      </c>
      <c r="R462" s="469">
        <v>1.73542</v>
      </c>
      <c r="S462" s="469">
        <v>1.73542</v>
      </c>
      <c r="T462" s="469">
        <f t="shared" si="39"/>
        <v>20.825040000000001</v>
      </c>
    </row>
    <row r="463" spans="1:20" s="469" customFormat="1">
      <c r="A463" s="469" t="str">
        <f t="shared" si="35"/>
        <v>KU</v>
      </c>
      <c r="B463" s="469" t="str">
        <f t="shared" si="36"/>
        <v>KY</v>
      </c>
      <c r="C463" s="469" t="str">
        <f t="shared" si="37"/>
        <v>350</v>
      </c>
      <c r="D463" s="470" t="s">
        <v>1810</v>
      </c>
      <c r="E463" s="468" t="str">
        <f t="shared" si="38"/>
        <v/>
      </c>
      <c r="H463" s="469">
        <v>21.847939999999902</v>
      </c>
      <c r="I463" s="469">
        <v>21.847939999999902</v>
      </c>
      <c r="J463" s="469">
        <v>21.847939999999902</v>
      </c>
      <c r="K463" s="469">
        <v>21.847939999999902</v>
      </c>
      <c r="L463" s="469">
        <v>21.847939999999902</v>
      </c>
      <c r="M463" s="469">
        <v>21.847939999999902</v>
      </c>
      <c r="N463" s="469">
        <v>21.84793964</v>
      </c>
      <c r="O463" s="469">
        <v>21.84793964</v>
      </c>
      <c r="P463" s="469">
        <v>21.84793964</v>
      </c>
      <c r="Q463" s="469">
        <v>21.84793964</v>
      </c>
      <c r="R463" s="469">
        <v>21.84793964</v>
      </c>
      <c r="S463" s="469">
        <v>21.84793964</v>
      </c>
      <c r="T463" s="469">
        <f t="shared" si="39"/>
        <v>262.17527783999941</v>
      </c>
    </row>
    <row r="464" spans="1:20" s="469" customFormat="1">
      <c r="A464" s="469" t="str">
        <f t="shared" si="35"/>
        <v>KU</v>
      </c>
      <c r="B464" s="469" t="str">
        <f t="shared" si="36"/>
        <v>TN</v>
      </c>
      <c r="C464" s="469" t="str">
        <f t="shared" si="37"/>
        <v>350</v>
      </c>
      <c r="D464" s="470" t="s">
        <v>1811</v>
      </c>
      <c r="E464" s="468" t="str">
        <f t="shared" si="38"/>
        <v/>
      </c>
      <c r="H464" s="469">
        <v>3.5E-4</v>
      </c>
      <c r="I464" s="469">
        <v>3.5E-4</v>
      </c>
      <c r="J464" s="469">
        <v>3.5E-4</v>
      </c>
      <c r="K464" s="469">
        <v>3.5E-4</v>
      </c>
      <c r="L464" s="469">
        <v>3.5E-4</v>
      </c>
      <c r="M464" s="469">
        <v>3.5E-4</v>
      </c>
      <c r="N464" s="469">
        <v>3.5162399999999998E-4</v>
      </c>
      <c r="O464" s="469">
        <v>3.5162399999999998E-4</v>
      </c>
      <c r="P464" s="469">
        <v>3.5162399999999998E-4</v>
      </c>
      <c r="Q464" s="469">
        <v>3.5162399999999998E-4</v>
      </c>
      <c r="R464" s="469">
        <v>3.5162399999999998E-4</v>
      </c>
      <c r="S464" s="469">
        <v>3.5162399999999998E-4</v>
      </c>
      <c r="T464" s="469">
        <f t="shared" si="39"/>
        <v>4.2097439999999996E-3</v>
      </c>
    </row>
    <row r="465" spans="1:20" s="469" customFormat="1">
      <c r="A465" s="469" t="str">
        <f t="shared" si="35"/>
        <v>KU</v>
      </c>
      <c r="B465" s="469" t="str">
        <f t="shared" si="36"/>
        <v>VA</v>
      </c>
      <c r="C465" s="469" t="str">
        <f t="shared" si="37"/>
        <v>350</v>
      </c>
      <c r="D465" s="470" t="s">
        <v>1812</v>
      </c>
      <c r="E465" s="468" t="str">
        <f t="shared" si="38"/>
        <v/>
      </c>
      <c r="H465" s="469">
        <v>1.6949000000000001</v>
      </c>
      <c r="I465" s="469">
        <v>1.6949000000000001</v>
      </c>
      <c r="J465" s="469">
        <v>1.6949000000000001</v>
      </c>
      <c r="K465" s="469">
        <v>1.6949000000000001</v>
      </c>
      <c r="L465" s="469">
        <v>1.6949000000000001</v>
      </c>
      <c r="M465" s="469">
        <v>1.6949000000000001</v>
      </c>
      <c r="N465" s="469">
        <v>1.6949049759999999</v>
      </c>
      <c r="O465" s="469">
        <v>1.6949049759999999</v>
      </c>
      <c r="P465" s="469">
        <v>1.6949049759999999</v>
      </c>
      <c r="Q465" s="469">
        <v>1.6949049759999999</v>
      </c>
      <c r="R465" s="469">
        <v>1.6949049759999999</v>
      </c>
      <c r="S465" s="469">
        <v>1.6949049759999999</v>
      </c>
      <c r="T465" s="469">
        <f t="shared" si="39"/>
        <v>20.338829856</v>
      </c>
    </row>
    <row r="466" spans="1:20" s="469" customFormat="1">
      <c r="A466" s="469" t="str">
        <f t="shared" si="35"/>
        <v>KU</v>
      </c>
      <c r="B466" s="469" t="str">
        <f t="shared" si="36"/>
        <v>KY</v>
      </c>
      <c r="C466" s="469" t="str">
        <f t="shared" si="37"/>
        <v>352</v>
      </c>
      <c r="D466" s="470" t="s">
        <v>1813</v>
      </c>
      <c r="E466" s="468" t="str">
        <f t="shared" si="38"/>
        <v/>
      </c>
      <c r="H466" s="469">
        <v>2.0533899999999998</v>
      </c>
      <c r="I466" s="469">
        <v>2.04698</v>
      </c>
      <c r="J466" s="469">
        <v>2.0405700000000002</v>
      </c>
      <c r="K466" s="469">
        <v>2.0405700000000002</v>
      </c>
      <c r="L466" s="469">
        <v>2.0405700000000002</v>
      </c>
      <c r="M466" s="469">
        <v>2.0405700000000002</v>
      </c>
      <c r="N466" s="469">
        <v>2.0405702527999998</v>
      </c>
      <c r="O466" s="469">
        <v>2.0405702527999998</v>
      </c>
      <c r="P466" s="469">
        <v>2.0405702527999998</v>
      </c>
      <c r="Q466" s="469">
        <v>2.0405702527999998</v>
      </c>
      <c r="R466" s="469">
        <v>2.0405702527999998</v>
      </c>
      <c r="S466" s="469">
        <v>2.0405702527999998</v>
      </c>
      <c r="T466" s="469">
        <f t="shared" si="39"/>
        <v>24.506071516799995</v>
      </c>
    </row>
    <row r="467" spans="1:20" s="469" customFormat="1">
      <c r="A467" s="469" t="str">
        <f t="shared" si="35"/>
        <v>KU</v>
      </c>
      <c r="B467" s="469" t="str">
        <f t="shared" si="36"/>
        <v>KY</v>
      </c>
      <c r="C467" s="469" t="str">
        <f t="shared" si="37"/>
        <v>352</v>
      </c>
      <c r="D467" s="470" t="s">
        <v>1814</v>
      </c>
      <c r="E467" s="468" t="str">
        <f t="shared" si="38"/>
        <v/>
      </c>
      <c r="H467" s="469">
        <v>32.762030000000003</v>
      </c>
      <c r="I467" s="469">
        <v>32.900169999999903</v>
      </c>
      <c r="J467" s="469">
        <v>33.05789</v>
      </c>
      <c r="K467" s="469">
        <v>35.352260000000001</v>
      </c>
      <c r="L467" s="469">
        <v>37.627070000000003</v>
      </c>
      <c r="M467" s="469">
        <v>37.621499999999997</v>
      </c>
      <c r="N467" s="469">
        <v>37.615932887</v>
      </c>
      <c r="O467" s="469">
        <v>37.615932887</v>
      </c>
      <c r="P467" s="469">
        <v>37.615932887</v>
      </c>
      <c r="Q467" s="469">
        <v>37.615932887</v>
      </c>
      <c r="R467" s="469">
        <v>37.615932887</v>
      </c>
      <c r="S467" s="469">
        <v>37.615932887</v>
      </c>
      <c r="T467" s="469">
        <f t="shared" si="39"/>
        <v>435.01651732199986</v>
      </c>
    </row>
    <row r="468" spans="1:20" s="469" customFormat="1">
      <c r="A468" s="469" t="str">
        <f t="shared" si="35"/>
        <v>KU</v>
      </c>
      <c r="B468" s="469" t="str">
        <f t="shared" si="36"/>
        <v>VA</v>
      </c>
      <c r="C468" s="469" t="str">
        <f t="shared" si="37"/>
        <v>352</v>
      </c>
      <c r="D468" s="470" t="s">
        <v>1815</v>
      </c>
      <c r="E468" s="468" t="str">
        <f t="shared" si="38"/>
        <v/>
      </c>
      <c r="H468" s="469">
        <v>2.3594599999999999</v>
      </c>
      <c r="I468" s="469">
        <v>2.3594599999999999</v>
      </c>
      <c r="J468" s="469">
        <v>2.3594599999999999</v>
      </c>
      <c r="K468" s="469">
        <v>2.3594599999999999</v>
      </c>
      <c r="L468" s="469">
        <v>2.3594599999999999</v>
      </c>
      <c r="M468" s="469">
        <v>2.3594599999999999</v>
      </c>
      <c r="N468" s="469">
        <v>2.3594668999999899</v>
      </c>
      <c r="O468" s="469">
        <v>2.3594668999999899</v>
      </c>
      <c r="P468" s="469">
        <v>2.3594668999999899</v>
      </c>
      <c r="Q468" s="469">
        <v>2.3594668999999899</v>
      </c>
      <c r="R468" s="469">
        <v>2.3594668999999899</v>
      </c>
      <c r="S468" s="469">
        <v>2.3594668999999899</v>
      </c>
      <c r="T468" s="469">
        <f t="shared" si="39"/>
        <v>28.313561399999941</v>
      </c>
    </row>
    <row r="469" spans="1:20" s="469" customFormat="1">
      <c r="A469" s="469" t="str">
        <f t="shared" si="35"/>
        <v>KU</v>
      </c>
      <c r="B469" s="469" t="str">
        <f t="shared" si="36"/>
        <v>KY</v>
      </c>
      <c r="C469" s="469" t="str">
        <f t="shared" si="37"/>
        <v>353</v>
      </c>
      <c r="D469" s="470" t="s">
        <v>1816</v>
      </c>
      <c r="E469" s="468" t="str">
        <f t="shared" si="38"/>
        <v/>
      </c>
      <c r="H469" s="469">
        <v>331.34573999999998</v>
      </c>
      <c r="I469" s="469">
        <v>331.98500000000001</v>
      </c>
      <c r="J469" s="469">
        <v>332.69259</v>
      </c>
      <c r="K469" s="469">
        <v>339.43464</v>
      </c>
      <c r="L469" s="469">
        <v>345.11470000000003</v>
      </c>
      <c r="M469" s="469">
        <v>344.64607999999998</v>
      </c>
      <c r="N469" s="469">
        <v>351.10349244000002</v>
      </c>
      <c r="O469" s="469">
        <v>360.39252377000003</v>
      </c>
      <c r="P469" s="469">
        <v>365.00867700999999</v>
      </c>
      <c r="Q469" s="469">
        <v>371.65917614</v>
      </c>
      <c r="R469" s="469">
        <v>376.48099525999999</v>
      </c>
      <c r="S469" s="469">
        <v>376.37308918999997</v>
      </c>
      <c r="T469" s="469">
        <f t="shared" si="39"/>
        <v>4226.2367038100001</v>
      </c>
    </row>
    <row r="470" spans="1:20" s="469" customFormat="1">
      <c r="A470" s="469" t="str">
        <f t="shared" si="35"/>
        <v>KU</v>
      </c>
      <c r="B470" s="469" t="str">
        <f t="shared" si="36"/>
        <v>VA</v>
      </c>
      <c r="C470" s="469" t="str">
        <f t="shared" si="37"/>
        <v>353</v>
      </c>
      <c r="D470" s="470" t="s">
        <v>1818</v>
      </c>
      <c r="E470" s="468" t="str">
        <f t="shared" si="38"/>
        <v/>
      </c>
      <c r="H470" s="469">
        <v>30.459720000000001</v>
      </c>
      <c r="I470" s="469">
        <v>30.459720000000001</v>
      </c>
      <c r="J470" s="469">
        <v>30.50085</v>
      </c>
      <c r="K470" s="469">
        <v>30.54196</v>
      </c>
      <c r="L470" s="469">
        <v>30.578040000000001</v>
      </c>
      <c r="M470" s="469">
        <v>30.634209999999999</v>
      </c>
      <c r="N470" s="469">
        <v>30.664551031599999</v>
      </c>
      <c r="O470" s="469">
        <v>30.686995589899901</v>
      </c>
      <c r="P470" s="469">
        <v>30.720241619900001</v>
      </c>
      <c r="Q470" s="469">
        <v>30.7938641408</v>
      </c>
      <c r="R470" s="469">
        <v>30.8464322572</v>
      </c>
      <c r="S470" s="469">
        <v>30.8464322572</v>
      </c>
      <c r="T470" s="469">
        <f t="shared" si="39"/>
        <v>367.73301689659985</v>
      </c>
    </row>
    <row r="471" spans="1:20" s="469" customFormat="1">
      <c r="A471" s="469" t="str">
        <f t="shared" si="35"/>
        <v>KU</v>
      </c>
      <c r="B471" s="469" t="str">
        <f t="shared" si="36"/>
        <v>KY</v>
      </c>
      <c r="C471" s="469" t="str">
        <f t="shared" si="37"/>
        <v>354</v>
      </c>
      <c r="D471" s="470" t="s">
        <v>1819</v>
      </c>
      <c r="E471" s="468" t="str">
        <f t="shared" si="38"/>
        <v/>
      </c>
      <c r="H471" s="469">
        <v>78.433369999999996</v>
      </c>
      <c r="I471" s="469">
        <v>78.431039999999996</v>
      </c>
      <c r="J471" s="469">
        <v>78.428719999999998</v>
      </c>
      <c r="K471" s="469">
        <v>78.428719999999998</v>
      </c>
      <c r="L471" s="469">
        <v>78.431039999999996</v>
      </c>
      <c r="M471" s="469">
        <v>78.424310000000006</v>
      </c>
      <c r="N471" s="469">
        <v>78.415255517999995</v>
      </c>
      <c r="O471" s="469">
        <v>78.415255517999995</v>
      </c>
      <c r="P471" s="469">
        <v>78.415255517999995</v>
      </c>
      <c r="Q471" s="469">
        <v>78.415255517999995</v>
      </c>
      <c r="R471" s="469">
        <v>78.415255517999995</v>
      </c>
      <c r="S471" s="469">
        <v>78.415255517999995</v>
      </c>
      <c r="T471" s="469">
        <f t="shared" si="39"/>
        <v>941.06873310799995</v>
      </c>
    </row>
    <row r="472" spans="1:20" s="469" customFormat="1">
      <c r="A472" s="469" t="str">
        <f t="shared" si="35"/>
        <v>KU</v>
      </c>
      <c r="B472" s="469" t="str">
        <f t="shared" si="36"/>
        <v>VA</v>
      </c>
      <c r="C472" s="469" t="str">
        <f t="shared" si="37"/>
        <v>354</v>
      </c>
      <c r="D472" s="470" t="s">
        <v>1820</v>
      </c>
      <c r="E472" s="468" t="str">
        <f t="shared" si="38"/>
        <v/>
      </c>
      <c r="H472" s="469">
        <v>8.1385699999999996</v>
      </c>
      <c r="I472" s="469">
        <v>8.1385699999999996</v>
      </c>
      <c r="J472" s="469">
        <v>8.1385699999999996</v>
      </c>
      <c r="K472" s="469">
        <v>8.1385699999999996</v>
      </c>
      <c r="L472" s="469">
        <v>8.1385699999999996</v>
      </c>
      <c r="M472" s="469">
        <v>8.1385699999999996</v>
      </c>
      <c r="N472" s="469">
        <v>8.1385588067000008</v>
      </c>
      <c r="O472" s="469">
        <v>8.1385588067000008</v>
      </c>
      <c r="P472" s="469">
        <v>8.1385588067000008</v>
      </c>
      <c r="Q472" s="469">
        <v>8.1385588067000008</v>
      </c>
      <c r="R472" s="469">
        <v>8.1385588067000008</v>
      </c>
      <c r="S472" s="469">
        <v>8.1385588067000008</v>
      </c>
      <c r="T472" s="469">
        <f t="shared" si="39"/>
        <v>97.66277284020002</v>
      </c>
    </row>
    <row r="473" spans="1:20" s="469" customFormat="1">
      <c r="A473" s="469" t="str">
        <f t="shared" si="35"/>
        <v>KU</v>
      </c>
      <c r="B473" s="469" t="str">
        <f t="shared" si="36"/>
        <v>KY</v>
      </c>
      <c r="C473" s="469" t="str">
        <f t="shared" si="37"/>
        <v>355</v>
      </c>
      <c r="D473" s="470" t="s">
        <v>1821</v>
      </c>
      <c r="E473" s="468" t="str">
        <f t="shared" si="38"/>
        <v/>
      </c>
      <c r="H473" s="469">
        <v>428.97833000000003</v>
      </c>
      <c r="I473" s="469">
        <v>429.27809999999999</v>
      </c>
      <c r="J473" s="469">
        <v>430.81824999999998</v>
      </c>
      <c r="K473" s="469">
        <v>437.59780999999998</v>
      </c>
      <c r="L473" s="469">
        <v>446.78838000000002</v>
      </c>
      <c r="M473" s="469">
        <v>453.34447999999998</v>
      </c>
      <c r="N473" s="469">
        <v>472.24287949000001</v>
      </c>
      <c r="O473" s="469">
        <v>498.75861781999998</v>
      </c>
      <c r="P473" s="469">
        <v>510.13123413</v>
      </c>
      <c r="Q473" s="469">
        <v>515.54884931999902</v>
      </c>
      <c r="R473" s="469">
        <v>522.26781682000001</v>
      </c>
      <c r="S473" s="469">
        <v>529.00056876999997</v>
      </c>
      <c r="T473" s="469">
        <f t="shared" si="39"/>
        <v>5674.7553163499997</v>
      </c>
    </row>
    <row r="474" spans="1:20" s="469" customFormat="1">
      <c r="A474" s="469" t="str">
        <f t="shared" si="35"/>
        <v>KU</v>
      </c>
      <c r="B474" s="469" t="str">
        <f t="shared" si="36"/>
        <v>TN</v>
      </c>
      <c r="C474" s="469" t="str">
        <f t="shared" si="37"/>
        <v>355</v>
      </c>
      <c r="D474" s="470" t="s">
        <v>1822</v>
      </c>
      <c r="E474" s="468" t="str">
        <f t="shared" si="38"/>
        <v/>
      </c>
      <c r="H474" s="469">
        <v>0.24565000000000001</v>
      </c>
      <c r="I474" s="469">
        <v>0.24565000000000001</v>
      </c>
      <c r="J474" s="469">
        <v>0.24565000000000001</v>
      </c>
      <c r="K474" s="469">
        <v>0.24565000000000001</v>
      </c>
      <c r="L474" s="469">
        <v>0.24565000000000001</v>
      </c>
      <c r="M474" s="469">
        <v>0.24565000000000001</v>
      </c>
      <c r="N474" s="469">
        <v>0.24565904999999999</v>
      </c>
      <c r="O474" s="469">
        <v>0.24565904999999999</v>
      </c>
      <c r="P474" s="469">
        <v>0.24565904999999999</v>
      </c>
      <c r="Q474" s="469">
        <v>0.24565904999999999</v>
      </c>
      <c r="R474" s="469">
        <v>0.24565904999999999</v>
      </c>
      <c r="S474" s="469">
        <v>0.24565904999999999</v>
      </c>
      <c r="T474" s="469">
        <f t="shared" si="39"/>
        <v>2.9478542999999999</v>
      </c>
    </row>
    <row r="475" spans="1:20" s="469" customFormat="1">
      <c r="A475" s="469" t="str">
        <f t="shared" si="35"/>
        <v>KU</v>
      </c>
      <c r="B475" s="469" t="str">
        <f t="shared" si="36"/>
        <v>VA</v>
      </c>
      <c r="C475" s="469" t="str">
        <f t="shared" si="37"/>
        <v>355</v>
      </c>
      <c r="D475" s="470" t="s">
        <v>1823</v>
      </c>
      <c r="E475" s="468" t="str">
        <f t="shared" si="38"/>
        <v/>
      </c>
      <c r="H475" s="469">
        <v>21.89939</v>
      </c>
      <c r="I475" s="469">
        <v>21.926099999999899</v>
      </c>
      <c r="J475" s="469">
        <v>21.926099999999899</v>
      </c>
      <c r="K475" s="469">
        <v>21.880779999999898</v>
      </c>
      <c r="L475" s="469">
        <v>21.799419999999898</v>
      </c>
      <c r="M475" s="469">
        <v>21.826779999999999</v>
      </c>
      <c r="N475" s="469">
        <v>21.890171436699902</v>
      </c>
      <c r="O475" s="469">
        <v>21.890171436699902</v>
      </c>
      <c r="P475" s="469">
        <v>21.890171436699902</v>
      </c>
      <c r="Q475" s="469">
        <v>21.890171436699902</v>
      </c>
      <c r="R475" s="469">
        <v>21.890171436699902</v>
      </c>
      <c r="S475" s="469">
        <v>22.9675732207</v>
      </c>
      <c r="T475" s="469">
        <f t="shared" si="39"/>
        <v>263.67700040419913</v>
      </c>
    </row>
    <row r="476" spans="1:20" s="469" customFormat="1">
      <c r="A476" s="469" t="str">
        <f t="shared" si="35"/>
        <v>KU</v>
      </c>
      <c r="B476" s="469" t="str">
        <f t="shared" si="36"/>
        <v>KY</v>
      </c>
      <c r="C476" s="469" t="str">
        <f t="shared" si="37"/>
        <v>356</v>
      </c>
      <c r="D476" s="470" t="s">
        <v>1824</v>
      </c>
      <c r="E476" s="468" t="str">
        <f t="shared" si="38"/>
        <v/>
      </c>
      <c r="H476" s="469">
        <v>262.63466999999901</v>
      </c>
      <c r="I476" s="469">
        <v>262.67869000000002</v>
      </c>
      <c r="J476" s="469">
        <v>263.88513</v>
      </c>
      <c r="K476" s="469">
        <v>264.42408999999998</v>
      </c>
      <c r="L476" s="469">
        <v>265.93729999999999</v>
      </c>
      <c r="M476" s="469">
        <v>265.84474</v>
      </c>
      <c r="N476" s="469">
        <v>264.09443325000001</v>
      </c>
      <c r="O476" s="469">
        <v>264.707740809999</v>
      </c>
      <c r="P476" s="469">
        <v>265.17443107999998</v>
      </c>
      <c r="Q476" s="469">
        <v>265.64365592000001</v>
      </c>
      <c r="R476" s="469">
        <v>265.91791716</v>
      </c>
      <c r="S476" s="469">
        <v>266.03393258</v>
      </c>
      <c r="T476" s="469">
        <f t="shared" si="39"/>
        <v>3176.9767307999982</v>
      </c>
    </row>
    <row r="477" spans="1:20" s="469" customFormat="1">
      <c r="A477" s="469" t="str">
        <f t="shared" si="35"/>
        <v>KU</v>
      </c>
      <c r="B477" s="469" t="str">
        <f t="shared" si="36"/>
        <v>TN</v>
      </c>
      <c r="C477" s="469" t="str">
        <f t="shared" si="37"/>
        <v>356</v>
      </c>
      <c r="D477" s="470" t="s">
        <v>1825</v>
      </c>
      <c r="E477" s="468" t="str">
        <f t="shared" si="38"/>
        <v/>
      </c>
      <c r="H477" s="469">
        <v>0.12620999999999999</v>
      </c>
      <c r="I477" s="469">
        <v>0.12620999999999999</v>
      </c>
      <c r="J477" s="469">
        <v>0.12620999999999999</v>
      </c>
      <c r="K477" s="469">
        <v>0.12620999999999999</v>
      </c>
      <c r="L477" s="469">
        <v>0.12620999999999999</v>
      </c>
      <c r="M477" s="469">
        <v>0.12620999999999999</v>
      </c>
      <c r="N477" s="469">
        <v>0.126199796837</v>
      </c>
      <c r="O477" s="469">
        <v>0.126199796837</v>
      </c>
      <c r="P477" s="469">
        <v>0.126199796837</v>
      </c>
      <c r="Q477" s="469">
        <v>0.126199796837</v>
      </c>
      <c r="R477" s="469">
        <v>0.126199796837</v>
      </c>
      <c r="S477" s="469">
        <v>0.126199796837</v>
      </c>
      <c r="T477" s="469">
        <f t="shared" si="39"/>
        <v>1.5144587810220003</v>
      </c>
    </row>
    <row r="478" spans="1:20" s="469" customFormat="1">
      <c r="A478" s="469" t="str">
        <f t="shared" si="35"/>
        <v>KU</v>
      </c>
      <c r="B478" s="469" t="str">
        <f t="shared" si="36"/>
        <v>VA</v>
      </c>
      <c r="C478" s="469" t="str">
        <f t="shared" si="37"/>
        <v>356</v>
      </c>
      <c r="D478" s="470" t="s">
        <v>1826</v>
      </c>
      <c r="E478" s="468" t="str">
        <f t="shared" si="38"/>
        <v/>
      </c>
      <c r="H478" s="469">
        <v>27.152830000000002</v>
      </c>
      <c r="I478" s="469">
        <v>27.09817</v>
      </c>
      <c r="J478" s="469">
        <v>27.09817</v>
      </c>
      <c r="K478" s="469">
        <v>27.112009999999898</v>
      </c>
      <c r="L478" s="469">
        <v>27.210650000000001</v>
      </c>
      <c r="M478" s="469">
        <v>27.217659999999999</v>
      </c>
      <c r="N478" s="469">
        <v>27.221386900999999</v>
      </c>
      <c r="O478" s="469">
        <v>27.302902771999999</v>
      </c>
      <c r="P478" s="469">
        <v>27.684424199999999</v>
      </c>
      <c r="Q478" s="469">
        <v>28.065945626999898</v>
      </c>
      <c r="R478" s="469">
        <v>28.065945626999898</v>
      </c>
      <c r="S478" s="469">
        <v>28.065945626999898</v>
      </c>
      <c r="T478" s="469">
        <f t="shared" si="39"/>
        <v>329.29604075399959</v>
      </c>
    </row>
    <row r="479" spans="1:20" s="469" customFormat="1">
      <c r="A479" s="469" t="str">
        <f t="shared" si="35"/>
        <v>KU</v>
      </c>
      <c r="B479" s="469" t="str">
        <f t="shared" si="36"/>
        <v>KY</v>
      </c>
      <c r="C479" s="469" t="str">
        <f t="shared" si="37"/>
        <v>357</v>
      </c>
      <c r="D479" s="470" t="s">
        <v>1827</v>
      </c>
      <c r="E479" s="468" t="str">
        <f t="shared" si="38"/>
        <v/>
      </c>
      <c r="H479" s="469">
        <v>0.84889999999999999</v>
      </c>
      <c r="I479" s="469">
        <v>0.84889999999999999</v>
      </c>
      <c r="J479" s="469">
        <v>0.84889999999999999</v>
      </c>
      <c r="K479" s="469">
        <v>0.84889999999999999</v>
      </c>
      <c r="L479" s="469">
        <v>0.84889999999999999</v>
      </c>
      <c r="M479" s="469">
        <v>0.84889999999999999</v>
      </c>
      <c r="N479" s="469">
        <v>0.84890482519999999</v>
      </c>
      <c r="O479" s="469">
        <v>0.84890482519999999</v>
      </c>
      <c r="P479" s="469">
        <v>0.84890482519999999</v>
      </c>
      <c r="Q479" s="469">
        <v>0.84890482519999999</v>
      </c>
      <c r="R479" s="469">
        <v>0.84890482519999999</v>
      </c>
      <c r="S479" s="469">
        <v>0.84890482519999999</v>
      </c>
      <c r="T479" s="469">
        <f t="shared" si="39"/>
        <v>10.186828951200001</v>
      </c>
    </row>
    <row r="480" spans="1:20" s="469" customFormat="1">
      <c r="A480" s="469" t="str">
        <f t="shared" si="35"/>
        <v>KU</v>
      </c>
      <c r="B480" s="469" t="str">
        <f t="shared" si="36"/>
        <v>KY</v>
      </c>
      <c r="C480" s="469" t="str">
        <f t="shared" si="37"/>
        <v>358</v>
      </c>
      <c r="D480" s="470" t="s">
        <v>1828</v>
      </c>
      <c r="E480" s="468" t="str">
        <f t="shared" si="38"/>
        <v/>
      </c>
      <c r="H480" s="469">
        <v>0.95820000000000005</v>
      </c>
      <c r="I480" s="469">
        <v>0.95820000000000005</v>
      </c>
      <c r="J480" s="469">
        <v>0.95721000000000001</v>
      </c>
      <c r="K480" s="469">
        <v>0.95623000000000002</v>
      </c>
      <c r="L480" s="469">
        <v>0.93411</v>
      </c>
      <c r="M480" s="469">
        <v>0.91198000000000001</v>
      </c>
      <c r="N480" s="469">
        <v>0.91198316530000001</v>
      </c>
      <c r="O480" s="469">
        <v>0.91198316530000001</v>
      </c>
      <c r="P480" s="469">
        <v>0.91198316530000001</v>
      </c>
      <c r="Q480" s="469">
        <v>0.91198316530000001</v>
      </c>
      <c r="R480" s="469">
        <v>0.91198316530000001</v>
      </c>
      <c r="S480" s="469">
        <v>0.91198316530000001</v>
      </c>
      <c r="T480" s="469">
        <f t="shared" si="39"/>
        <v>11.147828991800001</v>
      </c>
    </row>
    <row r="481" spans="1:20" s="469" customFormat="1">
      <c r="A481" s="469" t="str">
        <f t="shared" si="35"/>
        <v>KU</v>
      </c>
      <c r="B481" s="469" t="str">
        <f t="shared" si="36"/>
        <v>KY</v>
      </c>
      <c r="C481" s="469" t="str">
        <f t="shared" si="37"/>
        <v>359</v>
      </c>
      <c r="D481" s="470" t="s">
        <v>1829</v>
      </c>
      <c r="E481" s="468" t="str">
        <f t="shared" si="38"/>
        <v>ARO</v>
      </c>
      <c r="H481" s="469">
        <v>0.69945000000000002</v>
      </c>
      <c r="I481" s="469">
        <v>0.69945000000000002</v>
      </c>
      <c r="J481" s="469">
        <v>0.69945000000000002</v>
      </c>
      <c r="K481" s="469">
        <v>0.69945000000000002</v>
      </c>
      <c r="L481" s="469">
        <v>0.69945000000000002</v>
      </c>
      <c r="M481" s="469">
        <v>0.69945000000000002</v>
      </c>
      <c r="N481" s="469">
        <v>0.69945000000000002</v>
      </c>
      <c r="O481" s="469">
        <v>0.69945000000000002</v>
      </c>
      <c r="P481" s="469">
        <v>0.69945000000000002</v>
      </c>
      <c r="Q481" s="469">
        <v>0.69945000000000002</v>
      </c>
      <c r="R481" s="469">
        <v>0.69945000000000002</v>
      </c>
      <c r="S481" s="469">
        <v>0.69945000000000002</v>
      </c>
      <c r="T481" s="469">
        <f t="shared" si="39"/>
        <v>8.393399999999998</v>
      </c>
    </row>
    <row r="482" spans="1:20" s="469" customFormat="1">
      <c r="A482" s="469" t="str">
        <f t="shared" si="35"/>
        <v>KU</v>
      </c>
      <c r="B482" s="469" t="str">
        <f t="shared" si="36"/>
        <v>KY</v>
      </c>
      <c r="C482" s="469" t="str">
        <f t="shared" si="37"/>
        <v>360</v>
      </c>
      <c r="D482" s="470" t="s">
        <v>1831</v>
      </c>
      <c r="E482" s="468" t="str">
        <f t="shared" si="38"/>
        <v/>
      </c>
      <c r="H482" s="469">
        <v>1.0030600000000001</v>
      </c>
      <c r="I482" s="469">
        <v>1.0030600000000001</v>
      </c>
      <c r="J482" s="469">
        <v>1.0030600000000001</v>
      </c>
      <c r="K482" s="469">
        <v>1.0030600000000001</v>
      </c>
      <c r="L482" s="469">
        <v>1.0030600000000001</v>
      </c>
      <c r="M482" s="469">
        <v>1.0030600000000001</v>
      </c>
      <c r="N482" s="469">
        <v>1.003061701</v>
      </c>
      <c r="O482" s="469">
        <v>1.003061701</v>
      </c>
      <c r="P482" s="469">
        <v>1.003061701</v>
      </c>
      <c r="Q482" s="469">
        <v>1.003061701</v>
      </c>
      <c r="R482" s="469">
        <v>1.003061701</v>
      </c>
      <c r="S482" s="469">
        <v>1.003061701</v>
      </c>
      <c r="T482" s="469">
        <f t="shared" si="39"/>
        <v>12.036730206</v>
      </c>
    </row>
    <row r="483" spans="1:20" s="469" customFormat="1">
      <c r="A483" s="469" t="str">
        <f t="shared" ref="A483:A534" si="40">MID($D483,4,2)</f>
        <v>KU</v>
      </c>
      <c r="B483" s="469" t="str">
        <f t="shared" ref="B483:B534" si="41">IF(MID($D483,12,2)="- ","KY",MID($D483,12,2))</f>
        <v>TN</v>
      </c>
      <c r="C483" s="469" t="str">
        <f t="shared" ref="C483:C534" si="42">MID($D483,8,3)</f>
        <v>360</v>
      </c>
      <c r="D483" s="470" t="s">
        <v>1832</v>
      </c>
      <c r="E483" s="468" t="str">
        <f t="shared" si="38"/>
        <v/>
      </c>
      <c r="H483" s="469">
        <v>1.2700000000000001E-3</v>
      </c>
      <c r="I483" s="469">
        <v>1.2700000000000001E-3</v>
      </c>
      <c r="J483" s="469">
        <v>1.2700000000000001E-3</v>
      </c>
      <c r="K483" s="469">
        <v>1.2700000000000001E-3</v>
      </c>
      <c r="L483" s="469">
        <v>1.2700000000000001E-3</v>
      </c>
      <c r="M483" s="469">
        <v>1.2700000000000001E-3</v>
      </c>
      <c r="N483" s="469">
        <v>1.2699148329999999E-3</v>
      </c>
      <c r="O483" s="469">
        <v>1.2699148329999999E-3</v>
      </c>
      <c r="P483" s="469">
        <v>1.2699148329999999E-3</v>
      </c>
      <c r="Q483" s="469">
        <v>1.2699148329999999E-3</v>
      </c>
      <c r="R483" s="469">
        <v>1.2699148329999999E-3</v>
      </c>
      <c r="S483" s="469">
        <v>1.2699148329999999E-3</v>
      </c>
      <c r="T483" s="469">
        <f t="shared" ref="T483:T547" si="43">SUM(H483:S483)</f>
        <v>1.5239488997999998E-2</v>
      </c>
    </row>
    <row r="484" spans="1:20" s="469" customFormat="1">
      <c r="A484" s="469" t="str">
        <f t="shared" si="40"/>
        <v>KU</v>
      </c>
      <c r="B484" s="469" t="str">
        <f t="shared" si="41"/>
        <v>VA</v>
      </c>
      <c r="C484" s="469" t="str">
        <f t="shared" si="42"/>
        <v>360</v>
      </c>
      <c r="D484" s="470" t="s">
        <v>1833</v>
      </c>
      <c r="E484" s="468" t="str">
        <f t="shared" si="38"/>
        <v/>
      </c>
      <c r="H484" s="469">
        <v>4.3979999999999998E-2</v>
      </c>
      <c r="I484" s="469">
        <v>4.3979999999999998E-2</v>
      </c>
      <c r="J484" s="469">
        <v>4.3979999999999998E-2</v>
      </c>
      <c r="K484" s="469">
        <v>4.3979999999999998E-2</v>
      </c>
      <c r="L484" s="469">
        <v>4.3979999999999998E-2</v>
      </c>
      <c r="M484" s="469">
        <v>4.3979999999999998E-2</v>
      </c>
      <c r="N484" s="469">
        <v>4.3984217829999998E-2</v>
      </c>
      <c r="O484" s="469">
        <v>4.3984217829999998E-2</v>
      </c>
      <c r="P484" s="469">
        <v>4.3984217829999998E-2</v>
      </c>
      <c r="Q484" s="469">
        <v>4.3984217829999998E-2</v>
      </c>
      <c r="R484" s="469">
        <v>4.3984217829999998E-2</v>
      </c>
      <c r="S484" s="469">
        <v>4.3984217829999998E-2</v>
      </c>
      <c r="T484" s="469">
        <f t="shared" si="43"/>
        <v>0.52778530698000004</v>
      </c>
    </row>
    <row r="485" spans="1:20" s="469" customFormat="1">
      <c r="A485" s="469" t="str">
        <f t="shared" si="40"/>
        <v>KU</v>
      </c>
      <c r="B485" s="469" t="str">
        <f t="shared" si="41"/>
        <v>KY</v>
      </c>
      <c r="C485" s="469" t="str">
        <f t="shared" si="42"/>
        <v>361</v>
      </c>
      <c r="D485" s="470" t="s">
        <v>1834</v>
      </c>
      <c r="E485" s="468" t="str">
        <f t="shared" si="38"/>
        <v/>
      </c>
      <c r="H485" s="469">
        <v>19.77834</v>
      </c>
      <c r="I485" s="469">
        <v>19.785309999999999</v>
      </c>
      <c r="J485" s="469">
        <v>19.835809999999999</v>
      </c>
      <c r="K485" s="469">
        <v>19.847329999999999</v>
      </c>
      <c r="L485" s="469">
        <v>19.85613</v>
      </c>
      <c r="M485" s="469">
        <v>19.901259999999901</v>
      </c>
      <c r="N485" s="469">
        <v>19.918635665</v>
      </c>
      <c r="O485" s="469">
        <v>19.918635665</v>
      </c>
      <c r="P485" s="469">
        <v>19.918635665</v>
      </c>
      <c r="Q485" s="469">
        <v>19.970497963</v>
      </c>
      <c r="R485" s="469">
        <v>20.022360250999998</v>
      </c>
      <c r="S485" s="469">
        <v>20.022360250999998</v>
      </c>
      <c r="T485" s="469">
        <f t="shared" si="43"/>
        <v>238.77530545999991</v>
      </c>
    </row>
    <row r="486" spans="1:20" s="469" customFormat="1">
      <c r="A486" s="469" t="str">
        <f t="shared" si="40"/>
        <v>KU</v>
      </c>
      <c r="B486" s="469" t="str">
        <f t="shared" si="41"/>
        <v>TN</v>
      </c>
      <c r="C486" s="469" t="str">
        <f t="shared" si="42"/>
        <v>361</v>
      </c>
      <c r="D486" s="470" t="s">
        <v>1835</v>
      </c>
      <c r="E486" s="468" t="str">
        <f t="shared" si="38"/>
        <v/>
      </c>
      <c r="H486" s="469">
        <v>4.2900000000000004E-3</v>
      </c>
      <c r="I486" s="469">
        <v>4.2900000000000004E-3</v>
      </c>
      <c r="J486" s="469">
        <v>4.2900000000000004E-3</v>
      </c>
      <c r="K486" s="469">
        <v>4.2900000000000004E-3</v>
      </c>
      <c r="L486" s="469">
        <v>4.2900000000000004E-3</v>
      </c>
      <c r="M486" s="469">
        <v>4.2900000000000004E-3</v>
      </c>
      <c r="N486" s="469">
        <v>4.2931499999999999E-3</v>
      </c>
      <c r="O486" s="469">
        <v>4.2931499999999999E-3</v>
      </c>
      <c r="P486" s="469">
        <v>4.2931499999999999E-3</v>
      </c>
      <c r="Q486" s="469">
        <v>4.2931499999999999E-3</v>
      </c>
      <c r="R486" s="469">
        <v>4.2931499999999999E-3</v>
      </c>
      <c r="S486" s="469">
        <v>4.2931499999999999E-3</v>
      </c>
      <c r="T486" s="469">
        <f t="shared" si="43"/>
        <v>5.1498900000000014E-2</v>
      </c>
    </row>
    <row r="487" spans="1:20" s="469" customFormat="1">
      <c r="A487" s="469" t="str">
        <f t="shared" si="40"/>
        <v>KU</v>
      </c>
      <c r="B487" s="469" t="str">
        <f t="shared" si="41"/>
        <v>VA</v>
      </c>
      <c r="C487" s="469" t="str">
        <f t="shared" si="42"/>
        <v>361</v>
      </c>
      <c r="D487" s="470" t="s">
        <v>1836</v>
      </c>
      <c r="E487" s="468" t="str">
        <f t="shared" si="38"/>
        <v/>
      </c>
      <c r="H487" s="469">
        <v>0.81042000000000003</v>
      </c>
      <c r="I487" s="469">
        <v>0.81042000000000003</v>
      </c>
      <c r="J487" s="469">
        <v>0.81042000000000003</v>
      </c>
      <c r="K487" s="469">
        <v>0.81042000000000003</v>
      </c>
      <c r="L487" s="469">
        <v>0.81659999999999999</v>
      </c>
      <c r="M487" s="469">
        <v>0.82279000000000002</v>
      </c>
      <c r="N487" s="469">
        <v>0.82278586669999998</v>
      </c>
      <c r="O487" s="469">
        <v>0.82278586669999998</v>
      </c>
      <c r="P487" s="469">
        <v>0.82278586669999998</v>
      </c>
      <c r="Q487" s="469">
        <v>0.82278586669999998</v>
      </c>
      <c r="R487" s="469">
        <v>0.82278586669999998</v>
      </c>
      <c r="S487" s="469">
        <v>0.82278586669999998</v>
      </c>
      <c r="T487" s="469">
        <f t="shared" si="43"/>
        <v>9.8177852002000012</v>
      </c>
    </row>
    <row r="488" spans="1:20" s="469" customFormat="1">
      <c r="A488" s="469" t="str">
        <f t="shared" si="40"/>
        <v>KU</v>
      </c>
      <c r="B488" s="469" t="str">
        <f t="shared" si="41"/>
        <v>KY</v>
      </c>
      <c r="C488" s="469" t="str">
        <f t="shared" si="42"/>
        <v>362</v>
      </c>
      <c r="D488" s="470" t="s">
        <v>1837</v>
      </c>
      <c r="E488" s="468" t="str">
        <f t="shared" si="38"/>
        <v/>
      </c>
      <c r="H488" s="469">
        <v>319.79734000000002</v>
      </c>
      <c r="I488" s="469">
        <v>319.39918999999998</v>
      </c>
      <c r="J488" s="469">
        <v>319.31778000000003</v>
      </c>
      <c r="K488" s="469">
        <v>320.17642999999998</v>
      </c>
      <c r="L488" s="469">
        <v>320.98096999999899</v>
      </c>
      <c r="M488" s="469">
        <v>321.46651000000003</v>
      </c>
      <c r="N488" s="469">
        <v>321.80990589999999</v>
      </c>
      <c r="O488" s="469">
        <v>321.74325941000001</v>
      </c>
      <c r="P488" s="469">
        <v>321.74976617999903</v>
      </c>
      <c r="Q488" s="469">
        <v>333.74263316999998</v>
      </c>
      <c r="R488" s="469">
        <v>345.75139960000001</v>
      </c>
      <c r="S488" s="469">
        <v>345.62442714999997</v>
      </c>
      <c r="T488" s="469">
        <f t="shared" si="43"/>
        <v>3911.5596114099981</v>
      </c>
    </row>
    <row r="489" spans="1:20" s="469" customFormat="1">
      <c r="A489" s="469" t="str">
        <f t="shared" si="40"/>
        <v>KU</v>
      </c>
      <c r="B489" s="469" t="str">
        <f t="shared" si="41"/>
        <v>TN</v>
      </c>
      <c r="C489" s="469" t="str">
        <f t="shared" si="42"/>
        <v>362</v>
      </c>
      <c r="D489" s="470" t="s">
        <v>1838</v>
      </c>
      <c r="E489" s="468" t="str">
        <f t="shared" si="38"/>
        <v/>
      </c>
      <c r="H489" s="469">
        <v>0.12651999999999999</v>
      </c>
      <c r="I489" s="469">
        <v>0.12651999999999999</v>
      </c>
      <c r="J489" s="469">
        <v>0.12651999999999999</v>
      </c>
      <c r="K489" s="469">
        <v>0.12651999999999999</v>
      </c>
      <c r="L489" s="469">
        <v>0.12651999999999999</v>
      </c>
      <c r="M489" s="469">
        <v>0.12651999999999999</v>
      </c>
      <c r="N489" s="469">
        <v>0.12652838124999999</v>
      </c>
      <c r="O489" s="469">
        <v>0.12652838124999999</v>
      </c>
      <c r="P489" s="469">
        <v>0.12652838124999999</v>
      </c>
      <c r="Q489" s="469">
        <v>0.12652838124999999</v>
      </c>
      <c r="R489" s="469">
        <v>0.12652838124999999</v>
      </c>
      <c r="S489" s="469">
        <v>0.12652838124999999</v>
      </c>
      <c r="T489" s="469">
        <f t="shared" si="43"/>
        <v>1.5182902874999997</v>
      </c>
    </row>
    <row r="490" spans="1:20" s="469" customFormat="1">
      <c r="A490" s="469" t="str">
        <f t="shared" si="40"/>
        <v>KU</v>
      </c>
      <c r="B490" s="469" t="str">
        <f t="shared" si="41"/>
        <v>VA</v>
      </c>
      <c r="C490" s="469" t="str">
        <f t="shared" si="42"/>
        <v>362</v>
      </c>
      <c r="D490" s="470" t="s">
        <v>1839</v>
      </c>
      <c r="E490" s="468" t="str">
        <f t="shared" si="38"/>
        <v/>
      </c>
      <c r="H490" s="469">
        <v>15.3889</v>
      </c>
      <c r="I490" s="469">
        <v>15.45233</v>
      </c>
      <c r="J490" s="469">
        <v>15.43702</v>
      </c>
      <c r="K490" s="469">
        <v>15.43566</v>
      </c>
      <c r="L490" s="469">
        <v>15.43566</v>
      </c>
      <c r="M490" s="469">
        <v>15.43566</v>
      </c>
      <c r="N490" s="469">
        <v>15.4378576483</v>
      </c>
      <c r="O490" s="469">
        <v>15.445727331700001</v>
      </c>
      <c r="P490" s="469">
        <v>15.454459211</v>
      </c>
      <c r="Q490" s="469">
        <v>15.515983604700001</v>
      </c>
      <c r="R490" s="469">
        <v>15.574451099999999</v>
      </c>
      <c r="S490" s="469">
        <v>15.574451099999999</v>
      </c>
      <c r="T490" s="469">
        <f t="shared" si="43"/>
        <v>185.58815999570001</v>
      </c>
    </row>
    <row r="491" spans="1:20" s="469" customFormat="1">
      <c r="A491" s="469" t="str">
        <f t="shared" si="40"/>
        <v>KU</v>
      </c>
      <c r="B491" s="469" t="str">
        <f t="shared" si="41"/>
        <v>KY</v>
      </c>
      <c r="C491" s="469" t="str">
        <f t="shared" si="42"/>
        <v>364</v>
      </c>
      <c r="D491" s="470" t="s">
        <v>2360</v>
      </c>
      <c r="E491" s="468" t="str">
        <f t="shared" si="38"/>
        <v>ECR</v>
      </c>
      <c r="H491" s="469">
        <v>5.1520000000000003E-2</v>
      </c>
      <c r="I491" s="469">
        <v>5.1520000000000003E-2</v>
      </c>
      <c r="J491" s="469">
        <v>5.1520000000000003E-2</v>
      </c>
      <c r="K491" s="469">
        <v>5.1520000000000003E-2</v>
      </c>
      <c r="L491" s="469">
        <v>5.1520000000000003E-2</v>
      </c>
      <c r="M491" s="469">
        <v>5.1520000000000003E-2</v>
      </c>
      <c r="N491" s="469">
        <v>5.1514746673000003E-2</v>
      </c>
      <c r="O491" s="469">
        <v>5.1514746673000003E-2</v>
      </c>
      <c r="P491" s="469">
        <v>5.1514746673000003E-2</v>
      </c>
      <c r="Q491" s="469">
        <v>5.1514746673000003E-2</v>
      </c>
      <c r="R491" s="469">
        <v>5.1514746673000003E-2</v>
      </c>
      <c r="S491" s="469">
        <v>5.1514746673000003E-2</v>
      </c>
      <c r="T491" s="469">
        <f t="shared" si="43"/>
        <v>0.61820848003800011</v>
      </c>
    </row>
    <row r="492" spans="1:20" s="469" customFormat="1">
      <c r="A492" s="469" t="str">
        <f t="shared" si="40"/>
        <v>KU</v>
      </c>
      <c r="B492" s="469" t="str">
        <f t="shared" si="41"/>
        <v>KY</v>
      </c>
      <c r="C492" s="469" t="str">
        <f t="shared" si="42"/>
        <v>364</v>
      </c>
      <c r="D492" s="470" t="s">
        <v>1840</v>
      </c>
      <c r="E492" s="468" t="str">
        <f t="shared" si="38"/>
        <v/>
      </c>
      <c r="H492" s="469">
        <v>653.87338</v>
      </c>
      <c r="I492" s="469">
        <v>655.98484999999903</v>
      </c>
      <c r="J492" s="469">
        <v>657.81533000000002</v>
      </c>
      <c r="K492" s="469">
        <v>658.10212000000001</v>
      </c>
      <c r="L492" s="469">
        <v>658.56750999999997</v>
      </c>
      <c r="M492" s="469">
        <v>657.05068000000006</v>
      </c>
      <c r="N492" s="469">
        <v>657.15312198000004</v>
      </c>
      <c r="O492" s="469">
        <v>659.31000645999995</v>
      </c>
      <c r="P492" s="469">
        <v>660.08694021999997</v>
      </c>
      <c r="Q492" s="469">
        <v>667.01815209999995</v>
      </c>
      <c r="R492" s="469">
        <v>674.28443499000002</v>
      </c>
      <c r="S492" s="469">
        <v>675.68175561999999</v>
      </c>
      <c r="T492" s="469">
        <f t="shared" si="43"/>
        <v>7934.9282813699983</v>
      </c>
    </row>
    <row r="493" spans="1:20" s="469" customFormat="1">
      <c r="A493" s="469" t="str">
        <f t="shared" si="40"/>
        <v>KU</v>
      </c>
      <c r="B493" s="469" t="str">
        <f t="shared" si="41"/>
        <v>TN</v>
      </c>
      <c r="C493" s="469" t="str">
        <f t="shared" si="42"/>
        <v>364</v>
      </c>
      <c r="D493" s="470" t="s">
        <v>1841</v>
      </c>
      <c r="E493" s="468" t="str">
        <f t="shared" si="38"/>
        <v/>
      </c>
      <c r="H493" s="469">
        <v>9.2780000000000001E-2</v>
      </c>
      <c r="I493" s="469">
        <v>9.2780000000000001E-2</v>
      </c>
      <c r="J493" s="469">
        <v>9.2780000000000001E-2</v>
      </c>
      <c r="K493" s="469">
        <v>9.2780000000000001E-2</v>
      </c>
      <c r="L493" s="469">
        <v>9.2780000000000001E-2</v>
      </c>
      <c r="M493" s="469">
        <v>9.2780000000000001E-2</v>
      </c>
      <c r="N493" s="469">
        <v>9.2783629000000006E-2</v>
      </c>
      <c r="O493" s="469">
        <v>9.2783629000000006E-2</v>
      </c>
      <c r="P493" s="469">
        <v>9.2783629000000006E-2</v>
      </c>
      <c r="Q493" s="469">
        <v>9.2783629000000006E-2</v>
      </c>
      <c r="R493" s="469">
        <v>9.2783629000000006E-2</v>
      </c>
      <c r="S493" s="469">
        <v>9.2783629000000006E-2</v>
      </c>
      <c r="T493" s="469">
        <f t="shared" si="43"/>
        <v>1.113381774</v>
      </c>
    </row>
    <row r="494" spans="1:20" s="469" customFormat="1">
      <c r="A494" s="469" t="str">
        <f t="shared" si="40"/>
        <v>KU</v>
      </c>
      <c r="B494" s="469" t="str">
        <f t="shared" si="41"/>
        <v>VA</v>
      </c>
      <c r="C494" s="469" t="str">
        <f t="shared" si="42"/>
        <v>364</v>
      </c>
      <c r="D494" s="470" t="s">
        <v>1842</v>
      </c>
      <c r="E494" s="468" t="str">
        <f t="shared" si="38"/>
        <v/>
      </c>
      <c r="H494" s="469">
        <v>52.25573</v>
      </c>
      <c r="I494" s="469">
        <v>52.351019999999998</v>
      </c>
      <c r="J494" s="469">
        <v>52.553890000000003</v>
      </c>
      <c r="K494" s="469">
        <v>52.691379999999903</v>
      </c>
      <c r="L494" s="469">
        <v>52.780089999999902</v>
      </c>
      <c r="M494" s="469">
        <v>52.775950000000002</v>
      </c>
      <c r="N494" s="469">
        <v>52.925903805999901</v>
      </c>
      <c r="O494" s="469">
        <v>53.904935010999999</v>
      </c>
      <c r="P494" s="469">
        <v>54.628632547000002</v>
      </c>
      <c r="Q494" s="469">
        <v>55.061609765999997</v>
      </c>
      <c r="R494" s="469">
        <v>55.535173090999997</v>
      </c>
      <c r="S494" s="469">
        <v>55.576095432000002</v>
      </c>
      <c r="T494" s="469">
        <f t="shared" si="43"/>
        <v>643.04040965299976</v>
      </c>
    </row>
    <row r="495" spans="1:20" s="469" customFormat="1">
      <c r="A495" s="469" t="str">
        <f t="shared" si="40"/>
        <v>KU</v>
      </c>
      <c r="B495" s="469" t="str">
        <f t="shared" si="41"/>
        <v>KY</v>
      </c>
      <c r="C495" s="469" t="str">
        <f t="shared" si="42"/>
        <v>365</v>
      </c>
      <c r="D495" s="470" t="s">
        <v>2361</v>
      </c>
      <c r="E495" s="468" t="str">
        <f t="shared" si="38"/>
        <v>ECR</v>
      </c>
      <c r="H495" s="469">
        <v>6.3530000000000003E-2</v>
      </c>
      <c r="I495" s="469">
        <v>6.3530000000000003E-2</v>
      </c>
      <c r="J495" s="469">
        <v>6.3530000000000003E-2</v>
      </c>
      <c r="K495" s="469">
        <v>6.3530000000000003E-2</v>
      </c>
      <c r="L495" s="469">
        <v>6.3530000000000003E-2</v>
      </c>
      <c r="M495" s="469">
        <v>6.3530000000000003E-2</v>
      </c>
      <c r="N495" s="469">
        <v>6.3521745249999997E-2</v>
      </c>
      <c r="O495" s="469">
        <v>6.3521745249999997E-2</v>
      </c>
      <c r="P495" s="469">
        <v>6.3521745249999997E-2</v>
      </c>
      <c r="Q495" s="469">
        <v>6.3521745249999997E-2</v>
      </c>
      <c r="R495" s="469">
        <v>6.3521745249999997E-2</v>
      </c>
      <c r="S495" s="469">
        <v>6.3521745249999997E-2</v>
      </c>
      <c r="T495" s="469">
        <f t="shared" si="43"/>
        <v>0.76231047149999986</v>
      </c>
    </row>
    <row r="496" spans="1:20" s="469" customFormat="1">
      <c r="A496" s="469" t="str">
        <f t="shared" si="40"/>
        <v>KU</v>
      </c>
      <c r="B496" s="469" t="str">
        <f t="shared" si="41"/>
        <v>KY</v>
      </c>
      <c r="C496" s="469" t="str">
        <f t="shared" si="42"/>
        <v>365</v>
      </c>
      <c r="D496" s="470" t="s">
        <v>1843</v>
      </c>
      <c r="E496" s="468" t="str">
        <f t="shared" si="38"/>
        <v/>
      </c>
      <c r="H496" s="469">
        <v>872.12410999999997</v>
      </c>
      <c r="I496" s="469">
        <v>876.15517999999997</v>
      </c>
      <c r="J496" s="469">
        <v>880.47203999999999</v>
      </c>
      <c r="K496" s="469">
        <v>882.00837999999999</v>
      </c>
      <c r="L496" s="469">
        <v>882.49365</v>
      </c>
      <c r="M496" s="469">
        <v>878.71752000000004</v>
      </c>
      <c r="N496" s="469">
        <v>880.13161550999905</v>
      </c>
      <c r="O496" s="469">
        <v>887.66325227999903</v>
      </c>
      <c r="P496" s="469">
        <v>891.49794309000004</v>
      </c>
      <c r="Q496" s="469">
        <v>904.89206958</v>
      </c>
      <c r="R496" s="469">
        <v>918.58394653000005</v>
      </c>
      <c r="S496" s="469">
        <v>922.44832199999996</v>
      </c>
      <c r="T496" s="469">
        <f t="shared" si="43"/>
        <v>10677.18802899</v>
      </c>
    </row>
    <row r="497" spans="1:20" s="469" customFormat="1">
      <c r="A497" s="469" t="str">
        <f t="shared" si="40"/>
        <v>KU</v>
      </c>
      <c r="B497" s="469" t="str">
        <f t="shared" si="41"/>
        <v>TN</v>
      </c>
      <c r="C497" s="469" t="str">
        <f t="shared" si="42"/>
        <v>365</v>
      </c>
      <c r="D497" s="470" t="s">
        <v>1844</v>
      </c>
      <c r="E497" s="468" t="str">
        <f t="shared" si="38"/>
        <v/>
      </c>
      <c r="H497" s="469">
        <v>0.12587000000000001</v>
      </c>
      <c r="I497" s="469">
        <v>0.12587000000000001</v>
      </c>
      <c r="J497" s="469">
        <v>0.12587000000000001</v>
      </c>
      <c r="K497" s="469">
        <v>0.12587000000000001</v>
      </c>
      <c r="L497" s="469">
        <v>0.12587000000000001</v>
      </c>
      <c r="M497" s="469">
        <v>0.12587000000000001</v>
      </c>
      <c r="N497" s="469">
        <v>0.1258710005</v>
      </c>
      <c r="O497" s="469">
        <v>0.1258710005</v>
      </c>
      <c r="P497" s="469">
        <v>0.1258710005</v>
      </c>
      <c r="Q497" s="469">
        <v>0.1258710005</v>
      </c>
      <c r="R497" s="469">
        <v>0.1258710005</v>
      </c>
      <c r="S497" s="469">
        <v>0.1258710005</v>
      </c>
      <c r="T497" s="469">
        <f t="shared" si="43"/>
        <v>1.5104460030000006</v>
      </c>
    </row>
    <row r="498" spans="1:20" s="469" customFormat="1">
      <c r="A498" s="469" t="str">
        <f t="shared" si="40"/>
        <v>KU</v>
      </c>
      <c r="B498" s="469" t="str">
        <f t="shared" si="41"/>
        <v>VA</v>
      </c>
      <c r="C498" s="469" t="str">
        <f t="shared" si="42"/>
        <v>365</v>
      </c>
      <c r="D498" s="470" t="s">
        <v>1845</v>
      </c>
      <c r="E498" s="468" t="str">
        <f t="shared" ref="E498:E547" si="44">IF(ISTEXT(MID($D498,SEARCH("FUTURE USE",$D498),3)),"FUTURE USE",IF(ISTEXT(MID($D498,SEARCH("ECR",$D498),3)),"ECR",IF(ISTEXT(MID($D498,SEARCH("ARO",$D498),3)),"ARO",IF(ISTEXT(MID($D498,SEARCH("DSM",$D498),3)),"DSM",""))))</f>
        <v/>
      </c>
      <c r="H498" s="469">
        <v>65.341459999999998</v>
      </c>
      <c r="I498" s="469">
        <v>65.488739999999893</v>
      </c>
      <c r="J498" s="469">
        <v>65.648610000000005</v>
      </c>
      <c r="K498" s="469">
        <v>65.698660000000004</v>
      </c>
      <c r="L498" s="469">
        <v>65.693740000000005</v>
      </c>
      <c r="M498" s="469">
        <v>65.618409999999997</v>
      </c>
      <c r="N498" s="469">
        <v>66.394214785000003</v>
      </c>
      <c r="O498" s="469">
        <v>67.576502310999999</v>
      </c>
      <c r="P498" s="469">
        <v>68.079500530000004</v>
      </c>
      <c r="Q498" s="469">
        <v>68.676474972999998</v>
      </c>
      <c r="R498" s="469">
        <v>69.295265723</v>
      </c>
      <c r="S498" s="469">
        <v>69.665363693000003</v>
      </c>
      <c r="T498" s="469">
        <f t="shared" si="43"/>
        <v>803.1769420149999</v>
      </c>
    </row>
    <row r="499" spans="1:20" s="469" customFormat="1">
      <c r="A499" s="469" t="str">
        <f t="shared" si="40"/>
        <v>KU</v>
      </c>
      <c r="B499" s="469" t="str">
        <f t="shared" si="41"/>
        <v>KY</v>
      </c>
      <c r="C499" s="469" t="str">
        <f t="shared" si="42"/>
        <v>366</v>
      </c>
      <c r="D499" s="470" t="s">
        <v>2362</v>
      </c>
      <c r="E499" s="468" t="str">
        <f t="shared" si="44"/>
        <v>ECR</v>
      </c>
      <c r="H499" s="469">
        <v>0.38475999999999999</v>
      </c>
      <c r="I499" s="469">
        <v>0.38475999999999999</v>
      </c>
      <c r="J499" s="469">
        <v>0.38475999999999999</v>
      </c>
      <c r="K499" s="469">
        <v>0.38475999999999999</v>
      </c>
      <c r="L499" s="469">
        <v>0.38475999999999999</v>
      </c>
      <c r="M499" s="469">
        <v>0.38475999999999999</v>
      </c>
      <c r="N499" s="469">
        <v>0.38475566999999999</v>
      </c>
      <c r="O499" s="469">
        <v>0.38475566999999999</v>
      </c>
      <c r="P499" s="469">
        <v>0.38475566999999999</v>
      </c>
      <c r="Q499" s="469">
        <v>0.38475566999999999</v>
      </c>
      <c r="R499" s="469">
        <v>0.38475566999999999</v>
      </c>
      <c r="S499" s="469">
        <v>0.38475566999999999</v>
      </c>
      <c r="T499" s="469">
        <f t="shared" si="43"/>
        <v>4.6170940199999997</v>
      </c>
    </row>
    <row r="500" spans="1:20" s="469" customFormat="1">
      <c r="A500" s="469" t="str">
        <f t="shared" si="40"/>
        <v>KU</v>
      </c>
      <c r="B500" s="469" t="str">
        <f t="shared" si="41"/>
        <v>KY</v>
      </c>
      <c r="C500" s="469" t="str">
        <f t="shared" si="42"/>
        <v>366</v>
      </c>
      <c r="D500" s="470" t="s">
        <v>1846</v>
      </c>
      <c r="E500" s="468" t="str">
        <f t="shared" si="44"/>
        <v/>
      </c>
      <c r="H500" s="469">
        <v>4.5111699999999999</v>
      </c>
      <c r="I500" s="469">
        <v>4.5087200000000003</v>
      </c>
      <c r="J500" s="469">
        <v>4.5062499999999996</v>
      </c>
      <c r="K500" s="469">
        <v>4.5062499999999996</v>
      </c>
      <c r="L500" s="469">
        <v>4.5062499999999996</v>
      </c>
      <c r="M500" s="469">
        <v>4.73963</v>
      </c>
      <c r="N500" s="469">
        <v>4.9730065878999996</v>
      </c>
      <c r="O500" s="469">
        <v>4.9730065878999996</v>
      </c>
      <c r="P500" s="469">
        <v>4.9730065878999996</v>
      </c>
      <c r="Q500" s="469">
        <v>4.9730065878999996</v>
      </c>
      <c r="R500" s="469">
        <v>4.9730065878999996</v>
      </c>
      <c r="S500" s="469">
        <v>4.9730065878999996</v>
      </c>
      <c r="T500" s="469">
        <f t="shared" si="43"/>
        <v>57.116309527400013</v>
      </c>
    </row>
    <row r="501" spans="1:20" s="469" customFormat="1">
      <c r="A501" s="469" t="str">
        <f t="shared" si="40"/>
        <v>KU</v>
      </c>
      <c r="B501" s="469" t="str">
        <f t="shared" si="41"/>
        <v>KY</v>
      </c>
      <c r="C501" s="469" t="str">
        <f t="shared" si="42"/>
        <v>367</v>
      </c>
      <c r="D501" s="470" t="s">
        <v>2363</v>
      </c>
      <c r="E501" s="468" t="str">
        <f t="shared" si="44"/>
        <v>ECR</v>
      </c>
      <c r="H501" s="469">
        <v>2.6190799999999999</v>
      </c>
      <c r="I501" s="469">
        <v>2.6190799999999999</v>
      </c>
      <c r="J501" s="469">
        <v>2.6190799999999999</v>
      </c>
      <c r="K501" s="469">
        <v>2.6190799999999999</v>
      </c>
      <c r="L501" s="469">
        <v>2.6190799999999999</v>
      </c>
      <c r="M501" s="469">
        <v>2.6190799999999999</v>
      </c>
      <c r="N501" s="469">
        <v>2.6190778562000001</v>
      </c>
      <c r="O501" s="469">
        <v>2.6190778562000001</v>
      </c>
      <c r="P501" s="469">
        <v>2.6190778562000001</v>
      </c>
      <c r="Q501" s="469">
        <v>2.6190778562000001</v>
      </c>
      <c r="R501" s="469">
        <v>2.6190778562000001</v>
      </c>
      <c r="S501" s="469">
        <v>2.6190778562000001</v>
      </c>
      <c r="T501" s="469">
        <f t="shared" si="43"/>
        <v>31.428947137200002</v>
      </c>
    </row>
    <row r="502" spans="1:20" s="469" customFormat="1">
      <c r="A502" s="469" t="str">
        <f t="shared" si="40"/>
        <v>KU</v>
      </c>
      <c r="B502" s="469" t="str">
        <f t="shared" si="41"/>
        <v>KY</v>
      </c>
      <c r="C502" s="469" t="str">
        <f t="shared" si="42"/>
        <v>367</v>
      </c>
      <c r="D502" s="470" t="s">
        <v>1847</v>
      </c>
      <c r="E502" s="468" t="str">
        <f t="shared" si="44"/>
        <v/>
      </c>
      <c r="H502" s="469">
        <v>352.40037999999998</v>
      </c>
      <c r="I502" s="469">
        <v>354.083159999999</v>
      </c>
      <c r="J502" s="469">
        <v>356.63650000000001</v>
      </c>
      <c r="K502" s="469">
        <v>357.610669999999</v>
      </c>
      <c r="L502" s="469">
        <v>358.46073999999999</v>
      </c>
      <c r="M502" s="469">
        <v>356.96735999999999</v>
      </c>
      <c r="N502" s="469">
        <v>355.72571461000001</v>
      </c>
      <c r="O502" s="469">
        <v>358.12246871000002</v>
      </c>
      <c r="P502" s="469">
        <v>360.59427642000003</v>
      </c>
      <c r="Q502" s="469">
        <v>362.72148160999899</v>
      </c>
      <c r="R502" s="469">
        <v>364.90940563999999</v>
      </c>
      <c r="S502" s="469">
        <v>367.13963670999999</v>
      </c>
      <c r="T502" s="469">
        <f t="shared" si="43"/>
        <v>4305.3717936999974</v>
      </c>
    </row>
    <row r="503" spans="1:20" s="469" customFormat="1">
      <c r="A503" s="469" t="str">
        <f t="shared" si="40"/>
        <v>KU</v>
      </c>
      <c r="B503" s="469" t="str">
        <f t="shared" si="41"/>
        <v>VA</v>
      </c>
      <c r="C503" s="469" t="str">
        <f t="shared" si="42"/>
        <v>367</v>
      </c>
      <c r="D503" s="470" t="s">
        <v>1848</v>
      </c>
      <c r="E503" s="468" t="str">
        <f t="shared" si="44"/>
        <v/>
      </c>
      <c r="H503" s="469">
        <v>7.9904700000000002</v>
      </c>
      <c r="I503" s="469">
        <v>8.0816400000000002</v>
      </c>
      <c r="J503" s="469">
        <v>8.1885899999999996</v>
      </c>
      <c r="K503" s="469">
        <v>8.23325</v>
      </c>
      <c r="L503" s="469">
        <v>8.1327499999999997</v>
      </c>
      <c r="M503" s="469">
        <v>8.0503099999999996</v>
      </c>
      <c r="N503" s="469">
        <v>8.1233148796000005</v>
      </c>
      <c r="O503" s="469">
        <v>8.1848435254999998</v>
      </c>
      <c r="P503" s="469">
        <v>8.2517544325000003</v>
      </c>
      <c r="Q503" s="469">
        <v>9.2135050633999995</v>
      </c>
      <c r="R503" s="469">
        <v>10.165844573099999</v>
      </c>
      <c r="S503" s="469">
        <v>10.2398462335</v>
      </c>
      <c r="T503" s="469">
        <f t="shared" si="43"/>
        <v>102.85611870759999</v>
      </c>
    </row>
    <row r="504" spans="1:20" s="469" customFormat="1">
      <c r="A504" s="469" t="str">
        <f t="shared" si="40"/>
        <v>KU</v>
      </c>
      <c r="B504" s="469" t="str">
        <f t="shared" si="41"/>
        <v>KY</v>
      </c>
      <c r="C504" s="469" t="str">
        <f t="shared" si="42"/>
        <v>368</v>
      </c>
      <c r="D504" s="470" t="s">
        <v>1849</v>
      </c>
      <c r="E504" s="468" t="str">
        <f t="shared" si="44"/>
        <v/>
      </c>
      <c r="H504" s="469">
        <v>603.70078000000001</v>
      </c>
      <c r="I504" s="469">
        <v>604.47004000000004</v>
      </c>
      <c r="J504" s="469">
        <v>605.95889</v>
      </c>
      <c r="K504" s="469">
        <v>607.57176000000004</v>
      </c>
      <c r="L504" s="469">
        <v>608.13977</v>
      </c>
      <c r="M504" s="469">
        <v>609.13261999999997</v>
      </c>
      <c r="N504" s="469">
        <v>610.51920537999899</v>
      </c>
      <c r="O504" s="469">
        <v>612.12222208000003</v>
      </c>
      <c r="P504" s="469">
        <v>613.73217746999899</v>
      </c>
      <c r="Q504" s="469">
        <v>615.26494128000002</v>
      </c>
      <c r="R504" s="469">
        <v>616.20944896000003</v>
      </c>
      <c r="S504" s="469">
        <v>617.07321176000005</v>
      </c>
      <c r="T504" s="469">
        <f t="shared" si="43"/>
        <v>7323.8950669299975</v>
      </c>
    </row>
    <row r="505" spans="1:20" s="469" customFormat="1">
      <c r="A505" s="469" t="str">
        <f t="shared" si="40"/>
        <v>KU</v>
      </c>
      <c r="B505" s="469" t="str">
        <f t="shared" si="41"/>
        <v>TN</v>
      </c>
      <c r="C505" s="469" t="str">
        <f t="shared" si="42"/>
        <v>368</v>
      </c>
      <c r="D505" s="470" t="s">
        <v>1850</v>
      </c>
      <c r="E505" s="468" t="str">
        <f t="shared" si="44"/>
        <v/>
      </c>
      <c r="H505" s="469">
        <v>6.3600000000000002E-3</v>
      </c>
      <c r="I505" s="469">
        <v>6.3600000000000002E-3</v>
      </c>
      <c r="J505" s="469">
        <v>6.3600000000000002E-3</v>
      </c>
      <c r="K505" s="469">
        <v>6.3600000000000002E-3</v>
      </c>
      <c r="L505" s="469">
        <v>6.3600000000000002E-3</v>
      </c>
      <c r="M505" s="469">
        <v>6.3600000000000002E-3</v>
      </c>
      <c r="N505" s="469">
        <v>6.366488333E-3</v>
      </c>
      <c r="O505" s="469">
        <v>6.366488333E-3</v>
      </c>
      <c r="P505" s="469">
        <v>6.366488333E-3</v>
      </c>
      <c r="Q505" s="469">
        <v>6.366488333E-3</v>
      </c>
      <c r="R505" s="469">
        <v>6.366488333E-3</v>
      </c>
      <c r="S505" s="469">
        <v>6.366488333E-3</v>
      </c>
      <c r="T505" s="469">
        <f t="shared" si="43"/>
        <v>7.6358929998000008E-2</v>
      </c>
    </row>
    <row r="506" spans="1:20" s="469" customFormat="1">
      <c r="A506" s="469" t="str">
        <f t="shared" si="40"/>
        <v>KU</v>
      </c>
      <c r="B506" s="469" t="str">
        <f t="shared" si="41"/>
        <v>VA</v>
      </c>
      <c r="C506" s="469" t="str">
        <f t="shared" si="42"/>
        <v>368</v>
      </c>
      <c r="D506" s="470" t="s">
        <v>1851</v>
      </c>
      <c r="E506" s="468" t="str">
        <f t="shared" si="44"/>
        <v/>
      </c>
      <c r="H506" s="469">
        <v>27.2254</v>
      </c>
      <c r="I506" s="469">
        <v>27.2254</v>
      </c>
      <c r="J506" s="469">
        <v>26.607109999999999</v>
      </c>
      <c r="K506" s="469">
        <v>25.98882</v>
      </c>
      <c r="L506" s="469">
        <v>25.98882</v>
      </c>
      <c r="M506" s="469">
        <v>25.982620000000001</v>
      </c>
      <c r="N506" s="469">
        <v>25.976428535499998</v>
      </c>
      <c r="O506" s="469">
        <v>25.976428535499998</v>
      </c>
      <c r="P506" s="469">
        <v>25.976428535499998</v>
      </c>
      <c r="Q506" s="469">
        <v>25.976428535499998</v>
      </c>
      <c r="R506" s="469">
        <v>25.976428535499998</v>
      </c>
      <c r="S506" s="469">
        <v>25.976428535499998</v>
      </c>
      <c r="T506" s="469">
        <f t="shared" si="43"/>
        <v>314.876741213</v>
      </c>
    </row>
    <row r="507" spans="1:20" s="469" customFormat="1">
      <c r="A507" s="469" t="str">
        <f t="shared" si="40"/>
        <v>KU</v>
      </c>
      <c r="B507" s="469" t="str">
        <f t="shared" si="41"/>
        <v>KY</v>
      </c>
      <c r="C507" s="469" t="str">
        <f t="shared" si="42"/>
        <v>369</v>
      </c>
      <c r="D507" s="470" t="s">
        <v>1852</v>
      </c>
      <c r="E507" s="468" t="str">
        <f t="shared" si="44"/>
        <v/>
      </c>
      <c r="H507" s="469">
        <v>151.79978</v>
      </c>
      <c r="I507" s="469">
        <v>151.84594999999999</v>
      </c>
      <c r="J507" s="469">
        <v>151.9169</v>
      </c>
      <c r="K507" s="469">
        <v>151.94168999999999</v>
      </c>
      <c r="L507" s="469">
        <v>151.96508</v>
      </c>
      <c r="M507" s="469">
        <v>158.31492</v>
      </c>
      <c r="N507" s="469">
        <v>164.58861117999999</v>
      </c>
      <c r="O507" s="469">
        <v>164.53585891</v>
      </c>
      <c r="P507" s="469">
        <v>164.53585891</v>
      </c>
      <c r="Q507" s="469">
        <v>164.53585891</v>
      </c>
      <c r="R507" s="469">
        <v>164.53585891</v>
      </c>
      <c r="S507" s="469">
        <v>164.53585891</v>
      </c>
      <c r="T507" s="469">
        <f t="shared" si="43"/>
        <v>1905.0522257300004</v>
      </c>
    </row>
    <row r="508" spans="1:20" s="469" customFormat="1">
      <c r="A508" s="469" t="str">
        <f t="shared" si="40"/>
        <v>KU</v>
      </c>
      <c r="B508" s="469" t="str">
        <f t="shared" si="41"/>
        <v>TN</v>
      </c>
      <c r="C508" s="469" t="str">
        <f t="shared" si="42"/>
        <v>369</v>
      </c>
      <c r="D508" s="470" t="s">
        <v>1853</v>
      </c>
      <c r="E508" s="468" t="str">
        <f t="shared" si="44"/>
        <v/>
      </c>
      <c r="H508" s="469">
        <v>4.2999999999999999E-4</v>
      </c>
      <c r="I508" s="469">
        <v>4.2999999999999999E-4</v>
      </c>
      <c r="J508" s="469">
        <v>4.2999999999999999E-4</v>
      </c>
      <c r="K508" s="469">
        <v>4.2999999999999999E-4</v>
      </c>
      <c r="L508" s="469">
        <v>4.2999999999999999E-4</v>
      </c>
      <c r="M508" s="469">
        <v>4.2999999999999999E-4</v>
      </c>
      <c r="N508" s="469">
        <v>4.3073216700000001E-4</v>
      </c>
      <c r="O508" s="469">
        <v>4.3073216700000001E-4</v>
      </c>
      <c r="P508" s="469">
        <v>4.3073216700000001E-4</v>
      </c>
      <c r="Q508" s="469">
        <v>4.3073216700000001E-4</v>
      </c>
      <c r="R508" s="469">
        <v>4.3073216700000001E-4</v>
      </c>
      <c r="S508" s="469">
        <v>4.3073216700000001E-4</v>
      </c>
      <c r="T508" s="469">
        <f t="shared" si="43"/>
        <v>5.1643930019999998E-3</v>
      </c>
    </row>
    <row r="509" spans="1:20" s="469" customFormat="1">
      <c r="A509" s="469" t="str">
        <f t="shared" si="40"/>
        <v>KU</v>
      </c>
      <c r="B509" s="469" t="str">
        <f t="shared" si="41"/>
        <v>VA</v>
      </c>
      <c r="C509" s="469" t="str">
        <f t="shared" si="42"/>
        <v>369</v>
      </c>
      <c r="D509" s="470" t="s">
        <v>1854</v>
      </c>
      <c r="E509" s="468" t="str">
        <f t="shared" si="44"/>
        <v/>
      </c>
      <c r="H509" s="469">
        <v>8.8283100000000001</v>
      </c>
      <c r="I509" s="469">
        <v>8.8283100000000001</v>
      </c>
      <c r="J509" s="469">
        <v>8.8283100000000001</v>
      </c>
      <c r="K509" s="469">
        <v>8.8283100000000001</v>
      </c>
      <c r="L509" s="469">
        <v>8.8283100000000001</v>
      </c>
      <c r="M509" s="469">
        <v>9.0653799999999993</v>
      </c>
      <c r="N509" s="469">
        <v>9.3024537019999993</v>
      </c>
      <c r="O509" s="469">
        <v>9.3024537019999993</v>
      </c>
      <c r="P509" s="469">
        <v>9.3024537019999993</v>
      </c>
      <c r="Q509" s="469">
        <v>9.3024537019999993</v>
      </c>
      <c r="R509" s="469">
        <v>9.3024537019999993</v>
      </c>
      <c r="S509" s="469">
        <v>9.3024537019999993</v>
      </c>
      <c r="T509" s="469">
        <f t="shared" si="43"/>
        <v>109.02165221199998</v>
      </c>
    </row>
    <row r="510" spans="1:20" s="469" customFormat="1">
      <c r="A510" s="469" t="str">
        <f t="shared" si="40"/>
        <v>KU</v>
      </c>
      <c r="B510" s="469" t="str">
        <f t="shared" si="41"/>
        <v>KY</v>
      </c>
      <c r="C510" s="469" t="str">
        <f t="shared" si="42"/>
        <v>370</v>
      </c>
      <c r="D510" s="470" t="s">
        <v>1855</v>
      </c>
      <c r="E510" s="468" t="str">
        <f t="shared" si="44"/>
        <v/>
      </c>
      <c r="H510" s="469">
        <v>139.11257999999901</v>
      </c>
      <c r="I510" s="469">
        <v>139.54951</v>
      </c>
      <c r="J510" s="469">
        <v>139.81886</v>
      </c>
      <c r="K510" s="469">
        <v>140.02301</v>
      </c>
      <c r="L510" s="469">
        <v>140.15816000000001</v>
      </c>
      <c r="M510" s="469">
        <v>140.45965000000001</v>
      </c>
      <c r="N510" s="469">
        <v>140.87270789999999</v>
      </c>
      <c r="O510" s="469">
        <v>141.19451900000001</v>
      </c>
      <c r="P510" s="469">
        <v>141.46449949999999</v>
      </c>
      <c r="Q510" s="469">
        <v>141.58992189999901</v>
      </c>
      <c r="R510" s="469">
        <v>141.65385130000001</v>
      </c>
      <c r="S510" s="469">
        <v>141.94167709999999</v>
      </c>
      <c r="T510" s="469">
        <f t="shared" si="43"/>
        <v>1687.8389466999979</v>
      </c>
    </row>
    <row r="511" spans="1:20" s="469" customFormat="1">
      <c r="A511" s="469" t="str">
        <f t="shared" si="40"/>
        <v>KU</v>
      </c>
      <c r="B511" s="469" t="str">
        <f t="shared" si="41"/>
        <v>TN</v>
      </c>
      <c r="C511" s="469" t="str">
        <f t="shared" si="42"/>
        <v>370</v>
      </c>
      <c r="D511" s="470" t="s">
        <v>1856</v>
      </c>
      <c r="E511" s="468" t="str">
        <f t="shared" si="44"/>
        <v/>
      </c>
      <c r="H511" s="469">
        <v>8.0099999999999998E-3</v>
      </c>
      <c r="I511" s="469">
        <v>8.0099999999999998E-3</v>
      </c>
      <c r="J511" s="469">
        <v>8.0099999999999998E-3</v>
      </c>
      <c r="K511" s="469">
        <v>8.0099999999999998E-3</v>
      </c>
      <c r="L511" s="469">
        <v>8.0099999999999998E-3</v>
      </c>
      <c r="M511" s="469">
        <v>8.0099999999999998E-3</v>
      </c>
      <c r="N511" s="469">
        <v>8.0134924169999993E-3</v>
      </c>
      <c r="O511" s="469">
        <v>8.0134924169999993E-3</v>
      </c>
      <c r="P511" s="469">
        <v>8.0134924169999993E-3</v>
      </c>
      <c r="Q511" s="469">
        <v>8.0134924169999993E-3</v>
      </c>
      <c r="R511" s="469">
        <v>8.0134924169999993E-3</v>
      </c>
      <c r="S511" s="469">
        <v>8.0134924169999993E-3</v>
      </c>
      <c r="T511" s="469">
        <f t="shared" si="43"/>
        <v>9.6140954502000012E-2</v>
      </c>
    </row>
    <row r="512" spans="1:20" s="469" customFormat="1">
      <c r="A512" s="469" t="str">
        <f t="shared" si="40"/>
        <v>KU</v>
      </c>
      <c r="B512" s="469" t="str">
        <f t="shared" si="41"/>
        <v>VA</v>
      </c>
      <c r="C512" s="469" t="str">
        <f t="shared" si="42"/>
        <v>370</v>
      </c>
      <c r="D512" s="470" t="s">
        <v>1857</v>
      </c>
      <c r="E512" s="468" t="str">
        <f t="shared" si="44"/>
        <v/>
      </c>
      <c r="H512" s="469">
        <v>7.6991499999999897</v>
      </c>
      <c r="I512" s="469">
        <v>7.6125400000000001</v>
      </c>
      <c r="J512" s="469">
        <v>7.7472099999999999</v>
      </c>
      <c r="K512" s="469">
        <v>7.8492899999999999</v>
      </c>
      <c r="L512" s="469">
        <v>7.9168599999999998</v>
      </c>
      <c r="M512" s="469">
        <v>7.7294499999999999</v>
      </c>
      <c r="N512" s="469">
        <v>7.5151575020000001</v>
      </c>
      <c r="O512" s="469">
        <v>7.5151575020000001</v>
      </c>
      <c r="P512" s="469">
        <v>7.5151575020000001</v>
      </c>
      <c r="Q512" s="469">
        <v>7.5151575020000001</v>
      </c>
      <c r="R512" s="469">
        <v>7.5151575020000001</v>
      </c>
      <c r="S512" s="469">
        <v>7.5151575020000001</v>
      </c>
      <c r="T512" s="469">
        <f t="shared" si="43"/>
        <v>91.645445011999968</v>
      </c>
    </row>
    <row r="513" spans="1:21" s="469" customFormat="1">
      <c r="A513" s="469" t="str">
        <f t="shared" si="40"/>
        <v>KU</v>
      </c>
      <c r="B513" s="469" t="str">
        <f t="shared" si="41"/>
        <v>KY</v>
      </c>
      <c r="C513" s="469" t="str">
        <f t="shared" si="42"/>
        <v>371</v>
      </c>
      <c r="D513" s="470" t="s">
        <v>1858</v>
      </c>
      <c r="E513" s="468" t="str">
        <f t="shared" si="44"/>
        <v/>
      </c>
      <c r="H513" s="469">
        <v>10.93378</v>
      </c>
      <c r="I513" s="469">
        <v>10.93378</v>
      </c>
      <c r="J513" s="469">
        <v>5.9916400000000003</v>
      </c>
      <c r="K513" s="469">
        <v>1.04948</v>
      </c>
      <c r="L513" s="469">
        <v>0.52324000000000004</v>
      </c>
      <c r="M513" s="469">
        <v>-3.0099999999999901E-3</v>
      </c>
      <c r="N513" s="469">
        <v>1.3359741753999999E-2</v>
      </c>
      <c r="O513" s="469">
        <v>3.7912866753999998E-2</v>
      </c>
      <c r="P513" s="469">
        <v>5.4281616745999899E-2</v>
      </c>
      <c r="Q513" s="469">
        <v>9.5203491749999994E-2</v>
      </c>
      <c r="R513" s="469">
        <v>0.130612867888</v>
      </c>
      <c r="S513" s="469">
        <v>0.135956620138</v>
      </c>
      <c r="T513" s="469">
        <f t="shared" si="43"/>
        <v>29.896237205030001</v>
      </c>
    </row>
    <row r="514" spans="1:21" s="469" customFormat="1">
      <c r="A514" s="469" t="str">
        <f t="shared" si="40"/>
        <v>KU</v>
      </c>
      <c r="B514" s="469" t="str">
        <f t="shared" si="41"/>
        <v>VA</v>
      </c>
      <c r="C514" s="469" t="str">
        <f t="shared" si="42"/>
        <v>371</v>
      </c>
      <c r="D514" s="470" t="s">
        <v>1859</v>
      </c>
      <c r="E514" s="468" t="str">
        <f t="shared" si="44"/>
        <v/>
      </c>
      <c r="H514" s="469">
        <v>0.57723000000000002</v>
      </c>
      <c r="I514" s="469">
        <v>0.57723000000000002</v>
      </c>
      <c r="J514" s="469">
        <v>0.28863</v>
      </c>
      <c r="K514" s="469">
        <v>-1.4607399999999999</v>
      </c>
      <c r="L514" s="469">
        <v>0</v>
      </c>
      <c r="M514" s="469">
        <v>0</v>
      </c>
      <c r="N514" s="469">
        <v>0</v>
      </c>
      <c r="O514" s="469">
        <v>0</v>
      </c>
      <c r="P514" s="469">
        <v>0</v>
      </c>
      <c r="Q514" s="469">
        <v>0</v>
      </c>
      <c r="R514" s="469">
        <v>0</v>
      </c>
      <c r="S514" s="469">
        <v>0</v>
      </c>
      <c r="T514" s="469">
        <f t="shared" si="43"/>
        <v>-1.7649999999999944E-2</v>
      </c>
    </row>
    <row r="515" spans="1:21" s="469" customFormat="1">
      <c r="A515" s="469" t="str">
        <f t="shared" si="40"/>
        <v>KU</v>
      </c>
      <c r="B515" s="469" t="str">
        <f t="shared" si="41"/>
        <v>KY</v>
      </c>
      <c r="C515" s="469" t="str">
        <f t="shared" si="42"/>
        <v>373</v>
      </c>
      <c r="D515" s="470" t="s">
        <v>1860</v>
      </c>
      <c r="E515" s="468" t="str">
        <f t="shared" si="44"/>
        <v/>
      </c>
      <c r="H515" s="469">
        <v>316.21301</v>
      </c>
      <c r="I515" s="469">
        <v>318.00018</v>
      </c>
      <c r="J515" s="469">
        <v>344.87279999999998</v>
      </c>
      <c r="K515" s="469">
        <v>370.04338000000001</v>
      </c>
      <c r="L515" s="469">
        <v>370.23309999999998</v>
      </c>
      <c r="M515" s="469">
        <v>367.96785</v>
      </c>
      <c r="N515" s="469">
        <v>365.94679834999999</v>
      </c>
      <c r="O515" s="469">
        <v>366.93114824000003</v>
      </c>
      <c r="P515" s="469">
        <v>368.67534075999998</v>
      </c>
      <c r="Q515" s="469">
        <v>369.80703561000001</v>
      </c>
      <c r="R515" s="469">
        <v>370.50175295999998</v>
      </c>
      <c r="S515" s="469">
        <v>371.77304923999998</v>
      </c>
      <c r="T515" s="469">
        <f t="shared" si="43"/>
        <v>4300.9654451599999</v>
      </c>
    </row>
    <row r="516" spans="1:21" s="469" customFormat="1">
      <c r="A516" s="469" t="str">
        <f t="shared" si="40"/>
        <v>KU</v>
      </c>
      <c r="B516" s="469" t="str">
        <f t="shared" si="41"/>
        <v>VA</v>
      </c>
      <c r="C516" s="469" t="str">
        <f t="shared" si="42"/>
        <v>373</v>
      </c>
      <c r="D516" s="470" t="s">
        <v>1861</v>
      </c>
      <c r="E516" s="468" t="str">
        <f t="shared" si="44"/>
        <v/>
      </c>
      <c r="H516" s="469">
        <v>9.0352099999999993</v>
      </c>
      <c r="I516" s="469">
        <v>9.1062399999999997</v>
      </c>
      <c r="J516" s="469">
        <v>10.650779999999999</v>
      </c>
      <c r="K516" s="469">
        <v>13.597619999999999</v>
      </c>
      <c r="L516" s="469">
        <v>12.10843</v>
      </c>
      <c r="M516" s="469">
        <v>12.1031</v>
      </c>
      <c r="N516" s="469">
        <v>12.174491352</v>
      </c>
      <c r="O516" s="469">
        <v>12.156392715000001</v>
      </c>
      <c r="P516" s="469">
        <v>12.148534649</v>
      </c>
      <c r="Q516" s="469">
        <v>12.248327802</v>
      </c>
      <c r="R516" s="469">
        <v>12.318861231</v>
      </c>
      <c r="S516" s="469">
        <v>12.369794814</v>
      </c>
      <c r="T516" s="469">
        <f t="shared" si="43"/>
        <v>140.017782563</v>
      </c>
    </row>
    <row r="517" spans="1:21" s="469" customFormat="1">
      <c r="A517" s="469" t="str">
        <f t="shared" si="40"/>
        <v>KU</v>
      </c>
      <c r="B517" s="469" t="str">
        <f t="shared" si="41"/>
        <v>KY</v>
      </c>
      <c r="C517" s="469" t="str">
        <f t="shared" si="42"/>
        <v>374</v>
      </c>
      <c r="D517" s="470" t="s">
        <v>1862</v>
      </c>
      <c r="E517" s="468" t="str">
        <f t="shared" si="44"/>
        <v>ARO</v>
      </c>
      <c r="H517" s="469">
        <v>1.88453</v>
      </c>
      <c r="I517" s="469">
        <v>1.88453</v>
      </c>
      <c r="J517" s="469">
        <v>1.88453</v>
      </c>
      <c r="K517" s="469">
        <v>1.88453</v>
      </c>
      <c r="L517" s="469">
        <v>1.88453</v>
      </c>
      <c r="M517" s="469">
        <v>4.4749999999999996</v>
      </c>
      <c r="N517" s="469">
        <v>1.88453</v>
      </c>
      <c r="O517" s="469">
        <v>1.88453</v>
      </c>
      <c r="P517" s="469">
        <v>1.88453</v>
      </c>
      <c r="Q517" s="469">
        <v>1.88453</v>
      </c>
      <c r="R517" s="469">
        <v>1.88453</v>
      </c>
      <c r="S517" s="469">
        <v>1.88453</v>
      </c>
      <c r="T517" s="469">
        <f t="shared" si="43"/>
        <v>25.204830000000008</v>
      </c>
    </row>
    <row r="518" spans="1:21" s="469" customFormat="1">
      <c r="A518" s="469" t="str">
        <f t="shared" si="40"/>
        <v>KU</v>
      </c>
      <c r="B518" s="469" t="str">
        <f t="shared" si="41"/>
        <v>KY</v>
      </c>
      <c r="C518" s="469" t="str">
        <f t="shared" si="42"/>
        <v>390</v>
      </c>
      <c r="D518" s="470" t="s">
        <v>1865</v>
      </c>
      <c r="E518" s="468" t="str">
        <f t="shared" si="44"/>
        <v/>
      </c>
      <c r="H518" s="469">
        <v>4.1706199999999898</v>
      </c>
      <c r="I518" s="469">
        <v>4.17166999999999</v>
      </c>
      <c r="J518" s="469">
        <v>4.17166999999999</v>
      </c>
      <c r="K518" s="469">
        <v>4.17166999999999</v>
      </c>
      <c r="L518" s="469">
        <v>4.1762099999999904</v>
      </c>
      <c r="M518" s="469">
        <v>4.18074999999999</v>
      </c>
      <c r="N518" s="469">
        <v>4.1807604896689998</v>
      </c>
      <c r="O518" s="469">
        <v>4.1807604896689998</v>
      </c>
      <c r="P518" s="469">
        <v>4.1807604896689998</v>
      </c>
      <c r="Q518" s="469">
        <v>4.1807604896689998</v>
      </c>
      <c r="R518" s="469">
        <v>4.1807604896689998</v>
      </c>
      <c r="S518" s="469">
        <v>4.1807604896689998</v>
      </c>
      <c r="T518" s="469">
        <f t="shared" si="43"/>
        <v>50.127152938013928</v>
      </c>
    </row>
    <row r="519" spans="1:21" s="469" customFormat="1">
      <c r="A519" s="469" t="str">
        <f t="shared" si="40"/>
        <v>KU</v>
      </c>
      <c r="B519" s="469" t="str">
        <f t="shared" si="41"/>
        <v>KY</v>
      </c>
      <c r="C519" s="469" t="str">
        <f t="shared" si="42"/>
        <v>390</v>
      </c>
      <c r="D519" s="470" t="s">
        <v>1866</v>
      </c>
      <c r="E519" s="468" t="str">
        <f t="shared" si="44"/>
        <v/>
      </c>
      <c r="H519" s="469">
        <v>90.051049999999904</v>
      </c>
      <c r="I519" s="469">
        <v>90.259609999999995</v>
      </c>
      <c r="J519" s="469">
        <v>90.720909999999904</v>
      </c>
      <c r="K519" s="469">
        <v>91.072729999999893</v>
      </c>
      <c r="L519" s="469">
        <v>91.170059999999907</v>
      </c>
      <c r="M519" s="469">
        <v>90.986329999999896</v>
      </c>
      <c r="N519" s="469">
        <v>91.258451049999906</v>
      </c>
      <c r="O519" s="469">
        <v>91.983250964999996</v>
      </c>
      <c r="P519" s="469">
        <v>92.874137146999999</v>
      </c>
      <c r="Q519" s="469">
        <v>95.257279929000006</v>
      </c>
      <c r="R519" s="469">
        <v>96.925411550000007</v>
      </c>
      <c r="S519" s="469">
        <v>97.134786550000001</v>
      </c>
      <c r="T519" s="469">
        <f t="shared" si="43"/>
        <v>1109.6940071909996</v>
      </c>
    </row>
    <row r="520" spans="1:21" s="469" customFormat="1">
      <c r="A520" s="469" t="str">
        <f t="shared" si="40"/>
        <v>KU</v>
      </c>
      <c r="B520" s="469" t="str">
        <f t="shared" si="41"/>
        <v>VA</v>
      </c>
      <c r="C520" s="469" t="str">
        <f t="shared" si="42"/>
        <v>390</v>
      </c>
      <c r="D520" s="470" t="s">
        <v>1867</v>
      </c>
      <c r="E520" s="468" t="str">
        <f t="shared" si="44"/>
        <v/>
      </c>
      <c r="H520" s="469">
        <v>1.7887</v>
      </c>
      <c r="I520" s="469">
        <v>1.78756</v>
      </c>
      <c r="J520" s="469">
        <v>1.7902099999999901</v>
      </c>
      <c r="K520" s="469">
        <v>1.7928500000000001</v>
      </c>
      <c r="L520" s="469">
        <v>1.7928500000000001</v>
      </c>
      <c r="M520" s="469">
        <v>1.7928500000000001</v>
      </c>
      <c r="N520" s="469">
        <v>1.7928480101669999</v>
      </c>
      <c r="O520" s="469">
        <v>1.7928480101669999</v>
      </c>
      <c r="P520" s="469">
        <v>1.7928480101669999</v>
      </c>
      <c r="Q520" s="469">
        <v>1.7928480101669999</v>
      </c>
      <c r="R520" s="469">
        <v>1.7928480101669999</v>
      </c>
      <c r="S520" s="469">
        <v>1.7928480101669999</v>
      </c>
      <c r="T520" s="469">
        <f t="shared" si="43"/>
        <v>21.502108061001984</v>
      </c>
    </row>
    <row r="521" spans="1:21" s="469" customFormat="1">
      <c r="A521" s="469" t="str">
        <f t="shared" si="40"/>
        <v>KU</v>
      </c>
      <c r="B521" s="469" t="str">
        <f t="shared" si="41"/>
        <v>KY</v>
      </c>
      <c r="C521" s="469" t="str">
        <f t="shared" si="42"/>
        <v>391</v>
      </c>
      <c r="D521" s="470" t="s">
        <v>1868</v>
      </c>
      <c r="E521" s="468" t="str">
        <f t="shared" si="44"/>
        <v/>
      </c>
      <c r="H521" s="469">
        <v>55.94603</v>
      </c>
      <c r="I521" s="469">
        <v>56.321800000000003</v>
      </c>
      <c r="J521" s="469">
        <v>56.53595</v>
      </c>
      <c r="K521" s="469">
        <v>45.215669999999903</v>
      </c>
      <c r="L521" s="469">
        <v>33.642589999999998</v>
      </c>
      <c r="M521" s="469">
        <v>33.328850000000003</v>
      </c>
      <c r="N521" s="469">
        <v>33.058624549999998</v>
      </c>
      <c r="O521" s="469">
        <v>32.732969400000002</v>
      </c>
      <c r="P521" s="469">
        <v>32.677536420000003</v>
      </c>
      <c r="Q521" s="469">
        <v>36.229992080000002</v>
      </c>
      <c r="R521" s="469">
        <v>39.815510499999903</v>
      </c>
      <c r="S521" s="469">
        <v>39.885896379999998</v>
      </c>
      <c r="T521" s="469">
        <f t="shared" si="43"/>
        <v>495.39141932999985</v>
      </c>
    </row>
    <row r="522" spans="1:21" s="469" customFormat="1">
      <c r="A522" s="469" t="str">
        <f t="shared" si="40"/>
        <v>KU</v>
      </c>
      <c r="B522" s="469" t="str">
        <f t="shared" si="41"/>
        <v>KY</v>
      </c>
      <c r="C522" s="469" t="str">
        <f t="shared" si="42"/>
        <v>391</v>
      </c>
      <c r="D522" s="470" t="s">
        <v>1869</v>
      </c>
      <c r="E522" s="468" t="str">
        <f t="shared" si="44"/>
        <v/>
      </c>
      <c r="H522" s="469">
        <v>526.53273000000002</v>
      </c>
      <c r="I522" s="469">
        <v>520.47535000000005</v>
      </c>
      <c r="J522" s="469">
        <v>499.92842000000002</v>
      </c>
      <c r="K522" s="469">
        <v>484.53110999999899</v>
      </c>
      <c r="L522" s="469">
        <v>485.310419999999</v>
      </c>
      <c r="M522" s="469">
        <v>484.13475</v>
      </c>
      <c r="N522" s="469">
        <v>481.26411451000001</v>
      </c>
      <c r="O522" s="469">
        <v>480.77429457</v>
      </c>
      <c r="P522" s="469">
        <v>483.92203725000002</v>
      </c>
      <c r="Q522" s="469">
        <v>527.76582364000001</v>
      </c>
      <c r="R522" s="469">
        <v>563.76854601999901</v>
      </c>
      <c r="S522" s="469">
        <v>558.73536985999999</v>
      </c>
      <c r="T522" s="469">
        <f t="shared" si="43"/>
        <v>6097.1429658499983</v>
      </c>
    </row>
    <row r="523" spans="1:21" s="469" customFormat="1">
      <c r="A523" s="469" t="str">
        <f t="shared" si="40"/>
        <v>KU</v>
      </c>
      <c r="B523" s="469" t="str">
        <f t="shared" si="41"/>
        <v>VA</v>
      </c>
      <c r="C523" s="469" t="str">
        <f t="shared" si="42"/>
        <v>391</v>
      </c>
      <c r="D523" s="470" t="s">
        <v>1870</v>
      </c>
      <c r="E523" s="468" t="str">
        <f t="shared" si="44"/>
        <v/>
      </c>
      <c r="H523" s="469">
        <v>2.75E-2</v>
      </c>
      <c r="I523" s="469">
        <v>2.75E-2</v>
      </c>
      <c r="J523" s="469">
        <v>2.75E-2</v>
      </c>
      <c r="K523" s="469">
        <v>1.375E-2</v>
      </c>
      <c r="L523" s="469">
        <v>0</v>
      </c>
      <c r="M523" s="469">
        <v>0</v>
      </c>
      <c r="N523" s="469">
        <v>0</v>
      </c>
      <c r="O523" s="469">
        <v>0</v>
      </c>
      <c r="P523" s="469">
        <v>0</v>
      </c>
      <c r="Q523" s="469">
        <v>0</v>
      </c>
      <c r="R523" s="469">
        <v>0</v>
      </c>
      <c r="S523" s="469">
        <v>0</v>
      </c>
      <c r="T523" s="469">
        <f t="shared" si="43"/>
        <v>9.6250000000000002E-2</v>
      </c>
    </row>
    <row r="524" spans="1:21" s="469" customFormat="1">
      <c r="A524" s="469" t="str">
        <f t="shared" si="40"/>
        <v>KU</v>
      </c>
      <c r="B524" s="469" t="str">
        <f t="shared" si="41"/>
        <v>KY</v>
      </c>
      <c r="C524" s="469" t="str">
        <f t="shared" si="42"/>
        <v>392</v>
      </c>
      <c r="D524" s="470" t="s">
        <v>1871</v>
      </c>
      <c r="E524" s="468" t="str">
        <f t="shared" si="44"/>
        <v>ECR</v>
      </c>
      <c r="H524" s="469">
        <v>0.24556</v>
      </c>
      <c r="I524" s="469">
        <v>0.24556</v>
      </c>
      <c r="J524" s="469">
        <v>0.24556</v>
      </c>
      <c r="K524" s="469">
        <f>0.41336+1.2278</f>
        <v>1.64116</v>
      </c>
      <c r="L524" s="469">
        <v>0.58975999999999995</v>
      </c>
      <c r="M524" s="469">
        <v>0.58975999999999995</v>
      </c>
      <c r="N524" s="469">
        <v>1.0078265</v>
      </c>
      <c r="O524" s="469">
        <v>1.9338771669999999</v>
      </c>
      <c r="P524" s="469">
        <v>2.4210573329999998</v>
      </c>
      <c r="Q524" s="469">
        <v>2.4210573329999998</v>
      </c>
      <c r="R524" s="469">
        <v>2.4210573329999998</v>
      </c>
      <c r="S524" s="469">
        <v>2.4210573329999998</v>
      </c>
      <c r="T524" s="469">
        <f t="shared" si="43"/>
        <v>16.183292998999999</v>
      </c>
      <c r="U524" s="470"/>
    </row>
    <row r="525" spans="1:21" s="469" customFormat="1">
      <c r="A525" s="469" t="str">
        <f t="shared" si="40"/>
        <v>KU</v>
      </c>
      <c r="B525" s="469" t="str">
        <f t="shared" si="41"/>
        <v>KY</v>
      </c>
      <c r="C525" s="469" t="str">
        <f t="shared" si="42"/>
        <v>392</v>
      </c>
      <c r="D525" s="470" t="s">
        <v>1872</v>
      </c>
      <c r="E525" s="468" t="str">
        <f t="shared" si="44"/>
        <v/>
      </c>
      <c r="H525" s="469">
        <v>46.228119999999997</v>
      </c>
      <c r="I525" s="469">
        <v>46.22813</v>
      </c>
      <c r="J525" s="469">
        <v>46.02346</v>
      </c>
      <c r="K525" s="469">
        <v>71.944829999999996</v>
      </c>
      <c r="L525" s="469">
        <v>74.888509999999997</v>
      </c>
      <c r="M525" s="469">
        <v>75.646630000000002</v>
      </c>
      <c r="N525" s="469">
        <v>21.537840920000001</v>
      </c>
      <c r="O525" s="469">
        <v>21.79363983</v>
      </c>
      <c r="P525" s="469">
        <v>21.79363983</v>
      </c>
      <c r="Q525" s="469">
        <v>21.79363983</v>
      </c>
      <c r="R525" s="469">
        <v>21.79363983</v>
      </c>
      <c r="S525" s="469">
        <v>21.79363983</v>
      </c>
      <c r="T525" s="469">
        <f t="shared" si="43"/>
        <v>491.46572007000009</v>
      </c>
    </row>
    <row r="526" spans="1:21" s="469" customFormat="1">
      <c r="A526" s="469" t="str">
        <f t="shared" si="40"/>
        <v>KU</v>
      </c>
      <c r="B526" s="469" t="str">
        <f t="shared" si="41"/>
        <v>KY</v>
      </c>
      <c r="C526" s="469" t="str">
        <f t="shared" si="42"/>
        <v>393</v>
      </c>
      <c r="D526" s="470" t="s">
        <v>1873</v>
      </c>
      <c r="E526" s="468" t="str">
        <f t="shared" si="44"/>
        <v/>
      </c>
      <c r="H526" s="469">
        <v>6.3510200000000001</v>
      </c>
      <c r="I526" s="469">
        <v>6.3526600000000002</v>
      </c>
      <c r="J526" s="469">
        <v>6.3651600000000004</v>
      </c>
      <c r="K526" s="469">
        <v>6.37601</v>
      </c>
      <c r="L526" s="469">
        <v>6.37601</v>
      </c>
      <c r="M526" s="469">
        <v>6.37601</v>
      </c>
      <c r="N526" s="469">
        <v>6.3760128610000004</v>
      </c>
      <c r="O526" s="469">
        <v>6.3760128610000004</v>
      </c>
      <c r="P526" s="469">
        <v>6.3760128610000004</v>
      </c>
      <c r="Q526" s="469">
        <v>6.3760128610000004</v>
      </c>
      <c r="R526" s="469">
        <v>6.3760128610000004</v>
      </c>
      <c r="S526" s="469">
        <v>6.3760128610000004</v>
      </c>
      <c r="T526" s="469">
        <f t="shared" si="43"/>
        <v>76.452947166000015</v>
      </c>
    </row>
    <row r="527" spans="1:21" s="469" customFormat="1">
      <c r="A527" s="469" t="str">
        <f t="shared" si="40"/>
        <v>KU</v>
      </c>
      <c r="B527" s="469" t="str">
        <f t="shared" si="41"/>
        <v>VA</v>
      </c>
      <c r="C527" s="469" t="str">
        <f t="shared" si="42"/>
        <v>393</v>
      </c>
      <c r="D527" s="470" t="s">
        <v>1874</v>
      </c>
      <c r="E527" s="468" t="str">
        <f t="shared" si="44"/>
        <v/>
      </c>
      <c r="H527" s="469">
        <v>1.9120000000000002E-2</v>
      </c>
      <c r="I527" s="469">
        <v>1.9120000000000002E-2</v>
      </c>
      <c r="J527" s="469">
        <v>1.9120000000000002E-2</v>
      </c>
      <c r="K527" s="469">
        <v>1.9120000000000002E-2</v>
      </c>
      <c r="L527" s="469">
        <v>1.9120000000000002E-2</v>
      </c>
      <c r="M527" s="469">
        <v>1.9120000000000002E-2</v>
      </c>
      <c r="N527" s="469">
        <v>1.91232795E-2</v>
      </c>
      <c r="O527" s="469">
        <v>1.91232795E-2</v>
      </c>
      <c r="P527" s="469">
        <v>1.91232795E-2</v>
      </c>
      <c r="Q527" s="469">
        <v>1.91232795E-2</v>
      </c>
      <c r="R527" s="469">
        <v>1.91232795E-2</v>
      </c>
      <c r="S527" s="469">
        <v>1.91232795E-2</v>
      </c>
      <c r="T527" s="469">
        <f t="shared" si="43"/>
        <v>0.22945967700000003</v>
      </c>
    </row>
    <row r="528" spans="1:21" s="469" customFormat="1">
      <c r="A528" s="469" t="str">
        <f t="shared" si="40"/>
        <v>KU</v>
      </c>
      <c r="B528" s="469" t="str">
        <f t="shared" si="41"/>
        <v>KY</v>
      </c>
      <c r="C528" s="469" t="str">
        <f t="shared" si="42"/>
        <v>394</v>
      </c>
      <c r="D528" s="470" t="s">
        <v>1875</v>
      </c>
      <c r="E528" s="468" t="str">
        <f t="shared" si="44"/>
        <v/>
      </c>
      <c r="H528" s="469">
        <v>42.696469999999998</v>
      </c>
      <c r="I528" s="469">
        <v>42.54269</v>
      </c>
      <c r="J528" s="469">
        <v>42.682160000000003</v>
      </c>
      <c r="K528" s="469">
        <v>42.750949999999897</v>
      </c>
      <c r="L528" s="469">
        <v>42.648820000000001</v>
      </c>
      <c r="M528" s="469">
        <v>42.68291</v>
      </c>
      <c r="N528" s="469">
        <v>43.471640190000002</v>
      </c>
      <c r="O528" s="469">
        <v>44.232005579999999</v>
      </c>
      <c r="P528" s="469">
        <v>44.234094409999997</v>
      </c>
      <c r="Q528" s="469">
        <v>44.852693690000002</v>
      </c>
      <c r="R528" s="469">
        <v>45.543031309999897</v>
      </c>
      <c r="S528" s="469">
        <v>45.606267610000003</v>
      </c>
      <c r="T528" s="469">
        <f t="shared" si="43"/>
        <v>523.9437327899999</v>
      </c>
    </row>
    <row r="529" spans="1:23" s="469" customFormat="1">
      <c r="A529" s="469" t="str">
        <f t="shared" si="40"/>
        <v>KU</v>
      </c>
      <c r="B529" s="469" t="str">
        <f t="shared" si="41"/>
        <v>VA</v>
      </c>
      <c r="C529" s="469" t="str">
        <f t="shared" si="42"/>
        <v>394</v>
      </c>
      <c r="D529" s="470" t="s">
        <v>1876</v>
      </c>
      <c r="E529" s="468" t="str">
        <f t="shared" si="44"/>
        <v/>
      </c>
      <c r="H529" s="469">
        <v>1.6519600000000001</v>
      </c>
      <c r="I529" s="469">
        <v>1.6519600000000001</v>
      </c>
      <c r="J529" s="469">
        <v>1.6683699999999999</v>
      </c>
      <c r="K529" s="469">
        <v>1.6847700000000001</v>
      </c>
      <c r="L529" s="469">
        <v>1.6847700000000001</v>
      </c>
      <c r="M529" s="469">
        <v>1.6847700000000001</v>
      </c>
      <c r="N529" s="469">
        <v>1.7091841780000001</v>
      </c>
      <c r="O529" s="469">
        <v>1.737670415</v>
      </c>
      <c r="P529" s="469">
        <v>1.74582028</v>
      </c>
      <c r="Q529" s="469">
        <v>1.749895212</v>
      </c>
      <c r="R529" s="469">
        <v>1.753799664</v>
      </c>
      <c r="S529" s="469">
        <v>1.7616086580000001</v>
      </c>
      <c r="T529" s="469">
        <f t="shared" si="43"/>
        <v>20.484578406999997</v>
      </c>
    </row>
    <row r="530" spans="1:23" s="469" customFormat="1">
      <c r="A530" s="469" t="str">
        <f t="shared" si="40"/>
        <v>KU</v>
      </c>
      <c r="B530" s="469" t="str">
        <f t="shared" si="41"/>
        <v>KY</v>
      </c>
      <c r="C530" s="469" t="str">
        <f t="shared" si="42"/>
        <v>396</v>
      </c>
      <c r="D530" s="470" t="s">
        <v>1877</v>
      </c>
      <c r="E530" s="468" t="str">
        <f t="shared" si="44"/>
        <v/>
      </c>
      <c r="H530" s="469">
        <v>14.788790000000001</v>
      </c>
      <c r="I530" s="469">
        <v>14.788790000000001</v>
      </c>
      <c r="J530" s="469">
        <v>14.788790000000001</v>
      </c>
      <c r="K530" s="469">
        <v>15.13092</v>
      </c>
      <c r="L530" s="469">
        <v>15.473039999999999</v>
      </c>
      <c r="M530" s="469">
        <v>15.473039999999999</v>
      </c>
      <c r="N530" s="469">
        <v>15.4730413</v>
      </c>
      <c r="O530" s="469">
        <v>15.4730413</v>
      </c>
      <c r="P530" s="469">
        <v>15.4730413</v>
      </c>
      <c r="Q530" s="469">
        <v>15.4730413</v>
      </c>
      <c r="R530" s="469">
        <v>15.4730413</v>
      </c>
      <c r="S530" s="469">
        <v>15.4730413</v>
      </c>
      <c r="T530" s="469">
        <f t="shared" si="43"/>
        <v>183.28161780000002</v>
      </c>
    </row>
    <row r="531" spans="1:23" s="469" customFormat="1">
      <c r="A531" s="469" t="str">
        <f t="shared" si="40"/>
        <v>KU</v>
      </c>
      <c r="B531" s="469" t="str">
        <f t="shared" si="41"/>
        <v>VA</v>
      </c>
      <c r="C531" s="469" t="str">
        <f t="shared" si="42"/>
        <v>396</v>
      </c>
      <c r="D531" s="470" t="s">
        <v>1878</v>
      </c>
      <c r="E531" s="468" t="str">
        <f t="shared" si="44"/>
        <v/>
      </c>
      <c r="H531" s="469">
        <v>2.09119999999999</v>
      </c>
      <c r="I531" s="469">
        <v>2.09119999999999</v>
      </c>
      <c r="J531" s="469">
        <v>2.09119999999999</v>
      </c>
      <c r="K531" s="469">
        <v>2.09119999999999</v>
      </c>
      <c r="L531" s="469">
        <v>2.09119999999999</v>
      </c>
      <c r="M531" s="469">
        <v>2.09119999999999</v>
      </c>
      <c r="N531" s="469">
        <v>2.0912040350000001</v>
      </c>
      <c r="O531" s="469">
        <v>2.0912040350000001</v>
      </c>
      <c r="P531" s="469">
        <v>2.0912040350000001</v>
      </c>
      <c r="Q531" s="469">
        <v>2.0912040350000001</v>
      </c>
      <c r="R531" s="469">
        <v>2.0912040350000001</v>
      </c>
      <c r="S531" s="469">
        <v>2.0912040350000001</v>
      </c>
      <c r="T531" s="469">
        <f t="shared" si="43"/>
        <v>25.094424209999943</v>
      </c>
    </row>
    <row r="532" spans="1:23" s="469" customFormat="1">
      <c r="A532" s="469" t="str">
        <f t="shared" si="40"/>
        <v>KU</v>
      </c>
      <c r="B532" s="469" t="str">
        <f t="shared" si="41"/>
        <v>KY</v>
      </c>
      <c r="C532" s="670">
        <v>397</v>
      </c>
      <c r="D532" s="470" t="s">
        <v>1879</v>
      </c>
      <c r="E532" s="468" t="str">
        <f t="shared" si="44"/>
        <v>DSM</v>
      </c>
      <c r="H532" s="469">
        <v>30.630949999999999</v>
      </c>
      <c r="I532" s="469">
        <v>31.526039999999998</v>
      </c>
      <c r="J532" s="469">
        <v>32.348210000000002</v>
      </c>
      <c r="K532" s="469">
        <v>32.956189999999999</v>
      </c>
      <c r="L532" s="469">
        <v>33.498579999999997</v>
      </c>
      <c r="M532" s="469">
        <v>33.949120000000001</v>
      </c>
      <c r="N532" s="469">
        <v>34.602060696999999</v>
      </c>
      <c r="O532" s="469">
        <v>35.775750887000001</v>
      </c>
      <c r="P532" s="469">
        <v>36.587030077000001</v>
      </c>
      <c r="Q532" s="469">
        <v>38.169322146999903</v>
      </c>
      <c r="R532" s="469">
        <v>39.803422136999998</v>
      </c>
      <c r="S532" s="469">
        <v>40.694931107000002</v>
      </c>
      <c r="T532" s="469">
        <f t="shared" si="43"/>
        <v>420.5416070519999</v>
      </c>
    </row>
    <row r="533" spans="1:23" s="469" customFormat="1">
      <c r="A533" s="469" t="str">
        <f t="shared" si="40"/>
        <v>KU</v>
      </c>
      <c r="B533" s="469" t="str">
        <f t="shared" si="41"/>
        <v>KY</v>
      </c>
      <c r="C533" s="469" t="str">
        <f t="shared" si="42"/>
        <v>397</v>
      </c>
      <c r="D533" s="470" t="s">
        <v>1880</v>
      </c>
      <c r="E533" s="468" t="str">
        <f t="shared" si="44"/>
        <v/>
      </c>
      <c r="H533" s="469">
        <v>181.12155999999999</v>
      </c>
      <c r="I533" s="469">
        <v>181.09443999999999</v>
      </c>
      <c r="J533" s="469">
        <v>181.11190999999999</v>
      </c>
      <c r="K533" s="469">
        <v>182.58249000000001</v>
      </c>
      <c r="L533" s="469">
        <v>184.03237999999999</v>
      </c>
      <c r="M533" s="469">
        <v>184.13526999999999</v>
      </c>
      <c r="N533" s="469">
        <v>184.09609836999999</v>
      </c>
      <c r="O533" s="469">
        <v>183.95402607</v>
      </c>
      <c r="P533" s="469">
        <v>183.95402607</v>
      </c>
      <c r="Q533" s="469">
        <v>185.05443796999899</v>
      </c>
      <c r="R533" s="469">
        <v>186.15484986999999</v>
      </c>
      <c r="S533" s="469">
        <v>186.15484986999999</v>
      </c>
      <c r="T533" s="469">
        <f t="shared" si="43"/>
        <v>2203.4463382199992</v>
      </c>
    </row>
    <row r="534" spans="1:23" s="469" customFormat="1">
      <c r="A534" s="469" t="str">
        <f t="shared" si="40"/>
        <v>KU</v>
      </c>
      <c r="B534" s="469" t="str">
        <f t="shared" si="41"/>
        <v>VA</v>
      </c>
      <c r="C534" s="469" t="str">
        <f t="shared" si="42"/>
        <v>397</v>
      </c>
      <c r="D534" s="470" t="s">
        <v>1881</v>
      </c>
      <c r="E534" s="468" t="str">
        <f t="shared" si="44"/>
        <v/>
      </c>
      <c r="H534" s="469">
        <v>3.7733799999999902</v>
      </c>
      <c r="I534" s="469">
        <v>3.7733799999999902</v>
      </c>
      <c r="J534" s="469">
        <v>3.7733799999999902</v>
      </c>
      <c r="K534" s="469">
        <v>3.7733799999999902</v>
      </c>
      <c r="L534" s="469">
        <v>3.7733799999999902</v>
      </c>
      <c r="M534" s="469">
        <v>3.7733799999999902</v>
      </c>
      <c r="N534" s="469">
        <v>3.7733861530000001</v>
      </c>
      <c r="O534" s="469">
        <v>3.7733861530000001</v>
      </c>
      <c r="P534" s="469">
        <v>3.7733861530000001</v>
      </c>
      <c r="Q534" s="469">
        <v>3.7733861530000001</v>
      </c>
      <c r="R534" s="469">
        <v>3.7733861530000001</v>
      </c>
      <c r="S534" s="469">
        <v>3.7733861530000001</v>
      </c>
      <c r="T534" s="469">
        <f t="shared" si="43"/>
        <v>45.280596917999929</v>
      </c>
    </row>
    <row r="535" spans="1:23" s="469" customFormat="1">
      <c r="D535" s="470"/>
      <c r="E535" s="468"/>
      <c r="U535" s="470"/>
    </row>
    <row r="536" spans="1:23" s="469" customFormat="1">
      <c r="D536" s="470" t="s">
        <v>1884</v>
      </c>
      <c r="E536" s="468" t="str">
        <f t="shared" si="44"/>
        <v/>
      </c>
      <c r="H536" s="469">
        <f>SUM(H419:H535)</f>
        <v>23255.254479999981</v>
      </c>
      <c r="I536" s="469">
        <f t="shared" ref="I536:S536" si="45">SUM(I419:I535)</f>
        <v>23254.585279999988</v>
      </c>
      <c r="J536" s="469">
        <f t="shared" si="45"/>
        <v>23260.325700000001</v>
      </c>
      <c r="K536" s="469">
        <f t="shared" si="45"/>
        <v>23332.523959999991</v>
      </c>
      <c r="L536" s="469">
        <f t="shared" si="45"/>
        <v>23389.462329999991</v>
      </c>
      <c r="M536" s="469">
        <f t="shared" si="45"/>
        <v>23437.633569999976</v>
      </c>
      <c r="N536" s="469">
        <f t="shared" si="45"/>
        <v>23559.291886549101</v>
      </c>
      <c r="O536" s="469">
        <f t="shared" si="45"/>
        <v>23755.653947817489</v>
      </c>
      <c r="P536" s="469">
        <f t="shared" si="45"/>
        <v>23818.673839919782</v>
      </c>
      <c r="Q536" s="469">
        <f t="shared" si="45"/>
        <v>24020.773834933312</v>
      </c>
      <c r="R536" s="469">
        <f t="shared" si="45"/>
        <v>24203.184536261673</v>
      </c>
      <c r="S536" s="469">
        <f t="shared" si="45"/>
        <v>24216.848721932078</v>
      </c>
      <c r="T536" s="671">
        <f>SUM(H536:S536)</f>
        <v>283504.21208741341</v>
      </c>
      <c r="V536" s="671"/>
      <c r="W536" s="671"/>
    </row>
    <row r="537" spans="1:23" s="469" customFormat="1">
      <c r="D537" s="672" t="s">
        <v>1888</v>
      </c>
      <c r="E537" s="468" t="str">
        <f t="shared" si="44"/>
        <v/>
      </c>
      <c r="T537" s="671">
        <f>SUM(T419:T535)</f>
        <v>283504.21208741324</v>
      </c>
    </row>
    <row r="538" spans="1:23" s="469" customFormat="1">
      <c r="A538" s="469" t="str">
        <f t="shared" ref="A538:A546" si="46">MID($D538,4,2)</f>
        <v>KU</v>
      </c>
      <c r="B538" s="469" t="str">
        <f t="shared" ref="B538:B546" si="47">IF(MID($D538,12,2)="- ","KY",MID($D538,12,2))</f>
        <v>KY</v>
      </c>
      <c r="C538" s="469" t="str">
        <f t="shared" ref="C538:C546" si="48">MID($D538,8,3)</f>
        <v>317</v>
      </c>
      <c r="D538" s="470" t="s">
        <v>1794</v>
      </c>
      <c r="E538" s="468" t="str">
        <f t="shared" si="44"/>
        <v>ARO</v>
      </c>
      <c r="H538" s="469">
        <v>-3764.5990899999902</v>
      </c>
      <c r="I538" s="469">
        <v>-3764.5991399999998</v>
      </c>
      <c r="J538" s="469">
        <v>-3764.5990299999999</v>
      </c>
      <c r="K538" s="469">
        <v>-3764.59836</v>
      </c>
      <c r="L538" s="469">
        <v>-3767.7427499999999</v>
      </c>
      <c r="M538" s="469">
        <v>-3770.9117000000001</v>
      </c>
      <c r="N538" s="469">
        <v>-3767.7427499999999</v>
      </c>
      <c r="O538" s="469">
        <v>-3767.7427499999999</v>
      </c>
      <c r="P538" s="469">
        <v>-3767.7427499999999</v>
      </c>
      <c r="Q538" s="469">
        <v>-3767.7427499999999</v>
      </c>
      <c r="R538" s="469">
        <v>-3767.7427499999999</v>
      </c>
      <c r="S538" s="469">
        <v>-3767.7427499999999</v>
      </c>
      <c r="T538" s="469">
        <f t="shared" si="43"/>
        <v>-45203.506569999983</v>
      </c>
    </row>
    <row r="539" spans="1:23" s="469" customFormat="1">
      <c r="A539" s="469" t="str">
        <f t="shared" si="46"/>
        <v>KU</v>
      </c>
      <c r="B539" s="469" t="str">
        <f t="shared" si="47"/>
        <v>KY</v>
      </c>
      <c r="C539" s="469" t="str">
        <f t="shared" si="48"/>
        <v>337</v>
      </c>
      <c r="D539" s="470" t="s">
        <v>1802</v>
      </c>
      <c r="E539" s="468" t="str">
        <f t="shared" si="44"/>
        <v>ARO</v>
      </c>
      <c r="H539" s="469">
        <v>-0.44783000000000001</v>
      </c>
      <c r="I539" s="469">
        <v>-0.44783000000000001</v>
      </c>
      <c r="J539" s="469">
        <v>-0.44783000000000001</v>
      </c>
      <c r="K539" s="469">
        <v>-0.44783000000000001</v>
      </c>
      <c r="L539" s="469">
        <v>-0.44783000000000001</v>
      </c>
      <c r="M539" s="469">
        <v>-0.44783000000000001</v>
      </c>
      <c r="N539" s="469">
        <v>-0.44783000000000001</v>
      </c>
      <c r="O539" s="469">
        <v>-0.44783000000000001</v>
      </c>
      <c r="P539" s="469">
        <v>-0.44783000000000001</v>
      </c>
      <c r="Q539" s="469">
        <v>-0.44783000000000001</v>
      </c>
      <c r="R539" s="469">
        <v>-0.44783000000000001</v>
      </c>
      <c r="S539" s="469">
        <v>-0.44783000000000001</v>
      </c>
      <c r="T539" s="469">
        <f t="shared" si="43"/>
        <v>-5.3739599999999994</v>
      </c>
    </row>
    <row r="540" spans="1:23" s="469" customFormat="1">
      <c r="A540" s="469" t="str">
        <f t="shared" si="46"/>
        <v>KU</v>
      </c>
      <c r="B540" s="469" t="str">
        <f t="shared" si="47"/>
        <v>KY</v>
      </c>
      <c r="C540" s="469" t="str">
        <f t="shared" si="48"/>
        <v>359</v>
      </c>
      <c r="D540" s="470" t="s">
        <v>1829</v>
      </c>
      <c r="E540" s="468" t="str">
        <f t="shared" si="44"/>
        <v>ARO</v>
      </c>
      <c r="H540" s="469">
        <v>-0.69945000000000002</v>
      </c>
      <c r="I540" s="469">
        <v>-0.69945000000000002</v>
      </c>
      <c r="J540" s="469">
        <v>-0.69945000000000002</v>
      </c>
      <c r="K540" s="469">
        <v>-0.69945000000000002</v>
      </c>
      <c r="L540" s="469">
        <v>-0.69945000000000002</v>
      </c>
      <c r="M540" s="469">
        <v>-0.69945000000000002</v>
      </c>
      <c r="N540" s="469">
        <v>-0.69945000000000002</v>
      </c>
      <c r="O540" s="469">
        <v>-0.69945000000000002</v>
      </c>
      <c r="P540" s="469">
        <v>-0.69945000000000002</v>
      </c>
      <c r="Q540" s="469">
        <v>-0.69945000000000002</v>
      </c>
      <c r="R540" s="469">
        <v>-0.69945000000000002</v>
      </c>
      <c r="S540" s="469">
        <v>-0.69945000000000002</v>
      </c>
      <c r="T540" s="469">
        <f>SUM(H540:S540)</f>
        <v>-8.393399999999998</v>
      </c>
    </row>
    <row r="541" spans="1:23" s="469" customFormat="1">
      <c r="A541" s="469" t="str">
        <f t="shared" si="46"/>
        <v>KU</v>
      </c>
      <c r="B541" s="469" t="str">
        <f t="shared" si="47"/>
        <v>KY</v>
      </c>
      <c r="C541" s="469" t="str">
        <f t="shared" si="48"/>
        <v>374</v>
      </c>
      <c r="D541" s="470" t="s">
        <v>1862</v>
      </c>
      <c r="E541" s="468" t="str">
        <f t="shared" si="44"/>
        <v>ARO</v>
      </c>
      <c r="H541" s="469">
        <v>-1.88453</v>
      </c>
      <c r="I541" s="469">
        <v>-1.88453</v>
      </c>
      <c r="J541" s="469">
        <v>-1.88453</v>
      </c>
      <c r="K541" s="469">
        <v>-1.88453</v>
      </c>
      <c r="L541" s="469">
        <v>-1.88453</v>
      </c>
      <c r="M541" s="469">
        <v>-4.4749999999999996</v>
      </c>
      <c r="N541" s="469">
        <v>-1.88453</v>
      </c>
      <c r="O541" s="469">
        <v>-1.88453</v>
      </c>
      <c r="P541" s="469">
        <v>-1.88453</v>
      </c>
      <c r="Q541" s="469">
        <v>-1.88453</v>
      </c>
      <c r="R541" s="469">
        <v>-1.88453</v>
      </c>
      <c r="S541" s="469">
        <v>-1.88453</v>
      </c>
      <c r="T541" s="469">
        <f t="shared" si="43"/>
        <v>-25.204830000000008</v>
      </c>
    </row>
    <row r="542" spans="1:23" s="469" customFormat="1">
      <c r="A542" s="469" t="str">
        <f t="shared" si="46"/>
        <v>KU</v>
      </c>
      <c r="B542" s="469" t="str">
        <f t="shared" si="47"/>
        <v>KY</v>
      </c>
      <c r="C542" s="469" t="str">
        <f t="shared" si="48"/>
        <v>347</v>
      </c>
      <c r="D542" s="470" t="s">
        <v>2359</v>
      </c>
      <c r="E542" s="468"/>
      <c r="H542" s="469">
        <v>-1.73542</v>
      </c>
      <c r="I542" s="469">
        <v>-1.73542</v>
      </c>
      <c r="J542" s="469">
        <v>-1.73542</v>
      </c>
      <c r="K542" s="469">
        <v>-1.73542</v>
      </c>
      <c r="L542" s="469">
        <v>-1.73542</v>
      </c>
      <c r="M542" s="469">
        <v>-1.73542</v>
      </c>
      <c r="N542" s="469">
        <v>-1.73542</v>
      </c>
      <c r="O542" s="469">
        <v>-1.73542</v>
      </c>
      <c r="P542" s="469">
        <v>-1.73542</v>
      </c>
      <c r="Q542" s="469">
        <v>-1.73542</v>
      </c>
      <c r="R542" s="469">
        <v>-1.73542</v>
      </c>
      <c r="S542" s="469">
        <v>-1.73542</v>
      </c>
      <c r="T542" s="469">
        <f t="shared" si="43"/>
        <v>-20.825040000000001</v>
      </c>
    </row>
    <row r="543" spans="1:23" s="469" customFormat="1">
      <c r="A543" s="469" t="str">
        <f t="shared" si="46"/>
        <v>KU</v>
      </c>
      <c r="B543" s="469" t="str">
        <f t="shared" si="47"/>
        <v>KY</v>
      </c>
      <c r="C543" s="469" t="str">
        <f t="shared" si="48"/>
        <v>340</v>
      </c>
      <c r="D543" s="470" t="s">
        <v>2347</v>
      </c>
      <c r="E543" s="468"/>
      <c r="H543" s="469">
        <v>-0.32929999999999998</v>
      </c>
      <c r="I543" s="469">
        <v>-0.32929999999999998</v>
      </c>
      <c r="J543" s="469">
        <v>-0.32929999999999998</v>
      </c>
      <c r="K543" s="469">
        <v>-0.32929999999999998</v>
      </c>
      <c r="L543" s="469">
        <v>-0.32929999999999998</v>
      </c>
      <c r="M543" s="469">
        <v>-0.32929999999999998</v>
      </c>
      <c r="N543" s="469">
        <v>-0.32929737869999998</v>
      </c>
      <c r="O543" s="469">
        <v>-0.32929737869999998</v>
      </c>
      <c r="P543" s="469">
        <v>-0.32929737869999998</v>
      </c>
      <c r="Q543" s="469">
        <v>-0.32929737869999998</v>
      </c>
      <c r="R543" s="469">
        <v>-0.32929737869999998</v>
      </c>
      <c r="S543" s="469">
        <v>-0.32929737869999998</v>
      </c>
      <c r="T543" s="469">
        <f t="shared" si="43"/>
        <v>-3.951584272199999</v>
      </c>
    </row>
    <row r="544" spans="1:23" s="469" customFormat="1">
      <c r="A544" s="469" t="str">
        <f t="shared" si="46"/>
        <v>KU</v>
      </c>
      <c r="B544" s="469" t="str">
        <f t="shared" si="47"/>
        <v>KY</v>
      </c>
      <c r="C544" s="469" t="str">
        <f t="shared" si="48"/>
        <v>342</v>
      </c>
      <c r="D544" s="470" t="s">
        <v>2351</v>
      </c>
      <c r="E544" s="468" t="str">
        <f t="shared" si="44"/>
        <v/>
      </c>
      <c r="H544" s="469">
        <v>-85.227329999999995</v>
      </c>
      <c r="I544" s="469">
        <v>-85.227410000000006</v>
      </c>
      <c r="J544" s="469">
        <v>-85.227410000000006</v>
      </c>
      <c r="K544" s="469">
        <v>-85.227410000000006</v>
      </c>
      <c r="L544" s="469">
        <v>-85.227410000000006</v>
      </c>
      <c r="M544" s="469">
        <v>-85.227410000000006</v>
      </c>
      <c r="N544" s="469">
        <v>-85.227403241999994</v>
      </c>
      <c r="O544" s="469">
        <v>-85.227403241999994</v>
      </c>
      <c r="P544" s="469">
        <v>-85.398897117000004</v>
      </c>
      <c r="Q544" s="469">
        <v>-85.570390992</v>
      </c>
      <c r="R544" s="469">
        <v>-85.570390992</v>
      </c>
      <c r="S544" s="469">
        <v>-85.570390992</v>
      </c>
      <c r="T544" s="469">
        <f t="shared" si="43"/>
        <v>-1023.9292565770004</v>
      </c>
    </row>
    <row r="545" spans="1:21" s="469" customFormat="1">
      <c r="A545" s="469" t="str">
        <f t="shared" si="46"/>
        <v>KU</v>
      </c>
      <c r="B545" s="469" t="str">
        <f t="shared" si="47"/>
        <v>KY</v>
      </c>
      <c r="C545" s="469" t="str">
        <f t="shared" si="48"/>
        <v>392</v>
      </c>
      <c r="D545" s="470" t="s">
        <v>1872</v>
      </c>
      <c r="E545" s="468" t="str">
        <f t="shared" si="44"/>
        <v/>
      </c>
      <c r="H545" s="469">
        <v>-46.228119999999997</v>
      </c>
      <c r="I545" s="469">
        <v>-46.22813</v>
      </c>
      <c r="J545" s="469">
        <v>-46.02346</v>
      </c>
      <c r="K545" s="469">
        <v>-71.944829999999996</v>
      </c>
      <c r="L545" s="469">
        <v>-74.888509999999997</v>
      </c>
      <c r="M545" s="469">
        <v>-75.646630000000002</v>
      </c>
      <c r="N545" s="469">
        <v>-21.537840920000001</v>
      </c>
      <c r="O545" s="469">
        <v>-21.79363983</v>
      </c>
      <c r="P545" s="469">
        <v>-21.79363983</v>
      </c>
      <c r="Q545" s="469">
        <v>-21.79363983</v>
      </c>
      <c r="R545" s="469">
        <v>-21.79363983</v>
      </c>
      <c r="S545" s="469">
        <v>-21.79363983</v>
      </c>
      <c r="T545" s="469">
        <f t="shared" si="43"/>
        <v>-491.46572007000009</v>
      </c>
    </row>
    <row r="546" spans="1:21" s="469" customFormat="1">
      <c r="A546" s="469" t="str">
        <f t="shared" si="46"/>
        <v>KU</v>
      </c>
      <c r="B546" s="469" t="str">
        <f t="shared" si="47"/>
        <v>KY</v>
      </c>
      <c r="C546" s="469" t="str">
        <f t="shared" si="48"/>
        <v>392</v>
      </c>
      <c r="D546" s="470" t="s">
        <v>1871</v>
      </c>
      <c r="E546" s="468" t="str">
        <f t="shared" si="44"/>
        <v>ECR</v>
      </c>
      <c r="F546" s="469">
        <f>-F535</f>
        <v>0</v>
      </c>
      <c r="G546" s="469">
        <f>-G535</f>
        <v>0</v>
      </c>
      <c r="H546" s="469">
        <f>-H524</f>
        <v>-0.24556</v>
      </c>
      <c r="I546" s="469">
        <f t="shared" ref="I546:J546" si="49">-I524</f>
        <v>-0.24556</v>
      </c>
      <c r="J546" s="469">
        <f t="shared" si="49"/>
        <v>-0.24556</v>
      </c>
      <c r="K546" s="469">
        <f t="shared" ref="K546:S546" si="50">-K535</f>
        <v>0</v>
      </c>
      <c r="L546" s="469">
        <f t="shared" si="50"/>
        <v>0</v>
      </c>
      <c r="M546" s="469">
        <f t="shared" si="50"/>
        <v>0</v>
      </c>
      <c r="N546" s="469">
        <f t="shared" si="50"/>
        <v>0</v>
      </c>
      <c r="O546" s="469">
        <f t="shared" si="50"/>
        <v>0</v>
      </c>
      <c r="P546" s="469">
        <f t="shared" si="50"/>
        <v>0</v>
      </c>
      <c r="Q546" s="469">
        <f t="shared" si="50"/>
        <v>0</v>
      </c>
      <c r="R546" s="469">
        <f t="shared" si="50"/>
        <v>0</v>
      </c>
      <c r="S546" s="469">
        <f t="shared" si="50"/>
        <v>0</v>
      </c>
      <c r="T546" s="671">
        <f t="shared" si="43"/>
        <v>-0.73668</v>
      </c>
      <c r="U546" s="470"/>
    </row>
    <row r="547" spans="1:21" s="469" customFormat="1">
      <c r="D547" s="470" t="s">
        <v>1889</v>
      </c>
      <c r="E547" s="468" t="str">
        <f t="shared" si="44"/>
        <v/>
      </c>
      <c r="F547" s="469">
        <f>SUM(F536:F546)</f>
        <v>0</v>
      </c>
      <c r="G547" s="469">
        <f t="shared" ref="G547:S547" si="51">SUM(G536:G546)</f>
        <v>0</v>
      </c>
      <c r="H547" s="469">
        <f t="shared" si="51"/>
        <v>19353.857849999989</v>
      </c>
      <c r="I547" s="469">
        <f t="shared" si="51"/>
        <v>19353.188509999989</v>
      </c>
      <c r="J547" s="469">
        <f t="shared" si="51"/>
        <v>19359.133709999998</v>
      </c>
      <c r="K547" s="469">
        <f t="shared" si="51"/>
        <v>19405.656829999989</v>
      </c>
      <c r="L547" s="469">
        <f t="shared" si="51"/>
        <v>19456.507129999987</v>
      </c>
      <c r="M547" s="469">
        <f t="shared" si="51"/>
        <v>19498.160829999975</v>
      </c>
      <c r="N547" s="469">
        <f t="shared" si="51"/>
        <v>19679.687365008402</v>
      </c>
      <c r="O547" s="469">
        <f t="shared" si="51"/>
        <v>19875.793627366787</v>
      </c>
      <c r="P547" s="469">
        <f t="shared" si="51"/>
        <v>19938.642025594079</v>
      </c>
      <c r="Q547" s="469">
        <f t="shared" si="51"/>
        <v>20140.570526732608</v>
      </c>
      <c r="R547" s="469">
        <f t="shared" si="51"/>
        <v>20322.981228060969</v>
      </c>
      <c r="S547" s="469">
        <f t="shared" si="51"/>
        <v>20336.645413731374</v>
      </c>
      <c r="T547" s="671">
        <f t="shared" si="43"/>
        <v>236720.82504649411</v>
      </c>
    </row>
    <row r="551" spans="1:21">
      <c r="D551" s="431" t="s">
        <v>1890</v>
      </c>
      <c r="E551" s="431"/>
    </row>
    <row r="552" spans="1:21" s="469" customFormat="1">
      <c r="A552" s="469" t="str">
        <f t="shared" ref="A552:A572" si="52">MID($D552,4,2)</f>
        <v>KU</v>
      </c>
      <c r="B552" s="469" t="str">
        <f t="shared" ref="B552:B572" si="53">IF(MID($D552,12,2)="- ","KY",MID($D552,12,2))</f>
        <v>KY</v>
      </c>
      <c r="C552" s="469" t="str">
        <f t="shared" ref="C552:C572" si="54">MID($D552,8,3)</f>
        <v>310</v>
      </c>
      <c r="D552" s="470" t="s">
        <v>1782</v>
      </c>
      <c r="E552" s="468" t="str">
        <f t="shared" ref="E552:E572" si="55">IF(ISTEXT(MID($D552,SEARCH("FUTURE USE",$D552),3)),"FUTURE USE",IF(ISTEXT(MID($D552,SEARCH("ECR",$D552),3)),"ECR",IF(ISTEXT(MID($D552,SEARCH("ARO",$D552),3)),"ARO",IF(ISTEXT(MID($D552,SEARCH("DSM",$D552),3)),"DSM",""))))</f>
        <v>ECR</v>
      </c>
      <c r="F552" s="469">
        <v>0</v>
      </c>
      <c r="G552" s="469">
        <v>0</v>
      </c>
      <c r="H552" s="469">
        <v>0</v>
      </c>
      <c r="I552" s="469">
        <v>0</v>
      </c>
      <c r="J552" s="469">
        <v>0</v>
      </c>
      <c r="K552" s="469">
        <v>-162.07019</v>
      </c>
      <c r="L552" s="469">
        <v>0</v>
      </c>
      <c r="M552" s="469">
        <v>0</v>
      </c>
      <c r="N552" s="469">
        <v>0</v>
      </c>
      <c r="O552" s="469">
        <v>0</v>
      </c>
      <c r="P552" s="469">
        <v>0</v>
      </c>
      <c r="Q552" s="469">
        <v>0</v>
      </c>
      <c r="R552" s="469">
        <v>0</v>
      </c>
      <c r="S552" s="469">
        <v>0</v>
      </c>
      <c r="T552" s="469">
        <f t="shared" ref="T552:T572" si="56">SUM(H552:S552)</f>
        <v>-162.07019</v>
      </c>
    </row>
    <row r="553" spans="1:21" s="469" customFormat="1">
      <c r="A553" s="469" t="str">
        <f t="shared" si="52"/>
        <v>KU</v>
      </c>
      <c r="B553" s="469" t="str">
        <f t="shared" si="53"/>
        <v>KY</v>
      </c>
      <c r="C553" s="469" t="str">
        <f t="shared" si="54"/>
        <v>311</v>
      </c>
      <c r="D553" s="470" t="s">
        <v>1785</v>
      </c>
      <c r="E553" s="468" t="str">
        <f t="shared" si="55"/>
        <v/>
      </c>
      <c r="F553" s="469">
        <v>0</v>
      </c>
      <c r="G553" s="469">
        <v>0</v>
      </c>
      <c r="H553" s="469">
        <v>0</v>
      </c>
      <c r="I553" s="469">
        <v>0</v>
      </c>
      <c r="J553" s="469">
        <v>-4924.9093999999996</v>
      </c>
      <c r="K553" s="469">
        <v>0</v>
      </c>
      <c r="L553" s="469">
        <v>0</v>
      </c>
      <c r="M553" s="469">
        <v>0</v>
      </c>
      <c r="N553" s="469">
        <v>0</v>
      </c>
      <c r="O553" s="469">
        <v>0</v>
      </c>
      <c r="P553" s="469">
        <v>0</v>
      </c>
      <c r="Q553" s="469">
        <v>0</v>
      </c>
      <c r="R553" s="469">
        <v>0</v>
      </c>
      <c r="S553" s="469">
        <v>0</v>
      </c>
      <c r="T553" s="469">
        <f t="shared" si="56"/>
        <v>-4924.9093999999996</v>
      </c>
    </row>
    <row r="554" spans="1:21" s="469" customFormat="1">
      <c r="A554" s="469" t="str">
        <f t="shared" si="52"/>
        <v>KU</v>
      </c>
      <c r="B554" s="469" t="str">
        <f t="shared" si="53"/>
        <v>KY</v>
      </c>
      <c r="C554" s="469" t="str">
        <f t="shared" si="54"/>
        <v>312</v>
      </c>
      <c r="D554" s="470" t="s">
        <v>1786</v>
      </c>
      <c r="E554" s="468" t="str">
        <f t="shared" si="55"/>
        <v/>
      </c>
      <c r="F554" s="469">
        <v>0</v>
      </c>
      <c r="G554" s="469">
        <v>0</v>
      </c>
      <c r="H554" s="469">
        <v>0</v>
      </c>
      <c r="I554" s="469">
        <v>0</v>
      </c>
      <c r="J554" s="469">
        <v>4924.9093999999996</v>
      </c>
      <c r="K554" s="469">
        <v>57.817459999999997</v>
      </c>
      <c r="L554" s="469">
        <v>0</v>
      </c>
      <c r="M554" s="469">
        <v>0</v>
      </c>
      <c r="N554" s="469">
        <v>0</v>
      </c>
      <c r="O554" s="469">
        <v>0</v>
      </c>
      <c r="P554" s="469">
        <v>0</v>
      </c>
      <c r="Q554" s="469">
        <v>0</v>
      </c>
      <c r="R554" s="469">
        <v>0</v>
      </c>
      <c r="S554" s="469">
        <v>0</v>
      </c>
      <c r="T554" s="469">
        <f t="shared" si="56"/>
        <v>4982.7268599999998</v>
      </c>
    </row>
    <row r="555" spans="1:21" s="469" customFormat="1">
      <c r="A555" s="469" t="str">
        <f t="shared" si="52"/>
        <v>KU</v>
      </c>
      <c r="B555" s="469" t="str">
        <f t="shared" si="53"/>
        <v>KY</v>
      </c>
      <c r="C555" s="469" t="str">
        <f t="shared" si="54"/>
        <v>316</v>
      </c>
      <c r="D555" s="470" t="s">
        <v>1793</v>
      </c>
      <c r="E555" s="468" t="str">
        <f t="shared" si="55"/>
        <v/>
      </c>
      <c r="F555" s="469">
        <v>0</v>
      </c>
      <c r="G555" s="469">
        <v>0</v>
      </c>
      <c r="H555" s="469">
        <v>0</v>
      </c>
      <c r="I555" s="469">
        <v>0</v>
      </c>
      <c r="J555" s="469">
        <v>0</v>
      </c>
      <c r="K555" s="469">
        <v>-57.817459999999997</v>
      </c>
      <c r="L555" s="469">
        <v>0</v>
      </c>
      <c r="M555" s="469">
        <v>0</v>
      </c>
      <c r="N555" s="469">
        <v>0</v>
      </c>
      <c r="O555" s="469">
        <v>0</v>
      </c>
      <c r="P555" s="469">
        <v>0</v>
      </c>
      <c r="Q555" s="469">
        <v>0</v>
      </c>
      <c r="R555" s="469">
        <v>0</v>
      </c>
      <c r="S555" s="469">
        <v>0</v>
      </c>
      <c r="T555" s="469">
        <f t="shared" si="56"/>
        <v>-57.817459999999997</v>
      </c>
    </row>
    <row r="556" spans="1:21" s="469" customFormat="1">
      <c r="A556" s="469" t="str">
        <f t="shared" si="52"/>
        <v>KU</v>
      </c>
      <c r="B556" s="469" t="str">
        <f t="shared" si="53"/>
        <v>KY</v>
      </c>
      <c r="C556" s="469" t="str">
        <f t="shared" si="54"/>
        <v>340</v>
      </c>
      <c r="D556" s="470" t="s">
        <v>1803</v>
      </c>
      <c r="E556" s="468" t="str">
        <f t="shared" si="55"/>
        <v/>
      </c>
      <c r="F556" s="469">
        <v>0</v>
      </c>
      <c r="G556" s="469">
        <v>0</v>
      </c>
      <c r="H556" s="469">
        <v>0</v>
      </c>
      <c r="I556" s="469">
        <v>0</v>
      </c>
      <c r="J556" s="469">
        <v>0</v>
      </c>
      <c r="K556" s="469">
        <v>162.07019</v>
      </c>
      <c r="L556" s="469">
        <v>0</v>
      </c>
      <c r="M556" s="469">
        <v>0</v>
      </c>
      <c r="N556" s="469">
        <v>0</v>
      </c>
      <c r="O556" s="469">
        <v>0</v>
      </c>
      <c r="P556" s="469">
        <v>0</v>
      </c>
      <c r="Q556" s="469">
        <v>0</v>
      </c>
      <c r="R556" s="469">
        <v>0</v>
      </c>
      <c r="S556" s="469">
        <v>0</v>
      </c>
      <c r="T556" s="469">
        <f t="shared" si="56"/>
        <v>162.07019</v>
      </c>
    </row>
    <row r="557" spans="1:21" s="469" customFormat="1">
      <c r="A557" s="469" t="str">
        <f t="shared" si="52"/>
        <v>KU</v>
      </c>
      <c r="B557" s="469" t="str">
        <f t="shared" si="53"/>
        <v>KY</v>
      </c>
      <c r="C557" s="469" t="str">
        <f t="shared" si="54"/>
        <v>353</v>
      </c>
      <c r="D557" s="470" t="s">
        <v>1816</v>
      </c>
      <c r="E557" s="468" t="str">
        <f t="shared" si="55"/>
        <v/>
      </c>
      <c r="F557" s="469">
        <v>0</v>
      </c>
      <c r="G557" s="469">
        <v>0</v>
      </c>
      <c r="H557" s="469">
        <v>0</v>
      </c>
      <c r="I557" s="469">
        <v>170.15736999999999</v>
      </c>
      <c r="J557" s="469">
        <v>0</v>
      </c>
      <c r="K557" s="469">
        <v>0</v>
      </c>
      <c r="L557" s="469">
        <v>84.611840000000001</v>
      </c>
      <c r="M557" s="469">
        <v>0</v>
      </c>
      <c r="N557" s="469">
        <v>0</v>
      </c>
      <c r="O557" s="469">
        <v>0</v>
      </c>
      <c r="P557" s="469">
        <v>0</v>
      </c>
      <c r="Q557" s="469">
        <v>0</v>
      </c>
      <c r="R557" s="469">
        <v>0</v>
      </c>
      <c r="S557" s="469">
        <v>0</v>
      </c>
      <c r="T557" s="469">
        <f t="shared" si="56"/>
        <v>254.76920999999999</v>
      </c>
    </row>
    <row r="558" spans="1:21" s="469" customFormat="1">
      <c r="A558" s="469" t="str">
        <f t="shared" si="52"/>
        <v>KU</v>
      </c>
      <c r="B558" s="469" t="str">
        <f t="shared" si="53"/>
        <v>VA</v>
      </c>
      <c r="C558" s="469" t="str">
        <f t="shared" si="54"/>
        <v>353</v>
      </c>
      <c r="D558" s="470" t="s">
        <v>1818</v>
      </c>
      <c r="E558" s="468" t="str">
        <f t="shared" si="55"/>
        <v/>
      </c>
      <c r="F558" s="469">
        <v>0</v>
      </c>
      <c r="G558" s="469">
        <v>0</v>
      </c>
      <c r="H558" s="469">
        <v>0</v>
      </c>
      <c r="I558" s="469">
        <v>0</v>
      </c>
      <c r="J558" s="469">
        <v>0</v>
      </c>
      <c r="K558" s="469">
        <v>0</v>
      </c>
      <c r="L558" s="469">
        <v>51.847619999999999</v>
      </c>
      <c r="M558" s="469">
        <v>0</v>
      </c>
      <c r="N558" s="469">
        <v>0</v>
      </c>
      <c r="O558" s="469">
        <v>0</v>
      </c>
      <c r="P558" s="469">
        <v>0</v>
      </c>
      <c r="Q558" s="469">
        <v>0</v>
      </c>
      <c r="R558" s="469">
        <v>0</v>
      </c>
      <c r="S558" s="469">
        <v>0</v>
      </c>
      <c r="T558" s="469">
        <f t="shared" si="56"/>
        <v>51.847619999999999</v>
      </c>
    </row>
    <row r="559" spans="1:21" s="469" customFormat="1">
      <c r="A559" s="469" t="str">
        <f t="shared" si="52"/>
        <v>KU</v>
      </c>
      <c r="B559" s="469" t="str">
        <f t="shared" si="53"/>
        <v>KY</v>
      </c>
      <c r="C559" s="469" t="str">
        <f t="shared" si="54"/>
        <v>355</v>
      </c>
      <c r="D559" s="470" t="s">
        <v>1821</v>
      </c>
      <c r="E559" s="468" t="str">
        <f t="shared" si="55"/>
        <v/>
      </c>
      <c r="F559" s="469">
        <v>0</v>
      </c>
      <c r="G559" s="469">
        <v>0</v>
      </c>
      <c r="H559" s="469">
        <v>0</v>
      </c>
      <c r="I559" s="469">
        <v>0</v>
      </c>
      <c r="J559" s="469">
        <v>0</v>
      </c>
      <c r="K559" s="469">
        <v>0</v>
      </c>
      <c r="L559" s="469">
        <v>-84.611840000000001</v>
      </c>
      <c r="M559" s="469">
        <v>0</v>
      </c>
      <c r="N559" s="469">
        <v>0</v>
      </c>
      <c r="O559" s="469">
        <v>0</v>
      </c>
      <c r="P559" s="469">
        <v>0</v>
      </c>
      <c r="Q559" s="469">
        <v>0</v>
      </c>
      <c r="R559" s="469">
        <v>0</v>
      </c>
      <c r="S559" s="469">
        <v>0</v>
      </c>
      <c r="T559" s="469">
        <f t="shared" si="56"/>
        <v>-84.611840000000001</v>
      </c>
    </row>
    <row r="560" spans="1:21" s="469" customFormat="1">
      <c r="A560" s="469" t="str">
        <f t="shared" si="52"/>
        <v>KU</v>
      </c>
      <c r="B560" s="469" t="str">
        <f t="shared" si="53"/>
        <v>VA</v>
      </c>
      <c r="C560" s="469" t="str">
        <f t="shared" si="54"/>
        <v>355</v>
      </c>
      <c r="D560" s="470" t="s">
        <v>1823</v>
      </c>
      <c r="E560" s="468" t="str">
        <f t="shared" si="55"/>
        <v/>
      </c>
      <c r="F560" s="469">
        <v>0</v>
      </c>
      <c r="G560" s="469">
        <v>0</v>
      </c>
      <c r="H560" s="469">
        <v>0</v>
      </c>
      <c r="I560" s="469">
        <v>0</v>
      </c>
      <c r="J560" s="469">
        <v>0</v>
      </c>
      <c r="K560" s="469">
        <v>0</v>
      </c>
      <c r="L560" s="469">
        <v>-51.847619999999999</v>
      </c>
      <c r="M560" s="469">
        <v>0</v>
      </c>
      <c r="N560" s="469">
        <v>0</v>
      </c>
      <c r="O560" s="469">
        <v>0</v>
      </c>
      <c r="P560" s="469">
        <v>0</v>
      </c>
      <c r="Q560" s="469">
        <v>0</v>
      </c>
      <c r="R560" s="469">
        <v>0</v>
      </c>
      <c r="S560" s="469">
        <v>0</v>
      </c>
      <c r="T560" s="469">
        <f t="shared" si="56"/>
        <v>-51.847619999999999</v>
      </c>
    </row>
    <row r="561" spans="1:20" s="469" customFormat="1">
      <c r="A561" s="469" t="str">
        <f t="shared" si="52"/>
        <v>KU</v>
      </c>
      <c r="B561" s="469" t="str">
        <f t="shared" si="53"/>
        <v>KY</v>
      </c>
      <c r="C561" s="469" t="str">
        <f t="shared" si="54"/>
        <v>358</v>
      </c>
      <c r="D561" s="470" t="s">
        <v>1828</v>
      </c>
      <c r="E561" s="468" t="str">
        <f t="shared" si="55"/>
        <v/>
      </c>
      <c r="F561" s="469">
        <v>0</v>
      </c>
      <c r="G561" s="469">
        <v>0</v>
      </c>
      <c r="H561" s="469">
        <v>0</v>
      </c>
      <c r="I561" s="469">
        <v>0</v>
      </c>
      <c r="J561" s="469">
        <v>0</v>
      </c>
      <c r="K561" s="469">
        <v>0</v>
      </c>
      <c r="L561" s="469">
        <v>-54.177149999999997</v>
      </c>
      <c r="M561" s="469">
        <v>0</v>
      </c>
      <c r="N561" s="469">
        <v>0</v>
      </c>
      <c r="O561" s="469">
        <v>0</v>
      </c>
      <c r="P561" s="469">
        <v>0</v>
      </c>
      <c r="Q561" s="469">
        <v>0</v>
      </c>
      <c r="R561" s="469">
        <v>0</v>
      </c>
      <c r="S561" s="469">
        <v>0</v>
      </c>
      <c r="T561" s="469">
        <f t="shared" si="56"/>
        <v>-54.177149999999997</v>
      </c>
    </row>
    <row r="562" spans="1:20" s="469" customFormat="1">
      <c r="A562" s="469" t="str">
        <f t="shared" si="52"/>
        <v>KU</v>
      </c>
      <c r="B562" s="469" t="str">
        <f t="shared" si="53"/>
        <v>KY</v>
      </c>
      <c r="D562" s="470" t="s">
        <v>1830</v>
      </c>
      <c r="E562" s="468" t="str">
        <f t="shared" si="55"/>
        <v>FUTURE USE</v>
      </c>
      <c r="F562" s="469">
        <v>0</v>
      </c>
      <c r="G562" s="469">
        <v>0</v>
      </c>
      <c r="H562" s="469">
        <v>0</v>
      </c>
      <c r="I562" s="469">
        <v>0</v>
      </c>
      <c r="J562" s="469">
        <v>113.88225</v>
      </c>
      <c r="K562" s="469">
        <v>0</v>
      </c>
      <c r="L562" s="469">
        <v>0</v>
      </c>
      <c r="M562" s="469">
        <v>0</v>
      </c>
      <c r="N562" s="469">
        <v>0</v>
      </c>
      <c r="O562" s="469">
        <v>0</v>
      </c>
      <c r="P562" s="469">
        <v>0</v>
      </c>
      <c r="Q562" s="469">
        <v>0</v>
      </c>
      <c r="R562" s="469">
        <v>0</v>
      </c>
      <c r="S562" s="469">
        <v>0</v>
      </c>
      <c r="T562" s="469">
        <f t="shared" si="56"/>
        <v>113.88225</v>
      </c>
    </row>
    <row r="563" spans="1:20" s="469" customFormat="1">
      <c r="A563" s="469" t="str">
        <f t="shared" si="52"/>
        <v>KU</v>
      </c>
      <c r="B563" s="469" t="str">
        <f t="shared" si="53"/>
        <v>KY</v>
      </c>
      <c r="C563" s="469" t="str">
        <f t="shared" si="54"/>
        <v>360</v>
      </c>
      <c r="D563" s="470" t="s">
        <v>1831</v>
      </c>
      <c r="E563" s="468" t="str">
        <f t="shared" si="55"/>
        <v/>
      </c>
      <c r="F563" s="469">
        <v>0</v>
      </c>
      <c r="G563" s="469">
        <v>0</v>
      </c>
      <c r="H563" s="469">
        <v>0</v>
      </c>
      <c r="I563" s="469">
        <v>0</v>
      </c>
      <c r="J563" s="469">
        <v>-113.88225</v>
      </c>
      <c r="K563" s="469">
        <v>0</v>
      </c>
      <c r="L563" s="469">
        <v>0</v>
      </c>
      <c r="M563" s="469">
        <v>0</v>
      </c>
      <c r="N563" s="469">
        <v>0</v>
      </c>
      <c r="O563" s="469">
        <v>0</v>
      </c>
      <c r="P563" s="469">
        <v>0</v>
      </c>
      <c r="Q563" s="469">
        <v>0</v>
      </c>
      <c r="R563" s="469">
        <v>0</v>
      </c>
      <c r="S563" s="469">
        <v>0</v>
      </c>
      <c r="T563" s="469">
        <f t="shared" si="56"/>
        <v>-113.88225</v>
      </c>
    </row>
    <row r="564" spans="1:20" s="469" customFormat="1">
      <c r="A564" s="469" t="str">
        <f t="shared" si="52"/>
        <v>KU</v>
      </c>
      <c r="B564" s="469" t="str">
        <f t="shared" si="53"/>
        <v>KY</v>
      </c>
      <c r="C564" s="469" t="str">
        <f t="shared" si="54"/>
        <v>362</v>
      </c>
      <c r="D564" s="470" t="s">
        <v>1837</v>
      </c>
      <c r="E564" s="468" t="str">
        <f t="shared" si="55"/>
        <v/>
      </c>
      <c r="F564" s="469">
        <v>0</v>
      </c>
      <c r="G564" s="469">
        <v>32.249000000000002</v>
      </c>
      <c r="H564" s="469">
        <v>38.373739999999998</v>
      </c>
      <c r="I564" s="469">
        <v>-144.16681</v>
      </c>
      <c r="J564" s="469">
        <v>0</v>
      </c>
      <c r="K564" s="469">
        <v>0</v>
      </c>
      <c r="L564" s="469">
        <v>0</v>
      </c>
      <c r="M564" s="469">
        <v>0</v>
      </c>
      <c r="N564" s="469">
        <v>0</v>
      </c>
      <c r="O564" s="469">
        <v>0</v>
      </c>
      <c r="P564" s="469">
        <v>0</v>
      </c>
      <c r="Q564" s="469">
        <v>0</v>
      </c>
      <c r="R564" s="469">
        <v>0</v>
      </c>
      <c r="S564" s="469">
        <v>0</v>
      </c>
      <c r="T564" s="469">
        <f t="shared" si="56"/>
        <v>-105.79307</v>
      </c>
    </row>
    <row r="565" spans="1:20" s="469" customFormat="1">
      <c r="A565" s="469" t="str">
        <f t="shared" si="52"/>
        <v>KU</v>
      </c>
      <c r="B565" s="469" t="str">
        <f t="shared" si="53"/>
        <v>VA</v>
      </c>
      <c r="C565" s="469" t="str">
        <f t="shared" si="54"/>
        <v>362</v>
      </c>
      <c r="D565" s="470" t="s">
        <v>1839</v>
      </c>
      <c r="E565" s="468" t="str">
        <f t="shared" si="55"/>
        <v/>
      </c>
      <c r="F565" s="469">
        <v>0</v>
      </c>
      <c r="G565" s="469">
        <v>0</v>
      </c>
      <c r="H565" s="469">
        <v>-38.373739999999998</v>
      </c>
      <c r="I565" s="469">
        <v>-25.990559999999999</v>
      </c>
      <c r="J565" s="469">
        <v>0</v>
      </c>
      <c r="K565" s="469">
        <v>0</v>
      </c>
      <c r="L565" s="469">
        <v>0</v>
      </c>
      <c r="M565" s="469">
        <v>0</v>
      </c>
      <c r="N565" s="469">
        <v>0</v>
      </c>
      <c r="O565" s="469">
        <v>0</v>
      </c>
      <c r="P565" s="469">
        <v>0</v>
      </c>
      <c r="Q565" s="469">
        <v>0</v>
      </c>
      <c r="R565" s="469">
        <v>0</v>
      </c>
      <c r="S565" s="469">
        <v>0</v>
      </c>
      <c r="T565" s="469">
        <f t="shared" si="56"/>
        <v>-64.3643</v>
      </c>
    </row>
    <row r="566" spans="1:20" s="469" customFormat="1">
      <c r="A566" s="469" t="str">
        <f t="shared" si="52"/>
        <v>KU</v>
      </c>
      <c r="B566" s="469" t="str">
        <f t="shared" si="53"/>
        <v>KY</v>
      </c>
      <c r="C566" s="469" t="str">
        <f t="shared" si="54"/>
        <v>365</v>
      </c>
      <c r="D566" s="470" t="s">
        <v>1843</v>
      </c>
      <c r="E566" s="468" t="str">
        <f t="shared" si="55"/>
        <v/>
      </c>
      <c r="F566" s="469">
        <v>0</v>
      </c>
      <c r="G566" s="469">
        <v>-32.249000000000002</v>
      </c>
      <c r="H566" s="469">
        <v>0</v>
      </c>
      <c r="I566" s="469">
        <v>0</v>
      </c>
      <c r="J566" s="469">
        <v>0</v>
      </c>
      <c r="K566" s="469">
        <v>0</v>
      </c>
      <c r="L566" s="469">
        <v>54.177149999999997</v>
      </c>
      <c r="M566" s="469">
        <v>0</v>
      </c>
      <c r="N566" s="469">
        <v>0</v>
      </c>
      <c r="O566" s="469">
        <v>0</v>
      </c>
      <c r="P566" s="469">
        <v>0</v>
      </c>
      <c r="Q566" s="469">
        <v>0</v>
      </c>
      <c r="R566" s="469">
        <v>0</v>
      </c>
      <c r="S566" s="469">
        <v>0</v>
      </c>
      <c r="T566" s="469">
        <f t="shared" si="56"/>
        <v>54.177149999999997</v>
      </c>
    </row>
    <row r="567" spans="1:20" s="469" customFormat="1">
      <c r="A567" s="469" t="str">
        <f t="shared" si="52"/>
        <v>KU</v>
      </c>
      <c r="B567" s="469" t="str">
        <f t="shared" si="53"/>
        <v>KY</v>
      </c>
      <c r="C567" s="469" t="str">
        <f t="shared" si="54"/>
        <v>371</v>
      </c>
      <c r="D567" s="470" t="s">
        <v>1858</v>
      </c>
      <c r="E567" s="468" t="str">
        <f t="shared" si="55"/>
        <v/>
      </c>
      <c r="F567" s="469">
        <v>0</v>
      </c>
      <c r="G567" s="469">
        <v>0</v>
      </c>
      <c r="H567" s="469">
        <v>0</v>
      </c>
      <c r="I567" s="469">
        <v>0</v>
      </c>
      <c r="J567" s="469">
        <v>-14643.41317</v>
      </c>
      <c r="K567" s="469">
        <v>0</v>
      </c>
      <c r="L567" s="469">
        <v>-1559.24522</v>
      </c>
      <c r="M567" s="469">
        <v>0</v>
      </c>
      <c r="N567" s="469">
        <v>0</v>
      </c>
      <c r="O567" s="469">
        <v>0</v>
      </c>
      <c r="P567" s="469">
        <v>0</v>
      </c>
      <c r="Q567" s="469">
        <v>0</v>
      </c>
      <c r="R567" s="469">
        <v>0</v>
      </c>
      <c r="S567" s="469">
        <v>0</v>
      </c>
      <c r="T567" s="469">
        <f t="shared" si="56"/>
        <v>-16202.658390000001</v>
      </c>
    </row>
    <row r="568" spans="1:20" s="469" customFormat="1">
      <c r="A568" s="469" t="str">
        <f t="shared" si="52"/>
        <v>KU</v>
      </c>
      <c r="B568" s="469" t="str">
        <f t="shared" si="53"/>
        <v>VA</v>
      </c>
      <c r="C568" s="469" t="str">
        <f t="shared" si="54"/>
        <v>371</v>
      </c>
      <c r="D568" s="470" t="s">
        <v>1859</v>
      </c>
      <c r="E568" s="468" t="str">
        <f t="shared" si="55"/>
        <v/>
      </c>
      <c r="F568" s="469">
        <v>0</v>
      </c>
      <c r="G568" s="469">
        <v>0</v>
      </c>
      <c r="H568" s="469">
        <v>0</v>
      </c>
      <c r="I568" s="469">
        <v>0</v>
      </c>
      <c r="J568" s="469">
        <v>-855.16889000000003</v>
      </c>
      <c r="K568" s="469">
        <v>0</v>
      </c>
      <c r="L568" s="469">
        <v>0</v>
      </c>
      <c r="M568" s="469">
        <v>0</v>
      </c>
      <c r="N568" s="469">
        <v>0</v>
      </c>
      <c r="O568" s="469">
        <v>0</v>
      </c>
      <c r="P568" s="469">
        <v>0</v>
      </c>
      <c r="Q568" s="469">
        <v>0</v>
      </c>
      <c r="R568" s="469">
        <v>0</v>
      </c>
      <c r="S568" s="469">
        <v>0</v>
      </c>
      <c r="T568" s="469">
        <f t="shared" si="56"/>
        <v>-855.16889000000003</v>
      </c>
    </row>
    <row r="569" spans="1:20" s="469" customFormat="1">
      <c r="A569" s="469" t="str">
        <f t="shared" si="52"/>
        <v>KU</v>
      </c>
      <c r="B569" s="469" t="str">
        <f t="shared" si="53"/>
        <v>KY</v>
      </c>
      <c r="C569" s="469" t="str">
        <f t="shared" si="54"/>
        <v>373</v>
      </c>
      <c r="D569" s="470" t="s">
        <v>1860</v>
      </c>
      <c r="E569" s="468" t="str">
        <f t="shared" si="55"/>
        <v/>
      </c>
      <c r="F569" s="469">
        <v>0</v>
      </c>
      <c r="G569" s="469">
        <v>0</v>
      </c>
      <c r="H569" s="469">
        <v>0</v>
      </c>
      <c r="I569" s="469">
        <v>0</v>
      </c>
      <c r="J569" s="469">
        <v>14643.41317</v>
      </c>
      <c r="K569" s="469">
        <v>0</v>
      </c>
      <c r="L569" s="469">
        <v>1559.24522</v>
      </c>
      <c r="M569" s="469">
        <v>0</v>
      </c>
      <c r="N569" s="469">
        <v>0</v>
      </c>
      <c r="O569" s="469">
        <v>0</v>
      </c>
      <c r="P569" s="469">
        <v>0</v>
      </c>
      <c r="Q569" s="469">
        <v>0</v>
      </c>
      <c r="R569" s="469">
        <v>0</v>
      </c>
      <c r="S569" s="469">
        <v>0</v>
      </c>
      <c r="T569" s="469">
        <f t="shared" si="56"/>
        <v>16202.658390000001</v>
      </c>
    </row>
    <row r="570" spans="1:20" s="469" customFormat="1">
      <c r="A570" s="469" t="str">
        <f t="shared" si="52"/>
        <v>KU</v>
      </c>
      <c r="B570" s="469" t="str">
        <f t="shared" si="53"/>
        <v>VA</v>
      </c>
      <c r="C570" s="469" t="str">
        <f t="shared" si="54"/>
        <v>373</v>
      </c>
      <c r="D570" s="470" t="s">
        <v>1861</v>
      </c>
      <c r="E570" s="468" t="str">
        <f t="shared" si="55"/>
        <v/>
      </c>
      <c r="F570" s="469">
        <v>0</v>
      </c>
      <c r="G570" s="469">
        <v>0</v>
      </c>
      <c r="H570" s="469">
        <v>0</v>
      </c>
      <c r="I570" s="469">
        <v>0</v>
      </c>
      <c r="J570" s="469">
        <v>855.16889000000003</v>
      </c>
      <c r="K570" s="469">
        <v>0</v>
      </c>
      <c r="L570" s="469">
        <v>0</v>
      </c>
      <c r="M570" s="469">
        <v>0</v>
      </c>
      <c r="N570" s="469">
        <v>0</v>
      </c>
      <c r="O570" s="469">
        <v>0</v>
      </c>
      <c r="P570" s="469">
        <v>0</v>
      </c>
      <c r="Q570" s="469">
        <v>0</v>
      </c>
      <c r="R570" s="469">
        <v>0</v>
      </c>
      <c r="S570" s="469">
        <v>0</v>
      </c>
      <c r="T570" s="469">
        <f t="shared" si="56"/>
        <v>855.16889000000003</v>
      </c>
    </row>
    <row r="571" spans="1:20" s="469" customFormat="1">
      <c r="A571" s="469" t="str">
        <f t="shared" si="52"/>
        <v>KU</v>
      </c>
      <c r="B571" s="469" t="str">
        <f t="shared" si="53"/>
        <v>KY</v>
      </c>
      <c r="C571" s="469" t="str">
        <f t="shared" si="54"/>
        <v>392</v>
      </c>
      <c r="D571" s="470" t="s">
        <v>1871</v>
      </c>
      <c r="E571" s="468" t="str">
        <f t="shared" si="55"/>
        <v>ECR</v>
      </c>
      <c r="F571" s="469">
        <v>0</v>
      </c>
      <c r="G571" s="469">
        <v>0</v>
      </c>
      <c r="H571" s="469">
        <v>0</v>
      </c>
      <c r="I571" s="469">
        <v>0</v>
      </c>
      <c r="J571" s="469">
        <v>0</v>
      </c>
      <c r="K571" s="469">
        <v>19.40382</v>
      </c>
      <c r="L571" s="469">
        <v>0</v>
      </c>
      <c r="M571" s="469">
        <v>0</v>
      </c>
      <c r="N571" s="469">
        <v>0</v>
      </c>
      <c r="O571" s="469">
        <v>0</v>
      </c>
      <c r="P571" s="469">
        <v>0</v>
      </c>
      <c r="Q571" s="469">
        <v>0</v>
      </c>
      <c r="R571" s="469">
        <v>0</v>
      </c>
      <c r="S571" s="469">
        <v>0</v>
      </c>
      <c r="T571" s="469">
        <f t="shared" si="56"/>
        <v>19.40382</v>
      </c>
    </row>
    <row r="572" spans="1:20" s="469" customFormat="1">
      <c r="A572" s="469" t="str">
        <f t="shared" si="52"/>
        <v>KU</v>
      </c>
      <c r="B572" s="469" t="str">
        <f t="shared" si="53"/>
        <v>KY</v>
      </c>
      <c r="C572" s="469" t="str">
        <f t="shared" si="54"/>
        <v>392</v>
      </c>
      <c r="D572" s="470" t="s">
        <v>1872</v>
      </c>
      <c r="E572" s="468" t="str">
        <f t="shared" si="55"/>
        <v/>
      </c>
      <c r="F572" s="469">
        <v>0</v>
      </c>
      <c r="G572" s="469">
        <v>0</v>
      </c>
      <c r="H572" s="469">
        <v>0</v>
      </c>
      <c r="I572" s="469">
        <v>0</v>
      </c>
      <c r="J572" s="469">
        <v>0</v>
      </c>
      <c r="K572" s="469">
        <v>-19.40382</v>
      </c>
      <c r="L572" s="469">
        <v>0</v>
      </c>
      <c r="M572" s="469">
        <v>0</v>
      </c>
      <c r="N572" s="469">
        <v>0</v>
      </c>
      <c r="O572" s="469">
        <v>0</v>
      </c>
      <c r="P572" s="469">
        <v>0</v>
      </c>
      <c r="Q572" s="469">
        <v>0</v>
      </c>
      <c r="R572" s="469">
        <v>0</v>
      </c>
      <c r="S572" s="469">
        <v>0</v>
      </c>
      <c r="T572" s="469">
        <f t="shared" si="56"/>
        <v>-19.40382</v>
      </c>
    </row>
    <row r="574" spans="1:20">
      <c r="T574" s="199">
        <f t="shared" ref="T574" si="57">SUM(H574:S574)</f>
        <v>0</v>
      </c>
    </row>
  </sheetData>
  <pageMargins left="0.75" right="0.75" top="1" bottom="1" header="0.5" footer="0.5"/>
  <pageSetup scale="41" fitToHeight="0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pageSetUpPr fitToPage="1"/>
  </sheetPr>
  <dimension ref="A1:Q45"/>
  <sheetViews>
    <sheetView workbookViewId="0">
      <pane xSplit="2" ySplit="3" topLeftCell="C4" activePane="bottomRight" state="frozen"/>
      <selection pane="topRight" activeCell="B1" sqref="B1"/>
      <selection pane="bottomLeft" activeCell="A4" sqref="A4"/>
      <selection pane="bottomRight" activeCell="J18" sqref="J18"/>
    </sheetView>
  </sheetViews>
  <sheetFormatPr defaultColWidth="7.77734375" defaultRowHeight="15"/>
  <cols>
    <col min="1" max="1" width="13.44140625" style="199" customWidth="1"/>
    <col min="2" max="2" width="26.88671875" style="488" customWidth="1"/>
    <col min="3" max="3" width="11" style="496" customWidth="1"/>
    <col min="4" max="4" width="10.33203125" style="489" bestFit="1" customWidth="1"/>
    <col min="5" max="5" width="10.44140625" style="489" bestFit="1" customWidth="1"/>
    <col min="6" max="6" width="10.77734375" style="489" bestFit="1" customWidth="1"/>
    <col min="7" max="7" width="10.33203125" style="489" bestFit="1" customWidth="1"/>
    <col min="8" max="8" width="11" style="489" bestFit="1" customWidth="1"/>
    <col min="9" max="17" width="9.33203125" style="489" customWidth="1"/>
    <col min="18" max="16384" width="7.77734375" style="199"/>
  </cols>
  <sheetData>
    <row r="1" spans="1:17" s="429" customFormat="1" ht="18.75">
      <c r="B1" s="472"/>
      <c r="C1" s="491"/>
      <c r="D1" s="490"/>
      <c r="E1" s="490"/>
      <c r="F1" s="490"/>
      <c r="G1" s="490"/>
      <c r="H1" s="490"/>
      <c r="I1" s="490"/>
      <c r="J1" s="490"/>
      <c r="K1" s="490"/>
      <c r="L1" s="490"/>
      <c r="M1" s="490"/>
      <c r="N1" s="490"/>
      <c r="O1" s="490"/>
      <c r="P1" s="490"/>
      <c r="Q1" s="490"/>
    </row>
    <row r="2" spans="1:17" s="429" customFormat="1">
      <c r="A2" s="429" t="s">
        <v>2389</v>
      </c>
      <c r="B2" s="430" t="s">
        <v>2311</v>
      </c>
      <c r="C2" s="492" t="s">
        <v>2364</v>
      </c>
      <c r="D2" s="482" t="s">
        <v>2326</v>
      </c>
      <c r="E2" s="482" t="s">
        <v>2327</v>
      </c>
      <c r="F2" s="482" t="s">
        <v>2328</v>
      </c>
      <c r="G2" s="482" t="s">
        <v>2329</v>
      </c>
      <c r="H2" s="482" t="s">
        <v>2330</v>
      </c>
      <c r="I2" s="482" t="s">
        <v>2331</v>
      </c>
      <c r="J2" s="482" t="s">
        <v>2332</v>
      </c>
      <c r="K2" s="482" t="s">
        <v>2333</v>
      </c>
      <c r="L2" s="482" t="s">
        <v>2334</v>
      </c>
      <c r="M2" s="482" t="s">
        <v>2335</v>
      </c>
      <c r="N2" s="482" t="s">
        <v>2336</v>
      </c>
      <c r="O2" s="482" t="s">
        <v>2337</v>
      </c>
      <c r="P2" s="482" t="s">
        <v>2338</v>
      </c>
      <c r="Q2" s="482" t="s">
        <v>2339</v>
      </c>
    </row>
    <row r="3" spans="1:17" s="429" customFormat="1">
      <c r="B3" s="481"/>
      <c r="C3" s="493"/>
      <c r="D3" s="482"/>
      <c r="E3" s="482"/>
      <c r="F3" s="482"/>
      <c r="G3" s="482"/>
      <c r="H3" s="482"/>
      <c r="I3" s="482"/>
      <c r="J3" s="482"/>
      <c r="K3" s="482"/>
      <c r="L3" s="482"/>
      <c r="M3" s="482"/>
      <c r="N3" s="482"/>
      <c r="O3" s="482"/>
      <c r="P3" s="482"/>
      <c r="Q3" s="482"/>
    </row>
    <row r="4" spans="1:17">
      <c r="B4" s="483"/>
      <c r="C4" s="494"/>
      <c r="D4" s="484"/>
      <c r="E4" s="484"/>
      <c r="F4" s="484"/>
      <c r="G4" s="484"/>
      <c r="H4" s="484"/>
      <c r="I4" s="484"/>
      <c r="J4" s="484"/>
      <c r="K4" s="484"/>
      <c r="L4" s="484"/>
      <c r="M4" s="484"/>
      <c r="N4" s="484"/>
      <c r="O4" s="484"/>
      <c r="P4" s="484"/>
      <c r="Q4" s="484"/>
    </row>
    <row r="5" spans="1:17">
      <c r="B5" s="485" t="s">
        <v>1528</v>
      </c>
      <c r="C5" s="495"/>
      <c r="D5" s="486"/>
      <c r="E5" s="486"/>
      <c r="F5" s="486"/>
      <c r="G5" s="486"/>
      <c r="H5" s="486"/>
      <c r="I5" s="486"/>
      <c r="J5" s="486"/>
      <c r="K5" s="486"/>
      <c r="L5" s="486"/>
      <c r="M5" s="486"/>
      <c r="N5" s="486"/>
      <c r="O5" s="486"/>
      <c r="P5" s="486"/>
      <c r="Q5" s="486"/>
    </row>
    <row r="6" spans="1:17">
      <c r="A6" s="199" t="str">
        <f t="shared" ref="A6:A44" si="0">IF(ISTEXT(MID($B6,SEARCH("PRODUCTION",$B6),3)),"PRODUCTION",IF(ISTEXT(MID($B6,SEARCH("TRANSMISSION",$B6),3)),"TRANSMISSION",IF(ISTEXT(MID($B6,SEARCH("DISTRIBUTION",$B6),3)),"DISTRIBUTION",IF(ISTEXT(MID($B6,SEARCH("COMMON",$B6),3)),"COMMON",IF(ISTEXT(MID($B6,SEARCH("GENERAL",$B6),3)),"GENERAL",IF(ISTEXT(MID($B6,SEARCH("INTANGIBLE",$B6),3)),"INTANGIBLE",IF(ISTEXT(MID($B6,SEARCH("STORAGE",$B6),3)),"STORAGE AND PROCESSING","")))))))</f>
        <v>DISTRIBUTION</v>
      </c>
      <c r="B6" s="483" t="s">
        <v>1529</v>
      </c>
      <c r="C6" s="494" t="str">
        <f t="shared" ref="C6:C44" si="1">IF(ISTEXT(MID($B6,SEARCH("FUTURE USE",$B6),3)),"FUTURE USE",IF(ISTEXT(MID($B6,SEARCH("ECR",$B6),3)),"ECR",IF(ISTEXT(MID($B6,SEARCH("ARO",$B6),3)),"ARO",IF(ISTEXT(MID($B6,SEARCH("DSM",$B6),3)),"DSM",IF(ISTEXT(MID($B6,SEARCH("GLT",$B6),3)),"GLT","")))))</f>
        <v/>
      </c>
      <c r="D6" s="487">
        <v>27968.960279999999</v>
      </c>
      <c r="E6" s="487">
        <v>19641.97637</v>
      </c>
      <c r="F6" s="487">
        <v>24661.67555</v>
      </c>
      <c r="G6" s="487">
        <v>23768.1394</v>
      </c>
      <c r="H6" s="487">
        <v>24482.398720000001</v>
      </c>
      <c r="I6" s="487">
        <v>26297.028149999998</v>
      </c>
      <c r="J6" s="487">
        <v>24976.603080000001</v>
      </c>
      <c r="K6" s="487">
        <v>26577.16563</v>
      </c>
      <c r="L6" s="487">
        <v>26509.03197</v>
      </c>
      <c r="M6" s="487">
        <v>29859.345880000001</v>
      </c>
      <c r="N6" s="487">
        <v>32422.305850000001</v>
      </c>
      <c r="O6" s="487">
        <v>9892.3072800000009</v>
      </c>
      <c r="P6" s="487">
        <v>11497.522720000001</v>
      </c>
      <c r="Q6" s="487">
        <v>13323.95824</v>
      </c>
    </row>
    <row r="7" spans="1:17">
      <c r="A7" s="199" t="str">
        <f t="shared" si="0"/>
        <v>DISTRIBUTION</v>
      </c>
      <c r="B7" s="483" t="s">
        <v>1530</v>
      </c>
      <c r="C7" s="494" t="str">
        <f t="shared" si="1"/>
        <v/>
      </c>
      <c r="D7" s="487">
        <v>1102.51298</v>
      </c>
      <c r="E7" s="487">
        <v>513.37031000000002</v>
      </c>
      <c r="F7" s="487">
        <v>909.51269000000002</v>
      </c>
      <c r="G7" s="487">
        <v>967.14908000000003</v>
      </c>
      <c r="H7" s="487">
        <v>1118.3283100000001</v>
      </c>
      <c r="I7" s="487">
        <v>1422.51061</v>
      </c>
      <c r="J7" s="487">
        <v>1653.2905000000001</v>
      </c>
      <c r="K7" s="487">
        <v>2281.76487</v>
      </c>
      <c r="L7" s="487">
        <v>2243.0235400000001</v>
      </c>
      <c r="M7" s="487">
        <v>1889.0139799999999</v>
      </c>
      <c r="N7" s="487">
        <v>1998.5571500000001</v>
      </c>
      <c r="O7" s="487">
        <v>0</v>
      </c>
      <c r="P7" s="487">
        <v>0</v>
      </c>
      <c r="Q7" s="487">
        <v>0</v>
      </c>
    </row>
    <row r="8" spans="1:17">
      <c r="A8" s="199" t="str">
        <f t="shared" si="0"/>
        <v>DISTRIBUTION</v>
      </c>
      <c r="B8" s="483" t="s">
        <v>2386</v>
      </c>
      <c r="C8" s="494" t="str">
        <f t="shared" si="1"/>
        <v>ECR</v>
      </c>
      <c r="D8" s="487">
        <v>39.822420000000001</v>
      </c>
      <c r="E8" s="487">
        <v>39.822420000000001</v>
      </c>
      <c r="F8" s="487">
        <v>39.822420000000001</v>
      </c>
      <c r="G8" s="487">
        <v>39.822420000000001</v>
      </c>
      <c r="H8" s="487">
        <v>39.822420000000001</v>
      </c>
      <c r="I8" s="487">
        <v>39.822420000000001</v>
      </c>
      <c r="J8" s="487">
        <v>0</v>
      </c>
      <c r="K8" s="487">
        <v>0</v>
      </c>
      <c r="L8" s="487">
        <v>0</v>
      </c>
      <c r="M8" s="487">
        <v>0</v>
      </c>
      <c r="N8" s="487">
        <v>0</v>
      </c>
      <c r="O8" s="487">
        <v>0</v>
      </c>
      <c r="P8" s="487">
        <v>0</v>
      </c>
      <c r="Q8" s="487">
        <v>0</v>
      </c>
    </row>
    <row r="9" spans="1:17">
      <c r="A9" s="199" t="str">
        <f t="shared" si="0"/>
        <v>GENERAL</v>
      </c>
      <c r="B9" s="483" t="s">
        <v>1531</v>
      </c>
      <c r="C9" s="494" t="str">
        <f t="shared" si="1"/>
        <v/>
      </c>
      <c r="D9" s="487">
        <v>5522.1978499999996</v>
      </c>
      <c r="E9" s="487">
        <v>5863.7390800000003</v>
      </c>
      <c r="F9" s="487">
        <v>6295.0405799999999</v>
      </c>
      <c r="G9" s="487">
        <v>6479.4607299999998</v>
      </c>
      <c r="H9" s="487">
        <v>7378.7595799999999</v>
      </c>
      <c r="I9" s="487">
        <v>7856.7911199999999</v>
      </c>
      <c r="J9" s="487">
        <v>8596.1133699999991</v>
      </c>
      <c r="K9" s="487">
        <v>9744.5846099999999</v>
      </c>
      <c r="L9" s="487">
        <v>8082.8417799999997</v>
      </c>
      <c r="M9" s="487">
        <v>9421.83043</v>
      </c>
      <c r="N9" s="487">
        <v>9412.8954400000002</v>
      </c>
      <c r="O9" s="487">
        <v>2264.6726199999998</v>
      </c>
      <c r="P9" s="487">
        <v>2576.3198699999998</v>
      </c>
      <c r="Q9" s="487">
        <v>2716.3313800000001</v>
      </c>
    </row>
    <row r="10" spans="1:17">
      <c r="A10" s="199" t="str">
        <f t="shared" si="0"/>
        <v>GENERAL</v>
      </c>
      <c r="B10" s="483" t="s">
        <v>1532</v>
      </c>
      <c r="C10" s="494" t="str">
        <f t="shared" si="1"/>
        <v/>
      </c>
      <c r="D10" s="487">
        <v>314.57571000000002</v>
      </c>
      <c r="E10" s="487">
        <v>314.89640000000003</v>
      </c>
      <c r="F10" s="487">
        <v>317.72462000000002</v>
      </c>
      <c r="G10" s="487">
        <v>321.52098999999998</v>
      </c>
      <c r="H10" s="487">
        <v>327.89026999999999</v>
      </c>
      <c r="I10" s="487">
        <v>356.64474000000001</v>
      </c>
      <c r="J10" s="487">
        <v>58.366570000000003</v>
      </c>
      <c r="K10" s="487">
        <v>58.366570000000003</v>
      </c>
      <c r="L10" s="487">
        <v>663.75134000000003</v>
      </c>
      <c r="M10" s="487">
        <v>1341.34349</v>
      </c>
      <c r="N10" s="487">
        <v>1968.11994</v>
      </c>
      <c r="O10" s="487">
        <v>2882.9137799999999</v>
      </c>
      <c r="P10" s="487">
        <v>3421.1889799999999</v>
      </c>
      <c r="Q10" s="487">
        <v>4039.4641799999999</v>
      </c>
    </row>
    <row r="11" spans="1:17">
      <c r="A11" s="199" t="str">
        <f t="shared" si="0"/>
        <v>PRODUCTION</v>
      </c>
      <c r="B11" s="483" t="s">
        <v>1533</v>
      </c>
      <c r="C11" s="494" t="str">
        <f t="shared" si="1"/>
        <v/>
      </c>
      <c r="D11" s="487">
        <v>2411.4978099999998</v>
      </c>
      <c r="E11" s="487">
        <v>212.99284</v>
      </c>
      <c r="F11" s="487">
        <v>212.99284</v>
      </c>
      <c r="G11" s="487">
        <v>212.99284</v>
      </c>
      <c r="H11" s="487">
        <v>212.99284</v>
      </c>
      <c r="I11" s="487">
        <v>212.99284</v>
      </c>
      <c r="J11" s="487">
        <v>212.99284</v>
      </c>
      <c r="K11" s="487">
        <v>212.99284</v>
      </c>
      <c r="L11" s="487">
        <v>212.99284</v>
      </c>
      <c r="M11" s="487">
        <v>212.99284</v>
      </c>
      <c r="N11" s="487">
        <v>212.99284</v>
      </c>
      <c r="O11" s="487">
        <v>212.99284</v>
      </c>
      <c r="P11" s="487">
        <v>212.99284</v>
      </c>
      <c r="Q11" s="487">
        <v>212.99284</v>
      </c>
    </row>
    <row r="12" spans="1:17">
      <c r="A12" s="199" t="str">
        <f t="shared" si="0"/>
        <v>INTANGIBLE</v>
      </c>
      <c r="B12" s="483" t="s">
        <v>1534</v>
      </c>
      <c r="C12" s="494" t="str">
        <f t="shared" si="1"/>
        <v/>
      </c>
      <c r="D12" s="487">
        <v>7885.6336899999997</v>
      </c>
      <c r="E12" s="487">
        <v>9227.6135699999995</v>
      </c>
      <c r="F12" s="487">
        <v>11981.504919999999</v>
      </c>
      <c r="G12" s="487">
        <v>13215.13135</v>
      </c>
      <c r="H12" s="487">
        <v>14374.981250000001</v>
      </c>
      <c r="I12" s="487">
        <v>15416.46624</v>
      </c>
      <c r="J12" s="487">
        <v>17183.201239999999</v>
      </c>
      <c r="K12" s="487">
        <v>14800.422549999999</v>
      </c>
      <c r="L12" s="487">
        <v>17830.419269999999</v>
      </c>
      <c r="M12" s="487">
        <v>19902.969420000001</v>
      </c>
      <c r="N12" s="487">
        <v>21995.060649999999</v>
      </c>
      <c r="O12" s="487">
        <v>14538.13466</v>
      </c>
      <c r="P12" s="487">
        <v>16337.0825</v>
      </c>
      <c r="Q12" s="487">
        <v>18126.782869999999</v>
      </c>
    </row>
    <row r="13" spans="1:17">
      <c r="A13" s="199" t="str">
        <f t="shared" si="0"/>
        <v/>
      </c>
      <c r="B13" s="483" t="s">
        <v>1535</v>
      </c>
      <c r="C13" s="494" t="str">
        <f t="shared" si="1"/>
        <v/>
      </c>
      <c r="D13" s="487">
        <v>0</v>
      </c>
      <c r="E13" s="487">
        <v>0</v>
      </c>
      <c r="F13" s="487">
        <v>0</v>
      </c>
      <c r="G13" s="487">
        <v>0</v>
      </c>
      <c r="H13" s="487">
        <v>0</v>
      </c>
      <c r="I13" s="487">
        <v>0</v>
      </c>
      <c r="J13" s="487">
        <v>188.05086</v>
      </c>
      <c r="K13" s="487">
        <v>16.358650000000001</v>
      </c>
      <c r="L13" s="487">
        <v>0</v>
      </c>
      <c r="M13" s="487">
        <v>0</v>
      </c>
      <c r="N13" s="487">
        <v>0</v>
      </c>
      <c r="O13" s="487">
        <v>0</v>
      </c>
      <c r="P13" s="487">
        <v>0</v>
      </c>
      <c r="Q13" s="487">
        <v>0</v>
      </c>
    </row>
    <row r="14" spans="1:17">
      <c r="A14" s="199" t="str">
        <f t="shared" si="0"/>
        <v>PRODUCTION</v>
      </c>
      <c r="B14" s="483" t="s">
        <v>1536</v>
      </c>
      <c r="C14" s="494" t="str">
        <f t="shared" si="1"/>
        <v/>
      </c>
      <c r="D14" s="487">
        <v>13864.43742</v>
      </c>
      <c r="E14" s="487">
        <v>17956.72568</v>
      </c>
      <c r="F14" s="487">
        <v>19897.627219999998</v>
      </c>
      <c r="G14" s="487">
        <v>21747.672439999998</v>
      </c>
      <c r="H14" s="487">
        <v>25589.086060000001</v>
      </c>
      <c r="I14" s="487">
        <v>13509.39365</v>
      </c>
      <c r="J14" s="487">
        <v>13940.56943</v>
      </c>
      <c r="K14" s="487">
        <v>14568.781859999999</v>
      </c>
      <c r="L14" s="487">
        <v>12206.68741</v>
      </c>
      <c r="M14" s="487">
        <v>13252.38509</v>
      </c>
      <c r="N14" s="487">
        <v>15566.34258</v>
      </c>
      <c r="O14" s="487">
        <v>7594.6050800000003</v>
      </c>
      <c r="P14" s="487">
        <v>8733.0450799999999</v>
      </c>
      <c r="Q14" s="487">
        <v>10005.475119999999</v>
      </c>
    </row>
    <row r="15" spans="1:17">
      <c r="A15" s="199" t="str">
        <f t="shared" si="0"/>
        <v>PRODUCTION</v>
      </c>
      <c r="B15" s="483" t="s">
        <v>1537</v>
      </c>
      <c r="C15" s="494" t="str">
        <f t="shared" si="1"/>
        <v/>
      </c>
      <c r="D15" s="487">
        <v>16258.18845</v>
      </c>
      <c r="E15" s="487">
        <v>18036.141820000001</v>
      </c>
      <c r="F15" s="487">
        <v>21111.212650000001</v>
      </c>
      <c r="G15" s="487">
        <v>19682.029190000001</v>
      </c>
      <c r="H15" s="487">
        <v>19721.100539999999</v>
      </c>
      <c r="I15" s="487">
        <v>18817.459320000002</v>
      </c>
      <c r="J15" s="487">
        <v>19662.014169999999</v>
      </c>
      <c r="K15" s="487">
        <v>18807.480080000001</v>
      </c>
      <c r="L15" s="487">
        <v>19434.80629</v>
      </c>
      <c r="M15" s="487">
        <v>21069.71933</v>
      </c>
      <c r="N15" s="487">
        <v>19977.364529999999</v>
      </c>
      <c r="O15" s="487">
        <v>8350.2055199999995</v>
      </c>
      <c r="P15" s="487">
        <v>9058.0915499999992</v>
      </c>
      <c r="Q15" s="487">
        <v>11522.14076</v>
      </c>
    </row>
    <row r="16" spans="1:17">
      <c r="A16" s="199" t="str">
        <f t="shared" si="0"/>
        <v>PRODUCTION</v>
      </c>
      <c r="B16" s="483" t="s">
        <v>1538</v>
      </c>
      <c r="C16" s="494" t="str">
        <f t="shared" si="1"/>
        <v>ECR</v>
      </c>
      <c r="D16" s="487">
        <v>25484.06595</v>
      </c>
      <c r="E16" s="487">
        <v>26650.032660000001</v>
      </c>
      <c r="F16" s="487">
        <v>28358.80545</v>
      </c>
      <c r="G16" s="487">
        <v>32712.648140000001</v>
      </c>
      <c r="H16" s="487">
        <v>36619.344100000002</v>
      </c>
      <c r="I16" s="487">
        <v>41106.473270000002</v>
      </c>
      <c r="J16" s="487">
        <v>34437.316729999999</v>
      </c>
      <c r="K16" s="487">
        <v>37201.161610000003</v>
      </c>
      <c r="L16" s="487">
        <v>26356.150989999998</v>
      </c>
      <c r="M16" s="487">
        <v>29996.35396</v>
      </c>
      <c r="N16" s="487">
        <v>43163.280870000002</v>
      </c>
      <c r="O16" s="487">
        <v>47400.72507</v>
      </c>
      <c r="P16" s="487">
        <v>50722.713109999997</v>
      </c>
      <c r="Q16" s="487">
        <v>54559.297030000002</v>
      </c>
    </row>
    <row r="17" spans="1:17">
      <c r="A17" s="199" t="str">
        <f t="shared" si="0"/>
        <v>PRODUCTION</v>
      </c>
      <c r="B17" s="483" t="s">
        <v>1539</v>
      </c>
      <c r="C17" s="494" t="str">
        <f t="shared" si="1"/>
        <v>ECR</v>
      </c>
      <c r="D17" s="487">
        <v>114894.33043</v>
      </c>
      <c r="E17" s="487">
        <v>118939.98338999999</v>
      </c>
      <c r="F17" s="487">
        <v>125538.8207</v>
      </c>
      <c r="G17" s="487">
        <v>127280.10937000001</v>
      </c>
      <c r="H17" s="487">
        <v>128895.22442</v>
      </c>
      <c r="I17" s="487">
        <v>130754.82739999999</v>
      </c>
      <c r="J17" s="487">
        <v>130257.42791</v>
      </c>
      <c r="K17" s="487">
        <v>117212.58343</v>
      </c>
      <c r="L17" s="487">
        <v>11107.822179999999</v>
      </c>
      <c r="M17" s="487">
        <v>2.0000000000000002E-5</v>
      </c>
      <c r="N17" s="487">
        <v>2.0000000000000002E-5</v>
      </c>
      <c r="O17" s="487">
        <v>2.0000000000000002E-5</v>
      </c>
      <c r="P17" s="487">
        <v>2.0000000000000002E-5</v>
      </c>
      <c r="Q17" s="487">
        <v>2.0000000000000002E-5</v>
      </c>
    </row>
    <row r="18" spans="1:17">
      <c r="A18" s="199" t="str">
        <f t="shared" si="0"/>
        <v>PRODUCTION</v>
      </c>
      <c r="B18" s="483" t="s">
        <v>2387</v>
      </c>
      <c r="C18" s="494" t="str">
        <f t="shared" si="1"/>
        <v>ECR</v>
      </c>
      <c r="D18" s="487">
        <v>0</v>
      </c>
      <c r="E18" s="487">
        <v>0</v>
      </c>
      <c r="F18" s="487">
        <v>0</v>
      </c>
      <c r="G18" s="487">
        <v>0</v>
      </c>
      <c r="H18" s="487">
        <v>0</v>
      </c>
      <c r="I18" s="487">
        <v>0</v>
      </c>
      <c r="J18" s="487">
        <v>657.16287</v>
      </c>
      <c r="K18" s="487">
        <v>2124.2530099999999</v>
      </c>
      <c r="L18" s="487">
        <v>2635.2179799999999</v>
      </c>
      <c r="M18" s="487">
        <v>3713.0179800000001</v>
      </c>
      <c r="N18" s="487">
        <v>4676.5770899999998</v>
      </c>
      <c r="O18" s="487">
        <v>3570.8276599999999</v>
      </c>
      <c r="P18" s="487">
        <v>6875.0066699999998</v>
      </c>
      <c r="Q18" s="487">
        <v>9629.1856599999992</v>
      </c>
    </row>
    <row r="19" spans="1:17">
      <c r="A19" s="199" t="str">
        <f t="shared" si="0"/>
        <v>PRODUCTION</v>
      </c>
      <c r="B19" s="483" t="s">
        <v>2388</v>
      </c>
      <c r="C19" s="494" t="str">
        <f t="shared" si="1"/>
        <v>ECR</v>
      </c>
      <c r="D19" s="487">
        <v>0</v>
      </c>
      <c r="E19" s="487">
        <v>0</v>
      </c>
      <c r="F19" s="487">
        <v>0</v>
      </c>
      <c r="G19" s="487">
        <v>0</v>
      </c>
      <c r="H19" s="487">
        <v>0</v>
      </c>
      <c r="I19" s="487">
        <v>0</v>
      </c>
      <c r="J19" s="487">
        <v>0</v>
      </c>
      <c r="K19" s="487">
        <v>0</v>
      </c>
      <c r="L19" s="487">
        <v>0</v>
      </c>
      <c r="M19" s="487">
        <v>0</v>
      </c>
      <c r="N19" s="487">
        <v>0</v>
      </c>
      <c r="O19" s="487">
        <v>0</v>
      </c>
      <c r="P19" s="487">
        <v>0</v>
      </c>
      <c r="Q19" s="487">
        <v>0</v>
      </c>
    </row>
    <row r="20" spans="1:17">
      <c r="A20" s="199" t="str">
        <f t="shared" si="0"/>
        <v>PRODUCTION</v>
      </c>
      <c r="B20" s="483" t="s">
        <v>1540</v>
      </c>
      <c r="C20" s="494" t="str">
        <f t="shared" si="1"/>
        <v>ECR</v>
      </c>
      <c r="D20" s="487">
        <v>0</v>
      </c>
      <c r="E20" s="487">
        <v>0</v>
      </c>
      <c r="F20" s="487">
        <v>0</v>
      </c>
      <c r="G20" s="487">
        <v>0</v>
      </c>
      <c r="H20" s="487">
        <v>0</v>
      </c>
      <c r="I20" s="487">
        <v>0</v>
      </c>
      <c r="J20" s="487">
        <v>0</v>
      </c>
      <c r="K20" s="487">
        <v>0</v>
      </c>
      <c r="L20" s="487">
        <v>0</v>
      </c>
      <c r="M20" s="487">
        <v>0</v>
      </c>
      <c r="N20" s="487">
        <v>0</v>
      </c>
      <c r="O20" s="487">
        <v>0</v>
      </c>
      <c r="P20" s="487">
        <v>0</v>
      </c>
      <c r="Q20" s="487">
        <v>0</v>
      </c>
    </row>
    <row r="21" spans="1:17">
      <c r="A21" s="199" t="str">
        <f t="shared" si="0"/>
        <v>TRANSMISSION</v>
      </c>
      <c r="B21" s="483" t="s">
        <v>1541</v>
      </c>
      <c r="C21" s="494" t="str">
        <f t="shared" si="1"/>
        <v/>
      </c>
      <c r="D21" s="487">
        <v>41293.041259999998</v>
      </c>
      <c r="E21" s="487">
        <v>42554.210220000001</v>
      </c>
      <c r="F21" s="487">
        <v>46368.477079999997</v>
      </c>
      <c r="G21" s="487">
        <v>49478.52994</v>
      </c>
      <c r="H21" s="487">
        <v>50621.366419999998</v>
      </c>
      <c r="I21" s="487">
        <v>37856.077190000004</v>
      </c>
      <c r="J21" s="487">
        <v>35718.308470000004</v>
      </c>
      <c r="K21" s="487">
        <v>38687.54969</v>
      </c>
      <c r="L21" s="487">
        <v>24258.214619999999</v>
      </c>
      <c r="M21" s="487">
        <v>17053.882020000001</v>
      </c>
      <c r="N21" s="487">
        <v>19260.037990000001</v>
      </c>
      <c r="O21" s="487">
        <v>13138.71286</v>
      </c>
      <c r="P21" s="487">
        <v>15433.35066</v>
      </c>
      <c r="Q21" s="487">
        <v>15536.352940000001</v>
      </c>
    </row>
    <row r="22" spans="1:17">
      <c r="A22" s="199" t="str">
        <f t="shared" si="0"/>
        <v>TRANSMISSION</v>
      </c>
      <c r="B22" s="483" t="s">
        <v>1542</v>
      </c>
      <c r="C22" s="494" t="str">
        <f t="shared" si="1"/>
        <v/>
      </c>
      <c r="D22" s="487">
        <v>39.322369999999999</v>
      </c>
      <c r="E22" s="487">
        <v>31.263449999999999</v>
      </c>
      <c r="F22" s="487">
        <v>39.25074</v>
      </c>
      <c r="G22" s="487">
        <v>514.99815999999998</v>
      </c>
      <c r="H22" s="487">
        <v>997.42385999999999</v>
      </c>
      <c r="I22" s="487">
        <v>1100.6143500000001</v>
      </c>
      <c r="J22" s="487">
        <v>646.11315999999999</v>
      </c>
      <c r="K22" s="487">
        <v>669.46007999999995</v>
      </c>
      <c r="L22" s="487">
        <v>855.75322000000006</v>
      </c>
      <c r="M22" s="487">
        <v>1153.71147</v>
      </c>
      <c r="N22" s="487">
        <v>853.83983000000001</v>
      </c>
      <c r="O22" s="487">
        <v>795.38990000000001</v>
      </c>
      <c r="P22" s="487">
        <v>931.80550000000005</v>
      </c>
      <c r="Q22" s="487">
        <v>0</v>
      </c>
    </row>
    <row r="23" spans="1:17">
      <c r="A23" s="199" t="str">
        <f t="shared" si="0"/>
        <v/>
      </c>
      <c r="B23" s="483"/>
      <c r="C23" s="494" t="str">
        <f t="shared" si="1"/>
        <v/>
      </c>
      <c r="D23" s="487"/>
      <c r="E23" s="487"/>
      <c r="F23" s="487"/>
      <c r="G23" s="487"/>
      <c r="H23" s="487"/>
      <c r="I23" s="487"/>
      <c r="J23" s="487"/>
      <c r="K23" s="487"/>
      <c r="L23" s="487"/>
      <c r="M23" s="487"/>
      <c r="N23" s="487"/>
      <c r="O23" s="487"/>
      <c r="P23" s="487"/>
      <c r="Q23" s="487"/>
    </row>
    <row r="24" spans="1:17">
      <c r="A24" s="199" t="str">
        <f t="shared" si="0"/>
        <v/>
      </c>
      <c r="B24" s="485" t="s">
        <v>1544</v>
      </c>
      <c r="C24" s="495" t="str">
        <f t="shared" si="1"/>
        <v/>
      </c>
      <c r="D24" s="487">
        <v>0</v>
      </c>
      <c r="E24" s="487">
        <v>0</v>
      </c>
      <c r="F24" s="487">
        <v>0</v>
      </c>
      <c r="G24" s="487">
        <v>0</v>
      </c>
      <c r="H24" s="487">
        <v>0</v>
      </c>
      <c r="I24" s="487">
        <v>0</v>
      </c>
      <c r="J24" s="487">
        <v>0</v>
      </c>
      <c r="K24" s="487">
        <v>0</v>
      </c>
      <c r="L24" s="487">
        <v>0</v>
      </c>
      <c r="M24" s="487">
        <v>0</v>
      </c>
      <c r="N24" s="487">
        <v>0</v>
      </c>
      <c r="O24" s="487">
        <v>0</v>
      </c>
      <c r="P24" s="487">
        <v>0</v>
      </c>
      <c r="Q24" s="487">
        <v>0</v>
      </c>
    </row>
    <row r="25" spans="1:17">
      <c r="A25" s="199" t="str">
        <f t="shared" si="0"/>
        <v>PRODUCTION</v>
      </c>
      <c r="B25" s="483" t="s">
        <v>1536</v>
      </c>
      <c r="C25" s="494" t="str">
        <f t="shared" si="1"/>
        <v/>
      </c>
      <c r="D25" s="487">
        <v>4.4132300000000004</v>
      </c>
      <c r="E25" s="487">
        <v>8.3061299999999996</v>
      </c>
      <c r="F25" s="487">
        <v>12.49085</v>
      </c>
      <c r="G25" s="487">
        <v>17.767659999999999</v>
      </c>
      <c r="H25" s="487">
        <v>24.228429999999999</v>
      </c>
      <c r="I25" s="487">
        <v>4.8577399999999997</v>
      </c>
      <c r="J25" s="487">
        <v>3.2648100000000002</v>
      </c>
      <c r="K25" s="487">
        <v>5.0131800000000002</v>
      </c>
      <c r="L25" s="487">
        <v>5.0131800000000002</v>
      </c>
      <c r="M25" s="487">
        <v>5.0131800000000002</v>
      </c>
      <c r="N25" s="487">
        <v>5.0131800000000002</v>
      </c>
      <c r="O25" s="487">
        <v>0</v>
      </c>
      <c r="P25" s="487">
        <v>0</v>
      </c>
      <c r="Q25" s="487">
        <v>0</v>
      </c>
    </row>
    <row r="26" spans="1:17">
      <c r="A26" s="199" t="str">
        <f t="shared" si="0"/>
        <v>PRODUCTION</v>
      </c>
      <c r="B26" s="483" t="s">
        <v>1537</v>
      </c>
      <c r="C26" s="494" t="str">
        <f t="shared" si="1"/>
        <v/>
      </c>
      <c r="D26" s="487">
        <v>27.793289999999999</v>
      </c>
      <c r="E26" s="487">
        <v>29.634350000000001</v>
      </c>
      <c r="F26" s="487">
        <v>31.261990000000001</v>
      </c>
      <c r="G26" s="487">
        <v>32.891100000000002</v>
      </c>
      <c r="H26" s="487">
        <v>34.523110000000003</v>
      </c>
      <c r="I26" s="487">
        <v>0.85614999999999997</v>
      </c>
      <c r="J26" s="487">
        <v>0</v>
      </c>
      <c r="K26" s="487">
        <v>0.46287</v>
      </c>
      <c r="L26" s="487">
        <v>0.46287</v>
      </c>
      <c r="M26" s="487">
        <v>0.46287</v>
      </c>
      <c r="N26" s="487">
        <v>0.46287</v>
      </c>
      <c r="O26" s="487">
        <v>0.46287</v>
      </c>
      <c r="P26" s="487">
        <v>0.46287</v>
      </c>
      <c r="Q26" s="487">
        <v>0.46287</v>
      </c>
    </row>
    <row r="27" spans="1:17">
      <c r="A27" s="199" t="str">
        <f t="shared" si="0"/>
        <v>PRODUCTION</v>
      </c>
      <c r="B27" s="483" t="s">
        <v>1538</v>
      </c>
      <c r="C27" s="494" t="str">
        <f t="shared" si="1"/>
        <v>ECR</v>
      </c>
      <c r="D27" s="487">
        <v>32.364400000000003</v>
      </c>
      <c r="E27" s="487">
        <v>36.713610000000003</v>
      </c>
      <c r="F27" s="487">
        <v>40.640180000000001</v>
      </c>
      <c r="G27" s="487">
        <v>44.594230000000003</v>
      </c>
      <c r="H27" s="487">
        <v>48.58034</v>
      </c>
      <c r="I27" s="487">
        <v>52.601349999999996</v>
      </c>
      <c r="J27" s="487">
        <v>1.9873700000000001</v>
      </c>
      <c r="K27" s="487">
        <v>1.9873700000000001</v>
      </c>
      <c r="L27" s="487">
        <v>0</v>
      </c>
      <c r="M27" s="487">
        <v>0</v>
      </c>
      <c r="N27" s="487">
        <v>0</v>
      </c>
      <c r="O27" s="487">
        <v>0</v>
      </c>
      <c r="P27" s="487">
        <v>0</v>
      </c>
      <c r="Q27" s="487">
        <v>0</v>
      </c>
    </row>
    <row r="28" spans="1:17">
      <c r="A28" s="199" t="str">
        <f t="shared" si="0"/>
        <v>PRODUCTION</v>
      </c>
      <c r="B28" s="483" t="s">
        <v>1539</v>
      </c>
      <c r="C28" s="494" t="str">
        <f t="shared" si="1"/>
        <v>ECR</v>
      </c>
      <c r="D28" s="487">
        <v>525.30868999999996</v>
      </c>
      <c r="E28" s="487">
        <v>572.50951999999995</v>
      </c>
      <c r="F28" s="487">
        <v>619.04459999999995</v>
      </c>
      <c r="G28" s="487">
        <v>666.29268000000002</v>
      </c>
      <c r="H28" s="487">
        <v>714.00364999999999</v>
      </c>
      <c r="I28" s="487">
        <v>762.05386999999996</v>
      </c>
      <c r="J28" s="487">
        <v>810.38921000000005</v>
      </c>
      <c r="K28" s="487">
        <v>836.85581000000002</v>
      </c>
      <c r="L28" s="487">
        <v>37.645009999999999</v>
      </c>
      <c r="M28" s="487">
        <v>0</v>
      </c>
      <c r="N28" s="487">
        <v>0</v>
      </c>
      <c r="O28" s="487">
        <v>0</v>
      </c>
      <c r="P28" s="487">
        <v>0</v>
      </c>
      <c r="Q28" s="487">
        <v>0</v>
      </c>
    </row>
    <row r="29" spans="1:17">
      <c r="A29" s="199" t="str">
        <f t="shared" si="0"/>
        <v/>
      </c>
      <c r="B29" s="483" t="s">
        <v>1543</v>
      </c>
      <c r="C29" s="494" t="str">
        <f t="shared" si="1"/>
        <v/>
      </c>
      <c r="D29" s="487">
        <v>589.87960999999996</v>
      </c>
      <c r="E29" s="487">
        <v>647.16360999999995</v>
      </c>
      <c r="F29" s="487">
        <v>703.43762000000004</v>
      </c>
      <c r="G29" s="487">
        <v>761.54566999999997</v>
      </c>
      <c r="H29" s="487">
        <v>821.33552999999995</v>
      </c>
      <c r="I29" s="487">
        <v>820.36910999999998</v>
      </c>
      <c r="J29" s="487">
        <v>815.64139</v>
      </c>
      <c r="K29" s="487">
        <v>844.31922999999995</v>
      </c>
      <c r="L29" s="487">
        <v>43.12106</v>
      </c>
      <c r="M29" s="487">
        <v>5.4760499999999999</v>
      </c>
      <c r="N29" s="487">
        <v>5.4760499999999999</v>
      </c>
      <c r="O29" s="487">
        <v>0.46287</v>
      </c>
      <c r="P29" s="487">
        <v>0.46287</v>
      </c>
      <c r="Q29" s="487">
        <v>0.46287</v>
      </c>
    </row>
    <row r="30" spans="1:17">
      <c r="A30" s="199" t="str">
        <f t="shared" si="0"/>
        <v/>
      </c>
      <c r="B30" s="483"/>
      <c r="C30" s="494" t="str">
        <f t="shared" si="1"/>
        <v/>
      </c>
      <c r="D30" s="487">
        <v>0</v>
      </c>
      <c r="E30" s="487">
        <v>0</v>
      </c>
      <c r="F30" s="487">
        <v>0</v>
      </c>
      <c r="G30" s="487">
        <v>0</v>
      </c>
      <c r="H30" s="487">
        <v>0</v>
      </c>
      <c r="I30" s="487">
        <v>0</v>
      </c>
      <c r="J30" s="487">
        <v>0</v>
      </c>
      <c r="K30" s="487">
        <v>0</v>
      </c>
      <c r="L30" s="487">
        <v>0</v>
      </c>
      <c r="M30" s="487">
        <v>0</v>
      </c>
      <c r="N30" s="487">
        <v>0</v>
      </c>
      <c r="O30" s="487">
        <v>0</v>
      </c>
      <c r="P30" s="487">
        <v>0</v>
      </c>
      <c r="Q30" s="487">
        <v>0</v>
      </c>
    </row>
    <row r="31" spans="1:17">
      <c r="A31" s="199" t="str">
        <f t="shared" si="0"/>
        <v/>
      </c>
      <c r="B31" s="485" t="s">
        <v>1545</v>
      </c>
      <c r="C31" s="495" t="str">
        <f t="shared" si="1"/>
        <v/>
      </c>
      <c r="D31" s="487">
        <v>0</v>
      </c>
      <c r="E31" s="487">
        <v>0</v>
      </c>
      <c r="F31" s="487">
        <v>0</v>
      </c>
      <c r="G31" s="487">
        <v>0</v>
      </c>
      <c r="H31" s="487">
        <v>0</v>
      </c>
      <c r="I31" s="487">
        <v>0</v>
      </c>
      <c r="J31" s="487">
        <v>0</v>
      </c>
      <c r="K31" s="487">
        <v>0</v>
      </c>
      <c r="L31" s="487">
        <v>0</v>
      </c>
      <c r="M31" s="487">
        <v>0</v>
      </c>
      <c r="N31" s="487">
        <v>0</v>
      </c>
      <c r="O31" s="487">
        <v>0</v>
      </c>
      <c r="P31" s="487">
        <v>0</v>
      </c>
      <c r="Q31" s="487">
        <v>0</v>
      </c>
    </row>
    <row r="32" spans="1:17">
      <c r="A32" s="199" t="str">
        <f t="shared" si="0"/>
        <v>DISTRIBUTION</v>
      </c>
      <c r="B32" s="483" t="s">
        <v>1529</v>
      </c>
      <c r="C32" s="494" t="str">
        <f t="shared" si="1"/>
        <v/>
      </c>
      <c r="D32" s="487">
        <v>5478.75108</v>
      </c>
      <c r="E32" s="487">
        <v>6000.2849200000001</v>
      </c>
      <c r="F32" s="487">
        <v>6322.6264799999999</v>
      </c>
      <c r="G32" s="487">
        <v>6621.7914000000001</v>
      </c>
      <c r="H32" s="487">
        <v>6503.7081799999996</v>
      </c>
      <c r="I32" s="487">
        <v>6691.3060699999996</v>
      </c>
      <c r="J32" s="487">
        <v>5655.48956</v>
      </c>
      <c r="K32" s="487">
        <v>5091.6562999999996</v>
      </c>
      <c r="L32" s="487">
        <v>2477.74973</v>
      </c>
      <c r="M32" s="487">
        <v>2679.0963700000002</v>
      </c>
      <c r="N32" s="487">
        <v>2851.4980500000001</v>
      </c>
      <c r="O32" s="487">
        <v>511.66854000000001</v>
      </c>
      <c r="P32" s="487">
        <v>516.57740000000001</v>
      </c>
      <c r="Q32" s="487">
        <v>531.72190999999998</v>
      </c>
    </row>
    <row r="33" spans="1:17">
      <c r="A33" s="199" t="str">
        <f t="shared" si="0"/>
        <v>DISTRIBUTION</v>
      </c>
      <c r="B33" s="483" t="s">
        <v>1530</v>
      </c>
      <c r="C33" s="494" t="str">
        <f t="shared" si="1"/>
        <v/>
      </c>
      <c r="D33" s="487">
        <v>169.32088999999999</v>
      </c>
      <c r="E33" s="487">
        <v>204.24243999999999</v>
      </c>
      <c r="F33" s="487">
        <v>241.18434999999999</v>
      </c>
      <c r="G33" s="487">
        <v>280.69166999999999</v>
      </c>
      <c r="H33" s="487">
        <v>206.09277</v>
      </c>
      <c r="I33" s="487">
        <v>224.70366999999999</v>
      </c>
      <c r="J33" s="487">
        <v>220.09215</v>
      </c>
      <c r="K33" s="487">
        <v>301.03640000000001</v>
      </c>
      <c r="L33" s="487">
        <v>143.67606000000001</v>
      </c>
      <c r="M33" s="487">
        <v>153.34361999999999</v>
      </c>
      <c r="N33" s="487">
        <v>157.31426999999999</v>
      </c>
      <c r="O33" s="487">
        <v>2.0000000000000002E-5</v>
      </c>
      <c r="P33" s="487">
        <v>2.0000000000000002E-5</v>
      </c>
      <c r="Q33" s="487">
        <v>2.0000000000000002E-5</v>
      </c>
    </row>
    <row r="34" spans="1:17">
      <c r="A34" s="199" t="str">
        <f t="shared" si="0"/>
        <v>GENERAL</v>
      </c>
      <c r="B34" s="483" t="s">
        <v>1531</v>
      </c>
      <c r="C34" s="494" t="str">
        <f t="shared" si="1"/>
        <v/>
      </c>
      <c r="D34" s="487">
        <v>211.54031000000001</v>
      </c>
      <c r="E34" s="487">
        <v>195.48058</v>
      </c>
      <c r="F34" s="487">
        <v>178.09308999999999</v>
      </c>
      <c r="G34" s="487">
        <v>165.21122</v>
      </c>
      <c r="H34" s="487">
        <v>165.57873000000001</v>
      </c>
      <c r="I34" s="487">
        <v>156.20321999999999</v>
      </c>
      <c r="J34" s="487">
        <v>144.64572999999999</v>
      </c>
      <c r="K34" s="487">
        <v>153.39914999999999</v>
      </c>
      <c r="L34" s="487">
        <v>19.258230000000001</v>
      </c>
      <c r="M34" s="487">
        <v>19.258230000000001</v>
      </c>
      <c r="N34" s="487">
        <v>9.3582300000000007</v>
      </c>
      <c r="O34" s="487">
        <v>0</v>
      </c>
      <c r="P34" s="487">
        <v>0</v>
      </c>
      <c r="Q34" s="487">
        <v>0</v>
      </c>
    </row>
    <row r="35" spans="1:17">
      <c r="A35" s="199" t="str">
        <f t="shared" si="0"/>
        <v>PRODUCTION</v>
      </c>
      <c r="B35" s="483" t="s">
        <v>1533</v>
      </c>
      <c r="C35" s="494" t="str">
        <f t="shared" si="1"/>
        <v/>
      </c>
      <c r="D35" s="487">
        <v>25.862739999999999</v>
      </c>
      <c r="E35" s="487">
        <v>25.862739999999999</v>
      </c>
      <c r="F35" s="487">
        <v>25.862739999999999</v>
      </c>
      <c r="G35" s="487">
        <v>25.862739999999999</v>
      </c>
      <c r="H35" s="487">
        <v>25.862739999999999</v>
      </c>
      <c r="I35" s="487">
        <v>25.862739999999999</v>
      </c>
      <c r="J35" s="487">
        <v>25.862739999999999</v>
      </c>
      <c r="K35" s="487">
        <v>25.862739999999999</v>
      </c>
      <c r="L35" s="487">
        <v>0</v>
      </c>
      <c r="M35" s="487">
        <v>0</v>
      </c>
      <c r="N35" s="487">
        <v>0</v>
      </c>
      <c r="O35" s="487">
        <v>0</v>
      </c>
      <c r="P35" s="487">
        <v>0</v>
      </c>
      <c r="Q35" s="487">
        <v>0</v>
      </c>
    </row>
    <row r="36" spans="1:17">
      <c r="A36" s="199" t="str">
        <f t="shared" si="0"/>
        <v>INTANGIBLE</v>
      </c>
      <c r="B36" s="483" t="s">
        <v>1534</v>
      </c>
      <c r="C36" s="494" t="str">
        <f t="shared" si="1"/>
        <v/>
      </c>
      <c r="D36" s="487">
        <v>0</v>
      </c>
      <c r="E36" s="487">
        <v>0</v>
      </c>
      <c r="F36" s="487">
        <v>0</v>
      </c>
      <c r="G36" s="487">
        <v>0</v>
      </c>
      <c r="H36" s="487">
        <v>0</v>
      </c>
      <c r="I36" s="487">
        <v>0</v>
      </c>
      <c r="J36" s="487">
        <v>0</v>
      </c>
      <c r="K36" s="487">
        <v>0</v>
      </c>
      <c r="L36" s="487">
        <v>0</v>
      </c>
      <c r="M36" s="487">
        <v>0</v>
      </c>
      <c r="N36" s="487">
        <v>0</v>
      </c>
      <c r="O36" s="487">
        <v>0</v>
      </c>
      <c r="P36" s="487">
        <v>0</v>
      </c>
      <c r="Q36" s="487">
        <v>0</v>
      </c>
    </row>
    <row r="37" spans="1:17">
      <c r="A37" s="199" t="str">
        <f t="shared" si="0"/>
        <v>PRODUCTION</v>
      </c>
      <c r="B37" s="483" t="s">
        <v>1536</v>
      </c>
      <c r="C37" s="494" t="str">
        <f t="shared" si="1"/>
        <v/>
      </c>
      <c r="D37" s="487">
        <v>550.58937000000003</v>
      </c>
      <c r="E37" s="487">
        <v>550.58937000000003</v>
      </c>
      <c r="F37" s="487">
        <v>319.26436000000001</v>
      </c>
      <c r="G37" s="487">
        <v>429.04500999999999</v>
      </c>
      <c r="H37" s="487">
        <v>440.47953000000001</v>
      </c>
      <c r="I37" s="487">
        <v>444.15661999999998</v>
      </c>
      <c r="J37" s="487">
        <v>135.51325</v>
      </c>
      <c r="K37" s="487">
        <v>137.43745000000001</v>
      </c>
      <c r="L37" s="487">
        <v>149.89225999999999</v>
      </c>
      <c r="M37" s="487">
        <v>149.89225999999999</v>
      </c>
      <c r="N37" s="487">
        <v>124.89225999999999</v>
      </c>
      <c r="O37" s="487">
        <v>0</v>
      </c>
      <c r="P37" s="487">
        <v>0</v>
      </c>
      <c r="Q37" s="487">
        <v>0</v>
      </c>
    </row>
    <row r="38" spans="1:17">
      <c r="A38" s="199" t="str">
        <f t="shared" si="0"/>
        <v>PRODUCTION</v>
      </c>
      <c r="B38" s="483" t="s">
        <v>1537</v>
      </c>
      <c r="C38" s="494" t="str">
        <f t="shared" si="1"/>
        <v/>
      </c>
      <c r="D38" s="487">
        <v>14218.346009999999</v>
      </c>
      <c r="E38" s="487">
        <v>15557.204820000001</v>
      </c>
      <c r="F38" s="487">
        <v>15469.87348</v>
      </c>
      <c r="G38" s="487">
        <v>16831.01252</v>
      </c>
      <c r="H38" s="487">
        <v>17975.594819999998</v>
      </c>
      <c r="I38" s="487">
        <v>19251.535209999998</v>
      </c>
      <c r="J38" s="487">
        <v>19695.121910000002</v>
      </c>
      <c r="K38" s="487">
        <v>4213.5424199999998</v>
      </c>
      <c r="L38" s="487">
        <v>2488.0083500000001</v>
      </c>
      <c r="M38" s="487">
        <v>3213.4863</v>
      </c>
      <c r="N38" s="487">
        <v>4222.24136</v>
      </c>
      <c r="O38" s="487">
        <v>537.19523000000004</v>
      </c>
      <c r="P38" s="487">
        <v>609.37923000000001</v>
      </c>
      <c r="Q38" s="487">
        <v>708.32243000000005</v>
      </c>
    </row>
    <row r="39" spans="1:17">
      <c r="A39" s="199" t="str">
        <f t="shared" si="0"/>
        <v>PRODUCTION</v>
      </c>
      <c r="B39" s="483" t="s">
        <v>1538</v>
      </c>
      <c r="C39" s="494" t="str">
        <f t="shared" si="1"/>
        <v>ECR</v>
      </c>
      <c r="D39" s="487">
        <v>0</v>
      </c>
      <c r="E39" s="487">
        <v>0</v>
      </c>
      <c r="F39" s="487">
        <v>0</v>
      </c>
      <c r="G39" s="487">
        <v>0</v>
      </c>
      <c r="H39" s="487">
        <v>0</v>
      </c>
      <c r="I39" s="487">
        <v>0</v>
      </c>
      <c r="J39" s="487">
        <v>0</v>
      </c>
      <c r="K39" s="487">
        <v>207.96576999999999</v>
      </c>
      <c r="L39" s="487">
        <v>4.9054799999999998</v>
      </c>
      <c r="M39" s="487">
        <v>1.37802</v>
      </c>
      <c r="N39" s="487">
        <v>0</v>
      </c>
      <c r="O39" s="487">
        <v>0</v>
      </c>
      <c r="P39" s="487">
        <v>0</v>
      </c>
      <c r="Q39" s="487">
        <v>0</v>
      </c>
    </row>
    <row r="40" spans="1:17">
      <c r="A40" s="199" t="str">
        <f t="shared" si="0"/>
        <v>PRODUCTION</v>
      </c>
      <c r="B40" s="483" t="s">
        <v>1539</v>
      </c>
      <c r="C40" s="494" t="str">
        <f t="shared" si="1"/>
        <v>ECR</v>
      </c>
      <c r="D40" s="487">
        <v>0</v>
      </c>
      <c r="E40" s="487">
        <v>0</v>
      </c>
      <c r="F40" s="487">
        <v>0</v>
      </c>
      <c r="G40" s="487">
        <v>0</v>
      </c>
      <c r="H40" s="487">
        <v>0</v>
      </c>
      <c r="I40" s="487">
        <v>0</v>
      </c>
      <c r="J40" s="487">
        <v>0</v>
      </c>
      <c r="K40" s="487">
        <v>11204.503500000001</v>
      </c>
      <c r="L40" s="487">
        <v>30.634399999999999</v>
      </c>
      <c r="M40" s="487">
        <v>0</v>
      </c>
      <c r="N40" s="487">
        <v>0</v>
      </c>
      <c r="O40" s="487">
        <v>0</v>
      </c>
      <c r="P40" s="487">
        <v>0</v>
      </c>
      <c r="Q40" s="487">
        <v>0</v>
      </c>
    </row>
    <row r="41" spans="1:17">
      <c r="A41" s="199" t="str">
        <f t="shared" si="0"/>
        <v>PRODUCTION</v>
      </c>
      <c r="B41" s="483" t="s">
        <v>2387</v>
      </c>
      <c r="C41" s="494" t="str">
        <f t="shared" si="1"/>
        <v>ECR</v>
      </c>
      <c r="D41" s="487">
        <v>0</v>
      </c>
      <c r="E41" s="487">
        <v>0</v>
      </c>
      <c r="F41" s="487">
        <v>0</v>
      </c>
      <c r="G41" s="487">
        <v>0</v>
      </c>
      <c r="H41" s="487">
        <v>0</v>
      </c>
      <c r="I41" s="487">
        <v>0</v>
      </c>
      <c r="J41" s="487">
        <v>0</v>
      </c>
      <c r="K41" s="487">
        <v>0</v>
      </c>
      <c r="L41" s="487">
        <v>0</v>
      </c>
      <c r="M41" s="487">
        <v>0</v>
      </c>
      <c r="N41" s="487">
        <v>0</v>
      </c>
      <c r="O41" s="487">
        <v>0</v>
      </c>
      <c r="P41" s="487">
        <v>0</v>
      </c>
      <c r="Q41" s="487">
        <v>0</v>
      </c>
    </row>
    <row r="42" spans="1:17">
      <c r="A42" s="199" t="str">
        <f t="shared" si="0"/>
        <v>PRODUCTION</v>
      </c>
      <c r="B42" s="483" t="s">
        <v>2388</v>
      </c>
      <c r="C42" s="494" t="str">
        <f t="shared" si="1"/>
        <v>ECR</v>
      </c>
      <c r="D42" s="487">
        <v>0</v>
      </c>
      <c r="E42" s="487">
        <v>0</v>
      </c>
      <c r="F42" s="487">
        <v>0</v>
      </c>
      <c r="G42" s="487">
        <v>0</v>
      </c>
      <c r="H42" s="487">
        <v>0</v>
      </c>
      <c r="I42" s="487">
        <v>0</v>
      </c>
      <c r="J42" s="487">
        <v>0</v>
      </c>
      <c r="K42" s="487">
        <v>0</v>
      </c>
      <c r="L42" s="487">
        <v>0</v>
      </c>
      <c r="M42" s="487">
        <v>0</v>
      </c>
      <c r="N42" s="487">
        <v>0</v>
      </c>
      <c r="O42" s="487">
        <v>0</v>
      </c>
      <c r="P42" s="487">
        <v>0</v>
      </c>
      <c r="Q42" s="487">
        <v>0</v>
      </c>
    </row>
    <row r="43" spans="1:17">
      <c r="A43" s="199" t="str">
        <f t="shared" si="0"/>
        <v>TRANSMISSION</v>
      </c>
      <c r="B43" s="483" t="s">
        <v>1541</v>
      </c>
      <c r="C43" s="494" t="str">
        <f t="shared" si="1"/>
        <v/>
      </c>
      <c r="D43" s="487">
        <v>6795.2439299999996</v>
      </c>
      <c r="E43" s="487">
        <v>6689.6273000000001</v>
      </c>
      <c r="F43" s="487">
        <v>6935.7046600000003</v>
      </c>
      <c r="G43" s="487">
        <v>7252.2072799999996</v>
      </c>
      <c r="H43" s="487">
        <v>7446.1245500000005</v>
      </c>
      <c r="I43" s="487">
        <v>6914.4349099999999</v>
      </c>
      <c r="J43" s="487">
        <v>6603.3457799999996</v>
      </c>
      <c r="K43" s="487">
        <v>5669.1552499999998</v>
      </c>
      <c r="L43" s="487">
        <v>1045.4206300000001</v>
      </c>
      <c r="M43" s="487">
        <v>674.65716999999995</v>
      </c>
      <c r="N43" s="487">
        <v>1094.91282</v>
      </c>
      <c r="O43" s="487">
        <v>1197.0303699999999</v>
      </c>
      <c r="P43" s="487">
        <v>1541.13642</v>
      </c>
      <c r="Q43" s="487">
        <v>1305.3904199999999</v>
      </c>
    </row>
    <row r="44" spans="1:17">
      <c r="A44" s="199" t="str">
        <f t="shared" si="0"/>
        <v>TRANSMISSION</v>
      </c>
      <c r="B44" s="483" t="s">
        <v>1542</v>
      </c>
      <c r="C44" s="494" t="str">
        <f t="shared" si="1"/>
        <v/>
      </c>
      <c r="D44" s="487">
        <v>184.84202999999999</v>
      </c>
      <c r="E44" s="487">
        <v>184.84202999999999</v>
      </c>
      <c r="F44" s="487">
        <v>0</v>
      </c>
      <c r="G44" s="487">
        <v>74.072329999999994</v>
      </c>
      <c r="H44" s="487">
        <v>242.91472999999999</v>
      </c>
      <c r="I44" s="487">
        <v>217.90422000000001</v>
      </c>
      <c r="J44" s="487">
        <v>213.22017</v>
      </c>
      <c r="K44" s="487">
        <v>75.223740000000006</v>
      </c>
      <c r="L44" s="487">
        <v>323.89620000000002</v>
      </c>
      <c r="M44" s="487">
        <v>333.69022000000001</v>
      </c>
      <c r="N44" s="487">
        <v>326.43088999999998</v>
      </c>
      <c r="O44" s="487">
        <v>323.89620000000002</v>
      </c>
      <c r="P44" s="487">
        <v>380.42932000000002</v>
      </c>
      <c r="Q44" s="487">
        <v>0</v>
      </c>
    </row>
    <row r="45" spans="1:17">
      <c r="B45" s="483"/>
      <c r="C45" s="494"/>
      <c r="D45" s="487"/>
      <c r="E45" s="487"/>
      <c r="F45" s="487"/>
      <c r="G45" s="487"/>
      <c r="H45" s="487"/>
      <c r="I45" s="487"/>
      <c r="J45" s="487"/>
      <c r="K45" s="487"/>
      <c r="L45" s="487"/>
      <c r="M45" s="487"/>
      <c r="N45" s="487"/>
      <c r="O45" s="487"/>
      <c r="P45" s="487"/>
      <c r="Q45" s="487"/>
    </row>
  </sheetData>
  <pageMargins left="0.75" right="0.75" top="1" bottom="1" header="0.5" footer="0.5"/>
  <pageSetup scale="65" fitToHeight="0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pageSetUpPr fitToPage="1"/>
  </sheetPr>
  <dimension ref="A1:AA369"/>
  <sheetViews>
    <sheetView zoomScale="70" zoomScaleNormal="70" workbookViewId="0"/>
  </sheetViews>
  <sheetFormatPr defaultColWidth="9" defaultRowHeight="12.75"/>
  <cols>
    <col min="1" max="1" width="5.33203125" style="6" customWidth="1"/>
    <col min="2" max="2" width="7.6640625" style="6" customWidth="1"/>
    <col min="3" max="3" width="45" style="6" bestFit="1" customWidth="1"/>
    <col min="4" max="4" width="15.44140625" style="678" customWidth="1"/>
    <col min="5" max="5" width="3" style="6" customWidth="1"/>
    <col min="6" max="6" width="15.44140625" style="678" customWidth="1"/>
    <col min="7" max="7" width="1.44140625" style="6" customWidth="1"/>
    <col min="8" max="8" width="15.44140625" style="678" customWidth="1"/>
    <col min="9" max="9" width="1.44140625" style="6" customWidth="1"/>
    <col min="10" max="10" width="15.44140625" style="678" customWidth="1"/>
    <col min="11" max="11" width="1.44140625" style="6" customWidth="1"/>
    <col min="12" max="12" width="15.44140625" style="678" customWidth="1"/>
    <col min="13" max="13" width="1.44140625" style="6" customWidth="1"/>
    <col min="14" max="14" width="15.44140625" style="678" customWidth="1"/>
    <col min="15" max="15" width="1.44140625" style="6" customWidth="1"/>
    <col min="16" max="16" width="18.6640625" style="6" customWidth="1"/>
    <col min="17" max="17" width="1.44140625" style="6" customWidth="1"/>
    <col min="18" max="18" width="18.6640625" style="6" customWidth="1"/>
    <col min="19" max="19" width="1.44140625" style="6" customWidth="1"/>
    <col min="20" max="20" width="18.6640625" style="6" customWidth="1"/>
    <col min="21" max="21" width="1.44140625" style="6" customWidth="1"/>
    <col min="22" max="22" width="20.6640625" style="678" customWidth="1"/>
    <col min="23" max="23" width="1.44140625" style="6" customWidth="1"/>
    <col min="24" max="24" width="20" style="678" customWidth="1"/>
    <col min="25" max="25" width="1.44140625" style="6" customWidth="1"/>
    <col min="26" max="27" width="15.44140625" style="678" customWidth="1"/>
    <col min="28" max="16384" width="9" style="6"/>
  </cols>
  <sheetData>
    <row r="1" spans="1:27" s="1" customFormat="1" ht="15">
      <c r="C1" s="46" t="s">
        <v>0</v>
      </c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5"/>
      <c r="V1" s="465"/>
      <c r="W1" s="465"/>
      <c r="X1" s="465"/>
      <c r="Y1" s="465"/>
      <c r="Z1" s="465"/>
      <c r="AA1" s="465"/>
    </row>
    <row r="2" spans="1:27" s="1" customFormat="1" ht="15">
      <c r="C2" s="46" t="s">
        <v>1</v>
      </c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5"/>
      <c r="V2" s="465"/>
      <c r="W2" s="465"/>
      <c r="X2" s="465"/>
      <c r="Y2" s="465"/>
      <c r="Z2" s="465"/>
      <c r="AA2" s="465"/>
    </row>
    <row r="3" spans="1:27">
      <c r="C3" s="47" t="s">
        <v>2382</v>
      </c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67"/>
      <c r="V3" s="467"/>
      <c r="W3" s="467"/>
      <c r="X3" s="467"/>
      <c r="Y3" s="467"/>
      <c r="Z3" s="467"/>
      <c r="AA3" s="467"/>
    </row>
    <row r="4" spans="1:27">
      <c r="C4" s="674"/>
      <c r="D4" s="674"/>
      <c r="E4" s="674"/>
      <c r="F4" s="674"/>
      <c r="G4" s="674"/>
      <c r="H4" s="674"/>
      <c r="I4" s="674"/>
      <c r="J4" s="674"/>
      <c r="K4" s="674"/>
      <c r="L4" s="674"/>
      <c r="M4" s="674"/>
      <c r="N4" s="674"/>
      <c r="U4" s="674"/>
      <c r="V4" s="674"/>
      <c r="W4" s="674"/>
      <c r="X4" s="674"/>
      <c r="Y4" s="674"/>
      <c r="Z4" s="467" t="s">
        <v>1770</v>
      </c>
      <c r="AA4" s="467"/>
    </row>
    <row r="5" spans="1:27" ht="15">
      <c r="C5" s="674"/>
      <c r="D5" s="675" t="s">
        <v>2383</v>
      </c>
      <c r="E5" s="674"/>
      <c r="F5" s="674"/>
      <c r="G5" s="674"/>
      <c r="H5" s="674"/>
      <c r="I5" s="674"/>
      <c r="J5" s="674"/>
      <c r="K5" s="674"/>
      <c r="L5" s="674"/>
      <c r="M5" s="674"/>
      <c r="N5" s="675" t="s">
        <v>2384</v>
      </c>
      <c r="P5" s="675" t="s">
        <v>1771</v>
      </c>
      <c r="T5" s="675" t="s">
        <v>1771</v>
      </c>
      <c r="V5" s="675" t="s">
        <v>1771</v>
      </c>
      <c r="X5" s="675" t="s">
        <v>1771</v>
      </c>
      <c r="Y5" s="674"/>
      <c r="Z5" s="675" t="s">
        <v>2384</v>
      </c>
      <c r="AA5" s="676"/>
    </row>
    <row r="6" spans="1:27" ht="15">
      <c r="C6" s="2"/>
      <c r="D6" s="3" t="s">
        <v>2</v>
      </c>
      <c r="E6" s="2"/>
      <c r="F6" s="4"/>
      <c r="G6" s="2"/>
      <c r="H6" s="4"/>
      <c r="I6" s="2"/>
      <c r="J6" s="3" t="s">
        <v>3</v>
      </c>
      <c r="K6" s="2"/>
      <c r="L6" s="4"/>
      <c r="M6" s="2"/>
      <c r="N6" s="3" t="s">
        <v>4</v>
      </c>
      <c r="O6" s="2"/>
      <c r="P6" s="3" t="s">
        <v>4</v>
      </c>
      <c r="Q6" s="2"/>
      <c r="R6" s="675" t="s">
        <v>1771</v>
      </c>
      <c r="S6" s="2"/>
      <c r="T6" s="5" t="s">
        <v>5</v>
      </c>
      <c r="V6" s="197" t="s">
        <v>1210</v>
      </c>
      <c r="W6" s="2"/>
      <c r="X6" s="197" t="s">
        <v>11</v>
      </c>
      <c r="Y6" s="2"/>
      <c r="Z6" s="3" t="s">
        <v>4</v>
      </c>
      <c r="AA6" s="3"/>
    </row>
    <row r="7" spans="1:27">
      <c r="C7" s="2"/>
      <c r="D7" s="7" t="s">
        <v>6</v>
      </c>
      <c r="E7" s="2"/>
      <c r="F7" s="7" t="s">
        <v>7</v>
      </c>
      <c r="G7" s="2"/>
      <c r="H7" s="7" t="s">
        <v>8</v>
      </c>
      <c r="I7" s="2"/>
      <c r="J7" s="7" t="s">
        <v>9</v>
      </c>
      <c r="K7" s="2"/>
      <c r="L7" s="7" t="s">
        <v>10</v>
      </c>
      <c r="M7" s="2"/>
      <c r="N7" s="7" t="s">
        <v>6</v>
      </c>
      <c r="O7" s="2"/>
      <c r="P7" s="7" t="s">
        <v>6</v>
      </c>
      <c r="Q7" s="2"/>
      <c r="R7" s="7" t="s">
        <v>11</v>
      </c>
      <c r="S7" s="2"/>
      <c r="T7" s="7" t="s">
        <v>12</v>
      </c>
      <c r="V7" s="7" t="s">
        <v>1211</v>
      </c>
      <c r="W7" s="2"/>
      <c r="X7" s="7" t="s">
        <v>2318</v>
      </c>
      <c r="Y7" s="2"/>
      <c r="Z7" s="7" t="s">
        <v>6</v>
      </c>
      <c r="AA7" s="7" t="s">
        <v>13</v>
      </c>
    </row>
    <row r="8" spans="1:27">
      <c r="C8" s="5" t="s">
        <v>14</v>
      </c>
      <c r="D8" s="8"/>
      <c r="E8" s="2"/>
      <c r="F8" s="8"/>
      <c r="G8" s="2"/>
      <c r="H8" s="8"/>
      <c r="I8" s="2"/>
      <c r="J8" s="8"/>
      <c r="K8" s="2"/>
      <c r="L8" s="8"/>
      <c r="M8" s="2"/>
      <c r="N8" s="8"/>
      <c r="O8" s="2"/>
      <c r="P8" s="2"/>
      <c r="Q8" s="2"/>
      <c r="R8" s="2"/>
      <c r="S8" s="2"/>
      <c r="T8" s="2"/>
      <c r="U8" s="2"/>
      <c r="V8" s="8"/>
      <c r="W8" s="2"/>
      <c r="X8" s="8"/>
      <c r="Y8" s="2"/>
      <c r="Z8" s="8"/>
      <c r="AA8" s="8"/>
    </row>
    <row r="9" spans="1:27">
      <c r="C9" s="5" t="s">
        <v>15</v>
      </c>
      <c r="D9" s="4"/>
      <c r="E9" s="2"/>
      <c r="F9" s="4"/>
      <c r="G9" s="2"/>
      <c r="H9" s="4"/>
      <c r="I9" s="2"/>
      <c r="J9" s="4"/>
      <c r="K9" s="2"/>
      <c r="L9" s="4"/>
      <c r="M9" s="2"/>
      <c r="N9" s="4"/>
      <c r="O9" s="2"/>
      <c r="P9" s="2"/>
      <c r="Q9" s="2"/>
      <c r="R9" s="2"/>
      <c r="S9" s="2"/>
      <c r="T9" s="2"/>
      <c r="U9" s="2"/>
      <c r="V9" s="4"/>
      <c r="W9" s="2"/>
      <c r="X9" s="4"/>
      <c r="Y9" s="2"/>
      <c r="Z9" s="4"/>
      <c r="AA9" s="4"/>
    </row>
    <row r="10" spans="1:27">
      <c r="C10" s="5" t="s">
        <v>16</v>
      </c>
      <c r="D10" s="4"/>
      <c r="E10" s="2"/>
      <c r="F10" s="4"/>
      <c r="G10" s="2"/>
      <c r="H10" s="4"/>
      <c r="I10" s="2"/>
      <c r="J10" s="4"/>
      <c r="K10" s="2"/>
      <c r="L10" s="4"/>
      <c r="M10" s="2"/>
      <c r="N10" s="4"/>
      <c r="O10" s="2"/>
      <c r="P10" s="2"/>
      <c r="Q10" s="2"/>
      <c r="R10" s="2"/>
      <c r="S10" s="2"/>
      <c r="T10" s="2"/>
      <c r="U10" s="2"/>
      <c r="V10" s="4"/>
      <c r="W10" s="2"/>
      <c r="X10" s="4"/>
      <c r="Y10" s="2"/>
      <c r="Z10" s="4"/>
      <c r="AA10" s="4"/>
    </row>
    <row r="11" spans="1:27">
      <c r="A11" s="6" t="s">
        <v>17</v>
      </c>
      <c r="B11" s="6" t="str">
        <f>MID(C11,2,3)</f>
        <v>360</v>
      </c>
      <c r="C11" s="2" t="s">
        <v>18</v>
      </c>
      <c r="D11" s="4">
        <v>8163872.9399999995</v>
      </c>
      <c r="E11" s="16"/>
      <c r="F11" s="4">
        <v>400750</v>
      </c>
      <c r="G11" s="16"/>
      <c r="H11" s="4">
        <v>0</v>
      </c>
      <c r="I11" s="16"/>
      <c r="J11" s="4">
        <v>0</v>
      </c>
      <c r="K11" s="16"/>
      <c r="L11" s="4">
        <v>400750</v>
      </c>
      <c r="M11" s="16"/>
      <c r="N11" s="4">
        <v>8564622.9399999995</v>
      </c>
      <c r="O11" s="2"/>
      <c r="P11" s="4">
        <v>8379661.4015384596</v>
      </c>
      <c r="Q11" s="2"/>
      <c r="R11" s="4">
        <v>-1412356.8472339907</v>
      </c>
      <c r="S11" s="2"/>
      <c r="T11" s="10">
        <v>6967304.5543044694</v>
      </c>
      <c r="U11" s="16"/>
      <c r="V11" s="4">
        <v>6176.9486288513344</v>
      </c>
      <c r="W11" s="2"/>
      <c r="X11" s="9">
        <v>-1406179.8986051392</v>
      </c>
      <c r="Y11" s="16"/>
      <c r="Z11" s="4">
        <v>8564622.9399999995</v>
      </c>
      <c r="AA11" s="9">
        <v>0</v>
      </c>
    </row>
    <row r="12" spans="1:27">
      <c r="A12" s="6" t="s">
        <v>17</v>
      </c>
      <c r="C12" s="2" t="s">
        <v>19</v>
      </c>
      <c r="D12" s="4">
        <v>0</v>
      </c>
      <c r="E12" s="16"/>
      <c r="F12" s="4">
        <v>0</v>
      </c>
      <c r="G12" s="16"/>
      <c r="H12" s="4">
        <v>0</v>
      </c>
      <c r="I12" s="16"/>
      <c r="J12" s="4">
        <v>0</v>
      </c>
      <c r="K12" s="16"/>
      <c r="L12" s="4">
        <v>0</v>
      </c>
      <c r="M12" s="16"/>
      <c r="N12" s="4">
        <v>0</v>
      </c>
      <c r="O12" s="2"/>
      <c r="P12" s="4">
        <v>0</v>
      </c>
      <c r="Q12" s="2"/>
      <c r="R12" s="4">
        <v>0</v>
      </c>
      <c r="S12" s="2"/>
      <c r="T12" s="10">
        <v>0</v>
      </c>
      <c r="U12" s="16"/>
      <c r="V12" s="4">
        <v>0</v>
      </c>
      <c r="W12" s="16"/>
      <c r="X12" s="4">
        <v>0</v>
      </c>
      <c r="Y12" s="16"/>
      <c r="Z12" s="4">
        <v>0</v>
      </c>
      <c r="AA12" s="4">
        <v>0</v>
      </c>
    </row>
    <row r="13" spans="1:27">
      <c r="A13" s="6" t="s">
        <v>17</v>
      </c>
      <c r="B13" s="6" t="str">
        <f t="shared" ref="B13:B25" si="0">MID(C13,2,3)</f>
        <v>361</v>
      </c>
      <c r="C13" s="2" t="s">
        <v>20</v>
      </c>
      <c r="D13" s="4">
        <v>12013416.149999999</v>
      </c>
      <c r="E13" s="16"/>
      <c r="F13" s="4">
        <v>1648306.39</v>
      </c>
      <c r="G13" s="16"/>
      <c r="H13" s="4">
        <v>0</v>
      </c>
      <c r="I13" s="16"/>
      <c r="J13" s="4">
        <v>0</v>
      </c>
      <c r="K13" s="16"/>
      <c r="L13" s="4">
        <v>1648306.39</v>
      </c>
      <c r="M13" s="16"/>
      <c r="N13" s="4">
        <v>13661722.539999999</v>
      </c>
      <c r="O13" s="2"/>
      <c r="P13" s="10">
        <v>13503119.586923074</v>
      </c>
      <c r="Q13" s="2"/>
      <c r="R13" s="10">
        <v>-2545302.9599524527</v>
      </c>
      <c r="S13" s="2"/>
      <c r="T13" s="10">
        <v>10957816.626970621</v>
      </c>
      <c r="U13" s="16"/>
      <c r="V13" s="4">
        <v>25406.12325798476</v>
      </c>
      <c r="W13" s="16"/>
      <c r="X13" s="4">
        <v>-2519896.8366944678</v>
      </c>
      <c r="Y13" s="16"/>
      <c r="Z13" s="4">
        <v>13661722.540000001</v>
      </c>
      <c r="AA13" s="4">
        <v>0</v>
      </c>
    </row>
    <row r="14" spans="1:27">
      <c r="A14" s="6" t="s">
        <v>17</v>
      </c>
      <c r="B14" s="6" t="str">
        <f t="shared" si="0"/>
        <v>362</v>
      </c>
      <c r="C14" s="2" t="s">
        <v>21</v>
      </c>
      <c r="D14" s="4">
        <v>182315659.25999999</v>
      </c>
      <c r="E14" s="16"/>
      <c r="F14" s="4">
        <v>18674231.59</v>
      </c>
      <c r="G14" s="16"/>
      <c r="H14" s="4">
        <v>-1138217.9999999998</v>
      </c>
      <c r="I14" s="16"/>
      <c r="J14" s="4">
        <v>0</v>
      </c>
      <c r="K14" s="16"/>
      <c r="L14" s="4">
        <v>17536013.59</v>
      </c>
      <c r="M14" s="16"/>
      <c r="N14" s="4">
        <v>199851672.84999999</v>
      </c>
      <c r="O14" s="2"/>
      <c r="P14" s="10">
        <v>191808017.08615381</v>
      </c>
      <c r="Q14" s="2"/>
      <c r="R14" s="10">
        <v>-49182268.326532297</v>
      </c>
      <c r="S14" s="2"/>
      <c r="T14" s="10">
        <v>142625748.7596215</v>
      </c>
      <c r="U14" s="16"/>
      <c r="V14" s="4">
        <v>287834.73291254597</v>
      </c>
      <c r="W14" s="16"/>
      <c r="X14" s="4">
        <v>-48894433.593619749</v>
      </c>
      <c r="Y14" s="16"/>
      <c r="Z14" s="4">
        <v>199851672.84999901</v>
      </c>
      <c r="AA14" s="4">
        <v>-9.8347663879394531E-7</v>
      </c>
    </row>
    <row r="15" spans="1:27">
      <c r="A15" s="6" t="s">
        <v>17</v>
      </c>
      <c r="B15" s="6" t="str">
        <f t="shared" si="0"/>
        <v>364</v>
      </c>
      <c r="C15" s="2" t="s">
        <v>22</v>
      </c>
      <c r="D15" s="4">
        <v>352345737.02999902</v>
      </c>
      <c r="E15" s="16"/>
      <c r="F15" s="4">
        <v>13516011.949999977</v>
      </c>
      <c r="G15" s="16"/>
      <c r="H15" s="4">
        <v>-1491576</v>
      </c>
      <c r="I15" s="16"/>
      <c r="J15" s="4">
        <v>0</v>
      </c>
      <c r="K15" s="16"/>
      <c r="L15" s="4">
        <v>12024435.949999977</v>
      </c>
      <c r="M15" s="16"/>
      <c r="N15" s="4">
        <v>364370172.97999901</v>
      </c>
      <c r="O15" s="2"/>
      <c r="P15" s="10">
        <v>358366452.37769139</v>
      </c>
      <c r="Q15" s="2"/>
      <c r="R15" s="10">
        <v>-149848915.43733573</v>
      </c>
      <c r="S15" s="2"/>
      <c r="T15" s="10">
        <v>208517536.94035566</v>
      </c>
      <c r="U15" s="16"/>
      <c r="V15" s="4">
        <v>208328.66246310822</v>
      </c>
      <c r="W15" s="16"/>
      <c r="X15" s="4">
        <v>-149640586.77487263</v>
      </c>
      <c r="Y15" s="16"/>
      <c r="Z15" s="4">
        <v>364370172.97999907</v>
      </c>
      <c r="AA15" s="4">
        <v>0</v>
      </c>
    </row>
    <row r="16" spans="1:27">
      <c r="A16" s="6" t="s">
        <v>17</v>
      </c>
      <c r="B16" s="6" t="str">
        <f t="shared" si="0"/>
        <v>365</v>
      </c>
      <c r="C16" s="2" t="s">
        <v>23</v>
      </c>
      <c r="D16" s="4">
        <v>349285946.99999899</v>
      </c>
      <c r="E16" s="16"/>
      <c r="F16" s="4">
        <v>23897107.879999921</v>
      </c>
      <c r="G16" s="16"/>
      <c r="H16" s="4">
        <v>-4566109</v>
      </c>
      <c r="I16" s="16"/>
      <c r="J16" s="4">
        <v>0</v>
      </c>
      <c r="K16" s="16"/>
      <c r="L16" s="4">
        <v>19330998.879999921</v>
      </c>
      <c r="M16" s="16"/>
      <c r="N16" s="4">
        <v>368616945.87999892</v>
      </c>
      <c r="O16" s="2"/>
      <c r="P16" s="10">
        <v>358797886.37922984</v>
      </c>
      <c r="Q16" s="2"/>
      <c r="R16" s="10">
        <v>-111628608.10971041</v>
      </c>
      <c r="S16" s="2"/>
      <c r="T16" s="10">
        <v>247169278.26951945</v>
      </c>
      <c r="U16" s="16"/>
      <c r="V16" s="4">
        <v>368337.38678197865</v>
      </c>
      <c r="W16" s="16"/>
      <c r="X16" s="4">
        <v>-111260270.72292843</v>
      </c>
      <c r="Y16" s="16"/>
      <c r="Z16" s="4">
        <v>368616945.87999904</v>
      </c>
      <c r="AA16" s="4">
        <v>0</v>
      </c>
    </row>
    <row r="17" spans="1:27">
      <c r="A17" s="6" t="s">
        <v>17</v>
      </c>
      <c r="B17" s="6" t="str">
        <f t="shared" si="0"/>
        <v>366</v>
      </c>
      <c r="C17" s="2" t="s">
        <v>24</v>
      </c>
      <c r="D17" s="4">
        <v>2381227.6699999901</v>
      </c>
      <c r="E17" s="16"/>
      <c r="F17" s="4">
        <v>0</v>
      </c>
      <c r="G17" s="16"/>
      <c r="H17" s="4">
        <v>0</v>
      </c>
      <c r="I17" s="16"/>
      <c r="J17" s="4">
        <v>0</v>
      </c>
      <c r="K17" s="16"/>
      <c r="L17" s="4">
        <v>0</v>
      </c>
      <c r="M17" s="16"/>
      <c r="N17" s="4">
        <v>2381227.6699999901</v>
      </c>
      <c r="O17" s="2"/>
      <c r="P17" s="10">
        <v>2381227.6699999906</v>
      </c>
      <c r="Q17" s="2"/>
      <c r="R17" s="10">
        <v>-950815.39355299901</v>
      </c>
      <c r="S17" s="2"/>
      <c r="T17" s="10">
        <v>1430412.2764469916</v>
      </c>
      <c r="U17" s="16"/>
      <c r="V17" s="4">
        <v>0</v>
      </c>
      <c r="W17" s="16"/>
      <c r="X17" s="4">
        <v>-950815.39355299901</v>
      </c>
      <c r="Y17" s="16"/>
      <c r="Z17" s="4">
        <v>2381227.6699999901</v>
      </c>
      <c r="AA17" s="4">
        <v>0</v>
      </c>
    </row>
    <row r="18" spans="1:27">
      <c r="A18" s="6" t="s">
        <v>17</v>
      </c>
      <c r="B18" s="6" t="str">
        <f t="shared" si="0"/>
        <v>367</v>
      </c>
      <c r="C18" s="2" t="s">
        <v>25</v>
      </c>
      <c r="D18" s="4">
        <v>192704066.24000001</v>
      </c>
      <c r="E18" s="16"/>
      <c r="F18" s="4">
        <v>14634986.16999995</v>
      </c>
      <c r="G18" s="16"/>
      <c r="H18" s="4">
        <v>0</v>
      </c>
      <c r="I18" s="16"/>
      <c r="J18" s="4">
        <v>0</v>
      </c>
      <c r="K18" s="16"/>
      <c r="L18" s="4">
        <v>14634986.16999995</v>
      </c>
      <c r="M18" s="16"/>
      <c r="N18" s="4">
        <v>207339052.40999997</v>
      </c>
      <c r="O18" s="2"/>
      <c r="P18" s="10">
        <v>200004753.54538465</v>
      </c>
      <c r="Q18" s="2"/>
      <c r="R18" s="10">
        <v>-47485667.988703519</v>
      </c>
      <c r="S18" s="2"/>
      <c r="T18" s="10">
        <v>152519085.55668113</v>
      </c>
      <c r="U18" s="16"/>
      <c r="V18" s="4">
        <v>225575.93950352949</v>
      </c>
      <c r="W18" s="16"/>
      <c r="X18" s="4">
        <v>-47260092.049199991</v>
      </c>
      <c r="Y18" s="16"/>
      <c r="Z18" s="4">
        <v>207339052.41</v>
      </c>
      <c r="AA18" s="4">
        <v>0</v>
      </c>
    </row>
    <row r="19" spans="1:27">
      <c r="A19" s="6" t="s">
        <v>17</v>
      </c>
      <c r="B19" s="6" t="str">
        <f t="shared" si="0"/>
        <v>368</v>
      </c>
      <c r="C19" s="2" t="s">
        <v>26</v>
      </c>
      <c r="D19" s="4">
        <v>304986830.52999902</v>
      </c>
      <c r="E19" s="16"/>
      <c r="F19" s="4">
        <v>9367556.4499999974</v>
      </c>
      <c r="G19" s="16"/>
      <c r="H19" s="4">
        <v>-1505672.9999999995</v>
      </c>
      <c r="I19" s="16"/>
      <c r="J19" s="4">
        <v>0</v>
      </c>
      <c r="K19" s="16"/>
      <c r="L19" s="4">
        <v>7861883.4499999974</v>
      </c>
      <c r="M19" s="16"/>
      <c r="N19" s="4">
        <v>312848713.97999901</v>
      </c>
      <c r="O19" s="2"/>
      <c r="P19" s="10">
        <v>309061044.88846046</v>
      </c>
      <c r="Q19" s="2"/>
      <c r="R19" s="10">
        <v>-144749580.15664369</v>
      </c>
      <c r="S19" s="2"/>
      <c r="T19" s="10">
        <v>164311464.73181677</v>
      </c>
      <c r="U19" s="16"/>
      <c r="V19" s="4">
        <v>144386.56261887701</v>
      </c>
      <c r="W19" s="16"/>
      <c r="X19" s="4">
        <v>-144605193.59402481</v>
      </c>
      <c r="Y19" s="16"/>
      <c r="Z19" s="4">
        <v>312848713.97999901</v>
      </c>
      <c r="AA19" s="4">
        <v>0</v>
      </c>
    </row>
    <row r="20" spans="1:27">
      <c r="A20" s="6" t="s">
        <v>17</v>
      </c>
      <c r="B20" s="6" t="str">
        <f t="shared" si="0"/>
        <v>369</v>
      </c>
      <c r="C20" s="2" t="s">
        <v>27</v>
      </c>
      <c r="D20" s="4">
        <v>97262576.699999899</v>
      </c>
      <c r="E20" s="16"/>
      <c r="F20" s="4">
        <v>0</v>
      </c>
      <c r="G20" s="16"/>
      <c r="H20" s="4">
        <v>0</v>
      </c>
      <c r="I20" s="16"/>
      <c r="J20" s="4">
        <v>0</v>
      </c>
      <c r="K20" s="16"/>
      <c r="L20" s="4">
        <v>0</v>
      </c>
      <c r="M20" s="16"/>
      <c r="N20" s="4">
        <v>97262576.699999899</v>
      </c>
      <c r="O20" s="2"/>
      <c r="P20" s="10">
        <v>97262576.699999869</v>
      </c>
      <c r="Q20" s="2"/>
      <c r="R20" s="10">
        <v>-60830884.791309997</v>
      </c>
      <c r="S20" s="2"/>
      <c r="T20" s="10">
        <v>36431691.908689871</v>
      </c>
      <c r="U20" s="16"/>
      <c r="V20" s="4">
        <v>0</v>
      </c>
      <c r="W20" s="16"/>
      <c r="X20" s="4">
        <v>-60830884.791309997</v>
      </c>
      <c r="Y20" s="16"/>
      <c r="Z20" s="4">
        <v>97262576.699999899</v>
      </c>
      <c r="AA20" s="4">
        <v>0</v>
      </c>
    </row>
    <row r="21" spans="1:27">
      <c r="A21" s="6" t="s">
        <v>17</v>
      </c>
      <c r="B21" s="6" t="str">
        <f t="shared" si="0"/>
        <v>370</v>
      </c>
      <c r="C21" s="2" t="s">
        <v>28</v>
      </c>
      <c r="D21" s="4">
        <v>74932438.790000007</v>
      </c>
      <c r="E21" s="16"/>
      <c r="F21" s="4">
        <v>32403512.199999996</v>
      </c>
      <c r="G21" s="16"/>
      <c r="H21" s="4">
        <v>-17157407.649999991</v>
      </c>
      <c r="I21" s="16"/>
      <c r="J21" s="4">
        <v>0</v>
      </c>
      <c r="K21" s="16"/>
      <c r="L21" s="4">
        <v>15246104.550000004</v>
      </c>
      <c r="M21" s="16"/>
      <c r="N21" s="4">
        <v>90178543.340000004</v>
      </c>
      <c r="O21" s="2"/>
      <c r="P21" s="10">
        <v>83349160.264615372</v>
      </c>
      <c r="Q21" s="2"/>
      <c r="R21" s="10">
        <v>-35730298.936784193</v>
      </c>
      <c r="S21" s="2"/>
      <c r="T21" s="10">
        <v>47618861.327831179</v>
      </c>
      <c r="U21" s="16"/>
      <c r="V21" s="4">
        <v>499450.60574861499</v>
      </c>
      <c r="W21" s="16"/>
      <c r="X21" s="4">
        <v>-35230848.331035577</v>
      </c>
      <c r="Y21" s="16"/>
      <c r="Z21" s="4">
        <v>90178543.340000004</v>
      </c>
      <c r="AA21" s="4">
        <v>0</v>
      </c>
    </row>
    <row r="22" spans="1:27">
      <c r="A22" s="6" t="s">
        <v>17</v>
      </c>
      <c r="C22" s="2" t="s">
        <v>2319</v>
      </c>
      <c r="D22" s="4">
        <v>0</v>
      </c>
      <c r="E22" s="16"/>
      <c r="F22" s="4">
        <v>0</v>
      </c>
      <c r="G22" s="16"/>
      <c r="H22" s="4">
        <v>0</v>
      </c>
      <c r="I22" s="16"/>
      <c r="J22" s="4">
        <v>0</v>
      </c>
      <c r="K22" s="16"/>
      <c r="L22" s="4">
        <v>0</v>
      </c>
      <c r="M22" s="16"/>
      <c r="N22" s="4">
        <v>0</v>
      </c>
      <c r="O22" s="2"/>
      <c r="P22" s="10">
        <v>0</v>
      </c>
      <c r="Q22" s="2"/>
      <c r="R22" s="10">
        <v>0</v>
      </c>
      <c r="S22" s="2"/>
      <c r="T22" s="10">
        <v>0</v>
      </c>
      <c r="U22" s="16"/>
      <c r="V22" s="4">
        <v>0</v>
      </c>
      <c r="W22" s="16"/>
      <c r="X22" s="4">
        <v>0</v>
      </c>
      <c r="Y22" s="16"/>
      <c r="Z22" s="4">
        <v>0</v>
      </c>
      <c r="AA22" s="4">
        <v>0</v>
      </c>
    </row>
    <row r="23" spans="1:27">
      <c r="A23" s="6" t="s">
        <v>17</v>
      </c>
      <c r="B23" s="6" t="str">
        <f t="shared" si="0"/>
        <v>371</v>
      </c>
      <c r="C23" s="2" t="s">
        <v>29</v>
      </c>
      <c r="D23" s="4">
        <v>237042.22999999998</v>
      </c>
      <c r="E23" s="16"/>
      <c r="F23" s="4">
        <v>88500.000000000015</v>
      </c>
      <c r="G23" s="16"/>
      <c r="H23" s="4">
        <v>0</v>
      </c>
      <c r="I23" s="16"/>
      <c r="J23" s="4">
        <v>0</v>
      </c>
      <c r="K23" s="16"/>
      <c r="L23" s="4">
        <v>88500.000000000015</v>
      </c>
      <c r="M23" s="16"/>
      <c r="N23" s="4">
        <v>325542.23</v>
      </c>
      <c r="O23" s="2"/>
      <c r="P23" s="10">
        <v>282792.23923076928</v>
      </c>
      <c r="Q23" s="2"/>
      <c r="R23" s="10">
        <v>2159.0483142528437</v>
      </c>
      <c r="S23" s="2"/>
      <c r="T23" s="10">
        <v>284951.28754502215</v>
      </c>
      <c r="U23" s="16"/>
      <c r="V23" s="4">
        <v>1364.0922112372882</v>
      </c>
      <c r="W23" s="16"/>
      <c r="X23" s="4">
        <v>3523.1405254901319</v>
      </c>
      <c r="Y23" s="16"/>
      <c r="Z23" s="4">
        <v>325542.23000000004</v>
      </c>
      <c r="AA23" s="4">
        <v>0</v>
      </c>
    </row>
    <row r="24" spans="1:27">
      <c r="A24" s="6" t="s">
        <v>17</v>
      </c>
      <c r="B24" s="6" t="str">
        <f t="shared" si="0"/>
        <v>373</v>
      </c>
      <c r="C24" s="2" t="s">
        <v>30</v>
      </c>
      <c r="D24" s="4">
        <v>112917412.09999999</v>
      </c>
      <c r="E24" s="15"/>
      <c r="F24" s="4">
        <v>6749441.7899999991</v>
      </c>
      <c r="G24" s="15"/>
      <c r="H24" s="4">
        <v>-2899256.9999999995</v>
      </c>
      <c r="I24" s="15"/>
      <c r="J24" s="4">
        <v>0</v>
      </c>
      <c r="K24" s="15"/>
      <c r="L24" s="14">
        <v>3850184.7899999996</v>
      </c>
      <c r="M24" s="15"/>
      <c r="N24" s="14">
        <v>116767596.89</v>
      </c>
      <c r="O24" s="2"/>
      <c r="P24" s="10">
        <v>114827799.3</v>
      </c>
      <c r="Q24" s="2"/>
      <c r="R24" s="10">
        <v>-36603420.002560735</v>
      </c>
      <c r="S24" s="2"/>
      <c r="T24" s="10">
        <v>78224379.297439262</v>
      </c>
      <c r="U24" s="15"/>
      <c r="V24" s="4">
        <v>104032.32741173399</v>
      </c>
      <c r="W24" s="15"/>
      <c r="X24" s="4">
        <v>-36499387.675149001</v>
      </c>
      <c r="Y24" s="15"/>
      <c r="Z24" s="4">
        <v>116767596.89</v>
      </c>
      <c r="AA24" s="4">
        <v>0</v>
      </c>
    </row>
    <row r="25" spans="1:27">
      <c r="A25" s="6" t="s">
        <v>17</v>
      </c>
      <c r="B25" s="6" t="str">
        <f t="shared" si="0"/>
        <v>374</v>
      </c>
      <c r="C25" s="2" t="s">
        <v>31</v>
      </c>
      <c r="D25" s="14">
        <v>904896.86</v>
      </c>
      <c r="E25" s="15"/>
      <c r="F25" s="14">
        <v>0</v>
      </c>
      <c r="G25" s="15"/>
      <c r="H25" s="14">
        <v>0</v>
      </c>
      <c r="I25" s="15"/>
      <c r="J25" s="14">
        <v>0</v>
      </c>
      <c r="K25" s="15"/>
      <c r="L25" s="14">
        <v>0</v>
      </c>
      <c r="M25" s="15"/>
      <c r="N25" s="14">
        <v>904896.86</v>
      </c>
      <c r="O25" s="11"/>
      <c r="P25" s="12">
        <v>904896.86000000022</v>
      </c>
      <c r="Q25" s="11"/>
      <c r="R25" s="12">
        <v>-148552.15999999997</v>
      </c>
      <c r="S25" s="11"/>
      <c r="T25" s="12">
        <v>756344.70000000019</v>
      </c>
      <c r="U25" s="15"/>
      <c r="V25" s="14">
        <v>0</v>
      </c>
      <c r="W25" s="15"/>
      <c r="X25" s="14">
        <v>-148552.15999999997</v>
      </c>
      <c r="Y25" s="15"/>
      <c r="Z25" s="14">
        <v>904896.86</v>
      </c>
      <c r="AA25" s="14">
        <v>0</v>
      </c>
    </row>
    <row r="26" spans="1:27">
      <c r="C26" s="13" t="s">
        <v>32</v>
      </c>
      <c r="D26" s="14">
        <v>0</v>
      </c>
      <c r="E26" s="15"/>
      <c r="F26" s="14">
        <v>0</v>
      </c>
      <c r="G26" s="15"/>
      <c r="H26" s="14">
        <v>0</v>
      </c>
      <c r="I26" s="15"/>
      <c r="J26" s="14">
        <v>0</v>
      </c>
      <c r="K26" s="15"/>
      <c r="L26" s="14">
        <v>0</v>
      </c>
      <c r="M26" s="15"/>
      <c r="N26" s="14">
        <v>0</v>
      </c>
      <c r="O26" s="2"/>
      <c r="P26" s="12">
        <v>0</v>
      </c>
      <c r="Q26" s="2"/>
      <c r="R26" s="12">
        <v>0</v>
      </c>
      <c r="S26" s="2"/>
      <c r="T26" s="12">
        <v>0</v>
      </c>
      <c r="U26" s="15"/>
      <c r="V26" s="14">
        <v>0</v>
      </c>
      <c r="W26" s="15"/>
      <c r="X26" s="14">
        <v>0</v>
      </c>
      <c r="Y26" s="15"/>
      <c r="Z26" s="14">
        <v>0</v>
      </c>
      <c r="AA26" s="14">
        <v>0</v>
      </c>
    </row>
    <row r="27" spans="1:27">
      <c r="C27" s="2"/>
      <c r="D27" s="476">
        <v>1690451123.4999967</v>
      </c>
      <c r="E27" s="15"/>
      <c r="F27" s="476">
        <v>121380404.41999984</v>
      </c>
      <c r="G27" s="15"/>
      <c r="H27" s="476">
        <v>-28758240.649999991</v>
      </c>
      <c r="I27" s="15"/>
      <c r="J27" s="476">
        <v>0</v>
      </c>
      <c r="K27" s="15"/>
      <c r="L27" s="476">
        <v>92622163.769999847</v>
      </c>
      <c r="M27" s="15"/>
      <c r="N27" s="476">
        <v>1783073287.2699966</v>
      </c>
      <c r="O27" s="2"/>
      <c r="P27" s="476">
        <v>1738929388.2992275</v>
      </c>
      <c r="Q27" s="2"/>
      <c r="R27" s="476">
        <v>-641114512.06200576</v>
      </c>
      <c r="S27" s="2"/>
      <c r="T27" s="476">
        <v>1097814876.237222</v>
      </c>
      <c r="U27" s="15"/>
      <c r="V27" s="476">
        <v>1870893.3815384617</v>
      </c>
      <c r="W27" s="15"/>
      <c r="X27" s="476">
        <v>-639243618.68046725</v>
      </c>
      <c r="Y27" s="15"/>
      <c r="Z27" s="476">
        <v>1783073287.2699959</v>
      </c>
      <c r="AA27" s="476">
        <v>-9.8347663879394531E-7</v>
      </c>
    </row>
    <row r="28" spans="1:27">
      <c r="C28" s="2"/>
      <c r="D28" s="14"/>
      <c r="E28" s="15"/>
      <c r="F28" s="14"/>
      <c r="G28" s="15"/>
      <c r="H28" s="14"/>
      <c r="I28" s="15"/>
      <c r="J28" s="14"/>
      <c r="K28" s="15"/>
      <c r="L28" s="14"/>
      <c r="M28" s="15"/>
      <c r="N28" s="14"/>
      <c r="O28" s="2"/>
      <c r="P28" s="2"/>
      <c r="Q28" s="2"/>
      <c r="R28" s="2"/>
      <c r="S28" s="2"/>
      <c r="T28" s="2"/>
      <c r="U28" s="15"/>
      <c r="V28" s="14"/>
      <c r="W28" s="15"/>
      <c r="X28" s="14"/>
      <c r="Y28" s="15"/>
      <c r="Z28" s="14"/>
      <c r="AA28" s="14"/>
    </row>
    <row r="29" spans="1:27">
      <c r="C29" s="5" t="s">
        <v>33</v>
      </c>
      <c r="D29" s="14"/>
      <c r="E29" s="15"/>
      <c r="F29" s="14"/>
      <c r="G29" s="15"/>
      <c r="H29" s="14"/>
      <c r="I29" s="15"/>
      <c r="J29" s="14"/>
      <c r="K29" s="15"/>
      <c r="L29" s="14"/>
      <c r="M29" s="15"/>
      <c r="N29" s="14"/>
      <c r="O29" s="2"/>
      <c r="P29" s="2"/>
      <c r="Q29" s="2"/>
      <c r="R29" s="2"/>
      <c r="S29" s="2"/>
      <c r="T29" s="2"/>
      <c r="U29" s="15"/>
      <c r="V29" s="14"/>
      <c r="W29" s="15"/>
      <c r="X29" s="14"/>
      <c r="Y29" s="15"/>
      <c r="Z29" s="14"/>
      <c r="AA29" s="14"/>
    </row>
    <row r="30" spans="1:27">
      <c r="A30" s="6" t="s">
        <v>17</v>
      </c>
      <c r="B30" s="6" t="str">
        <f t="shared" ref="B30:B46" si="1">MID(C30,2,3)</f>
        <v>389</v>
      </c>
      <c r="C30" s="2" t="s">
        <v>34</v>
      </c>
      <c r="D30" s="4">
        <v>3032437.07</v>
      </c>
      <c r="E30" s="16"/>
      <c r="F30" s="4">
        <v>1000000</v>
      </c>
      <c r="G30" s="16"/>
      <c r="H30" s="4">
        <v>0</v>
      </c>
      <c r="I30" s="16"/>
      <c r="J30" s="4">
        <v>0</v>
      </c>
      <c r="K30" s="16"/>
      <c r="L30" s="4">
        <v>1000000</v>
      </c>
      <c r="M30" s="16"/>
      <c r="N30" s="4">
        <v>4032437.07</v>
      </c>
      <c r="O30" s="2"/>
      <c r="P30" s="10">
        <v>3609360.1469230773</v>
      </c>
      <c r="Q30" s="2"/>
      <c r="R30" s="10">
        <v>17050.000000000004</v>
      </c>
      <c r="S30" s="2"/>
      <c r="T30" s="10">
        <v>3626410.1469230773</v>
      </c>
      <c r="U30" s="16"/>
      <c r="V30" s="4">
        <v>0</v>
      </c>
      <c r="W30" s="16"/>
      <c r="X30" s="4">
        <v>17050.000000000004</v>
      </c>
      <c r="Y30" s="16"/>
      <c r="Z30" s="4">
        <v>4032437.07</v>
      </c>
      <c r="AA30" s="4">
        <v>0</v>
      </c>
    </row>
    <row r="31" spans="1:27">
      <c r="A31" s="6" t="s">
        <v>17</v>
      </c>
      <c r="B31" s="6" t="str">
        <f t="shared" si="1"/>
        <v>390</v>
      </c>
      <c r="C31" s="2" t="s">
        <v>35</v>
      </c>
      <c r="D31" s="4">
        <v>61580148.519999899</v>
      </c>
      <c r="E31" s="16"/>
      <c r="F31" s="4">
        <v>7661544.3600000003</v>
      </c>
      <c r="G31" s="16"/>
      <c r="H31" s="4">
        <v>0</v>
      </c>
      <c r="I31" s="16"/>
      <c r="J31" s="4">
        <v>0</v>
      </c>
      <c r="K31" s="16"/>
      <c r="L31" s="4">
        <v>7661544.3600000003</v>
      </c>
      <c r="M31" s="16"/>
      <c r="N31" s="4">
        <v>69241692.879999906</v>
      </c>
      <c r="O31" s="2"/>
      <c r="P31" s="10">
        <v>66254048.203076817</v>
      </c>
      <c r="Q31" s="2"/>
      <c r="R31" s="10">
        <v>-13235811.513539447</v>
      </c>
      <c r="S31" s="2"/>
      <c r="T31" s="10">
        <v>53018236.689537369</v>
      </c>
      <c r="U31" s="16"/>
      <c r="V31" s="4">
        <v>0</v>
      </c>
      <c r="W31" s="16"/>
      <c r="X31" s="4">
        <v>-13235811.513539447</v>
      </c>
      <c r="Y31" s="16"/>
      <c r="Z31" s="4">
        <v>69241692.879999906</v>
      </c>
      <c r="AA31" s="4">
        <v>0</v>
      </c>
    </row>
    <row r="32" spans="1:27">
      <c r="A32" s="6" t="s">
        <v>17</v>
      </c>
      <c r="C32" s="2" t="s">
        <v>36</v>
      </c>
      <c r="D32" s="4">
        <v>0</v>
      </c>
      <c r="E32" s="16"/>
      <c r="F32" s="4">
        <v>0</v>
      </c>
      <c r="G32" s="16"/>
      <c r="H32" s="4">
        <v>0</v>
      </c>
      <c r="I32" s="16"/>
      <c r="J32" s="4">
        <v>0</v>
      </c>
      <c r="K32" s="16"/>
      <c r="L32" s="4">
        <v>0</v>
      </c>
      <c r="M32" s="16"/>
      <c r="N32" s="4">
        <v>0</v>
      </c>
      <c r="O32" s="2"/>
      <c r="P32" s="10">
        <v>0</v>
      </c>
      <c r="Q32" s="2"/>
      <c r="R32" s="10">
        <v>0</v>
      </c>
      <c r="S32" s="2"/>
      <c r="T32" s="10">
        <v>0</v>
      </c>
      <c r="U32" s="16"/>
      <c r="V32" s="4">
        <v>0</v>
      </c>
      <c r="W32" s="16"/>
      <c r="X32" s="4">
        <v>0</v>
      </c>
      <c r="Y32" s="16"/>
      <c r="Z32" s="4">
        <v>0</v>
      </c>
      <c r="AA32" s="4">
        <v>0</v>
      </c>
    </row>
    <row r="33" spans="1:27">
      <c r="A33" s="6" t="s">
        <v>17</v>
      </c>
      <c r="B33" s="6" t="str">
        <f t="shared" si="1"/>
        <v>391</v>
      </c>
      <c r="C33" s="2" t="s">
        <v>37</v>
      </c>
      <c r="D33" s="4">
        <v>43110948.669999994</v>
      </c>
      <c r="E33" s="16"/>
      <c r="F33" s="4">
        <v>6027530.7799999956</v>
      </c>
      <c r="G33" s="16"/>
      <c r="H33" s="4">
        <v>-3631008.0000000005</v>
      </c>
      <c r="I33" s="16"/>
      <c r="J33" s="4">
        <v>0</v>
      </c>
      <c r="K33" s="16"/>
      <c r="L33" s="4">
        <v>2396522.7799999951</v>
      </c>
      <c r="M33" s="16"/>
      <c r="N33" s="4">
        <v>45507471.449999988</v>
      </c>
      <c r="O33" s="2"/>
      <c r="P33" s="10">
        <v>44896469.019230746</v>
      </c>
      <c r="Q33" s="2"/>
      <c r="R33" s="10">
        <v>-21885110.38273067</v>
      </c>
      <c r="S33" s="2"/>
      <c r="T33" s="10">
        <v>23011358.636500075</v>
      </c>
      <c r="U33" s="16"/>
      <c r="V33" s="4">
        <v>0</v>
      </c>
      <c r="W33" s="16"/>
      <c r="X33" s="4">
        <v>-21885110.38273067</v>
      </c>
      <c r="Y33" s="16"/>
      <c r="Z33" s="4">
        <v>45507471.449999988</v>
      </c>
      <c r="AA33" s="4">
        <v>0</v>
      </c>
    </row>
    <row r="34" spans="1:27">
      <c r="A34" s="6" t="s">
        <v>17</v>
      </c>
      <c r="C34" s="2" t="s">
        <v>38</v>
      </c>
      <c r="D34" s="4">
        <v>0</v>
      </c>
      <c r="E34" s="16"/>
      <c r="F34" s="4">
        <v>0</v>
      </c>
      <c r="G34" s="16"/>
      <c r="H34" s="4">
        <v>0</v>
      </c>
      <c r="I34" s="16"/>
      <c r="J34" s="4">
        <v>0</v>
      </c>
      <c r="K34" s="16"/>
      <c r="L34" s="4">
        <v>0</v>
      </c>
      <c r="M34" s="16"/>
      <c r="N34" s="4">
        <v>0</v>
      </c>
      <c r="O34" s="2"/>
      <c r="P34" s="10">
        <v>0</v>
      </c>
      <c r="Q34" s="2"/>
      <c r="R34" s="10">
        <v>0</v>
      </c>
      <c r="S34" s="2"/>
      <c r="T34" s="10">
        <v>0</v>
      </c>
      <c r="U34" s="16"/>
      <c r="V34" s="4">
        <v>0</v>
      </c>
      <c r="W34" s="16"/>
      <c r="X34" s="4">
        <v>0</v>
      </c>
      <c r="Y34" s="16"/>
      <c r="Z34" s="4">
        <v>0</v>
      </c>
      <c r="AA34" s="4">
        <v>0</v>
      </c>
    </row>
    <row r="35" spans="1:27">
      <c r="A35" s="6" t="s">
        <v>17</v>
      </c>
      <c r="C35" s="2" t="s">
        <v>39</v>
      </c>
      <c r="D35" s="4">
        <v>0</v>
      </c>
      <c r="E35" s="16"/>
      <c r="F35" s="4">
        <v>0</v>
      </c>
      <c r="G35" s="16"/>
      <c r="H35" s="4">
        <v>0</v>
      </c>
      <c r="I35" s="16"/>
      <c r="J35" s="4">
        <v>0</v>
      </c>
      <c r="K35" s="16"/>
      <c r="L35" s="4">
        <v>0</v>
      </c>
      <c r="M35" s="16"/>
      <c r="N35" s="4">
        <v>0</v>
      </c>
      <c r="O35" s="2"/>
      <c r="P35" s="10">
        <v>0</v>
      </c>
      <c r="Q35" s="2"/>
      <c r="R35" s="10">
        <v>0</v>
      </c>
      <c r="S35" s="2"/>
      <c r="T35" s="10">
        <v>0</v>
      </c>
      <c r="U35" s="16"/>
      <c r="V35" s="4">
        <v>0</v>
      </c>
      <c r="W35" s="16"/>
      <c r="X35" s="4">
        <v>0</v>
      </c>
      <c r="Y35" s="16"/>
      <c r="Z35" s="4">
        <v>0</v>
      </c>
      <c r="AA35" s="4">
        <v>0</v>
      </c>
    </row>
    <row r="36" spans="1:27">
      <c r="A36" s="6" t="s">
        <v>17</v>
      </c>
      <c r="C36" s="2" t="s">
        <v>40</v>
      </c>
      <c r="D36" s="4">
        <v>0</v>
      </c>
      <c r="E36" s="16"/>
      <c r="F36" s="4">
        <v>0</v>
      </c>
      <c r="G36" s="16"/>
      <c r="H36" s="4">
        <v>0</v>
      </c>
      <c r="I36" s="16"/>
      <c r="J36" s="4">
        <v>0</v>
      </c>
      <c r="K36" s="16"/>
      <c r="L36" s="4">
        <v>0</v>
      </c>
      <c r="M36" s="16"/>
      <c r="N36" s="4">
        <v>0</v>
      </c>
      <c r="O36" s="2"/>
      <c r="P36" s="10">
        <v>0</v>
      </c>
      <c r="Q36" s="2"/>
      <c r="R36" s="10">
        <v>0</v>
      </c>
      <c r="S36" s="2"/>
      <c r="T36" s="10">
        <v>0</v>
      </c>
      <c r="U36" s="16"/>
      <c r="V36" s="4">
        <v>0</v>
      </c>
      <c r="W36" s="16"/>
      <c r="X36" s="4">
        <v>0</v>
      </c>
      <c r="Y36" s="16"/>
      <c r="Z36" s="4">
        <v>0</v>
      </c>
      <c r="AA36" s="4">
        <v>0</v>
      </c>
    </row>
    <row r="37" spans="1:27">
      <c r="A37" s="6" t="s">
        <v>17</v>
      </c>
      <c r="B37" s="6" t="str">
        <f t="shared" si="1"/>
        <v>392</v>
      </c>
      <c r="C37" s="2" t="s">
        <v>41</v>
      </c>
      <c r="D37" s="4">
        <v>7277719.419999999</v>
      </c>
      <c r="E37" s="16"/>
      <c r="F37" s="4">
        <v>497432</v>
      </c>
      <c r="G37" s="16"/>
      <c r="H37" s="4">
        <v>0</v>
      </c>
      <c r="I37" s="16"/>
      <c r="J37" s="4">
        <v>0</v>
      </c>
      <c r="K37" s="16"/>
      <c r="L37" s="4">
        <v>497432</v>
      </c>
      <c r="M37" s="16"/>
      <c r="N37" s="4">
        <v>7775151.419999999</v>
      </c>
      <c r="O37" s="2"/>
      <c r="P37" s="10">
        <v>7583831.4199999999</v>
      </c>
      <c r="Q37" s="2"/>
      <c r="R37" s="10">
        <v>-3879451.0227962667</v>
      </c>
      <c r="S37" s="2"/>
      <c r="T37" s="10">
        <v>3704380.3972037332</v>
      </c>
      <c r="U37" s="16"/>
      <c r="V37" s="4">
        <v>0</v>
      </c>
      <c r="W37" s="16"/>
      <c r="X37" s="4">
        <v>-3879451.0227962667</v>
      </c>
      <c r="Y37" s="16"/>
      <c r="Z37" s="4">
        <v>7775151.4199999999</v>
      </c>
      <c r="AA37" s="4">
        <v>0</v>
      </c>
    </row>
    <row r="38" spans="1:27">
      <c r="A38" s="6" t="s">
        <v>17</v>
      </c>
      <c r="C38" s="2" t="s">
        <v>42</v>
      </c>
      <c r="D38" s="4">
        <v>0</v>
      </c>
      <c r="E38" s="16"/>
      <c r="F38" s="4">
        <v>0</v>
      </c>
      <c r="G38" s="16"/>
      <c r="H38" s="4">
        <v>0</v>
      </c>
      <c r="I38" s="16"/>
      <c r="J38" s="4">
        <v>0</v>
      </c>
      <c r="K38" s="16"/>
      <c r="L38" s="4">
        <v>0</v>
      </c>
      <c r="M38" s="16"/>
      <c r="N38" s="4">
        <v>0</v>
      </c>
      <c r="O38" s="2"/>
      <c r="P38" s="10">
        <v>0</v>
      </c>
      <c r="Q38" s="2"/>
      <c r="R38" s="10">
        <v>0</v>
      </c>
      <c r="S38" s="2"/>
      <c r="T38" s="10">
        <v>0</v>
      </c>
      <c r="U38" s="16"/>
      <c r="V38" s="4">
        <v>0</v>
      </c>
      <c r="W38" s="16"/>
      <c r="X38" s="4">
        <v>0</v>
      </c>
      <c r="Y38" s="16"/>
      <c r="Z38" s="4">
        <v>0</v>
      </c>
      <c r="AA38" s="4">
        <v>0</v>
      </c>
    </row>
    <row r="39" spans="1:27">
      <c r="A39" s="6" t="s">
        <v>17</v>
      </c>
      <c r="B39" s="6" t="str">
        <f t="shared" si="1"/>
        <v>393</v>
      </c>
      <c r="C39" s="2" t="s">
        <v>43</v>
      </c>
      <c r="D39" s="4">
        <v>1509115.47</v>
      </c>
      <c r="E39" s="16"/>
      <c r="F39" s="4">
        <v>0</v>
      </c>
      <c r="G39" s="16"/>
      <c r="H39" s="4">
        <v>0</v>
      </c>
      <c r="I39" s="16"/>
      <c r="J39" s="4">
        <v>0</v>
      </c>
      <c r="K39" s="16"/>
      <c r="L39" s="4">
        <v>0</v>
      </c>
      <c r="M39" s="16"/>
      <c r="N39" s="4">
        <v>1509115.47</v>
      </c>
      <c r="O39" s="2"/>
      <c r="P39" s="10">
        <v>1509115.4700000004</v>
      </c>
      <c r="Q39" s="2"/>
      <c r="R39" s="10">
        <v>-456328.14894999901</v>
      </c>
      <c r="S39" s="2"/>
      <c r="T39" s="10">
        <v>1052787.3210500013</v>
      </c>
      <c r="U39" s="16"/>
      <c r="V39" s="4">
        <v>0</v>
      </c>
      <c r="W39" s="16"/>
      <c r="X39" s="4">
        <v>-456328.14894999901</v>
      </c>
      <c r="Y39" s="16"/>
      <c r="Z39" s="4">
        <v>1509115.47</v>
      </c>
      <c r="AA39" s="4">
        <v>0</v>
      </c>
    </row>
    <row r="40" spans="1:27">
      <c r="A40" s="6" t="s">
        <v>17</v>
      </c>
      <c r="B40" s="6" t="str">
        <f t="shared" si="1"/>
        <v>394</v>
      </c>
      <c r="C40" s="2" t="s">
        <v>44</v>
      </c>
      <c r="D40" s="4">
        <v>12952830.640000001</v>
      </c>
      <c r="E40" s="16"/>
      <c r="F40" s="4">
        <v>1039925.15</v>
      </c>
      <c r="G40" s="16"/>
      <c r="H40" s="4">
        <v>-231421</v>
      </c>
      <c r="I40" s="16"/>
      <c r="J40" s="4">
        <v>0</v>
      </c>
      <c r="K40" s="16"/>
      <c r="L40" s="4">
        <v>808504.15</v>
      </c>
      <c r="M40" s="16"/>
      <c r="N40" s="4">
        <v>13761334.790000001</v>
      </c>
      <c r="O40" s="2"/>
      <c r="P40" s="10">
        <v>13359889.976923076</v>
      </c>
      <c r="Q40" s="2"/>
      <c r="R40" s="10">
        <v>-4162033.4634884619</v>
      </c>
      <c r="S40" s="2"/>
      <c r="T40" s="10">
        <v>9197856.513434615</v>
      </c>
      <c r="U40" s="16"/>
      <c r="V40" s="4">
        <v>0</v>
      </c>
      <c r="W40" s="16"/>
      <c r="X40" s="4">
        <v>-4162033.4634884619</v>
      </c>
      <c r="Y40" s="16"/>
      <c r="Z40" s="4">
        <v>13761334.790000001</v>
      </c>
      <c r="AA40" s="4">
        <v>0</v>
      </c>
    </row>
    <row r="41" spans="1:27">
      <c r="A41" s="6" t="s">
        <v>17</v>
      </c>
      <c r="B41" s="6" t="str">
        <f t="shared" si="1"/>
        <v>395</v>
      </c>
      <c r="C41" s="2" t="s">
        <v>45</v>
      </c>
      <c r="D41" s="4">
        <v>0</v>
      </c>
      <c r="E41" s="16"/>
      <c r="F41" s="4">
        <v>0</v>
      </c>
      <c r="G41" s="16"/>
      <c r="H41" s="4">
        <v>0</v>
      </c>
      <c r="I41" s="16"/>
      <c r="J41" s="4">
        <v>0</v>
      </c>
      <c r="K41" s="16"/>
      <c r="L41" s="4">
        <v>0</v>
      </c>
      <c r="M41" s="16"/>
      <c r="N41" s="4">
        <v>0</v>
      </c>
      <c r="O41" s="2"/>
      <c r="P41" s="10">
        <v>0</v>
      </c>
      <c r="Q41" s="2"/>
      <c r="R41" s="10">
        <v>0</v>
      </c>
      <c r="S41" s="2"/>
      <c r="T41" s="10">
        <v>0</v>
      </c>
      <c r="U41" s="16"/>
      <c r="V41" s="4">
        <v>0</v>
      </c>
      <c r="W41" s="16"/>
      <c r="X41" s="4">
        <v>0</v>
      </c>
      <c r="Y41" s="16"/>
      <c r="Z41" s="4">
        <v>0</v>
      </c>
      <c r="AA41" s="4">
        <v>0</v>
      </c>
    </row>
    <row r="42" spans="1:27">
      <c r="A42" s="6" t="s">
        <v>17</v>
      </c>
      <c r="B42" s="6" t="str">
        <f t="shared" si="1"/>
        <v>396</v>
      </c>
      <c r="C42" s="2" t="s">
        <v>46</v>
      </c>
      <c r="D42" s="4">
        <v>2088599.4999999998</v>
      </c>
      <c r="E42" s="16"/>
      <c r="F42" s="4">
        <v>0</v>
      </c>
      <c r="G42" s="16"/>
      <c r="H42" s="4">
        <v>0</v>
      </c>
      <c r="I42" s="16"/>
      <c r="J42" s="4">
        <v>0</v>
      </c>
      <c r="K42" s="16"/>
      <c r="L42" s="4">
        <v>0</v>
      </c>
      <c r="M42" s="16"/>
      <c r="N42" s="4">
        <v>2088599.4999999998</v>
      </c>
      <c r="O42" s="2"/>
      <c r="P42" s="10">
        <v>2088599.4999999998</v>
      </c>
      <c r="Q42" s="2"/>
      <c r="R42" s="10">
        <v>-999077.69887599978</v>
      </c>
      <c r="S42" s="2"/>
      <c r="T42" s="10">
        <v>1089521.801124</v>
      </c>
      <c r="U42" s="16"/>
      <c r="V42" s="4">
        <v>0</v>
      </c>
      <c r="W42" s="16"/>
      <c r="X42" s="4">
        <v>-999077.69887599978</v>
      </c>
      <c r="Y42" s="16"/>
      <c r="Z42" s="4">
        <v>2088599.4999999998</v>
      </c>
      <c r="AA42" s="4">
        <v>0</v>
      </c>
    </row>
    <row r="43" spans="1:27">
      <c r="A43" s="6" t="s">
        <v>17</v>
      </c>
      <c r="B43" s="6" t="str">
        <f t="shared" si="1"/>
        <v>397</v>
      </c>
      <c r="C43" s="2" t="s">
        <v>2320</v>
      </c>
      <c r="D43" s="4">
        <v>46172659.339999996</v>
      </c>
      <c r="E43" s="16"/>
      <c r="F43" s="4">
        <v>4535307.25</v>
      </c>
      <c r="G43" s="16"/>
      <c r="H43" s="4">
        <v>0</v>
      </c>
      <c r="I43" s="16"/>
      <c r="J43" s="4">
        <v>0</v>
      </c>
      <c r="K43" s="16"/>
      <c r="L43" s="4">
        <v>4535307.25</v>
      </c>
      <c r="M43" s="16"/>
      <c r="N43" s="4">
        <v>50707966.589999996</v>
      </c>
      <c r="O43" s="2"/>
      <c r="P43" s="10">
        <v>49309355.986153759</v>
      </c>
      <c r="Q43" s="2"/>
      <c r="R43" s="10">
        <v>-21264952.383784618</v>
      </c>
      <c r="S43" s="2"/>
      <c r="T43" s="10">
        <v>28044403.602369141</v>
      </c>
      <c r="U43" s="16"/>
      <c r="V43" s="4">
        <v>0</v>
      </c>
      <c r="W43" s="16"/>
      <c r="X43" s="4">
        <v>-21264952.383784618</v>
      </c>
      <c r="Y43" s="16"/>
      <c r="Z43" s="4">
        <v>50707966.589999899</v>
      </c>
      <c r="AA43" s="4">
        <v>-9.6857547760009766E-8</v>
      </c>
    </row>
    <row r="44" spans="1:27">
      <c r="A44" s="6" t="s">
        <v>17</v>
      </c>
      <c r="C44" s="2" t="s">
        <v>2321</v>
      </c>
      <c r="D44" s="4">
        <v>0</v>
      </c>
      <c r="E44" s="16"/>
      <c r="F44" s="4">
        <v>0</v>
      </c>
      <c r="G44" s="16"/>
      <c r="H44" s="4">
        <v>0</v>
      </c>
      <c r="I44" s="16"/>
      <c r="J44" s="4">
        <v>0</v>
      </c>
      <c r="K44" s="16"/>
      <c r="L44" s="4">
        <v>0</v>
      </c>
      <c r="M44" s="16"/>
      <c r="N44" s="4">
        <v>0</v>
      </c>
      <c r="O44" s="2"/>
      <c r="P44" s="10">
        <v>0</v>
      </c>
      <c r="Q44" s="2"/>
      <c r="R44" s="10">
        <v>0</v>
      </c>
      <c r="S44" s="2"/>
      <c r="T44" s="10">
        <v>0</v>
      </c>
      <c r="U44" s="16"/>
      <c r="V44" s="4">
        <v>0</v>
      </c>
      <c r="W44" s="16"/>
      <c r="X44" s="4">
        <v>0</v>
      </c>
      <c r="Y44" s="16"/>
      <c r="Z44" s="4">
        <v>0</v>
      </c>
      <c r="AA44" s="4">
        <v>0</v>
      </c>
    </row>
    <row r="45" spans="1:27">
      <c r="A45" s="6" t="s">
        <v>17</v>
      </c>
      <c r="B45" s="6" t="str">
        <f t="shared" si="1"/>
        <v>397</v>
      </c>
      <c r="C45" s="2" t="s">
        <v>47</v>
      </c>
      <c r="D45" s="4">
        <v>10027554.68</v>
      </c>
      <c r="E45" s="16"/>
      <c r="F45" s="4">
        <v>1697985.3299999982</v>
      </c>
      <c r="G45" s="16"/>
      <c r="H45" s="4">
        <v>0</v>
      </c>
      <c r="I45" s="16"/>
      <c r="J45" s="4">
        <v>0</v>
      </c>
      <c r="K45" s="16"/>
      <c r="L45" s="4">
        <v>1697985.3299999982</v>
      </c>
      <c r="M45" s="16"/>
      <c r="N45" s="4">
        <v>11725540.009999998</v>
      </c>
      <c r="O45" s="2"/>
      <c r="P45" s="10">
        <v>10795860.003846154</v>
      </c>
      <c r="Q45" s="2"/>
      <c r="R45" s="10">
        <v>-1864700.6809563078</v>
      </c>
      <c r="S45" s="2"/>
      <c r="T45" s="10">
        <v>8931159.3228898458</v>
      </c>
      <c r="U45" s="16"/>
      <c r="V45" s="4">
        <v>0</v>
      </c>
      <c r="W45" s="16"/>
      <c r="X45" s="4">
        <v>-1864700.6809563078</v>
      </c>
      <c r="Y45" s="16"/>
      <c r="Z45" s="4">
        <v>11725540.01</v>
      </c>
      <c r="AA45" s="4">
        <v>0</v>
      </c>
    </row>
    <row r="46" spans="1:27">
      <c r="A46" s="6" t="s">
        <v>17</v>
      </c>
      <c r="B46" s="6" t="str">
        <f t="shared" si="1"/>
        <v>398</v>
      </c>
      <c r="C46" s="2" t="s">
        <v>48</v>
      </c>
      <c r="D46" s="17">
        <v>0</v>
      </c>
      <c r="E46" s="15"/>
      <c r="F46" s="17">
        <v>0</v>
      </c>
      <c r="G46" s="15"/>
      <c r="H46" s="17">
        <v>0</v>
      </c>
      <c r="I46" s="15"/>
      <c r="J46" s="17">
        <v>0</v>
      </c>
      <c r="K46" s="15"/>
      <c r="L46" s="17">
        <v>0</v>
      </c>
      <c r="M46" s="15"/>
      <c r="N46" s="17">
        <v>0</v>
      </c>
      <c r="O46" s="2"/>
      <c r="P46" s="18">
        <v>0</v>
      </c>
      <c r="Q46" s="2"/>
      <c r="R46" s="18">
        <v>0</v>
      </c>
      <c r="S46" s="2"/>
      <c r="T46" s="18">
        <v>0</v>
      </c>
      <c r="U46" s="15"/>
      <c r="V46" s="17">
        <v>0</v>
      </c>
      <c r="W46" s="15"/>
      <c r="X46" s="17">
        <v>0</v>
      </c>
      <c r="Y46" s="15"/>
      <c r="Z46" s="17">
        <v>0</v>
      </c>
      <c r="AA46" s="17">
        <v>0</v>
      </c>
    </row>
    <row r="47" spans="1:27">
      <c r="C47" s="2"/>
      <c r="D47" s="14">
        <v>187752013.30999991</v>
      </c>
      <c r="E47" s="15"/>
      <c r="F47" s="14">
        <v>22459724.869999994</v>
      </c>
      <c r="G47" s="15"/>
      <c r="H47" s="14">
        <v>-3862429.0000000005</v>
      </c>
      <c r="I47" s="15"/>
      <c r="J47" s="14">
        <v>0</v>
      </c>
      <c r="K47" s="15"/>
      <c r="L47" s="14">
        <v>18597295.869999994</v>
      </c>
      <c r="M47" s="15"/>
      <c r="N47" s="14">
        <v>206349309.17999989</v>
      </c>
      <c r="O47" s="2"/>
      <c r="P47" s="14">
        <v>199406529.72615361</v>
      </c>
      <c r="Q47" s="2"/>
      <c r="R47" s="14">
        <v>-67730415.295121759</v>
      </c>
      <c r="S47" s="2"/>
      <c r="T47" s="14">
        <v>131676114.43103188</v>
      </c>
      <c r="U47" s="15"/>
      <c r="V47" s="14">
        <v>0</v>
      </c>
      <c r="W47" s="15"/>
      <c r="X47" s="14">
        <v>-67730415.295121759</v>
      </c>
      <c r="Y47" s="15"/>
      <c r="Z47" s="14">
        <v>206349309.17999977</v>
      </c>
      <c r="AA47" s="14">
        <v>-9.6857547760009766E-8</v>
      </c>
    </row>
    <row r="48" spans="1:27">
      <c r="C48" s="2"/>
      <c r="D48" s="14"/>
      <c r="E48" s="15"/>
      <c r="F48" s="14"/>
      <c r="G48" s="15"/>
      <c r="H48" s="14"/>
      <c r="I48" s="15"/>
      <c r="J48" s="14"/>
      <c r="K48" s="15"/>
      <c r="L48" s="14"/>
      <c r="M48" s="15"/>
      <c r="N48" s="14"/>
      <c r="O48" s="2"/>
      <c r="P48" s="2"/>
      <c r="Q48" s="2"/>
      <c r="R48" s="2"/>
      <c r="S48" s="2"/>
      <c r="T48" s="2"/>
      <c r="U48" s="15"/>
      <c r="V48" s="14"/>
      <c r="W48" s="15"/>
      <c r="X48" s="14"/>
      <c r="Y48" s="15"/>
      <c r="Z48" s="14"/>
      <c r="AA48" s="14"/>
    </row>
    <row r="49" spans="1:27">
      <c r="C49" s="5" t="s">
        <v>49</v>
      </c>
      <c r="D49" s="14"/>
      <c r="E49" s="15"/>
      <c r="F49" s="14"/>
      <c r="G49" s="15"/>
      <c r="H49" s="14"/>
      <c r="I49" s="15"/>
      <c r="J49" s="14"/>
      <c r="K49" s="15"/>
      <c r="L49" s="14"/>
      <c r="M49" s="15"/>
      <c r="N49" s="14"/>
      <c r="O49" s="2"/>
      <c r="P49" s="2"/>
      <c r="Q49" s="2"/>
      <c r="R49" s="2"/>
      <c r="S49" s="2"/>
      <c r="T49" s="2"/>
      <c r="U49" s="15"/>
      <c r="V49" s="14"/>
      <c r="W49" s="15"/>
      <c r="X49" s="14"/>
      <c r="Y49" s="15"/>
      <c r="Z49" s="14"/>
      <c r="AA49" s="14"/>
    </row>
    <row r="50" spans="1:27">
      <c r="A50" s="6" t="s">
        <v>17</v>
      </c>
      <c r="B50" s="6" t="str">
        <f t="shared" ref="B50:B57" si="2">MID(C50,2,3)</f>
        <v>330</v>
      </c>
      <c r="C50" s="2" t="s">
        <v>50</v>
      </c>
      <c r="D50" s="14">
        <v>879311.47</v>
      </c>
      <c r="E50" s="15"/>
      <c r="F50" s="14">
        <v>0</v>
      </c>
      <c r="G50" s="15"/>
      <c r="H50" s="14">
        <v>0</v>
      </c>
      <c r="I50" s="15"/>
      <c r="J50" s="14">
        <v>0</v>
      </c>
      <c r="K50" s="15"/>
      <c r="L50" s="14">
        <v>0</v>
      </c>
      <c r="M50" s="15"/>
      <c r="N50" s="14">
        <v>879311.47</v>
      </c>
      <c r="O50" s="2"/>
      <c r="P50" s="10">
        <v>879311.47</v>
      </c>
      <c r="Q50" s="2"/>
      <c r="R50" s="10">
        <v>-912332.59999999986</v>
      </c>
      <c r="S50" s="2"/>
      <c r="T50" s="10">
        <v>-33021.129999999888</v>
      </c>
      <c r="U50" s="15"/>
      <c r="V50" s="4">
        <v>0</v>
      </c>
      <c r="W50" s="16"/>
      <c r="X50" s="4">
        <v>-912332.59999999986</v>
      </c>
      <c r="Y50" s="16"/>
      <c r="Z50" s="4">
        <v>879311.47</v>
      </c>
      <c r="AA50" s="4">
        <v>0</v>
      </c>
    </row>
    <row r="51" spans="1:27">
      <c r="A51" s="6" t="s">
        <v>17</v>
      </c>
      <c r="B51" s="6" t="str">
        <f t="shared" si="2"/>
        <v>331</v>
      </c>
      <c r="C51" s="2" t="s">
        <v>51</v>
      </c>
      <c r="D51" s="14">
        <v>2930163.93</v>
      </c>
      <c r="E51" s="15"/>
      <c r="F51" s="14">
        <v>0</v>
      </c>
      <c r="G51" s="15"/>
      <c r="H51" s="14">
        <v>0</v>
      </c>
      <c r="I51" s="15"/>
      <c r="J51" s="14">
        <v>0</v>
      </c>
      <c r="K51" s="15"/>
      <c r="L51" s="14">
        <v>0</v>
      </c>
      <c r="M51" s="15"/>
      <c r="N51" s="14">
        <v>2930163.93</v>
      </c>
      <c r="O51" s="2"/>
      <c r="P51" s="10">
        <v>2930163.9299999997</v>
      </c>
      <c r="Q51" s="2"/>
      <c r="R51" s="10">
        <v>-351394.22579180001</v>
      </c>
      <c r="S51" s="2"/>
      <c r="T51" s="10">
        <v>2578769.7042081999</v>
      </c>
      <c r="U51" s="15"/>
      <c r="V51" s="4">
        <v>0</v>
      </c>
      <c r="W51" s="16"/>
      <c r="X51" s="4">
        <v>-351394.22579180001</v>
      </c>
      <c r="Y51" s="16"/>
      <c r="Z51" s="4">
        <v>2930163.93</v>
      </c>
      <c r="AA51" s="4">
        <v>0</v>
      </c>
    </row>
    <row r="52" spans="1:27">
      <c r="A52" s="6" t="s">
        <v>17</v>
      </c>
      <c r="B52" s="6" t="str">
        <f t="shared" si="2"/>
        <v>332</v>
      </c>
      <c r="C52" s="2" t="s">
        <v>52</v>
      </c>
      <c r="D52" s="14">
        <v>21885646.369999997</v>
      </c>
      <c r="E52" s="15"/>
      <c r="F52" s="14">
        <v>0</v>
      </c>
      <c r="G52" s="15"/>
      <c r="H52" s="14">
        <v>0</v>
      </c>
      <c r="I52" s="15"/>
      <c r="J52" s="14">
        <v>0</v>
      </c>
      <c r="K52" s="15"/>
      <c r="L52" s="14">
        <v>0</v>
      </c>
      <c r="M52" s="15"/>
      <c r="N52" s="14">
        <v>21885646.369999997</v>
      </c>
      <c r="O52" s="2"/>
      <c r="P52" s="10">
        <v>21885646.369999994</v>
      </c>
      <c r="Q52" s="2"/>
      <c r="R52" s="10">
        <v>-9316374.1134559866</v>
      </c>
      <c r="S52" s="2"/>
      <c r="T52" s="10">
        <v>12569272.256544007</v>
      </c>
      <c r="U52" s="15"/>
      <c r="V52" s="14">
        <v>0</v>
      </c>
      <c r="W52" s="15"/>
      <c r="X52" s="14">
        <v>-9316374.1134559866</v>
      </c>
      <c r="Y52" s="15"/>
      <c r="Z52" s="14">
        <v>21885646.369999997</v>
      </c>
      <c r="AA52" s="14">
        <v>0</v>
      </c>
    </row>
    <row r="53" spans="1:27">
      <c r="A53" s="6" t="s">
        <v>17</v>
      </c>
      <c r="B53" s="6" t="str">
        <f t="shared" si="2"/>
        <v>333</v>
      </c>
      <c r="C53" s="2" t="s">
        <v>53</v>
      </c>
      <c r="D53" s="14">
        <v>14046741.58</v>
      </c>
      <c r="E53" s="15"/>
      <c r="F53" s="14">
        <v>0</v>
      </c>
      <c r="G53" s="15"/>
      <c r="H53" s="14">
        <v>0</v>
      </c>
      <c r="I53" s="15"/>
      <c r="J53" s="14">
        <v>0</v>
      </c>
      <c r="K53" s="15"/>
      <c r="L53" s="14">
        <v>0</v>
      </c>
      <c r="M53" s="15"/>
      <c r="N53" s="14">
        <v>14046741.58</v>
      </c>
      <c r="O53" s="2"/>
      <c r="P53" s="10">
        <v>14046741.58</v>
      </c>
      <c r="Q53" s="2"/>
      <c r="R53" s="10">
        <v>-1847208.0406991963</v>
      </c>
      <c r="S53" s="2"/>
      <c r="T53" s="10">
        <v>12199533.539300803</v>
      </c>
      <c r="U53" s="15"/>
      <c r="V53" s="14">
        <v>0</v>
      </c>
      <c r="W53" s="15"/>
      <c r="X53" s="14">
        <v>-1847208.0406991963</v>
      </c>
      <c r="Y53" s="15"/>
      <c r="Z53" s="14">
        <v>14046741.58</v>
      </c>
      <c r="AA53" s="14">
        <v>0</v>
      </c>
    </row>
    <row r="54" spans="1:27">
      <c r="A54" s="6" t="s">
        <v>17</v>
      </c>
      <c r="B54" s="6" t="str">
        <f t="shared" si="2"/>
        <v>334</v>
      </c>
      <c r="C54" s="2" t="s">
        <v>54</v>
      </c>
      <c r="D54" s="14">
        <v>1362584.79</v>
      </c>
      <c r="E54" s="15"/>
      <c r="F54" s="14">
        <v>0</v>
      </c>
      <c r="G54" s="15"/>
      <c r="H54" s="14">
        <v>0</v>
      </c>
      <c r="I54" s="15"/>
      <c r="J54" s="14">
        <v>0</v>
      </c>
      <c r="K54" s="15"/>
      <c r="L54" s="14">
        <v>0</v>
      </c>
      <c r="M54" s="15"/>
      <c r="N54" s="14">
        <v>1362584.79</v>
      </c>
      <c r="O54" s="2"/>
      <c r="P54" s="10">
        <v>1362584.7900000003</v>
      </c>
      <c r="Q54" s="2"/>
      <c r="R54" s="10">
        <v>-318051.93535780004</v>
      </c>
      <c r="S54" s="2"/>
      <c r="T54" s="10">
        <v>1044532.8546422003</v>
      </c>
      <c r="U54" s="15"/>
      <c r="V54" s="14">
        <v>0</v>
      </c>
      <c r="W54" s="15"/>
      <c r="X54" s="14">
        <v>-318051.93535780004</v>
      </c>
      <c r="Y54" s="15"/>
      <c r="Z54" s="14">
        <v>1362584.79</v>
      </c>
      <c r="AA54" s="14">
        <v>0</v>
      </c>
    </row>
    <row r="55" spans="1:27">
      <c r="A55" s="6" t="s">
        <v>17</v>
      </c>
      <c r="B55" s="6" t="str">
        <f t="shared" si="2"/>
        <v>335</v>
      </c>
      <c r="C55" s="2" t="s">
        <v>55</v>
      </c>
      <c r="D55" s="14">
        <v>316946.74</v>
      </c>
      <c r="E55" s="15"/>
      <c r="F55" s="14">
        <v>0</v>
      </c>
      <c r="G55" s="15"/>
      <c r="H55" s="14">
        <v>0</v>
      </c>
      <c r="I55" s="15"/>
      <c r="J55" s="14">
        <v>0</v>
      </c>
      <c r="K55" s="15"/>
      <c r="L55" s="14">
        <v>0</v>
      </c>
      <c r="M55" s="15"/>
      <c r="N55" s="14">
        <v>316946.74</v>
      </c>
      <c r="O55" s="2"/>
      <c r="P55" s="10">
        <v>316946.73999999993</v>
      </c>
      <c r="Q55" s="2"/>
      <c r="R55" s="10">
        <v>-143339.59472051924</v>
      </c>
      <c r="S55" s="2"/>
      <c r="T55" s="10">
        <v>173607.1452794807</v>
      </c>
      <c r="U55" s="15"/>
      <c r="V55" s="14">
        <v>0</v>
      </c>
      <c r="W55" s="15"/>
      <c r="X55" s="14">
        <v>-143339.59472051924</v>
      </c>
      <c r="Y55" s="15"/>
      <c r="Z55" s="14">
        <v>316946.74</v>
      </c>
      <c r="AA55" s="14">
        <v>0</v>
      </c>
    </row>
    <row r="56" spans="1:27">
      <c r="A56" s="6" t="s">
        <v>17</v>
      </c>
      <c r="B56" s="6" t="str">
        <f t="shared" si="2"/>
        <v>336</v>
      </c>
      <c r="C56" s="2" t="s">
        <v>56</v>
      </c>
      <c r="D56" s="14">
        <v>234509.13</v>
      </c>
      <c r="E56" s="15"/>
      <c r="F56" s="14">
        <v>775000</v>
      </c>
      <c r="G56" s="15"/>
      <c r="H56" s="14">
        <v>0</v>
      </c>
      <c r="I56" s="15"/>
      <c r="J56" s="14">
        <v>0</v>
      </c>
      <c r="K56" s="15"/>
      <c r="L56" s="14">
        <v>775000</v>
      </c>
      <c r="M56" s="15"/>
      <c r="N56" s="14">
        <v>1009509.13</v>
      </c>
      <c r="O56" s="2"/>
      <c r="P56" s="10">
        <v>890278.36076923099</v>
      </c>
      <c r="Q56" s="2"/>
      <c r="R56" s="10">
        <v>-98023.429487355388</v>
      </c>
      <c r="S56" s="2"/>
      <c r="T56" s="10">
        <v>792254.93128187559</v>
      </c>
      <c r="U56" s="15"/>
      <c r="V56" s="14">
        <v>0</v>
      </c>
      <c r="W56" s="15"/>
      <c r="X56" s="14">
        <v>-98023.429487355388</v>
      </c>
      <c r="Y56" s="15"/>
      <c r="Z56" s="14">
        <v>1009509.13</v>
      </c>
      <c r="AA56" s="14">
        <v>0</v>
      </c>
    </row>
    <row r="57" spans="1:27">
      <c r="A57" s="6" t="s">
        <v>17</v>
      </c>
      <c r="B57" s="6" t="str">
        <f t="shared" si="2"/>
        <v>337</v>
      </c>
      <c r="C57" s="2" t="s">
        <v>57</v>
      </c>
      <c r="D57" s="17">
        <v>274310.53999999998</v>
      </c>
      <c r="E57" s="15"/>
      <c r="F57" s="17">
        <v>0</v>
      </c>
      <c r="G57" s="15"/>
      <c r="H57" s="17">
        <v>0</v>
      </c>
      <c r="I57" s="15"/>
      <c r="J57" s="17">
        <v>0</v>
      </c>
      <c r="K57" s="15"/>
      <c r="L57" s="17">
        <v>0</v>
      </c>
      <c r="M57" s="15"/>
      <c r="N57" s="17">
        <v>274310.53999999998</v>
      </c>
      <c r="O57" s="2"/>
      <c r="P57" s="18">
        <v>274310.53999999998</v>
      </c>
      <c r="Q57" s="2"/>
      <c r="R57" s="18">
        <v>-38202.379999999997</v>
      </c>
      <c r="S57" s="2"/>
      <c r="T57" s="18">
        <v>236108.15999999997</v>
      </c>
      <c r="U57" s="15"/>
      <c r="V57" s="17">
        <v>0</v>
      </c>
      <c r="W57" s="15"/>
      <c r="X57" s="17">
        <v>-38202.379999999997</v>
      </c>
      <c r="Y57" s="15"/>
      <c r="Z57" s="17">
        <v>274310.53999999998</v>
      </c>
      <c r="AA57" s="17">
        <v>0</v>
      </c>
    </row>
    <row r="58" spans="1:27">
      <c r="C58" s="2"/>
      <c r="D58" s="14">
        <v>41930214.549999997</v>
      </c>
      <c r="E58" s="15"/>
      <c r="F58" s="14">
        <v>775000</v>
      </c>
      <c r="G58" s="15"/>
      <c r="H58" s="14">
        <v>0</v>
      </c>
      <c r="I58" s="15"/>
      <c r="J58" s="14">
        <v>0</v>
      </c>
      <c r="K58" s="15"/>
      <c r="L58" s="14">
        <v>775000</v>
      </c>
      <c r="M58" s="15"/>
      <c r="N58" s="14">
        <v>42705214.549999997</v>
      </c>
      <c r="O58" s="2"/>
      <c r="P58" s="14">
        <v>42585983.780769229</v>
      </c>
      <c r="Q58" s="2"/>
      <c r="R58" s="14">
        <v>-13024926.31951266</v>
      </c>
      <c r="S58" s="2"/>
      <c r="T58" s="14">
        <v>29561057.461256567</v>
      </c>
      <c r="U58" s="15"/>
      <c r="V58" s="14">
        <v>0</v>
      </c>
      <c r="W58" s="15"/>
      <c r="X58" s="14">
        <v>-13024926.31951266</v>
      </c>
      <c r="Y58" s="15">
        <v>0</v>
      </c>
      <c r="Z58" s="14">
        <v>42705214.549999997</v>
      </c>
      <c r="AA58" s="14">
        <v>0</v>
      </c>
    </row>
    <row r="59" spans="1:27">
      <c r="C59" s="2"/>
      <c r="D59" s="14"/>
      <c r="E59" s="15"/>
      <c r="F59" s="14"/>
      <c r="G59" s="15"/>
      <c r="H59" s="14"/>
      <c r="I59" s="15"/>
      <c r="J59" s="14"/>
      <c r="K59" s="15"/>
      <c r="L59" s="14"/>
      <c r="M59" s="15"/>
      <c r="N59" s="14"/>
      <c r="O59" s="2"/>
      <c r="P59" s="2"/>
      <c r="Q59" s="2"/>
      <c r="R59" s="2"/>
      <c r="S59" s="2"/>
      <c r="T59" s="2"/>
      <c r="U59" s="15"/>
      <c r="V59" s="14"/>
      <c r="W59" s="15"/>
      <c r="X59" s="14"/>
      <c r="Y59" s="15"/>
      <c r="Z59" s="14"/>
      <c r="AA59" s="14"/>
    </row>
    <row r="60" spans="1:27">
      <c r="C60" s="5" t="s">
        <v>58</v>
      </c>
      <c r="D60" s="14"/>
      <c r="E60" s="15"/>
      <c r="F60" s="14"/>
      <c r="G60" s="15"/>
      <c r="H60" s="14"/>
      <c r="I60" s="15"/>
      <c r="J60" s="14"/>
      <c r="K60" s="15"/>
      <c r="L60" s="14"/>
      <c r="M60" s="15"/>
      <c r="N60" s="14"/>
      <c r="O60" s="2"/>
      <c r="P60" s="2"/>
      <c r="Q60" s="2"/>
      <c r="R60" s="2"/>
      <c r="S60" s="2"/>
      <c r="T60" s="2"/>
      <c r="U60" s="15"/>
      <c r="V60" s="14"/>
      <c r="W60" s="15"/>
      <c r="X60" s="14"/>
      <c r="Y60" s="15"/>
      <c r="Z60" s="14"/>
      <c r="AA60" s="14"/>
    </row>
    <row r="61" spans="1:27">
      <c r="A61" s="6" t="s">
        <v>17</v>
      </c>
      <c r="B61" s="6" t="str">
        <f t="shared" ref="B61:B63" si="3">MID(C61,2,3)</f>
        <v>301</v>
      </c>
      <c r="C61" s="2" t="s">
        <v>59</v>
      </c>
      <c r="D61" s="14">
        <v>39116.89</v>
      </c>
      <c r="E61" s="15"/>
      <c r="F61" s="14">
        <v>0</v>
      </c>
      <c r="G61" s="15"/>
      <c r="H61" s="14">
        <v>0</v>
      </c>
      <c r="I61" s="15"/>
      <c r="J61" s="14">
        <v>0</v>
      </c>
      <c r="K61" s="15"/>
      <c r="L61" s="14">
        <v>0</v>
      </c>
      <c r="M61" s="15"/>
      <c r="N61" s="14">
        <v>39116.89</v>
      </c>
      <c r="O61" s="2"/>
      <c r="P61" s="10">
        <v>39116.890000000007</v>
      </c>
      <c r="Q61" s="2"/>
      <c r="R61" s="10">
        <v>0</v>
      </c>
      <c r="S61" s="2"/>
      <c r="T61" s="10">
        <v>39116.890000000007</v>
      </c>
      <c r="U61" s="15"/>
      <c r="V61" s="14"/>
      <c r="W61" s="15"/>
      <c r="X61" s="14">
        <v>0</v>
      </c>
      <c r="Y61" s="15"/>
      <c r="Z61" s="14">
        <v>39116.89</v>
      </c>
      <c r="AA61" s="14"/>
    </row>
    <row r="62" spans="1:27">
      <c r="A62" s="6" t="s">
        <v>17</v>
      </c>
      <c r="B62" s="6" t="str">
        <f t="shared" si="3"/>
        <v>302</v>
      </c>
      <c r="C62" s="2" t="s">
        <v>60</v>
      </c>
      <c r="D62" s="14">
        <v>55918.83</v>
      </c>
      <c r="E62" s="15"/>
      <c r="F62" s="14">
        <v>0</v>
      </c>
      <c r="G62" s="15"/>
      <c r="H62" s="14">
        <v>0</v>
      </c>
      <c r="I62" s="15"/>
      <c r="J62" s="14">
        <v>0</v>
      </c>
      <c r="K62" s="15"/>
      <c r="L62" s="14">
        <v>0</v>
      </c>
      <c r="M62" s="15"/>
      <c r="N62" s="14">
        <v>55918.83</v>
      </c>
      <c r="O62" s="2"/>
      <c r="P62" s="10">
        <v>55918.829999999994</v>
      </c>
      <c r="Q62" s="2"/>
      <c r="R62" s="10">
        <v>-69345.493659800006</v>
      </c>
      <c r="S62" s="2"/>
      <c r="T62" s="10">
        <v>-13426.663659800011</v>
      </c>
      <c r="U62" s="15"/>
      <c r="V62" s="14"/>
      <c r="W62" s="15"/>
      <c r="X62" s="14">
        <v>-69345.493659800006</v>
      </c>
      <c r="Y62" s="15"/>
      <c r="Z62" s="14">
        <v>55918.83</v>
      </c>
      <c r="AA62" s="14"/>
    </row>
    <row r="63" spans="1:27">
      <c r="A63" s="6" t="s">
        <v>17</v>
      </c>
      <c r="B63" s="6" t="str">
        <f t="shared" si="3"/>
        <v>303</v>
      </c>
      <c r="C63" s="2" t="s">
        <v>61</v>
      </c>
      <c r="D63" s="14">
        <v>100266855.68999991</v>
      </c>
      <c r="E63" s="15"/>
      <c r="F63" s="14">
        <v>28469529.819999982</v>
      </c>
      <c r="G63" s="15"/>
      <c r="H63" s="14">
        <v>-8247620.0000000009</v>
      </c>
      <c r="I63" s="15"/>
      <c r="J63" s="14">
        <v>0</v>
      </c>
      <c r="K63" s="15"/>
      <c r="L63" s="14">
        <v>20221909.819999982</v>
      </c>
      <c r="M63" s="15"/>
      <c r="N63" s="14">
        <v>120488765.50999989</v>
      </c>
      <c r="O63" s="2"/>
      <c r="P63" s="10">
        <v>115922918.55923072</v>
      </c>
      <c r="Q63" s="2"/>
      <c r="R63" s="10">
        <v>-58427277.455853835</v>
      </c>
      <c r="S63" s="2"/>
      <c r="T63" s="10">
        <v>57495641.10337688</v>
      </c>
      <c r="U63" s="15"/>
      <c r="V63" s="14"/>
      <c r="W63" s="15"/>
      <c r="X63" s="14">
        <v>-58427277.455853835</v>
      </c>
      <c r="Y63" s="15"/>
      <c r="Z63" s="14">
        <v>120488765.5099998</v>
      </c>
      <c r="AA63" s="14"/>
    </row>
    <row r="64" spans="1:27">
      <c r="A64" s="6" t="s">
        <v>17</v>
      </c>
      <c r="C64" s="2" t="s">
        <v>62</v>
      </c>
      <c r="D64" s="17">
        <v>0</v>
      </c>
      <c r="E64" s="15"/>
      <c r="F64" s="17">
        <v>0</v>
      </c>
      <c r="G64" s="15"/>
      <c r="H64" s="17">
        <v>0</v>
      </c>
      <c r="I64" s="15"/>
      <c r="J64" s="17">
        <v>0</v>
      </c>
      <c r="K64" s="15"/>
      <c r="L64" s="17">
        <v>0</v>
      </c>
      <c r="M64" s="15"/>
      <c r="N64" s="17">
        <v>0</v>
      </c>
      <c r="O64" s="2"/>
      <c r="P64" s="18">
        <v>0</v>
      </c>
      <c r="Q64" s="2"/>
      <c r="R64" s="18">
        <v>0</v>
      </c>
      <c r="S64" s="2"/>
      <c r="T64" s="18">
        <v>0</v>
      </c>
      <c r="U64" s="15"/>
      <c r="V64" s="17"/>
      <c r="W64" s="15"/>
      <c r="X64" s="17">
        <v>0</v>
      </c>
      <c r="Y64" s="15"/>
      <c r="Z64" s="17">
        <v>0</v>
      </c>
      <c r="AA64" s="17"/>
    </row>
    <row r="65" spans="1:27">
      <c r="C65" s="2"/>
      <c r="D65" s="14">
        <v>100361891.40999991</v>
      </c>
      <c r="E65" s="15"/>
      <c r="F65" s="14">
        <v>28469529.819999982</v>
      </c>
      <c r="G65" s="15"/>
      <c r="H65" s="14">
        <v>-8247620.0000000009</v>
      </c>
      <c r="I65" s="15"/>
      <c r="J65" s="14">
        <v>0</v>
      </c>
      <c r="K65" s="15"/>
      <c r="L65" s="14">
        <v>20221909.819999982</v>
      </c>
      <c r="M65" s="15"/>
      <c r="N65" s="14">
        <v>120583801.22999988</v>
      </c>
      <c r="O65" s="2"/>
      <c r="P65" s="14">
        <v>116017954.27923071</v>
      </c>
      <c r="Q65" s="2"/>
      <c r="R65" s="14">
        <v>-58496622.949513637</v>
      </c>
      <c r="S65" s="2"/>
      <c r="T65" s="14">
        <v>57521331.329717077</v>
      </c>
      <c r="U65" s="15"/>
      <c r="V65" s="14"/>
      <c r="W65" s="15"/>
      <c r="X65" s="14">
        <v>-58496622.949513637</v>
      </c>
      <c r="Y65" s="15"/>
      <c r="Z65" s="14">
        <v>120583801.2299998</v>
      </c>
      <c r="AA65" s="14">
        <v>0</v>
      </c>
    </row>
    <row r="66" spans="1:27">
      <c r="C66" s="2"/>
      <c r="D66" s="14"/>
      <c r="E66" s="15"/>
      <c r="F66" s="14"/>
      <c r="G66" s="15"/>
      <c r="H66" s="14"/>
      <c r="I66" s="15"/>
      <c r="J66" s="14"/>
      <c r="K66" s="15"/>
      <c r="L66" s="14"/>
      <c r="M66" s="15"/>
      <c r="N66" s="14"/>
      <c r="O66" s="2"/>
      <c r="P66" s="2"/>
      <c r="Q66" s="2"/>
      <c r="R66" s="2"/>
      <c r="S66" s="2"/>
      <c r="T66" s="2"/>
      <c r="U66" s="15"/>
      <c r="V66" s="14"/>
      <c r="W66" s="15"/>
      <c r="X66" s="14"/>
      <c r="Y66" s="15"/>
      <c r="Z66" s="14"/>
      <c r="AA66" s="14"/>
    </row>
    <row r="67" spans="1:27">
      <c r="C67" s="5" t="s">
        <v>63</v>
      </c>
      <c r="D67" s="14"/>
      <c r="E67" s="15"/>
      <c r="F67" s="14"/>
      <c r="G67" s="15"/>
      <c r="H67" s="14"/>
      <c r="I67" s="15"/>
      <c r="J67" s="14"/>
      <c r="K67" s="15"/>
      <c r="L67" s="14"/>
      <c r="M67" s="15"/>
      <c r="N67" s="14"/>
      <c r="O67" s="2"/>
      <c r="P67" s="2"/>
      <c r="Q67" s="2"/>
      <c r="R67" s="2"/>
      <c r="S67" s="2"/>
      <c r="T67" s="2"/>
      <c r="U67" s="15"/>
      <c r="V67" s="14"/>
      <c r="W67" s="15"/>
      <c r="X67" s="14"/>
      <c r="Y67" s="15"/>
      <c r="Z67" s="14"/>
      <c r="AA67" s="14"/>
    </row>
    <row r="68" spans="1:27">
      <c r="A68" s="6" t="s">
        <v>17</v>
      </c>
      <c r="B68" s="6" t="str">
        <f t="shared" ref="B68:B78" si="4">MID(C68,2,3)</f>
        <v>340</v>
      </c>
      <c r="C68" s="2" t="s">
        <v>2322</v>
      </c>
      <c r="D68" s="14">
        <v>473578.52</v>
      </c>
      <c r="E68" s="15"/>
      <c r="F68" s="14">
        <v>0</v>
      </c>
      <c r="G68" s="15"/>
      <c r="H68" s="14">
        <v>0</v>
      </c>
      <c r="I68" s="15"/>
      <c r="J68" s="14">
        <v>0</v>
      </c>
      <c r="K68" s="15"/>
      <c r="L68" s="14">
        <v>0</v>
      </c>
      <c r="M68" s="15"/>
      <c r="N68" s="14">
        <v>473578.52</v>
      </c>
      <c r="O68" s="2"/>
      <c r="P68" s="10">
        <v>473578.5199999999</v>
      </c>
      <c r="Q68" s="2"/>
      <c r="R68" s="10">
        <v>-122627.36263147999</v>
      </c>
      <c r="S68" s="2"/>
      <c r="T68" s="10">
        <v>350951.15736851993</v>
      </c>
      <c r="U68" s="15"/>
      <c r="V68" s="4">
        <v>0</v>
      </c>
      <c r="W68" s="16"/>
      <c r="X68" s="4">
        <v>-122627.36263147999</v>
      </c>
      <c r="Y68" s="16"/>
      <c r="Z68" s="4">
        <v>473578.52</v>
      </c>
      <c r="AA68" s="4">
        <v>0</v>
      </c>
    </row>
    <row r="69" spans="1:27">
      <c r="A69" s="6" t="s">
        <v>17</v>
      </c>
      <c r="C69" s="2" t="s">
        <v>64</v>
      </c>
      <c r="D69" s="14">
        <v>0</v>
      </c>
      <c r="E69" s="15"/>
      <c r="F69" s="14">
        <v>0</v>
      </c>
      <c r="G69" s="15"/>
      <c r="H69" s="14">
        <v>0</v>
      </c>
      <c r="I69" s="15"/>
      <c r="J69" s="14">
        <v>0</v>
      </c>
      <c r="K69" s="15"/>
      <c r="L69" s="14">
        <v>0</v>
      </c>
      <c r="M69" s="15"/>
      <c r="N69" s="14">
        <v>0</v>
      </c>
      <c r="O69" s="2"/>
      <c r="P69" s="10">
        <v>0</v>
      </c>
      <c r="Q69" s="2"/>
      <c r="R69" s="10">
        <v>0</v>
      </c>
      <c r="S69" s="2"/>
      <c r="T69" s="10">
        <v>0</v>
      </c>
      <c r="U69" s="15"/>
      <c r="V69" s="14">
        <v>0</v>
      </c>
      <c r="W69" s="15"/>
      <c r="X69" s="14">
        <v>0</v>
      </c>
      <c r="Y69" s="15"/>
      <c r="Z69" s="14">
        <v>0</v>
      </c>
      <c r="AA69" s="14">
        <v>0</v>
      </c>
    </row>
    <row r="70" spans="1:27">
      <c r="A70" s="6" t="s">
        <v>17</v>
      </c>
      <c r="B70" s="6" t="str">
        <f t="shared" si="4"/>
        <v>341</v>
      </c>
      <c r="C70" s="2" t="s">
        <v>65</v>
      </c>
      <c r="D70" s="14">
        <v>85076788.390000001</v>
      </c>
      <c r="E70" s="15"/>
      <c r="F70" s="14">
        <v>484000</v>
      </c>
      <c r="G70" s="15"/>
      <c r="H70" s="14">
        <v>0</v>
      </c>
      <c r="I70" s="15"/>
      <c r="J70" s="14">
        <v>0</v>
      </c>
      <c r="K70" s="15"/>
      <c r="L70" s="14">
        <v>484000</v>
      </c>
      <c r="M70" s="15"/>
      <c r="N70" s="14">
        <v>85560788.390000001</v>
      </c>
      <c r="O70" s="2"/>
      <c r="P70" s="10">
        <v>85397942.236153856</v>
      </c>
      <c r="Q70" s="2"/>
      <c r="R70" s="10">
        <v>-23607232.007794522</v>
      </c>
      <c r="S70" s="2"/>
      <c r="T70" s="10">
        <v>61790710.228359334</v>
      </c>
      <c r="U70" s="15"/>
      <c r="V70" s="14">
        <v>248.81622190491913</v>
      </c>
      <c r="W70" s="15"/>
      <c r="X70" s="14">
        <v>-23606983.191572618</v>
      </c>
      <c r="Y70" s="15"/>
      <c r="Z70" s="14">
        <v>85560788.390000001</v>
      </c>
      <c r="AA70" s="14">
        <v>0</v>
      </c>
    </row>
    <row r="71" spans="1:27">
      <c r="A71" s="6" t="s">
        <v>17</v>
      </c>
      <c r="B71" s="6" t="str">
        <f t="shared" si="4"/>
        <v>342</v>
      </c>
      <c r="C71" s="2" t="s">
        <v>66</v>
      </c>
      <c r="D71" s="14">
        <v>61751087.969999991</v>
      </c>
      <c r="E71" s="15"/>
      <c r="F71" s="14">
        <v>0</v>
      </c>
      <c r="G71" s="15"/>
      <c r="H71" s="14">
        <v>0</v>
      </c>
      <c r="I71" s="15"/>
      <c r="J71" s="14">
        <v>0</v>
      </c>
      <c r="K71" s="15"/>
      <c r="L71" s="14">
        <v>0</v>
      </c>
      <c r="M71" s="15"/>
      <c r="N71" s="14">
        <v>61751087.969999991</v>
      </c>
      <c r="O71" s="2"/>
      <c r="P71" s="10">
        <v>61751087.970000006</v>
      </c>
      <c r="Q71" s="2"/>
      <c r="R71" s="10">
        <v>-19194611.610055577</v>
      </c>
      <c r="S71" s="2"/>
      <c r="T71" s="10">
        <v>42556476.359944433</v>
      </c>
      <c r="U71" s="15"/>
      <c r="V71" s="14">
        <v>0</v>
      </c>
      <c r="W71" s="15"/>
      <c r="X71" s="14">
        <v>-19194611.610055577</v>
      </c>
      <c r="Y71" s="15"/>
      <c r="Z71" s="14">
        <v>61751087.969999991</v>
      </c>
      <c r="AA71" s="14">
        <v>0</v>
      </c>
    </row>
    <row r="72" spans="1:27">
      <c r="A72" s="6" t="s">
        <v>17</v>
      </c>
      <c r="C72" s="2" t="s">
        <v>67</v>
      </c>
      <c r="D72" s="14">
        <v>0</v>
      </c>
      <c r="E72" s="15"/>
      <c r="F72" s="14">
        <v>0</v>
      </c>
      <c r="G72" s="15"/>
      <c r="H72" s="14">
        <v>0</v>
      </c>
      <c r="I72" s="15"/>
      <c r="J72" s="14">
        <v>0</v>
      </c>
      <c r="K72" s="15"/>
      <c r="L72" s="14">
        <v>0</v>
      </c>
      <c r="M72" s="15"/>
      <c r="N72" s="14">
        <v>0</v>
      </c>
      <c r="O72" s="2"/>
      <c r="P72" s="10">
        <v>0</v>
      </c>
      <c r="Q72" s="2"/>
      <c r="R72" s="10">
        <v>0</v>
      </c>
      <c r="S72" s="2"/>
      <c r="T72" s="10">
        <v>0</v>
      </c>
      <c r="U72" s="15"/>
      <c r="V72" s="14">
        <v>0</v>
      </c>
      <c r="W72" s="15"/>
      <c r="X72" s="14">
        <v>0</v>
      </c>
      <c r="Y72" s="15"/>
      <c r="Z72" s="14">
        <v>0</v>
      </c>
      <c r="AA72" s="14">
        <v>0</v>
      </c>
    </row>
    <row r="73" spans="1:27">
      <c r="A73" s="6" t="s">
        <v>17</v>
      </c>
      <c r="B73" s="6" t="str">
        <f t="shared" si="4"/>
        <v>343</v>
      </c>
      <c r="C73" s="2" t="s">
        <v>68</v>
      </c>
      <c r="D73" s="14">
        <v>647382513.04999995</v>
      </c>
      <c r="E73" s="15"/>
      <c r="F73" s="14">
        <v>14409501.439999999</v>
      </c>
      <c r="G73" s="15"/>
      <c r="H73" s="14">
        <v>0</v>
      </c>
      <c r="I73" s="15"/>
      <c r="J73" s="14">
        <v>0</v>
      </c>
      <c r="K73" s="15"/>
      <c r="L73" s="14">
        <v>14409501.439999999</v>
      </c>
      <c r="M73" s="15"/>
      <c r="N73" s="14">
        <v>661792014.49000001</v>
      </c>
      <c r="O73" s="2"/>
      <c r="P73" s="10">
        <v>656944962.10230768</v>
      </c>
      <c r="Q73" s="2"/>
      <c r="R73" s="10">
        <v>-206391241.09017637</v>
      </c>
      <c r="S73" s="2"/>
      <c r="T73" s="10">
        <v>450553721.01213133</v>
      </c>
      <c r="U73" s="15"/>
      <c r="V73" s="14">
        <v>7407.6812145336608</v>
      </c>
      <c r="W73" s="15"/>
      <c r="X73" s="14">
        <v>-206383833.40896183</v>
      </c>
      <c r="Y73" s="15"/>
      <c r="Z73" s="14">
        <v>661792014.49000001</v>
      </c>
      <c r="AA73" s="14">
        <v>0</v>
      </c>
    </row>
    <row r="74" spans="1:27">
      <c r="A74" s="6" t="s">
        <v>17</v>
      </c>
      <c r="B74" s="6" t="str">
        <f t="shared" si="4"/>
        <v>344</v>
      </c>
      <c r="C74" s="2" t="s">
        <v>69</v>
      </c>
      <c r="D74" s="14">
        <v>131343465.90999991</v>
      </c>
      <c r="E74" s="15"/>
      <c r="F74" s="14">
        <v>0</v>
      </c>
      <c r="G74" s="15"/>
      <c r="H74" s="14">
        <v>0</v>
      </c>
      <c r="I74" s="15"/>
      <c r="J74" s="14">
        <v>0</v>
      </c>
      <c r="K74" s="15"/>
      <c r="L74" s="14">
        <v>0</v>
      </c>
      <c r="M74" s="15"/>
      <c r="N74" s="14">
        <v>131343465.90999991</v>
      </c>
      <c r="O74" s="2"/>
      <c r="P74" s="10">
        <v>131343465.90999991</v>
      </c>
      <c r="Q74" s="2"/>
      <c r="R74" s="10">
        <v>-41765303.73846563</v>
      </c>
      <c r="S74" s="2"/>
      <c r="T74" s="10">
        <v>89578162.17153427</v>
      </c>
      <c r="U74" s="15"/>
      <c r="V74" s="14">
        <v>0</v>
      </c>
      <c r="W74" s="15"/>
      <c r="X74" s="14">
        <v>-41765303.73846563</v>
      </c>
      <c r="Y74" s="15"/>
      <c r="Z74" s="14">
        <v>131343465.90999991</v>
      </c>
      <c r="AA74" s="14">
        <v>0</v>
      </c>
    </row>
    <row r="75" spans="1:27">
      <c r="A75" s="6" t="s">
        <v>17</v>
      </c>
      <c r="B75" s="6" t="str">
        <f t="shared" si="4"/>
        <v>345</v>
      </c>
      <c r="C75" s="2" t="s">
        <v>70</v>
      </c>
      <c r="D75" s="14">
        <v>67325168.730000004</v>
      </c>
      <c r="E75" s="15"/>
      <c r="F75" s="14">
        <v>12772739.239999998</v>
      </c>
      <c r="G75" s="15"/>
      <c r="H75" s="14">
        <v>0</v>
      </c>
      <c r="I75" s="15"/>
      <c r="J75" s="14">
        <v>0</v>
      </c>
      <c r="K75" s="15"/>
      <c r="L75" s="14">
        <v>12772739.239999998</v>
      </c>
      <c r="M75" s="15"/>
      <c r="N75" s="14">
        <v>80097907.969999999</v>
      </c>
      <c r="O75" s="2"/>
      <c r="P75" s="10">
        <v>75937065.126923069</v>
      </c>
      <c r="Q75" s="2"/>
      <c r="R75" s="10">
        <v>-25769990.614854291</v>
      </c>
      <c r="S75" s="2"/>
      <c r="T75" s="10">
        <v>50167074.512068778</v>
      </c>
      <c r="U75" s="15"/>
      <c r="V75" s="14">
        <v>6566.2494237055944</v>
      </c>
      <c r="W75" s="15"/>
      <c r="X75" s="14">
        <v>-25763424.365430586</v>
      </c>
      <c r="Y75" s="15"/>
      <c r="Z75" s="14">
        <v>80097907.969999999</v>
      </c>
      <c r="AA75" s="14">
        <v>0</v>
      </c>
    </row>
    <row r="76" spans="1:27">
      <c r="A76" s="6" t="s">
        <v>17</v>
      </c>
      <c r="C76" s="2" t="s">
        <v>71</v>
      </c>
      <c r="D76" s="14">
        <v>0</v>
      </c>
      <c r="E76" s="15"/>
      <c r="F76" s="14">
        <v>0</v>
      </c>
      <c r="G76" s="15"/>
      <c r="H76" s="14">
        <v>0</v>
      </c>
      <c r="I76" s="15"/>
      <c r="J76" s="14">
        <v>0</v>
      </c>
      <c r="K76" s="15"/>
      <c r="L76" s="14">
        <v>0</v>
      </c>
      <c r="M76" s="15"/>
      <c r="N76" s="14">
        <v>0</v>
      </c>
      <c r="O76" s="2"/>
      <c r="P76" s="10">
        <v>0</v>
      </c>
      <c r="Q76" s="2"/>
      <c r="R76" s="10">
        <v>0</v>
      </c>
      <c r="S76" s="2"/>
      <c r="T76" s="10">
        <v>0</v>
      </c>
      <c r="U76" s="15"/>
      <c r="V76" s="14">
        <v>0</v>
      </c>
      <c r="W76" s="15"/>
      <c r="X76" s="14">
        <v>0</v>
      </c>
      <c r="Y76" s="15"/>
      <c r="Z76" s="14">
        <v>0</v>
      </c>
      <c r="AA76" s="14">
        <v>0</v>
      </c>
    </row>
    <row r="77" spans="1:27">
      <c r="A77" s="6" t="s">
        <v>17</v>
      </c>
      <c r="B77" s="6" t="str">
        <f t="shared" si="4"/>
        <v>346</v>
      </c>
      <c r="C77" s="2" t="s">
        <v>72</v>
      </c>
      <c r="D77" s="14">
        <v>11512268.5</v>
      </c>
      <c r="E77" s="15"/>
      <c r="F77" s="14">
        <v>464500</v>
      </c>
      <c r="G77" s="15"/>
      <c r="H77" s="14">
        <v>0</v>
      </c>
      <c r="I77" s="15"/>
      <c r="J77" s="14">
        <v>0</v>
      </c>
      <c r="K77" s="15"/>
      <c r="L77" s="14">
        <v>464500</v>
      </c>
      <c r="M77" s="15"/>
      <c r="N77" s="14">
        <v>11976768.5</v>
      </c>
      <c r="O77" s="2"/>
      <c r="P77" s="10">
        <v>11867345.423076926</v>
      </c>
      <c r="Q77" s="2"/>
      <c r="R77" s="10">
        <v>-3591933.4228273733</v>
      </c>
      <c r="S77" s="2"/>
      <c r="T77" s="10">
        <v>8275412.0002495525</v>
      </c>
      <c r="U77" s="15"/>
      <c r="V77" s="14">
        <v>238.79160139428703</v>
      </c>
      <c r="W77" s="15"/>
      <c r="X77" s="14">
        <v>-3591694.631225979</v>
      </c>
      <c r="Y77" s="15"/>
      <c r="Z77" s="14">
        <v>11976768.5</v>
      </c>
      <c r="AA77" s="14">
        <v>0</v>
      </c>
    </row>
    <row r="78" spans="1:27">
      <c r="A78" s="6" t="s">
        <v>17</v>
      </c>
      <c r="B78" s="6" t="str">
        <f t="shared" si="4"/>
        <v>347</v>
      </c>
      <c r="C78" s="2" t="s">
        <v>73</v>
      </c>
      <c r="D78" s="17">
        <v>403344.08999999997</v>
      </c>
      <c r="E78" s="15"/>
      <c r="F78" s="17">
        <v>0</v>
      </c>
      <c r="G78" s="15"/>
      <c r="H78" s="17">
        <v>0</v>
      </c>
      <c r="I78" s="15"/>
      <c r="J78" s="17">
        <v>0</v>
      </c>
      <c r="K78" s="15"/>
      <c r="L78" s="17">
        <v>0</v>
      </c>
      <c r="M78" s="15"/>
      <c r="N78" s="17">
        <v>403344.08999999997</v>
      </c>
      <c r="O78" s="2"/>
      <c r="P78" s="18">
        <v>403344.08999999991</v>
      </c>
      <c r="Q78" s="2"/>
      <c r="R78" s="18">
        <v>-53798.019999999902</v>
      </c>
      <c r="S78" s="2"/>
      <c r="T78" s="18">
        <v>349546.07</v>
      </c>
      <c r="U78" s="15"/>
      <c r="V78" s="17">
        <v>0</v>
      </c>
      <c r="W78" s="15"/>
      <c r="X78" s="17">
        <v>-53798.019999999902</v>
      </c>
      <c r="Y78" s="15"/>
      <c r="Z78" s="17">
        <v>403344.08999999997</v>
      </c>
      <c r="AA78" s="17">
        <v>0</v>
      </c>
    </row>
    <row r="79" spans="1:27">
      <c r="C79" s="2"/>
      <c r="D79" s="14">
        <v>1005268215.16</v>
      </c>
      <c r="E79" s="15"/>
      <c r="F79" s="14">
        <v>28130740.68</v>
      </c>
      <c r="G79" s="15"/>
      <c r="H79" s="14">
        <v>0</v>
      </c>
      <c r="I79" s="15"/>
      <c r="J79" s="14">
        <v>0</v>
      </c>
      <c r="K79" s="15"/>
      <c r="L79" s="14">
        <v>28130740.68</v>
      </c>
      <c r="M79" s="15"/>
      <c r="N79" s="14">
        <v>1033398955.84</v>
      </c>
      <c r="O79" s="2"/>
      <c r="P79" s="14">
        <v>1024118791.3784615</v>
      </c>
      <c r="Q79" s="2"/>
      <c r="R79" s="14">
        <v>-320496737.8668052</v>
      </c>
      <c r="S79" s="2"/>
      <c r="T79" s="14">
        <v>703622053.51165628</v>
      </c>
      <c r="U79" s="15"/>
      <c r="V79" s="14">
        <v>14461.538461538461</v>
      </c>
      <c r="W79" s="15"/>
      <c r="X79" s="14">
        <v>-320482276.32834369</v>
      </c>
      <c r="Y79" s="15">
        <v>0</v>
      </c>
      <c r="Z79" s="14">
        <v>1033398955.84</v>
      </c>
      <c r="AA79" s="14">
        <v>0</v>
      </c>
    </row>
    <row r="80" spans="1:27">
      <c r="C80" s="2"/>
      <c r="D80" s="14"/>
      <c r="E80" s="15"/>
      <c r="F80" s="14"/>
      <c r="G80" s="15"/>
      <c r="H80" s="14"/>
      <c r="I80" s="15"/>
      <c r="J80" s="14"/>
      <c r="K80" s="15"/>
      <c r="L80" s="14"/>
      <c r="M80" s="15"/>
      <c r="N80" s="14"/>
      <c r="O80" s="2"/>
      <c r="P80" s="2"/>
      <c r="Q80" s="2"/>
      <c r="R80" s="2"/>
      <c r="S80" s="2"/>
      <c r="T80" s="2"/>
      <c r="U80" s="15"/>
      <c r="V80" s="14"/>
      <c r="W80" s="15"/>
      <c r="X80" s="14"/>
      <c r="Y80" s="15"/>
      <c r="Z80" s="14"/>
      <c r="AA80" s="14"/>
    </row>
    <row r="81" spans="1:27">
      <c r="C81" s="5" t="s">
        <v>74</v>
      </c>
      <c r="D81" s="4"/>
      <c r="E81" s="16"/>
      <c r="F81" s="4"/>
      <c r="G81" s="16"/>
      <c r="H81" s="4"/>
      <c r="I81" s="16"/>
      <c r="J81" s="4"/>
      <c r="K81" s="16"/>
      <c r="L81" s="4"/>
      <c r="M81" s="16"/>
      <c r="N81" s="4"/>
      <c r="O81" s="2"/>
      <c r="P81" s="2"/>
      <c r="Q81" s="2"/>
      <c r="R81" s="2"/>
      <c r="S81" s="2"/>
      <c r="T81" s="2"/>
      <c r="U81" s="16"/>
      <c r="V81" s="4"/>
      <c r="W81" s="16"/>
      <c r="X81" s="4"/>
      <c r="Y81" s="16"/>
      <c r="Z81" s="4"/>
      <c r="AA81" s="4"/>
    </row>
    <row r="82" spans="1:27">
      <c r="A82" s="6" t="s">
        <v>17</v>
      </c>
      <c r="B82" s="6" t="str">
        <f t="shared" ref="B82:B92" si="5">MID(C82,2,3)</f>
        <v>310</v>
      </c>
      <c r="C82" s="2" t="s">
        <v>75</v>
      </c>
      <c r="D82" s="4">
        <v>23167513.579999998</v>
      </c>
      <c r="E82" s="16"/>
      <c r="F82" s="4">
        <v>1835226.6199999999</v>
      </c>
      <c r="G82" s="16"/>
      <c r="H82" s="4">
        <v>0</v>
      </c>
      <c r="I82" s="16"/>
      <c r="J82" s="4">
        <v>0</v>
      </c>
      <c r="K82" s="16"/>
      <c r="L82" s="4">
        <v>1835226.6199999999</v>
      </c>
      <c r="M82" s="16"/>
      <c r="N82" s="4">
        <v>25002740.199999999</v>
      </c>
      <c r="O82" s="2"/>
      <c r="P82" s="10">
        <v>24155712.52923071</v>
      </c>
      <c r="Q82" s="2"/>
      <c r="R82" s="10">
        <v>0</v>
      </c>
      <c r="S82" s="2"/>
      <c r="T82" s="10">
        <v>24155712.52923071</v>
      </c>
      <c r="U82" s="16"/>
      <c r="V82" s="4"/>
      <c r="W82" s="16"/>
      <c r="X82" s="4">
        <v>0</v>
      </c>
      <c r="Y82" s="16"/>
      <c r="Z82" s="4">
        <v>25002740.199999902</v>
      </c>
      <c r="AA82" s="4">
        <v>-9.6857547760009766E-8</v>
      </c>
    </row>
    <row r="83" spans="1:27">
      <c r="A83" s="6" t="s">
        <v>17</v>
      </c>
      <c r="B83" s="6" t="str">
        <f t="shared" si="5"/>
        <v>311</v>
      </c>
      <c r="C83" s="2" t="s">
        <v>76</v>
      </c>
      <c r="D83" s="4">
        <v>336901274.62000006</v>
      </c>
      <c r="E83" s="16"/>
      <c r="F83" s="4">
        <v>7860803.7700000005</v>
      </c>
      <c r="G83" s="16"/>
      <c r="H83" s="4">
        <v>0</v>
      </c>
      <c r="I83" s="16"/>
      <c r="J83" s="4">
        <v>0</v>
      </c>
      <c r="K83" s="16"/>
      <c r="L83" s="4">
        <v>7860803.7700000005</v>
      </c>
      <c r="M83" s="16"/>
      <c r="N83" s="4">
        <v>344762078.39000005</v>
      </c>
      <c r="O83" s="2"/>
      <c r="P83" s="10">
        <v>339581331.41923082</v>
      </c>
      <c r="Q83" s="2"/>
      <c r="R83" s="10">
        <v>-182127113.20823857</v>
      </c>
      <c r="S83" s="2"/>
      <c r="T83" s="10">
        <v>157454218.21099225</v>
      </c>
      <c r="U83" s="16"/>
      <c r="V83" s="4">
        <v>923704.40318769077</v>
      </c>
      <c r="W83" s="16"/>
      <c r="X83" s="4">
        <v>-181203408.80505088</v>
      </c>
      <c r="Y83" s="16"/>
      <c r="Z83" s="4">
        <v>344762078.39000005</v>
      </c>
      <c r="AA83" s="4">
        <v>0</v>
      </c>
    </row>
    <row r="84" spans="1:27">
      <c r="A84" s="6" t="s">
        <v>17</v>
      </c>
      <c r="C84" s="2" t="s">
        <v>77</v>
      </c>
      <c r="D84" s="4">
        <v>0</v>
      </c>
      <c r="E84" s="16"/>
      <c r="F84" s="4">
        <v>0</v>
      </c>
      <c r="G84" s="16"/>
      <c r="H84" s="4">
        <v>0</v>
      </c>
      <c r="I84" s="16"/>
      <c r="J84" s="4">
        <v>0</v>
      </c>
      <c r="K84" s="16"/>
      <c r="L84" s="4">
        <v>0</v>
      </c>
      <c r="M84" s="16"/>
      <c r="N84" s="4">
        <v>0</v>
      </c>
      <c r="O84" s="2"/>
      <c r="P84" s="10">
        <v>0</v>
      </c>
      <c r="Q84" s="2"/>
      <c r="R84" s="10">
        <v>0</v>
      </c>
      <c r="S84" s="2"/>
      <c r="T84" s="10">
        <v>0</v>
      </c>
      <c r="U84" s="16"/>
      <c r="V84" s="4">
        <v>0</v>
      </c>
      <c r="W84" s="16"/>
      <c r="X84" s="4">
        <v>0</v>
      </c>
      <c r="Y84" s="16"/>
      <c r="Z84" s="4">
        <v>0</v>
      </c>
      <c r="AA84" s="4">
        <v>0</v>
      </c>
    </row>
    <row r="85" spans="1:27">
      <c r="A85" s="6" t="s">
        <v>17</v>
      </c>
      <c r="B85" s="6" t="str">
        <f t="shared" si="5"/>
        <v>312</v>
      </c>
      <c r="C85" s="2" t="s">
        <v>78</v>
      </c>
      <c r="D85" s="4">
        <v>4003541396.3199997</v>
      </c>
      <c r="E85" s="16"/>
      <c r="F85" s="4">
        <v>42662483.269999996</v>
      </c>
      <c r="G85" s="16"/>
      <c r="H85" s="4">
        <v>-16651556</v>
      </c>
      <c r="I85" s="16"/>
      <c r="J85" s="4">
        <v>0</v>
      </c>
      <c r="K85" s="16"/>
      <c r="L85" s="4">
        <v>26010927.269999996</v>
      </c>
      <c r="M85" s="16"/>
      <c r="N85" s="4">
        <v>4029552323.5899997</v>
      </c>
      <c r="O85" s="2"/>
      <c r="P85" s="10">
        <v>4015791237.7969227</v>
      </c>
      <c r="Q85" s="2"/>
      <c r="R85" s="10">
        <v>-1185665786.7181678</v>
      </c>
      <c r="S85" s="2"/>
      <c r="T85" s="10">
        <v>2830125451.0787549</v>
      </c>
      <c r="U85" s="16"/>
      <c r="V85" s="4">
        <v>5013167.2028012201</v>
      </c>
      <c r="W85" s="16"/>
      <c r="X85" s="4">
        <v>-1180652619.5153666</v>
      </c>
      <c r="Y85" s="16"/>
      <c r="Z85" s="4">
        <v>4029552323.5900002</v>
      </c>
      <c r="AA85" s="4">
        <v>0</v>
      </c>
    </row>
    <row r="86" spans="1:27">
      <c r="A86" s="6" t="s">
        <v>17</v>
      </c>
      <c r="C86" s="2" t="s">
        <v>79</v>
      </c>
      <c r="D86" s="4">
        <v>0</v>
      </c>
      <c r="E86" s="16"/>
      <c r="F86" s="4">
        <v>0</v>
      </c>
      <c r="G86" s="16"/>
      <c r="H86" s="4">
        <v>0</v>
      </c>
      <c r="I86" s="16"/>
      <c r="J86" s="4">
        <v>0</v>
      </c>
      <c r="K86" s="16"/>
      <c r="L86" s="4">
        <v>0</v>
      </c>
      <c r="M86" s="16"/>
      <c r="N86" s="4">
        <v>0</v>
      </c>
      <c r="O86" s="2"/>
      <c r="P86" s="10">
        <v>0</v>
      </c>
      <c r="Q86" s="2"/>
      <c r="R86" s="10">
        <v>0</v>
      </c>
      <c r="S86" s="2"/>
      <c r="T86" s="10">
        <v>0</v>
      </c>
      <c r="U86" s="16"/>
      <c r="V86" s="4">
        <v>0</v>
      </c>
      <c r="W86" s="16"/>
      <c r="X86" s="4">
        <v>0</v>
      </c>
      <c r="Y86" s="16"/>
      <c r="Z86" s="4">
        <v>0</v>
      </c>
      <c r="AA86" s="4">
        <v>0</v>
      </c>
    </row>
    <row r="87" spans="1:27">
      <c r="A87" s="6" t="s">
        <v>17</v>
      </c>
      <c r="B87" s="6" t="str">
        <f t="shared" si="5"/>
        <v>314</v>
      </c>
      <c r="C87" s="2" t="s">
        <v>80</v>
      </c>
      <c r="D87" s="4">
        <v>337471527.21999997</v>
      </c>
      <c r="E87" s="16"/>
      <c r="F87" s="4">
        <v>7347609.1600000001</v>
      </c>
      <c r="G87" s="16"/>
      <c r="H87" s="4">
        <v>0</v>
      </c>
      <c r="I87" s="16"/>
      <c r="J87" s="4">
        <v>0</v>
      </c>
      <c r="K87" s="16"/>
      <c r="L87" s="4">
        <v>7347609.1600000001</v>
      </c>
      <c r="M87" s="16"/>
      <c r="N87" s="4">
        <v>344819136.38</v>
      </c>
      <c r="O87" s="2"/>
      <c r="P87" s="10">
        <v>340427141.15230733</v>
      </c>
      <c r="Q87" s="2"/>
      <c r="R87" s="10">
        <v>-173826692.14481485</v>
      </c>
      <c r="S87" s="2"/>
      <c r="T87" s="10">
        <v>166600449.00749248</v>
      </c>
      <c r="U87" s="16"/>
      <c r="V87" s="4">
        <v>863400.12199467607</v>
      </c>
      <c r="W87" s="16"/>
      <c r="X87" s="4">
        <v>-172963292.02282017</v>
      </c>
      <c r="Y87" s="16"/>
      <c r="Z87" s="4">
        <v>344819136.38</v>
      </c>
      <c r="AA87" s="4">
        <v>0</v>
      </c>
    </row>
    <row r="88" spans="1:27">
      <c r="A88" s="6" t="s">
        <v>17</v>
      </c>
      <c r="C88" s="2" t="s">
        <v>81</v>
      </c>
      <c r="D88" s="4">
        <v>0</v>
      </c>
      <c r="E88" s="16"/>
      <c r="F88" s="4">
        <v>0</v>
      </c>
      <c r="G88" s="16"/>
      <c r="H88" s="4">
        <v>0</v>
      </c>
      <c r="I88" s="16"/>
      <c r="J88" s="4">
        <v>0</v>
      </c>
      <c r="K88" s="16"/>
      <c r="L88" s="4">
        <v>0</v>
      </c>
      <c r="M88" s="16"/>
      <c r="N88" s="4">
        <v>0</v>
      </c>
      <c r="O88" s="2"/>
      <c r="P88" s="10">
        <v>0</v>
      </c>
      <c r="Q88" s="2"/>
      <c r="R88" s="10">
        <v>0</v>
      </c>
      <c r="S88" s="2"/>
      <c r="T88" s="10">
        <v>0</v>
      </c>
      <c r="U88" s="16"/>
      <c r="V88" s="4">
        <v>0</v>
      </c>
      <c r="W88" s="16"/>
      <c r="X88" s="4">
        <v>0</v>
      </c>
      <c r="Y88" s="16"/>
      <c r="Z88" s="4">
        <v>0</v>
      </c>
      <c r="AA88" s="4">
        <v>0</v>
      </c>
    </row>
    <row r="89" spans="1:27">
      <c r="A89" s="6" t="s">
        <v>17</v>
      </c>
      <c r="B89" s="6" t="str">
        <f t="shared" si="5"/>
        <v>315</v>
      </c>
      <c r="C89" s="2" t="s">
        <v>82</v>
      </c>
      <c r="D89" s="4">
        <v>226547404.54999998</v>
      </c>
      <c r="E89" s="16"/>
      <c r="F89" s="4">
        <v>0</v>
      </c>
      <c r="G89" s="16"/>
      <c r="H89" s="4">
        <v>0</v>
      </c>
      <c r="I89" s="16"/>
      <c r="J89" s="4">
        <v>0</v>
      </c>
      <c r="K89" s="16"/>
      <c r="L89" s="4">
        <v>0</v>
      </c>
      <c r="M89" s="16"/>
      <c r="N89" s="4">
        <v>226547404.54999998</v>
      </c>
      <c r="O89" s="2"/>
      <c r="P89" s="10">
        <v>226547404.54999989</v>
      </c>
      <c r="Q89" s="2"/>
      <c r="R89" s="10">
        <v>-110134337.91651787</v>
      </c>
      <c r="S89" s="2"/>
      <c r="T89" s="10">
        <v>116413066.63348202</v>
      </c>
      <c r="U89" s="16"/>
      <c r="V89" s="4">
        <v>0</v>
      </c>
      <c r="W89" s="16"/>
      <c r="X89" s="4">
        <v>-110134337.91651787</v>
      </c>
      <c r="Y89" s="16"/>
      <c r="Z89" s="4">
        <v>226547404.54999998</v>
      </c>
      <c r="AA89" s="4">
        <v>0</v>
      </c>
    </row>
    <row r="90" spans="1:27">
      <c r="A90" s="6" t="s">
        <v>17</v>
      </c>
      <c r="C90" s="2" t="s">
        <v>83</v>
      </c>
      <c r="D90" s="4">
        <v>0</v>
      </c>
      <c r="E90" s="16"/>
      <c r="F90" s="4">
        <v>0</v>
      </c>
      <c r="G90" s="16"/>
      <c r="H90" s="4">
        <v>0</v>
      </c>
      <c r="I90" s="16"/>
      <c r="J90" s="4">
        <v>0</v>
      </c>
      <c r="K90" s="16"/>
      <c r="L90" s="4">
        <v>0</v>
      </c>
      <c r="M90" s="16"/>
      <c r="N90" s="4">
        <v>0</v>
      </c>
      <c r="O90" s="2"/>
      <c r="P90" s="10">
        <v>0</v>
      </c>
      <c r="Q90" s="2"/>
      <c r="R90" s="10">
        <v>0</v>
      </c>
      <c r="S90" s="2"/>
      <c r="T90" s="10">
        <v>0</v>
      </c>
      <c r="U90" s="16"/>
      <c r="V90" s="4">
        <v>0</v>
      </c>
      <c r="W90" s="16"/>
      <c r="X90" s="4">
        <v>0</v>
      </c>
      <c r="Y90" s="16"/>
      <c r="Z90" s="4">
        <v>0</v>
      </c>
      <c r="AA90" s="4">
        <v>0</v>
      </c>
    </row>
    <row r="91" spans="1:27">
      <c r="A91" s="6" t="s">
        <v>17</v>
      </c>
      <c r="B91" s="6" t="str">
        <f t="shared" si="5"/>
        <v>316</v>
      </c>
      <c r="C91" s="2" t="s">
        <v>84</v>
      </c>
      <c r="D91" s="4">
        <v>39172020.559999906</v>
      </c>
      <c r="E91" s="16"/>
      <c r="F91" s="4">
        <v>3356608.8199999994</v>
      </c>
      <c r="G91" s="16"/>
      <c r="H91" s="4">
        <v>0</v>
      </c>
      <c r="I91" s="16"/>
      <c r="J91" s="4">
        <v>0</v>
      </c>
      <c r="K91" s="16"/>
      <c r="L91" s="4">
        <v>3356608.8199999994</v>
      </c>
      <c r="M91" s="16"/>
      <c r="N91" s="4">
        <v>42528629.379999906</v>
      </c>
      <c r="O91" s="2"/>
      <c r="P91" s="10">
        <v>40745530.769999906</v>
      </c>
      <c r="Q91" s="2"/>
      <c r="R91" s="10">
        <v>-17520438.003884088</v>
      </c>
      <c r="S91" s="2"/>
      <c r="T91" s="10">
        <v>23225092.766115818</v>
      </c>
      <c r="U91" s="16"/>
      <c r="V91" s="4">
        <v>394427.13970872195</v>
      </c>
      <c r="W91" s="16"/>
      <c r="X91" s="4">
        <v>-17126010.864175368</v>
      </c>
      <c r="Y91" s="16"/>
      <c r="Z91" s="4">
        <v>42528629.379999898</v>
      </c>
      <c r="AA91" s="4">
        <v>0</v>
      </c>
    </row>
    <row r="92" spans="1:27">
      <c r="A92" s="6" t="s">
        <v>17</v>
      </c>
      <c r="B92" s="6" t="str">
        <f t="shared" si="5"/>
        <v>317</v>
      </c>
      <c r="C92" s="2" t="s">
        <v>85</v>
      </c>
      <c r="D92" s="17">
        <v>331002428.33000004</v>
      </c>
      <c r="E92" s="15"/>
      <c r="F92" s="17">
        <v>0</v>
      </c>
      <c r="G92" s="15"/>
      <c r="H92" s="17">
        <v>0</v>
      </c>
      <c r="I92" s="15"/>
      <c r="J92" s="17">
        <v>0</v>
      </c>
      <c r="K92" s="15"/>
      <c r="L92" s="17">
        <v>0</v>
      </c>
      <c r="M92" s="15"/>
      <c r="N92" s="17">
        <v>331002428.33000004</v>
      </c>
      <c r="O92" s="2"/>
      <c r="P92" s="18">
        <v>331002428.3300001</v>
      </c>
      <c r="Q92" s="2"/>
      <c r="R92" s="18">
        <v>-144994287.23000002</v>
      </c>
      <c r="S92" s="2"/>
      <c r="T92" s="18">
        <v>186008141.10000008</v>
      </c>
      <c r="U92" s="15"/>
      <c r="V92" s="17">
        <v>0</v>
      </c>
      <c r="W92" s="15"/>
      <c r="X92" s="17">
        <v>-144994287.23000002</v>
      </c>
      <c r="Y92" s="15"/>
      <c r="Z92" s="17">
        <v>331002428.33000004</v>
      </c>
      <c r="AA92" s="17">
        <v>0</v>
      </c>
    </row>
    <row r="93" spans="1:27">
      <c r="C93" s="2"/>
      <c r="D93" s="14">
        <v>5297803565.1799994</v>
      </c>
      <c r="E93" s="15"/>
      <c r="F93" s="14">
        <v>63062731.639999993</v>
      </c>
      <c r="G93" s="15"/>
      <c r="H93" s="14">
        <v>-16651556</v>
      </c>
      <c r="I93" s="15"/>
      <c r="J93" s="14">
        <v>0</v>
      </c>
      <c r="K93" s="15"/>
      <c r="L93" s="14">
        <v>46411175.639999993</v>
      </c>
      <c r="M93" s="15"/>
      <c r="N93" s="14">
        <v>5344214740.8199997</v>
      </c>
      <c r="O93" s="2"/>
      <c r="P93" s="14">
        <v>5318250786.5476913</v>
      </c>
      <c r="Q93" s="2"/>
      <c r="R93" s="14">
        <v>-1814268655.2216234</v>
      </c>
      <c r="S93" s="2"/>
      <c r="T93" s="14">
        <v>3503982131.3260679</v>
      </c>
      <c r="U93" s="15"/>
      <c r="V93" s="14">
        <v>7194698.8676923085</v>
      </c>
      <c r="W93" s="15"/>
      <c r="X93" s="14">
        <v>-1807073956.353931</v>
      </c>
      <c r="Y93" s="15">
        <v>0</v>
      </c>
      <c r="Z93" s="14">
        <v>5344214740.8200006</v>
      </c>
      <c r="AA93" s="14">
        <v>-9.6857547760009766E-8</v>
      </c>
    </row>
    <row r="94" spans="1:27">
      <c r="C94" s="2"/>
      <c r="D94" s="14"/>
      <c r="E94" s="15"/>
      <c r="F94" s="14"/>
      <c r="G94" s="15"/>
      <c r="H94" s="14"/>
      <c r="I94" s="15"/>
      <c r="J94" s="14"/>
      <c r="K94" s="15"/>
      <c r="L94" s="14"/>
      <c r="M94" s="15"/>
      <c r="N94" s="14"/>
      <c r="O94" s="2"/>
      <c r="P94" s="2"/>
      <c r="Q94" s="2"/>
      <c r="R94" s="2"/>
      <c r="S94" s="2"/>
      <c r="T94" s="2"/>
      <c r="U94" s="15"/>
      <c r="V94" s="14"/>
      <c r="W94" s="15"/>
      <c r="X94" s="14"/>
      <c r="Y94" s="15"/>
      <c r="Z94" s="14"/>
      <c r="AA94" s="14"/>
    </row>
    <row r="95" spans="1:27">
      <c r="C95" s="5" t="s">
        <v>86</v>
      </c>
      <c r="D95" s="14"/>
      <c r="E95" s="15"/>
      <c r="F95" s="14"/>
      <c r="G95" s="15"/>
      <c r="H95" s="14"/>
      <c r="I95" s="15"/>
      <c r="J95" s="14"/>
      <c r="K95" s="15"/>
      <c r="L95" s="14"/>
      <c r="M95" s="15"/>
      <c r="N95" s="14"/>
      <c r="O95" s="2"/>
      <c r="P95" s="2"/>
      <c r="Q95" s="2"/>
      <c r="R95" s="2"/>
      <c r="S95" s="2"/>
      <c r="T95" s="2"/>
      <c r="U95" s="15"/>
      <c r="V95" s="14"/>
      <c r="W95" s="15"/>
      <c r="X95" s="14"/>
      <c r="Y95" s="15"/>
      <c r="Z95" s="14"/>
      <c r="AA95" s="14"/>
    </row>
    <row r="96" spans="1:27">
      <c r="A96" s="6" t="s">
        <v>17</v>
      </c>
      <c r="B96" s="6" t="str">
        <f t="shared" ref="B96:B108" si="6">MID(C96,2,3)</f>
        <v>350</v>
      </c>
      <c r="C96" s="2" t="s">
        <v>87</v>
      </c>
      <c r="D96" s="14">
        <v>29624494.120000001</v>
      </c>
      <c r="E96" s="15"/>
      <c r="F96" s="14">
        <v>0</v>
      </c>
      <c r="G96" s="15"/>
      <c r="H96" s="14">
        <v>0</v>
      </c>
      <c r="I96" s="15"/>
      <c r="J96" s="14">
        <v>0</v>
      </c>
      <c r="K96" s="15"/>
      <c r="L96" s="14">
        <v>0</v>
      </c>
      <c r="M96" s="15"/>
      <c r="N96" s="14">
        <v>29624494.120000001</v>
      </c>
      <c r="O96" s="2"/>
      <c r="P96" s="10">
        <v>29624494.119999994</v>
      </c>
      <c r="Q96" s="2"/>
      <c r="R96" s="10">
        <v>-15649261.241939897</v>
      </c>
      <c r="S96" s="2"/>
      <c r="T96" s="10">
        <v>13975232.878060097</v>
      </c>
      <c r="U96" s="15"/>
      <c r="V96" s="4">
        <v>0</v>
      </c>
      <c r="W96" s="16"/>
      <c r="X96" s="4">
        <v>-15649261.241939897</v>
      </c>
      <c r="Y96" s="16"/>
      <c r="Z96" s="4">
        <v>29624494.120000001</v>
      </c>
      <c r="AA96" s="4">
        <v>0</v>
      </c>
    </row>
    <row r="97" spans="1:27">
      <c r="A97" s="6" t="s">
        <v>17</v>
      </c>
      <c r="C97" s="2" t="s">
        <v>88</v>
      </c>
      <c r="D97" s="14">
        <v>0</v>
      </c>
      <c r="E97" s="15"/>
      <c r="F97" s="14">
        <v>0</v>
      </c>
      <c r="G97" s="15"/>
      <c r="H97" s="14">
        <v>0</v>
      </c>
      <c r="I97" s="15"/>
      <c r="J97" s="14">
        <v>0</v>
      </c>
      <c r="K97" s="15"/>
      <c r="L97" s="14">
        <v>0</v>
      </c>
      <c r="M97" s="15"/>
      <c r="N97" s="14">
        <v>0</v>
      </c>
      <c r="O97" s="2"/>
      <c r="P97" s="10">
        <v>0</v>
      </c>
      <c r="Q97" s="2"/>
      <c r="R97" s="10">
        <v>0</v>
      </c>
      <c r="S97" s="2"/>
      <c r="T97" s="10">
        <v>0</v>
      </c>
      <c r="U97" s="15"/>
      <c r="V97" s="14">
        <v>0</v>
      </c>
      <c r="W97" s="15"/>
      <c r="X97" s="14">
        <v>0</v>
      </c>
      <c r="Y97" s="15"/>
      <c r="Z97" s="14">
        <v>0</v>
      </c>
      <c r="AA97" s="14">
        <v>0</v>
      </c>
    </row>
    <row r="98" spans="1:27">
      <c r="A98" s="6" t="s">
        <v>17</v>
      </c>
      <c r="B98" s="6" t="str">
        <f t="shared" si="6"/>
        <v>352</v>
      </c>
      <c r="C98" s="2" t="s">
        <v>89</v>
      </c>
      <c r="D98" s="14">
        <v>27211801.25</v>
      </c>
      <c r="E98" s="15"/>
      <c r="F98" s="14">
        <v>0</v>
      </c>
      <c r="G98" s="15"/>
      <c r="H98" s="14">
        <v>0</v>
      </c>
      <c r="I98" s="15"/>
      <c r="J98" s="14">
        <v>0</v>
      </c>
      <c r="K98" s="15"/>
      <c r="L98" s="14">
        <v>0</v>
      </c>
      <c r="M98" s="15"/>
      <c r="N98" s="14">
        <v>27211801.25</v>
      </c>
      <c r="O98" s="2"/>
      <c r="P98" s="10">
        <v>27211801.25</v>
      </c>
      <c r="Q98" s="2"/>
      <c r="R98" s="10">
        <v>-6780289.2538642958</v>
      </c>
      <c r="S98" s="2"/>
      <c r="T98" s="10">
        <v>20431511.996135704</v>
      </c>
      <c r="U98" s="15"/>
      <c r="V98" s="14">
        <v>0</v>
      </c>
      <c r="W98" s="15"/>
      <c r="X98" s="14">
        <v>-6780289.2538642958</v>
      </c>
      <c r="Y98" s="15"/>
      <c r="Z98" s="14">
        <v>27211801.25</v>
      </c>
      <c r="AA98" s="14">
        <v>0</v>
      </c>
    </row>
    <row r="99" spans="1:27">
      <c r="A99" s="6" t="s">
        <v>17</v>
      </c>
      <c r="C99" s="2" t="s">
        <v>90</v>
      </c>
      <c r="D99" s="14">
        <v>0</v>
      </c>
      <c r="E99" s="15"/>
      <c r="F99" s="14">
        <v>0</v>
      </c>
      <c r="G99" s="15"/>
      <c r="H99" s="14">
        <v>0</v>
      </c>
      <c r="I99" s="15"/>
      <c r="J99" s="14">
        <v>0</v>
      </c>
      <c r="K99" s="15"/>
      <c r="L99" s="14">
        <v>0</v>
      </c>
      <c r="M99" s="15"/>
      <c r="N99" s="14">
        <v>0</v>
      </c>
      <c r="O99" s="2"/>
      <c r="P99" s="10">
        <v>0</v>
      </c>
      <c r="Q99" s="2"/>
      <c r="R99" s="10">
        <v>0</v>
      </c>
      <c r="S99" s="2"/>
      <c r="T99" s="10">
        <v>0</v>
      </c>
      <c r="U99" s="15"/>
      <c r="V99" s="14">
        <v>0</v>
      </c>
      <c r="W99" s="15"/>
      <c r="X99" s="14">
        <v>0</v>
      </c>
      <c r="Y99" s="15"/>
      <c r="Z99" s="14">
        <v>0</v>
      </c>
      <c r="AA99" s="14">
        <v>0</v>
      </c>
    </row>
    <row r="100" spans="1:27">
      <c r="A100" s="6" t="s">
        <v>17</v>
      </c>
      <c r="B100" s="6" t="str">
        <f t="shared" si="6"/>
        <v>353</v>
      </c>
      <c r="C100" s="2" t="s">
        <v>91</v>
      </c>
      <c r="D100" s="14">
        <v>279074863.37000006</v>
      </c>
      <c r="E100" s="15"/>
      <c r="F100" s="14">
        <v>30547301.359999992</v>
      </c>
      <c r="G100" s="15"/>
      <c r="H100" s="14">
        <v>-1928336</v>
      </c>
      <c r="I100" s="15"/>
      <c r="J100" s="14">
        <v>0</v>
      </c>
      <c r="K100" s="15"/>
      <c r="L100" s="14">
        <v>28618965.359999992</v>
      </c>
      <c r="M100" s="15"/>
      <c r="N100" s="14">
        <v>307693828.73000008</v>
      </c>
      <c r="O100" s="2"/>
      <c r="P100" s="10">
        <v>292588046.55923074</v>
      </c>
      <c r="Q100" s="2"/>
      <c r="R100" s="10">
        <v>-75224096.082816049</v>
      </c>
      <c r="S100" s="2"/>
      <c r="T100" s="10">
        <v>217363950.47641468</v>
      </c>
      <c r="U100" s="15"/>
      <c r="V100" s="14">
        <v>51824.096789136725</v>
      </c>
      <c r="W100" s="15"/>
      <c r="X100" s="14">
        <v>-75172271.986026913</v>
      </c>
      <c r="Y100" s="15"/>
      <c r="Z100" s="14">
        <v>307693828.72999996</v>
      </c>
      <c r="AA100" s="14">
        <v>0</v>
      </c>
    </row>
    <row r="101" spans="1:27">
      <c r="A101" s="6" t="s">
        <v>17</v>
      </c>
      <c r="C101" s="2" t="s">
        <v>92</v>
      </c>
      <c r="D101" s="14">
        <v>0</v>
      </c>
      <c r="E101" s="15"/>
      <c r="F101" s="14">
        <v>0</v>
      </c>
      <c r="G101" s="15"/>
      <c r="H101" s="14">
        <v>0</v>
      </c>
      <c r="I101" s="15"/>
      <c r="J101" s="14">
        <v>0</v>
      </c>
      <c r="K101" s="15"/>
      <c r="L101" s="14">
        <v>0</v>
      </c>
      <c r="M101" s="15"/>
      <c r="N101" s="14">
        <v>0</v>
      </c>
      <c r="O101" s="2"/>
      <c r="P101" s="10">
        <v>0</v>
      </c>
      <c r="Q101" s="2"/>
      <c r="R101" s="10">
        <v>0</v>
      </c>
      <c r="S101" s="2"/>
      <c r="T101" s="10">
        <v>0</v>
      </c>
      <c r="U101" s="15"/>
      <c r="V101" s="14">
        <v>0</v>
      </c>
      <c r="W101" s="15"/>
      <c r="X101" s="14">
        <v>0</v>
      </c>
      <c r="Y101" s="15"/>
      <c r="Z101" s="14">
        <v>0</v>
      </c>
      <c r="AA101" s="14">
        <v>0</v>
      </c>
    </row>
    <row r="102" spans="1:27">
      <c r="A102" s="6" t="s">
        <v>17</v>
      </c>
      <c r="C102" s="2" t="s">
        <v>93</v>
      </c>
      <c r="D102" s="14">
        <v>0</v>
      </c>
      <c r="E102" s="15"/>
      <c r="F102" s="14">
        <v>0</v>
      </c>
      <c r="G102" s="15"/>
      <c r="H102" s="14">
        <v>0</v>
      </c>
      <c r="I102" s="15"/>
      <c r="J102" s="14">
        <v>0</v>
      </c>
      <c r="K102" s="15"/>
      <c r="L102" s="14">
        <v>0</v>
      </c>
      <c r="M102" s="15"/>
      <c r="N102" s="14">
        <v>0</v>
      </c>
      <c r="O102" s="2"/>
      <c r="P102" s="10">
        <v>0</v>
      </c>
      <c r="Q102" s="2"/>
      <c r="R102" s="10">
        <v>0</v>
      </c>
      <c r="S102" s="2"/>
      <c r="T102" s="10">
        <v>0</v>
      </c>
      <c r="U102" s="15"/>
      <c r="V102" s="14">
        <v>0</v>
      </c>
      <c r="W102" s="15"/>
      <c r="X102" s="14">
        <v>0</v>
      </c>
      <c r="Y102" s="15"/>
      <c r="Z102" s="14">
        <v>0</v>
      </c>
      <c r="AA102" s="14">
        <v>0</v>
      </c>
    </row>
    <row r="103" spans="1:27">
      <c r="A103" s="6" t="s">
        <v>17</v>
      </c>
      <c r="B103" s="6" t="str">
        <f t="shared" si="6"/>
        <v>354</v>
      </c>
      <c r="C103" s="2" t="s">
        <v>94</v>
      </c>
      <c r="D103" s="14">
        <v>69189931.339999989</v>
      </c>
      <c r="E103" s="15"/>
      <c r="F103" s="14">
        <v>0</v>
      </c>
      <c r="G103" s="15"/>
      <c r="H103" s="14">
        <v>0</v>
      </c>
      <c r="I103" s="15"/>
      <c r="J103" s="14">
        <v>0</v>
      </c>
      <c r="K103" s="15"/>
      <c r="L103" s="14">
        <v>0</v>
      </c>
      <c r="M103" s="15"/>
      <c r="N103" s="14">
        <v>69189931.339999989</v>
      </c>
      <c r="O103" s="2"/>
      <c r="P103" s="10">
        <v>69189931.339999989</v>
      </c>
      <c r="Q103" s="2"/>
      <c r="R103" s="10">
        <v>-46274345.134977967</v>
      </c>
      <c r="S103" s="2"/>
      <c r="T103" s="10">
        <v>22915586.205022022</v>
      </c>
      <c r="U103" s="15"/>
      <c r="V103" s="14">
        <v>0</v>
      </c>
      <c r="W103" s="15"/>
      <c r="X103" s="14">
        <v>-46274345.134977967</v>
      </c>
      <c r="Y103" s="15"/>
      <c r="Z103" s="14">
        <v>69189931.339999989</v>
      </c>
      <c r="AA103" s="14">
        <v>0</v>
      </c>
    </row>
    <row r="104" spans="1:27">
      <c r="A104" s="6" t="s">
        <v>17</v>
      </c>
      <c r="B104" s="6" t="str">
        <f t="shared" si="6"/>
        <v>355</v>
      </c>
      <c r="C104" s="2" t="s">
        <v>95</v>
      </c>
      <c r="D104" s="14">
        <v>302187115.47999996</v>
      </c>
      <c r="E104" s="15"/>
      <c r="F104" s="14">
        <v>59814151.239999972</v>
      </c>
      <c r="G104" s="15"/>
      <c r="H104" s="14">
        <v>0</v>
      </c>
      <c r="I104" s="15"/>
      <c r="J104" s="14">
        <v>0</v>
      </c>
      <c r="K104" s="15"/>
      <c r="L104" s="14">
        <v>59814151.239999972</v>
      </c>
      <c r="M104" s="15"/>
      <c r="N104" s="14">
        <v>362001266.71999991</v>
      </c>
      <c r="O104" s="2"/>
      <c r="P104" s="10">
        <v>329573400.54384613</v>
      </c>
      <c r="Q104" s="2"/>
      <c r="R104" s="10">
        <v>-68280957.687546104</v>
      </c>
      <c r="S104" s="2"/>
      <c r="T104" s="10">
        <v>261292442.85630003</v>
      </c>
      <c r="U104" s="15"/>
      <c r="V104" s="14">
        <v>101475.88249091154</v>
      </c>
      <c r="W104" s="15"/>
      <c r="X104" s="14">
        <v>-68179481.805055186</v>
      </c>
      <c r="Y104" s="15"/>
      <c r="Z104" s="14">
        <v>362001266.72000003</v>
      </c>
      <c r="AA104" s="14">
        <v>0</v>
      </c>
    </row>
    <row r="105" spans="1:27">
      <c r="A105" s="6" t="s">
        <v>17</v>
      </c>
      <c r="B105" s="6" t="str">
        <f t="shared" si="6"/>
        <v>356</v>
      </c>
      <c r="C105" s="2" t="s">
        <v>96</v>
      </c>
      <c r="D105" s="14">
        <v>165726196.49000001</v>
      </c>
      <c r="E105" s="15"/>
      <c r="F105" s="14">
        <v>3015764.55</v>
      </c>
      <c r="G105" s="15"/>
      <c r="H105" s="14">
        <v>0</v>
      </c>
      <c r="I105" s="15"/>
      <c r="J105" s="14">
        <v>0</v>
      </c>
      <c r="K105" s="15"/>
      <c r="L105" s="14">
        <v>3015764.55</v>
      </c>
      <c r="M105" s="15"/>
      <c r="N105" s="14">
        <v>168741961.04000002</v>
      </c>
      <c r="O105" s="2"/>
      <c r="P105" s="10">
        <v>167972782.06769231</v>
      </c>
      <c r="Q105" s="2"/>
      <c r="R105" s="10">
        <v>-107973895.34845594</v>
      </c>
      <c r="S105" s="2"/>
      <c r="T105" s="10">
        <v>59998886.719236374</v>
      </c>
      <c r="U105" s="15"/>
      <c r="V105" s="14">
        <v>5116.3037968748222</v>
      </c>
      <c r="W105" s="15"/>
      <c r="X105" s="14">
        <v>-107968779.04465906</v>
      </c>
      <c r="Y105" s="15"/>
      <c r="Z105" s="14">
        <v>168741961.03999999</v>
      </c>
      <c r="AA105" s="14">
        <v>0</v>
      </c>
    </row>
    <row r="106" spans="1:27">
      <c r="A106" s="6" t="s">
        <v>17</v>
      </c>
      <c r="B106" s="6" t="str">
        <f t="shared" si="6"/>
        <v>357</v>
      </c>
      <c r="C106" s="2" t="s">
        <v>97</v>
      </c>
      <c r="D106" s="14">
        <v>448760.26</v>
      </c>
      <c r="E106" s="15"/>
      <c r="F106" s="14">
        <v>0</v>
      </c>
      <c r="G106" s="15"/>
      <c r="H106" s="14">
        <v>0</v>
      </c>
      <c r="I106" s="15"/>
      <c r="J106" s="14">
        <v>0</v>
      </c>
      <c r="K106" s="15"/>
      <c r="L106" s="14">
        <v>0</v>
      </c>
      <c r="M106" s="15"/>
      <c r="N106" s="14">
        <v>448760.26</v>
      </c>
      <c r="O106" s="2"/>
      <c r="P106" s="10">
        <v>448760.26</v>
      </c>
      <c r="Q106" s="2"/>
      <c r="R106" s="10">
        <v>-248740.50046220006</v>
      </c>
      <c r="S106" s="2"/>
      <c r="T106" s="10">
        <v>200019.75953779995</v>
      </c>
      <c r="U106" s="15"/>
      <c r="V106" s="14">
        <v>0</v>
      </c>
      <c r="W106" s="15"/>
      <c r="X106" s="14">
        <v>-248740.50046220006</v>
      </c>
      <c r="Y106" s="15"/>
      <c r="Z106" s="14">
        <v>448760.26</v>
      </c>
      <c r="AA106" s="14">
        <v>0</v>
      </c>
    </row>
    <row r="107" spans="1:27">
      <c r="A107" s="6" t="s">
        <v>17</v>
      </c>
      <c r="B107" s="6" t="str">
        <f t="shared" si="6"/>
        <v>358</v>
      </c>
      <c r="C107" s="2" t="s">
        <v>98</v>
      </c>
      <c r="D107" s="14">
        <v>1116714.08</v>
      </c>
      <c r="E107" s="15"/>
      <c r="F107" s="14">
        <v>0</v>
      </c>
      <c r="G107" s="15"/>
      <c r="H107" s="14">
        <v>0</v>
      </c>
      <c r="I107" s="15"/>
      <c r="J107" s="14">
        <v>0</v>
      </c>
      <c r="K107" s="15"/>
      <c r="L107" s="14">
        <v>0</v>
      </c>
      <c r="M107" s="15"/>
      <c r="N107" s="14">
        <v>1116714.08</v>
      </c>
      <c r="O107" s="2"/>
      <c r="P107" s="10">
        <v>1116714.08</v>
      </c>
      <c r="Q107" s="2"/>
      <c r="R107" s="10">
        <v>-971358.86374879908</v>
      </c>
      <c r="S107" s="2"/>
      <c r="T107" s="10">
        <v>145355.216251201</v>
      </c>
      <c r="U107" s="15">
        <v>0</v>
      </c>
      <c r="V107" s="14">
        <v>0</v>
      </c>
      <c r="W107" s="15"/>
      <c r="X107" s="14">
        <v>-971358.86374879908</v>
      </c>
      <c r="Y107" s="15"/>
      <c r="Z107" s="14">
        <v>1116714.08</v>
      </c>
      <c r="AA107" s="14">
        <v>0</v>
      </c>
    </row>
    <row r="108" spans="1:27">
      <c r="A108" s="6" t="s">
        <v>17</v>
      </c>
      <c r="B108" s="6" t="str">
        <f t="shared" si="6"/>
        <v>359</v>
      </c>
      <c r="C108" s="2" t="s">
        <v>99</v>
      </c>
      <c r="D108" s="14">
        <v>413450.63</v>
      </c>
      <c r="E108" s="15"/>
      <c r="F108" s="14">
        <v>0</v>
      </c>
      <c r="G108" s="15"/>
      <c r="H108" s="14">
        <v>0</v>
      </c>
      <c r="I108" s="15"/>
      <c r="J108" s="14">
        <v>0</v>
      </c>
      <c r="K108" s="15"/>
      <c r="L108" s="14">
        <v>0</v>
      </c>
      <c r="M108" s="15"/>
      <c r="N108" s="14">
        <v>413450.63</v>
      </c>
      <c r="O108" s="2"/>
      <c r="P108" s="10">
        <v>413450.63</v>
      </c>
      <c r="Q108" s="2"/>
      <c r="R108" s="10">
        <v>-60487.909999999909</v>
      </c>
      <c r="S108" s="2"/>
      <c r="T108" s="10">
        <v>352962.72000000009</v>
      </c>
      <c r="U108" s="15"/>
      <c r="V108" s="14">
        <v>0</v>
      </c>
      <c r="W108" s="15"/>
      <c r="X108" s="14">
        <v>-60487.909999999909</v>
      </c>
      <c r="Y108" s="15"/>
      <c r="Z108" s="14">
        <v>413450.63</v>
      </c>
      <c r="AA108" s="14">
        <v>0</v>
      </c>
    </row>
    <row r="109" spans="1:27">
      <c r="A109" s="6" t="s">
        <v>17</v>
      </c>
      <c r="C109" s="2" t="s">
        <v>100</v>
      </c>
      <c r="D109" s="17">
        <v>0</v>
      </c>
      <c r="E109" s="15"/>
      <c r="F109" s="17">
        <v>0</v>
      </c>
      <c r="G109" s="15"/>
      <c r="H109" s="17">
        <v>0</v>
      </c>
      <c r="I109" s="15"/>
      <c r="J109" s="17">
        <v>0</v>
      </c>
      <c r="K109" s="15"/>
      <c r="L109" s="17">
        <v>0</v>
      </c>
      <c r="M109" s="15"/>
      <c r="N109" s="17">
        <v>0</v>
      </c>
      <c r="O109" s="2"/>
      <c r="P109" s="18">
        <v>0</v>
      </c>
      <c r="Q109" s="2"/>
      <c r="R109" s="18">
        <v>0</v>
      </c>
      <c r="S109" s="2"/>
      <c r="T109" s="18">
        <v>0</v>
      </c>
      <c r="U109" s="15"/>
      <c r="V109" s="17">
        <v>0</v>
      </c>
      <c r="W109" s="15"/>
      <c r="X109" s="17">
        <v>0</v>
      </c>
      <c r="Y109" s="15"/>
      <c r="Z109" s="17">
        <v>0</v>
      </c>
      <c r="AA109" s="17">
        <v>0</v>
      </c>
    </row>
    <row r="110" spans="1:27">
      <c r="C110" s="2"/>
      <c r="D110" s="14">
        <v>874993327.01999998</v>
      </c>
      <c r="E110" s="15"/>
      <c r="F110" s="14">
        <v>93377217.149999961</v>
      </c>
      <c r="G110" s="15"/>
      <c r="H110" s="14">
        <v>-1928336</v>
      </c>
      <c r="I110" s="15"/>
      <c r="J110" s="14">
        <v>0</v>
      </c>
      <c r="K110" s="15"/>
      <c r="L110" s="14">
        <v>91448881.149999961</v>
      </c>
      <c r="M110" s="15"/>
      <c r="N110" s="14">
        <v>966442208.17000008</v>
      </c>
      <c r="O110" s="2"/>
      <c r="P110" s="14">
        <v>918139380.85076916</v>
      </c>
      <c r="Q110" s="2"/>
      <c r="R110" s="14">
        <v>-321463432.02381122</v>
      </c>
      <c r="S110" s="2"/>
      <c r="T110" s="14">
        <v>596675948.82695806</v>
      </c>
      <c r="U110" s="15"/>
      <c r="V110" s="14">
        <v>158416.28307692308</v>
      </c>
      <c r="W110" s="15"/>
      <c r="X110" s="14">
        <v>-321305015.74073434</v>
      </c>
      <c r="Y110" s="15">
        <v>0</v>
      </c>
      <c r="Z110" s="14">
        <v>966442208.16999996</v>
      </c>
      <c r="AA110" s="14">
        <v>0</v>
      </c>
    </row>
    <row r="111" spans="1:27">
      <c r="C111" s="2"/>
      <c r="D111" s="14"/>
      <c r="E111" s="16"/>
      <c r="F111" s="14"/>
      <c r="G111" s="16"/>
      <c r="H111" s="14"/>
      <c r="I111" s="16"/>
      <c r="J111" s="14"/>
      <c r="K111" s="16"/>
      <c r="L111" s="14"/>
      <c r="M111" s="16"/>
      <c r="N111" s="14"/>
      <c r="O111" s="2"/>
      <c r="P111" s="2"/>
      <c r="Q111" s="2"/>
      <c r="R111" s="2"/>
      <c r="S111" s="2"/>
      <c r="T111" s="2"/>
      <c r="U111" s="16"/>
      <c r="V111" s="14"/>
      <c r="W111" s="16"/>
      <c r="X111" s="14"/>
      <c r="Y111" s="16"/>
      <c r="Z111" s="14"/>
      <c r="AA111" s="14"/>
    </row>
    <row r="112" spans="1:27">
      <c r="C112" s="2"/>
      <c r="D112" s="4"/>
      <c r="E112" s="16"/>
      <c r="F112" s="4"/>
      <c r="G112" s="16"/>
      <c r="H112" s="4"/>
      <c r="I112" s="16"/>
      <c r="J112" s="4"/>
      <c r="K112" s="16"/>
      <c r="L112" s="4"/>
      <c r="M112" s="16"/>
      <c r="N112" s="4"/>
      <c r="O112" s="2"/>
      <c r="P112" s="2"/>
      <c r="Q112" s="2"/>
      <c r="R112" s="2"/>
      <c r="S112" s="2"/>
      <c r="T112" s="2"/>
      <c r="U112" s="16"/>
      <c r="V112" s="4"/>
      <c r="W112" s="16"/>
      <c r="X112" s="4"/>
      <c r="Y112" s="16"/>
      <c r="Z112" s="4"/>
      <c r="AA112" s="4"/>
    </row>
    <row r="113" spans="3:27" ht="13.5" thickBot="1">
      <c r="C113" s="5" t="s">
        <v>101</v>
      </c>
      <c r="D113" s="19">
        <v>9198560350.1299953</v>
      </c>
      <c r="E113" s="15"/>
      <c r="F113" s="19">
        <v>357655348.5799998</v>
      </c>
      <c r="G113" s="15"/>
      <c r="H113" s="19">
        <v>-59448181.649999991</v>
      </c>
      <c r="I113" s="15"/>
      <c r="J113" s="19">
        <v>0</v>
      </c>
      <c r="K113" s="15"/>
      <c r="L113" s="19">
        <v>298207166.92999977</v>
      </c>
      <c r="M113" s="15"/>
      <c r="N113" s="19">
        <v>9496767517.0599957</v>
      </c>
      <c r="O113" s="2"/>
      <c r="P113" s="19">
        <v>9357448814.8623028</v>
      </c>
      <c r="Q113" s="2"/>
      <c r="R113" s="19">
        <v>-3236595301.7383938</v>
      </c>
      <c r="S113" s="2"/>
      <c r="T113" s="19">
        <v>6120853513.123909</v>
      </c>
      <c r="U113" s="15"/>
      <c r="V113" s="19">
        <v>9238470.0707692318</v>
      </c>
      <c r="W113" s="15"/>
      <c r="X113" s="19">
        <v>-3227356831.6676245</v>
      </c>
      <c r="Y113" s="15"/>
      <c r="Z113" s="19">
        <v>9496767517.0599957</v>
      </c>
      <c r="AA113" s="19">
        <v>-1.1771917343139648E-6</v>
      </c>
    </row>
    <row r="114" spans="3:27" ht="13.5" thickTop="1">
      <c r="C114" s="22"/>
      <c r="D114" s="677"/>
      <c r="E114" s="15"/>
      <c r="F114" s="677"/>
      <c r="G114" s="15"/>
      <c r="H114" s="677"/>
      <c r="I114" s="15"/>
      <c r="J114" s="677"/>
      <c r="K114" s="15"/>
      <c r="L114" s="677"/>
      <c r="M114" s="15"/>
      <c r="N114" s="677"/>
      <c r="U114" s="15"/>
      <c r="V114" s="677"/>
      <c r="W114" s="15"/>
      <c r="X114" s="677"/>
      <c r="Y114" s="15"/>
      <c r="Z114" s="677"/>
      <c r="AA114" s="677"/>
    </row>
    <row r="115" spans="3:27" s="679" customFormat="1">
      <c r="C115" s="22"/>
      <c r="D115" s="678"/>
      <c r="E115" s="16"/>
      <c r="F115" s="678"/>
      <c r="G115" s="16"/>
      <c r="H115" s="678"/>
      <c r="I115" s="16"/>
      <c r="J115" s="678"/>
      <c r="K115" s="16"/>
      <c r="L115" s="678"/>
      <c r="M115" s="16"/>
      <c r="N115" s="678"/>
      <c r="O115" s="6"/>
      <c r="P115" s="6"/>
      <c r="Q115" s="6"/>
      <c r="R115" s="6"/>
      <c r="S115" s="6"/>
      <c r="T115" s="6"/>
      <c r="U115" s="16"/>
      <c r="V115" s="678"/>
      <c r="W115" s="16"/>
      <c r="X115" s="678"/>
      <c r="Y115" s="16"/>
      <c r="Z115" s="678"/>
      <c r="AA115" s="678"/>
    </row>
    <row r="116" spans="3:27" s="679" customFormat="1">
      <c r="C116" s="680"/>
      <c r="D116" s="677"/>
      <c r="E116" s="15"/>
      <c r="F116" s="677"/>
      <c r="G116" s="15"/>
      <c r="H116" s="677"/>
      <c r="I116" s="15"/>
      <c r="J116" s="677"/>
      <c r="K116" s="15"/>
      <c r="L116" s="677"/>
      <c r="M116" s="15"/>
      <c r="N116" s="677"/>
      <c r="U116" s="15"/>
      <c r="V116" s="677"/>
      <c r="W116" s="15"/>
      <c r="X116" s="677"/>
      <c r="Y116" s="15"/>
      <c r="Z116" s="677"/>
      <c r="AA116" s="677"/>
    </row>
    <row r="117" spans="3:27" s="679" customFormat="1">
      <c r="C117" s="680"/>
      <c r="D117" s="677"/>
      <c r="E117" s="15"/>
      <c r="F117" s="677"/>
      <c r="G117" s="15"/>
      <c r="H117" s="677"/>
      <c r="I117" s="15"/>
      <c r="J117" s="677"/>
      <c r="K117" s="15"/>
      <c r="L117" s="677"/>
      <c r="M117" s="15"/>
      <c r="N117" s="677"/>
      <c r="U117" s="15"/>
      <c r="V117" s="677"/>
      <c r="W117" s="15"/>
      <c r="X117" s="677"/>
      <c r="Y117" s="15"/>
      <c r="Z117" s="677"/>
      <c r="AA117" s="677"/>
    </row>
    <row r="118" spans="3:27" s="679" customFormat="1">
      <c r="D118" s="677"/>
      <c r="E118" s="15"/>
      <c r="F118" s="677"/>
      <c r="G118" s="15"/>
      <c r="H118" s="677"/>
      <c r="I118" s="15"/>
      <c r="J118" s="677"/>
      <c r="K118" s="15"/>
      <c r="L118" s="677"/>
      <c r="M118" s="15"/>
      <c r="N118" s="677"/>
      <c r="U118" s="15"/>
      <c r="V118" s="677"/>
      <c r="W118" s="15"/>
      <c r="X118" s="677"/>
      <c r="Y118" s="15"/>
      <c r="Z118" s="677"/>
      <c r="AA118" s="677"/>
    </row>
    <row r="119" spans="3:27" s="679" customFormat="1">
      <c r="D119" s="677"/>
      <c r="E119" s="15"/>
      <c r="F119" s="677"/>
      <c r="G119" s="15"/>
      <c r="H119" s="677"/>
      <c r="I119" s="15"/>
      <c r="J119" s="677"/>
      <c r="K119" s="15"/>
      <c r="L119" s="677"/>
      <c r="M119" s="15"/>
      <c r="N119" s="677"/>
      <c r="U119" s="15"/>
      <c r="V119" s="677"/>
      <c r="W119" s="15"/>
      <c r="X119" s="677"/>
      <c r="Y119" s="15"/>
      <c r="Z119" s="677"/>
      <c r="AA119" s="677"/>
    </row>
    <row r="120" spans="3:27" s="679" customFormat="1">
      <c r="D120" s="677"/>
      <c r="E120" s="15"/>
      <c r="F120" s="677"/>
      <c r="G120" s="15"/>
      <c r="H120" s="677"/>
      <c r="I120" s="15"/>
      <c r="J120" s="677"/>
      <c r="K120" s="15"/>
      <c r="L120" s="677"/>
      <c r="M120" s="15"/>
      <c r="N120" s="677"/>
      <c r="U120" s="15"/>
      <c r="V120" s="677"/>
      <c r="W120" s="15"/>
      <c r="X120" s="677"/>
      <c r="Y120" s="15"/>
      <c r="Z120" s="677"/>
      <c r="AA120" s="677"/>
    </row>
    <row r="121" spans="3:27" s="679" customFormat="1">
      <c r="D121" s="677"/>
      <c r="E121" s="15"/>
      <c r="F121" s="677"/>
      <c r="G121" s="15"/>
      <c r="H121" s="677"/>
      <c r="I121" s="15"/>
      <c r="J121" s="677"/>
      <c r="K121" s="15"/>
      <c r="L121" s="677"/>
      <c r="M121" s="15"/>
      <c r="N121" s="677"/>
      <c r="U121" s="15"/>
      <c r="V121" s="677"/>
      <c r="W121" s="15"/>
      <c r="X121" s="677"/>
      <c r="Y121" s="15"/>
      <c r="Z121" s="677"/>
      <c r="AA121" s="677"/>
    </row>
    <row r="122" spans="3:27" s="679" customFormat="1">
      <c r="D122" s="677"/>
      <c r="E122" s="15"/>
      <c r="F122" s="677"/>
      <c r="G122" s="15"/>
      <c r="H122" s="677"/>
      <c r="I122" s="15"/>
      <c r="J122" s="677"/>
      <c r="K122" s="15"/>
      <c r="L122" s="677"/>
      <c r="M122" s="15"/>
      <c r="N122" s="677"/>
      <c r="U122" s="15"/>
      <c r="V122" s="677"/>
      <c r="W122" s="15"/>
      <c r="X122" s="677"/>
      <c r="Y122" s="15"/>
      <c r="Z122" s="677"/>
      <c r="AA122" s="677"/>
    </row>
    <row r="123" spans="3:27" s="679" customFormat="1">
      <c r="D123" s="677"/>
      <c r="E123" s="15"/>
      <c r="F123" s="677"/>
      <c r="G123" s="15"/>
      <c r="H123" s="677"/>
      <c r="I123" s="15"/>
      <c r="J123" s="677"/>
      <c r="K123" s="15"/>
      <c r="L123" s="677"/>
      <c r="M123" s="15"/>
      <c r="N123" s="677"/>
      <c r="U123" s="15"/>
      <c r="V123" s="677"/>
      <c r="W123" s="15"/>
      <c r="X123" s="677"/>
      <c r="Y123" s="15"/>
      <c r="Z123" s="677"/>
      <c r="AA123" s="677"/>
    </row>
    <row r="124" spans="3:27" s="679" customFormat="1">
      <c r="D124" s="677"/>
      <c r="E124" s="15"/>
      <c r="F124" s="677"/>
      <c r="G124" s="15"/>
      <c r="H124" s="677"/>
      <c r="I124" s="15"/>
      <c r="J124" s="677"/>
      <c r="K124" s="15"/>
      <c r="L124" s="677"/>
      <c r="M124" s="15"/>
      <c r="N124" s="677"/>
      <c r="U124" s="15"/>
      <c r="V124" s="677"/>
      <c r="W124" s="15"/>
      <c r="X124" s="677"/>
      <c r="Y124" s="15"/>
      <c r="Z124" s="677"/>
      <c r="AA124" s="677"/>
    </row>
    <row r="125" spans="3:27" s="679" customFormat="1">
      <c r="D125" s="677"/>
      <c r="E125" s="15"/>
      <c r="F125" s="677"/>
      <c r="G125" s="15"/>
      <c r="H125" s="677"/>
      <c r="I125" s="15"/>
      <c r="J125" s="677"/>
      <c r="K125" s="15"/>
      <c r="L125" s="677"/>
      <c r="M125" s="15"/>
      <c r="N125" s="677"/>
      <c r="U125" s="15"/>
      <c r="V125" s="677"/>
      <c r="W125" s="15"/>
      <c r="X125" s="677"/>
      <c r="Y125" s="15"/>
      <c r="Z125" s="677"/>
      <c r="AA125" s="677"/>
    </row>
    <row r="126" spans="3:27" s="679" customFormat="1">
      <c r="D126" s="677"/>
      <c r="E126" s="15"/>
      <c r="F126" s="677"/>
      <c r="G126" s="15"/>
      <c r="H126" s="677"/>
      <c r="I126" s="15"/>
      <c r="J126" s="677"/>
      <c r="K126" s="15"/>
      <c r="L126" s="677"/>
      <c r="M126" s="15"/>
      <c r="N126" s="677"/>
      <c r="U126" s="15"/>
      <c r="V126" s="677"/>
      <c r="W126" s="15"/>
      <c r="X126" s="677"/>
      <c r="Y126" s="15"/>
      <c r="Z126" s="677"/>
      <c r="AA126" s="677"/>
    </row>
    <row r="127" spans="3:27" s="679" customFormat="1">
      <c r="D127" s="677"/>
      <c r="E127" s="15"/>
      <c r="F127" s="677"/>
      <c r="G127" s="15"/>
      <c r="H127" s="677"/>
      <c r="I127" s="15"/>
      <c r="J127" s="677"/>
      <c r="K127" s="15"/>
      <c r="L127" s="677"/>
      <c r="M127" s="15"/>
      <c r="N127" s="677"/>
      <c r="U127" s="15"/>
      <c r="V127" s="677"/>
      <c r="W127" s="15"/>
      <c r="X127" s="677"/>
      <c r="Y127" s="15"/>
      <c r="Z127" s="677"/>
      <c r="AA127" s="677"/>
    </row>
    <row r="128" spans="3:27" s="679" customFormat="1">
      <c r="D128" s="677"/>
      <c r="E128" s="15"/>
      <c r="F128" s="677"/>
      <c r="G128" s="15"/>
      <c r="H128" s="677"/>
      <c r="I128" s="15"/>
      <c r="J128" s="677"/>
      <c r="K128" s="15"/>
      <c r="L128" s="677"/>
      <c r="M128" s="15"/>
      <c r="N128" s="677"/>
      <c r="U128" s="15"/>
      <c r="V128" s="677"/>
      <c r="W128" s="15"/>
      <c r="X128" s="677"/>
      <c r="Y128" s="15"/>
      <c r="Z128" s="677"/>
      <c r="AA128" s="677"/>
    </row>
    <row r="129" spans="3:27" s="679" customFormat="1">
      <c r="D129" s="677"/>
      <c r="E129" s="15"/>
      <c r="F129" s="677"/>
      <c r="G129" s="15"/>
      <c r="H129" s="677"/>
      <c r="I129" s="15"/>
      <c r="J129" s="677"/>
      <c r="K129" s="15"/>
      <c r="L129" s="677"/>
      <c r="M129" s="15"/>
      <c r="N129" s="677"/>
      <c r="U129" s="15"/>
      <c r="V129" s="677"/>
      <c r="W129" s="15"/>
      <c r="X129" s="677"/>
      <c r="Y129" s="15"/>
      <c r="Z129" s="677"/>
      <c r="AA129" s="677"/>
    </row>
    <row r="130" spans="3:27" s="679" customFormat="1">
      <c r="C130" s="680"/>
      <c r="D130" s="677"/>
      <c r="E130" s="15"/>
      <c r="F130" s="677"/>
      <c r="G130" s="15"/>
      <c r="H130" s="677"/>
      <c r="I130" s="15"/>
      <c r="J130" s="677"/>
      <c r="K130" s="15"/>
      <c r="L130" s="677"/>
      <c r="M130" s="15"/>
      <c r="N130" s="677"/>
      <c r="U130" s="15"/>
      <c r="V130" s="677"/>
      <c r="W130" s="15"/>
      <c r="X130" s="677"/>
      <c r="Y130" s="15"/>
      <c r="Z130" s="677"/>
      <c r="AA130" s="677"/>
    </row>
    <row r="131" spans="3:27" s="679" customFormat="1">
      <c r="D131" s="677"/>
      <c r="E131" s="15"/>
      <c r="F131" s="677"/>
      <c r="G131" s="15"/>
      <c r="H131" s="677"/>
      <c r="I131" s="15"/>
      <c r="J131" s="677"/>
      <c r="K131" s="15"/>
      <c r="L131" s="677"/>
      <c r="M131" s="15"/>
      <c r="N131" s="677"/>
      <c r="U131" s="15"/>
      <c r="V131" s="677"/>
      <c r="W131" s="15"/>
      <c r="X131" s="677"/>
      <c r="Y131" s="15"/>
      <c r="Z131" s="677"/>
      <c r="AA131" s="677"/>
    </row>
    <row r="132" spans="3:27" s="679" customFormat="1">
      <c r="D132" s="677"/>
      <c r="E132" s="15"/>
      <c r="F132" s="677"/>
      <c r="G132" s="15"/>
      <c r="H132" s="677"/>
      <c r="I132" s="15"/>
      <c r="J132" s="677"/>
      <c r="K132" s="15"/>
      <c r="L132" s="677"/>
      <c r="M132" s="15"/>
      <c r="N132" s="677"/>
      <c r="U132" s="15"/>
      <c r="V132" s="677"/>
      <c r="W132" s="15"/>
      <c r="X132" s="677"/>
      <c r="Y132" s="15"/>
      <c r="Z132" s="677"/>
      <c r="AA132" s="677"/>
    </row>
    <row r="133" spans="3:27" s="679" customFormat="1">
      <c r="D133" s="677"/>
      <c r="E133" s="15"/>
      <c r="F133" s="677"/>
      <c r="G133" s="15"/>
      <c r="H133" s="677"/>
      <c r="I133" s="15"/>
      <c r="J133" s="677"/>
      <c r="K133" s="15"/>
      <c r="L133" s="677"/>
      <c r="M133" s="15"/>
      <c r="N133" s="677"/>
      <c r="U133" s="15"/>
      <c r="V133" s="677"/>
      <c r="W133" s="15"/>
      <c r="X133" s="677"/>
      <c r="Y133" s="15"/>
      <c r="Z133" s="677"/>
      <c r="AA133" s="677"/>
    </row>
    <row r="134" spans="3:27" s="679" customFormat="1">
      <c r="D134" s="677"/>
      <c r="E134" s="15"/>
      <c r="F134" s="677"/>
      <c r="G134" s="15"/>
      <c r="H134" s="677"/>
      <c r="I134" s="15"/>
      <c r="J134" s="677"/>
      <c r="K134" s="15"/>
      <c r="L134" s="677"/>
      <c r="M134" s="15"/>
      <c r="N134" s="677"/>
      <c r="U134" s="15"/>
      <c r="V134" s="677"/>
      <c r="W134" s="15"/>
      <c r="X134" s="677"/>
      <c r="Y134" s="15"/>
      <c r="Z134" s="677"/>
      <c r="AA134" s="677"/>
    </row>
    <row r="135" spans="3:27" s="679" customFormat="1">
      <c r="D135" s="677"/>
      <c r="E135" s="15"/>
      <c r="F135" s="677"/>
      <c r="G135" s="15"/>
      <c r="H135" s="677"/>
      <c r="I135" s="15"/>
      <c r="J135" s="677"/>
      <c r="K135" s="15"/>
      <c r="L135" s="677"/>
      <c r="M135" s="15"/>
      <c r="N135" s="677"/>
      <c r="U135" s="15"/>
      <c r="V135" s="677"/>
      <c r="W135" s="15"/>
      <c r="X135" s="677"/>
      <c r="Y135" s="15"/>
      <c r="Z135" s="677"/>
      <c r="AA135" s="677"/>
    </row>
    <row r="136" spans="3:27" s="679" customFormat="1">
      <c r="D136" s="677"/>
      <c r="E136" s="15"/>
      <c r="F136" s="677"/>
      <c r="G136" s="15"/>
      <c r="H136" s="677"/>
      <c r="I136" s="15"/>
      <c r="J136" s="677"/>
      <c r="K136" s="15"/>
      <c r="L136" s="677"/>
      <c r="M136" s="15"/>
      <c r="N136" s="677"/>
      <c r="U136" s="15"/>
      <c r="V136" s="677"/>
      <c r="W136" s="15"/>
      <c r="X136" s="677"/>
      <c r="Y136" s="15"/>
      <c r="Z136" s="677"/>
      <c r="AA136" s="677"/>
    </row>
    <row r="137" spans="3:27" s="679" customFormat="1">
      <c r="D137" s="677"/>
      <c r="E137" s="15"/>
      <c r="F137" s="677"/>
      <c r="G137" s="15"/>
      <c r="H137" s="677"/>
      <c r="I137" s="15"/>
      <c r="J137" s="677"/>
      <c r="K137" s="15"/>
      <c r="L137" s="677"/>
      <c r="M137" s="15"/>
      <c r="N137" s="677"/>
      <c r="U137" s="15"/>
      <c r="V137" s="677"/>
      <c r="W137" s="15"/>
      <c r="X137" s="677"/>
      <c r="Y137" s="15"/>
      <c r="Z137" s="677"/>
      <c r="AA137" s="677"/>
    </row>
    <row r="138" spans="3:27" s="679" customFormat="1">
      <c r="D138" s="677"/>
      <c r="E138" s="15"/>
      <c r="F138" s="677"/>
      <c r="G138" s="15"/>
      <c r="H138" s="677"/>
      <c r="I138" s="15"/>
      <c r="J138" s="677"/>
      <c r="K138" s="15"/>
      <c r="L138" s="677"/>
      <c r="M138" s="15"/>
      <c r="N138" s="677"/>
      <c r="U138" s="15"/>
      <c r="V138" s="677"/>
      <c r="W138" s="15"/>
      <c r="X138" s="677"/>
      <c r="Y138" s="15"/>
      <c r="Z138" s="677"/>
      <c r="AA138" s="677"/>
    </row>
    <row r="139" spans="3:27" s="679" customFormat="1">
      <c r="D139" s="677"/>
      <c r="E139" s="15"/>
      <c r="F139" s="677"/>
      <c r="G139" s="15"/>
      <c r="H139" s="677"/>
      <c r="I139" s="15"/>
      <c r="J139" s="677"/>
      <c r="K139" s="15"/>
      <c r="L139" s="677"/>
      <c r="M139" s="15"/>
      <c r="N139" s="677"/>
      <c r="U139" s="15"/>
      <c r="V139" s="677"/>
      <c r="W139" s="15"/>
      <c r="X139" s="677"/>
      <c r="Y139" s="15"/>
      <c r="Z139" s="677"/>
      <c r="AA139" s="677"/>
    </row>
    <row r="140" spans="3:27" s="679" customFormat="1">
      <c r="C140" s="680"/>
      <c r="D140" s="677"/>
      <c r="E140" s="15"/>
      <c r="F140" s="677"/>
      <c r="G140" s="15"/>
      <c r="H140" s="677"/>
      <c r="I140" s="15"/>
      <c r="J140" s="677"/>
      <c r="K140" s="15"/>
      <c r="L140" s="677"/>
      <c r="M140" s="15"/>
      <c r="N140" s="677"/>
      <c r="U140" s="15"/>
      <c r="V140" s="677"/>
      <c r="W140" s="15"/>
      <c r="X140" s="677"/>
      <c r="Y140" s="15"/>
      <c r="Z140" s="677"/>
      <c r="AA140" s="677"/>
    </row>
    <row r="141" spans="3:27" s="679" customFormat="1">
      <c r="D141" s="677"/>
      <c r="E141" s="15"/>
      <c r="F141" s="677"/>
      <c r="G141" s="15"/>
      <c r="H141" s="677"/>
      <c r="I141" s="15"/>
      <c r="J141" s="677"/>
      <c r="K141" s="15"/>
      <c r="L141" s="677"/>
      <c r="M141" s="15"/>
      <c r="N141" s="677"/>
      <c r="U141" s="15"/>
      <c r="V141" s="677"/>
      <c r="W141" s="15"/>
      <c r="X141" s="677"/>
      <c r="Y141" s="15"/>
      <c r="Z141" s="677"/>
      <c r="AA141" s="677"/>
    </row>
    <row r="142" spans="3:27" s="679" customFormat="1">
      <c r="D142" s="677"/>
      <c r="E142" s="15"/>
      <c r="F142" s="677"/>
      <c r="G142" s="15"/>
      <c r="H142" s="677"/>
      <c r="I142" s="15"/>
      <c r="J142" s="677"/>
      <c r="K142" s="15"/>
      <c r="L142" s="677"/>
      <c r="M142" s="15"/>
      <c r="N142" s="677"/>
      <c r="U142" s="15"/>
      <c r="V142" s="677"/>
      <c r="W142" s="15"/>
      <c r="X142" s="677"/>
      <c r="Y142" s="15"/>
      <c r="Z142" s="677"/>
      <c r="AA142" s="677"/>
    </row>
    <row r="143" spans="3:27" s="679" customFormat="1">
      <c r="D143" s="677"/>
      <c r="E143" s="15"/>
      <c r="F143" s="677"/>
      <c r="G143" s="15"/>
      <c r="H143" s="677"/>
      <c r="I143" s="15"/>
      <c r="J143" s="677"/>
      <c r="K143" s="15"/>
      <c r="L143" s="677"/>
      <c r="M143" s="15"/>
      <c r="N143" s="677"/>
      <c r="U143" s="15"/>
      <c r="V143" s="677"/>
      <c r="W143" s="15"/>
      <c r="X143" s="677"/>
      <c r="Y143" s="15"/>
      <c r="Z143" s="677"/>
      <c r="AA143" s="677"/>
    </row>
    <row r="144" spans="3:27" s="679" customFormat="1">
      <c r="D144" s="677"/>
      <c r="E144" s="15"/>
      <c r="F144" s="677"/>
      <c r="G144" s="15"/>
      <c r="H144" s="677"/>
      <c r="I144" s="15"/>
      <c r="J144" s="677"/>
      <c r="K144" s="15"/>
      <c r="L144" s="677"/>
      <c r="M144" s="15"/>
      <c r="N144" s="677"/>
      <c r="U144" s="15"/>
      <c r="V144" s="677"/>
      <c r="W144" s="15"/>
      <c r="X144" s="677"/>
      <c r="Y144" s="15"/>
      <c r="Z144" s="677"/>
      <c r="AA144" s="677"/>
    </row>
    <row r="145" spans="3:27" s="679" customFormat="1">
      <c r="D145" s="677"/>
      <c r="E145" s="15"/>
      <c r="F145" s="677"/>
      <c r="G145" s="15"/>
      <c r="H145" s="677"/>
      <c r="I145" s="15"/>
      <c r="J145" s="677"/>
      <c r="K145" s="15"/>
      <c r="L145" s="677"/>
      <c r="M145" s="15"/>
      <c r="N145" s="677"/>
      <c r="U145" s="15"/>
      <c r="V145" s="677"/>
      <c r="W145" s="15"/>
      <c r="X145" s="677"/>
      <c r="Y145" s="15"/>
      <c r="Z145" s="677"/>
      <c r="AA145" s="677"/>
    </row>
    <row r="146" spans="3:27" s="679" customFormat="1">
      <c r="D146" s="677"/>
      <c r="E146" s="15"/>
      <c r="F146" s="677"/>
      <c r="G146" s="15"/>
      <c r="H146" s="677"/>
      <c r="I146" s="15"/>
      <c r="J146" s="677"/>
      <c r="K146" s="15"/>
      <c r="L146" s="677"/>
      <c r="M146" s="15"/>
      <c r="N146" s="677"/>
      <c r="U146" s="15"/>
      <c r="V146" s="677"/>
      <c r="W146" s="15"/>
      <c r="X146" s="677"/>
      <c r="Y146" s="15"/>
      <c r="Z146" s="677"/>
      <c r="AA146" s="677"/>
    </row>
    <row r="147" spans="3:27" s="679" customFormat="1">
      <c r="D147" s="677"/>
      <c r="E147" s="15"/>
      <c r="F147" s="677"/>
      <c r="G147" s="15"/>
      <c r="H147" s="677"/>
      <c r="I147" s="15"/>
      <c r="J147" s="677"/>
      <c r="K147" s="15"/>
      <c r="L147" s="677"/>
      <c r="M147" s="15"/>
      <c r="N147" s="677"/>
      <c r="U147" s="15"/>
      <c r="V147" s="677"/>
      <c r="W147" s="15"/>
      <c r="X147" s="677"/>
      <c r="Y147" s="15"/>
      <c r="Z147" s="677"/>
      <c r="AA147" s="677"/>
    </row>
    <row r="148" spans="3:27" s="679" customFormat="1">
      <c r="D148" s="677"/>
      <c r="E148" s="15"/>
      <c r="F148" s="677"/>
      <c r="G148" s="15"/>
      <c r="H148" s="677"/>
      <c r="I148" s="15"/>
      <c r="J148" s="677"/>
      <c r="K148" s="15"/>
      <c r="L148" s="677"/>
      <c r="M148" s="15"/>
      <c r="N148" s="677"/>
      <c r="U148" s="15"/>
      <c r="V148" s="677"/>
      <c r="W148" s="15"/>
      <c r="X148" s="677"/>
      <c r="Y148" s="15"/>
      <c r="Z148" s="677"/>
      <c r="AA148" s="677"/>
    </row>
    <row r="149" spans="3:27" s="679" customFormat="1">
      <c r="C149" s="680"/>
      <c r="D149" s="677"/>
      <c r="E149" s="15"/>
      <c r="F149" s="677"/>
      <c r="G149" s="15"/>
      <c r="H149" s="677"/>
      <c r="I149" s="15"/>
      <c r="J149" s="677"/>
      <c r="K149" s="15"/>
      <c r="L149" s="677"/>
      <c r="M149" s="15"/>
      <c r="N149" s="677"/>
      <c r="U149" s="15"/>
      <c r="V149" s="677"/>
      <c r="W149" s="15"/>
      <c r="X149" s="677"/>
      <c r="Y149" s="15"/>
      <c r="Z149" s="677"/>
      <c r="AA149" s="677"/>
    </row>
    <row r="150" spans="3:27" s="679" customFormat="1">
      <c r="D150" s="677"/>
      <c r="E150" s="15"/>
      <c r="F150" s="677"/>
      <c r="G150" s="15"/>
      <c r="H150" s="677"/>
      <c r="I150" s="15"/>
      <c r="J150" s="677"/>
      <c r="K150" s="15"/>
      <c r="L150" s="677"/>
      <c r="M150" s="15"/>
      <c r="N150" s="677"/>
      <c r="U150" s="15"/>
      <c r="V150" s="677"/>
      <c r="W150" s="15"/>
      <c r="X150" s="677"/>
      <c r="Y150" s="15"/>
      <c r="Z150" s="677"/>
      <c r="AA150" s="677"/>
    </row>
    <row r="151" spans="3:27" s="679" customFormat="1">
      <c r="D151" s="677"/>
      <c r="E151" s="15"/>
      <c r="F151" s="677"/>
      <c r="G151" s="15"/>
      <c r="H151" s="677"/>
      <c r="I151" s="15"/>
      <c r="J151" s="677"/>
      <c r="K151" s="15"/>
      <c r="L151" s="677"/>
      <c r="M151" s="15"/>
      <c r="N151" s="677"/>
      <c r="U151" s="15"/>
      <c r="V151" s="677"/>
      <c r="W151" s="15"/>
      <c r="X151" s="677"/>
      <c r="Y151" s="15"/>
      <c r="Z151" s="677"/>
      <c r="AA151" s="677"/>
    </row>
    <row r="152" spans="3:27" s="679" customFormat="1">
      <c r="D152" s="677"/>
      <c r="E152" s="15"/>
      <c r="F152" s="677"/>
      <c r="G152" s="15"/>
      <c r="H152" s="677"/>
      <c r="I152" s="15"/>
      <c r="J152" s="677"/>
      <c r="K152" s="15"/>
      <c r="L152" s="677"/>
      <c r="M152" s="15"/>
      <c r="N152" s="677"/>
      <c r="U152" s="15"/>
      <c r="V152" s="677"/>
      <c r="W152" s="15"/>
      <c r="X152" s="677"/>
      <c r="Y152" s="15"/>
      <c r="Z152" s="677"/>
      <c r="AA152" s="677"/>
    </row>
    <row r="153" spans="3:27" s="679" customFormat="1">
      <c r="D153" s="677"/>
      <c r="E153" s="15"/>
      <c r="F153" s="677"/>
      <c r="G153" s="15"/>
      <c r="H153" s="677"/>
      <c r="I153" s="15"/>
      <c r="J153" s="677"/>
      <c r="K153" s="15"/>
      <c r="L153" s="677"/>
      <c r="M153" s="15"/>
      <c r="N153" s="677"/>
      <c r="U153" s="15"/>
      <c r="V153" s="677"/>
      <c r="W153" s="15"/>
      <c r="X153" s="677"/>
      <c r="Y153" s="15"/>
      <c r="Z153" s="677"/>
      <c r="AA153" s="677"/>
    </row>
    <row r="154" spans="3:27" s="679" customFormat="1">
      <c r="C154" s="680"/>
      <c r="D154" s="677"/>
      <c r="E154" s="15"/>
      <c r="F154" s="677"/>
      <c r="G154" s="15"/>
      <c r="H154" s="677"/>
      <c r="I154" s="15"/>
      <c r="J154" s="677"/>
      <c r="K154" s="15"/>
      <c r="L154" s="677"/>
      <c r="M154" s="15"/>
      <c r="N154" s="677"/>
      <c r="U154" s="15"/>
      <c r="V154" s="677"/>
      <c r="W154" s="15"/>
      <c r="X154" s="677"/>
      <c r="Y154" s="15"/>
      <c r="Z154" s="677"/>
      <c r="AA154" s="677"/>
    </row>
    <row r="155" spans="3:27" s="679" customFormat="1">
      <c r="D155" s="677"/>
      <c r="E155" s="15"/>
      <c r="F155" s="677"/>
      <c r="G155" s="15"/>
      <c r="H155" s="677"/>
      <c r="I155" s="15"/>
      <c r="J155" s="677"/>
      <c r="K155" s="15"/>
      <c r="L155" s="677"/>
      <c r="M155" s="15"/>
      <c r="N155" s="677"/>
      <c r="U155" s="15"/>
      <c r="V155" s="677"/>
      <c r="W155" s="15"/>
      <c r="X155" s="677"/>
      <c r="Y155" s="15"/>
      <c r="Z155" s="677"/>
      <c r="AA155" s="677"/>
    </row>
    <row r="156" spans="3:27" s="679" customFormat="1">
      <c r="D156" s="677"/>
      <c r="E156" s="15"/>
      <c r="F156" s="677"/>
      <c r="G156" s="15"/>
      <c r="H156" s="677"/>
      <c r="I156" s="15"/>
      <c r="J156" s="677"/>
      <c r="K156" s="15"/>
      <c r="L156" s="677"/>
      <c r="M156" s="15"/>
      <c r="N156" s="677"/>
      <c r="U156" s="15"/>
      <c r="V156" s="677"/>
      <c r="W156" s="15"/>
      <c r="X156" s="677"/>
      <c r="Y156" s="15"/>
      <c r="Z156" s="677"/>
      <c r="AA156" s="677"/>
    </row>
    <row r="157" spans="3:27" s="679" customFormat="1">
      <c r="D157" s="677"/>
      <c r="E157" s="15"/>
      <c r="F157" s="677"/>
      <c r="G157" s="15"/>
      <c r="H157" s="677"/>
      <c r="I157" s="15"/>
      <c r="J157" s="677"/>
      <c r="K157" s="15"/>
      <c r="L157" s="677"/>
      <c r="M157" s="15"/>
      <c r="N157" s="677"/>
      <c r="U157" s="15"/>
      <c r="V157" s="677"/>
      <c r="W157" s="15"/>
      <c r="X157" s="677"/>
      <c r="Y157" s="15"/>
      <c r="Z157" s="677"/>
      <c r="AA157" s="677"/>
    </row>
    <row r="158" spans="3:27" s="679" customFormat="1">
      <c r="D158" s="677"/>
      <c r="E158" s="15"/>
      <c r="F158" s="677"/>
      <c r="G158" s="15"/>
      <c r="H158" s="677"/>
      <c r="I158" s="15"/>
      <c r="J158" s="677"/>
      <c r="K158" s="15"/>
      <c r="L158" s="677"/>
      <c r="M158" s="15"/>
      <c r="N158" s="677"/>
      <c r="U158" s="15"/>
      <c r="V158" s="677"/>
      <c r="W158" s="15"/>
      <c r="X158" s="677"/>
      <c r="Y158" s="15"/>
      <c r="Z158" s="677"/>
      <c r="AA158" s="677"/>
    </row>
    <row r="159" spans="3:27" s="679" customFormat="1">
      <c r="D159" s="677"/>
      <c r="E159" s="15"/>
      <c r="F159" s="677"/>
      <c r="G159" s="15"/>
      <c r="H159" s="677"/>
      <c r="I159" s="15"/>
      <c r="J159" s="677"/>
      <c r="K159" s="15"/>
      <c r="L159" s="677"/>
      <c r="M159" s="15"/>
      <c r="N159" s="677"/>
      <c r="U159" s="15"/>
      <c r="V159" s="677"/>
      <c r="W159" s="15"/>
      <c r="X159" s="677"/>
      <c r="Y159" s="15"/>
      <c r="Z159" s="677"/>
      <c r="AA159" s="677"/>
    </row>
    <row r="160" spans="3:27" s="679" customFormat="1">
      <c r="D160" s="677"/>
      <c r="E160" s="15"/>
      <c r="F160" s="677"/>
      <c r="G160" s="15"/>
      <c r="H160" s="677"/>
      <c r="I160" s="15"/>
      <c r="J160" s="677"/>
      <c r="K160" s="15"/>
      <c r="L160" s="677"/>
      <c r="M160" s="15"/>
      <c r="N160" s="677"/>
      <c r="U160" s="15"/>
      <c r="V160" s="677"/>
      <c r="W160" s="15"/>
      <c r="X160" s="677"/>
      <c r="Y160" s="15"/>
      <c r="Z160" s="677"/>
      <c r="AA160" s="677"/>
    </row>
    <row r="161" spans="3:27" s="679" customFormat="1">
      <c r="D161" s="677"/>
      <c r="E161" s="15"/>
      <c r="F161" s="677"/>
      <c r="G161" s="15"/>
      <c r="H161" s="677"/>
      <c r="I161" s="15"/>
      <c r="J161" s="677"/>
      <c r="K161" s="15"/>
      <c r="L161" s="677"/>
      <c r="M161" s="15"/>
      <c r="N161" s="677"/>
      <c r="U161" s="15"/>
      <c r="V161" s="677"/>
      <c r="W161" s="15"/>
      <c r="X161" s="677"/>
      <c r="Y161" s="15"/>
      <c r="Z161" s="677"/>
      <c r="AA161" s="677"/>
    </row>
    <row r="162" spans="3:27" s="679" customFormat="1">
      <c r="D162" s="677"/>
      <c r="E162" s="15"/>
      <c r="F162" s="677"/>
      <c r="G162" s="15"/>
      <c r="H162" s="677"/>
      <c r="I162" s="15"/>
      <c r="J162" s="677"/>
      <c r="K162" s="15"/>
      <c r="L162" s="677"/>
      <c r="M162" s="15"/>
      <c r="N162" s="677"/>
      <c r="U162" s="15"/>
      <c r="V162" s="677"/>
      <c r="W162" s="15"/>
      <c r="X162" s="677"/>
      <c r="Y162" s="15"/>
      <c r="Z162" s="677"/>
      <c r="AA162" s="677"/>
    </row>
    <row r="163" spans="3:27" s="679" customFormat="1">
      <c r="C163" s="680"/>
      <c r="D163" s="677"/>
      <c r="E163" s="15"/>
      <c r="F163" s="677"/>
      <c r="G163" s="15"/>
      <c r="H163" s="677"/>
      <c r="I163" s="15"/>
      <c r="J163" s="677"/>
      <c r="K163" s="15"/>
      <c r="L163" s="677"/>
      <c r="M163" s="15"/>
      <c r="N163" s="677"/>
      <c r="U163" s="15"/>
      <c r="V163" s="677"/>
      <c r="W163" s="15"/>
      <c r="X163" s="677"/>
      <c r="Y163" s="15"/>
      <c r="Z163" s="677"/>
      <c r="AA163" s="677"/>
    </row>
    <row r="164" spans="3:27" s="679" customFormat="1">
      <c r="D164" s="677"/>
      <c r="E164" s="15"/>
      <c r="F164" s="677"/>
      <c r="G164" s="15"/>
      <c r="H164" s="677"/>
      <c r="I164" s="15"/>
      <c r="J164" s="677"/>
      <c r="K164" s="15"/>
      <c r="L164" s="677"/>
      <c r="M164" s="15"/>
      <c r="N164" s="677"/>
      <c r="U164" s="15"/>
      <c r="V164" s="677"/>
      <c r="W164" s="15"/>
      <c r="X164" s="677"/>
      <c r="Y164" s="15"/>
      <c r="Z164" s="677"/>
      <c r="AA164" s="677"/>
    </row>
    <row r="165" spans="3:27" s="679" customFormat="1">
      <c r="D165" s="677"/>
      <c r="E165" s="15"/>
      <c r="F165" s="677"/>
      <c r="G165" s="15"/>
      <c r="H165" s="677"/>
      <c r="I165" s="15"/>
      <c r="J165" s="677"/>
      <c r="K165" s="15"/>
      <c r="L165" s="677"/>
      <c r="M165" s="15"/>
      <c r="N165" s="677"/>
      <c r="U165" s="15"/>
      <c r="V165" s="677"/>
      <c r="W165" s="15"/>
      <c r="X165" s="677"/>
      <c r="Y165" s="15"/>
      <c r="Z165" s="677"/>
      <c r="AA165" s="677"/>
    </row>
    <row r="166" spans="3:27" s="679" customFormat="1">
      <c r="D166" s="677"/>
      <c r="E166" s="15"/>
      <c r="F166" s="677"/>
      <c r="G166" s="15"/>
      <c r="H166" s="677"/>
      <c r="I166" s="15"/>
      <c r="J166" s="677"/>
      <c r="K166" s="15"/>
      <c r="L166" s="677"/>
      <c r="M166" s="15"/>
      <c r="N166" s="677"/>
      <c r="U166" s="15"/>
      <c r="V166" s="677"/>
      <c r="W166" s="15"/>
      <c r="X166" s="677"/>
      <c r="Y166" s="15"/>
      <c r="Z166" s="677"/>
      <c r="AA166" s="677"/>
    </row>
    <row r="167" spans="3:27" s="679" customFormat="1">
      <c r="D167" s="677"/>
      <c r="E167" s="15"/>
      <c r="F167" s="677"/>
      <c r="G167" s="15"/>
      <c r="H167" s="677"/>
      <c r="I167" s="15"/>
      <c r="J167" s="677"/>
      <c r="K167" s="15"/>
      <c r="L167" s="677"/>
      <c r="M167" s="15"/>
      <c r="N167" s="677"/>
      <c r="U167" s="15"/>
      <c r="V167" s="677"/>
      <c r="W167" s="15"/>
      <c r="X167" s="677"/>
      <c r="Y167" s="15"/>
      <c r="Z167" s="677"/>
      <c r="AA167" s="677"/>
    </row>
    <row r="168" spans="3:27" s="679" customFormat="1">
      <c r="D168" s="677"/>
      <c r="E168" s="15"/>
      <c r="F168" s="677"/>
      <c r="G168" s="15"/>
      <c r="H168" s="677"/>
      <c r="I168" s="15"/>
      <c r="J168" s="677"/>
      <c r="K168" s="15"/>
      <c r="L168" s="677"/>
      <c r="M168" s="15"/>
      <c r="N168" s="677"/>
      <c r="U168" s="15"/>
      <c r="V168" s="677"/>
      <c r="W168" s="15"/>
      <c r="X168" s="677"/>
      <c r="Y168" s="15"/>
      <c r="Z168" s="677"/>
      <c r="AA168" s="677"/>
    </row>
    <row r="169" spans="3:27" s="679" customFormat="1">
      <c r="D169" s="677"/>
      <c r="E169" s="15"/>
      <c r="F169" s="677"/>
      <c r="G169" s="15"/>
      <c r="H169" s="677"/>
      <c r="I169" s="15"/>
      <c r="J169" s="677"/>
      <c r="K169" s="15"/>
      <c r="L169" s="677"/>
      <c r="M169" s="15"/>
      <c r="N169" s="677"/>
      <c r="U169" s="15"/>
      <c r="V169" s="677"/>
      <c r="W169" s="15"/>
      <c r="X169" s="677"/>
      <c r="Y169" s="15"/>
      <c r="Z169" s="677"/>
      <c r="AA169" s="677"/>
    </row>
    <row r="170" spans="3:27" s="679" customFormat="1">
      <c r="D170" s="677"/>
      <c r="E170" s="15"/>
      <c r="F170" s="677"/>
      <c r="G170" s="15"/>
      <c r="H170" s="677"/>
      <c r="I170" s="15"/>
      <c r="J170" s="677"/>
      <c r="K170" s="15"/>
      <c r="L170" s="677"/>
      <c r="M170" s="15"/>
      <c r="N170" s="677"/>
      <c r="U170" s="15"/>
      <c r="V170" s="677"/>
      <c r="W170" s="15"/>
      <c r="X170" s="677"/>
      <c r="Y170" s="15"/>
      <c r="Z170" s="677"/>
      <c r="AA170" s="677"/>
    </row>
    <row r="171" spans="3:27" s="679" customFormat="1">
      <c r="C171" s="680"/>
      <c r="D171" s="677"/>
      <c r="E171" s="15"/>
      <c r="F171" s="677"/>
      <c r="G171" s="15"/>
      <c r="H171" s="677"/>
      <c r="I171" s="15"/>
      <c r="J171" s="677"/>
      <c r="K171" s="15"/>
      <c r="L171" s="677"/>
      <c r="M171" s="15"/>
      <c r="N171" s="677"/>
      <c r="U171" s="15"/>
      <c r="V171" s="677"/>
      <c r="W171" s="15"/>
      <c r="X171" s="677"/>
      <c r="Y171" s="15"/>
      <c r="Z171" s="677"/>
      <c r="AA171" s="677"/>
    </row>
    <row r="172" spans="3:27" s="679" customFormat="1">
      <c r="D172" s="677"/>
      <c r="E172" s="15"/>
      <c r="F172" s="677"/>
      <c r="G172" s="15"/>
      <c r="H172" s="677"/>
      <c r="I172" s="15"/>
      <c r="J172" s="677"/>
      <c r="K172" s="15"/>
      <c r="L172" s="677"/>
      <c r="M172" s="15"/>
      <c r="N172" s="677"/>
      <c r="U172" s="15"/>
      <c r="V172" s="677"/>
      <c r="W172" s="15"/>
      <c r="X172" s="677"/>
      <c r="Y172" s="15"/>
      <c r="Z172" s="677"/>
      <c r="AA172" s="677"/>
    </row>
    <row r="173" spans="3:27" s="679" customFormat="1">
      <c r="D173" s="677"/>
      <c r="E173" s="15"/>
      <c r="F173" s="677"/>
      <c r="G173" s="15"/>
      <c r="H173" s="677"/>
      <c r="I173" s="15"/>
      <c r="J173" s="677"/>
      <c r="K173" s="15"/>
      <c r="L173" s="677"/>
      <c r="M173" s="15"/>
      <c r="N173" s="677"/>
      <c r="U173" s="15"/>
      <c r="V173" s="677"/>
      <c r="W173" s="15"/>
      <c r="X173" s="677"/>
      <c r="Y173" s="15"/>
      <c r="Z173" s="677"/>
      <c r="AA173" s="677"/>
    </row>
    <row r="174" spans="3:27" s="679" customFormat="1">
      <c r="D174" s="677"/>
      <c r="E174" s="15"/>
      <c r="F174" s="677"/>
      <c r="G174" s="15"/>
      <c r="H174" s="677"/>
      <c r="I174" s="15"/>
      <c r="J174" s="677"/>
      <c r="K174" s="15"/>
      <c r="L174" s="677"/>
      <c r="M174" s="15"/>
      <c r="N174" s="677"/>
      <c r="O174" s="12"/>
      <c r="Q174" s="12"/>
      <c r="U174" s="15"/>
      <c r="V174" s="677"/>
      <c r="W174" s="15"/>
      <c r="X174" s="677"/>
      <c r="Y174" s="15"/>
      <c r="Z174" s="677"/>
      <c r="AA174" s="677"/>
    </row>
    <row r="175" spans="3:27" s="679" customFormat="1">
      <c r="D175" s="677"/>
      <c r="E175" s="15"/>
      <c r="F175" s="677"/>
      <c r="G175" s="15"/>
      <c r="H175" s="677"/>
      <c r="I175" s="15"/>
      <c r="J175" s="677"/>
      <c r="K175" s="15"/>
      <c r="L175" s="677"/>
      <c r="M175" s="15"/>
      <c r="N175" s="677"/>
      <c r="O175" s="12"/>
      <c r="Q175" s="12"/>
      <c r="U175" s="15"/>
      <c r="V175" s="677"/>
      <c r="W175" s="15"/>
      <c r="X175" s="677"/>
      <c r="Y175" s="15"/>
      <c r="Z175" s="677"/>
      <c r="AA175" s="677"/>
    </row>
    <row r="176" spans="3:27" s="679" customFormat="1">
      <c r="D176" s="677"/>
      <c r="E176" s="15"/>
      <c r="F176" s="677"/>
      <c r="G176" s="15"/>
      <c r="H176" s="677"/>
      <c r="I176" s="15"/>
      <c r="J176" s="677"/>
      <c r="K176" s="15"/>
      <c r="L176" s="677"/>
      <c r="M176" s="15"/>
      <c r="N176" s="677"/>
      <c r="O176" s="12"/>
      <c r="Q176" s="12"/>
      <c r="U176" s="15"/>
      <c r="V176" s="677"/>
      <c r="W176" s="15"/>
      <c r="X176" s="677"/>
      <c r="Y176" s="15"/>
      <c r="Z176" s="677"/>
      <c r="AA176" s="677"/>
    </row>
    <row r="177" spans="3:27" s="679" customFormat="1">
      <c r="D177" s="677"/>
      <c r="E177" s="15"/>
      <c r="F177" s="677"/>
      <c r="G177" s="15"/>
      <c r="H177" s="677"/>
      <c r="I177" s="15"/>
      <c r="J177" s="677"/>
      <c r="K177" s="15"/>
      <c r="L177" s="677"/>
      <c r="M177" s="15"/>
      <c r="N177" s="677"/>
      <c r="O177" s="12"/>
      <c r="Q177" s="12"/>
      <c r="U177" s="15"/>
      <c r="V177" s="677"/>
      <c r="W177" s="15"/>
      <c r="X177" s="677"/>
      <c r="Y177" s="15"/>
      <c r="Z177" s="677"/>
      <c r="AA177" s="677"/>
    </row>
    <row r="178" spans="3:27" s="679" customFormat="1">
      <c r="D178" s="677"/>
      <c r="E178" s="15"/>
      <c r="F178" s="677"/>
      <c r="G178" s="15"/>
      <c r="H178" s="677"/>
      <c r="I178" s="15"/>
      <c r="J178" s="677"/>
      <c r="K178" s="15"/>
      <c r="L178" s="677"/>
      <c r="M178" s="15"/>
      <c r="N178" s="677"/>
      <c r="U178" s="15"/>
      <c r="V178" s="677"/>
      <c r="W178" s="15"/>
      <c r="X178" s="677"/>
      <c r="Y178" s="15"/>
      <c r="Z178" s="677"/>
      <c r="AA178" s="677"/>
    </row>
    <row r="179" spans="3:27" s="679" customFormat="1">
      <c r="D179" s="677"/>
      <c r="E179" s="15"/>
      <c r="F179" s="677"/>
      <c r="G179" s="15"/>
      <c r="H179" s="677"/>
      <c r="I179" s="15"/>
      <c r="J179" s="677"/>
      <c r="K179" s="15"/>
      <c r="L179" s="677"/>
      <c r="M179" s="15"/>
      <c r="N179" s="677"/>
      <c r="U179" s="15"/>
      <c r="V179" s="677"/>
      <c r="W179" s="15"/>
      <c r="X179" s="677"/>
      <c r="Y179" s="15"/>
      <c r="Z179" s="677"/>
      <c r="AA179" s="677"/>
    </row>
    <row r="180" spans="3:27" s="679" customFormat="1">
      <c r="D180" s="677"/>
      <c r="E180" s="15"/>
      <c r="F180" s="677"/>
      <c r="G180" s="15"/>
      <c r="H180" s="677"/>
      <c r="I180" s="15"/>
      <c r="J180" s="677"/>
      <c r="K180" s="15"/>
      <c r="L180" s="677"/>
      <c r="M180" s="15"/>
      <c r="N180" s="677"/>
      <c r="U180" s="15"/>
      <c r="V180" s="677"/>
      <c r="W180" s="15"/>
      <c r="X180" s="677"/>
      <c r="Y180" s="15"/>
      <c r="Z180" s="677"/>
      <c r="AA180" s="677"/>
    </row>
    <row r="181" spans="3:27" s="679" customFormat="1">
      <c r="C181" s="680"/>
      <c r="D181" s="677"/>
      <c r="E181" s="15"/>
      <c r="F181" s="677"/>
      <c r="G181" s="15"/>
      <c r="H181" s="677"/>
      <c r="I181" s="15"/>
      <c r="J181" s="677"/>
      <c r="K181" s="15"/>
      <c r="L181" s="677"/>
      <c r="M181" s="15"/>
      <c r="N181" s="677"/>
      <c r="U181" s="15"/>
      <c r="V181" s="677"/>
      <c r="W181" s="15"/>
      <c r="X181" s="677"/>
      <c r="Y181" s="15"/>
      <c r="Z181" s="677"/>
      <c r="AA181" s="677"/>
    </row>
    <row r="182" spans="3:27" s="679" customFormat="1">
      <c r="D182" s="677"/>
      <c r="E182" s="15"/>
      <c r="F182" s="677"/>
      <c r="G182" s="15"/>
      <c r="H182" s="677"/>
      <c r="I182" s="15"/>
      <c r="J182" s="677"/>
      <c r="K182" s="15"/>
      <c r="L182" s="677"/>
      <c r="M182" s="15"/>
      <c r="N182" s="677"/>
      <c r="U182" s="15"/>
      <c r="V182" s="677"/>
      <c r="W182" s="15"/>
      <c r="X182" s="677"/>
      <c r="Y182" s="15"/>
      <c r="Z182" s="677"/>
      <c r="AA182" s="677"/>
    </row>
    <row r="183" spans="3:27" s="679" customFormat="1">
      <c r="D183" s="677"/>
      <c r="E183" s="15"/>
      <c r="F183" s="677"/>
      <c r="G183" s="15"/>
      <c r="H183" s="677"/>
      <c r="I183" s="15"/>
      <c r="J183" s="677"/>
      <c r="K183" s="15"/>
      <c r="L183" s="677"/>
      <c r="M183" s="15"/>
      <c r="N183" s="677"/>
      <c r="U183" s="15"/>
      <c r="V183" s="677"/>
      <c r="W183" s="15"/>
      <c r="X183" s="677"/>
      <c r="Y183" s="15"/>
      <c r="Z183" s="677"/>
      <c r="AA183" s="677"/>
    </row>
    <row r="184" spans="3:27">
      <c r="C184" s="680"/>
      <c r="D184" s="677"/>
      <c r="E184" s="15"/>
      <c r="F184" s="677"/>
      <c r="G184" s="15"/>
      <c r="H184" s="677"/>
      <c r="I184" s="15"/>
      <c r="J184" s="677"/>
      <c r="K184" s="15"/>
      <c r="L184" s="677"/>
      <c r="M184" s="15"/>
      <c r="N184" s="677"/>
      <c r="O184" s="679"/>
      <c r="P184" s="679"/>
      <c r="Q184" s="679"/>
      <c r="R184" s="679"/>
      <c r="S184" s="679"/>
      <c r="T184" s="679"/>
      <c r="U184" s="15"/>
      <c r="V184" s="677"/>
      <c r="W184" s="15"/>
      <c r="X184" s="677"/>
      <c r="Y184" s="15"/>
      <c r="Z184" s="677"/>
      <c r="AA184" s="677"/>
    </row>
    <row r="185" spans="3:27">
      <c r="E185" s="16"/>
      <c r="G185" s="16"/>
      <c r="I185" s="16"/>
      <c r="K185" s="16"/>
      <c r="M185" s="16"/>
      <c r="U185" s="16"/>
      <c r="W185" s="16"/>
      <c r="Y185" s="16"/>
    </row>
    <row r="186" spans="3:27">
      <c r="E186" s="16"/>
      <c r="G186" s="16"/>
      <c r="I186" s="16"/>
      <c r="K186" s="16"/>
      <c r="M186" s="16"/>
      <c r="U186" s="16"/>
      <c r="W186" s="16"/>
      <c r="Y186" s="16"/>
    </row>
    <row r="187" spans="3:27">
      <c r="C187" s="46" t="s">
        <v>0</v>
      </c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5"/>
      <c r="V187" s="465"/>
      <c r="W187" s="465"/>
      <c r="X187" s="465"/>
      <c r="Y187" s="465"/>
      <c r="Z187" s="465"/>
      <c r="AA187" s="465"/>
    </row>
    <row r="188" spans="3:27">
      <c r="C188" s="46" t="s">
        <v>103</v>
      </c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5"/>
      <c r="V188" s="465"/>
      <c r="W188" s="465"/>
      <c r="X188" s="465"/>
      <c r="Y188" s="465"/>
      <c r="Z188" s="465"/>
      <c r="AA188" s="465"/>
    </row>
    <row r="189" spans="3:27">
      <c r="C189" s="47" t="str">
        <f>C3</f>
        <v>FORECAST PERIOD-JUNE 2018</v>
      </c>
      <c r="D189" s="47"/>
      <c r="E189" s="47"/>
      <c r="F189" s="47"/>
      <c r="G189" s="47"/>
      <c r="H189" s="47"/>
      <c r="I189" s="47"/>
      <c r="J189" s="47"/>
      <c r="K189" s="47"/>
      <c r="L189" s="47"/>
      <c r="M189" s="47"/>
      <c r="N189" s="47"/>
      <c r="O189" s="47"/>
      <c r="P189" s="47"/>
      <c r="Q189" s="47"/>
      <c r="R189" s="47"/>
      <c r="S189" s="47"/>
      <c r="T189" s="47"/>
      <c r="U189" s="466"/>
      <c r="V189" s="466"/>
      <c r="W189" s="466"/>
      <c r="X189" s="466"/>
      <c r="Y189" s="466"/>
      <c r="Z189" s="466"/>
      <c r="AA189" s="466"/>
    </row>
    <row r="190" spans="3:27">
      <c r="C190" s="674"/>
      <c r="D190" s="674"/>
      <c r="E190" s="674"/>
      <c r="F190" s="674"/>
      <c r="G190" s="674"/>
      <c r="H190" s="674"/>
      <c r="I190" s="674"/>
      <c r="J190" s="674"/>
      <c r="K190" s="674"/>
      <c r="L190" s="674"/>
      <c r="M190" s="674"/>
      <c r="N190" s="674"/>
      <c r="O190" s="2"/>
      <c r="P190" s="2"/>
      <c r="Q190" s="2"/>
      <c r="R190" s="2"/>
      <c r="S190" s="2"/>
      <c r="T190" s="2"/>
      <c r="U190" s="674"/>
      <c r="V190" s="674"/>
      <c r="W190" s="674"/>
      <c r="X190" s="674"/>
      <c r="Y190" s="674"/>
      <c r="Z190" s="467" t="s">
        <v>1770</v>
      </c>
      <c r="AA190" s="467"/>
    </row>
    <row r="191" spans="3:27" ht="15">
      <c r="C191" s="674"/>
      <c r="D191" s="675" t="s">
        <v>2383</v>
      </c>
      <c r="E191" s="674"/>
      <c r="F191" s="674"/>
      <c r="G191" s="674"/>
      <c r="H191" s="674"/>
      <c r="I191" s="674"/>
      <c r="J191" s="674"/>
      <c r="K191" s="674"/>
      <c r="L191" s="674"/>
      <c r="M191" s="674"/>
      <c r="N191" s="675" t="s">
        <v>2384</v>
      </c>
      <c r="O191" s="2"/>
      <c r="P191" s="675" t="s">
        <v>1771</v>
      </c>
      <c r="T191" s="675" t="s">
        <v>1771</v>
      </c>
      <c r="V191" s="675" t="s">
        <v>1771</v>
      </c>
      <c r="X191" s="675" t="s">
        <v>1771</v>
      </c>
      <c r="Y191" s="674"/>
      <c r="Z191" s="675" t="s">
        <v>2384</v>
      </c>
      <c r="AA191" s="676"/>
    </row>
    <row r="192" spans="3:27" ht="15">
      <c r="C192" s="2"/>
      <c r="D192" s="3" t="s">
        <v>2</v>
      </c>
      <c r="E192" s="2"/>
      <c r="F192" s="4"/>
      <c r="G192" s="2"/>
      <c r="H192" s="4"/>
      <c r="I192" s="2"/>
      <c r="J192" s="3" t="s">
        <v>3</v>
      </c>
      <c r="K192" s="2"/>
      <c r="L192" s="4"/>
      <c r="M192" s="2"/>
      <c r="N192" s="3" t="s">
        <v>4</v>
      </c>
      <c r="O192" s="2"/>
      <c r="P192" s="3" t="s">
        <v>4</v>
      </c>
      <c r="Q192" s="2"/>
      <c r="R192" s="675" t="s">
        <v>1771</v>
      </c>
      <c r="S192" s="2"/>
      <c r="T192" s="5" t="s">
        <v>5</v>
      </c>
      <c r="V192" s="197" t="s">
        <v>1210</v>
      </c>
      <c r="W192" s="2"/>
      <c r="X192" s="197" t="s">
        <v>11</v>
      </c>
      <c r="Y192" s="2"/>
      <c r="Z192" s="3" t="s">
        <v>4</v>
      </c>
      <c r="AA192" s="3"/>
    </row>
    <row r="193" spans="1:27">
      <c r="C193" s="2"/>
      <c r="D193" s="7" t="s">
        <v>6</v>
      </c>
      <c r="E193" s="2"/>
      <c r="F193" s="7" t="s">
        <v>7</v>
      </c>
      <c r="G193" s="2"/>
      <c r="H193" s="7" t="s">
        <v>8</v>
      </c>
      <c r="I193" s="2"/>
      <c r="J193" s="7" t="s">
        <v>9</v>
      </c>
      <c r="K193" s="2"/>
      <c r="L193" s="7" t="s">
        <v>10</v>
      </c>
      <c r="M193" s="2"/>
      <c r="N193" s="7" t="s">
        <v>6</v>
      </c>
      <c r="O193" s="2"/>
      <c r="P193" s="7" t="s">
        <v>6</v>
      </c>
      <c r="Q193" s="2"/>
      <c r="R193" s="7" t="s">
        <v>11</v>
      </c>
      <c r="S193" s="2"/>
      <c r="T193" s="7" t="s">
        <v>12</v>
      </c>
      <c r="V193" s="7" t="s">
        <v>1211</v>
      </c>
      <c r="W193" s="2"/>
      <c r="X193" s="7" t="s">
        <v>2318</v>
      </c>
      <c r="Y193" s="2"/>
      <c r="Z193" s="7" t="s">
        <v>6</v>
      </c>
      <c r="AA193" s="7" t="s">
        <v>13</v>
      </c>
    </row>
    <row r="194" spans="1:27">
      <c r="C194" s="5" t="s">
        <v>14</v>
      </c>
      <c r="D194" s="8"/>
      <c r="E194" s="2"/>
      <c r="F194" s="8"/>
      <c r="G194" s="2"/>
      <c r="H194" s="8"/>
      <c r="I194" s="2"/>
      <c r="J194" s="8"/>
      <c r="K194" s="2"/>
      <c r="L194" s="8"/>
      <c r="M194" s="2"/>
      <c r="N194" s="8"/>
      <c r="O194" s="2"/>
      <c r="P194" s="2"/>
      <c r="Q194" s="2"/>
      <c r="R194" s="2"/>
      <c r="S194" s="2"/>
      <c r="T194" s="2"/>
      <c r="U194" s="2"/>
      <c r="V194" s="8"/>
      <c r="W194" s="2"/>
      <c r="X194" s="8"/>
      <c r="Y194" s="2"/>
      <c r="Z194" s="8"/>
      <c r="AA194" s="8"/>
    </row>
    <row r="195" spans="1:27">
      <c r="C195" s="5" t="s">
        <v>15</v>
      </c>
      <c r="D195" s="4"/>
      <c r="E195" s="2"/>
      <c r="F195" s="4"/>
      <c r="G195" s="2"/>
      <c r="H195" s="4"/>
      <c r="I195" s="2"/>
      <c r="J195" s="4"/>
      <c r="K195" s="2"/>
      <c r="L195" s="4"/>
      <c r="M195" s="2"/>
      <c r="N195" s="4"/>
      <c r="O195" s="2"/>
      <c r="P195" s="2"/>
      <c r="Q195" s="2"/>
      <c r="R195" s="2"/>
      <c r="S195" s="2"/>
      <c r="T195" s="2"/>
      <c r="U195" s="2"/>
      <c r="V195" s="4"/>
      <c r="W195" s="2"/>
      <c r="X195" s="4"/>
      <c r="Y195" s="2"/>
      <c r="Z195" s="4"/>
      <c r="AA195" s="4"/>
    </row>
    <row r="196" spans="1:27">
      <c r="C196" s="5" t="s">
        <v>16</v>
      </c>
      <c r="D196" s="4"/>
      <c r="E196" s="20"/>
      <c r="F196" s="4"/>
      <c r="G196" s="20"/>
      <c r="H196" s="4"/>
      <c r="I196" s="20"/>
      <c r="J196" s="4"/>
      <c r="K196" s="20"/>
      <c r="L196" s="4"/>
      <c r="M196" s="20"/>
      <c r="N196" s="4"/>
      <c r="O196" s="20"/>
      <c r="P196" s="2"/>
      <c r="Q196" s="20"/>
      <c r="R196" s="2"/>
      <c r="S196" s="2"/>
      <c r="T196" s="2"/>
      <c r="U196" s="20"/>
      <c r="V196" s="4"/>
      <c r="W196" s="20"/>
      <c r="X196" s="4"/>
      <c r="Y196" s="20"/>
      <c r="Z196" s="4"/>
      <c r="AA196" s="4"/>
    </row>
    <row r="197" spans="1:27">
      <c r="A197" s="6" t="s">
        <v>104</v>
      </c>
      <c r="B197" s="6" t="str">
        <f t="shared" ref="B197:B209" si="7">MID(C197,2,3)</f>
        <v>360</v>
      </c>
      <c r="C197" s="2" t="s">
        <v>18</v>
      </c>
      <c r="D197" s="4">
        <v>457132.69</v>
      </c>
      <c r="E197" s="20"/>
      <c r="F197" s="4">
        <v>0</v>
      </c>
      <c r="G197" s="20"/>
      <c r="H197" s="4">
        <v>0</v>
      </c>
      <c r="I197" s="20"/>
      <c r="J197" s="4">
        <v>0</v>
      </c>
      <c r="K197" s="20"/>
      <c r="L197" s="4">
        <v>0</v>
      </c>
      <c r="M197" s="20"/>
      <c r="N197" s="4">
        <v>457132.69</v>
      </c>
      <c r="O197" s="20"/>
      <c r="P197" s="10">
        <v>457132.68999999977</v>
      </c>
      <c r="Q197" s="20"/>
      <c r="R197" s="10">
        <v>-69089.188034279941</v>
      </c>
      <c r="S197" s="2"/>
      <c r="T197" s="10">
        <v>388043.50196571986</v>
      </c>
      <c r="U197" s="20"/>
      <c r="V197" s="14">
        <v>0</v>
      </c>
      <c r="W197" s="15"/>
      <c r="X197" s="14">
        <v>-69089.188034279941</v>
      </c>
      <c r="Y197" s="15"/>
      <c r="Z197" s="14">
        <v>343250.44</v>
      </c>
      <c r="AA197" s="14">
        <v>-113882.25</v>
      </c>
    </row>
    <row r="198" spans="1:27">
      <c r="A198" s="6" t="s">
        <v>104</v>
      </c>
      <c r="C198" s="2" t="s">
        <v>19</v>
      </c>
      <c r="D198" s="4">
        <v>0</v>
      </c>
      <c r="E198" s="20"/>
      <c r="F198" s="4">
        <v>0</v>
      </c>
      <c r="G198" s="20"/>
      <c r="H198" s="4">
        <v>0</v>
      </c>
      <c r="I198" s="20"/>
      <c r="J198" s="4">
        <v>0</v>
      </c>
      <c r="K198" s="20"/>
      <c r="L198" s="4">
        <v>0</v>
      </c>
      <c r="M198" s="20"/>
      <c r="N198" s="4">
        <v>0</v>
      </c>
      <c r="O198" s="20"/>
      <c r="P198" s="10">
        <v>0</v>
      </c>
      <c r="Q198" s="20"/>
      <c r="R198" s="10">
        <v>0</v>
      </c>
      <c r="S198" s="2"/>
      <c r="T198" s="10">
        <v>0</v>
      </c>
      <c r="U198" s="20"/>
      <c r="V198" s="4">
        <v>0</v>
      </c>
      <c r="W198" s="20"/>
      <c r="X198" s="4">
        <v>0</v>
      </c>
      <c r="Y198" s="20"/>
      <c r="Z198" s="4">
        <v>0</v>
      </c>
      <c r="AA198" s="4">
        <v>0</v>
      </c>
    </row>
    <row r="199" spans="1:27">
      <c r="A199" s="6" t="s">
        <v>104</v>
      </c>
      <c r="B199" s="6" t="str">
        <f t="shared" si="7"/>
        <v>361</v>
      </c>
      <c r="C199" s="2" t="s">
        <v>20</v>
      </c>
      <c r="D199" s="4">
        <v>493671.51999999996</v>
      </c>
      <c r="E199" s="20"/>
      <c r="F199" s="4">
        <v>0</v>
      </c>
      <c r="G199" s="20"/>
      <c r="H199" s="4">
        <v>0</v>
      </c>
      <c r="I199" s="20"/>
      <c r="J199" s="4">
        <v>0</v>
      </c>
      <c r="K199" s="20"/>
      <c r="L199" s="4">
        <v>0</v>
      </c>
      <c r="M199" s="20"/>
      <c r="N199" s="4">
        <v>493671.51999999996</v>
      </c>
      <c r="O199" s="20"/>
      <c r="P199" s="10">
        <v>493671.5199999999</v>
      </c>
      <c r="Q199" s="20"/>
      <c r="R199" s="10">
        <v>-139170.4175066</v>
      </c>
      <c r="S199" s="2"/>
      <c r="T199" s="10">
        <v>354501.10249339987</v>
      </c>
      <c r="U199" s="20"/>
      <c r="V199" s="4">
        <v>0</v>
      </c>
      <c r="W199" s="20"/>
      <c r="X199" s="4">
        <v>-139170.4175066</v>
      </c>
      <c r="Y199" s="20"/>
      <c r="Z199" s="4">
        <v>493671.51999999996</v>
      </c>
      <c r="AA199" s="4">
        <v>0</v>
      </c>
    </row>
    <row r="200" spans="1:27">
      <c r="A200" s="6" t="s">
        <v>104</v>
      </c>
      <c r="B200" s="6" t="str">
        <f t="shared" si="7"/>
        <v>362</v>
      </c>
      <c r="C200" s="2" t="s">
        <v>21</v>
      </c>
      <c r="D200" s="4">
        <v>8233190.0100000007</v>
      </c>
      <c r="E200" s="20"/>
      <c r="F200" s="4">
        <v>0</v>
      </c>
      <c r="G200" s="20"/>
      <c r="H200" s="4">
        <v>0</v>
      </c>
      <c r="I200" s="20"/>
      <c r="J200" s="4">
        <v>0</v>
      </c>
      <c r="K200" s="20"/>
      <c r="L200" s="4">
        <v>0</v>
      </c>
      <c r="M200" s="20"/>
      <c r="N200" s="4">
        <v>8233190.0100000007</v>
      </c>
      <c r="O200" s="20"/>
      <c r="P200" s="10">
        <v>8233190.0100000016</v>
      </c>
      <c r="Q200" s="20"/>
      <c r="R200" s="10">
        <v>-3199982.3600176899</v>
      </c>
      <c r="S200" s="2"/>
      <c r="T200" s="10">
        <v>5033207.6499823118</v>
      </c>
      <c r="U200" s="20"/>
      <c r="V200" s="4">
        <v>0</v>
      </c>
      <c r="W200" s="20"/>
      <c r="X200" s="4">
        <v>-3199982.3600176899</v>
      </c>
      <c r="Y200" s="20"/>
      <c r="Z200" s="4">
        <v>8233190.0100000007</v>
      </c>
      <c r="AA200" s="4">
        <v>0</v>
      </c>
    </row>
    <row r="201" spans="1:27">
      <c r="A201" s="6" t="s">
        <v>104</v>
      </c>
      <c r="B201" s="6" t="str">
        <f t="shared" si="7"/>
        <v>364</v>
      </c>
      <c r="C201" s="2" t="s">
        <v>22</v>
      </c>
      <c r="D201" s="4">
        <v>28701871.040000003</v>
      </c>
      <c r="E201" s="20"/>
      <c r="F201" s="4">
        <v>244498.56999999992</v>
      </c>
      <c r="G201" s="20"/>
      <c r="H201" s="4">
        <v>0</v>
      </c>
      <c r="I201" s="20"/>
      <c r="J201" s="4">
        <v>0</v>
      </c>
      <c r="K201" s="20"/>
      <c r="L201" s="4">
        <v>244498.56999999992</v>
      </c>
      <c r="M201" s="20"/>
      <c r="N201" s="4">
        <v>28946369.610000003</v>
      </c>
      <c r="O201" s="20"/>
      <c r="P201" s="10">
        <v>28832784.46153846</v>
      </c>
      <c r="Q201" s="20"/>
      <c r="R201" s="10">
        <v>-12663874.939236386</v>
      </c>
      <c r="S201" s="2"/>
      <c r="T201" s="10">
        <v>16168909.522302074</v>
      </c>
      <c r="U201" s="20"/>
      <c r="V201" s="4">
        <v>1.8312577353537512E-3</v>
      </c>
      <c r="W201" s="20"/>
      <c r="X201" s="4">
        <v>-12663874.937405128</v>
      </c>
      <c r="Y201" s="20"/>
      <c r="Z201" s="4">
        <v>28946369.610000003</v>
      </c>
      <c r="AA201" s="4">
        <v>0</v>
      </c>
    </row>
    <row r="202" spans="1:27">
      <c r="A202" s="6" t="s">
        <v>104</v>
      </c>
      <c r="B202" s="6" t="str">
        <f t="shared" si="7"/>
        <v>365</v>
      </c>
      <c r="C202" s="2" t="s">
        <v>23</v>
      </c>
      <c r="D202" s="4">
        <v>26537120.439999998</v>
      </c>
      <c r="E202" s="20"/>
      <c r="F202" s="4">
        <v>1767327.0299999982</v>
      </c>
      <c r="G202" s="20"/>
      <c r="H202" s="4">
        <v>0</v>
      </c>
      <c r="I202" s="20"/>
      <c r="J202" s="4">
        <v>0</v>
      </c>
      <c r="K202" s="20"/>
      <c r="L202" s="4">
        <v>1767327.0299999982</v>
      </c>
      <c r="M202" s="20"/>
      <c r="N202" s="4">
        <v>28304447.469999995</v>
      </c>
      <c r="O202" s="20"/>
      <c r="P202" s="10">
        <v>27415416.07230768</v>
      </c>
      <c r="Q202" s="20"/>
      <c r="R202" s="10">
        <v>-9630575.1508561559</v>
      </c>
      <c r="S202" s="2"/>
      <c r="T202" s="10">
        <v>17784840.921451524</v>
      </c>
      <c r="U202" s="20"/>
      <c r="V202" s="4">
        <v>1.3237015229116756E-2</v>
      </c>
      <c r="W202" s="20"/>
      <c r="X202" s="4">
        <v>-9630575.1376191415</v>
      </c>
      <c r="Y202" s="20"/>
      <c r="Z202" s="4">
        <v>28304447.469999999</v>
      </c>
      <c r="AA202" s="4">
        <v>0</v>
      </c>
    </row>
    <row r="203" spans="1:27">
      <c r="A203" s="6" t="s">
        <v>104</v>
      </c>
      <c r="B203" s="6" t="str">
        <f t="shared" si="7"/>
        <v>366</v>
      </c>
      <c r="C203" s="2" t="s">
        <v>24</v>
      </c>
      <c r="D203" s="4">
        <v>0</v>
      </c>
      <c r="E203" s="20"/>
      <c r="F203" s="4">
        <v>0</v>
      </c>
      <c r="G203" s="20"/>
      <c r="H203" s="4">
        <v>0</v>
      </c>
      <c r="I203" s="20"/>
      <c r="J203" s="4">
        <v>0</v>
      </c>
      <c r="K203" s="20"/>
      <c r="L203" s="4">
        <v>0</v>
      </c>
      <c r="M203" s="20"/>
      <c r="N203" s="4">
        <v>0</v>
      </c>
      <c r="O203" s="20"/>
      <c r="P203" s="10">
        <v>0</v>
      </c>
      <c r="Q203" s="20"/>
      <c r="R203" s="10">
        <v>0</v>
      </c>
      <c r="S203" s="2"/>
      <c r="T203" s="10">
        <v>0</v>
      </c>
      <c r="U203" s="20"/>
      <c r="V203" s="4">
        <v>0</v>
      </c>
      <c r="W203" s="20"/>
      <c r="X203" s="4">
        <v>0</v>
      </c>
      <c r="Y203" s="20"/>
      <c r="Z203" s="4">
        <v>0</v>
      </c>
      <c r="AA203" s="4">
        <v>0</v>
      </c>
    </row>
    <row r="204" spans="1:27">
      <c r="A204" s="6" t="s">
        <v>104</v>
      </c>
      <c r="B204" s="6" t="str">
        <f t="shared" si="7"/>
        <v>367</v>
      </c>
      <c r="C204" s="2" t="s">
        <v>25</v>
      </c>
      <c r="D204" s="4">
        <v>5355905.2700000005</v>
      </c>
      <c r="E204" s="20"/>
      <c r="F204" s="4">
        <v>443577.49999999983</v>
      </c>
      <c r="G204" s="20"/>
      <c r="H204" s="4">
        <v>0</v>
      </c>
      <c r="I204" s="20"/>
      <c r="J204" s="4">
        <v>0</v>
      </c>
      <c r="K204" s="20"/>
      <c r="L204" s="4">
        <v>443577.49999999983</v>
      </c>
      <c r="M204" s="20"/>
      <c r="N204" s="4">
        <v>5799482.7700000005</v>
      </c>
      <c r="O204" s="20"/>
      <c r="P204" s="10">
        <v>5574293.0184615385</v>
      </c>
      <c r="Q204" s="20"/>
      <c r="R204" s="10">
        <v>-635297.07550478459</v>
      </c>
      <c r="S204" s="2"/>
      <c r="T204" s="10">
        <v>4938995.942956754</v>
      </c>
      <c r="U204" s="20"/>
      <c r="V204" s="4">
        <v>3.3223291576056193E-3</v>
      </c>
      <c r="W204" s="20"/>
      <c r="X204" s="4">
        <v>-635297.07218245545</v>
      </c>
      <c r="Y204" s="20"/>
      <c r="Z204" s="4">
        <v>5799482.7699999996</v>
      </c>
      <c r="AA204" s="4">
        <v>0</v>
      </c>
    </row>
    <row r="205" spans="1:27">
      <c r="A205" s="6" t="s">
        <v>104</v>
      </c>
      <c r="B205" s="6" t="str">
        <f t="shared" si="7"/>
        <v>368</v>
      </c>
      <c r="C205" s="2" t="s">
        <v>26</v>
      </c>
      <c r="D205" s="4">
        <v>12723148.67</v>
      </c>
      <c r="E205" s="20"/>
      <c r="F205" s="4">
        <v>0</v>
      </c>
      <c r="G205" s="20"/>
      <c r="H205" s="4">
        <v>0</v>
      </c>
      <c r="I205" s="20"/>
      <c r="J205" s="4">
        <v>0</v>
      </c>
      <c r="K205" s="20"/>
      <c r="L205" s="4">
        <v>0</v>
      </c>
      <c r="M205" s="20"/>
      <c r="N205" s="4">
        <v>12723148.67</v>
      </c>
      <c r="O205" s="20"/>
      <c r="P205" s="10">
        <v>12723148.669999996</v>
      </c>
      <c r="Q205" s="20"/>
      <c r="R205" s="10">
        <v>-7229094.815977402</v>
      </c>
      <c r="S205" s="2"/>
      <c r="T205" s="10">
        <v>5494053.8540225942</v>
      </c>
      <c r="U205" s="20"/>
      <c r="V205" s="4">
        <v>0</v>
      </c>
      <c r="W205" s="20"/>
      <c r="X205" s="4">
        <v>-7229094.815977402</v>
      </c>
      <c r="Y205" s="20"/>
      <c r="Z205" s="4">
        <v>12723148.67</v>
      </c>
      <c r="AA205" s="4">
        <v>0</v>
      </c>
    </row>
    <row r="206" spans="1:27">
      <c r="A206" s="6" t="s">
        <v>104</v>
      </c>
      <c r="B206" s="6" t="str">
        <f t="shared" si="7"/>
        <v>369</v>
      </c>
      <c r="C206" s="2" t="s">
        <v>27</v>
      </c>
      <c r="D206" s="4">
        <v>5498987.4100000001</v>
      </c>
      <c r="E206" s="20"/>
      <c r="F206" s="4">
        <v>0</v>
      </c>
      <c r="G206" s="20"/>
      <c r="H206" s="4">
        <v>0</v>
      </c>
      <c r="I206" s="20"/>
      <c r="J206" s="4">
        <v>0</v>
      </c>
      <c r="K206" s="20"/>
      <c r="L206" s="4">
        <v>0</v>
      </c>
      <c r="M206" s="20"/>
      <c r="N206" s="4">
        <v>5498987.4100000001</v>
      </c>
      <c r="O206" s="20"/>
      <c r="P206" s="10">
        <v>5498987.4100000011</v>
      </c>
      <c r="Q206" s="20"/>
      <c r="R206" s="10">
        <v>-4290024.1344139827</v>
      </c>
      <c r="S206" s="2"/>
      <c r="T206" s="10">
        <v>1208963.2755860183</v>
      </c>
      <c r="U206" s="20"/>
      <c r="V206" s="4">
        <v>0</v>
      </c>
      <c r="W206" s="20"/>
      <c r="X206" s="4">
        <v>-4290024.1344139827</v>
      </c>
      <c r="Y206" s="20"/>
      <c r="Z206" s="4">
        <v>5498987.4100000001</v>
      </c>
      <c r="AA206" s="4">
        <v>0</v>
      </c>
    </row>
    <row r="207" spans="1:27">
      <c r="A207" s="6" t="s">
        <v>104</v>
      </c>
      <c r="B207" s="6" t="str">
        <f t="shared" si="7"/>
        <v>370</v>
      </c>
      <c r="C207" s="2" t="s">
        <v>28</v>
      </c>
      <c r="D207" s="4">
        <v>3938073.8000000003</v>
      </c>
      <c r="E207" s="20"/>
      <c r="F207" s="4">
        <v>0</v>
      </c>
      <c r="G207" s="20"/>
      <c r="H207" s="4">
        <v>0</v>
      </c>
      <c r="I207" s="20"/>
      <c r="J207" s="4">
        <v>0</v>
      </c>
      <c r="K207" s="20"/>
      <c r="L207" s="4">
        <v>0</v>
      </c>
      <c r="M207" s="20"/>
      <c r="N207" s="4">
        <v>3938073.8000000003</v>
      </c>
      <c r="O207" s="20"/>
      <c r="P207" s="10">
        <v>3938073.7999999989</v>
      </c>
      <c r="Q207" s="20"/>
      <c r="R207" s="10">
        <v>-2869118.4748039898</v>
      </c>
      <c r="S207" s="2"/>
      <c r="T207" s="10">
        <v>1068955.3251960091</v>
      </c>
      <c r="U207" s="20">
        <v>0</v>
      </c>
      <c r="V207" s="4">
        <v>0</v>
      </c>
      <c r="W207" s="20"/>
      <c r="X207" s="4">
        <v>-2869118.4748039898</v>
      </c>
      <c r="Y207" s="20"/>
      <c r="Z207" s="4">
        <v>3938073.8000000003</v>
      </c>
      <c r="AA207" s="4">
        <v>0</v>
      </c>
    </row>
    <row r="208" spans="1:27">
      <c r="A208" s="6" t="s">
        <v>104</v>
      </c>
      <c r="B208" s="6" t="str">
        <f t="shared" si="7"/>
        <v>371</v>
      </c>
      <c r="C208" s="2" t="s">
        <v>29</v>
      </c>
      <c r="D208" s="4">
        <v>0</v>
      </c>
      <c r="E208" s="21"/>
      <c r="F208" s="4">
        <v>0</v>
      </c>
      <c r="G208" s="21"/>
      <c r="H208" s="4">
        <v>0</v>
      </c>
      <c r="I208" s="21"/>
      <c r="J208" s="4">
        <v>0</v>
      </c>
      <c r="K208" s="21"/>
      <c r="L208" s="14">
        <v>0</v>
      </c>
      <c r="M208" s="21"/>
      <c r="N208" s="14">
        <v>0</v>
      </c>
      <c r="O208" s="20"/>
      <c r="P208" s="10">
        <v>0</v>
      </c>
      <c r="Q208" s="20"/>
      <c r="R208" s="10">
        <v>0</v>
      </c>
      <c r="S208" s="2"/>
      <c r="T208" s="10">
        <v>0</v>
      </c>
      <c r="U208" s="21"/>
      <c r="V208" s="4">
        <v>0</v>
      </c>
      <c r="W208" s="21"/>
      <c r="X208" s="4">
        <v>0</v>
      </c>
      <c r="Y208" s="21"/>
      <c r="Z208" s="4">
        <v>0</v>
      </c>
      <c r="AA208" s="4">
        <v>0</v>
      </c>
    </row>
    <row r="209" spans="1:27">
      <c r="A209" s="6" t="s">
        <v>104</v>
      </c>
      <c r="B209" s="6" t="str">
        <f t="shared" si="7"/>
        <v>373</v>
      </c>
      <c r="C209" s="2" t="s">
        <v>30</v>
      </c>
      <c r="D209" s="17">
        <v>3795298.86</v>
      </c>
      <c r="E209" s="21"/>
      <c r="F209" s="17">
        <v>214877.16999999958</v>
      </c>
      <c r="G209" s="21"/>
      <c r="H209" s="17">
        <v>0</v>
      </c>
      <c r="I209" s="21"/>
      <c r="J209" s="17">
        <v>0</v>
      </c>
      <c r="K209" s="21"/>
      <c r="L209" s="17">
        <v>214877.16999999958</v>
      </c>
      <c r="M209" s="21"/>
      <c r="N209" s="17">
        <v>4010176.0299999993</v>
      </c>
      <c r="O209" s="20"/>
      <c r="P209" s="18">
        <v>3900880.5453846096</v>
      </c>
      <c r="Q209" s="20"/>
      <c r="R209" s="18">
        <v>-1747059.3587996387</v>
      </c>
      <c r="S209" s="2"/>
      <c r="T209" s="18">
        <v>2153821.1865849709</v>
      </c>
      <c r="U209" s="21"/>
      <c r="V209" s="17">
        <v>1.6093978779238766E-3</v>
      </c>
      <c r="W209" s="21"/>
      <c r="X209" s="17">
        <v>-1747059.3571902409</v>
      </c>
      <c r="Y209" s="21"/>
      <c r="Z209" s="17">
        <v>4010176.02999999</v>
      </c>
      <c r="AA209" s="17">
        <v>-9.3132257461547852E-9</v>
      </c>
    </row>
    <row r="210" spans="1:27">
      <c r="C210" s="2"/>
      <c r="D210" s="14">
        <v>95734399.709999993</v>
      </c>
      <c r="E210" s="21"/>
      <c r="F210" s="14">
        <v>2670280.2699999972</v>
      </c>
      <c r="G210" s="21"/>
      <c r="H210" s="14">
        <v>0</v>
      </c>
      <c r="I210" s="21"/>
      <c r="J210" s="14">
        <v>0</v>
      </c>
      <c r="K210" s="21"/>
      <c r="L210" s="14">
        <v>2670280.2699999972</v>
      </c>
      <c r="M210" s="21"/>
      <c r="N210" s="14">
        <v>98404679.979999989</v>
      </c>
      <c r="O210" s="20"/>
      <c r="P210" s="14">
        <v>97067578.19769229</v>
      </c>
      <c r="Q210" s="20"/>
      <c r="R210" s="14">
        <v>-42473285.915150911</v>
      </c>
      <c r="S210" s="2"/>
      <c r="T210" s="14">
        <v>54594292.282541372</v>
      </c>
      <c r="U210" s="21"/>
      <c r="V210" s="14">
        <v>0.02</v>
      </c>
      <c r="W210" s="21"/>
      <c r="X210" s="14">
        <v>-42473285.895150907</v>
      </c>
      <c r="Y210" s="21">
        <v>0</v>
      </c>
      <c r="Z210" s="14">
        <v>98290797.729999989</v>
      </c>
      <c r="AA210" s="14">
        <v>-113882.25000000931</v>
      </c>
    </row>
    <row r="211" spans="1:27">
      <c r="C211" s="2"/>
      <c r="D211" s="14"/>
      <c r="E211" s="21"/>
      <c r="F211" s="14"/>
      <c r="G211" s="21"/>
      <c r="H211" s="14"/>
      <c r="I211" s="21"/>
      <c r="J211" s="14"/>
      <c r="K211" s="21"/>
      <c r="L211" s="14"/>
      <c r="M211" s="21"/>
      <c r="N211" s="14"/>
      <c r="O211" s="20"/>
      <c r="P211" s="2"/>
      <c r="Q211" s="20"/>
      <c r="R211" s="2"/>
      <c r="S211" s="2"/>
      <c r="T211" s="2"/>
      <c r="U211" s="21"/>
      <c r="V211" s="14"/>
      <c r="W211" s="21"/>
      <c r="X211" s="14"/>
      <c r="Y211" s="21"/>
      <c r="Z211" s="14"/>
      <c r="AA211" s="14"/>
    </row>
    <row r="212" spans="1:27">
      <c r="C212" s="5" t="s">
        <v>33</v>
      </c>
      <c r="D212" s="14"/>
      <c r="E212" s="21"/>
      <c r="F212" s="14"/>
      <c r="G212" s="21"/>
      <c r="H212" s="14"/>
      <c r="I212" s="21"/>
      <c r="J212" s="14"/>
      <c r="K212" s="21"/>
      <c r="L212" s="14"/>
      <c r="M212" s="21"/>
      <c r="N212" s="14"/>
      <c r="O212" s="20"/>
      <c r="P212" s="2"/>
      <c r="Q212" s="20"/>
      <c r="R212" s="2"/>
      <c r="S212" s="2"/>
      <c r="T212" s="2"/>
      <c r="U212" s="21"/>
      <c r="V212" s="14"/>
      <c r="W212" s="21"/>
      <c r="X212" s="14"/>
      <c r="Y212" s="21"/>
      <c r="Z212" s="14"/>
      <c r="AA212" s="14"/>
    </row>
    <row r="213" spans="1:27">
      <c r="A213" s="6" t="s">
        <v>104</v>
      </c>
      <c r="B213" s="6" t="str">
        <f t="shared" ref="B213" si="8">MID(C213,2,3)</f>
        <v>389</v>
      </c>
      <c r="C213" s="2" t="s">
        <v>34</v>
      </c>
      <c r="D213" s="14">
        <v>378354.99999999901</v>
      </c>
      <c r="E213" s="21"/>
      <c r="F213" s="14">
        <v>0</v>
      </c>
      <c r="G213" s="21"/>
      <c r="H213" s="14">
        <v>0</v>
      </c>
      <c r="I213" s="21"/>
      <c r="J213" s="14">
        <v>0</v>
      </c>
      <c r="K213" s="21"/>
      <c r="L213" s="14">
        <v>0</v>
      </c>
      <c r="M213" s="21"/>
      <c r="N213" s="14">
        <v>378354.99999999901</v>
      </c>
      <c r="O213" s="20"/>
      <c r="P213" s="10">
        <v>378354.99999999901</v>
      </c>
      <c r="Q213" s="20"/>
      <c r="R213" s="10">
        <v>0</v>
      </c>
      <c r="S213" s="2"/>
      <c r="T213" s="10">
        <v>378354.99999999901</v>
      </c>
      <c r="U213" s="21"/>
      <c r="V213" s="14">
        <v>0</v>
      </c>
      <c r="W213" s="15"/>
      <c r="X213" s="14">
        <v>0</v>
      </c>
      <c r="Y213" s="15"/>
      <c r="Z213" s="14">
        <v>378354.99999999901</v>
      </c>
      <c r="AA213" s="14">
        <v>0</v>
      </c>
    </row>
    <row r="214" spans="1:27">
      <c r="A214" s="6" t="s">
        <v>104</v>
      </c>
      <c r="B214" s="6" t="str">
        <f>MID(C214,2,3)</f>
        <v>390</v>
      </c>
      <c r="C214" s="2" t="s">
        <v>35</v>
      </c>
      <c r="D214" s="14">
        <v>6182954.6499999994</v>
      </c>
      <c r="E214" s="21"/>
      <c r="F214" s="14">
        <v>0</v>
      </c>
      <c r="G214" s="21"/>
      <c r="H214" s="14">
        <v>0</v>
      </c>
      <c r="I214" s="21"/>
      <c r="J214" s="14">
        <v>0</v>
      </c>
      <c r="K214" s="21"/>
      <c r="L214" s="14">
        <v>0</v>
      </c>
      <c r="M214" s="21"/>
      <c r="N214" s="14">
        <v>6182954.6499999994</v>
      </c>
      <c r="O214" s="20"/>
      <c r="P214" s="10">
        <v>6182954.6499999994</v>
      </c>
      <c r="Q214" s="20"/>
      <c r="R214" s="10">
        <v>267611.20834770799</v>
      </c>
      <c r="S214" s="2"/>
      <c r="T214" s="10">
        <v>6450565.8583477074</v>
      </c>
      <c r="U214" s="21"/>
      <c r="V214" s="14">
        <v>0</v>
      </c>
      <c r="W214" s="21"/>
      <c r="X214" s="14">
        <v>267611.20834770799</v>
      </c>
      <c r="Y214" s="21"/>
      <c r="Z214" s="14">
        <v>6182954.6499999994</v>
      </c>
      <c r="AA214" s="14">
        <v>0</v>
      </c>
    </row>
    <row r="215" spans="1:27">
      <c r="A215" s="6" t="s">
        <v>104</v>
      </c>
      <c r="C215" s="2" t="s">
        <v>106</v>
      </c>
      <c r="D215" s="14">
        <v>0</v>
      </c>
      <c r="E215" s="21"/>
      <c r="F215" s="14">
        <v>0</v>
      </c>
      <c r="G215" s="21"/>
      <c r="H215" s="14">
        <v>0</v>
      </c>
      <c r="I215" s="21"/>
      <c r="J215" s="14">
        <v>0</v>
      </c>
      <c r="K215" s="21"/>
      <c r="L215" s="14">
        <v>0</v>
      </c>
      <c r="M215" s="21"/>
      <c r="N215" s="14">
        <v>0</v>
      </c>
      <c r="O215" s="20"/>
      <c r="P215" s="10">
        <v>0</v>
      </c>
      <c r="Q215" s="20"/>
      <c r="R215" s="10">
        <v>0</v>
      </c>
      <c r="S215" s="2"/>
      <c r="T215" s="10">
        <v>0</v>
      </c>
      <c r="U215" s="21"/>
      <c r="V215" s="14">
        <v>0</v>
      </c>
      <c r="W215" s="21"/>
      <c r="X215" s="14">
        <v>0</v>
      </c>
      <c r="Y215" s="21"/>
      <c r="Z215" s="14">
        <v>0</v>
      </c>
      <c r="AA215" s="14">
        <v>0</v>
      </c>
    </row>
    <row r="216" spans="1:27">
      <c r="A216" s="6" t="s">
        <v>104</v>
      </c>
      <c r="B216" s="6" t="str">
        <f>MID(C216,2,3)</f>
        <v>391</v>
      </c>
      <c r="C216" s="2" t="s">
        <v>37</v>
      </c>
      <c r="D216" s="14">
        <v>0</v>
      </c>
      <c r="E216" s="21"/>
      <c r="F216" s="14">
        <v>0</v>
      </c>
      <c r="G216" s="21"/>
      <c r="H216" s="14">
        <v>0</v>
      </c>
      <c r="I216" s="21"/>
      <c r="J216" s="14">
        <v>0</v>
      </c>
      <c r="K216" s="21"/>
      <c r="L216" s="14">
        <v>0</v>
      </c>
      <c r="M216" s="21"/>
      <c r="N216" s="14">
        <v>0</v>
      </c>
      <c r="O216" s="20"/>
      <c r="P216" s="10">
        <v>0</v>
      </c>
      <c r="Q216" s="20"/>
      <c r="R216" s="10">
        <v>-832.59999999999991</v>
      </c>
      <c r="S216" s="2"/>
      <c r="T216" s="10">
        <v>-832.59999999999991</v>
      </c>
      <c r="U216" s="21"/>
      <c r="V216" s="14">
        <v>0</v>
      </c>
      <c r="W216" s="21"/>
      <c r="X216" s="14">
        <v>-832.59999999999991</v>
      </c>
      <c r="Y216" s="21"/>
      <c r="Z216" s="14">
        <v>0</v>
      </c>
      <c r="AA216" s="14">
        <v>0</v>
      </c>
    </row>
    <row r="217" spans="1:27">
      <c r="A217" s="6" t="s">
        <v>104</v>
      </c>
      <c r="C217" s="2" t="s">
        <v>107</v>
      </c>
      <c r="D217" s="14">
        <v>0</v>
      </c>
      <c r="E217" s="21"/>
      <c r="F217" s="14">
        <v>0</v>
      </c>
      <c r="G217" s="21"/>
      <c r="H217" s="14">
        <v>0</v>
      </c>
      <c r="I217" s="21"/>
      <c r="J217" s="14">
        <v>0</v>
      </c>
      <c r="K217" s="21"/>
      <c r="L217" s="14">
        <v>0</v>
      </c>
      <c r="M217" s="21"/>
      <c r="N217" s="14">
        <v>0</v>
      </c>
      <c r="O217" s="20"/>
      <c r="P217" s="10">
        <v>0</v>
      </c>
      <c r="Q217" s="20"/>
      <c r="R217" s="10">
        <v>0</v>
      </c>
      <c r="S217" s="2"/>
      <c r="T217" s="10">
        <v>0</v>
      </c>
      <c r="U217" s="21"/>
      <c r="V217" s="14">
        <v>0</v>
      </c>
      <c r="W217" s="21"/>
      <c r="X217" s="14">
        <v>0</v>
      </c>
      <c r="Y217" s="21"/>
      <c r="Z217" s="14">
        <v>0</v>
      </c>
      <c r="AA217" s="14">
        <v>0</v>
      </c>
    </row>
    <row r="218" spans="1:27">
      <c r="A218" s="6" t="s">
        <v>104</v>
      </c>
      <c r="B218" s="6" t="str">
        <f t="shared" ref="B218:B223" si="9">MID(C218,2,3)</f>
        <v>392</v>
      </c>
      <c r="C218" s="2" t="s">
        <v>41</v>
      </c>
      <c r="D218" s="14">
        <v>0</v>
      </c>
      <c r="E218" s="21"/>
      <c r="F218" s="14">
        <v>0</v>
      </c>
      <c r="G218" s="21"/>
      <c r="H218" s="14">
        <v>0</v>
      </c>
      <c r="I218" s="21"/>
      <c r="J218" s="14">
        <v>0</v>
      </c>
      <c r="K218" s="21"/>
      <c r="L218" s="14">
        <v>0</v>
      </c>
      <c r="M218" s="21"/>
      <c r="N218" s="14">
        <v>0</v>
      </c>
      <c r="O218" s="20"/>
      <c r="P218" s="10">
        <v>0</v>
      </c>
      <c r="Q218" s="20"/>
      <c r="R218" s="10">
        <v>0</v>
      </c>
      <c r="S218" s="2"/>
      <c r="T218" s="10">
        <v>0</v>
      </c>
      <c r="U218" s="21"/>
      <c r="V218" s="14">
        <v>0</v>
      </c>
      <c r="W218" s="21"/>
      <c r="X218" s="14">
        <v>0</v>
      </c>
      <c r="Y218" s="21"/>
      <c r="Z218" s="14">
        <v>0</v>
      </c>
      <c r="AA218" s="14">
        <v>0</v>
      </c>
    </row>
    <row r="219" spans="1:27">
      <c r="A219" s="6" t="s">
        <v>104</v>
      </c>
      <c r="B219" s="6" t="str">
        <f t="shared" si="9"/>
        <v>393</v>
      </c>
      <c r="C219" s="2" t="s">
        <v>43</v>
      </c>
      <c r="D219" s="14">
        <v>4526.22</v>
      </c>
      <c r="E219" s="21"/>
      <c r="F219" s="14">
        <v>0</v>
      </c>
      <c r="G219" s="21"/>
      <c r="H219" s="14">
        <v>0</v>
      </c>
      <c r="I219" s="21"/>
      <c r="J219" s="14">
        <v>0</v>
      </c>
      <c r="K219" s="21"/>
      <c r="L219" s="14">
        <v>0</v>
      </c>
      <c r="M219" s="21"/>
      <c r="N219" s="14">
        <v>4526.22</v>
      </c>
      <c r="O219" s="20"/>
      <c r="P219" s="10">
        <v>4526.2200000000012</v>
      </c>
      <c r="Q219" s="20"/>
      <c r="R219" s="10">
        <v>-3706.5796349999946</v>
      </c>
      <c r="S219" s="2"/>
      <c r="T219" s="10">
        <v>819.64036500000657</v>
      </c>
      <c r="U219" s="21"/>
      <c r="V219" s="14">
        <v>0</v>
      </c>
      <c r="W219" s="21"/>
      <c r="X219" s="14">
        <v>-3706.5796349999946</v>
      </c>
      <c r="Y219" s="21"/>
      <c r="Z219" s="14">
        <v>4526.22</v>
      </c>
      <c r="AA219" s="14">
        <v>0</v>
      </c>
    </row>
    <row r="220" spans="1:27">
      <c r="A220" s="6" t="s">
        <v>104</v>
      </c>
      <c r="B220" s="6" t="str">
        <f t="shared" si="9"/>
        <v>394</v>
      </c>
      <c r="C220" s="2" t="s">
        <v>44</v>
      </c>
      <c r="D220" s="14">
        <v>504941.32</v>
      </c>
      <c r="E220" s="21"/>
      <c r="F220" s="14">
        <v>28625.040000000005</v>
      </c>
      <c r="G220" s="21"/>
      <c r="H220" s="14">
        <v>0</v>
      </c>
      <c r="I220" s="21"/>
      <c r="J220" s="14">
        <v>0</v>
      </c>
      <c r="K220" s="21"/>
      <c r="L220" s="14">
        <v>28625.040000000005</v>
      </c>
      <c r="M220" s="21"/>
      <c r="N220" s="14">
        <v>533566.36</v>
      </c>
      <c r="O220" s="20"/>
      <c r="P220" s="10">
        <v>518725.38769230712</v>
      </c>
      <c r="Q220" s="20"/>
      <c r="R220" s="10">
        <v>-205528.69627399999</v>
      </c>
      <c r="S220" s="2"/>
      <c r="T220" s="10">
        <v>313196.69141830713</v>
      </c>
      <c r="U220" s="21"/>
      <c r="V220" s="14">
        <v>0</v>
      </c>
      <c r="W220" s="21"/>
      <c r="X220" s="14">
        <v>-205528.69627399999</v>
      </c>
      <c r="Y220" s="21"/>
      <c r="Z220" s="14">
        <v>533566.35999999905</v>
      </c>
      <c r="AA220" s="14">
        <v>-9.3132257461547852E-10</v>
      </c>
    </row>
    <row r="221" spans="1:27">
      <c r="A221" s="6" t="s">
        <v>104</v>
      </c>
      <c r="B221" s="6" t="str">
        <f t="shared" si="9"/>
        <v>395</v>
      </c>
      <c r="C221" s="2" t="s">
        <v>45</v>
      </c>
      <c r="D221" s="14">
        <v>0</v>
      </c>
      <c r="E221" s="21"/>
      <c r="F221" s="14">
        <v>0</v>
      </c>
      <c r="G221" s="21"/>
      <c r="H221" s="14">
        <v>0</v>
      </c>
      <c r="I221" s="21"/>
      <c r="J221" s="14">
        <v>0</v>
      </c>
      <c r="K221" s="21"/>
      <c r="L221" s="14">
        <v>0</v>
      </c>
      <c r="M221" s="21"/>
      <c r="N221" s="14">
        <v>0</v>
      </c>
      <c r="O221" s="20"/>
      <c r="P221" s="10">
        <v>0</v>
      </c>
      <c r="Q221" s="20"/>
      <c r="R221" s="10">
        <v>0</v>
      </c>
      <c r="S221" s="2"/>
      <c r="T221" s="10">
        <v>0</v>
      </c>
      <c r="U221" s="21"/>
      <c r="V221" s="14">
        <v>0</v>
      </c>
      <c r="W221" s="21"/>
      <c r="X221" s="14">
        <v>0</v>
      </c>
      <c r="Y221" s="21"/>
      <c r="Z221" s="14">
        <v>0</v>
      </c>
      <c r="AA221" s="14">
        <v>0</v>
      </c>
    </row>
    <row r="222" spans="1:27">
      <c r="A222" s="6" t="s">
        <v>104</v>
      </c>
      <c r="B222" s="6" t="str">
        <f t="shared" si="9"/>
        <v>396</v>
      </c>
      <c r="C222" s="2" t="s">
        <v>46</v>
      </c>
      <c r="D222" s="14">
        <v>282277.26</v>
      </c>
      <c r="E222" s="21"/>
      <c r="F222" s="14">
        <v>0</v>
      </c>
      <c r="G222" s="21"/>
      <c r="H222" s="14">
        <v>0</v>
      </c>
      <c r="I222" s="21"/>
      <c r="J222" s="14">
        <v>0</v>
      </c>
      <c r="K222" s="21"/>
      <c r="L222" s="14">
        <v>0</v>
      </c>
      <c r="M222" s="21"/>
      <c r="N222" s="14">
        <v>282277.26</v>
      </c>
      <c r="O222" s="20"/>
      <c r="P222" s="10">
        <v>282277.25999999995</v>
      </c>
      <c r="Q222" s="20"/>
      <c r="R222" s="10">
        <v>-114269.11294799979</v>
      </c>
      <c r="S222" s="2"/>
      <c r="T222" s="10">
        <v>168008.14705200016</v>
      </c>
      <c r="U222" s="21"/>
      <c r="V222" s="14">
        <v>0</v>
      </c>
      <c r="W222" s="21"/>
      <c r="X222" s="14">
        <v>-114269.11294799979</v>
      </c>
      <c r="Y222" s="21"/>
      <c r="Z222" s="14">
        <v>282277.26</v>
      </c>
      <c r="AA222" s="14">
        <v>0</v>
      </c>
    </row>
    <row r="223" spans="1:27">
      <c r="A223" s="6" t="s">
        <v>104</v>
      </c>
      <c r="B223" s="6" t="str">
        <f t="shared" si="9"/>
        <v>397</v>
      </c>
      <c r="C223" s="2" t="s">
        <v>2320</v>
      </c>
      <c r="D223" s="14">
        <v>925246.96999999904</v>
      </c>
      <c r="E223" s="21"/>
      <c r="F223" s="14">
        <v>0</v>
      </c>
      <c r="G223" s="21"/>
      <c r="H223" s="14">
        <v>0</v>
      </c>
      <c r="I223" s="21"/>
      <c r="J223" s="14">
        <v>0</v>
      </c>
      <c r="K223" s="21"/>
      <c r="L223" s="14">
        <v>0</v>
      </c>
      <c r="M223" s="21"/>
      <c r="N223" s="14">
        <v>925246.96999999904</v>
      </c>
      <c r="O223" s="20"/>
      <c r="P223" s="10">
        <v>925246.96999999892</v>
      </c>
      <c r="Q223" s="20"/>
      <c r="R223" s="10">
        <v>-632206.82541000005</v>
      </c>
      <c r="S223" s="2"/>
      <c r="T223" s="10">
        <v>293040.14458999888</v>
      </c>
      <c r="U223" s="21"/>
      <c r="V223" s="14">
        <v>0</v>
      </c>
      <c r="W223" s="21"/>
      <c r="X223" s="14">
        <v>-632206.82541000005</v>
      </c>
      <c r="Y223" s="21"/>
      <c r="Z223" s="14">
        <v>925246.96999999904</v>
      </c>
      <c r="AA223" s="14">
        <v>0</v>
      </c>
    </row>
    <row r="224" spans="1:27">
      <c r="A224" s="6" t="s">
        <v>104</v>
      </c>
      <c r="C224" s="2" t="s">
        <v>2321</v>
      </c>
      <c r="D224" s="14">
        <v>0</v>
      </c>
      <c r="E224" s="21"/>
      <c r="F224" s="14">
        <v>0</v>
      </c>
      <c r="G224" s="21"/>
      <c r="H224" s="14">
        <v>0</v>
      </c>
      <c r="I224" s="21"/>
      <c r="J224" s="14">
        <v>0</v>
      </c>
      <c r="K224" s="21"/>
      <c r="L224" s="14">
        <v>0</v>
      </c>
      <c r="M224" s="21"/>
      <c r="N224" s="14">
        <v>0</v>
      </c>
      <c r="O224" s="20"/>
      <c r="P224" s="10">
        <v>0</v>
      </c>
      <c r="Q224" s="20"/>
      <c r="R224" s="10">
        <v>0</v>
      </c>
      <c r="S224" s="2"/>
      <c r="T224" s="10">
        <v>0</v>
      </c>
      <c r="U224" s="21"/>
      <c r="V224" s="14">
        <v>0</v>
      </c>
      <c r="W224" s="21"/>
      <c r="X224" s="14">
        <v>0</v>
      </c>
      <c r="Y224" s="21"/>
      <c r="Z224" s="14">
        <v>0</v>
      </c>
      <c r="AA224" s="14">
        <v>0</v>
      </c>
    </row>
    <row r="225" spans="1:27">
      <c r="A225" s="6" t="s">
        <v>104</v>
      </c>
      <c r="B225" s="6" t="str">
        <f>MID(C225,2,3)</f>
        <v>398</v>
      </c>
      <c r="C225" s="2" t="s">
        <v>48</v>
      </c>
      <c r="D225" s="17">
        <v>0</v>
      </c>
      <c r="E225" s="21"/>
      <c r="F225" s="17">
        <v>0</v>
      </c>
      <c r="G225" s="21"/>
      <c r="H225" s="17">
        <v>0</v>
      </c>
      <c r="I225" s="21"/>
      <c r="J225" s="17">
        <v>0</v>
      </c>
      <c r="K225" s="21"/>
      <c r="L225" s="17">
        <v>0</v>
      </c>
      <c r="M225" s="21"/>
      <c r="N225" s="17">
        <v>0</v>
      </c>
      <c r="O225" s="20"/>
      <c r="P225" s="18">
        <v>0</v>
      </c>
      <c r="Q225" s="20"/>
      <c r="R225" s="18">
        <v>0</v>
      </c>
      <c r="S225" s="2"/>
      <c r="T225" s="18">
        <v>0</v>
      </c>
      <c r="U225" s="21"/>
      <c r="V225" s="17">
        <v>0</v>
      </c>
      <c r="W225" s="21"/>
      <c r="X225" s="17">
        <v>0</v>
      </c>
      <c r="Y225" s="21"/>
      <c r="Z225" s="17">
        <v>0</v>
      </c>
      <c r="AA225" s="17">
        <v>0</v>
      </c>
    </row>
    <row r="226" spans="1:27">
      <c r="C226" s="2"/>
      <c r="D226" s="14">
        <v>8278301.4199999971</v>
      </c>
      <c r="E226" s="21"/>
      <c r="F226" s="14">
        <v>28625.040000000005</v>
      </c>
      <c r="G226" s="21"/>
      <c r="H226" s="14">
        <v>0</v>
      </c>
      <c r="I226" s="21"/>
      <c r="J226" s="14">
        <v>0</v>
      </c>
      <c r="K226" s="21"/>
      <c r="L226" s="14">
        <v>28625.040000000005</v>
      </c>
      <c r="M226" s="21"/>
      <c r="N226" s="14">
        <v>8306926.4599999972</v>
      </c>
      <c r="O226" s="20"/>
      <c r="P226" s="14">
        <v>8292085.487692304</v>
      </c>
      <c r="Q226" s="20"/>
      <c r="R226" s="14">
        <v>-688932.60591929173</v>
      </c>
      <c r="S226" s="2"/>
      <c r="T226" s="14">
        <v>7603152.8817730127</v>
      </c>
      <c r="U226" s="21"/>
      <c r="V226" s="14">
        <v>0</v>
      </c>
      <c r="W226" s="21"/>
      <c r="X226" s="14">
        <v>-688932.60591929173</v>
      </c>
      <c r="Y226" s="21">
        <v>0</v>
      </c>
      <c r="Z226" s="14">
        <v>8306926.4599999962</v>
      </c>
      <c r="AA226" s="14">
        <v>-9.3132257461547852E-10</v>
      </c>
    </row>
    <row r="227" spans="1:27">
      <c r="C227" s="2"/>
      <c r="D227" s="14"/>
      <c r="E227" s="21"/>
      <c r="F227" s="14"/>
      <c r="G227" s="21"/>
      <c r="H227" s="14"/>
      <c r="I227" s="21"/>
      <c r="J227" s="14"/>
      <c r="K227" s="21"/>
      <c r="L227" s="14"/>
      <c r="M227" s="21"/>
      <c r="N227" s="14"/>
      <c r="O227" s="20"/>
      <c r="P227" s="2"/>
      <c r="Q227" s="20"/>
      <c r="R227" s="2"/>
      <c r="S227" s="2"/>
      <c r="T227" s="2"/>
      <c r="U227" s="21"/>
      <c r="V227" s="14"/>
      <c r="W227" s="21"/>
      <c r="X227" s="14"/>
      <c r="Y227" s="21"/>
      <c r="Z227" s="14"/>
      <c r="AA227" s="14"/>
    </row>
    <row r="228" spans="1:27">
      <c r="C228" s="5" t="s">
        <v>58</v>
      </c>
      <c r="D228" s="14"/>
      <c r="E228" s="21"/>
      <c r="F228" s="14"/>
      <c r="G228" s="21"/>
      <c r="H228" s="14"/>
      <c r="I228" s="21"/>
      <c r="J228" s="14"/>
      <c r="K228" s="21"/>
      <c r="L228" s="14"/>
      <c r="M228" s="21"/>
      <c r="N228" s="14"/>
      <c r="O228" s="20"/>
      <c r="P228" s="2"/>
      <c r="Q228" s="20"/>
      <c r="R228" s="2"/>
      <c r="S228" s="2"/>
      <c r="T228" s="2"/>
      <c r="U228" s="21"/>
      <c r="V228" s="14"/>
      <c r="W228" s="21"/>
      <c r="X228" s="14"/>
      <c r="Y228" s="21"/>
      <c r="Z228" s="14"/>
      <c r="AA228" s="14"/>
    </row>
    <row r="229" spans="1:27">
      <c r="A229" s="6" t="s">
        <v>104</v>
      </c>
      <c r="B229" s="6" t="str">
        <f t="shared" ref="B229" si="10">MID(C229,2,3)</f>
        <v>301</v>
      </c>
      <c r="C229" s="2" t="s">
        <v>59</v>
      </c>
      <c r="D229" s="17">
        <v>5338.69</v>
      </c>
      <c r="E229" s="21"/>
      <c r="F229" s="17">
        <v>0</v>
      </c>
      <c r="G229" s="21"/>
      <c r="H229" s="17">
        <v>0</v>
      </c>
      <c r="I229" s="21"/>
      <c r="J229" s="17">
        <v>0</v>
      </c>
      <c r="K229" s="21"/>
      <c r="L229" s="17">
        <v>0</v>
      </c>
      <c r="M229" s="21"/>
      <c r="N229" s="17">
        <v>5338.69</v>
      </c>
      <c r="O229" s="20"/>
      <c r="P229" s="18">
        <v>5338.69</v>
      </c>
      <c r="Q229" s="20"/>
      <c r="R229" s="18">
        <v>0</v>
      </c>
      <c r="S229" s="2"/>
      <c r="T229" s="18">
        <v>5338.69</v>
      </c>
      <c r="U229" s="21"/>
      <c r="V229" s="17"/>
      <c r="W229" s="21"/>
      <c r="X229" s="17">
        <v>0</v>
      </c>
      <c r="Y229" s="21"/>
      <c r="Z229" s="17">
        <v>5338.69</v>
      </c>
      <c r="AA229" s="17">
        <v>0</v>
      </c>
    </row>
    <row r="230" spans="1:27">
      <c r="C230" s="2"/>
      <c r="D230" s="14">
        <v>5338.69</v>
      </c>
      <c r="E230" s="21"/>
      <c r="F230" s="14">
        <v>0</v>
      </c>
      <c r="G230" s="21"/>
      <c r="H230" s="14">
        <v>0</v>
      </c>
      <c r="I230" s="21"/>
      <c r="J230" s="14">
        <v>0</v>
      </c>
      <c r="K230" s="21"/>
      <c r="L230" s="14">
        <v>0</v>
      </c>
      <c r="M230" s="21"/>
      <c r="N230" s="14">
        <v>5338.69</v>
      </c>
      <c r="O230" s="20"/>
      <c r="P230" s="14">
        <v>5338.69</v>
      </c>
      <c r="Q230" s="20"/>
      <c r="R230" s="14">
        <v>0</v>
      </c>
      <c r="S230" s="2"/>
      <c r="T230" s="14">
        <v>5338.69</v>
      </c>
      <c r="U230" s="21"/>
      <c r="V230" s="14">
        <v>0</v>
      </c>
      <c r="W230" s="21"/>
      <c r="X230" s="14">
        <v>0</v>
      </c>
      <c r="Y230" s="21">
        <v>0</v>
      </c>
      <c r="Z230" s="14">
        <v>5338.69</v>
      </c>
      <c r="AA230" s="14">
        <v>0</v>
      </c>
    </row>
    <row r="231" spans="1:27">
      <c r="C231" s="2"/>
      <c r="D231" s="14"/>
      <c r="E231" s="21"/>
      <c r="F231" s="14"/>
      <c r="G231" s="21"/>
      <c r="H231" s="14"/>
      <c r="I231" s="21"/>
      <c r="J231" s="14"/>
      <c r="K231" s="21"/>
      <c r="L231" s="14"/>
      <c r="M231" s="21"/>
      <c r="N231" s="14"/>
      <c r="O231" s="20"/>
      <c r="P231" s="2"/>
      <c r="Q231" s="20"/>
      <c r="R231" s="2"/>
      <c r="S231" s="2"/>
      <c r="T231" s="2"/>
      <c r="U231" s="21"/>
      <c r="V231" s="14"/>
      <c r="W231" s="21"/>
      <c r="X231" s="14"/>
      <c r="Y231" s="21"/>
      <c r="Z231" s="14"/>
      <c r="AA231" s="14"/>
    </row>
    <row r="232" spans="1:27">
      <c r="C232" s="5" t="s">
        <v>86</v>
      </c>
      <c r="D232" s="14"/>
      <c r="E232" s="21"/>
      <c r="F232" s="14"/>
      <c r="G232" s="21"/>
      <c r="H232" s="14"/>
      <c r="I232" s="21"/>
      <c r="J232" s="14"/>
      <c r="K232" s="21"/>
      <c r="L232" s="14"/>
      <c r="M232" s="21"/>
      <c r="N232" s="14"/>
      <c r="O232" s="20"/>
      <c r="P232" s="2"/>
      <c r="Q232" s="20"/>
      <c r="R232" s="2"/>
      <c r="S232" s="2"/>
      <c r="T232" s="2"/>
      <c r="U232" s="21"/>
      <c r="V232" s="14"/>
      <c r="W232" s="21"/>
      <c r="X232" s="14"/>
      <c r="Y232" s="21"/>
      <c r="Z232" s="14"/>
      <c r="AA232" s="14"/>
    </row>
    <row r="233" spans="1:27">
      <c r="A233" s="6" t="s">
        <v>104</v>
      </c>
      <c r="B233" s="6" t="str">
        <f t="shared" ref="B233:B241" si="11">MID(C233,2,3)</f>
        <v>350</v>
      </c>
      <c r="C233" s="2" t="s">
        <v>87</v>
      </c>
      <c r="D233" s="14">
        <v>2164331.7200000002</v>
      </c>
      <c r="E233" s="21"/>
      <c r="F233" s="14">
        <v>0</v>
      </c>
      <c r="G233" s="21"/>
      <c r="H233" s="14">
        <v>0</v>
      </c>
      <c r="I233" s="21"/>
      <c r="J233" s="14">
        <v>0</v>
      </c>
      <c r="K233" s="21"/>
      <c r="L233" s="14">
        <v>0</v>
      </c>
      <c r="M233" s="21"/>
      <c r="N233" s="14">
        <v>2164331.7200000002</v>
      </c>
      <c r="O233" s="20"/>
      <c r="P233" s="10">
        <v>2164331.7200000011</v>
      </c>
      <c r="Q233" s="20"/>
      <c r="R233" s="10">
        <v>-1944749.6340039999</v>
      </c>
      <c r="S233" s="2"/>
      <c r="T233" s="10">
        <v>219582.08599600126</v>
      </c>
      <c r="U233" s="21"/>
      <c r="V233" s="14">
        <v>0</v>
      </c>
      <c r="W233" s="21"/>
      <c r="X233" s="14">
        <v>-1944749.6340039999</v>
      </c>
      <c r="Y233" s="21"/>
      <c r="Z233" s="14">
        <v>2164331.7200000002</v>
      </c>
      <c r="AA233" s="14">
        <v>0</v>
      </c>
    </row>
    <row r="234" spans="1:27">
      <c r="A234" s="6" t="s">
        <v>104</v>
      </c>
      <c r="C234" s="2" t="s">
        <v>88</v>
      </c>
      <c r="D234" s="14">
        <v>0</v>
      </c>
      <c r="E234" s="21"/>
      <c r="F234" s="14">
        <v>0</v>
      </c>
      <c r="G234" s="21"/>
      <c r="H234" s="14">
        <v>0</v>
      </c>
      <c r="I234" s="21"/>
      <c r="J234" s="14">
        <v>0</v>
      </c>
      <c r="K234" s="21"/>
      <c r="L234" s="14">
        <v>0</v>
      </c>
      <c r="M234" s="21"/>
      <c r="N234" s="14">
        <v>0</v>
      </c>
      <c r="O234" s="20"/>
      <c r="P234" s="10">
        <v>0</v>
      </c>
      <c r="Q234" s="20"/>
      <c r="R234" s="10">
        <v>0</v>
      </c>
      <c r="S234" s="2"/>
      <c r="T234" s="10">
        <v>0</v>
      </c>
      <c r="U234" s="21"/>
      <c r="V234" s="14">
        <v>0</v>
      </c>
      <c r="W234" s="21"/>
      <c r="X234" s="14">
        <v>0</v>
      </c>
      <c r="Y234" s="21"/>
      <c r="Z234" s="14">
        <v>0</v>
      </c>
      <c r="AA234" s="14">
        <v>0</v>
      </c>
    </row>
    <row r="235" spans="1:27">
      <c r="A235" s="6" t="s">
        <v>104</v>
      </c>
      <c r="B235" s="6" t="str">
        <f t="shared" si="11"/>
        <v>352</v>
      </c>
      <c r="C235" s="2" t="s">
        <v>89</v>
      </c>
      <c r="D235" s="14">
        <v>1617920.16</v>
      </c>
      <c r="E235" s="21"/>
      <c r="F235" s="14">
        <v>0</v>
      </c>
      <c r="G235" s="21"/>
      <c r="H235" s="14">
        <v>0</v>
      </c>
      <c r="I235" s="21"/>
      <c r="J235" s="14">
        <v>0</v>
      </c>
      <c r="K235" s="21"/>
      <c r="L235" s="14">
        <v>0</v>
      </c>
      <c r="M235" s="21"/>
      <c r="N235" s="14">
        <v>1617920.16</v>
      </c>
      <c r="O235" s="20"/>
      <c r="P235" s="10">
        <v>1617920.1600000001</v>
      </c>
      <c r="Q235" s="20"/>
      <c r="R235" s="10">
        <v>-835321.79632800014</v>
      </c>
      <c r="S235" s="2"/>
      <c r="T235" s="10">
        <v>782598.36367200001</v>
      </c>
      <c r="U235" s="21"/>
      <c r="V235" s="14">
        <v>0</v>
      </c>
      <c r="W235" s="21"/>
      <c r="X235" s="14">
        <v>-835321.79632800014</v>
      </c>
      <c r="Y235" s="21"/>
      <c r="Z235" s="14">
        <v>1617920.16</v>
      </c>
      <c r="AA235" s="14">
        <v>0</v>
      </c>
    </row>
    <row r="236" spans="1:27">
      <c r="A236" s="6" t="s">
        <v>104</v>
      </c>
      <c r="B236" s="6" t="str">
        <f t="shared" si="11"/>
        <v>353</v>
      </c>
      <c r="C236" s="2" t="s">
        <v>91</v>
      </c>
      <c r="D236" s="14">
        <v>22165101.02</v>
      </c>
      <c r="E236" s="21"/>
      <c r="F236" s="14">
        <v>200080</v>
      </c>
      <c r="G236" s="21"/>
      <c r="H236" s="14">
        <v>0</v>
      </c>
      <c r="I236" s="21"/>
      <c r="J236" s="14">
        <v>0</v>
      </c>
      <c r="K236" s="21"/>
      <c r="L236" s="14">
        <v>200080</v>
      </c>
      <c r="M236" s="21"/>
      <c r="N236" s="14">
        <v>22365181.02</v>
      </c>
      <c r="O236" s="20"/>
      <c r="P236" s="10">
        <v>22272836.40461538</v>
      </c>
      <c r="Q236" s="20"/>
      <c r="R236" s="10">
        <v>-8170266.3491902528</v>
      </c>
      <c r="S236" s="2"/>
      <c r="T236" s="10">
        <v>14102570.055425126</v>
      </c>
      <c r="U236" s="21"/>
      <c r="V236" s="14">
        <v>0</v>
      </c>
      <c r="W236" s="21"/>
      <c r="X236" s="14">
        <v>-8170266.3491902528</v>
      </c>
      <c r="Y236" s="21"/>
      <c r="Z236" s="14">
        <v>22365181.02</v>
      </c>
      <c r="AA236" s="14">
        <v>0</v>
      </c>
    </row>
    <row r="237" spans="1:27">
      <c r="A237" s="6" t="s">
        <v>104</v>
      </c>
      <c r="B237" s="6" t="str">
        <f t="shared" si="11"/>
        <v>354</v>
      </c>
      <c r="C237" s="2" t="s">
        <v>94</v>
      </c>
      <c r="D237" s="14">
        <v>7181081.2999999998</v>
      </c>
      <c r="E237" s="21"/>
      <c r="F237" s="14">
        <v>0</v>
      </c>
      <c r="G237" s="21"/>
      <c r="H237" s="14">
        <v>0</v>
      </c>
      <c r="I237" s="21"/>
      <c r="J237" s="14">
        <v>0</v>
      </c>
      <c r="K237" s="21"/>
      <c r="L237" s="14">
        <v>0</v>
      </c>
      <c r="M237" s="21"/>
      <c r="N237" s="14">
        <v>7181081.2999999998</v>
      </c>
      <c r="O237" s="20"/>
      <c r="P237" s="10">
        <v>7181081.3000000007</v>
      </c>
      <c r="Q237" s="20"/>
      <c r="R237" s="10">
        <v>-5034562.075050991</v>
      </c>
      <c r="S237" s="2"/>
      <c r="T237" s="10">
        <v>2146519.2249490097</v>
      </c>
      <c r="U237" s="21"/>
      <c r="V237" s="14">
        <v>0</v>
      </c>
      <c r="W237" s="21"/>
      <c r="X237" s="14">
        <v>-5034562.075050991</v>
      </c>
      <c r="Y237" s="21"/>
      <c r="Z237" s="14">
        <v>7181081.2999999998</v>
      </c>
      <c r="AA237" s="14">
        <v>0</v>
      </c>
    </row>
    <row r="238" spans="1:27">
      <c r="A238" s="6" t="s">
        <v>104</v>
      </c>
      <c r="B238" s="6" t="str">
        <f t="shared" si="11"/>
        <v>355</v>
      </c>
      <c r="C238" s="2" t="s">
        <v>95</v>
      </c>
      <c r="D238" s="14">
        <v>12330756.4099999</v>
      </c>
      <c r="E238" s="21"/>
      <c r="F238" s="14">
        <v>444091.96</v>
      </c>
      <c r="G238" s="21"/>
      <c r="H238" s="14">
        <v>0</v>
      </c>
      <c r="I238" s="21"/>
      <c r="J238" s="14">
        <v>0</v>
      </c>
      <c r="K238" s="21"/>
      <c r="L238" s="14">
        <v>444091.96</v>
      </c>
      <c r="M238" s="21"/>
      <c r="N238" s="14">
        <v>12774848.3699999</v>
      </c>
      <c r="O238" s="20"/>
      <c r="P238" s="10">
        <v>12520140.02846144</v>
      </c>
      <c r="Q238" s="20"/>
      <c r="R238" s="10">
        <v>-4243542.5285722204</v>
      </c>
      <c r="S238" s="2"/>
      <c r="T238" s="10">
        <v>8276597.4998892192</v>
      </c>
      <c r="U238" s="21"/>
      <c r="V238" s="14">
        <v>0</v>
      </c>
      <c r="W238" s="21"/>
      <c r="X238" s="14">
        <v>-4243542.5285722204</v>
      </c>
      <c r="Y238" s="21"/>
      <c r="Z238" s="14">
        <v>12774848.3699999</v>
      </c>
      <c r="AA238" s="14">
        <v>0</v>
      </c>
    </row>
    <row r="239" spans="1:27">
      <c r="A239" s="6" t="s">
        <v>104</v>
      </c>
      <c r="B239" s="6" t="str">
        <f t="shared" si="11"/>
        <v>356</v>
      </c>
      <c r="C239" s="2" t="s">
        <v>96</v>
      </c>
      <c r="D239" s="14">
        <v>17360378.739999998</v>
      </c>
      <c r="E239" s="21"/>
      <c r="F239" s="14">
        <v>0</v>
      </c>
      <c r="G239" s="21"/>
      <c r="H239" s="14">
        <v>0</v>
      </c>
      <c r="I239" s="21"/>
      <c r="J239" s="14">
        <v>0</v>
      </c>
      <c r="K239" s="21"/>
      <c r="L239" s="14">
        <v>0</v>
      </c>
      <c r="M239" s="21"/>
      <c r="N239" s="14">
        <v>17360378.739999998</v>
      </c>
      <c r="O239" s="20"/>
      <c r="P239" s="10">
        <v>17360378.740000006</v>
      </c>
      <c r="Q239" s="20"/>
      <c r="R239" s="10">
        <v>-10562566.323244</v>
      </c>
      <c r="S239" s="2"/>
      <c r="T239" s="10">
        <v>6797812.416756006</v>
      </c>
      <c r="U239" s="21"/>
      <c r="V239" s="14">
        <v>0</v>
      </c>
      <c r="W239" s="21"/>
      <c r="X239" s="14">
        <v>-10562566.323244</v>
      </c>
      <c r="Y239" s="21"/>
      <c r="Z239" s="14">
        <v>17360378.739999998</v>
      </c>
      <c r="AA239" s="14">
        <v>0</v>
      </c>
    </row>
    <row r="240" spans="1:27">
      <c r="A240" s="6" t="s">
        <v>104</v>
      </c>
      <c r="B240" s="6" t="str">
        <f t="shared" si="11"/>
        <v>357</v>
      </c>
      <c r="C240" s="2" t="s">
        <v>97</v>
      </c>
      <c r="D240" s="14">
        <v>0</v>
      </c>
      <c r="E240" s="21"/>
      <c r="F240" s="14">
        <v>0</v>
      </c>
      <c r="G240" s="21"/>
      <c r="H240" s="14">
        <v>0</v>
      </c>
      <c r="I240" s="21"/>
      <c r="J240" s="14">
        <v>0</v>
      </c>
      <c r="K240" s="21"/>
      <c r="L240" s="14">
        <v>0</v>
      </c>
      <c r="M240" s="21"/>
      <c r="N240" s="14">
        <v>0</v>
      </c>
      <c r="O240" s="20"/>
      <c r="P240" s="10">
        <v>0</v>
      </c>
      <c r="Q240" s="20"/>
      <c r="R240" s="10">
        <v>0</v>
      </c>
      <c r="S240" s="2"/>
      <c r="T240" s="10">
        <v>0</v>
      </c>
      <c r="U240" s="21"/>
      <c r="V240" s="14">
        <v>0</v>
      </c>
      <c r="W240" s="21"/>
      <c r="X240" s="14">
        <v>0</v>
      </c>
      <c r="Y240" s="21"/>
      <c r="Z240" s="14">
        <v>0</v>
      </c>
      <c r="AA240" s="14">
        <v>0</v>
      </c>
    </row>
    <row r="241" spans="1:27">
      <c r="A241" s="6" t="s">
        <v>104</v>
      </c>
      <c r="B241" s="6" t="str">
        <f t="shared" si="11"/>
        <v>358</v>
      </c>
      <c r="C241" s="2" t="s">
        <v>108</v>
      </c>
      <c r="D241" s="17">
        <v>0</v>
      </c>
      <c r="E241" s="21"/>
      <c r="F241" s="17">
        <v>0</v>
      </c>
      <c r="G241" s="21"/>
      <c r="H241" s="17">
        <v>0</v>
      </c>
      <c r="I241" s="21"/>
      <c r="J241" s="17">
        <v>0</v>
      </c>
      <c r="K241" s="21"/>
      <c r="L241" s="17">
        <v>0</v>
      </c>
      <c r="M241" s="21"/>
      <c r="N241" s="17">
        <v>0</v>
      </c>
      <c r="O241" s="20"/>
      <c r="P241" s="18">
        <v>0</v>
      </c>
      <c r="Q241" s="20"/>
      <c r="R241" s="18">
        <v>0</v>
      </c>
      <c r="S241" s="2"/>
      <c r="T241" s="18">
        <v>0</v>
      </c>
      <c r="U241" s="21"/>
      <c r="V241" s="17">
        <v>0</v>
      </c>
      <c r="W241" s="21"/>
      <c r="X241" s="17">
        <v>0</v>
      </c>
      <c r="Y241" s="21"/>
      <c r="Z241" s="17">
        <v>0</v>
      </c>
      <c r="AA241" s="17">
        <v>0</v>
      </c>
    </row>
    <row r="242" spans="1:27">
      <c r="C242" s="2"/>
      <c r="D242" s="14">
        <v>62819569.34999989</v>
      </c>
      <c r="E242" s="21"/>
      <c r="F242" s="14">
        <v>644171.96</v>
      </c>
      <c r="G242" s="21"/>
      <c r="H242" s="14">
        <v>0</v>
      </c>
      <c r="I242" s="21"/>
      <c r="J242" s="14">
        <v>0</v>
      </c>
      <c r="K242" s="21"/>
      <c r="L242" s="14">
        <v>644171.96</v>
      </c>
      <c r="M242" s="21"/>
      <c r="N242" s="14">
        <v>63463741.309999898</v>
      </c>
      <c r="O242" s="20"/>
      <c r="P242" s="14">
        <v>63116688.353076831</v>
      </c>
      <c r="Q242" s="20"/>
      <c r="R242" s="14">
        <v>-30791008.706389464</v>
      </c>
      <c r="S242" s="2"/>
      <c r="T242" s="14">
        <v>32325679.646687359</v>
      </c>
      <c r="U242" s="21"/>
      <c r="V242" s="14">
        <v>0</v>
      </c>
      <c r="W242" s="21"/>
      <c r="X242" s="14">
        <v>-30791008.706389464</v>
      </c>
      <c r="Y242" s="21">
        <v>0</v>
      </c>
      <c r="Z242" s="14">
        <v>63463741.309999898</v>
      </c>
      <c r="AA242" s="14">
        <v>0</v>
      </c>
    </row>
    <row r="243" spans="1:27">
      <c r="C243" s="2"/>
      <c r="D243" s="14"/>
      <c r="E243" s="20"/>
      <c r="F243" s="14"/>
      <c r="G243" s="20"/>
      <c r="H243" s="14"/>
      <c r="I243" s="20"/>
      <c r="J243" s="14"/>
      <c r="K243" s="20"/>
      <c r="L243" s="14"/>
      <c r="M243" s="20"/>
      <c r="N243" s="14"/>
      <c r="O243" s="20"/>
      <c r="P243" s="2"/>
      <c r="Q243" s="20"/>
      <c r="R243" s="2"/>
      <c r="S243" s="2"/>
      <c r="T243" s="2"/>
      <c r="U243" s="20"/>
      <c r="V243" s="14"/>
      <c r="W243" s="20"/>
      <c r="X243" s="14"/>
      <c r="Y243" s="20"/>
      <c r="Z243" s="14"/>
      <c r="AA243" s="14"/>
    </row>
    <row r="244" spans="1:27">
      <c r="C244" s="2"/>
      <c r="D244" s="4"/>
      <c r="E244" s="20"/>
      <c r="F244" s="4"/>
      <c r="G244" s="20"/>
      <c r="H244" s="4"/>
      <c r="I244" s="20"/>
      <c r="J244" s="4"/>
      <c r="K244" s="20"/>
      <c r="L244" s="4"/>
      <c r="M244" s="20"/>
      <c r="N244" s="4"/>
      <c r="O244" s="20"/>
      <c r="P244" s="2"/>
      <c r="Q244" s="20"/>
      <c r="R244" s="2"/>
      <c r="S244" s="2"/>
      <c r="T244" s="2"/>
      <c r="U244" s="20"/>
      <c r="V244" s="4"/>
      <c r="W244" s="20"/>
      <c r="X244" s="4"/>
      <c r="Y244" s="20"/>
      <c r="Z244" s="4"/>
      <c r="AA244" s="4"/>
    </row>
    <row r="245" spans="1:27" ht="13.5" thickBot="1">
      <c r="C245" s="5" t="s">
        <v>109</v>
      </c>
      <c r="D245" s="19">
        <v>166837609.1699999</v>
      </c>
      <c r="E245" s="21"/>
      <c r="F245" s="19">
        <v>3343077.2699999972</v>
      </c>
      <c r="G245" s="21"/>
      <c r="H245" s="19">
        <v>0</v>
      </c>
      <c r="I245" s="21"/>
      <c r="J245" s="19">
        <v>0</v>
      </c>
      <c r="K245" s="21"/>
      <c r="L245" s="19">
        <v>3343077.2699999972</v>
      </c>
      <c r="M245" s="21"/>
      <c r="N245" s="19">
        <v>170180686.43999988</v>
      </c>
      <c r="O245" s="21"/>
      <c r="P245" s="19">
        <v>168481690.72846144</v>
      </c>
      <c r="Q245" s="21"/>
      <c r="R245" s="19">
        <v>-73953227.227459669</v>
      </c>
      <c r="S245" s="2"/>
      <c r="T245" s="19">
        <v>94528463.501001745</v>
      </c>
      <c r="U245" s="21"/>
      <c r="V245" s="19">
        <v>0.02</v>
      </c>
      <c r="W245" s="21"/>
      <c r="X245" s="19">
        <v>-73953227.207459658</v>
      </c>
      <c r="Y245" s="21"/>
      <c r="Z245" s="19">
        <v>170066804.18999988</v>
      </c>
      <c r="AA245" s="19">
        <v>-113882.25000001024</v>
      </c>
    </row>
    <row r="246" spans="1:27" ht="13.5" thickTop="1">
      <c r="E246" s="20"/>
      <c r="G246" s="20"/>
      <c r="I246" s="20"/>
      <c r="K246" s="20"/>
      <c r="M246" s="20"/>
      <c r="U246" s="20"/>
      <c r="W246" s="20"/>
      <c r="Y246" s="20"/>
    </row>
    <row r="247" spans="1:27" s="679" customFormat="1">
      <c r="C247" s="22"/>
      <c r="D247" s="678"/>
      <c r="E247" s="20"/>
      <c r="F247" s="678"/>
      <c r="G247" s="20"/>
      <c r="H247" s="678"/>
      <c r="I247" s="20"/>
      <c r="J247" s="678"/>
      <c r="K247" s="20"/>
      <c r="L247" s="678"/>
      <c r="M247" s="20"/>
      <c r="N247" s="678"/>
      <c r="O247" s="6"/>
      <c r="P247" s="6"/>
      <c r="Q247" s="6"/>
      <c r="R247" s="6"/>
      <c r="S247" s="6"/>
      <c r="T247" s="6"/>
      <c r="U247" s="20"/>
      <c r="V247" s="678"/>
      <c r="W247" s="20"/>
      <c r="X247" s="678"/>
      <c r="Y247" s="20"/>
      <c r="Z247" s="678"/>
      <c r="AA247" s="678"/>
    </row>
    <row r="248" spans="1:27" s="679" customFormat="1">
      <c r="C248" s="680"/>
      <c r="D248" s="677"/>
      <c r="E248" s="21"/>
      <c r="F248" s="677"/>
      <c r="G248" s="21"/>
      <c r="H248" s="677"/>
      <c r="I248" s="21"/>
      <c r="J248" s="677"/>
      <c r="K248" s="21"/>
      <c r="L248" s="677"/>
      <c r="M248" s="21"/>
      <c r="N248" s="677"/>
      <c r="U248" s="21"/>
      <c r="V248" s="677"/>
      <c r="W248" s="21"/>
      <c r="X248" s="677"/>
      <c r="Y248" s="21"/>
      <c r="Z248" s="677"/>
      <c r="AA248" s="677"/>
    </row>
    <row r="249" spans="1:27" s="679" customFormat="1">
      <c r="C249" s="680"/>
      <c r="D249" s="677"/>
      <c r="E249" s="21"/>
      <c r="F249" s="677"/>
      <c r="G249" s="21"/>
      <c r="H249" s="677"/>
      <c r="I249" s="21"/>
      <c r="J249" s="677"/>
      <c r="K249" s="21"/>
      <c r="L249" s="677"/>
      <c r="M249" s="21"/>
      <c r="N249" s="677"/>
      <c r="U249" s="21"/>
      <c r="V249" s="677"/>
      <c r="W249" s="21"/>
      <c r="X249" s="677"/>
      <c r="Y249" s="21"/>
      <c r="Z249" s="677"/>
      <c r="AA249" s="677"/>
    </row>
    <row r="250" spans="1:27" s="679" customFormat="1">
      <c r="D250" s="677"/>
      <c r="E250" s="21"/>
      <c r="F250" s="677"/>
      <c r="G250" s="21"/>
      <c r="H250" s="677"/>
      <c r="I250" s="21"/>
      <c r="J250" s="677"/>
      <c r="K250" s="21"/>
      <c r="L250" s="677"/>
      <c r="M250" s="21"/>
      <c r="N250" s="677"/>
      <c r="U250" s="21"/>
      <c r="V250" s="677"/>
      <c r="W250" s="21"/>
      <c r="X250" s="677"/>
      <c r="Y250" s="21"/>
      <c r="Z250" s="677"/>
      <c r="AA250" s="677"/>
    </row>
    <row r="251" spans="1:27" s="679" customFormat="1">
      <c r="D251" s="677"/>
      <c r="E251" s="21"/>
      <c r="F251" s="677"/>
      <c r="G251" s="21"/>
      <c r="H251" s="677"/>
      <c r="I251" s="21"/>
      <c r="J251" s="677"/>
      <c r="K251" s="21"/>
      <c r="L251" s="677"/>
      <c r="M251" s="21"/>
      <c r="N251" s="677"/>
      <c r="U251" s="21"/>
      <c r="V251" s="677"/>
      <c r="W251" s="21"/>
      <c r="X251" s="677"/>
      <c r="Y251" s="21"/>
      <c r="Z251" s="677"/>
      <c r="AA251" s="677"/>
    </row>
    <row r="252" spans="1:27" s="679" customFormat="1">
      <c r="D252" s="677"/>
      <c r="E252" s="21"/>
      <c r="F252" s="677"/>
      <c r="G252" s="21"/>
      <c r="H252" s="677"/>
      <c r="I252" s="21"/>
      <c r="J252" s="677"/>
      <c r="K252" s="21"/>
      <c r="L252" s="677"/>
      <c r="M252" s="21"/>
      <c r="N252" s="677"/>
      <c r="U252" s="21"/>
      <c r="V252" s="677"/>
      <c r="W252" s="21"/>
      <c r="X252" s="677"/>
      <c r="Y252" s="21"/>
      <c r="Z252" s="677"/>
      <c r="AA252" s="677"/>
    </row>
    <row r="253" spans="1:27" s="679" customFormat="1">
      <c r="D253" s="677"/>
      <c r="E253" s="21"/>
      <c r="F253" s="677"/>
      <c r="G253" s="21"/>
      <c r="H253" s="677"/>
      <c r="I253" s="21"/>
      <c r="J253" s="677"/>
      <c r="K253" s="21"/>
      <c r="L253" s="677"/>
      <c r="M253" s="21"/>
      <c r="N253" s="677"/>
      <c r="U253" s="21"/>
      <c r="V253" s="677"/>
      <c r="W253" s="21"/>
      <c r="X253" s="677"/>
      <c r="Y253" s="21"/>
      <c r="Z253" s="677"/>
      <c r="AA253" s="677"/>
    </row>
    <row r="254" spans="1:27" s="679" customFormat="1">
      <c r="D254" s="677"/>
      <c r="E254" s="21"/>
      <c r="F254" s="677"/>
      <c r="G254" s="21"/>
      <c r="H254" s="677"/>
      <c r="I254" s="21"/>
      <c r="J254" s="677"/>
      <c r="K254" s="21"/>
      <c r="L254" s="677"/>
      <c r="M254" s="21"/>
      <c r="N254" s="677"/>
      <c r="U254" s="21"/>
      <c r="V254" s="677"/>
      <c r="W254" s="21"/>
      <c r="X254" s="677"/>
      <c r="Y254" s="21"/>
      <c r="Z254" s="677"/>
      <c r="AA254" s="677"/>
    </row>
    <row r="255" spans="1:27" s="679" customFormat="1">
      <c r="D255" s="677"/>
      <c r="E255" s="21"/>
      <c r="F255" s="677"/>
      <c r="G255" s="21"/>
      <c r="H255" s="677"/>
      <c r="I255" s="21"/>
      <c r="J255" s="677"/>
      <c r="K255" s="21"/>
      <c r="L255" s="677"/>
      <c r="M255" s="21"/>
      <c r="N255" s="677"/>
      <c r="U255" s="21"/>
      <c r="V255" s="677"/>
      <c r="W255" s="21"/>
      <c r="X255" s="677"/>
      <c r="Y255" s="21"/>
      <c r="Z255" s="677"/>
      <c r="AA255" s="677"/>
    </row>
    <row r="256" spans="1:27" s="679" customFormat="1">
      <c r="D256" s="677"/>
      <c r="E256" s="21"/>
      <c r="F256" s="677"/>
      <c r="G256" s="21"/>
      <c r="H256" s="677"/>
      <c r="I256" s="21"/>
      <c r="J256" s="677"/>
      <c r="K256" s="21"/>
      <c r="L256" s="677"/>
      <c r="M256" s="21"/>
      <c r="N256" s="677"/>
      <c r="U256" s="21"/>
      <c r="V256" s="677"/>
      <c r="W256" s="21"/>
      <c r="X256" s="677"/>
      <c r="Y256" s="21"/>
      <c r="Z256" s="677"/>
      <c r="AA256" s="677"/>
    </row>
    <row r="257" spans="3:27" s="679" customFormat="1">
      <c r="D257" s="677"/>
      <c r="E257" s="21"/>
      <c r="F257" s="677"/>
      <c r="G257" s="21"/>
      <c r="H257" s="677"/>
      <c r="I257" s="21"/>
      <c r="J257" s="677"/>
      <c r="K257" s="21"/>
      <c r="L257" s="677"/>
      <c r="M257" s="21"/>
      <c r="N257" s="677"/>
      <c r="U257" s="21"/>
      <c r="V257" s="677"/>
      <c r="W257" s="21"/>
      <c r="X257" s="677"/>
      <c r="Y257" s="21"/>
      <c r="Z257" s="677"/>
      <c r="AA257" s="677"/>
    </row>
    <row r="258" spans="3:27" s="679" customFormat="1">
      <c r="D258" s="677"/>
      <c r="E258" s="21"/>
      <c r="F258" s="677"/>
      <c r="G258" s="21"/>
      <c r="H258" s="677"/>
      <c r="I258" s="21"/>
      <c r="J258" s="677"/>
      <c r="K258" s="21"/>
      <c r="L258" s="677"/>
      <c r="M258" s="21"/>
      <c r="N258" s="677"/>
      <c r="U258" s="21"/>
      <c r="V258" s="677"/>
      <c r="W258" s="21"/>
      <c r="X258" s="677"/>
      <c r="Y258" s="21"/>
      <c r="Z258" s="677"/>
      <c r="AA258" s="677"/>
    </row>
    <row r="259" spans="3:27" s="679" customFormat="1">
      <c r="D259" s="677"/>
      <c r="E259" s="21"/>
      <c r="F259" s="677"/>
      <c r="G259" s="21"/>
      <c r="H259" s="677"/>
      <c r="I259" s="21"/>
      <c r="J259" s="677"/>
      <c r="K259" s="21"/>
      <c r="L259" s="677"/>
      <c r="M259" s="21"/>
      <c r="N259" s="677"/>
      <c r="U259" s="21"/>
      <c r="V259" s="677"/>
      <c r="W259" s="21"/>
      <c r="X259" s="677"/>
      <c r="Y259" s="21"/>
      <c r="Z259" s="677"/>
      <c r="AA259" s="677"/>
    </row>
    <row r="260" spans="3:27" s="679" customFormat="1">
      <c r="D260" s="677"/>
      <c r="E260" s="21"/>
      <c r="F260" s="677"/>
      <c r="G260" s="21"/>
      <c r="H260" s="677"/>
      <c r="I260" s="21"/>
      <c r="J260" s="677"/>
      <c r="K260" s="21"/>
      <c r="L260" s="677"/>
      <c r="M260" s="21"/>
      <c r="N260" s="677"/>
      <c r="U260" s="21"/>
      <c r="V260" s="677"/>
      <c r="W260" s="21"/>
      <c r="X260" s="677"/>
      <c r="Y260" s="21"/>
      <c r="Z260" s="677"/>
      <c r="AA260" s="677"/>
    </row>
    <row r="261" spans="3:27" s="679" customFormat="1">
      <c r="C261" s="680"/>
      <c r="D261" s="677"/>
      <c r="E261" s="21"/>
      <c r="F261" s="677"/>
      <c r="G261" s="21"/>
      <c r="H261" s="677"/>
      <c r="I261" s="21"/>
      <c r="J261" s="677"/>
      <c r="K261" s="21"/>
      <c r="L261" s="677"/>
      <c r="M261" s="21"/>
      <c r="N261" s="677"/>
      <c r="U261" s="21"/>
      <c r="V261" s="677"/>
      <c r="W261" s="21"/>
      <c r="X261" s="677"/>
      <c r="Y261" s="21"/>
      <c r="Z261" s="677"/>
      <c r="AA261" s="677"/>
    </row>
    <row r="262" spans="3:27" s="679" customFormat="1">
      <c r="D262" s="677"/>
      <c r="E262" s="21"/>
      <c r="F262" s="677"/>
      <c r="G262" s="21"/>
      <c r="H262" s="677"/>
      <c r="I262" s="21"/>
      <c r="J262" s="677"/>
      <c r="K262" s="21"/>
      <c r="L262" s="677"/>
      <c r="M262" s="21"/>
      <c r="N262" s="677"/>
      <c r="U262" s="21"/>
      <c r="V262" s="677"/>
      <c r="W262" s="21"/>
      <c r="X262" s="677"/>
      <c r="Y262" s="21"/>
      <c r="Z262" s="677"/>
      <c r="AA262" s="677"/>
    </row>
    <row r="263" spans="3:27" s="679" customFormat="1">
      <c r="D263" s="677"/>
      <c r="E263" s="21"/>
      <c r="F263" s="677"/>
      <c r="G263" s="21"/>
      <c r="H263" s="677"/>
      <c r="I263" s="21"/>
      <c r="J263" s="677"/>
      <c r="K263" s="21"/>
      <c r="L263" s="677"/>
      <c r="M263" s="21"/>
      <c r="N263" s="677"/>
      <c r="U263" s="21"/>
      <c r="V263" s="677"/>
      <c r="W263" s="21"/>
      <c r="X263" s="677"/>
      <c r="Y263" s="21"/>
      <c r="Z263" s="677"/>
      <c r="AA263" s="677"/>
    </row>
    <row r="264" spans="3:27" s="679" customFormat="1">
      <c r="D264" s="677"/>
      <c r="E264" s="21"/>
      <c r="F264" s="677"/>
      <c r="G264" s="21"/>
      <c r="H264" s="677"/>
      <c r="I264" s="21"/>
      <c r="J264" s="677"/>
      <c r="K264" s="21"/>
      <c r="L264" s="677"/>
      <c r="M264" s="21"/>
      <c r="N264" s="677"/>
      <c r="U264" s="21"/>
      <c r="V264" s="677"/>
      <c r="W264" s="21"/>
      <c r="X264" s="677"/>
      <c r="Y264" s="21"/>
      <c r="Z264" s="677"/>
      <c r="AA264" s="677"/>
    </row>
    <row r="265" spans="3:27" s="679" customFormat="1">
      <c r="C265" s="680"/>
      <c r="D265" s="677"/>
      <c r="E265" s="21"/>
      <c r="F265" s="677"/>
      <c r="G265" s="21"/>
      <c r="H265" s="677"/>
      <c r="I265" s="21"/>
      <c r="J265" s="677"/>
      <c r="K265" s="21"/>
      <c r="L265" s="677"/>
      <c r="M265" s="21"/>
      <c r="N265" s="677"/>
      <c r="U265" s="21"/>
      <c r="V265" s="677"/>
      <c r="W265" s="21"/>
      <c r="X265" s="677"/>
      <c r="Y265" s="21"/>
      <c r="Z265" s="677"/>
      <c r="AA265" s="677"/>
    </row>
    <row r="266" spans="3:27" s="679" customFormat="1">
      <c r="D266" s="677"/>
      <c r="E266" s="21"/>
      <c r="F266" s="677"/>
      <c r="G266" s="21"/>
      <c r="H266" s="677"/>
      <c r="I266" s="21"/>
      <c r="J266" s="677"/>
      <c r="K266" s="21"/>
      <c r="L266" s="677"/>
      <c r="M266" s="21"/>
      <c r="N266" s="677"/>
      <c r="U266" s="21"/>
      <c r="V266" s="677"/>
      <c r="W266" s="21"/>
      <c r="X266" s="677"/>
      <c r="Y266" s="21"/>
      <c r="Z266" s="677"/>
      <c r="AA266" s="677"/>
    </row>
    <row r="267" spans="3:27" s="679" customFormat="1">
      <c r="D267" s="677"/>
      <c r="E267" s="21"/>
      <c r="F267" s="677"/>
      <c r="G267" s="21"/>
      <c r="H267" s="677"/>
      <c r="I267" s="21"/>
      <c r="J267" s="677"/>
      <c r="K267" s="21"/>
      <c r="L267" s="677"/>
      <c r="M267" s="21"/>
      <c r="N267" s="677"/>
      <c r="U267" s="21"/>
      <c r="V267" s="677"/>
      <c r="W267" s="21"/>
      <c r="X267" s="677"/>
      <c r="Y267" s="21"/>
      <c r="Z267" s="677"/>
      <c r="AA267" s="677"/>
    </row>
    <row r="268" spans="3:27" s="679" customFormat="1">
      <c r="D268" s="677"/>
      <c r="E268" s="21"/>
      <c r="F268" s="677"/>
      <c r="G268" s="21"/>
      <c r="H268" s="677"/>
      <c r="I268" s="21"/>
      <c r="J268" s="677"/>
      <c r="K268" s="21"/>
      <c r="L268" s="677"/>
      <c r="M268" s="21"/>
      <c r="N268" s="677"/>
      <c r="U268" s="21"/>
      <c r="V268" s="677"/>
      <c r="W268" s="21"/>
      <c r="X268" s="677"/>
      <c r="Y268" s="21"/>
      <c r="Z268" s="677"/>
      <c r="AA268" s="677"/>
    </row>
    <row r="269" spans="3:27" s="679" customFormat="1">
      <c r="D269" s="677"/>
      <c r="E269" s="21"/>
      <c r="F269" s="677"/>
      <c r="G269" s="21"/>
      <c r="H269" s="677"/>
      <c r="I269" s="21"/>
      <c r="J269" s="677"/>
      <c r="K269" s="21"/>
      <c r="L269" s="677"/>
      <c r="M269" s="21"/>
      <c r="N269" s="677"/>
      <c r="U269" s="21"/>
      <c r="V269" s="677"/>
      <c r="W269" s="21"/>
      <c r="X269" s="677"/>
      <c r="Y269" s="21"/>
      <c r="Z269" s="677"/>
      <c r="AA269" s="677"/>
    </row>
    <row r="270" spans="3:27" s="679" customFormat="1">
      <c r="D270" s="677"/>
      <c r="E270" s="21"/>
      <c r="F270" s="677"/>
      <c r="G270" s="21"/>
      <c r="H270" s="677"/>
      <c r="I270" s="21"/>
      <c r="J270" s="677"/>
      <c r="K270" s="21"/>
      <c r="L270" s="677"/>
      <c r="M270" s="21"/>
      <c r="N270" s="677"/>
      <c r="U270" s="21"/>
      <c r="V270" s="677"/>
      <c r="W270" s="21"/>
      <c r="X270" s="677"/>
      <c r="Y270" s="21"/>
      <c r="Z270" s="677"/>
      <c r="AA270" s="677"/>
    </row>
    <row r="271" spans="3:27" s="679" customFormat="1">
      <c r="D271" s="677"/>
      <c r="E271" s="21"/>
      <c r="F271" s="677"/>
      <c r="G271" s="21"/>
      <c r="H271" s="677"/>
      <c r="I271" s="21"/>
      <c r="J271" s="677"/>
      <c r="K271" s="21"/>
      <c r="L271" s="677"/>
      <c r="M271" s="21"/>
      <c r="N271" s="677"/>
      <c r="U271" s="21"/>
      <c r="V271" s="677"/>
      <c r="W271" s="21"/>
      <c r="X271" s="677"/>
      <c r="Y271" s="21"/>
      <c r="Z271" s="677"/>
      <c r="AA271" s="677"/>
    </row>
    <row r="272" spans="3:27" s="679" customFormat="1">
      <c r="C272" s="680"/>
      <c r="D272" s="677"/>
      <c r="E272" s="21"/>
      <c r="F272" s="677"/>
      <c r="G272" s="21"/>
      <c r="H272" s="677"/>
      <c r="I272" s="21"/>
      <c r="J272" s="677"/>
      <c r="K272" s="21"/>
      <c r="L272" s="677"/>
      <c r="M272" s="21"/>
      <c r="N272" s="677"/>
      <c r="U272" s="21"/>
      <c r="V272" s="677"/>
      <c r="W272" s="21"/>
      <c r="X272" s="677"/>
      <c r="Y272" s="21"/>
      <c r="Z272" s="677"/>
      <c r="AA272" s="677"/>
    </row>
    <row r="273" spans="3:27" s="679" customFormat="1">
      <c r="C273" s="680"/>
      <c r="D273" s="677"/>
      <c r="E273" s="21"/>
      <c r="F273" s="677"/>
      <c r="G273" s="21"/>
      <c r="H273" s="677"/>
      <c r="I273" s="21"/>
      <c r="J273" s="677"/>
      <c r="K273" s="21"/>
      <c r="L273" s="677"/>
      <c r="M273" s="21"/>
      <c r="N273" s="677"/>
      <c r="U273" s="21"/>
      <c r="V273" s="677"/>
      <c r="W273" s="21"/>
      <c r="X273" s="677"/>
      <c r="Y273" s="21"/>
      <c r="Z273" s="677"/>
      <c r="AA273" s="677"/>
    </row>
    <row r="274" spans="3:27" s="679" customFormat="1">
      <c r="D274" s="677"/>
      <c r="E274" s="21"/>
      <c r="F274" s="677"/>
      <c r="G274" s="21"/>
      <c r="H274" s="677"/>
      <c r="I274" s="21"/>
      <c r="J274" s="677"/>
      <c r="K274" s="21"/>
      <c r="L274" s="677"/>
      <c r="M274" s="21"/>
      <c r="N274" s="677"/>
      <c r="U274" s="21"/>
      <c r="V274" s="677"/>
      <c r="W274" s="21"/>
      <c r="X274" s="677"/>
      <c r="Y274" s="21"/>
      <c r="Z274" s="677"/>
      <c r="AA274" s="677"/>
    </row>
    <row r="275" spans="3:27">
      <c r="C275" s="680"/>
      <c r="D275" s="677"/>
      <c r="E275" s="21"/>
      <c r="F275" s="677"/>
      <c r="G275" s="21"/>
      <c r="H275" s="677"/>
      <c r="I275" s="21"/>
      <c r="J275" s="677"/>
      <c r="K275" s="21"/>
      <c r="L275" s="677"/>
      <c r="M275" s="21"/>
      <c r="N275" s="677"/>
      <c r="O275" s="679"/>
      <c r="P275" s="679"/>
      <c r="Q275" s="679"/>
      <c r="R275" s="679"/>
      <c r="S275" s="679"/>
      <c r="T275" s="679"/>
      <c r="U275" s="21"/>
      <c r="V275" s="677"/>
      <c r="W275" s="21"/>
      <c r="X275" s="677"/>
      <c r="Y275" s="21"/>
      <c r="Z275" s="677"/>
      <c r="AA275" s="677"/>
    </row>
    <row r="278" spans="3:27">
      <c r="C278" s="46" t="s">
        <v>0</v>
      </c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5"/>
      <c r="V278" s="465"/>
      <c r="W278" s="465"/>
      <c r="X278" s="465"/>
      <c r="Y278" s="465"/>
      <c r="Z278" s="465"/>
      <c r="AA278" s="465"/>
    </row>
    <row r="279" spans="3:27">
      <c r="C279" s="46" t="s">
        <v>110</v>
      </c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5"/>
      <c r="V279" s="465"/>
      <c r="W279" s="465"/>
      <c r="X279" s="465"/>
      <c r="Y279" s="465"/>
      <c r="Z279" s="465"/>
      <c r="AA279" s="465"/>
    </row>
    <row r="280" spans="3:27">
      <c r="C280" s="47" t="str">
        <f>C3</f>
        <v>FORECAST PERIOD-JUNE 2018</v>
      </c>
      <c r="D280" s="48"/>
      <c r="E280" s="48"/>
      <c r="F280" s="48"/>
      <c r="G280" s="48"/>
      <c r="H280" s="48"/>
      <c r="I280" s="48"/>
      <c r="J280" s="48"/>
      <c r="K280" s="48"/>
      <c r="L280" s="48"/>
      <c r="M280" s="48"/>
      <c r="N280" s="48"/>
      <c r="O280" s="48"/>
      <c r="P280" s="48"/>
      <c r="Q280" s="48"/>
      <c r="R280" s="48"/>
      <c r="S280" s="48"/>
      <c r="T280" s="48"/>
      <c r="U280" s="467"/>
      <c r="V280" s="467"/>
      <c r="W280" s="467"/>
      <c r="X280" s="467"/>
      <c r="Y280" s="467"/>
      <c r="Z280" s="467"/>
      <c r="AA280" s="467"/>
    </row>
    <row r="281" spans="3:27">
      <c r="C281" s="674"/>
      <c r="D281" s="681"/>
      <c r="E281" s="674"/>
      <c r="F281" s="681"/>
      <c r="G281" s="674"/>
      <c r="H281" s="681"/>
      <c r="I281" s="674"/>
      <c r="J281" s="681"/>
      <c r="K281" s="674"/>
      <c r="L281" s="681"/>
      <c r="M281" s="674"/>
      <c r="N281" s="681"/>
      <c r="O281" s="2"/>
      <c r="P281" s="2"/>
      <c r="Q281" s="2"/>
      <c r="R281" s="2"/>
      <c r="S281" s="2"/>
      <c r="T281" s="2"/>
      <c r="U281" s="674"/>
      <c r="V281" s="681"/>
      <c r="W281" s="674"/>
      <c r="X281" s="681"/>
      <c r="Y281" s="674"/>
      <c r="Z281" s="681"/>
      <c r="AA281" s="681"/>
    </row>
    <row r="282" spans="3:27">
      <c r="C282" s="674"/>
      <c r="D282" s="681"/>
      <c r="E282" s="674"/>
      <c r="F282" s="681"/>
      <c r="G282" s="674"/>
      <c r="H282" s="681"/>
      <c r="I282" s="674"/>
      <c r="J282" s="681"/>
      <c r="K282" s="674"/>
      <c r="L282" s="681"/>
      <c r="M282" s="674"/>
      <c r="N282" s="681"/>
      <c r="O282" s="2"/>
      <c r="P282" s="2"/>
      <c r="Q282" s="2"/>
      <c r="R282" s="2"/>
      <c r="S282" s="2"/>
      <c r="T282" s="2"/>
      <c r="U282" s="674"/>
      <c r="V282" s="674"/>
      <c r="W282" s="674"/>
      <c r="X282" s="674"/>
      <c r="Y282" s="674"/>
      <c r="Z282" s="467" t="s">
        <v>1770</v>
      </c>
      <c r="AA282" s="467"/>
    </row>
    <row r="283" spans="3:27" ht="15">
      <c r="C283" s="2"/>
      <c r="D283" s="675" t="s">
        <v>2383</v>
      </c>
      <c r="E283" s="674"/>
      <c r="F283" s="674"/>
      <c r="G283" s="674"/>
      <c r="H283" s="674"/>
      <c r="I283" s="674"/>
      <c r="J283" s="674"/>
      <c r="K283" s="674"/>
      <c r="L283" s="674"/>
      <c r="M283" s="674"/>
      <c r="N283" s="675" t="s">
        <v>2384</v>
      </c>
      <c r="O283" s="2"/>
      <c r="P283" s="675" t="s">
        <v>1771</v>
      </c>
      <c r="T283" s="675" t="s">
        <v>1771</v>
      </c>
      <c r="V283" s="675" t="s">
        <v>1771</v>
      </c>
      <c r="X283" s="675" t="s">
        <v>1771</v>
      </c>
      <c r="Y283" s="674"/>
      <c r="Z283" s="675" t="s">
        <v>2384</v>
      </c>
      <c r="AA283" s="676"/>
    </row>
    <row r="284" spans="3:27" ht="15">
      <c r="C284" s="2"/>
      <c r="D284" s="3" t="s">
        <v>2</v>
      </c>
      <c r="E284" s="2"/>
      <c r="F284" s="4"/>
      <c r="G284" s="2"/>
      <c r="H284" s="4"/>
      <c r="I284" s="2"/>
      <c r="J284" s="3" t="s">
        <v>3</v>
      </c>
      <c r="K284" s="2"/>
      <c r="L284" s="4"/>
      <c r="M284" s="2"/>
      <c r="N284" s="3" t="s">
        <v>4</v>
      </c>
      <c r="O284" s="2"/>
      <c r="P284" s="3" t="s">
        <v>4</v>
      </c>
      <c r="Q284" s="2"/>
      <c r="R284" s="675" t="s">
        <v>1771</v>
      </c>
      <c r="S284" s="2"/>
      <c r="T284" s="5" t="s">
        <v>5</v>
      </c>
      <c r="V284" s="197" t="s">
        <v>1210</v>
      </c>
      <c r="W284" s="2"/>
      <c r="X284" s="197" t="s">
        <v>11</v>
      </c>
      <c r="Y284" s="2"/>
      <c r="Z284" s="3" t="s">
        <v>4</v>
      </c>
      <c r="AA284" s="3"/>
    </row>
    <row r="285" spans="3:27">
      <c r="C285" s="2"/>
      <c r="D285" s="7" t="s">
        <v>6</v>
      </c>
      <c r="E285" s="2"/>
      <c r="F285" s="7" t="s">
        <v>7</v>
      </c>
      <c r="G285" s="2"/>
      <c r="H285" s="7" t="s">
        <v>8</v>
      </c>
      <c r="I285" s="2"/>
      <c r="J285" s="7" t="s">
        <v>9</v>
      </c>
      <c r="K285" s="2"/>
      <c r="L285" s="7" t="s">
        <v>10</v>
      </c>
      <c r="M285" s="2"/>
      <c r="N285" s="7" t="s">
        <v>6</v>
      </c>
      <c r="O285" s="2"/>
      <c r="P285" s="7" t="s">
        <v>6</v>
      </c>
      <c r="Q285" s="2"/>
      <c r="R285" s="7" t="s">
        <v>11</v>
      </c>
      <c r="S285" s="2"/>
      <c r="T285" s="7" t="s">
        <v>12</v>
      </c>
      <c r="V285" s="7" t="s">
        <v>1211</v>
      </c>
      <c r="W285" s="2"/>
      <c r="X285" s="7" t="s">
        <v>2318</v>
      </c>
      <c r="Y285" s="2"/>
      <c r="Z285" s="7" t="s">
        <v>6</v>
      </c>
      <c r="AA285" s="7" t="s">
        <v>13</v>
      </c>
    </row>
    <row r="286" spans="3:27">
      <c r="C286" s="5" t="s">
        <v>14</v>
      </c>
      <c r="D286" s="8"/>
      <c r="E286" s="2"/>
      <c r="F286" s="8"/>
      <c r="G286" s="2"/>
      <c r="H286" s="8"/>
      <c r="I286" s="2"/>
      <c r="J286" s="8"/>
      <c r="K286" s="2"/>
      <c r="L286" s="8"/>
      <c r="M286" s="2"/>
      <c r="N286" s="8"/>
      <c r="O286" s="2"/>
      <c r="P286" s="2"/>
      <c r="Q286" s="2"/>
      <c r="R286" s="2"/>
      <c r="S286" s="2"/>
      <c r="T286" s="2"/>
      <c r="U286" s="2"/>
      <c r="V286" s="8"/>
      <c r="W286" s="2"/>
      <c r="X286" s="8"/>
      <c r="Y286" s="2"/>
      <c r="Z286" s="8"/>
      <c r="AA286" s="8"/>
    </row>
    <row r="287" spans="3:27">
      <c r="C287" s="5" t="s">
        <v>15</v>
      </c>
      <c r="D287" s="4"/>
      <c r="E287" s="2"/>
      <c r="F287" s="4"/>
      <c r="G287" s="2"/>
      <c r="H287" s="4"/>
      <c r="I287" s="2"/>
      <c r="J287" s="4"/>
      <c r="K287" s="2"/>
      <c r="L287" s="4"/>
      <c r="M287" s="2"/>
      <c r="N287" s="4"/>
      <c r="O287" s="2"/>
      <c r="P287" s="2"/>
      <c r="Q287" s="2"/>
      <c r="R287" s="2"/>
      <c r="S287" s="2"/>
      <c r="T287" s="2"/>
      <c r="U287" s="2"/>
      <c r="V287" s="4"/>
      <c r="W287" s="2"/>
      <c r="X287" s="4"/>
      <c r="Y287" s="2"/>
      <c r="Z287" s="4"/>
      <c r="AA287" s="4"/>
    </row>
    <row r="288" spans="3:27">
      <c r="C288" s="5" t="s">
        <v>16</v>
      </c>
      <c r="D288" s="4"/>
      <c r="E288" s="2"/>
      <c r="F288" s="4"/>
      <c r="G288" s="2"/>
      <c r="H288" s="4"/>
      <c r="I288" s="2"/>
      <c r="J288" s="4"/>
      <c r="K288" s="2"/>
      <c r="L288" s="4"/>
      <c r="M288" s="2"/>
      <c r="N288" s="4"/>
      <c r="O288" s="2"/>
      <c r="P288" s="2"/>
      <c r="Q288" s="2"/>
      <c r="R288" s="2"/>
      <c r="S288" s="2"/>
      <c r="T288" s="2"/>
      <c r="U288" s="2"/>
      <c r="V288" s="4"/>
      <c r="W288" s="2"/>
      <c r="X288" s="4"/>
      <c r="Y288" s="2"/>
      <c r="Z288" s="4"/>
      <c r="AA288" s="4"/>
    </row>
    <row r="289" spans="1:27">
      <c r="A289" s="6" t="s">
        <v>111</v>
      </c>
      <c r="B289" s="6" t="str">
        <f t="shared" ref="B289:B300" si="12">MID(C289,2,3)</f>
        <v>360</v>
      </c>
      <c r="C289" s="2" t="s">
        <v>105</v>
      </c>
      <c r="D289" s="4">
        <v>5040.2300000000005</v>
      </c>
      <c r="E289" s="20"/>
      <c r="F289" s="4">
        <v>0</v>
      </c>
      <c r="G289" s="20"/>
      <c r="H289" s="4">
        <v>0</v>
      </c>
      <c r="I289" s="20"/>
      <c r="J289" s="4">
        <v>0</v>
      </c>
      <c r="K289" s="20"/>
      <c r="L289" s="4">
        <v>0</v>
      </c>
      <c r="M289" s="20"/>
      <c r="N289" s="4">
        <v>5040.2300000000005</v>
      </c>
      <c r="O289" s="2"/>
      <c r="P289" s="10">
        <v>5040.2300000000005</v>
      </c>
      <c r="Q289" s="2"/>
      <c r="R289" s="10">
        <v>-2469.1568603280007</v>
      </c>
      <c r="S289" s="2"/>
      <c r="T289" s="10">
        <v>2571.0731396719998</v>
      </c>
      <c r="U289" s="20"/>
      <c r="V289" s="477"/>
      <c r="W289" s="21"/>
      <c r="X289" s="14">
        <v>-2469.1568603280007</v>
      </c>
      <c r="Y289" s="21"/>
      <c r="Z289" s="14">
        <v>5040.2300000000005</v>
      </c>
      <c r="AA289" s="14">
        <v>0</v>
      </c>
    </row>
    <row r="290" spans="1:27">
      <c r="A290" s="6" t="s">
        <v>111</v>
      </c>
      <c r="C290" s="2" t="s">
        <v>19</v>
      </c>
      <c r="D290" s="4">
        <v>0</v>
      </c>
      <c r="E290" s="20"/>
      <c r="F290" s="4">
        <v>0</v>
      </c>
      <c r="G290" s="20"/>
      <c r="H290" s="4">
        <v>0</v>
      </c>
      <c r="I290" s="20"/>
      <c r="J290" s="4">
        <v>0</v>
      </c>
      <c r="K290" s="20"/>
      <c r="L290" s="4">
        <v>0</v>
      </c>
      <c r="M290" s="20"/>
      <c r="N290" s="4">
        <v>0</v>
      </c>
      <c r="O290" s="2"/>
      <c r="P290" s="10">
        <v>0</v>
      </c>
      <c r="Q290" s="2"/>
      <c r="R290" s="10">
        <v>0</v>
      </c>
      <c r="S290" s="2"/>
      <c r="T290" s="10">
        <v>0</v>
      </c>
      <c r="U290" s="20"/>
      <c r="V290" s="4"/>
      <c r="W290" s="20"/>
      <c r="X290" s="4">
        <v>0</v>
      </c>
      <c r="Y290" s="20"/>
      <c r="Z290" s="4">
        <v>0</v>
      </c>
      <c r="AA290" s="4">
        <v>0</v>
      </c>
    </row>
    <row r="291" spans="1:27">
      <c r="A291" s="6" t="s">
        <v>111</v>
      </c>
      <c r="B291" s="6" t="str">
        <f t="shared" si="12"/>
        <v>361</v>
      </c>
      <c r="C291" s="2" t="s">
        <v>20</v>
      </c>
      <c r="D291" s="4">
        <v>2575.89</v>
      </c>
      <c r="E291" s="20"/>
      <c r="F291" s="4">
        <v>0</v>
      </c>
      <c r="G291" s="20"/>
      <c r="H291" s="4">
        <v>0</v>
      </c>
      <c r="I291" s="20"/>
      <c r="J291" s="4">
        <v>0</v>
      </c>
      <c r="K291" s="20"/>
      <c r="L291" s="4">
        <v>0</v>
      </c>
      <c r="M291" s="20"/>
      <c r="N291" s="4">
        <v>2575.89</v>
      </c>
      <c r="O291" s="2"/>
      <c r="P291" s="10">
        <v>2575.8900000000003</v>
      </c>
      <c r="Q291" s="2"/>
      <c r="R291" s="10">
        <v>-2668.7623174999999</v>
      </c>
      <c r="S291" s="2"/>
      <c r="T291" s="10">
        <v>-92.872317499999554</v>
      </c>
      <c r="U291" s="20"/>
      <c r="V291" s="4"/>
      <c r="W291" s="20"/>
      <c r="X291" s="4">
        <v>-2668.7623174999999</v>
      </c>
      <c r="Y291" s="20"/>
      <c r="Z291" s="4">
        <v>2575.89</v>
      </c>
      <c r="AA291" s="4">
        <v>0</v>
      </c>
    </row>
    <row r="292" spans="1:27">
      <c r="A292" s="6" t="s">
        <v>111</v>
      </c>
      <c r="B292" s="6" t="str">
        <f t="shared" si="12"/>
        <v>362</v>
      </c>
      <c r="C292" s="2" t="s">
        <v>21</v>
      </c>
      <c r="D292" s="4">
        <v>66887.25</v>
      </c>
      <c r="E292" s="20"/>
      <c r="F292" s="4">
        <v>0</v>
      </c>
      <c r="G292" s="20"/>
      <c r="H292" s="4">
        <v>0</v>
      </c>
      <c r="I292" s="20"/>
      <c r="J292" s="4">
        <v>0</v>
      </c>
      <c r="K292" s="20"/>
      <c r="L292" s="4">
        <v>0</v>
      </c>
      <c r="M292" s="20"/>
      <c r="N292" s="4">
        <v>66887.25</v>
      </c>
      <c r="O292" s="2"/>
      <c r="P292" s="10">
        <v>66887.25</v>
      </c>
      <c r="Q292" s="2"/>
      <c r="R292" s="10">
        <v>-34495.952825299893</v>
      </c>
      <c r="S292" s="2"/>
      <c r="T292" s="10">
        <v>32391.297174700107</v>
      </c>
      <c r="U292" s="20"/>
      <c r="V292" s="4"/>
      <c r="W292" s="20"/>
      <c r="X292" s="4">
        <v>-34495.952825299893</v>
      </c>
      <c r="Y292" s="20"/>
      <c r="Z292" s="4">
        <v>66887.25</v>
      </c>
      <c r="AA292" s="4">
        <v>0</v>
      </c>
    </row>
    <row r="293" spans="1:27">
      <c r="A293" s="6" t="s">
        <v>111</v>
      </c>
      <c r="B293" s="6" t="str">
        <f t="shared" si="12"/>
        <v>364</v>
      </c>
      <c r="C293" s="2" t="s">
        <v>22</v>
      </c>
      <c r="D293" s="4">
        <v>47785.56</v>
      </c>
      <c r="E293" s="20"/>
      <c r="F293" s="4">
        <v>0</v>
      </c>
      <c r="G293" s="20"/>
      <c r="H293" s="4">
        <v>0</v>
      </c>
      <c r="I293" s="20"/>
      <c r="J293" s="4">
        <v>0</v>
      </c>
      <c r="K293" s="20"/>
      <c r="L293" s="4">
        <v>0</v>
      </c>
      <c r="M293" s="20"/>
      <c r="N293" s="4">
        <v>47785.56</v>
      </c>
      <c r="O293" s="2"/>
      <c r="P293" s="10">
        <v>47785.56</v>
      </c>
      <c r="Q293" s="2"/>
      <c r="R293" s="10">
        <v>-47643.543515999903</v>
      </c>
      <c r="S293" s="2"/>
      <c r="T293" s="10">
        <v>142.01648400009435</v>
      </c>
      <c r="U293" s="20"/>
      <c r="V293" s="4"/>
      <c r="W293" s="20"/>
      <c r="X293" s="4">
        <v>-47643.543515999903</v>
      </c>
      <c r="Y293" s="20"/>
      <c r="Z293" s="4">
        <v>47785.56</v>
      </c>
      <c r="AA293" s="4">
        <v>0</v>
      </c>
    </row>
    <row r="294" spans="1:27">
      <c r="A294" s="6" t="s">
        <v>111</v>
      </c>
      <c r="B294" s="6" t="str">
        <f t="shared" si="12"/>
        <v>365</v>
      </c>
      <c r="C294" s="2" t="s">
        <v>23</v>
      </c>
      <c r="D294" s="4">
        <v>46763.219999999994</v>
      </c>
      <c r="E294" s="20"/>
      <c r="F294" s="4">
        <v>0</v>
      </c>
      <c r="G294" s="20"/>
      <c r="H294" s="4">
        <v>0</v>
      </c>
      <c r="I294" s="20"/>
      <c r="J294" s="4">
        <v>0</v>
      </c>
      <c r="K294" s="20"/>
      <c r="L294" s="4">
        <v>0</v>
      </c>
      <c r="M294" s="20"/>
      <c r="N294" s="4">
        <v>46763.219999999994</v>
      </c>
      <c r="O294" s="2"/>
      <c r="P294" s="10">
        <v>46763.22</v>
      </c>
      <c r="Q294" s="2"/>
      <c r="R294" s="10">
        <v>-52663.255771999909</v>
      </c>
      <c r="S294" s="2"/>
      <c r="T294" s="10">
        <v>-5900.0357719999083</v>
      </c>
      <c r="U294" s="20"/>
      <c r="V294" s="4"/>
      <c r="W294" s="20"/>
      <c r="X294" s="4">
        <v>-52663.255771999909</v>
      </c>
      <c r="Y294" s="20"/>
      <c r="Z294" s="4">
        <v>46763.219999999994</v>
      </c>
      <c r="AA294" s="4">
        <v>0</v>
      </c>
    </row>
    <row r="295" spans="1:27">
      <c r="A295" s="6" t="s">
        <v>111</v>
      </c>
      <c r="B295" s="6" t="str">
        <f t="shared" si="12"/>
        <v>366</v>
      </c>
      <c r="C295" s="2" t="s">
        <v>24</v>
      </c>
      <c r="D295" s="4">
        <v>0</v>
      </c>
      <c r="E295" s="20"/>
      <c r="F295" s="4">
        <v>0</v>
      </c>
      <c r="G295" s="20"/>
      <c r="H295" s="4">
        <v>0</v>
      </c>
      <c r="I295" s="20"/>
      <c r="J295" s="4">
        <v>0</v>
      </c>
      <c r="K295" s="20"/>
      <c r="L295" s="4">
        <v>0</v>
      </c>
      <c r="M295" s="20"/>
      <c r="N295" s="4">
        <v>0</v>
      </c>
      <c r="O295" s="2"/>
      <c r="P295" s="10">
        <v>0</v>
      </c>
      <c r="Q295" s="2"/>
      <c r="R295" s="10">
        <v>0</v>
      </c>
      <c r="S295" s="2"/>
      <c r="T295" s="10">
        <v>0</v>
      </c>
      <c r="U295" s="20"/>
      <c r="V295" s="4"/>
      <c r="W295" s="20"/>
      <c r="X295" s="4">
        <v>0</v>
      </c>
      <c r="Y295" s="20"/>
      <c r="Z295" s="4">
        <v>0</v>
      </c>
      <c r="AA295" s="4">
        <v>0</v>
      </c>
    </row>
    <row r="296" spans="1:27">
      <c r="A296" s="6" t="s">
        <v>111</v>
      </c>
      <c r="B296" s="6" t="str">
        <f t="shared" si="12"/>
        <v>367</v>
      </c>
      <c r="C296" s="2" t="s">
        <v>112</v>
      </c>
      <c r="D296" s="4">
        <v>0</v>
      </c>
      <c r="E296" s="20"/>
      <c r="F296" s="4">
        <v>0</v>
      </c>
      <c r="G296" s="20"/>
      <c r="H296" s="4">
        <v>0</v>
      </c>
      <c r="I296" s="20"/>
      <c r="J296" s="4">
        <v>0</v>
      </c>
      <c r="K296" s="20"/>
      <c r="L296" s="4">
        <v>0</v>
      </c>
      <c r="M296" s="20"/>
      <c r="N296" s="4">
        <v>0</v>
      </c>
      <c r="O296" s="2"/>
      <c r="P296" s="10">
        <v>0</v>
      </c>
      <c r="Q296" s="2"/>
      <c r="R296" s="10">
        <v>0</v>
      </c>
      <c r="S296" s="2"/>
      <c r="T296" s="10">
        <v>0</v>
      </c>
      <c r="U296" s="20"/>
      <c r="V296" s="4"/>
      <c r="W296" s="20"/>
      <c r="X296" s="4">
        <v>0</v>
      </c>
      <c r="Y296" s="20"/>
      <c r="Z296" s="4">
        <v>0</v>
      </c>
      <c r="AA296" s="4">
        <v>0</v>
      </c>
    </row>
    <row r="297" spans="1:27">
      <c r="A297" s="6" t="s">
        <v>111</v>
      </c>
      <c r="B297" s="6" t="str">
        <f t="shared" si="12"/>
        <v>368</v>
      </c>
      <c r="C297" s="2" t="s">
        <v>26</v>
      </c>
      <c r="D297" s="4">
        <v>3118.2799999999997</v>
      </c>
      <c r="E297" s="20"/>
      <c r="F297" s="4">
        <v>0</v>
      </c>
      <c r="G297" s="20"/>
      <c r="H297" s="4">
        <v>0</v>
      </c>
      <c r="I297" s="20"/>
      <c r="J297" s="4">
        <v>0</v>
      </c>
      <c r="K297" s="20"/>
      <c r="L297" s="4">
        <v>0</v>
      </c>
      <c r="M297" s="20"/>
      <c r="N297" s="4">
        <v>3118.2799999999997</v>
      </c>
      <c r="O297" s="2"/>
      <c r="P297" s="10">
        <v>3118.2799999999988</v>
      </c>
      <c r="Q297" s="2"/>
      <c r="R297" s="10">
        <v>-5199.1834893280011</v>
      </c>
      <c r="S297" s="2"/>
      <c r="T297" s="10">
        <v>-2080.9034893280023</v>
      </c>
      <c r="U297" s="20"/>
      <c r="V297" s="4"/>
      <c r="W297" s="20"/>
      <c r="X297" s="4">
        <v>-5199.1834893280011</v>
      </c>
      <c r="Y297" s="20"/>
      <c r="Z297" s="4">
        <v>3118.2799999999997</v>
      </c>
      <c r="AA297" s="4">
        <v>0</v>
      </c>
    </row>
    <row r="298" spans="1:27">
      <c r="A298" s="6" t="s">
        <v>111</v>
      </c>
      <c r="B298" s="6" t="str">
        <f t="shared" si="12"/>
        <v>369</v>
      </c>
      <c r="C298" s="2" t="s">
        <v>27</v>
      </c>
      <c r="D298" s="4">
        <v>254.62</v>
      </c>
      <c r="E298" s="20"/>
      <c r="F298" s="4">
        <v>0</v>
      </c>
      <c r="G298" s="20"/>
      <c r="H298" s="4">
        <v>0</v>
      </c>
      <c r="I298" s="20"/>
      <c r="J298" s="4">
        <v>0</v>
      </c>
      <c r="K298" s="20"/>
      <c r="L298" s="4">
        <v>0</v>
      </c>
      <c r="M298" s="20"/>
      <c r="N298" s="4">
        <v>254.62</v>
      </c>
      <c r="O298" s="2"/>
      <c r="P298" s="10">
        <v>254.62</v>
      </c>
      <c r="Q298" s="2"/>
      <c r="R298" s="10">
        <v>-1149.13247466799</v>
      </c>
      <c r="S298" s="2"/>
      <c r="T298" s="10">
        <v>-894.51247466798998</v>
      </c>
      <c r="U298" s="20"/>
      <c r="V298" s="4"/>
      <c r="W298" s="20"/>
      <c r="X298" s="4">
        <v>-1149.13247466799</v>
      </c>
      <c r="Y298" s="20"/>
      <c r="Z298" s="4">
        <v>254.62</v>
      </c>
      <c r="AA298" s="4">
        <v>0</v>
      </c>
    </row>
    <row r="299" spans="1:27">
      <c r="A299" s="6" t="s">
        <v>111</v>
      </c>
      <c r="B299" s="6" t="str">
        <f t="shared" si="12"/>
        <v>370</v>
      </c>
      <c r="C299" s="2" t="s">
        <v>28</v>
      </c>
      <c r="D299" s="4">
        <v>4199.21</v>
      </c>
      <c r="E299" s="20"/>
      <c r="F299" s="4">
        <v>0</v>
      </c>
      <c r="G299" s="20"/>
      <c r="H299" s="4">
        <v>0</v>
      </c>
      <c r="I299" s="20"/>
      <c r="J299" s="4">
        <v>0</v>
      </c>
      <c r="K299" s="20"/>
      <c r="L299" s="4">
        <v>0</v>
      </c>
      <c r="M299" s="20"/>
      <c r="N299" s="4">
        <v>4199.21</v>
      </c>
      <c r="O299" s="2"/>
      <c r="P299" s="10">
        <v>4199.21</v>
      </c>
      <c r="Q299" s="2"/>
      <c r="R299" s="10">
        <v>-430.28563866999997</v>
      </c>
      <c r="S299" s="2"/>
      <c r="T299" s="10">
        <v>3768.92436133</v>
      </c>
      <c r="U299" s="20"/>
      <c r="V299" s="4"/>
      <c r="W299" s="20"/>
      <c r="X299" s="4">
        <v>-430.28563866999997</v>
      </c>
      <c r="Y299" s="20"/>
      <c r="Z299" s="4">
        <v>4199.21</v>
      </c>
      <c r="AA299" s="4">
        <v>0</v>
      </c>
    </row>
    <row r="300" spans="1:27">
      <c r="A300" s="6" t="s">
        <v>111</v>
      </c>
      <c r="B300" s="6" t="str">
        <f t="shared" si="12"/>
        <v>371</v>
      </c>
      <c r="C300" s="2" t="s">
        <v>29</v>
      </c>
      <c r="D300" s="17">
        <v>0</v>
      </c>
      <c r="E300" s="21"/>
      <c r="F300" s="17">
        <v>0</v>
      </c>
      <c r="G300" s="21"/>
      <c r="H300" s="17">
        <v>0</v>
      </c>
      <c r="I300" s="21"/>
      <c r="J300" s="17">
        <v>0</v>
      </c>
      <c r="K300" s="21"/>
      <c r="L300" s="17">
        <v>0</v>
      </c>
      <c r="M300" s="21"/>
      <c r="N300" s="17">
        <v>0</v>
      </c>
      <c r="O300" s="11"/>
      <c r="P300" s="18">
        <v>0</v>
      </c>
      <c r="Q300" s="11"/>
      <c r="R300" s="18">
        <v>0</v>
      </c>
      <c r="S300" s="2"/>
      <c r="T300" s="18">
        <v>0</v>
      </c>
      <c r="U300" s="21"/>
      <c r="V300" s="17"/>
      <c r="W300" s="21"/>
      <c r="X300" s="17">
        <v>0</v>
      </c>
      <c r="Y300" s="21"/>
      <c r="Z300" s="17">
        <v>0</v>
      </c>
      <c r="AA300" s="17">
        <v>0</v>
      </c>
    </row>
    <row r="301" spans="1:27">
      <c r="C301" s="2"/>
      <c r="D301" s="14">
        <v>176624.25999999998</v>
      </c>
      <c r="E301" s="21"/>
      <c r="F301" s="14">
        <v>0</v>
      </c>
      <c r="G301" s="21"/>
      <c r="H301" s="14">
        <v>0</v>
      </c>
      <c r="I301" s="21"/>
      <c r="J301" s="14">
        <v>0</v>
      </c>
      <c r="K301" s="21"/>
      <c r="L301" s="14">
        <v>0</v>
      </c>
      <c r="M301" s="21"/>
      <c r="N301" s="14">
        <v>176624.25999999998</v>
      </c>
      <c r="O301" s="11"/>
      <c r="P301" s="14">
        <v>176624.25999999998</v>
      </c>
      <c r="Q301" s="11"/>
      <c r="R301" s="14">
        <v>-146719.27289379371</v>
      </c>
      <c r="S301" s="2"/>
      <c r="T301" s="14">
        <v>29904.987106206299</v>
      </c>
      <c r="U301" s="21"/>
      <c r="V301" s="14"/>
      <c r="W301" s="21"/>
      <c r="X301" s="14">
        <v>-146719.27289379371</v>
      </c>
      <c r="Y301" s="21">
        <v>0</v>
      </c>
      <c r="Z301" s="14">
        <v>176624.25999999998</v>
      </c>
      <c r="AA301" s="14">
        <v>0</v>
      </c>
    </row>
    <row r="302" spans="1:27">
      <c r="C302" s="2"/>
      <c r="D302" s="14"/>
      <c r="E302" s="21"/>
      <c r="F302" s="14"/>
      <c r="G302" s="21"/>
      <c r="H302" s="14"/>
      <c r="I302" s="21"/>
      <c r="J302" s="14"/>
      <c r="K302" s="21"/>
      <c r="L302" s="14"/>
      <c r="M302" s="21"/>
      <c r="N302" s="14"/>
      <c r="O302" s="11"/>
      <c r="P302" s="2"/>
      <c r="Q302" s="11"/>
      <c r="R302" s="2"/>
      <c r="S302" s="2"/>
      <c r="T302" s="2"/>
      <c r="U302" s="21"/>
      <c r="V302" s="14"/>
      <c r="W302" s="21"/>
      <c r="X302" s="14"/>
      <c r="Y302" s="21"/>
      <c r="Z302" s="14"/>
      <c r="AA302" s="14"/>
    </row>
    <row r="303" spans="1:27">
      <c r="C303" s="5" t="s">
        <v>86</v>
      </c>
      <c r="D303" s="14"/>
      <c r="E303" s="21"/>
      <c r="F303" s="14"/>
      <c r="G303" s="21"/>
      <c r="H303" s="14"/>
      <c r="I303" s="21"/>
      <c r="J303" s="14"/>
      <c r="K303" s="21"/>
      <c r="L303" s="14"/>
      <c r="M303" s="21"/>
      <c r="N303" s="14"/>
      <c r="O303" s="11"/>
      <c r="P303" s="2"/>
      <c r="Q303" s="11"/>
      <c r="R303" s="2"/>
      <c r="S303" s="2"/>
      <c r="T303" s="2"/>
      <c r="U303" s="21"/>
      <c r="V303" s="14"/>
      <c r="W303" s="21"/>
      <c r="X303" s="14"/>
      <c r="Y303" s="21"/>
      <c r="Z303" s="14"/>
      <c r="AA303" s="14"/>
    </row>
    <row r="304" spans="1:27">
      <c r="A304" s="6" t="s">
        <v>111</v>
      </c>
      <c r="B304" s="6" t="str">
        <f t="shared" ref="B304:B306" si="13">MID(C304,2,3)</f>
        <v>350</v>
      </c>
      <c r="C304" s="2" t="s">
        <v>87</v>
      </c>
      <c r="D304" s="14">
        <v>439.53</v>
      </c>
      <c r="E304" s="21"/>
      <c r="F304" s="14">
        <v>0</v>
      </c>
      <c r="G304" s="21"/>
      <c r="H304" s="14">
        <v>0</v>
      </c>
      <c r="I304" s="21"/>
      <c r="J304" s="14">
        <v>0</v>
      </c>
      <c r="K304" s="21"/>
      <c r="L304" s="14">
        <v>0</v>
      </c>
      <c r="M304" s="21"/>
      <c r="N304" s="14">
        <v>439.53</v>
      </c>
      <c r="O304" s="11"/>
      <c r="P304" s="10">
        <v>439.52999999999992</v>
      </c>
      <c r="Q304" s="11"/>
      <c r="R304" s="10">
        <v>-369.26621899999901</v>
      </c>
      <c r="S304" s="2"/>
      <c r="T304" s="10">
        <v>70.263781000000904</v>
      </c>
      <c r="U304" s="21"/>
      <c r="V304" s="14"/>
      <c r="W304" s="21"/>
      <c r="X304" s="14">
        <v>-369.26621899999901</v>
      </c>
      <c r="Y304" s="21"/>
      <c r="Z304" s="14">
        <v>439.53</v>
      </c>
      <c r="AA304" s="14">
        <v>0</v>
      </c>
    </row>
    <row r="305" spans="1:27">
      <c r="A305" s="6" t="s">
        <v>111</v>
      </c>
      <c r="B305" s="6" t="str">
        <f t="shared" si="13"/>
        <v>355</v>
      </c>
      <c r="C305" s="2" t="s">
        <v>95</v>
      </c>
      <c r="D305" s="14">
        <v>125979</v>
      </c>
      <c r="E305" s="21"/>
      <c r="F305" s="14">
        <v>0</v>
      </c>
      <c r="G305" s="21"/>
      <c r="H305" s="14">
        <v>0</v>
      </c>
      <c r="I305" s="21"/>
      <c r="J305" s="14">
        <v>0</v>
      </c>
      <c r="K305" s="21"/>
      <c r="L305" s="14">
        <v>0</v>
      </c>
      <c r="M305" s="21"/>
      <c r="N305" s="14">
        <v>125979</v>
      </c>
      <c r="O305" s="11"/>
      <c r="P305" s="10">
        <v>125979.00000000003</v>
      </c>
      <c r="Q305" s="11"/>
      <c r="R305" s="10">
        <v>-89515.132849999995</v>
      </c>
      <c r="S305" s="2"/>
      <c r="T305" s="10">
        <v>36463.867150000035</v>
      </c>
      <c r="U305" s="21"/>
      <c r="V305" s="14"/>
      <c r="W305" s="21"/>
      <c r="X305" s="14">
        <v>-89515.132849999995</v>
      </c>
      <c r="Y305" s="21"/>
      <c r="Z305" s="14">
        <v>125979</v>
      </c>
      <c r="AA305" s="14">
        <v>0</v>
      </c>
    </row>
    <row r="306" spans="1:27">
      <c r="A306" s="6" t="s">
        <v>111</v>
      </c>
      <c r="B306" s="6" t="str">
        <f t="shared" si="13"/>
        <v>356</v>
      </c>
      <c r="C306" s="2" t="s">
        <v>96</v>
      </c>
      <c r="D306" s="17">
        <v>78061.73</v>
      </c>
      <c r="E306" s="21"/>
      <c r="F306" s="17">
        <v>0</v>
      </c>
      <c r="G306" s="21"/>
      <c r="H306" s="17">
        <v>0</v>
      </c>
      <c r="I306" s="21"/>
      <c r="J306" s="17">
        <v>0</v>
      </c>
      <c r="K306" s="21"/>
      <c r="L306" s="17">
        <v>0</v>
      </c>
      <c r="M306" s="21"/>
      <c r="N306" s="17">
        <v>78061.73</v>
      </c>
      <c r="O306" s="11"/>
      <c r="P306" s="18">
        <v>78061.73</v>
      </c>
      <c r="Q306" s="11"/>
      <c r="R306" s="18">
        <v>-53818.251939349997</v>
      </c>
      <c r="S306" s="2"/>
      <c r="T306" s="18">
        <v>24243.478060649999</v>
      </c>
      <c r="U306" s="21"/>
      <c r="V306" s="17"/>
      <c r="W306" s="21"/>
      <c r="X306" s="17">
        <v>-53818.251939349997</v>
      </c>
      <c r="Y306" s="21"/>
      <c r="Z306" s="17">
        <v>78061.73</v>
      </c>
      <c r="AA306" s="17">
        <v>0</v>
      </c>
    </row>
    <row r="307" spans="1:27">
      <c r="C307" s="2"/>
      <c r="D307" s="14">
        <v>204480.26</v>
      </c>
      <c r="E307" s="21"/>
      <c r="F307" s="14">
        <v>0</v>
      </c>
      <c r="G307" s="21"/>
      <c r="H307" s="14">
        <v>0</v>
      </c>
      <c r="I307" s="21"/>
      <c r="J307" s="14">
        <v>0</v>
      </c>
      <c r="K307" s="21"/>
      <c r="L307" s="14">
        <v>0</v>
      </c>
      <c r="M307" s="21"/>
      <c r="N307" s="14">
        <v>204480.26</v>
      </c>
      <c r="O307" s="11"/>
      <c r="P307" s="14">
        <v>204480.26</v>
      </c>
      <c r="Q307" s="11"/>
      <c r="R307" s="14">
        <v>-143702.65100834999</v>
      </c>
      <c r="S307" s="2"/>
      <c r="T307" s="14">
        <v>60777.608991650035</v>
      </c>
      <c r="U307" s="21"/>
      <c r="V307" s="14"/>
      <c r="W307" s="21"/>
      <c r="X307" s="14">
        <v>-143702.65100834999</v>
      </c>
      <c r="Y307" s="21">
        <v>0</v>
      </c>
      <c r="Z307" s="14">
        <v>204480.26</v>
      </c>
      <c r="AA307" s="14">
        <v>0</v>
      </c>
    </row>
    <row r="308" spans="1:27">
      <c r="C308" s="2"/>
      <c r="D308" s="14"/>
      <c r="E308" s="21"/>
      <c r="F308" s="14"/>
      <c r="G308" s="21"/>
      <c r="H308" s="14"/>
      <c r="I308" s="21"/>
      <c r="J308" s="14"/>
      <c r="K308" s="21"/>
      <c r="L308" s="14"/>
      <c r="M308" s="21"/>
      <c r="N308" s="14"/>
      <c r="O308" s="11"/>
      <c r="P308" s="2"/>
      <c r="Q308" s="11"/>
      <c r="R308" s="2"/>
      <c r="S308" s="2"/>
      <c r="T308" s="2"/>
      <c r="U308" s="21"/>
      <c r="V308" s="14"/>
      <c r="W308" s="21"/>
      <c r="X308" s="14"/>
      <c r="Y308" s="21"/>
      <c r="Z308" s="14"/>
      <c r="AA308" s="14"/>
    </row>
    <row r="309" spans="1:27">
      <c r="C309" s="2"/>
      <c r="D309" s="4"/>
      <c r="E309" s="20"/>
      <c r="F309" s="4"/>
      <c r="G309" s="20"/>
      <c r="H309" s="4"/>
      <c r="I309" s="20"/>
      <c r="J309" s="4"/>
      <c r="K309" s="20"/>
      <c r="L309" s="4"/>
      <c r="M309" s="20"/>
      <c r="N309" s="4"/>
      <c r="O309" s="2"/>
      <c r="P309" s="2"/>
      <c r="Q309" s="2"/>
      <c r="R309" s="2"/>
      <c r="S309" s="2"/>
      <c r="T309" s="2"/>
      <c r="U309" s="20"/>
      <c r="V309" s="4"/>
      <c r="W309" s="20"/>
      <c r="X309" s="4"/>
      <c r="Y309" s="20"/>
      <c r="Z309" s="4"/>
      <c r="AA309" s="4"/>
    </row>
    <row r="310" spans="1:27" ht="13.5" thickBot="1">
      <c r="C310" s="5" t="s">
        <v>113</v>
      </c>
      <c r="D310" s="19">
        <v>381104.52</v>
      </c>
      <c r="E310" s="20"/>
      <c r="F310" s="19">
        <v>0</v>
      </c>
      <c r="G310" s="20"/>
      <c r="H310" s="19">
        <v>0</v>
      </c>
      <c r="I310" s="20"/>
      <c r="J310" s="19">
        <v>0</v>
      </c>
      <c r="K310" s="20"/>
      <c r="L310" s="19">
        <v>0</v>
      </c>
      <c r="M310" s="20"/>
      <c r="N310" s="19">
        <v>381104.52</v>
      </c>
      <c r="O310" s="2"/>
      <c r="P310" s="19">
        <v>381104.52</v>
      </c>
      <c r="Q310" s="2"/>
      <c r="R310" s="19">
        <v>-290421.92390214372</v>
      </c>
      <c r="S310" s="2"/>
      <c r="T310" s="19">
        <v>90682.596097856338</v>
      </c>
      <c r="U310" s="20"/>
      <c r="V310" s="19">
        <v>0</v>
      </c>
      <c r="W310" s="20"/>
      <c r="X310" s="19">
        <v>-290421.92390214372</v>
      </c>
      <c r="Y310" s="20"/>
      <c r="Z310" s="19">
        <v>381104.52</v>
      </c>
      <c r="AA310" s="19">
        <v>0</v>
      </c>
    </row>
    <row r="311" spans="1:27" ht="13.5" thickTop="1"/>
    <row r="312" spans="1:27">
      <c r="C312" s="22"/>
    </row>
    <row r="313" spans="1:27">
      <c r="C313" s="680"/>
      <c r="D313" s="677"/>
    </row>
    <row r="315" spans="1:27">
      <c r="C315" s="49" t="s">
        <v>0</v>
      </c>
      <c r="D315" s="49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V315" s="6"/>
      <c r="X315" s="6"/>
      <c r="Z315" s="6"/>
      <c r="AA315" s="6"/>
    </row>
    <row r="316" spans="1:27">
      <c r="C316" s="49" t="s">
        <v>114</v>
      </c>
      <c r="D316" s="49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V316" s="6"/>
      <c r="X316" s="6"/>
      <c r="Z316" s="6"/>
      <c r="AA316" s="6"/>
    </row>
    <row r="317" spans="1:27">
      <c r="C317" s="47" t="str">
        <f>C3</f>
        <v>FORECAST PERIOD-JUNE 2018</v>
      </c>
      <c r="D317" s="48"/>
      <c r="E317" s="48"/>
      <c r="F317" s="48"/>
      <c r="G317" s="48"/>
      <c r="H317" s="48"/>
      <c r="I317" s="48"/>
      <c r="J317" s="48"/>
      <c r="K317" s="48"/>
      <c r="L317" s="48"/>
      <c r="M317" s="48"/>
      <c r="N317" s="48"/>
      <c r="V317" s="6"/>
      <c r="X317" s="6"/>
      <c r="Z317" s="6"/>
      <c r="AA317" s="6"/>
    </row>
    <row r="318" spans="1:27">
      <c r="C318" s="467"/>
      <c r="D318" s="467"/>
      <c r="E318" s="467"/>
      <c r="F318" s="467"/>
      <c r="G318" s="467"/>
      <c r="H318" s="467"/>
      <c r="I318" s="467"/>
      <c r="J318" s="467"/>
      <c r="K318" s="467"/>
      <c r="L318" s="467"/>
      <c r="M318" s="467"/>
      <c r="N318" s="467"/>
      <c r="U318" s="467"/>
      <c r="V318" s="467"/>
      <c r="W318" s="467"/>
      <c r="X318" s="467"/>
      <c r="Y318" s="467"/>
      <c r="Z318" s="467" t="s">
        <v>1770</v>
      </c>
      <c r="AA318" s="467"/>
    </row>
    <row r="319" spans="1:27" ht="15">
      <c r="D319" s="675" t="s">
        <v>2383</v>
      </c>
      <c r="E319" s="674"/>
      <c r="F319" s="674"/>
      <c r="G319" s="674"/>
      <c r="H319" s="674"/>
      <c r="I319" s="674"/>
      <c r="J319" s="674"/>
      <c r="K319" s="674"/>
      <c r="L319" s="674"/>
      <c r="M319" s="674"/>
      <c r="N319" s="675" t="s">
        <v>2384</v>
      </c>
      <c r="U319" s="674"/>
      <c r="V319" s="682"/>
      <c r="W319" s="682"/>
      <c r="X319" s="682"/>
      <c r="Y319" s="674"/>
      <c r="Z319" s="675" t="s">
        <v>2384</v>
      </c>
      <c r="AA319" s="674"/>
    </row>
    <row r="320" spans="1:27">
      <c r="D320" s="683" t="s">
        <v>2</v>
      </c>
      <c r="J320" s="683" t="s">
        <v>3</v>
      </c>
      <c r="N320" s="683" t="s">
        <v>4</v>
      </c>
      <c r="V320" s="684"/>
      <c r="W320" s="679"/>
      <c r="X320" s="684"/>
      <c r="Z320" s="3" t="s">
        <v>4</v>
      </c>
      <c r="AA320" s="683"/>
    </row>
    <row r="321" spans="1:27">
      <c r="D321" s="685" t="s">
        <v>6</v>
      </c>
      <c r="F321" s="685" t="s">
        <v>7</v>
      </c>
      <c r="H321" s="685" t="s">
        <v>8</v>
      </c>
      <c r="J321" s="685" t="s">
        <v>9</v>
      </c>
      <c r="L321" s="685" t="s">
        <v>10</v>
      </c>
      <c r="N321" s="685" t="s">
        <v>6</v>
      </c>
      <c r="V321" s="684"/>
      <c r="W321" s="679"/>
      <c r="X321" s="684"/>
      <c r="Z321" s="7" t="s">
        <v>6</v>
      </c>
      <c r="AA321" s="7" t="s">
        <v>13</v>
      </c>
    </row>
    <row r="322" spans="1:27">
      <c r="D322" s="684"/>
      <c r="F322" s="684"/>
      <c r="H322" s="684"/>
      <c r="J322" s="684"/>
      <c r="L322" s="684"/>
      <c r="N322" s="684"/>
      <c r="V322" s="684"/>
      <c r="W322" s="679"/>
      <c r="X322" s="684"/>
      <c r="Z322" s="684"/>
      <c r="AA322" s="684"/>
    </row>
    <row r="323" spans="1:27">
      <c r="C323" s="22" t="s">
        <v>115</v>
      </c>
      <c r="D323" s="6"/>
      <c r="F323" s="6"/>
      <c r="H323" s="6"/>
      <c r="J323" s="6"/>
      <c r="L323" s="6"/>
      <c r="N323" s="6"/>
      <c r="V323" s="679"/>
      <c r="W323" s="679"/>
      <c r="X323" s="679"/>
      <c r="Z323" s="6"/>
      <c r="AA323" s="6"/>
    </row>
    <row r="324" spans="1:27">
      <c r="C324" s="22" t="s">
        <v>16</v>
      </c>
      <c r="D324" s="6"/>
      <c r="F324" s="6"/>
      <c r="H324" s="6"/>
      <c r="J324" s="6"/>
      <c r="L324" s="6"/>
      <c r="N324" s="6"/>
      <c r="V324" s="679"/>
      <c r="W324" s="679"/>
      <c r="X324" s="679"/>
      <c r="Z324" s="6"/>
      <c r="AA324" s="6"/>
    </row>
    <row r="325" spans="1:27">
      <c r="A325" s="6" t="s">
        <v>17</v>
      </c>
      <c r="C325" s="6" t="s">
        <v>19</v>
      </c>
      <c r="D325" s="677">
        <v>113882.25</v>
      </c>
      <c r="E325" s="677"/>
      <c r="F325" s="677">
        <v>0</v>
      </c>
      <c r="G325" s="677"/>
      <c r="H325" s="677">
        <v>0</v>
      </c>
      <c r="I325" s="677"/>
      <c r="J325" s="677">
        <v>0</v>
      </c>
      <c r="K325" s="677"/>
      <c r="L325" s="14">
        <v>0</v>
      </c>
      <c r="M325" s="677"/>
      <c r="N325" s="677">
        <v>113882.25</v>
      </c>
      <c r="U325" s="677"/>
      <c r="V325" s="677"/>
      <c r="W325" s="677"/>
      <c r="X325" s="677"/>
      <c r="Y325" s="677"/>
      <c r="Z325" s="677">
        <v>113882.25</v>
      </c>
      <c r="AA325" s="677">
        <v>0</v>
      </c>
    </row>
    <row r="326" spans="1:27">
      <c r="A326" s="6" t="s">
        <v>104</v>
      </c>
      <c r="C326" s="6" t="s">
        <v>2323</v>
      </c>
      <c r="D326" s="479">
        <v>324087.84000000003</v>
      </c>
      <c r="F326" s="479">
        <v>0</v>
      </c>
      <c r="H326" s="479">
        <v>0</v>
      </c>
      <c r="J326" s="479">
        <v>0</v>
      </c>
      <c r="L326" s="479">
        <v>0</v>
      </c>
      <c r="N326" s="479">
        <v>324087.84000000003</v>
      </c>
      <c r="V326" s="677"/>
      <c r="W326" s="679"/>
      <c r="X326" s="677"/>
      <c r="Z326" s="479">
        <v>324087.84000000003</v>
      </c>
      <c r="AA326" s="479">
        <v>0</v>
      </c>
    </row>
    <row r="327" spans="1:27">
      <c r="D327" s="677">
        <v>437970.09</v>
      </c>
      <c r="E327" s="677"/>
      <c r="F327" s="677">
        <v>0</v>
      </c>
      <c r="G327" s="677"/>
      <c r="H327" s="677">
        <v>0</v>
      </c>
      <c r="I327" s="677"/>
      <c r="J327" s="677">
        <v>0</v>
      </c>
      <c r="K327" s="677"/>
      <c r="L327" s="677">
        <v>0</v>
      </c>
      <c r="M327" s="677"/>
      <c r="N327" s="677">
        <v>437970.09</v>
      </c>
      <c r="U327" s="677"/>
      <c r="V327" s="677"/>
      <c r="W327" s="677"/>
      <c r="X327" s="677"/>
      <c r="Y327" s="677"/>
      <c r="Z327" s="677">
        <v>437970.09</v>
      </c>
      <c r="AA327" s="677">
        <v>0</v>
      </c>
    </row>
    <row r="328" spans="1:27">
      <c r="C328" s="22"/>
      <c r="D328" s="6"/>
      <c r="F328" s="6"/>
      <c r="H328" s="6"/>
      <c r="J328" s="6"/>
      <c r="L328" s="6"/>
      <c r="N328" s="6"/>
      <c r="V328" s="679"/>
      <c r="W328" s="679"/>
      <c r="X328" s="679"/>
      <c r="Z328" s="6"/>
      <c r="AA328" s="6"/>
    </row>
    <row r="329" spans="1:27" ht="15">
      <c r="C329" s="478" t="s">
        <v>2324</v>
      </c>
      <c r="D329" s="296"/>
      <c r="E329" s="296"/>
      <c r="F329" s="296"/>
      <c r="G329" s="296"/>
      <c r="H329" s="296"/>
      <c r="I329" s="296"/>
      <c r="J329" s="296"/>
      <c r="K329" s="296"/>
      <c r="L329" s="296"/>
      <c r="M329" s="296"/>
      <c r="N329" s="296"/>
      <c r="O329" s="296"/>
      <c r="P329" s="296"/>
      <c r="Q329" s="296"/>
      <c r="R329" s="296"/>
      <c r="S329" s="296"/>
      <c r="T329" s="296"/>
      <c r="U329" s="296"/>
      <c r="V329" s="686"/>
      <c r="W329" s="686"/>
      <c r="X329" s="686"/>
      <c r="Y329" s="296"/>
      <c r="Z329" s="296"/>
      <c r="AA329" s="296"/>
    </row>
    <row r="330" spans="1:27" ht="15">
      <c r="A330" s="6" t="s">
        <v>17</v>
      </c>
      <c r="C330" s="164" t="s">
        <v>64</v>
      </c>
      <c r="D330" s="479">
        <v>309540.84999999998</v>
      </c>
      <c r="F330" s="479">
        <v>0</v>
      </c>
      <c r="H330" s="479">
        <v>0</v>
      </c>
      <c r="J330" s="479">
        <v>0</v>
      </c>
      <c r="L330" s="479">
        <v>0</v>
      </c>
      <c r="N330" s="479">
        <v>309540.84999999998</v>
      </c>
      <c r="O330" s="296"/>
      <c r="P330" s="296"/>
      <c r="Q330" s="296"/>
      <c r="R330" s="296"/>
      <c r="S330" s="296"/>
      <c r="T330" s="296"/>
      <c r="V330" s="677"/>
      <c r="W330" s="679"/>
      <c r="X330" s="677"/>
      <c r="Z330" s="479">
        <v>309540.84999999998</v>
      </c>
      <c r="AA330" s="479">
        <v>0</v>
      </c>
    </row>
    <row r="331" spans="1:27" ht="15">
      <c r="C331" s="478"/>
      <c r="D331" s="677">
        <v>309540.84999999998</v>
      </c>
      <c r="E331" s="677"/>
      <c r="F331" s="677">
        <v>0</v>
      </c>
      <c r="G331" s="677"/>
      <c r="H331" s="677">
        <v>0</v>
      </c>
      <c r="I331" s="677"/>
      <c r="J331" s="677">
        <v>0</v>
      </c>
      <c r="K331" s="677"/>
      <c r="L331" s="677">
        <v>0</v>
      </c>
      <c r="M331" s="677"/>
      <c r="N331" s="677">
        <v>309540.84999999998</v>
      </c>
      <c r="O331" s="296"/>
      <c r="P331" s="296"/>
      <c r="Q331" s="296"/>
      <c r="R331" s="296"/>
      <c r="S331" s="296"/>
      <c r="T331" s="296"/>
      <c r="U331" s="677"/>
      <c r="V331" s="677"/>
      <c r="W331" s="677"/>
      <c r="X331" s="677"/>
      <c r="Y331" s="677"/>
      <c r="Z331" s="677">
        <v>309540.84999999998</v>
      </c>
      <c r="AA331" s="677">
        <v>0</v>
      </c>
    </row>
    <row r="332" spans="1:27" ht="15">
      <c r="C332" s="478"/>
      <c r="D332" s="296"/>
      <c r="E332" s="296"/>
      <c r="F332" s="296"/>
      <c r="G332" s="296"/>
      <c r="H332" s="296"/>
      <c r="I332" s="296"/>
      <c r="J332" s="296"/>
      <c r="K332" s="296"/>
      <c r="L332" s="296"/>
      <c r="M332" s="296"/>
      <c r="N332" s="296"/>
      <c r="O332" s="296"/>
      <c r="P332" s="296"/>
      <c r="Q332" s="296"/>
      <c r="R332" s="296"/>
      <c r="S332" s="296"/>
      <c r="T332" s="296"/>
      <c r="U332" s="296"/>
      <c r="V332" s="686"/>
      <c r="W332" s="686"/>
      <c r="X332" s="686"/>
      <c r="Y332" s="296"/>
      <c r="Z332" s="296"/>
      <c r="AA332" s="296"/>
    </row>
    <row r="333" spans="1:27">
      <c r="C333" s="22"/>
      <c r="D333" s="6"/>
      <c r="F333" s="6"/>
      <c r="H333" s="6"/>
      <c r="J333" s="6"/>
      <c r="L333" s="6"/>
      <c r="N333" s="6"/>
      <c r="V333" s="679"/>
      <c r="W333" s="679"/>
      <c r="X333" s="679"/>
      <c r="Z333" s="6"/>
      <c r="AA333" s="6"/>
    </row>
    <row r="334" spans="1:27">
      <c r="C334" s="22" t="s">
        <v>116</v>
      </c>
      <c r="D334" s="677"/>
      <c r="E334" s="677"/>
      <c r="F334" s="677"/>
      <c r="G334" s="677"/>
      <c r="H334" s="677"/>
      <c r="I334" s="677"/>
      <c r="J334" s="677"/>
      <c r="K334" s="677"/>
      <c r="L334" s="677"/>
      <c r="M334" s="677"/>
      <c r="N334" s="677"/>
      <c r="U334" s="677"/>
      <c r="V334" s="677"/>
      <c r="W334" s="677"/>
      <c r="X334" s="677"/>
      <c r="Y334" s="677"/>
      <c r="Z334" s="677"/>
      <c r="AA334" s="677"/>
    </row>
    <row r="335" spans="1:27">
      <c r="C335" s="6" t="s">
        <v>75</v>
      </c>
      <c r="D335" s="677">
        <v>0</v>
      </c>
      <c r="E335" s="677"/>
      <c r="F335" s="677">
        <v>0</v>
      </c>
      <c r="G335" s="677"/>
      <c r="H335" s="677">
        <v>0</v>
      </c>
      <c r="I335" s="677"/>
      <c r="J335" s="677">
        <v>0</v>
      </c>
      <c r="K335" s="677"/>
      <c r="L335" s="677">
        <v>0</v>
      </c>
      <c r="M335" s="677"/>
      <c r="N335" s="677">
        <v>0</v>
      </c>
      <c r="U335" s="677"/>
      <c r="V335" s="677"/>
      <c r="W335" s="677"/>
      <c r="X335" s="677"/>
      <c r="Y335" s="677"/>
      <c r="Z335" s="677"/>
      <c r="AA335" s="677">
        <v>0</v>
      </c>
    </row>
    <row r="336" spans="1:27">
      <c r="C336" s="6" t="s">
        <v>76</v>
      </c>
      <c r="D336" s="677">
        <v>0</v>
      </c>
      <c r="E336" s="677"/>
      <c r="F336" s="677">
        <v>0</v>
      </c>
      <c r="G336" s="677"/>
      <c r="H336" s="677">
        <v>0</v>
      </c>
      <c r="I336" s="677"/>
      <c r="J336" s="677">
        <v>0</v>
      </c>
      <c r="K336" s="677"/>
      <c r="L336" s="677">
        <v>0</v>
      </c>
      <c r="M336" s="677"/>
      <c r="N336" s="677">
        <v>0</v>
      </c>
      <c r="U336" s="677"/>
      <c r="V336" s="677"/>
      <c r="W336" s="677"/>
      <c r="X336" s="677"/>
      <c r="Y336" s="677"/>
      <c r="Z336" s="677"/>
      <c r="AA336" s="677">
        <v>0</v>
      </c>
    </row>
    <row r="337" spans="1:27">
      <c r="C337" s="6" t="s">
        <v>78</v>
      </c>
      <c r="D337" s="677">
        <v>0</v>
      </c>
      <c r="E337" s="677"/>
      <c r="F337" s="677">
        <v>0</v>
      </c>
      <c r="G337" s="677"/>
      <c r="H337" s="677">
        <v>0</v>
      </c>
      <c r="I337" s="677"/>
      <c r="J337" s="677">
        <v>0</v>
      </c>
      <c r="K337" s="677"/>
      <c r="L337" s="677">
        <v>0</v>
      </c>
      <c r="M337" s="677"/>
      <c r="N337" s="677">
        <v>0</v>
      </c>
      <c r="U337" s="677"/>
      <c r="V337" s="677"/>
      <c r="W337" s="677"/>
      <c r="X337" s="677"/>
      <c r="Y337" s="677"/>
      <c r="Z337" s="677"/>
      <c r="AA337" s="677">
        <v>0</v>
      </c>
    </row>
    <row r="338" spans="1:27">
      <c r="C338" s="6" t="s">
        <v>80</v>
      </c>
      <c r="D338" s="677">
        <v>0</v>
      </c>
      <c r="E338" s="677"/>
      <c r="F338" s="677">
        <v>0</v>
      </c>
      <c r="G338" s="677"/>
      <c r="H338" s="677">
        <v>0</v>
      </c>
      <c r="I338" s="677"/>
      <c r="J338" s="677">
        <v>0</v>
      </c>
      <c r="K338" s="677"/>
      <c r="L338" s="677">
        <v>0</v>
      </c>
      <c r="M338" s="677"/>
      <c r="N338" s="677">
        <v>0</v>
      </c>
      <c r="U338" s="677"/>
      <c r="V338" s="677"/>
      <c r="W338" s="677"/>
      <c r="X338" s="677"/>
      <c r="Y338" s="677"/>
      <c r="Z338" s="677"/>
      <c r="AA338" s="677">
        <v>0</v>
      </c>
    </row>
    <row r="339" spans="1:27">
      <c r="C339" s="6" t="s">
        <v>117</v>
      </c>
      <c r="D339" s="677">
        <v>0</v>
      </c>
      <c r="E339" s="677"/>
      <c r="F339" s="677">
        <v>0</v>
      </c>
      <c r="G339" s="677"/>
      <c r="H339" s="677">
        <v>0</v>
      </c>
      <c r="I339" s="677"/>
      <c r="J339" s="677">
        <v>0</v>
      </c>
      <c r="K339" s="677"/>
      <c r="L339" s="677">
        <v>0</v>
      </c>
      <c r="M339" s="677"/>
      <c r="N339" s="677">
        <v>0</v>
      </c>
      <c r="U339" s="677"/>
      <c r="V339" s="677"/>
      <c r="W339" s="677"/>
      <c r="X339" s="677"/>
      <c r="Y339" s="677"/>
      <c r="Z339" s="677"/>
      <c r="AA339" s="677">
        <v>0</v>
      </c>
    </row>
    <row r="340" spans="1:27">
      <c r="C340" s="6" t="s">
        <v>84</v>
      </c>
      <c r="D340" s="479">
        <v>0</v>
      </c>
      <c r="E340" s="677"/>
      <c r="F340" s="479">
        <v>0</v>
      </c>
      <c r="G340" s="677"/>
      <c r="H340" s="479">
        <v>0</v>
      </c>
      <c r="I340" s="677"/>
      <c r="J340" s="479">
        <v>0</v>
      </c>
      <c r="K340" s="677"/>
      <c r="L340" s="479">
        <v>0</v>
      </c>
      <c r="M340" s="677"/>
      <c r="N340" s="479">
        <v>0</v>
      </c>
      <c r="U340" s="677"/>
      <c r="V340" s="677"/>
      <c r="W340" s="677"/>
      <c r="X340" s="677"/>
      <c r="Y340" s="677"/>
      <c r="Z340" s="479"/>
      <c r="AA340" s="479">
        <v>0</v>
      </c>
    </row>
    <row r="341" spans="1:27">
      <c r="D341" s="677">
        <v>0</v>
      </c>
      <c r="E341" s="677"/>
      <c r="F341" s="677">
        <v>0</v>
      </c>
      <c r="G341" s="677"/>
      <c r="H341" s="677">
        <v>0</v>
      </c>
      <c r="I341" s="677"/>
      <c r="J341" s="677">
        <v>0</v>
      </c>
      <c r="K341" s="677"/>
      <c r="L341" s="677">
        <v>0</v>
      </c>
      <c r="M341" s="677"/>
      <c r="N341" s="677">
        <v>0</v>
      </c>
      <c r="U341" s="677"/>
      <c r="V341" s="677"/>
      <c r="W341" s="677"/>
      <c r="X341" s="677"/>
      <c r="Y341" s="677"/>
      <c r="Z341" s="677">
        <v>0</v>
      </c>
      <c r="AA341" s="677">
        <v>0</v>
      </c>
    </row>
    <row r="342" spans="1:27">
      <c r="D342" s="677"/>
      <c r="E342" s="678"/>
      <c r="F342" s="677"/>
      <c r="G342" s="678"/>
      <c r="H342" s="677"/>
      <c r="I342" s="678"/>
      <c r="J342" s="677"/>
      <c r="K342" s="678"/>
      <c r="L342" s="677"/>
      <c r="M342" s="678"/>
      <c r="N342" s="677"/>
      <c r="U342" s="678"/>
      <c r="V342" s="677"/>
      <c r="W342" s="677"/>
      <c r="X342" s="677"/>
      <c r="Y342" s="678"/>
      <c r="Z342" s="677"/>
      <c r="AA342" s="677"/>
    </row>
    <row r="343" spans="1:27" ht="15">
      <c r="A343" s="23"/>
      <c r="B343" s="23"/>
      <c r="E343" s="678"/>
      <c r="G343" s="678"/>
      <c r="I343" s="678"/>
      <c r="K343" s="678"/>
      <c r="M343" s="678"/>
      <c r="U343" s="678"/>
      <c r="V343" s="677"/>
      <c r="W343" s="677"/>
      <c r="X343" s="677"/>
      <c r="Y343" s="678"/>
    </row>
    <row r="344" spans="1:27" ht="15.75" thickBot="1">
      <c r="A344" s="23"/>
      <c r="B344" s="23"/>
      <c r="C344" s="22" t="s">
        <v>118</v>
      </c>
      <c r="D344" s="687">
        <v>747510.94</v>
      </c>
      <c r="E344" s="678"/>
      <c r="F344" s="687">
        <v>0</v>
      </c>
      <c r="G344" s="678"/>
      <c r="H344" s="687">
        <v>0</v>
      </c>
      <c r="I344" s="678"/>
      <c r="J344" s="687">
        <v>0</v>
      </c>
      <c r="K344" s="678"/>
      <c r="L344" s="687">
        <v>0</v>
      </c>
      <c r="M344" s="678"/>
      <c r="N344" s="687">
        <v>747510.94</v>
      </c>
      <c r="U344" s="678"/>
      <c r="V344" s="677"/>
      <c r="W344" s="677"/>
      <c r="X344" s="677"/>
      <c r="Y344" s="678"/>
      <c r="Z344" s="687">
        <v>747510.94</v>
      </c>
      <c r="AA344" s="687">
        <v>0</v>
      </c>
    </row>
    <row r="345" spans="1:27" ht="13.5" thickTop="1">
      <c r="A345" s="24"/>
      <c r="B345" s="24"/>
      <c r="V345" s="677"/>
      <c r="W345" s="679"/>
      <c r="X345" s="677"/>
    </row>
    <row r="346" spans="1:27">
      <c r="A346" s="24"/>
      <c r="B346" s="24"/>
      <c r="C346" s="22"/>
      <c r="V346" s="677"/>
      <c r="W346" s="679"/>
      <c r="X346" s="677"/>
    </row>
    <row r="347" spans="1:27" s="23" customFormat="1" ht="15">
      <c r="A347" s="24"/>
      <c r="B347" s="24"/>
      <c r="C347" s="680"/>
      <c r="D347" s="677"/>
      <c r="E347" s="6"/>
      <c r="F347" s="678"/>
      <c r="G347" s="6"/>
      <c r="H347" s="678"/>
      <c r="I347" s="6"/>
      <c r="J347" s="678"/>
      <c r="K347" s="6"/>
      <c r="L347" s="678"/>
      <c r="M347" s="6"/>
      <c r="N347" s="678"/>
      <c r="O347" s="6"/>
      <c r="P347" s="6"/>
      <c r="Q347" s="6"/>
      <c r="R347" s="6"/>
      <c r="S347" s="6"/>
      <c r="T347" s="6"/>
      <c r="U347" s="6"/>
      <c r="V347" s="677"/>
      <c r="W347" s="679"/>
      <c r="X347" s="677"/>
      <c r="Y347" s="6"/>
      <c r="Z347" s="678"/>
      <c r="AA347" s="678"/>
    </row>
    <row r="348" spans="1:27" s="23" customFormat="1" ht="15">
      <c r="A348" s="24"/>
      <c r="B348" s="24"/>
      <c r="C348" s="6"/>
      <c r="D348" s="678"/>
      <c r="E348" s="6"/>
      <c r="F348" s="678"/>
      <c r="G348" s="6"/>
      <c r="H348" s="678"/>
      <c r="I348" s="6"/>
      <c r="J348" s="678"/>
      <c r="K348" s="6"/>
      <c r="L348" s="678"/>
      <c r="M348" s="6"/>
      <c r="N348" s="678"/>
      <c r="O348" s="6"/>
      <c r="P348" s="6"/>
      <c r="Q348" s="6"/>
      <c r="R348" s="6"/>
      <c r="S348" s="6"/>
      <c r="T348" s="6"/>
      <c r="U348" s="6"/>
      <c r="V348" s="677"/>
      <c r="W348" s="679"/>
      <c r="X348" s="677"/>
      <c r="Y348" s="6"/>
      <c r="Z348" s="678"/>
      <c r="AA348" s="678"/>
    </row>
    <row r="349" spans="1:27" s="24" customFormat="1" ht="15">
      <c r="C349" s="50" t="s">
        <v>0</v>
      </c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23"/>
      <c r="P349" s="23"/>
      <c r="Q349" s="23"/>
      <c r="R349" s="23"/>
      <c r="S349" s="23"/>
      <c r="T349" s="23"/>
      <c r="U349" s="23"/>
      <c r="V349" s="480"/>
      <c r="W349" s="480"/>
      <c r="X349" s="480"/>
      <c r="Y349" s="23"/>
      <c r="Z349" s="23"/>
      <c r="AA349" s="23"/>
    </row>
    <row r="350" spans="1:27" s="24" customFormat="1" ht="15">
      <c r="C350" s="50" t="s">
        <v>119</v>
      </c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23"/>
      <c r="P350" s="23"/>
      <c r="Q350" s="23"/>
      <c r="R350" s="23"/>
      <c r="S350" s="23"/>
      <c r="T350" s="23"/>
      <c r="U350" s="23"/>
      <c r="V350" s="480"/>
      <c r="W350" s="480"/>
      <c r="X350" s="480"/>
      <c r="Y350" s="23"/>
      <c r="Z350" s="23"/>
      <c r="AA350" s="23"/>
    </row>
    <row r="351" spans="1:27" s="24" customFormat="1">
      <c r="C351" s="47" t="str">
        <f>C3</f>
        <v>FORECAST PERIOD-JUNE 2018</v>
      </c>
      <c r="D351" s="48"/>
      <c r="E351" s="48"/>
      <c r="F351" s="48"/>
      <c r="G351" s="48"/>
      <c r="H351" s="48"/>
      <c r="I351" s="48"/>
      <c r="J351" s="48"/>
      <c r="K351" s="48"/>
      <c r="L351" s="48"/>
      <c r="M351" s="48"/>
      <c r="N351" s="48"/>
      <c r="V351" s="688"/>
      <c r="W351" s="688"/>
      <c r="X351" s="688"/>
    </row>
    <row r="352" spans="1:27" s="24" customFormat="1">
      <c r="C352" s="689"/>
      <c r="D352" s="689"/>
      <c r="E352" s="689"/>
      <c r="F352" s="689"/>
      <c r="G352" s="689"/>
      <c r="H352" s="689"/>
      <c r="I352" s="689"/>
      <c r="J352" s="689"/>
      <c r="K352" s="689"/>
      <c r="L352" s="689"/>
      <c r="M352" s="689"/>
      <c r="N352" s="689"/>
      <c r="U352" s="689"/>
      <c r="V352" s="690"/>
      <c r="W352" s="690"/>
      <c r="X352" s="690"/>
      <c r="Y352" s="689"/>
      <c r="Z352" s="467" t="s">
        <v>1770</v>
      </c>
      <c r="AA352" s="467"/>
    </row>
    <row r="353" spans="1:27" s="24" customFormat="1" ht="15">
      <c r="D353" s="675" t="s">
        <v>2383</v>
      </c>
      <c r="E353" s="674"/>
      <c r="F353" s="674"/>
      <c r="G353" s="674"/>
      <c r="H353" s="674"/>
      <c r="I353" s="674"/>
      <c r="J353" s="674"/>
      <c r="K353" s="674"/>
      <c r="L353" s="674"/>
      <c r="M353" s="674"/>
      <c r="N353" s="675" t="s">
        <v>2384</v>
      </c>
      <c r="U353" s="674"/>
      <c r="V353" s="682"/>
      <c r="W353" s="682"/>
      <c r="X353" s="682"/>
      <c r="Y353" s="674"/>
      <c r="Z353" s="676" t="s">
        <v>2317</v>
      </c>
      <c r="AA353" s="674"/>
    </row>
    <row r="354" spans="1:27" s="24" customFormat="1">
      <c r="D354" s="691" t="s">
        <v>2</v>
      </c>
      <c r="F354" s="692"/>
      <c r="H354" s="692"/>
      <c r="J354" s="691" t="s">
        <v>3</v>
      </c>
      <c r="L354" s="692"/>
      <c r="N354" s="691" t="s">
        <v>4</v>
      </c>
      <c r="V354" s="693"/>
      <c r="W354" s="688"/>
      <c r="X354" s="693"/>
      <c r="Z354" s="3" t="s">
        <v>4</v>
      </c>
      <c r="AA354" s="683"/>
    </row>
    <row r="355" spans="1:27" s="24" customFormat="1">
      <c r="D355" s="694" t="s">
        <v>6</v>
      </c>
      <c r="F355" s="694" t="s">
        <v>7</v>
      </c>
      <c r="H355" s="694" t="s">
        <v>8</v>
      </c>
      <c r="J355" s="694" t="s">
        <v>9</v>
      </c>
      <c r="L355" s="694" t="s">
        <v>10</v>
      </c>
      <c r="N355" s="694" t="s">
        <v>6</v>
      </c>
      <c r="V355" s="693"/>
      <c r="W355" s="688"/>
      <c r="X355" s="693"/>
      <c r="Z355" s="7" t="s">
        <v>6</v>
      </c>
      <c r="AA355" s="7" t="s">
        <v>13</v>
      </c>
    </row>
    <row r="356" spans="1:27" s="24" customFormat="1">
      <c r="D356" s="693"/>
      <c r="F356" s="693"/>
      <c r="H356" s="693"/>
      <c r="J356" s="693"/>
      <c r="L356" s="693"/>
      <c r="N356" s="693"/>
      <c r="V356" s="693"/>
      <c r="W356" s="688"/>
      <c r="X356" s="693"/>
      <c r="Z356" s="693"/>
      <c r="AA356" s="693"/>
    </row>
    <row r="357" spans="1:27" s="24" customFormat="1">
      <c r="C357" s="25" t="s">
        <v>120</v>
      </c>
      <c r="V357" s="688"/>
      <c r="W357" s="688"/>
      <c r="X357" s="688"/>
    </row>
    <row r="358" spans="1:27" s="24" customFormat="1">
      <c r="C358" s="25" t="s">
        <v>116</v>
      </c>
      <c r="D358" s="695"/>
      <c r="E358" s="695"/>
      <c r="F358" s="695"/>
      <c r="G358" s="695"/>
      <c r="H358" s="695"/>
      <c r="I358" s="695"/>
      <c r="J358" s="695"/>
      <c r="K358" s="695"/>
      <c r="L358" s="695"/>
      <c r="M358" s="695"/>
      <c r="N358" s="695"/>
      <c r="O358" s="21"/>
      <c r="P358" s="20"/>
      <c r="Q358" s="21"/>
      <c r="R358" s="20"/>
      <c r="U358" s="695"/>
      <c r="V358" s="695"/>
      <c r="W358" s="695"/>
      <c r="X358" s="695"/>
      <c r="Y358" s="695"/>
      <c r="Z358" s="695"/>
      <c r="AA358" s="695"/>
    </row>
    <row r="359" spans="1:27" s="24" customFormat="1">
      <c r="A359" s="688"/>
      <c r="B359" s="688"/>
      <c r="C359" s="24" t="s">
        <v>121</v>
      </c>
      <c r="D359" s="695">
        <v>0</v>
      </c>
      <c r="E359" s="695"/>
      <c r="F359" s="695">
        <v>0</v>
      </c>
      <c r="G359" s="695"/>
      <c r="H359" s="695">
        <v>0</v>
      </c>
      <c r="I359" s="695"/>
      <c r="J359" s="695">
        <v>0</v>
      </c>
      <c r="K359" s="695"/>
      <c r="L359" s="695">
        <v>0</v>
      </c>
      <c r="M359" s="695"/>
      <c r="N359" s="695">
        <v>0</v>
      </c>
      <c r="O359" s="21"/>
      <c r="P359" s="20"/>
      <c r="Q359" s="21"/>
      <c r="R359" s="20"/>
      <c r="U359" s="695"/>
      <c r="V359" s="695"/>
      <c r="W359" s="695"/>
      <c r="X359" s="695"/>
      <c r="Y359" s="695"/>
      <c r="Z359" s="695"/>
      <c r="AA359" s="695">
        <v>0</v>
      </c>
    </row>
    <row r="360" spans="1:27" s="24" customFormat="1">
      <c r="C360" s="24" t="s">
        <v>76</v>
      </c>
      <c r="D360" s="695">
        <v>0</v>
      </c>
      <c r="E360" s="695"/>
      <c r="F360" s="695">
        <v>0</v>
      </c>
      <c r="G360" s="695"/>
      <c r="H360" s="695">
        <v>0</v>
      </c>
      <c r="I360" s="695"/>
      <c r="J360" s="695">
        <v>0</v>
      </c>
      <c r="K360" s="695"/>
      <c r="L360" s="695">
        <v>0</v>
      </c>
      <c r="M360" s="695"/>
      <c r="N360" s="695">
        <v>0</v>
      </c>
      <c r="O360" s="21"/>
      <c r="P360" s="20"/>
      <c r="Q360" s="21"/>
      <c r="R360" s="20"/>
      <c r="U360" s="695"/>
      <c r="V360" s="695"/>
      <c r="W360" s="695"/>
      <c r="X360" s="695"/>
      <c r="Y360" s="695"/>
      <c r="Z360" s="695"/>
      <c r="AA360" s="695">
        <v>0</v>
      </c>
    </row>
    <row r="361" spans="1:27" s="688" customFormat="1">
      <c r="A361" s="24"/>
      <c r="B361" s="24"/>
      <c r="C361" s="24" t="s">
        <v>78</v>
      </c>
      <c r="D361" s="695">
        <v>0</v>
      </c>
      <c r="E361" s="695"/>
      <c r="F361" s="695">
        <v>0</v>
      </c>
      <c r="G361" s="695"/>
      <c r="H361" s="695">
        <v>0</v>
      </c>
      <c r="I361" s="695"/>
      <c r="J361" s="695">
        <v>0</v>
      </c>
      <c r="K361" s="695"/>
      <c r="L361" s="695">
        <v>0</v>
      </c>
      <c r="M361" s="695"/>
      <c r="N361" s="695">
        <v>0</v>
      </c>
      <c r="O361" s="21"/>
      <c r="P361" s="20"/>
      <c r="Q361" s="21"/>
      <c r="R361" s="20"/>
      <c r="S361" s="24"/>
      <c r="T361" s="24"/>
      <c r="U361" s="695"/>
      <c r="V361" s="695"/>
      <c r="W361" s="695"/>
      <c r="X361" s="695"/>
      <c r="Y361" s="695"/>
      <c r="Z361" s="695"/>
      <c r="AA361" s="695">
        <v>0</v>
      </c>
    </row>
    <row r="362" spans="1:27" s="24" customFormat="1">
      <c r="C362" s="24" t="s">
        <v>80</v>
      </c>
      <c r="D362" s="695">
        <v>0</v>
      </c>
      <c r="E362" s="695"/>
      <c r="F362" s="695">
        <v>0</v>
      </c>
      <c r="G362" s="695"/>
      <c r="H362" s="695">
        <v>0</v>
      </c>
      <c r="I362" s="695"/>
      <c r="J362" s="695">
        <v>0</v>
      </c>
      <c r="K362" s="695"/>
      <c r="L362" s="695">
        <v>0</v>
      </c>
      <c r="M362" s="695"/>
      <c r="N362" s="695">
        <v>0</v>
      </c>
      <c r="O362" s="21"/>
      <c r="P362" s="20"/>
      <c r="Q362" s="21"/>
      <c r="R362" s="20"/>
      <c r="U362" s="695"/>
      <c r="V362" s="695"/>
      <c r="W362" s="695"/>
      <c r="X362" s="695"/>
      <c r="Y362" s="695"/>
      <c r="Z362" s="695"/>
      <c r="AA362" s="695">
        <v>0</v>
      </c>
    </row>
    <row r="363" spans="1:27" s="24" customFormat="1">
      <c r="C363" s="688" t="s">
        <v>117</v>
      </c>
      <c r="D363" s="695">
        <v>0</v>
      </c>
      <c r="E363" s="695"/>
      <c r="F363" s="695">
        <v>0</v>
      </c>
      <c r="G363" s="695"/>
      <c r="H363" s="695">
        <v>0</v>
      </c>
      <c r="I363" s="695"/>
      <c r="J363" s="695">
        <v>0</v>
      </c>
      <c r="K363" s="695"/>
      <c r="L363" s="695">
        <v>0</v>
      </c>
      <c r="M363" s="695"/>
      <c r="N363" s="695">
        <v>0</v>
      </c>
      <c r="O363" s="21"/>
      <c r="P363" s="21"/>
      <c r="Q363" s="21"/>
      <c r="R363" s="21"/>
      <c r="S363" s="688"/>
      <c r="T363" s="688"/>
      <c r="U363" s="695"/>
      <c r="V363" s="695"/>
      <c r="W363" s="695"/>
      <c r="X363" s="695"/>
      <c r="Y363" s="695"/>
      <c r="Z363" s="695"/>
      <c r="AA363" s="695">
        <v>0</v>
      </c>
    </row>
    <row r="364" spans="1:27" s="24" customFormat="1">
      <c r="C364" s="24" t="s">
        <v>84</v>
      </c>
      <c r="D364" s="696">
        <v>0</v>
      </c>
      <c r="E364" s="695"/>
      <c r="F364" s="696">
        <v>0</v>
      </c>
      <c r="G364" s="695"/>
      <c r="H364" s="696">
        <v>0</v>
      </c>
      <c r="I364" s="695"/>
      <c r="J364" s="696">
        <v>0</v>
      </c>
      <c r="K364" s="695"/>
      <c r="L364" s="696">
        <v>0</v>
      </c>
      <c r="M364" s="695"/>
      <c r="N364" s="696">
        <v>0</v>
      </c>
      <c r="O364" s="21"/>
      <c r="P364" s="20"/>
      <c r="Q364" s="21"/>
      <c r="R364" s="20"/>
      <c r="U364" s="695"/>
      <c r="V364" s="695"/>
      <c r="W364" s="695"/>
      <c r="X364" s="695"/>
      <c r="Y364" s="695"/>
      <c r="Z364" s="696"/>
      <c r="AA364" s="696">
        <v>0</v>
      </c>
    </row>
    <row r="365" spans="1:27" s="24" customFormat="1">
      <c r="A365" s="6"/>
      <c r="B365" s="6"/>
      <c r="D365" s="695">
        <v>0</v>
      </c>
      <c r="E365" s="695"/>
      <c r="F365" s="695">
        <v>0</v>
      </c>
      <c r="G365" s="695"/>
      <c r="H365" s="695">
        <v>0</v>
      </c>
      <c r="I365" s="695"/>
      <c r="J365" s="695">
        <v>0</v>
      </c>
      <c r="K365" s="695"/>
      <c r="L365" s="695">
        <v>0</v>
      </c>
      <c r="M365" s="695"/>
      <c r="N365" s="695">
        <v>0</v>
      </c>
      <c r="O365" s="21"/>
      <c r="P365" s="20"/>
      <c r="Q365" s="21"/>
      <c r="R365" s="20"/>
      <c r="U365" s="695"/>
      <c r="V365" s="695"/>
      <c r="W365" s="695"/>
      <c r="X365" s="695"/>
      <c r="Y365" s="695"/>
      <c r="Z365" s="695"/>
      <c r="AA365" s="695"/>
    </row>
    <row r="366" spans="1:27" s="24" customFormat="1">
      <c r="A366" s="6"/>
      <c r="B366" s="6"/>
      <c r="D366" s="695"/>
      <c r="E366" s="692"/>
      <c r="F366" s="695"/>
      <c r="G366" s="692"/>
      <c r="H366" s="695"/>
      <c r="I366" s="692"/>
      <c r="J366" s="695"/>
      <c r="K366" s="692"/>
      <c r="L366" s="695"/>
      <c r="M366" s="692"/>
      <c r="N366" s="695"/>
      <c r="O366" s="20"/>
      <c r="P366" s="20"/>
      <c r="Q366" s="20"/>
      <c r="R366" s="20"/>
      <c r="U366" s="692"/>
      <c r="V366" s="695"/>
      <c r="W366" s="695"/>
      <c r="X366" s="695"/>
      <c r="Y366" s="692"/>
      <c r="Z366" s="695"/>
      <c r="AA366" s="695"/>
    </row>
    <row r="367" spans="1:27">
      <c r="C367" s="24"/>
      <c r="D367" s="692"/>
      <c r="E367" s="692"/>
      <c r="F367" s="692"/>
      <c r="G367" s="692"/>
      <c r="H367" s="692"/>
      <c r="I367" s="692"/>
      <c r="J367" s="692"/>
      <c r="K367" s="692"/>
      <c r="L367" s="692"/>
      <c r="M367" s="692"/>
      <c r="N367" s="692"/>
      <c r="O367" s="20"/>
      <c r="P367" s="20"/>
      <c r="Q367" s="20"/>
      <c r="R367" s="20"/>
      <c r="S367" s="24"/>
      <c r="T367" s="24"/>
      <c r="U367" s="692"/>
      <c r="V367" s="695"/>
      <c r="W367" s="695"/>
      <c r="X367" s="695"/>
      <c r="Y367" s="692"/>
      <c r="Z367" s="692"/>
      <c r="AA367" s="692"/>
    </row>
    <row r="368" spans="1:27" ht="13.5" thickBot="1">
      <c r="C368" s="25" t="s">
        <v>122</v>
      </c>
      <c r="D368" s="697">
        <v>0</v>
      </c>
      <c r="E368" s="692"/>
      <c r="F368" s="697">
        <v>0</v>
      </c>
      <c r="G368" s="692"/>
      <c r="H368" s="697">
        <v>0</v>
      </c>
      <c r="I368" s="692"/>
      <c r="J368" s="697">
        <v>0</v>
      </c>
      <c r="K368" s="692"/>
      <c r="L368" s="697">
        <v>0</v>
      </c>
      <c r="M368" s="692"/>
      <c r="N368" s="697">
        <v>0</v>
      </c>
      <c r="O368" s="20"/>
      <c r="P368" s="20"/>
      <c r="Q368" s="20"/>
      <c r="R368" s="20"/>
      <c r="S368" s="24"/>
      <c r="T368" s="24"/>
      <c r="U368" s="692"/>
      <c r="V368" s="695"/>
      <c r="W368" s="695"/>
      <c r="X368" s="695"/>
      <c r="Y368" s="692"/>
      <c r="Z368" s="697">
        <v>0</v>
      </c>
      <c r="AA368" s="697">
        <v>0</v>
      </c>
    </row>
    <row r="369" spans="22:24" ht="13.5" thickTop="1">
      <c r="V369" s="677"/>
      <c r="W369" s="679"/>
      <c r="X369" s="677"/>
    </row>
  </sheetData>
  <pageMargins left="0.75" right="0.75" top="1" bottom="1" header="0.5" footer="0.5"/>
  <pageSetup scale="41" fitToHeight="0" orientation="landscape" r:id="rId1"/>
  <headerFooter alignWithMargins="0"/>
  <rowBreaks count="7" manualBreakCount="7">
    <brk id="46" min="2" max="15" man="1"/>
    <brk id="79" max="16383" man="1"/>
    <brk id="113" min="2" max="15" man="1"/>
    <brk id="149" max="16383" man="1"/>
    <brk id="179" max="16383" man="1"/>
    <brk id="255" max="16383" man="1"/>
    <brk id="291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pageSetUpPr fitToPage="1"/>
  </sheetPr>
  <dimension ref="A1:V562"/>
  <sheetViews>
    <sheetView zoomScale="70" zoomScaleNormal="70" workbookViewId="0">
      <pane xSplit="4" ySplit="3" topLeftCell="E277" activePane="bottomRight" state="frozen"/>
      <selection activeCell="A52" sqref="A52"/>
      <selection pane="topRight" activeCell="A52" sqref="A52"/>
      <selection pane="bottomLeft" activeCell="A52" sqref="A52"/>
      <selection pane="bottomRight" activeCell="D294" sqref="D294"/>
    </sheetView>
  </sheetViews>
  <sheetFormatPr defaultColWidth="7.77734375" defaultRowHeight="15"/>
  <cols>
    <col min="1" max="1" width="5.21875" style="469" customWidth="1"/>
    <col min="2" max="2" width="4.21875" style="469" customWidth="1"/>
    <col min="3" max="3" width="6.44140625" style="469" customWidth="1"/>
    <col min="4" max="4" width="58.33203125" style="470" bestFit="1" customWidth="1"/>
    <col min="5" max="5" width="13.6640625" style="468" customWidth="1"/>
    <col min="6" max="18" width="9.33203125" style="469" customWidth="1"/>
    <col min="19" max="19" width="12.21875" style="469" customWidth="1"/>
    <col min="20" max="20" width="16.21875" style="469" customWidth="1"/>
    <col min="21" max="22" width="10.33203125" style="199" bestFit="1" customWidth="1"/>
    <col min="23" max="16384" width="7.77734375" style="199"/>
  </cols>
  <sheetData>
    <row r="1" spans="1:20" s="429" customFormat="1" ht="18.75">
      <c r="A1" s="472"/>
      <c r="B1" s="473"/>
      <c r="C1" s="473"/>
      <c r="D1" s="474"/>
      <c r="E1" s="475"/>
      <c r="F1" s="473"/>
      <c r="G1" s="473"/>
      <c r="H1" s="473"/>
      <c r="I1" s="473"/>
      <c r="J1" s="473"/>
      <c r="K1" s="473"/>
      <c r="L1" s="473"/>
      <c r="M1" s="473"/>
      <c r="N1" s="473"/>
      <c r="O1" s="473"/>
      <c r="P1" s="473"/>
      <c r="Q1" s="473"/>
      <c r="R1" s="473"/>
      <c r="S1" s="473"/>
      <c r="T1" s="473"/>
    </row>
    <row r="2" spans="1:20" s="429" customFormat="1" ht="30">
      <c r="A2" s="473" t="s">
        <v>1772</v>
      </c>
      <c r="B2" s="473" t="s">
        <v>1773</v>
      </c>
      <c r="C2" s="473" t="s">
        <v>1774</v>
      </c>
      <c r="D2" s="474" t="s">
        <v>2325</v>
      </c>
      <c r="E2" s="475" t="s">
        <v>2364</v>
      </c>
      <c r="F2" s="473" t="s">
        <v>2365</v>
      </c>
      <c r="G2" s="473" t="s">
        <v>2366</v>
      </c>
      <c r="H2" s="473" t="s">
        <v>2367</v>
      </c>
      <c r="I2" s="473" t="s">
        <v>2368</v>
      </c>
      <c r="J2" s="473" t="s">
        <v>2369</v>
      </c>
      <c r="K2" s="473" t="s">
        <v>2370</v>
      </c>
      <c r="L2" s="473" t="s">
        <v>2371</v>
      </c>
      <c r="M2" s="473" t="s">
        <v>2372</v>
      </c>
      <c r="N2" s="473" t="s">
        <v>2373</v>
      </c>
      <c r="O2" s="473" t="s">
        <v>2374</v>
      </c>
      <c r="P2" s="473" t="s">
        <v>2375</v>
      </c>
      <c r="Q2" s="473" t="s">
        <v>2376</v>
      </c>
      <c r="R2" s="473" t="s">
        <v>2377</v>
      </c>
      <c r="S2" s="473" t="s">
        <v>2378</v>
      </c>
      <c r="T2" s="473" t="s">
        <v>2379</v>
      </c>
    </row>
    <row r="3" spans="1:20" s="429" customFormat="1">
      <c r="A3" s="473"/>
      <c r="B3" s="473"/>
      <c r="C3" s="473"/>
      <c r="D3" s="474"/>
      <c r="E3" s="475"/>
      <c r="F3" s="473"/>
      <c r="G3" s="473"/>
      <c r="H3" s="473"/>
      <c r="I3" s="473"/>
      <c r="J3" s="473"/>
      <c r="K3" s="473"/>
      <c r="L3" s="473"/>
      <c r="M3" s="473"/>
      <c r="N3" s="473"/>
      <c r="O3" s="473"/>
      <c r="P3" s="473"/>
      <c r="Q3" s="473"/>
      <c r="R3" s="473"/>
      <c r="S3" s="473"/>
      <c r="T3" s="473"/>
    </row>
    <row r="5" spans="1:20">
      <c r="D5" s="668" t="s">
        <v>1775</v>
      </c>
      <c r="E5" s="669"/>
    </row>
    <row r="6" spans="1:20">
      <c r="A6" s="469" t="str">
        <f t="shared" ref="A6:A69" si="0">MID($D6,4,2)</f>
        <v>KU</v>
      </c>
      <c r="B6" s="469" t="str">
        <f t="shared" ref="B6:B69" si="1">IF(MID($D6,12,2)="- ","KY",MID($D6,12,2))</f>
        <v>KY</v>
      </c>
      <c r="C6" s="469" t="str">
        <f t="shared" ref="C6:C69" si="2">MID($D6,8,3)</f>
        <v>301</v>
      </c>
      <c r="D6" s="470" t="s">
        <v>1776</v>
      </c>
      <c r="E6" s="468" t="str">
        <f t="shared" ref="E6:E19" si="3">IF(ISTEXT(MID($D6,SEARCH("FUTURE USE",$D6),3)),"FUTURE USE",IF(ISTEXT(MID($D6,SEARCH("ECR",$D6),3)),"ECR",IF(ISTEXT(MID($D6,SEARCH("ARO",$D6),3)),"ARO",IF(ISTEXT(MID($D6,SEARCH("DSM",$D6),3)),"DSM",""))))</f>
        <v/>
      </c>
      <c r="F6" s="469">
        <v>39.116889999999998</v>
      </c>
      <c r="G6" s="469">
        <v>39.116889999999998</v>
      </c>
      <c r="H6" s="469">
        <v>39.116889999999998</v>
      </c>
      <c r="I6" s="469">
        <v>39.116889999999998</v>
      </c>
      <c r="J6" s="469">
        <v>39.116889999999998</v>
      </c>
      <c r="K6" s="469">
        <v>39.116889999999998</v>
      </c>
      <c r="L6" s="469">
        <v>39.116889999999998</v>
      </c>
      <c r="M6" s="469">
        <v>39.116889999999998</v>
      </c>
      <c r="N6" s="469">
        <v>39.116889999999998</v>
      </c>
      <c r="O6" s="469">
        <v>39.116889999999998</v>
      </c>
      <c r="P6" s="469">
        <v>39.116889999999998</v>
      </c>
      <c r="Q6" s="469">
        <v>39.116889999999998</v>
      </c>
      <c r="R6" s="469">
        <v>39.116889999999998</v>
      </c>
      <c r="T6" s="469">
        <f>SUM(F6:R6)/13</f>
        <v>39.116890000000005</v>
      </c>
    </row>
    <row r="7" spans="1:20">
      <c r="A7" s="469" t="str">
        <f t="shared" si="0"/>
        <v>KU</v>
      </c>
      <c r="B7" s="469" t="str">
        <f t="shared" si="1"/>
        <v>VA</v>
      </c>
      <c r="C7" s="469" t="str">
        <f t="shared" si="2"/>
        <v>301</v>
      </c>
      <c r="D7" s="470" t="s">
        <v>1777</v>
      </c>
      <c r="E7" s="468" t="str">
        <f t="shared" si="3"/>
        <v/>
      </c>
      <c r="F7" s="469">
        <v>5.3386899999999997</v>
      </c>
      <c r="G7" s="469">
        <v>5.3386899999999997</v>
      </c>
      <c r="H7" s="469">
        <v>5.3386899999999997</v>
      </c>
      <c r="I7" s="469">
        <v>5.3386899999999997</v>
      </c>
      <c r="J7" s="469">
        <v>5.3386899999999997</v>
      </c>
      <c r="K7" s="469">
        <v>5.3386899999999997</v>
      </c>
      <c r="L7" s="469">
        <v>5.3386899999999997</v>
      </c>
      <c r="M7" s="469">
        <v>5.3386899999999997</v>
      </c>
      <c r="N7" s="469">
        <v>5.3386899999999997</v>
      </c>
      <c r="O7" s="469">
        <v>5.3386899999999997</v>
      </c>
      <c r="P7" s="469">
        <v>5.3386899999999997</v>
      </c>
      <c r="Q7" s="469">
        <v>5.3386899999999997</v>
      </c>
      <c r="R7" s="469">
        <v>5.3386899999999997</v>
      </c>
      <c r="T7" s="469">
        <f t="shared" ref="T7:T70" si="4">SUM(F7:R7)/13</f>
        <v>5.3386899999999997</v>
      </c>
    </row>
    <row r="8" spans="1:20">
      <c r="A8" s="469" t="str">
        <f t="shared" si="0"/>
        <v>KU</v>
      </c>
      <c r="B8" s="469" t="str">
        <f t="shared" si="1"/>
        <v>KY</v>
      </c>
      <c r="C8" s="469" t="str">
        <f t="shared" si="2"/>
        <v>302</v>
      </c>
      <c r="D8" s="470" t="s">
        <v>1778</v>
      </c>
      <c r="E8" s="468" t="str">
        <f t="shared" si="3"/>
        <v/>
      </c>
      <c r="F8" s="469">
        <v>55.91883</v>
      </c>
      <c r="G8" s="469">
        <v>55.91883</v>
      </c>
      <c r="H8" s="469">
        <v>55.91883</v>
      </c>
      <c r="I8" s="469">
        <v>55.91883</v>
      </c>
      <c r="J8" s="469">
        <v>55.91883</v>
      </c>
      <c r="K8" s="469">
        <v>55.91883</v>
      </c>
      <c r="L8" s="469">
        <v>55.91883</v>
      </c>
      <c r="M8" s="469">
        <v>55.91883</v>
      </c>
      <c r="N8" s="469">
        <v>55.91883</v>
      </c>
      <c r="O8" s="469">
        <v>55.91883</v>
      </c>
      <c r="P8" s="469">
        <v>55.91883</v>
      </c>
      <c r="Q8" s="469">
        <v>55.91883</v>
      </c>
      <c r="R8" s="469">
        <v>55.91883</v>
      </c>
      <c r="T8" s="469">
        <f t="shared" si="4"/>
        <v>55.918829999999993</v>
      </c>
    </row>
    <row r="9" spans="1:20">
      <c r="A9" s="469" t="str">
        <f t="shared" si="0"/>
        <v>KU</v>
      </c>
      <c r="B9" s="469" t="str">
        <f t="shared" si="1"/>
        <v>KY</v>
      </c>
      <c r="C9" s="469" t="str">
        <f t="shared" si="2"/>
        <v>303</v>
      </c>
      <c r="D9" s="470" t="s">
        <v>1779</v>
      </c>
      <c r="E9" s="468" t="str">
        <f t="shared" si="3"/>
        <v/>
      </c>
      <c r="F9" s="469">
        <v>59089.761249999901</v>
      </c>
      <c r="G9" s="469">
        <v>56809.863639999901</v>
      </c>
      <c r="H9" s="469">
        <v>60096.401709999896</v>
      </c>
      <c r="I9" s="469">
        <v>61312.571709999997</v>
      </c>
      <c r="J9" s="469">
        <v>61707.327599999997</v>
      </c>
      <c r="K9" s="469">
        <v>62216.479209999998</v>
      </c>
      <c r="L9" s="469">
        <v>63830.544899999899</v>
      </c>
      <c r="M9" s="469">
        <v>63693.922899999903</v>
      </c>
      <c r="N9" s="469">
        <v>62851.025899999899</v>
      </c>
      <c r="O9" s="469">
        <v>62672.8178999999</v>
      </c>
      <c r="P9" s="469">
        <v>62386.694939999899</v>
      </c>
      <c r="Q9" s="469">
        <v>61713.0437199999</v>
      </c>
      <c r="R9" s="469">
        <v>63602.612369999901</v>
      </c>
      <c r="T9" s="469">
        <f t="shared" si="4"/>
        <v>61691.005211538395</v>
      </c>
    </row>
    <row r="10" spans="1:20">
      <c r="A10" s="469" t="str">
        <f t="shared" si="0"/>
        <v>KU</v>
      </c>
      <c r="B10" s="469" t="str">
        <f t="shared" si="1"/>
        <v>KY</v>
      </c>
      <c r="C10" s="469" t="str">
        <f t="shared" si="2"/>
        <v>303</v>
      </c>
      <c r="D10" s="470" t="s">
        <v>1780</v>
      </c>
      <c r="E10" s="468" t="str">
        <f t="shared" si="3"/>
        <v/>
      </c>
      <c r="F10" s="469">
        <v>41177.094440000001</v>
      </c>
      <c r="G10" s="469">
        <v>41177.094440000001</v>
      </c>
      <c r="H10" s="469">
        <v>56298.153149999998</v>
      </c>
      <c r="I10" s="469">
        <v>56298.153149999998</v>
      </c>
      <c r="J10" s="469">
        <v>56298.153149999998</v>
      </c>
      <c r="K10" s="469">
        <v>56438.153149999998</v>
      </c>
      <c r="L10" s="469">
        <v>56606.153149999998</v>
      </c>
      <c r="M10" s="469">
        <v>56606.153149999998</v>
      </c>
      <c r="N10" s="469">
        <v>56606.153149999998</v>
      </c>
      <c r="O10" s="469">
        <v>56851.153149999998</v>
      </c>
      <c r="P10" s="469">
        <v>56886.153149999998</v>
      </c>
      <c r="Q10" s="469">
        <v>56886.153149999998</v>
      </c>
      <c r="R10" s="469">
        <v>56886.1531399999</v>
      </c>
      <c r="T10" s="469">
        <f t="shared" si="4"/>
        <v>54231.913347692316</v>
      </c>
    </row>
    <row r="11" spans="1:20">
      <c r="A11" s="469" t="str">
        <f t="shared" si="0"/>
        <v>KU</v>
      </c>
      <c r="B11" s="469" t="str">
        <f t="shared" si="1"/>
        <v>KY</v>
      </c>
      <c r="C11" s="469" t="str">
        <f t="shared" si="2"/>
        <v>310</v>
      </c>
      <c r="D11" s="470" t="s">
        <v>1781</v>
      </c>
      <c r="E11" s="468" t="str">
        <f t="shared" si="3"/>
        <v>ECR</v>
      </c>
      <c r="F11" s="469">
        <v>10406.297269999999</v>
      </c>
      <c r="G11" s="469">
        <v>10406.297269999999</v>
      </c>
      <c r="H11" s="469">
        <v>10406.297269999999</v>
      </c>
      <c r="I11" s="469">
        <v>10406.297269999999</v>
      </c>
      <c r="J11" s="469">
        <v>10406.297269999999</v>
      </c>
      <c r="K11" s="469">
        <v>10406.297269999999</v>
      </c>
      <c r="L11" s="469">
        <v>12241.5238899999</v>
      </c>
      <c r="M11" s="469">
        <v>12241.5238899999</v>
      </c>
      <c r="N11" s="469">
        <v>12241.5238899999</v>
      </c>
      <c r="O11" s="469">
        <v>12241.5238899999</v>
      </c>
      <c r="P11" s="469">
        <v>12241.5238899999</v>
      </c>
      <c r="Q11" s="469">
        <v>12241.5238899999</v>
      </c>
      <c r="R11" s="469">
        <v>12241.5238899999</v>
      </c>
      <c r="T11" s="469">
        <f t="shared" si="4"/>
        <v>11394.496219230712</v>
      </c>
    </row>
    <row r="12" spans="1:20">
      <c r="A12" s="469" t="str">
        <f t="shared" si="0"/>
        <v>KU</v>
      </c>
      <c r="B12" s="469" t="str">
        <f t="shared" si="1"/>
        <v>KY</v>
      </c>
      <c r="C12" s="469" t="str">
        <f t="shared" si="2"/>
        <v>310</v>
      </c>
      <c r="D12" s="470" t="s">
        <v>1782</v>
      </c>
      <c r="E12" s="468" t="str">
        <f t="shared" si="3"/>
        <v>ECR</v>
      </c>
      <c r="F12" s="469">
        <v>1406.9974500000001</v>
      </c>
      <c r="G12" s="469">
        <v>1406.9974500000001</v>
      </c>
      <c r="H12" s="469">
        <v>1406.9974500000001</v>
      </c>
      <c r="I12" s="469">
        <v>1406.9974500000001</v>
      </c>
      <c r="J12" s="469">
        <v>1406.9974500000001</v>
      </c>
      <c r="K12" s="469">
        <v>1406.9974500000001</v>
      </c>
      <c r="L12" s="469">
        <v>1406.9974500000001</v>
      </c>
      <c r="M12" s="469">
        <v>1406.9974500000001</v>
      </c>
      <c r="N12" s="469">
        <v>1406.9974500000001</v>
      </c>
      <c r="O12" s="469">
        <v>1406.9974500000001</v>
      </c>
      <c r="P12" s="469">
        <v>1406.9974500000001</v>
      </c>
      <c r="Q12" s="469">
        <v>1406.9974500000001</v>
      </c>
      <c r="R12" s="469">
        <v>1406.9974500000001</v>
      </c>
      <c r="T12" s="469">
        <f t="shared" si="4"/>
        <v>1406.9974500000003</v>
      </c>
    </row>
    <row r="13" spans="1:20">
      <c r="A13" s="469" t="str">
        <f t="shared" si="0"/>
        <v>KU</v>
      </c>
      <c r="B13" s="469" t="str">
        <f t="shared" si="1"/>
        <v>KY</v>
      </c>
      <c r="C13" s="469" t="str">
        <f t="shared" si="2"/>
        <v>310</v>
      </c>
      <c r="D13" s="470" t="s">
        <v>1783</v>
      </c>
      <c r="E13" s="468" t="str">
        <f t="shared" si="3"/>
        <v/>
      </c>
      <c r="F13" s="469">
        <v>11354.218860000001</v>
      </c>
      <c r="G13" s="469">
        <v>11354.218860000001</v>
      </c>
      <c r="H13" s="469">
        <v>11354.218860000001</v>
      </c>
      <c r="I13" s="469">
        <v>11354.218860000001</v>
      </c>
      <c r="J13" s="469">
        <v>11354.218860000001</v>
      </c>
      <c r="K13" s="469">
        <v>11354.218860000001</v>
      </c>
      <c r="L13" s="469">
        <v>11354.218860000001</v>
      </c>
      <c r="M13" s="469">
        <v>11354.218860000001</v>
      </c>
      <c r="N13" s="469">
        <v>11354.218860000001</v>
      </c>
      <c r="O13" s="469">
        <v>11354.218860000001</v>
      </c>
      <c r="P13" s="469">
        <v>11354.218860000001</v>
      </c>
      <c r="Q13" s="469">
        <v>11354.218860000001</v>
      </c>
      <c r="R13" s="469">
        <v>11354.218860000001</v>
      </c>
      <c r="T13" s="469">
        <f t="shared" si="4"/>
        <v>11354.218859999997</v>
      </c>
    </row>
    <row r="14" spans="1:20">
      <c r="A14" s="469" t="str">
        <f t="shared" si="0"/>
        <v>KU</v>
      </c>
      <c r="B14" s="469" t="str">
        <f t="shared" si="1"/>
        <v>KY</v>
      </c>
      <c r="C14" s="469" t="str">
        <f t="shared" si="2"/>
        <v>311</v>
      </c>
      <c r="D14" s="470" t="s">
        <v>1784</v>
      </c>
      <c r="E14" s="468" t="str">
        <f t="shared" si="3"/>
        <v>ECR</v>
      </c>
      <c r="F14" s="469">
        <v>3022.6807800000001</v>
      </c>
      <c r="G14" s="469">
        <v>3022.6807800000001</v>
      </c>
      <c r="H14" s="469">
        <v>3022.6807800000001</v>
      </c>
      <c r="I14" s="469">
        <v>3022.6807800000001</v>
      </c>
      <c r="J14" s="469">
        <v>3022.6807800000001</v>
      </c>
      <c r="K14" s="469">
        <v>3022.6807800000001</v>
      </c>
      <c r="L14" s="469">
        <v>3022.6807800000001</v>
      </c>
      <c r="M14" s="469">
        <v>3022.6807800000001</v>
      </c>
      <c r="N14" s="469">
        <v>3022.6807800000001</v>
      </c>
      <c r="O14" s="469">
        <v>3022.6807800000001</v>
      </c>
      <c r="P14" s="469">
        <v>3022.6807800000001</v>
      </c>
      <c r="Q14" s="469">
        <v>3022.6807800000001</v>
      </c>
      <c r="R14" s="469">
        <v>3022.6807800000001</v>
      </c>
      <c r="T14" s="469">
        <f t="shared" si="4"/>
        <v>3022.6807800000001</v>
      </c>
    </row>
    <row r="15" spans="1:20">
      <c r="A15" s="469" t="str">
        <f t="shared" si="0"/>
        <v>KU</v>
      </c>
      <c r="B15" s="469" t="str">
        <f t="shared" si="1"/>
        <v>KY</v>
      </c>
      <c r="C15" s="469" t="str">
        <f t="shared" si="2"/>
        <v>311</v>
      </c>
      <c r="D15" s="470" t="s">
        <v>2341</v>
      </c>
      <c r="E15" s="468" t="str">
        <f t="shared" si="3"/>
        <v>ECR</v>
      </c>
      <c r="F15" s="469">
        <v>8999.8046300000005</v>
      </c>
      <c r="G15" s="469">
        <v>8999.8046300000005</v>
      </c>
      <c r="H15" s="469">
        <v>8999.8046300000005</v>
      </c>
      <c r="I15" s="469">
        <v>8999.8046300000005</v>
      </c>
      <c r="J15" s="469">
        <v>8999.8046300000005</v>
      </c>
      <c r="K15" s="469">
        <v>8999.8046300000005</v>
      </c>
      <c r="L15" s="469">
        <v>8999.8046300000005</v>
      </c>
      <c r="M15" s="469">
        <v>8999.8046300000005</v>
      </c>
      <c r="N15" s="469">
        <v>8999.8046300000005</v>
      </c>
      <c r="O15" s="469">
        <v>8999.8046300000005</v>
      </c>
      <c r="P15" s="469">
        <v>8999.8046300000005</v>
      </c>
      <c r="Q15" s="469">
        <v>8999.8046300000005</v>
      </c>
      <c r="R15" s="469">
        <v>8999.8046300000005</v>
      </c>
      <c r="T15" s="469">
        <f t="shared" si="4"/>
        <v>8999.8046300000005</v>
      </c>
    </row>
    <row r="16" spans="1:20">
      <c r="A16" s="469" t="str">
        <f t="shared" si="0"/>
        <v>KU</v>
      </c>
      <c r="B16" s="469" t="str">
        <f t="shared" si="1"/>
        <v>KY</v>
      </c>
      <c r="C16" s="469" t="str">
        <f t="shared" si="2"/>
        <v>311</v>
      </c>
      <c r="D16" s="470" t="s">
        <v>1785</v>
      </c>
      <c r="E16" s="468" t="str">
        <f t="shared" si="3"/>
        <v/>
      </c>
      <c r="F16" s="469">
        <v>324878.78921000002</v>
      </c>
      <c r="G16" s="469">
        <v>324878.78921000002</v>
      </c>
      <c r="H16" s="469">
        <v>325060.22120999999</v>
      </c>
      <c r="I16" s="469">
        <v>325880.88520999998</v>
      </c>
      <c r="J16" s="469">
        <v>325930.59720999998</v>
      </c>
      <c r="K16" s="469">
        <v>325930.59720999998</v>
      </c>
      <c r="L16" s="469">
        <v>326958.63297999999</v>
      </c>
      <c r="M16" s="469">
        <v>326958.63297999999</v>
      </c>
      <c r="N16" s="469">
        <v>326958.63297999999</v>
      </c>
      <c r="O16" s="469">
        <v>327306.82497999998</v>
      </c>
      <c r="P16" s="469">
        <v>332043.20898</v>
      </c>
      <c r="Q16" s="469">
        <v>332739.59298000002</v>
      </c>
      <c r="R16" s="469">
        <v>332739.59298000002</v>
      </c>
      <c r="T16" s="469">
        <f t="shared" si="4"/>
        <v>327558.84600923082</v>
      </c>
    </row>
    <row r="17" spans="1:20">
      <c r="A17" s="469" t="str">
        <f t="shared" si="0"/>
        <v>KU</v>
      </c>
      <c r="B17" s="469" t="str">
        <f t="shared" si="1"/>
        <v>KY</v>
      </c>
      <c r="C17" s="469" t="str">
        <f t="shared" si="2"/>
        <v>312</v>
      </c>
      <c r="D17" s="470" t="s">
        <v>1786</v>
      </c>
      <c r="E17" s="468" t="str">
        <f t="shared" si="3"/>
        <v/>
      </c>
      <c r="F17" s="469">
        <v>2669797.3162199999</v>
      </c>
      <c r="G17" s="469">
        <v>2670286.2215499999</v>
      </c>
      <c r="H17" s="469">
        <v>2667209.9798699999</v>
      </c>
      <c r="I17" s="469">
        <v>2667226.6403299998</v>
      </c>
      <c r="J17" s="469">
        <v>2668952.6578199998</v>
      </c>
      <c r="K17" s="469">
        <v>2676002.1488800002</v>
      </c>
      <c r="L17" s="469">
        <v>2677878.8734400002</v>
      </c>
      <c r="M17" s="469">
        <v>2677808.0108099999</v>
      </c>
      <c r="N17" s="469">
        <v>2674569.0301399999</v>
      </c>
      <c r="O17" s="469">
        <v>2676980.85647</v>
      </c>
      <c r="P17" s="469">
        <v>2683191.3590799998</v>
      </c>
      <c r="Q17" s="469">
        <v>2686561.3638399998</v>
      </c>
      <c r="R17" s="469">
        <v>2686453.2871699999</v>
      </c>
      <c r="T17" s="469">
        <f t="shared" si="4"/>
        <v>2675609.0573553843</v>
      </c>
    </row>
    <row r="18" spans="1:20">
      <c r="A18" s="469" t="str">
        <f t="shared" si="0"/>
        <v>KU</v>
      </c>
      <c r="B18" s="469" t="str">
        <f t="shared" si="1"/>
        <v>KY</v>
      </c>
      <c r="C18" s="469" t="str">
        <f t="shared" si="2"/>
        <v>312</v>
      </c>
      <c r="D18" s="470" t="s">
        <v>1787</v>
      </c>
      <c r="E18" s="468" t="str">
        <f t="shared" si="3"/>
        <v>ECR</v>
      </c>
      <c r="F18" s="469">
        <v>484089.67647000001</v>
      </c>
      <c r="G18" s="469">
        <v>484389.67647000001</v>
      </c>
      <c r="H18" s="469">
        <v>484389.67647000001</v>
      </c>
      <c r="I18" s="469">
        <v>484389.67647000001</v>
      </c>
      <c r="J18" s="469">
        <v>484389.67647000001</v>
      </c>
      <c r="K18" s="469">
        <v>484389.67647000001</v>
      </c>
      <c r="L18" s="469">
        <v>484389.67647000001</v>
      </c>
      <c r="M18" s="469">
        <v>484389.67647000001</v>
      </c>
      <c r="N18" s="469">
        <v>484389.67647000001</v>
      </c>
      <c r="O18" s="469">
        <v>484389.67647000001</v>
      </c>
      <c r="P18" s="469">
        <v>480212.02392000001</v>
      </c>
      <c r="Q18" s="469">
        <v>480212.02392000001</v>
      </c>
      <c r="R18" s="469">
        <v>480212.02392000001</v>
      </c>
      <c r="T18" s="469">
        <f t="shared" si="4"/>
        <v>483402.5258815384</v>
      </c>
    </row>
    <row r="19" spans="1:20">
      <c r="A19" s="469" t="str">
        <f t="shared" si="0"/>
        <v>KU</v>
      </c>
      <c r="B19" s="469" t="str">
        <f t="shared" si="1"/>
        <v>KY</v>
      </c>
      <c r="C19" s="469" t="str">
        <f t="shared" si="2"/>
        <v>312</v>
      </c>
      <c r="D19" s="470" t="s">
        <v>1788</v>
      </c>
      <c r="E19" s="468" t="str">
        <f t="shared" si="3"/>
        <v>ECR</v>
      </c>
      <c r="F19" s="469">
        <v>836774.35519999999</v>
      </c>
      <c r="G19" s="469">
        <v>836774.35519999999</v>
      </c>
      <c r="H19" s="469">
        <v>836774.35519999999</v>
      </c>
      <c r="I19" s="469">
        <v>836774.35519999999</v>
      </c>
      <c r="J19" s="469">
        <v>836774.35519999999</v>
      </c>
      <c r="K19" s="469">
        <v>836774.35519999999</v>
      </c>
      <c r="L19" s="469">
        <v>836774.35519999999</v>
      </c>
      <c r="M19" s="469">
        <v>836774.35519999999</v>
      </c>
      <c r="N19" s="469">
        <v>836774.35519999999</v>
      </c>
      <c r="O19" s="469">
        <v>836774.35519999999</v>
      </c>
      <c r="P19" s="469">
        <v>836774.35519999999</v>
      </c>
      <c r="Q19" s="469">
        <v>836774.35519999999</v>
      </c>
      <c r="R19" s="469">
        <v>836774.35519999999</v>
      </c>
      <c r="T19" s="469">
        <f t="shared" si="4"/>
        <v>836774.35519999999</v>
      </c>
    </row>
    <row r="20" spans="1:20">
      <c r="A20" s="469" t="str">
        <f t="shared" si="0"/>
        <v>KU</v>
      </c>
      <c r="B20" s="469" t="str">
        <f t="shared" si="1"/>
        <v>KY</v>
      </c>
      <c r="C20" s="469" t="str">
        <f t="shared" si="2"/>
        <v>312</v>
      </c>
      <c r="D20" s="470" t="s">
        <v>2342</v>
      </c>
      <c r="E20" s="468" t="str">
        <f>IF(ISTEXT(MID($D20,SEARCH("FUTURE USE",$D20),3)),"FUTURE USE",IF(ISTEXT(MID($D20,SEARCH("ECR",$D20),3)),"ECR",IF(ISTEXT(MID($D20,SEARCH("ARO",$D20),3)),"ARO",IF(ISTEXT(MID($D20,SEARCH("DSM",$D20),3)),"DSM",""))))</f>
        <v>ECR</v>
      </c>
      <c r="F20" s="469">
        <v>12880.048429999901</v>
      </c>
      <c r="G20" s="469">
        <v>12880.048429999901</v>
      </c>
      <c r="H20" s="469">
        <v>12880.048429999901</v>
      </c>
      <c r="I20" s="469">
        <v>12880.048429999901</v>
      </c>
      <c r="J20" s="469">
        <v>12880.048429999901</v>
      </c>
      <c r="K20" s="469">
        <v>12880.048429999901</v>
      </c>
      <c r="L20" s="469">
        <v>26112.657299999999</v>
      </c>
      <c r="M20" s="469">
        <v>26112.657299999999</v>
      </c>
      <c r="N20" s="469">
        <v>26112.657299999999</v>
      </c>
      <c r="O20" s="469">
        <v>26112.657299999999</v>
      </c>
      <c r="P20" s="469">
        <v>26112.657299999999</v>
      </c>
      <c r="Q20" s="469">
        <v>26112.657299999999</v>
      </c>
      <c r="R20" s="469">
        <v>26112.657299999999</v>
      </c>
      <c r="T20" s="469">
        <f t="shared" si="4"/>
        <v>20005.29935999995</v>
      </c>
    </row>
    <row r="21" spans="1:20">
      <c r="A21" s="469" t="str">
        <f t="shared" si="0"/>
        <v>KU</v>
      </c>
      <c r="B21" s="469" t="str">
        <f t="shared" si="1"/>
        <v>KY</v>
      </c>
      <c r="C21" s="469" t="str">
        <f t="shared" si="2"/>
        <v>312</v>
      </c>
      <c r="D21" s="470" t="s">
        <v>2343</v>
      </c>
      <c r="E21" s="468" t="str">
        <f t="shared" ref="E21:E84" si="5">IF(ISTEXT(MID($D21,SEARCH("FUTURE USE",$D21),3)),"FUTURE USE",IF(ISTEXT(MID($D21,SEARCH("ECR",$D21),3)),"ECR",IF(ISTEXT(MID($D21,SEARCH("ARO",$D21),3)),"ARO",IF(ISTEXT(MID($D21,SEARCH("DSM",$D21),3)),"DSM",""))))</f>
        <v>ECR</v>
      </c>
      <c r="F21" s="469">
        <v>0</v>
      </c>
      <c r="G21" s="469">
        <v>0</v>
      </c>
      <c r="H21" s="469">
        <v>0</v>
      </c>
      <c r="I21" s="469">
        <v>0</v>
      </c>
      <c r="J21" s="469">
        <v>0</v>
      </c>
      <c r="K21" s="469">
        <v>0</v>
      </c>
      <c r="L21" s="469">
        <v>0</v>
      </c>
      <c r="M21" s="469">
        <v>0</v>
      </c>
      <c r="N21" s="469">
        <v>0</v>
      </c>
      <c r="O21" s="469">
        <v>0</v>
      </c>
      <c r="P21" s="469">
        <v>0</v>
      </c>
      <c r="Q21" s="469">
        <v>0</v>
      </c>
      <c r="R21" s="469">
        <v>0</v>
      </c>
      <c r="T21" s="469">
        <f t="shared" si="4"/>
        <v>0</v>
      </c>
    </row>
    <row r="22" spans="1:20">
      <c r="A22" s="469" t="str">
        <f t="shared" si="0"/>
        <v>KU</v>
      </c>
      <c r="B22" s="469" t="str">
        <f t="shared" si="1"/>
        <v>KY</v>
      </c>
      <c r="C22" s="469" t="str">
        <f t="shared" si="2"/>
        <v>314</v>
      </c>
      <c r="D22" s="470" t="s">
        <v>1790</v>
      </c>
      <c r="E22" s="468" t="str">
        <f t="shared" si="5"/>
        <v/>
      </c>
      <c r="F22" s="469">
        <v>337471.52721999999</v>
      </c>
      <c r="G22" s="469">
        <v>337471.52721999999</v>
      </c>
      <c r="H22" s="469">
        <v>337531.52721999999</v>
      </c>
      <c r="I22" s="469">
        <v>337872.82193999999</v>
      </c>
      <c r="J22" s="469">
        <v>338795.30193999998</v>
      </c>
      <c r="K22" s="469">
        <v>339862.44749999902</v>
      </c>
      <c r="L22" s="469">
        <v>340613.71379999898</v>
      </c>
      <c r="M22" s="469">
        <v>340613.71379999898</v>
      </c>
      <c r="N22" s="469">
        <v>340613.71379999898</v>
      </c>
      <c r="O22" s="469">
        <v>341466.51379999903</v>
      </c>
      <c r="P22" s="469">
        <v>343939.75397999998</v>
      </c>
      <c r="Q22" s="469">
        <v>344481.13637999998</v>
      </c>
      <c r="R22" s="469">
        <v>344819.13637999998</v>
      </c>
      <c r="T22" s="469">
        <f t="shared" si="4"/>
        <v>340427.14115230733</v>
      </c>
    </row>
    <row r="23" spans="1:20">
      <c r="A23" s="469" t="str">
        <f t="shared" si="0"/>
        <v>KU</v>
      </c>
      <c r="B23" s="469" t="str">
        <f t="shared" si="1"/>
        <v>KY</v>
      </c>
      <c r="C23" s="469" t="str">
        <f t="shared" si="2"/>
        <v>315</v>
      </c>
      <c r="D23" s="470" t="s">
        <v>1791</v>
      </c>
      <c r="E23" s="468" t="str">
        <f t="shared" si="5"/>
        <v/>
      </c>
      <c r="F23" s="469">
        <v>217023.76569999999</v>
      </c>
      <c r="G23" s="469">
        <v>217023.76569999999</v>
      </c>
      <c r="H23" s="469">
        <v>217023.76569999999</v>
      </c>
      <c r="I23" s="469">
        <v>217023.76569999999</v>
      </c>
      <c r="J23" s="469">
        <v>217023.76569999999</v>
      </c>
      <c r="K23" s="469">
        <v>217023.76569999999</v>
      </c>
      <c r="L23" s="469">
        <v>217023.76569999999</v>
      </c>
      <c r="M23" s="469">
        <v>217023.76569999999</v>
      </c>
      <c r="N23" s="469">
        <v>217023.76569999999</v>
      </c>
      <c r="O23" s="469">
        <v>217023.76569999999</v>
      </c>
      <c r="P23" s="469">
        <v>217023.76569999999</v>
      </c>
      <c r="Q23" s="469">
        <v>217023.76569999999</v>
      </c>
      <c r="R23" s="469">
        <v>217023.76569999999</v>
      </c>
      <c r="T23" s="469">
        <f t="shared" si="4"/>
        <v>217023.7656999999</v>
      </c>
    </row>
    <row r="24" spans="1:20">
      <c r="A24" s="469" t="str">
        <f t="shared" si="0"/>
        <v>KU</v>
      </c>
      <c r="B24" s="469" t="str">
        <f t="shared" si="1"/>
        <v>KY</v>
      </c>
      <c r="C24" s="469" t="str">
        <f t="shared" si="2"/>
        <v>315</v>
      </c>
      <c r="D24" s="470" t="s">
        <v>2344</v>
      </c>
      <c r="E24" s="468" t="str">
        <f t="shared" si="5"/>
        <v>ECR</v>
      </c>
      <c r="F24" s="469">
        <v>1303.7405899999901</v>
      </c>
      <c r="G24" s="469">
        <v>1303.7405899999901</v>
      </c>
      <c r="H24" s="469">
        <v>1303.7405899999901</v>
      </c>
      <c r="I24" s="469">
        <v>1303.7405899999901</v>
      </c>
      <c r="J24" s="469">
        <v>1303.7405899999901</v>
      </c>
      <c r="K24" s="469">
        <v>1303.7405899999901</v>
      </c>
      <c r="L24" s="469">
        <v>1303.7405899999901</v>
      </c>
      <c r="M24" s="469">
        <v>1303.7405899999901</v>
      </c>
      <c r="N24" s="469">
        <v>1303.7405899999901</v>
      </c>
      <c r="O24" s="469">
        <v>1303.7405899999901</v>
      </c>
      <c r="P24" s="469">
        <v>1303.7405899999901</v>
      </c>
      <c r="Q24" s="469">
        <v>1303.7405899999901</v>
      </c>
      <c r="R24" s="469">
        <v>1303.7405899999901</v>
      </c>
      <c r="T24" s="469">
        <f t="shared" si="4"/>
        <v>1303.7405899999901</v>
      </c>
    </row>
    <row r="25" spans="1:20">
      <c r="A25" s="469" t="str">
        <f t="shared" si="0"/>
        <v>KU</v>
      </c>
      <c r="B25" s="469" t="str">
        <f t="shared" si="1"/>
        <v>KY</v>
      </c>
      <c r="C25" s="469" t="str">
        <f t="shared" si="2"/>
        <v>315</v>
      </c>
      <c r="D25" s="470" t="s">
        <v>1792</v>
      </c>
      <c r="E25" s="468" t="str">
        <f t="shared" si="5"/>
        <v>ECR</v>
      </c>
      <c r="F25" s="469">
        <v>8219.8982599999999</v>
      </c>
      <c r="G25" s="469">
        <v>8219.8982599999999</v>
      </c>
      <c r="H25" s="469">
        <v>8219.8982599999999</v>
      </c>
      <c r="I25" s="469">
        <v>8219.8982599999999</v>
      </c>
      <c r="J25" s="469">
        <v>8219.8982599999999</v>
      </c>
      <c r="K25" s="469">
        <v>8219.8982599999999</v>
      </c>
      <c r="L25" s="469">
        <v>8219.8982599999999</v>
      </c>
      <c r="M25" s="469">
        <v>8219.8982599999999</v>
      </c>
      <c r="N25" s="469">
        <v>8219.8982599999999</v>
      </c>
      <c r="O25" s="469">
        <v>8219.8982599999999</v>
      </c>
      <c r="P25" s="469">
        <v>8219.8982599999999</v>
      </c>
      <c r="Q25" s="469">
        <v>8219.8982599999999</v>
      </c>
      <c r="R25" s="469">
        <v>8219.8982599999999</v>
      </c>
      <c r="T25" s="469">
        <f t="shared" si="4"/>
        <v>8219.8982599999999</v>
      </c>
    </row>
    <row r="26" spans="1:20">
      <c r="A26" s="469" t="str">
        <f t="shared" si="0"/>
        <v>KU</v>
      </c>
      <c r="B26" s="469" t="str">
        <f t="shared" si="1"/>
        <v>KY</v>
      </c>
      <c r="C26" s="469" t="str">
        <f t="shared" si="2"/>
        <v>316</v>
      </c>
      <c r="D26" s="470" t="s">
        <v>2345</v>
      </c>
      <c r="E26" s="468" t="str">
        <f t="shared" si="5"/>
        <v>ECR</v>
      </c>
      <c r="F26" s="469">
        <v>824.92337999999995</v>
      </c>
      <c r="G26" s="469">
        <v>824.92337999999995</v>
      </c>
      <c r="H26" s="469">
        <v>824.92337999999995</v>
      </c>
      <c r="I26" s="469">
        <v>824.92337999999995</v>
      </c>
      <c r="J26" s="469">
        <v>824.92337999999995</v>
      </c>
      <c r="K26" s="469">
        <v>824.92337999999995</v>
      </c>
      <c r="L26" s="469">
        <v>824.92337999999995</v>
      </c>
      <c r="M26" s="469">
        <v>824.92337999999995</v>
      </c>
      <c r="N26" s="469">
        <v>824.92337999999995</v>
      </c>
      <c r="O26" s="469">
        <v>824.92337999999995</v>
      </c>
      <c r="P26" s="469">
        <v>824.92337999999995</v>
      </c>
      <c r="Q26" s="469">
        <v>824.92337999999995</v>
      </c>
      <c r="R26" s="469">
        <v>824.92337999999995</v>
      </c>
      <c r="T26" s="469">
        <f t="shared" si="4"/>
        <v>824.92338000000007</v>
      </c>
    </row>
    <row r="27" spans="1:20">
      <c r="A27" s="469" t="str">
        <f t="shared" si="0"/>
        <v>KU</v>
      </c>
      <c r="B27" s="469" t="str">
        <f t="shared" si="1"/>
        <v>KY</v>
      </c>
      <c r="C27" s="469" t="str">
        <f t="shared" si="2"/>
        <v>316</v>
      </c>
      <c r="D27" s="470" t="s">
        <v>1793</v>
      </c>
      <c r="E27" s="468" t="str">
        <f t="shared" si="5"/>
        <v/>
      </c>
      <c r="F27" s="469">
        <v>38347.097179999902</v>
      </c>
      <c r="G27" s="469">
        <v>38425.806269999899</v>
      </c>
      <c r="H27" s="469">
        <v>38436.515359999903</v>
      </c>
      <c r="I27" s="469">
        <v>38813.066299999897</v>
      </c>
      <c r="J27" s="469">
        <v>38823.775389999901</v>
      </c>
      <c r="K27" s="469">
        <v>39341.901499999898</v>
      </c>
      <c r="L27" s="469">
        <v>40620.125899999897</v>
      </c>
      <c r="M27" s="469">
        <v>40640.536829999903</v>
      </c>
      <c r="N27" s="469">
        <v>40660.9477999999</v>
      </c>
      <c r="O27" s="469">
        <v>40766.638769999903</v>
      </c>
      <c r="P27" s="469">
        <v>40787.0497399999</v>
      </c>
      <c r="Q27" s="469">
        <v>41600.7290299999</v>
      </c>
      <c r="R27" s="469">
        <v>41703.705999999896</v>
      </c>
      <c r="T27" s="469">
        <f t="shared" si="4"/>
        <v>39920.607389999903</v>
      </c>
    </row>
    <row r="28" spans="1:20">
      <c r="A28" s="469" t="str">
        <f t="shared" si="0"/>
        <v>KU</v>
      </c>
      <c r="B28" s="469" t="str">
        <f t="shared" si="1"/>
        <v>KY</v>
      </c>
      <c r="C28" s="469" t="str">
        <f t="shared" si="2"/>
        <v>317</v>
      </c>
      <c r="D28" s="470" t="s">
        <v>1794</v>
      </c>
      <c r="E28" s="468" t="str">
        <f t="shared" si="5"/>
        <v>ARO</v>
      </c>
      <c r="F28" s="469">
        <v>331002.42833000002</v>
      </c>
      <c r="G28" s="469">
        <v>331002.42833000002</v>
      </c>
      <c r="H28" s="469">
        <v>331002.42833000002</v>
      </c>
      <c r="I28" s="469">
        <v>331002.42833000002</v>
      </c>
      <c r="J28" s="469">
        <v>331002.42833000002</v>
      </c>
      <c r="K28" s="469">
        <v>331002.42833000002</v>
      </c>
      <c r="L28" s="469">
        <v>331002.42833000002</v>
      </c>
      <c r="M28" s="469">
        <v>331002.42833000002</v>
      </c>
      <c r="N28" s="469">
        <v>331002.42833000002</v>
      </c>
      <c r="O28" s="469">
        <v>331002.42833000002</v>
      </c>
      <c r="P28" s="469">
        <v>331002.42833000002</v>
      </c>
      <c r="Q28" s="469">
        <v>331002.42833000002</v>
      </c>
      <c r="R28" s="469">
        <v>331002.42833000002</v>
      </c>
      <c r="T28" s="469">
        <f t="shared" si="4"/>
        <v>331002.42833000008</v>
      </c>
    </row>
    <row r="29" spans="1:20">
      <c r="A29" s="469" t="str">
        <f t="shared" si="0"/>
        <v>KU</v>
      </c>
      <c r="B29" s="469" t="str">
        <f t="shared" si="1"/>
        <v>KY</v>
      </c>
      <c r="C29" s="469" t="str">
        <f t="shared" si="2"/>
        <v>330</v>
      </c>
      <c r="D29" s="470" t="s">
        <v>1795</v>
      </c>
      <c r="E29" s="468" t="str">
        <f t="shared" si="5"/>
        <v/>
      </c>
      <c r="F29" s="469">
        <v>879.31146999999999</v>
      </c>
      <c r="G29" s="469">
        <v>879.31146999999999</v>
      </c>
      <c r="H29" s="469">
        <v>879.31146999999999</v>
      </c>
      <c r="I29" s="469">
        <v>879.31146999999999</v>
      </c>
      <c r="J29" s="469">
        <v>879.31146999999999</v>
      </c>
      <c r="K29" s="469">
        <v>879.31146999999999</v>
      </c>
      <c r="L29" s="469">
        <v>879.31146999999999</v>
      </c>
      <c r="M29" s="469">
        <v>879.31146999999999</v>
      </c>
      <c r="N29" s="469">
        <v>879.31146999999999</v>
      </c>
      <c r="O29" s="469">
        <v>879.31146999999999</v>
      </c>
      <c r="P29" s="469">
        <v>879.31146999999999</v>
      </c>
      <c r="Q29" s="469">
        <v>879.31146999999999</v>
      </c>
      <c r="R29" s="469">
        <v>879.31146999999999</v>
      </c>
      <c r="T29" s="469">
        <f t="shared" si="4"/>
        <v>879.31146999999999</v>
      </c>
    </row>
    <row r="30" spans="1:20">
      <c r="A30" s="469" t="str">
        <f t="shared" si="0"/>
        <v>KU</v>
      </c>
      <c r="B30" s="469" t="str">
        <f t="shared" si="1"/>
        <v>KY</v>
      </c>
      <c r="C30" s="469" t="str">
        <f t="shared" si="2"/>
        <v>331</v>
      </c>
      <c r="D30" s="470" t="s">
        <v>1796</v>
      </c>
      <c r="E30" s="468" t="str">
        <f t="shared" si="5"/>
        <v/>
      </c>
      <c r="F30" s="469">
        <v>2930.1639300000002</v>
      </c>
      <c r="G30" s="469">
        <v>2930.1639300000002</v>
      </c>
      <c r="H30" s="469">
        <v>2930.1639300000002</v>
      </c>
      <c r="I30" s="469">
        <v>2930.1639300000002</v>
      </c>
      <c r="J30" s="469">
        <v>2930.1639300000002</v>
      </c>
      <c r="K30" s="469">
        <v>2930.1639300000002</v>
      </c>
      <c r="L30" s="469">
        <v>2930.1639300000002</v>
      </c>
      <c r="M30" s="469">
        <v>2930.1639300000002</v>
      </c>
      <c r="N30" s="469">
        <v>2930.1639300000002</v>
      </c>
      <c r="O30" s="469">
        <v>2930.1639300000002</v>
      </c>
      <c r="P30" s="469">
        <v>2930.1639300000002</v>
      </c>
      <c r="Q30" s="469">
        <v>2930.1639300000002</v>
      </c>
      <c r="R30" s="469">
        <v>2930.1639300000002</v>
      </c>
      <c r="T30" s="469">
        <f t="shared" si="4"/>
        <v>2930.1639299999997</v>
      </c>
    </row>
    <row r="31" spans="1:20">
      <c r="A31" s="469" t="str">
        <f t="shared" si="0"/>
        <v>KU</v>
      </c>
      <c r="B31" s="469" t="str">
        <f t="shared" si="1"/>
        <v>KY</v>
      </c>
      <c r="C31" s="469" t="str">
        <f t="shared" si="2"/>
        <v>332</v>
      </c>
      <c r="D31" s="470" t="s">
        <v>1797</v>
      </c>
      <c r="E31" s="468" t="str">
        <f t="shared" si="5"/>
        <v/>
      </c>
      <c r="F31" s="469">
        <v>21885.646369999999</v>
      </c>
      <c r="G31" s="469">
        <v>21885.646369999999</v>
      </c>
      <c r="H31" s="469">
        <v>21885.646369999999</v>
      </c>
      <c r="I31" s="469">
        <v>21885.646369999999</v>
      </c>
      <c r="J31" s="469">
        <v>21885.646369999999</v>
      </c>
      <c r="K31" s="469">
        <v>21885.646369999999</v>
      </c>
      <c r="L31" s="469">
        <v>21885.646369999999</v>
      </c>
      <c r="M31" s="469">
        <v>21885.646369999999</v>
      </c>
      <c r="N31" s="469">
        <v>21885.646369999999</v>
      </c>
      <c r="O31" s="469">
        <v>21885.646369999999</v>
      </c>
      <c r="P31" s="469">
        <v>21885.646369999999</v>
      </c>
      <c r="Q31" s="469">
        <v>21885.646369999999</v>
      </c>
      <c r="R31" s="469">
        <v>21885.646369999999</v>
      </c>
      <c r="T31" s="469">
        <f t="shared" si="4"/>
        <v>21885.646369999995</v>
      </c>
    </row>
    <row r="32" spans="1:20">
      <c r="A32" s="469" t="str">
        <f t="shared" si="0"/>
        <v>KU</v>
      </c>
      <c r="B32" s="469" t="str">
        <f t="shared" si="1"/>
        <v>KY</v>
      </c>
      <c r="C32" s="469" t="str">
        <f t="shared" si="2"/>
        <v>333</v>
      </c>
      <c r="D32" s="470" t="s">
        <v>1798</v>
      </c>
      <c r="E32" s="468" t="str">
        <f t="shared" si="5"/>
        <v/>
      </c>
      <c r="F32" s="469">
        <v>14046.74158</v>
      </c>
      <c r="G32" s="469">
        <v>14046.74158</v>
      </c>
      <c r="H32" s="469">
        <v>14046.74158</v>
      </c>
      <c r="I32" s="469">
        <v>14046.74158</v>
      </c>
      <c r="J32" s="469">
        <v>14046.74158</v>
      </c>
      <c r="K32" s="469">
        <v>14046.74158</v>
      </c>
      <c r="L32" s="469">
        <v>14046.74158</v>
      </c>
      <c r="M32" s="469">
        <v>14046.74158</v>
      </c>
      <c r="N32" s="469">
        <v>14046.74158</v>
      </c>
      <c r="O32" s="469">
        <v>14046.74158</v>
      </c>
      <c r="P32" s="469">
        <v>14046.74158</v>
      </c>
      <c r="Q32" s="469">
        <v>14046.74158</v>
      </c>
      <c r="R32" s="469">
        <v>14046.74158</v>
      </c>
      <c r="T32" s="469">
        <f t="shared" si="4"/>
        <v>14046.74158</v>
      </c>
    </row>
    <row r="33" spans="1:20">
      <c r="A33" s="469" t="str">
        <f t="shared" si="0"/>
        <v>KU</v>
      </c>
      <c r="B33" s="469" t="str">
        <f t="shared" si="1"/>
        <v>KY</v>
      </c>
      <c r="C33" s="469" t="str">
        <f t="shared" si="2"/>
        <v>334</v>
      </c>
      <c r="D33" s="470" t="s">
        <v>1799</v>
      </c>
      <c r="E33" s="468" t="str">
        <f t="shared" si="5"/>
        <v/>
      </c>
      <c r="F33" s="469">
        <v>1362.5847900000001</v>
      </c>
      <c r="G33" s="469">
        <v>1362.5847900000001</v>
      </c>
      <c r="H33" s="469">
        <v>1362.5847900000001</v>
      </c>
      <c r="I33" s="469">
        <v>1362.5847900000001</v>
      </c>
      <c r="J33" s="469">
        <v>1362.5847900000001</v>
      </c>
      <c r="K33" s="469">
        <v>1362.5847900000001</v>
      </c>
      <c r="L33" s="469">
        <v>1362.5847900000001</v>
      </c>
      <c r="M33" s="469">
        <v>1362.5847900000001</v>
      </c>
      <c r="N33" s="469">
        <v>1362.5847900000001</v>
      </c>
      <c r="O33" s="469">
        <v>1362.5847900000001</v>
      </c>
      <c r="P33" s="469">
        <v>1362.5847900000001</v>
      </c>
      <c r="Q33" s="469">
        <v>1362.5847900000001</v>
      </c>
      <c r="R33" s="469">
        <v>1362.5847900000001</v>
      </c>
      <c r="T33" s="469">
        <f t="shared" si="4"/>
        <v>1362.5847900000003</v>
      </c>
    </row>
    <row r="34" spans="1:20">
      <c r="A34" s="469" t="str">
        <f t="shared" si="0"/>
        <v>KU</v>
      </c>
      <c r="B34" s="469" t="str">
        <f t="shared" si="1"/>
        <v>KY</v>
      </c>
      <c r="C34" s="469" t="str">
        <f t="shared" si="2"/>
        <v>335</v>
      </c>
      <c r="D34" s="470" t="s">
        <v>1800</v>
      </c>
      <c r="E34" s="468" t="str">
        <f t="shared" si="5"/>
        <v/>
      </c>
      <c r="F34" s="469">
        <v>316.94673999999998</v>
      </c>
      <c r="G34" s="469">
        <v>316.94673999999998</v>
      </c>
      <c r="H34" s="469">
        <v>316.94673999999998</v>
      </c>
      <c r="I34" s="469">
        <v>316.94673999999998</v>
      </c>
      <c r="J34" s="469">
        <v>316.94673999999998</v>
      </c>
      <c r="K34" s="469">
        <v>316.94673999999998</v>
      </c>
      <c r="L34" s="469">
        <v>316.94673999999998</v>
      </c>
      <c r="M34" s="469">
        <v>316.94673999999998</v>
      </c>
      <c r="N34" s="469">
        <v>316.94673999999998</v>
      </c>
      <c r="O34" s="469">
        <v>316.94673999999998</v>
      </c>
      <c r="P34" s="469">
        <v>316.94673999999998</v>
      </c>
      <c r="Q34" s="469">
        <v>316.94673999999998</v>
      </c>
      <c r="R34" s="469">
        <v>316.94673999999998</v>
      </c>
      <c r="T34" s="469">
        <f t="shared" si="4"/>
        <v>316.94673999999992</v>
      </c>
    </row>
    <row r="35" spans="1:20">
      <c r="A35" s="469" t="str">
        <f t="shared" si="0"/>
        <v>KU</v>
      </c>
      <c r="B35" s="469" t="str">
        <f t="shared" si="1"/>
        <v>KY</v>
      </c>
      <c r="C35" s="469" t="str">
        <f t="shared" si="2"/>
        <v>336</v>
      </c>
      <c r="D35" s="470" t="s">
        <v>1801</v>
      </c>
      <c r="E35" s="468" t="str">
        <f t="shared" si="5"/>
        <v/>
      </c>
      <c r="F35" s="469">
        <v>234.50913</v>
      </c>
      <c r="G35" s="469">
        <v>234.50913</v>
      </c>
      <c r="H35" s="469">
        <v>1009.50913</v>
      </c>
      <c r="I35" s="469">
        <v>1009.50913</v>
      </c>
      <c r="J35" s="469">
        <v>1009.50913</v>
      </c>
      <c r="K35" s="469">
        <v>1009.50913</v>
      </c>
      <c r="L35" s="469">
        <v>1009.50913</v>
      </c>
      <c r="M35" s="469">
        <v>1009.50913</v>
      </c>
      <c r="N35" s="469">
        <v>1009.50913</v>
      </c>
      <c r="O35" s="469">
        <v>1009.50913</v>
      </c>
      <c r="P35" s="469">
        <v>1009.50913</v>
      </c>
      <c r="Q35" s="469">
        <v>1009.50913</v>
      </c>
      <c r="R35" s="469">
        <v>1009.50913</v>
      </c>
      <c r="T35" s="469">
        <f t="shared" si="4"/>
        <v>890.27836076923097</v>
      </c>
    </row>
    <row r="36" spans="1:20">
      <c r="A36" s="469" t="str">
        <f t="shared" si="0"/>
        <v>KU</v>
      </c>
      <c r="B36" s="469" t="str">
        <f t="shared" si="1"/>
        <v>KY</v>
      </c>
      <c r="C36" s="469" t="str">
        <f t="shared" si="2"/>
        <v>337</v>
      </c>
      <c r="D36" s="470" t="s">
        <v>1802</v>
      </c>
      <c r="E36" s="468" t="str">
        <f t="shared" si="5"/>
        <v>ARO</v>
      </c>
      <c r="F36" s="469">
        <v>274.31054</v>
      </c>
      <c r="G36" s="469">
        <v>274.31054</v>
      </c>
      <c r="H36" s="469">
        <v>274.31054</v>
      </c>
      <c r="I36" s="469">
        <v>274.31054</v>
      </c>
      <c r="J36" s="469">
        <v>274.31054</v>
      </c>
      <c r="K36" s="469">
        <v>274.31054</v>
      </c>
      <c r="L36" s="469">
        <v>274.31054</v>
      </c>
      <c r="M36" s="469">
        <v>274.31054</v>
      </c>
      <c r="N36" s="469">
        <v>274.31054</v>
      </c>
      <c r="O36" s="469">
        <v>274.31054</v>
      </c>
      <c r="P36" s="469">
        <v>274.31054</v>
      </c>
      <c r="Q36" s="469">
        <v>274.31054</v>
      </c>
      <c r="R36" s="469">
        <v>274.31054</v>
      </c>
      <c r="T36" s="469">
        <f t="shared" si="4"/>
        <v>274.31054</v>
      </c>
    </row>
    <row r="37" spans="1:20">
      <c r="A37" s="469" t="str">
        <f t="shared" si="0"/>
        <v>KU</v>
      </c>
      <c r="B37" s="469" t="str">
        <f t="shared" si="1"/>
        <v>KY</v>
      </c>
      <c r="C37" s="469" t="str">
        <f t="shared" si="2"/>
        <v>340</v>
      </c>
      <c r="D37" s="470" t="s">
        <v>2346</v>
      </c>
      <c r="E37" s="468" t="str">
        <f t="shared" si="5"/>
        <v>FUTURE USE</v>
      </c>
      <c r="F37" s="469">
        <v>309.54084999999998</v>
      </c>
      <c r="G37" s="469">
        <v>309.54084999999998</v>
      </c>
      <c r="H37" s="469">
        <v>309.54084999999998</v>
      </c>
      <c r="I37" s="469">
        <v>309.54084999999998</v>
      </c>
      <c r="J37" s="469">
        <v>309.54084999999998</v>
      </c>
      <c r="K37" s="469">
        <v>309.54084999999998</v>
      </c>
      <c r="L37" s="469">
        <v>309.54084999999998</v>
      </c>
      <c r="M37" s="469">
        <v>309.54084999999998</v>
      </c>
      <c r="N37" s="469">
        <v>309.54084999999998</v>
      </c>
      <c r="O37" s="469">
        <v>309.54084999999998</v>
      </c>
      <c r="P37" s="469">
        <v>309.54084999999998</v>
      </c>
      <c r="Q37" s="469">
        <v>309.54084999999998</v>
      </c>
      <c r="R37" s="469">
        <v>309.54084999999998</v>
      </c>
      <c r="T37" s="469">
        <f t="shared" si="4"/>
        <v>309.54084999999992</v>
      </c>
    </row>
    <row r="38" spans="1:20">
      <c r="A38" s="469" t="str">
        <f t="shared" si="0"/>
        <v>KU</v>
      </c>
      <c r="B38" s="469" t="str">
        <f t="shared" si="1"/>
        <v>KY</v>
      </c>
      <c r="C38" s="469" t="str">
        <f t="shared" si="2"/>
        <v>340</v>
      </c>
      <c r="D38" s="470" t="s">
        <v>2347</v>
      </c>
      <c r="E38" s="468" t="str">
        <f t="shared" si="5"/>
        <v/>
      </c>
      <c r="F38" s="469">
        <v>176.40931</v>
      </c>
      <c r="G38" s="469">
        <v>176.40931</v>
      </c>
      <c r="H38" s="469">
        <v>176.40931</v>
      </c>
      <c r="I38" s="469">
        <v>176.40931</v>
      </c>
      <c r="J38" s="469">
        <v>176.40931</v>
      </c>
      <c r="K38" s="469">
        <v>176.40931</v>
      </c>
      <c r="L38" s="469">
        <v>176.40931</v>
      </c>
      <c r="M38" s="469">
        <v>176.40931</v>
      </c>
      <c r="N38" s="469">
        <v>176.40931</v>
      </c>
      <c r="O38" s="469">
        <v>176.40931</v>
      </c>
      <c r="P38" s="469">
        <v>176.40931</v>
      </c>
      <c r="Q38" s="469">
        <v>176.40931</v>
      </c>
      <c r="R38" s="469">
        <v>176.40931</v>
      </c>
      <c r="T38" s="469">
        <f t="shared" si="4"/>
        <v>176.40931</v>
      </c>
    </row>
    <row r="39" spans="1:20">
      <c r="A39" s="469" t="str">
        <f t="shared" si="0"/>
        <v>KU</v>
      </c>
      <c r="B39" s="469" t="str">
        <f t="shared" si="1"/>
        <v>KY</v>
      </c>
      <c r="C39" s="469" t="str">
        <f t="shared" si="2"/>
        <v>340</v>
      </c>
      <c r="D39" s="470" t="s">
        <v>1803</v>
      </c>
      <c r="E39" s="468" t="str">
        <f t="shared" si="5"/>
        <v/>
      </c>
      <c r="F39" s="469">
        <v>297.16921000000002</v>
      </c>
      <c r="G39" s="469">
        <v>297.16921000000002</v>
      </c>
      <c r="H39" s="469">
        <v>297.16921000000002</v>
      </c>
      <c r="I39" s="469">
        <v>297.16921000000002</v>
      </c>
      <c r="J39" s="469">
        <v>297.16921000000002</v>
      </c>
      <c r="K39" s="469">
        <v>297.16921000000002</v>
      </c>
      <c r="L39" s="469">
        <v>297.16921000000002</v>
      </c>
      <c r="M39" s="469">
        <v>297.16921000000002</v>
      </c>
      <c r="N39" s="469">
        <v>297.16921000000002</v>
      </c>
      <c r="O39" s="469">
        <v>297.16921000000002</v>
      </c>
      <c r="P39" s="469">
        <v>297.16921000000002</v>
      </c>
      <c r="Q39" s="469">
        <v>297.16921000000002</v>
      </c>
      <c r="R39" s="469">
        <v>297.16921000000002</v>
      </c>
      <c r="T39" s="469">
        <f t="shared" si="4"/>
        <v>297.16921000000002</v>
      </c>
    </row>
    <row r="40" spans="1:20">
      <c r="A40" s="469" t="str">
        <f t="shared" si="0"/>
        <v>KU</v>
      </c>
      <c r="B40" s="469" t="str">
        <f t="shared" si="1"/>
        <v>KY</v>
      </c>
      <c r="C40" s="469" t="str">
        <f t="shared" si="2"/>
        <v>341</v>
      </c>
      <c r="D40" s="470" t="s">
        <v>1804</v>
      </c>
      <c r="E40" s="468" t="str">
        <f t="shared" si="5"/>
        <v/>
      </c>
      <c r="F40" s="469">
        <v>36348.844899999996</v>
      </c>
      <c r="G40" s="469">
        <v>36348.844899999996</v>
      </c>
      <c r="H40" s="469">
        <v>36348.844899999996</v>
      </c>
      <c r="I40" s="469">
        <v>36348.844899999996</v>
      </c>
      <c r="J40" s="469">
        <v>36348.844899999996</v>
      </c>
      <c r="K40" s="469">
        <v>36395.844899999996</v>
      </c>
      <c r="L40" s="469">
        <v>36395.844899999996</v>
      </c>
      <c r="M40" s="469">
        <v>36395.844899999996</v>
      </c>
      <c r="N40" s="469">
        <v>36395.844899999996</v>
      </c>
      <c r="O40" s="469">
        <v>36395.844899999996</v>
      </c>
      <c r="P40" s="469">
        <v>36395.844899999996</v>
      </c>
      <c r="Q40" s="469">
        <v>36442.844899999996</v>
      </c>
      <c r="R40" s="469">
        <v>36442.844899999996</v>
      </c>
      <c r="T40" s="469">
        <f t="shared" si="4"/>
        <v>36384.998746153855</v>
      </c>
    </row>
    <row r="41" spans="1:20">
      <c r="A41" s="469" t="str">
        <f t="shared" si="0"/>
        <v>KU</v>
      </c>
      <c r="B41" s="469" t="str">
        <f t="shared" si="1"/>
        <v>KY</v>
      </c>
      <c r="C41" s="469" t="str">
        <f t="shared" si="2"/>
        <v>341</v>
      </c>
      <c r="D41" s="470" t="s">
        <v>2348</v>
      </c>
      <c r="E41" s="468" t="str">
        <f t="shared" si="5"/>
        <v/>
      </c>
      <c r="F41" s="469">
        <v>47866.677450000003</v>
      </c>
      <c r="G41" s="469">
        <v>47866.677450000003</v>
      </c>
      <c r="H41" s="469">
        <v>47866.677450000003</v>
      </c>
      <c r="I41" s="469">
        <v>48061.677450000003</v>
      </c>
      <c r="J41" s="469">
        <v>48256.677450000003</v>
      </c>
      <c r="K41" s="469">
        <v>48256.677450000003</v>
      </c>
      <c r="L41" s="469">
        <v>48256.677450000003</v>
      </c>
      <c r="M41" s="469">
        <v>48256.677450000003</v>
      </c>
      <c r="N41" s="469">
        <v>48256.677450000003</v>
      </c>
      <c r="O41" s="469">
        <v>48256.677450000003</v>
      </c>
      <c r="P41" s="469">
        <v>48256.677450000003</v>
      </c>
      <c r="Q41" s="469">
        <v>48256.677450000003</v>
      </c>
      <c r="R41" s="469">
        <v>48256.677450000003</v>
      </c>
      <c r="T41" s="469">
        <f t="shared" si="4"/>
        <v>48151.677450000003</v>
      </c>
    </row>
    <row r="42" spans="1:20">
      <c r="A42" s="469" t="str">
        <f t="shared" si="0"/>
        <v>KU</v>
      </c>
      <c r="B42" s="469" t="str">
        <f t="shared" si="1"/>
        <v>KY</v>
      </c>
      <c r="C42" s="469" t="str">
        <f t="shared" si="2"/>
        <v>341</v>
      </c>
      <c r="D42" s="470" t="s">
        <v>2349</v>
      </c>
      <c r="E42" s="468" t="str">
        <f t="shared" si="5"/>
        <v/>
      </c>
      <c r="F42" s="469">
        <v>861.26603999999998</v>
      </c>
      <c r="G42" s="469">
        <v>861.26603999999998</v>
      </c>
      <c r="H42" s="469">
        <v>861.26603999999998</v>
      </c>
      <c r="I42" s="469">
        <v>861.26603999999998</v>
      </c>
      <c r="J42" s="469">
        <v>861.26603999999998</v>
      </c>
      <c r="K42" s="469">
        <v>861.26603999999998</v>
      </c>
      <c r="L42" s="469">
        <v>861.26603999999998</v>
      </c>
      <c r="M42" s="469">
        <v>861.26603999999998</v>
      </c>
      <c r="N42" s="469">
        <v>861.26603999999998</v>
      </c>
      <c r="O42" s="469">
        <v>861.26603999999998</v>
      </c>
      <c r="P42" s="469">
        <v>861.26603999999998</v>
      </c>
      <c r="Q42" s="469">
        <v>861.26603999999998</v>
      </c>
      <c r="R42" s="469">
        <v>861.26603999999998</v>
      </c>
      <c r="T42" s="469">
        <f t="shared" si="4"/>
        <v>861.26604000000032</v>
      </c>
    </row>
    <row r="43" spans="1:20">
      <c r="A43" s="469" t="str">
        <f t="shared" si="0"/>
        <v>KU</v>
      </c>
      <c r="B43" s="469" t="str">
        <f t="shared" si="1"/>
        <v>KY</v>
      </c>
      <c r="C43" s="469" t="str">
        <f t="shared" si="2"/>
        <v>342</v>
      </c>
      <c r="D43" s="470" t="s">
        <v>1805</v>
      </c>
      <c r="E43" s="468" t="str">
        <f t="shared" si="5"/>
        <v/>
      </c>
      <c r="F43" s="469">
        <v>18963.966270000001</v>
      </c>
      <c r="G43" s="469">
        <v>18963.966270000001</v>
      </c>
      <c r="H43" s="469">
        <v>18963.966270000001</v>
      </c>
      <c r="I43" s="469">
        <v>18963.966270000001</v>
      </c>
      <c r="J43" s="469">
        <v>18963.966270000001</v>
      </c>
      <c r="K43" s="469">
        <v>18963.966270000001</v>
      </c>
      <c r="L43" s="469">
        <v>18963.966270000001</v>
      </c>
      <c r="M43" s="469">
        <v>18963.966270000001</v>
      </c>
      <c r="N43" s="469">
        <v>18963.966270000001</v>
      </c>
      <c r="O43" s="469">
        <v>18963.966270000001</v>
      </c>
      <c r="P43" s="469">
        <v>18963.966270000001</v>
      </c>
      <c r="Q43" s="469">
        <v>18963.966270000001</v>
      </c>
      <c r="R43" s="469">
        <v>18963.966270000001</v>
      </c>
      <c r="T43" s="469">
        <f t="shared" si="4"/>
        <v>18963.966270000001</v>
      </c>
    </row>
    <row r="44" spans="1:20">
      <c r="A44" s="469" t="str">
        <f t="shared" si="0"/>
        <v>KU</v>
      </c>
      <c r="B44" s="469" t="str">
        <f t="shared" si="1"/>
        <v>KY</v>
      </c>
      <c r="C44" s="469" t="str">
        <f t="shared" si="2"/>
        <v>342</v>
      </c>
      <c r="D44" s="470" t="s">
        <v>2350</v>
      </c>
      <c r="E44" s="468" t="str">
        <f t="shared" si="5"/>
        <v/>
      </c>
      <c r="F44" s="469">
        <v>6319.3980999999903</v>
      </c>
      <c r="G44" s="469">
        <v>6319.3980999999903</v>
      </c>
      <c r="H44" s="469">
        <v>6319.3980999999903</v>
      </c>
      <c r="I44" s="469">
        <v>6319.3980999999903</v>
      </c>
      <c r="J44" s="469">
        <v>6319.3980999999903</v>
      </c>
      <c r="K44" s="469">
        <v>6319.3980999999903</v>
      </c>
      <c r="L44" s="469">
        <v>6319.3980999999903</v>
      </c>
      <c r="M44" s="469">
        <v>6319.3980999999903</v>
      </c>
      <c r="N44" s="469">
        <v>6319.3980999999903</v>
      </c>
      <c r="O44" s="469">
        <v>6319.3980999999903</v>
      </c>
      <c r="P44" s="469">
        <v>6319.3980999999903</v>
      </c>
      <c r="Q44" s="469">
        <v>6319.3980999999903</v>
      </c>
      <c r="R44" s="469">
        <v>6319.3980999999903</v>
      </c>
      <c r="T44" s="469">
        <f t="shared" si="4"/>
        <v>6319.3980999999903</v>
      </c>
    </row>
    <row r="45" spans="1:20">
      <c r="A45" s="469" t="str">
        <f t="shared" si="0"/>
        <v>KU</v>
      </c>
      <c r="B45" s="469" t="str">
        <f t="shared" si="1"/>
        <v>KY</v>
      </c>
      <c r="C45" s="469" t="str">
        <f t="shared" si="2"/>
        <v>342</v>
      </c>
      <c r="D45" s="470" t="s">
        <v>2351</v>
      </c>
      <c r="E45" s="468" t="str">
        <f t="shared" si="5"/>
        <v/>
      </c>
      <c r="F45" s="469">
        <v>36467.723599999998</v>
      </c>
      <c r="G45" s="469">
        <v>36467.723599999998</v>
      </c>
      <c r="H45" s="469">
        <v>36467.723599999998</v>
      </c>
      <c r="I45" s="469">
        <v>36467.723599999998</v>
      </c>
      <c r="J45" s="469">
        <v>36467.723599999998</v>
      </c>
      <c r="K45" s="469">
        <v>36467.723599999998</v>
      </c>
      <c r="L45" s="469">
        <v>36467.723599999998</v>
      </c>
      <c r="M45" s="469">
        <v>36467.723599999998</v>
      </c>
      <c r="N45" s="469">
        <v>36467.723599999998</v>
      </c>
      <c r="O45" s="469">
        <v>36467.723599999998</v>
      </c>
      <c r="P45" s="469">
        <v>36467.723599999998</v>
      </c>
      <c r="Q45" s="469">
        <v>36467.723599999998</v>
      </c>
      <c r="R45" s="469">
        <v>36467.723599999998</v>
      </c>
      <c r="T45" s="469">
        <f t="shared" si="4"/>
        <v>36467.723600000012</v>
      </c>
    </row>
    <row r="46" spans="1:20">
      <c r="A46" s="469" t="str">
        <f t="shared" si="0"/>
        <v>KU</v>
      </c>
      <c r="B46" s="469" t="str">
        <f t="shared" si="1"/>
        <v>KY</v>
      </c>
      <c r="C46" s="469" t="str">
        <f t="shared" si="2"/>
        <v>343</v>
      </c>
      <c r="D46" s="470" t="s">
        <v>1806</v>
      </c>
      <c r="E46" s="468" t="str">
        <f t="shared" si="5"/>
        <v/>
      </c>
      <c r="F46" s="469">
        <v>388180.16970999999</v>
      </c>
      <c r="G46" s="469">
        <v>388180.16970999999</v>
      </c>
      <c r="H46" s="469">
        <v>388413.16970999999</v>
      </c>
      <c r="I46" s="469">
        <v>388413.16970999999</v>
      </c>
      <c r="J46" s="469">
        <v>389310.02746999997</v>
      </c>
      <c r="K46" s="469">
        <v>394219.02755</v>
      </c>
      <c r="L46" s="469">
        <v>394684.36515000003</v>
      </c>
      <c r="M46" s="469">
        <v>394684.36515000003</v>
      </c>
      <c r="N46" s="469">
        <v>394684.36515000003</v>
      </c>
      <c r="O46" s="469">
        <v>394684.36515000003</v>
      </c>
      <c r="P46" s="469">
        <v>394684.36515000003</v>
      </c>
      <c r="Q46" s="469">
        <v>394684.36515000003</v>
      </c>
      <c r="R46" s="469">
        <v>394684.36515000003</v>
      </c>
      <c r="T46" s="469">
        <f t="shared" si="4"/>
        <v>392269.71460846154</v>
      </c>
    </row>
    <row r="47" spans="1:20">
      <c r="A47" s="469" t="str">
        <f t="shared" si="0"/>
        <v>KU</v>
      </c>
      <c r="B47" s="469" t="str">
        <f t="shared" si="1"/>
        <v>KY</v>
      </c>
      <c r="C47" s="469" t="str">
        <f t="shared" si="2"/>
        <v>343</v>
      </c>
      <c r="D47" s="470" t="s">
        <v>2352</v>
      </c>
      <c r="E47" s="468" t="str">
        <f t="shared" si="5"/>
        <v/>
      </c>
      <c r="F47" s="469">
        <v>259202.34333999999</v>
      </c>
      <c r="G47" s="469">
        <v>259202.34333999999</v>
      </c>
      <c r="H47" s="469">
        <v>259202.34333999999</v>
      </c>
      <c r="I47" s="469">
        <v>259202.34333999999</v>
      </c>
      <c r="J47" s="469">
        <v>267107.64934</v>
      </c>
      <c r="K47" s="469">
        <v>267107.64934</v>
      </c>
      <c r="L47" s="469">
        <v>267107.64934</v>
      </c>
      <c r="M47" s="469">
        <v>267107.64934</v>
      </c>
      <c r="N47" s="469">
        <v>267107.64934</v>
      </c>
      <c r="O47" s="469">
        <v>267107.64934</v>
      </c>
      <c r="P47" s="469">
        <v>267107.64934</v>
      </c>
      <c r="Q47" s="469">
        <v>267107.64934</v>
      </c>
      <c r="R47" s="469">
        <v>267107.64934</v>
      </c>
      <c r="T47" s="469">
        <f t="shared" si="4"/>
        <v>264675.24749384617</v>
      </c>
    </row>
    <row r="48" spans="1:20">
      <c r="A48" s="469" t="str">
        <f t="shared" si="0"/>
        <v>KU</v>
      </c>
      <c r="B48" s="469" t="str">
        <f t="shared" si="1"/>
        <v>KY</v>
      </c>
      <c r="C48" s="469" t="str">
        <f t="shared" si="2"/>
        <v>344</v>
      </c>
      <c r="D48" s="470" t="s">
        <v>1807</v>
      </c>
      <c r="E48" s="468" t="str">
        <f t="shared" si="5"/>
        <v/>
      </c>
      <c r="F48" s="469">
        <v>60425.625839999899</v>
      </c>
      <c r="G48" s="469">
        <v>60425.625839999899</v>
      </c>
      <c r="H48" s="469">
        <v>60425.625839999899</v>
      </c>
      <c r="I48" s="469">
        <v>60425.625839999899</v>
      </c>
      <c r="J48" s="469">
        <v>60425.625839999899</v>
      </c>
      <c r="K48" s="469">
        <v>60425.625839999899</v>
      </c>
      <c r="L48" s="469">
        <v>60425.625839999899</v>
      </c>
      <c r="M48" s="469">
        <v>60425.625839999899</v>
      </c>
      <c r="N48" s="469">
        <v>60425.625839999899</v>
      </c>
      <c r="O48" s="469">
        <v>60425.625839999899</v>
      </c>
      <c r="P48" s="469">
        <v>60425.625839999899</v>
      </c>
      <c r="Q48" s="469">
        <v>60425.625839999899</v>
      </c>
      <c r="R48" s="469">
        <v>60425.625839999899</v>
      </c>
      <c r="T48" s="469">
        <f t="shared" si="4"/>
        <v>60425.625839999884</v>
      </c>
    </row>
    <row r="49" spans="1:20">
      <c r="A49" s="469" t="str">
        <f t="shared" si="0"/>
        <v>KU</v>
      </c>
      <c r="B49" s="469" t="str">
        <f t="shared" si="1"/>
        <v>KY</v>
      </c>
      <c r="C49" s="469" t="str">
        <f t="shared" si="2"/>
        <v>344</v>
      </c>
      <c r="D49" s="470" t="s">
        <v>2353</v>
      </c>
      <c r="E49" s="468" t="str">
        <f t="shared" si="5"/>
        <v/>
      </c>
      <c r="F49" s="469">
        <v>58011.355739999999</v>
      </c>
      <c r="G49" s="469">
        <v>58011.355739999999</v>
      </c>
      <c r="H49" s="469">
        <v>58011.355739999999</v>
      </c>
      <c r="I49" s="469">
        <v>58011.355739999999</v>
      </c>
      <c r="J49" s="469">
        <v>58011.355739999999</v>
      </c>
      <c r="K49" s="469">
        <v>58011.355739999999</v>
      </c>
      <c r="L49" s="469">
        <v>58011.355739999999</v>
      </c>
      <c r="M49" s="469">
        <v>58011.355739999999</v>
      </c>
      <c r="N49" s="469">
        <v>58011.355739999999</v>
      </c>
      <c r="O49" s="469">
        <v>58011.355739999999</v>
      </c>
      <c r="P49" s="469">
        <v>58011.355739999999</v>
      </c>
      <c r="Q49" s="469">
        <v>58011.355739999999</v>
      </c>
      <c r="R49" s="469">
        <v>58011.355739999999</v>
      </c>
      <c r="T49" s="469">
        <f t="shared" si="4"/>
        <v>58011.355740000021</v>
      </c>
    </row>
    <row r="50" spans="1:20">
      <c r="A50" s="469" t="str">
        <f t="shared" si="0"/>
        <v>KU</v>
      </c>
      <c r="B50" s="469" t="str">
        <f t="shared" si="1"/>
        <v>KY</v>
      </c>
      <c r="C50" s="469" t="str">
        <f t="shared" si="2"/>
        <v>344</v>
      </c>
      <c r="D50" s="470" t="s">
        <v>2354</v>
      </c>
      <c r="E50" s="468" t="str">
        <f t="shared" si="5"/>
        <v/>
      </c>
      <c r="F50" s="469">
        <v>12906.484329999999</v>
      </c>
      <c r="G50" s="469">
        <v>12906.484329999999</v>
      </c>
      <c r="H50" s="469">
        <v>12906.484329999999</v>
      </c>
      <c r="I50" s="469">
        <v>12906.484329999999</v>
      </c>
      <c r="J50" s="469">
        <v>12906.484329999999</v>
      </c>
      <c r="K50" s="469">
        <v>12906.484329999999</v>
      </c>
      <c r="L50" s="469">
        <v>12906.484329999999</v>
      </c>
      <c r="M50" s="469">
        <v>12906.484329999999</v>
      </c>
      <c r="N50" s="469">
        <v>12906.484329999999</v>
      </c>
      <c r="O50" s="469">
        <v>12906.484329999999</v>
      </c>
      <c r="P50" s="469">
        <v>12906.484329999999</v>
      </c>
      <c r="Q50" s="469">
        <v>12906.484329999999</v>
      </c>
      <c r="R50" s="469">
        <v>12906.484329999999</v>
      </c>
      <c r="T50" s="469">
        <f t="shared" si="4"/>
        <v>12906.484330000003</v>
      </c>
    </row>
    <row r="51" spans="1:20">
      <c r="A51" s="469" t="str">
        <f t="shared" si="0"/>
        <v>KU</v>
      </c>
      <c r="B51" s="469" t="str">
        <f t="shared" si="1"/>
        <v>KY</v>
      </c>
      <c r="C51" s="469" t="str">
        <f t="shared" si="2"/>
        <v>345</v>
      </c>
      <c r="D51" s="470" t="s">
        <v>1808</v>
      </c>
      <c r="E51" s="468" t="str">
        <f t="shared" si="5"/>
        <v/>
      </c>
      <c r="F51" s="469">
        <v>47484.857550000001</v>
      </c>
      <c r="G51" s="469">
        <v>47484.857550000001</v>
      </c>
      <c r="H51" s="469">
        <v>47484.857550000001</v>
      </c>
      <c r="I51" s="469">
        <v>47484.857550000001</v>
      </c>
      <c r="J51" s="469">
        <v>51387.815040000001</v>
      </c>
      <c r="K51" s="469">
        <v>51387.815040000001</v>
      </c>
      <c r="L51" s="469">
        <v>51387.815040000001</v>
      </c>
      <c r="M51" s="469">
        <v>51387.815040000001</v>
      </c>
      <c r="N51" s="469">
        <v>51387.815040000001</v>
      </c>
      <c r="O51" s="469">
        <v>51387.815040000001</v>
      </c>
      <c r="P51" s="469">
        <v>51387.815040000001</v>
      </c>
      <c r="Q51" s="469">
        <v>51387.815040000001</v>
      </c>
      <c r="R51" s="469">
        <v>51387.815040000001</v>
      </c>
      <c r="T51" s="469">
        <f t="shared" si="4"/>
        <v>50186.905043076928</v>
      </c>
    </row>
    <row r="52" spans="1:20">
      <c r="A52" s="469" t="str">
        <f t="shared" si="0"/>
        <v>KU</v>
      </c>
      <c r="B52" s="469" t="str">
        <f t="shared" si="1"/>
        <v>KY</v>
      </c>
      <c r="C52" s="469" t="str">
        <f t="shared" si="2"/>
        <v>345</v>
      </c>
      <c r="D52" s="470" t="s">
        <v>2355</v>
      </c>
      <c r="E52" s="468" t="str">
        <f t="shared" si="5"/>
        <v/>
      </c>
      <c r="F52" s="469">
        <v>18254.467799999999</v>
      </c>
      <c r="G52" s="469">
        <v>18254.467799999999</v>
      </c>
      <c r="H52" s="469">
        <v>18254.467799999999</v>
      </c>
      <c r="I52" s="469">
        <v>18254.467799999999</v>
      </c>
      <c r="J52" s="469">
        <v>25624.24955</v>
      </c>
      <c r="K52" s="469">
        <v>25624.24955</v>
      </c>
      <c r="L52" s="469">
        <v>25624.24955</v>
      </c>
      <c r="M52" s="469">
        <v>25624.24955</v>
      </c>
      <c r="N52" s="469">
        <v>25624.24955</v>
      </c>
      <c r="O52" s="469">
        <v>25624.24955</v>
      </c>
      <c r="P52" s="469">
        <v>25624.24955</v>
      </c>
      <c r="Q52" s="469">
        <v>25624.24955</v>
      </c>
      <c r="R52" s="469">
        <v>25624.24955</v>
      </c>
      <c r="T52" s="469">
        <f t="shared" si="4"/>
        <v>23356.624396153849</v>
      </c>
    </row>
    <row r="53" spans="1:20">
      <c r="A53" s="469" t="str">
        <f t="shared" si="0"/>
        <v>KU</v>
      </c>
      <c r="B53" s="469" t="str">
        <f t="shared" si="1"/>
        <v>KY</v>
      </c>
      <c r="C53" s="469" t="str">
        <f t="shared" si="2"/>
        <v>345</v>
      </c>
      <c r="D53" s="470" t="s">
        <v>2356</v>
      </c>
      <c r="E53" s="468" t="str">
        <f t="shared" si="5"/>
        <v/>
      </c>
      <c r="F53" s="469">
        <v>1585.84338</v>
      </c>
      <c r="G53" s="469">
        <v>1585.84338</v>
      </c>
      <c r="H53" s="469">
        <v>1585.84338</v>
      </c>
      <c r="I53" s="469">
        <v>1585.84338</v>
      </c>
      <c r="J53" s="469">
        <v>1585.84338</v>
      </c>
      <c r="K53" s="469">
        <v>1585.84338</v>
      </c>
      <c r="L53" s="469">
        <v>3085.8433799999998</v>
      </c>
      <c r="M53" s="469">
        <v>3085.8433799999998</v>
      </c>
      <c r="N53" s="469">
        <v>3085.8433799999998</v>
      </c>
      <c r="O53" s="469">
        <v>3085.8433799999998</v>
      </c>
      <c r="P53" s="469">
        <v>3085.8433799999998</v>
      </c>
      <c r="Q53" s="469">
        <v>3085.8433799999998</v>
      </c>
      <c r="R53" s="469">
        <v>3085.8433799999998</v>
      </c>
      <c r="T53" s="469">
        <f t="shared" si="4"/>
        <v>2393.5356876923074</v>
      </c>
    </row>
    <row r="54" spans="1:20">
      <c r="A54" s="469" t="str">
        <f t="shared" si="0"/>
        <v>KU</v>
      </c>
      <c r="B54" s="469" t="str">
        <f t="shared" si="1"/>
        <v>KY</v>
      </c>
      <c r="C54" s="469" t="str">
        <f t="shared" si="2"/>
        <v>346</v>
      </c>
      <c r="D54" s="470" t="s">
        <v>1809</v>
      </c>
      <c r="E54" s="468" t="str">
        <f t="shared" si="5"/>
        <v/>
      </c>
      <c r="F54" s="469">
        <v>8158.8678</v>
      </c>
      <c r="G54" s="469">
        <v>8158.8678</v>
      </c>
      <c r="H54" s="469">
        <v>8458.8678</v>
      </c>
      <c r="I54" s="469">
        <v>8458.8678</v>
      </c>
      <c r="J54" s="469">
        <v>8458.8678</v>
      </c>
      <c r="K54" s="469">
        <v>8623.3678</v>
      </c>
      <c r="L54" s="469">
        <v>8623.3678</v>
      </c>
      <c r="M54" s="469">
        <v>8623.3678</v>
      </c>
      <c r="N54" s="469">
        <v>8623.3678</v>
      </c>
      <c r="O54" s="469">
        <v>8623.3678</v>
      </c>
      <c r="P54" s="469">
        <v>8623.3678</v>
      </c>
      <c r="Q54" s="469">
        <v>8623.3678</v>
      </c>
      <c r="R54" s="469">
        <v>8623.3678</v>
      </c>
      <c r="T54" s="469">
        <f t="shared" si="4"/>
        <v>8513.9447230769256</v>
      </c>
    </row>
    <row r="55" spans="1:20">
      <c r="A55" s="469" t="str">
        <f t="shared" si="0"/>
        <v>KU</v>
      </c>
      <c r="B55" s="469" t="str">
        <f t="shared" si="1"/>
        <v>KY</v>
      </c>
      <c r="C55" s="469" t="str">
        <f t="shared" si="2"/>
        <v>346</v>
      </c>
      <c r="D55" s="470" t="s">
        <v>2357</v>
      </c>
      <c r="E55" s="468" t="str">
        <f t="shared" si="5"/>
        <v/>
      </c>
      <c r="F55" s="469">
        <v>3059.6657799999998</v>
      </c>
      <c r="G55" s="469">
        <v>3059.6657799999998</v>
      </c>
      <c r="H55" s="469">
        <v>3059.6657799999998</v>
      </c>
      <c r="I55" s="469">
        <v>3059.6657799999998</v>
      </c>
      <c r="J55" s="469">
        <v>3059.6657799999998</v>
      </c>
      <c r="K55" s="469">
        <v>3059.6657799999998</v>
      </c>
      <c r="L55" s="469">
        <v>3059.6657799999998</v>
      </c>
      <c r="M55" s="469">
        <v>3059.6657799999998</v>
      </c>
      <c r="N55" s="469">
        <v>3059.6657799999998</v>
      </c>
      <c r="O55" s="469">
        <v>3059.6657799999998</v>
      </c>
      <c r="P55" s="469">
        <v>3059.6657799999998</v>
      </c>
      <c r="Q55" s="469">
        <v>3059.6657799999998</v>
      </c>
      <c r="R55" s="469">
        <v>3059.6657799999998</v>
      </c>
      <c r="T55" s="469">
        <f t="shared" si="4"/>
        <v>3059.6657800000003</v>
      </c>
    </row>
    <row r="56" spans="1:20">
      <c r="A56" s="469" t="str">
        <f t="shared" si="0"/>
        <v>KU</v>
      </c>
      <c r="B56" s="469" t="str">
        <f t="shared" si="1"/>
        <v>KY</v>
      </c>
      <c r="C56" s="469" t="str">
        <f t="shared" si="2"/>
        <v>346</v>
      </c>
      <c r="D56" s="470" t="s">
        <v>2358</v>
      </c>
      <c r="E56" s="468" t="str">
        <f t="shared" si="5"/>
        <v/>
      </c>
      <c r="F56" s="469">
        <v>293.73491999999999</v>
      </c>
      <c r="G56" s="469">
        <v>293.73491999999999</v>
      </c>
      <c r="H56" s="469">
        <v>293.73491999999999</v>
      </c>
      <c r="I56" s="469">
        <v>293.73491999999999</v>
      </c>
      <c r="J56" s="469">
        <v>293.73491999999999</v>
      </c>
      <c r="K56" s="469">
        <v>293.73491999999999</v>
      </c>
      <c r="L56" s="469">
        <v>293.73491999999999</v>
      </c>
      <c r="M56" s="469">
        <v>293.73491999999999</v>
      </c>
      <c r="N56" s="469">
        <v>293.73491999999999</v>
      </c>
      <c r="O56" s="469">
        <v>293.73491999999999</v>
      </c>
      <c r="P56" s="469">
        <v>293.73491999999999</v>
      </c>
      <c r="Q56" s="469">
        <v>293.73491999999999</v>
      </c>
      <c r="R56" s="469">
        <v>293.73491999999999</v>
      </c>
      <c r="T56" s="469">
        <f t="shared" si="4"/>
        <v>293.73491999999993</v>
      </c>
    </row>
    <row r="57" spans="1:20">
      <c r="A57" s="469" t="str">
        <f t="shared" si="0"/>
        <v>KU</v>
      </c>
      <c r="B57" s="469" t="str">
        <f t="shared" si="1"/>
        <v>KY</v>
      </c>
      <c r="C57" s="469" t="str">
        <f t="shared" si="2"/>
        <v>347</v>
      </c>
      <c r="D57" s="470" t="s">
        <v>2359</v>
      </c>
      <c r="E57" s="468" t="str">
        <f t="shared" si="5"/>
        <v>ARO</v>
      </c>
      <c r="F57" s="469">
        <v>403.34408999999999</v>
      </c>
      <c r="G57" s="469">
        <v>403.34408999999999</v>
      </c>
      <c r="H57" s="469">
        <v>403.34408999999999</v>
      </c>
      <c r="I57" s="469">
        <v>403.34408999999999</v>
      </c>
      <c r="J57" s="469">
        <v>403.34408999999999</v>
      </c>
      <c r="K57" s="469">
        <v>403.34408999999999</v>
      </c>
      <c r="L57" s="469">
        <v>403.34408999999999</v>
      </c>
      <c r="M57" s="469">
        <v>403.34408999999999</v>
      </c>
      <c r="N57" s="469">
        <v>403.34408999999999</v>
      </c>
      <c r="O57" s="469">
        <v>403.34408999999999</v>
      </c>
      <c r="P57" s="469">
        <v>403.34408999999999</v>
      </c>
      <c r="Q57" s="469">
        <v>403.34408999999999</v>
      </c>
      <c r="R57" s="469">
        <v>403.34408999999999</v>
      </c>
      <c r="T57" s="469">
        <f t="shared" si="4"/>
        <v>403.34408999999994</v>
      </c>
    </row>
    <row r="58" spans="1:20">
      <c r="A58" s="469" t="str">
        <f t="shared" si="0"/>
        <v>KU</v>
      </c>
      <c r="B58" s="469" t="str">
        <f t="shared" si="1"/>
        <v>KY</v>
      </c>
      <c r="C58" s="469" t="str">
        <f t="shared" si="2"/>
        <v>350</v>
      </c>
      <c r="D58" s="470" t="s">
        <v>1810</v>
      </c>
      <c r="E58" s="468" t="str">
        <f t="shared" si="5"/>
        <v/>
      </c>
      <c r="F58" s="469">
        <v>29624.494119999999</v>
      </c>
      <c r="G58" s="469">
        <v>29624.494119999999</v>
      </c>
      <c r="H58" s="469">
        <v>29624.494119999999</v>
      </c>
      <c r="I58" s="469">
        <v>29624.494119999999</v>
      </c>
      <c r="J58" s="469">
        <v>29624.494119999999</v>
      </c>
      <c r="K58" s="469">
        <v>29624.494119999999</v>
      </c>
      <c r="L58" s="469">
        <v>29624.494119999999</v>
      </c>
      <c r="M58" s="469">
        <v>29624.494119999999</v>
      </c>
      <c r="N58" s="469">
        <v>29624.494119999999</v>
      </c>
      <c r="O58" s="469">
        <v>29624.494119999999</v>
      </c>
      <c r="P58" s="469">
        <v>29624.494119999999</v>
      </c>
      <c r="Q58" s="469">
        <v>29624.494119999999</v>
      </c>
      <c r="R58" s="469">
        <v>29624.494119999999</v>
      </c>
      <c r="T58" s="469">
        <f t="shared" si="4"/>
        <v>29624.494119999992</v>
      </c>
    </row>
    <row r="59" spans="1:20">
      <c r="A59" s="469" t="str">
        <f t="shared" si="0"/>
        <v>KU</v>
      </c>
      <c r="B59" s="469" t="str">
        <f t="shared" si="1"/>
        <v>TN</v>
      </c>
      <c r="C59" s="469" t="str">
        <f t="shared" si="2"/>
        <v>350</v>
      </c>
      <c r="D59" s="470" t="s">
        <v>1811</v>
      </c>
      <c r="E59" s="468" t="str">
        <f t="shared" si="5"/>
        <v/>
      </c>
      <c r="F59" s="469">
        <v>0.43952999999999998</v>
      </c>
      <c r="G59" s="469">
        <v>0.43952999999999998</v>
      </c>
      <c r="H59" s="469">
        <v>0.43952999999999998</v>
      </c>
      <c r="I59" s="469">
        <v>0.43952999999999998</v>
      </c>
      <c r="J59" s="469">
        <v>0.43952999999999998</v>
      </c>
      <c r="K59" s="469">
        <v>0.43952999999999998</v>
      </c>
      <c r="L59" s="469">
        <v>0.43952999999999998</v>
      </c>
      <c r="M59" s="469">
        <v>0.43952999999999998</v>
      </c>
      <c r="N59" s="469">
        <v>0.43952999999999998</v>
      </c>
      <c r="O59" s="469">
        <v>0.43952999999999998</v>
      </c>
      <c r="P59" s="469">
        <v>0.43952999999999998</v>
      </c>
      <c r="Q59" s="469">
        <v>0.43952999999999998</v>
      </c>
      <c r="R59" s="469">
        <v>0.43952999999999998</v>
      </c>
      <c r="T59" s="469">
        <f t="shared" si="4"/>
        <v>0.43952999999999992</v>
      </c>
    </row>
    <row r="60" spans="1:20">
      <c r="A60" s="469" t="str">
        <f t="shared" si="0"/>
        <v>KU</v>
      </c>
      <c r="B60" s="469" t="str">
        <f t="shared" si="1"/>
        <v>VA</v>
      </c>
      <c r="C60" s="469" t="str">
        <f t="shared" si="2"/>
        <v>350</v>
      </c>
      <c r="D60" s="470" t="s">
        <v>1812</v>
      </c>
      <c r="E60" s="468" t="str">
        <f t="shared" si="5"/>
        <v/>
      </c>
      <c r="F60" s="469">
        <v>2164.3317200000001</v>
      </c>
      <c r="G60" s="469">
        <v>2164.3317200000001</v>
      </c>
      <c r="H60" s="469">
        <v>2164.3317200000001</v>
      </c>
      <c r="I60" s="469">
        <v>2164.3317200000001</v>
      </c>
      <c r="J60" s="469">
        <v>2164.3317200000001</v>
      </c>
      <c r="K60" s="469">
        <v>2164.3317200000001</v>
      </c>
      <c r="L60" s="469">
        <v>2164.3317200000001</v>
      </c>
      <c r="M60" s="469">
        <v>2164.3317200000001</v>
      </c>
      <c r="N60" s="469">
        <v>2164.3317200000001</v>
      </c>
      <c r="O60" s="469">
        <v>2164.3317200000001</v>
      </c>
      <c r="P60" s="469">
        <v>2164.3317200000001</v>
      </c>
      <c r="Q60" s="469">
        <v>2164.3317200000001</v>
      </c>
      <c r="R60" s="469">
        <v>2164.3317200000001</v>
      </c>
      <c r="T60" s="469">
        <f t="shared" si="4"/>
        <v>2164.331720000001</v>
      </c>
    </row>
    <row r="61" spans="1:20">
      <c r="A61" s="469" t="str">
        <f t="shared" si="0"/>
        <v>KU</v>
      </c>
      <c r="B61" s="469" t="str">
        <f t="shared" si="1"/>
        <v>KY</v>
      </c>
      <c r="C61" s="469" t="str">
        <f t="shared" si="2"/>
        <v>352</v>
      </c>
      <c r="D61" s="470" t="s">
        <v>1813</v>
      </c>
      <c r="E61" s="468" t="str">
        <f t="shared" si="5"/>
        <v/>
      </c>
      <c r="F61" s="469">
        <v>1418.0187000000001</v>
      </c>
      <c r="G61" s="469">
        <v>1418.0187000000001</v>
      </c>
      <c r="H61" s="469">
        <v>1418.0187000000001</v>
      </c>
      <c r="I61" s="469">
        <v>1418.0187000000001</v>
      </c>
      <c r="J61" s="469">
        <v>1418.0187000000001</v>
      </c>
      <c r="K61" s="469">
        <v>1418.0187000000001</v>
      </c>
      <c r="L61" s="469">
        <v>1418.0187000000001</v>
      </c>
      <c r="M61" s="469">
        <v>1418.0187000000001</v>
      </c>
      <c r="N61" s="469">
        <v>1418.0187000000001</v>
      </c>
      <c r="O61" s="469">
        <v>1418.0187000000001</v>
      </c>
      <c r="P61" s="469">
        <v>1418.0187000000001</v>
      </c>
      <c r="Q61" s="469">
        <v>1418.0187000000001</v>
      </c>
      <c r="R61" s="469">
        <v>1418.0187000000001</v>
      </c>
      <c r="T61" s="469">
        <f t="shared" si="4"/>
        <v>1418.0187000000003</v>
      </c>
    </row>
    <row r="62" spans="1:20">
      <c r="A62" s="469" t="str">
        <f t="shared" si="0"/>
        <v>KU</v>
      </c>
      <c r="B62" s="469" t="str">
        <f t="shared" si="1"/>
        <v>KY</v>
      </c>
      <c r="C62" s="469" t="str">
        <f t="shared" si="2"/>
        <v>352</v>
      </c>
      <c r="D62" s="470" t="s">
        <v>1814</v>
      </c>
      <c r="E62" s="468" t="str">
        <f t="shared" si="5"/>
        <v/>
      </c>
      <c r="F62" s="469">
        <v>25793.78255</v>
      </c>
      <c r="G62" s="469">
        <v>25793.78255</v>
      </c>
      <c r="H62" s="469">
        <v>25793.78255</v>
      </c>
      <c r="I62" s="469">
        <v>25793.78255</v>
      </c>
      <c r="J62" s="469">
        <v>25793.78255</v>
      </c>
      <c r="K62" s="469">
        <v>25793.78255</v>
      </c>
      <c r="L62" s="469">
        <v>25793.78255</v>
      </c>
      <c r="M62" s="469">
        <v>25793.78255</v>
      </c>
      <c r="N62" s="469">
        <v>25793.78255</v>
      </c>
      <c r="O62" s="469">
        <v>25793.78255</v>
      </c>
      <c r="P62" s="469">
        <v>25793.78255</v>
      </c>
      <c r="Q62" s="469">
        <v>25793.78255</v>
      </c>
      <c r="R62" s="469">
        <v>25793.78255</v>
      </c>
      <c r="T62" s="469">
        <f t="shared" si="4"/>
        <v>25793.78255</v>
      </c>
    </row>
    <row r="63" spans="1:20">
      <c r="A63" s="469" t="str">
        <f t="shared" si="0"/>
        <v>KU</v>
      </c>
      <c r="B63" s="469" t="str">
        <f t="shared" si="1"/>
        <v>VA</v>
      </c>
      <c r="C63" s="469" t="str">
        <f t="shared" si="2"/>
        <v>352</v>
      </c>
      <c r="D63" s="470" t="s">
        <v>1815</v>
      </c>
      <c r="E63" s="468" t="str">
        <f t="shared" si="5"/>
        <v/>
      </c>
      <c r="F63" s="469">
        <v>1617.9201599999999</v>
      </c>
      <c r="G63" s="469">
        <v>1617.9201599999999</v>
      </c>
      <c r="H63" s="469">
        <v>1617.9201599999999</v>
      </c>
      <c r="I63" s="469">
        <v>1617.9201599999999</v>
      </c>
      <c r="J63" s="469">
        <v>1617.9201599999999</v>
      </c>
      <c r="K63" s="469">
        <v>1617.9201599999999</v>
      </c>
      <c r="L63" s="469">
        <v>1617.9201599999999</v>
      </c>
      <c r="M63" s="469">
        <v>1617.9201599999999</v>
      </c>
      <c r="N63" s="469">
        <v>1617.9201599999999</v>
      </c>
      <c r="O63" s="469">
        <v>1617.9201599999999</v>
      </c>
      <c r="P63" s="469">
        <v>1617.9201599999999</v>
      </c>
      <c r="Q63" s="469">
        <v>1617.9201599999999</v>
      </c>
      <c r="R63" s="469">
        <v>1617.9201599999999</v>
      </c>
      <c r="T63" s="469">
        <f t="shared" si="4"/>
        <v>1617.9201600000001</v>
      </c>
    </row>
    <row r="64" spans="1:20">
      <c r="A64" s="469" t="str">
        <f t="shared" si="0"/>
        <v>KU</v>
      </c>
      <c r="B64" s="469" t="str">
        <f t="shared" si="1"/>
        <v>KY</v>
      </c>
      <c r="C64" s="469" t="str">
        <f t="shared" si="2"/>
        <v>353</v>
      </c>
      <c r="D64" s="470" t="s">
        <v>1816</v>
      </c>
      <c r="E64" s="468" t="str">
        <f t="shared" si="5"/>
        <v/>
      </c>
      <c r="F64" s="469">
        <v>272380.86281000002</v>
      </c>
      <c r="G64" s="469">
        <v>272930.56225999998</v>
      </c>
      <c r="H64" s="469">
        <v>274037.31001999998</v>
      </c>
      <c r="I64" s="469">
        <v>274722.64556999999</v>
      </c>
      <c r="J64" s="469">
        <v>275510.04171999998</v>
      </c>
      <c r="K64" s="469">
        <v>276200.39519000001</v>
      </c>
      <c r="L64" s="469">
        <v>294475.80562</v>
      </c>
      <c r="M64" s="469">
        <v>294432.99261999998</v>
      </c>
      <c r="N64" s="469">
        <v>294092.10462</v>
      </c>
      <c r="O64" s="469">
        <v>294005.45286999998</v>
      </c>
      <c r="P64" s="469">
        <v>295216.65220000001</v>
      </c>
      <c r="Q64" s="469">
        <v>295937.94426000002</v>
      </c>
      <c r="R64" s="469">
        <v>300719.82815999998</v>
      </c>
      <c r="T64" s="469">
        <f t="shared" si="4"/>
        <v>285743.27676307689</v>
      </c>
    </row>
    <row r="65" spans="1:20">
      <c r="A65" s="469" t="str">
        <f t="shared" si="0"/>
        <v>KU</v>
      </c>
      <c r="B65" s="469" t="s">
        <v>17</v>
      </c>
      <c r="C65" s="469" t="str">
        <f t="shared" si="2"/>
        <v>353</v>
      </c>
      <c r="D65" s="470" t="s">
        <v>1817</v>
      </c>
      <c r="E65" s="468" t="str">
        <f t="shared" si="5"/>
        <v/>
      </c>
      <c r="F65" s="469">
        <v>6694.0005600000004</v>
      </c>
      <c r="G65" s="469">
        <v>6694.0005600000004</v>
      </c>
      <c r="H65" s="469">
        <v>6694.0005600000004</v>
      </c>
      <c r="I65" s="469">
        <v>6694.0005600000004</v>
      </c>
      <c r="J65" s="469">
        <v>6694.0005600000004</v>
      </c>
      <c r="K65" s="469">
        <v>6694.0005600000004</v>
      </c>
      <c r="L65" s="469">
        <v>6974.0005700000002</v>
      </c>
      <c r="M65" s="469">
        <v>6974.0005700000002</v>
      </c>
      <c r="N65" s="469">
        <v>6974.0005700000002</v>
      </c>
      <c r="O65" s="469">
        <v>6974.0005700000002</v>
      </c>
      <c r="P65" s="469">
        <v>6974.0005700000002</v>
      </c>
      <c r="Q65" s="469">
        <v>6974.0005700000002</v>
      </c>
      <c r="R65" s="469">
        <v>6974.0005700000002</v>
      </c>
      <c r="T65" s="469">
        <f t="shared" si="4"/>
        <v>6844.7697961538488</v>
      </c>
    </row>
    <row r="66" spans="1:20">
      <c r="A66" s="469" t="str">
        <f t="shared" si="0"/>
        <v>KU</v>
      </c>
      <c r="B66" s="469" t="str">
        <f t="shared" si="1"/>
        <v>VA</v>
      </c>
      <c r="C66" s="469" t="str">
        <f t="shared" si="2"/>
        <v>353</v>
      </c>
      <c r="D66" s="470" t="s">
        <v>1818</v>
      </c>
      <c r="E66" s="468" t="str">
        <f t="shared" si="5"/>
        <v/>
      </c>
      <c r="F66" s="469">
        <v>22165.101019999998</v>
      </c>
      <c r="G66" s="469">
        <v>22165.101019999998</v>
      </c>
      <c r="H66" s="469">
        <v>22165.101019999998</v>
      </c>
      <c r="I66" s="469">
        <v>22165.101019999998</v>
      </c>
      <c r="J66" s="469">
        <v>22165.101019999998</v>
      </c>
      <c r="K66" s="469">
        <v>22165.101019999998</v>
      </c>
      <c r="L66" s="469">
        <v>22365.18102</v>
      </c>
      <c r="M66" s="469">
        <v>22365.18102</v>
      </c>
      <c r="N66" s="469">
        <v>22365.18102</v>
      </c>
      <c r="O66" s="469">
        <v>22365.18102</v>
      </c>
      <c r="P66" s="469">
        <v>22365.18102</v>
      </c>
      <c r="Q66" s="469">
        <v>22365.18102</v>
      </c>
      <c r="R66" s="469">
        <v>22365.18102</v>
      </c>
      <c r="T66" s="469">
        <f t="shared" si="4"/>
        <v>22272.83640461538</v>
      </c>
    </row>
    <row r="67" spans="1:20">
      <c r="A67" s="469" t="str">
        <f t="shared" si="0"/>
        <v>KU</v>
      </c>
      <c r="B67" s="469" t="str">
        <f t="shared" si="1"/>
        <v>KY</v>
      </c>
      <c r="C67" s="469" t="str">
        <f t="shared" si="2"/>
        <v>354</v>
      </c>
      <c r="D67" s="470" t="s">
        <v>1819</v>
      </c>
      <c r="E67" s="468" t="str">
        <f t="shared" si="5"/>
        <v/>
      </c>
      <c r="F67" s="469">
        <v>69189.931339999996</v>
      </c>
      <c r="G67" s="469">
        <v>69189.931339999996</v>
      </c>
      <c r="H67" s="469">
        <v>69189.931339999996</v>
      </c>
      <c r="I67" s="469">
        <v>69189.931339999996</v>
      </c>
      <c r="J67" s="469">
        <v>69189.931339999996</v>
      </c>
      <c r="K67" s="469">
        <v>69189.931339999996</v>
      </c>
      <c r="L67" s="469">
        <v>69189.931339999996</v>
      </c>
      <c r="M67" s="469">
        <v>69189.931339999996</v>
      </c>
      <c r="N67" s="469">
        <v>69189.931339999996</v>
      </c>
      <c r="O67" s="469">
        <v>69189.931339999996</v>
      </c>
      <c r="P67" s="469">
        <v>69189.931339999996</v>
      </c>
      <c r="Q67" s="469">
        <v>69189.931339999996</v>
      </c>
      <c r="R67" s="469">
        <v>69189.931339999996</v>
      </c>
      <c r="T67" s="469">
        <f t="shared" si="4"/>
        <v>69189.931339999996</v>
      </c>
    </row>
    <row r="68" spans="1:20">
      <c r="A68" s="469" t="str">
        <f t="shared" si="0"/>
        <v>KU</v>
      </c>
      <c r="B68" s="469" t="str">
        <f t="shared" si="1"/>
        <v>VA</v>
      </c>
      <c r="C68" s="469" t="str">
        <f t="shared" si="2"/>
        <v>354</v>
      </c>
      <c r="D68" s="470" t="s">
        <v>1820</v>
      </c>
      <c r="E68" s="468" t="str">
        <f t="shared" si="5"/>
        <v/>
      </c>
      <c r="F68" s="469">
        <v>7181.0812999999998</v>
      </c>
      <c r="G68" s="469">
        <v>7181.0812999999998</v>
      </c>
      <c r="H68" s="469">
        <v>7181.0812999999998</v>
      </c>
      <c r="I68" s="469">
        <v>7181.0812999999998</v>
      </c>
      <c r="J68" s="469">
        <v>7181.0812999999998</v>
      </c>
      <c r="K68" s="469">
        <v>7181.0812999999998</v>
      </c>
      <c r="L68" s="469">
        <v>7181.0812999999998</v>
      </c>
      <c r="M68" s="469">
        <v>7181.0812999999998</v>
      </c>
      <c r="N68" s="469">
        <v>7181.0812999999998</v>
      </c>
      <c r="O68" s="469">
        <v>7181.0812999999998</v>
      </c>
      <c r="P68" s="469">
        <v>7181.0812999999998</v>
      </c>
      <c r="Q68" s="469">
        <v>7181.0812999999998</v>
      </c>
      <c r="R68" s="469">
        <v>7181.0812999999998</v>
      </c>
      <c r="T68" s="469">
        <f t="shared" si="4"/>
        <v>7181.0813000000007</v>
      </c>
    </row>
    <row r="69" spans="1:20">
      <c r="A69" s="469" t="str">
        <f t="shared" si="0"/>
        <v>KU</v>
      </c>
      <c r="B69" s="469" t="str">
        <f t="shared" si="1"/>
        <v>KY</v>
      </c>
      <c r="C69" s="469" t="str">
        <f t="shared" si="2"/>
        <v>355</v>
      </c>
      <c r="D69" s="470" t="s">
        <v>1821</v>
      </c>
      <c r="E69" s="468" t="str">
        <f t="shared" si="5"/>
        <v/>
      </c>
      <c r="F69" s="469">
        <v>302187.11547999998</v>
      </c>
      <c r="G69" s="469">
        <v>307836.40039000002</v>
      </c>
      <c r="H69" s="469">
        <v>311631.21337000001</v>
      </c>
      <c r="I69" s="469">
        <v>316675.27843000001</v>
      </c>
      <c r="J69" s="469">
        <v>320280.69841999997</v>
      </c>
      <c r="K69" s="469">
        <v>324517.97391</v>
      </c>
      <c r="L69" s="469">
        <v>328023.19780999998</v>
      </c>
      <c r="M69" s="469">
        <v>332333.79502000002</v>
      </c>
      <c r="N69" s="469">
        <v>336644.40159999998</v>
      </c>
      <c r="O69" s="469">
        <v>342977.93310000002</v>
      </c>
      <c r="P69" s="469">
        <v>347512.21776000003</v>
      </c>
      <c r="Q69" s="469">
        <v>351832.71506000002</v>
      </c>
      <c r="R69" s="469">
        <v>362001.26672000001</v>
      </c>
      <c r="T69" s="469">
        <f t="shared" si="4"/>
        <v>329573.40054384613</v>
      </c>
    </row>
    <row r="70" spans="1:20">
      <c r="A70" s="469" t="str">
        <f t="shared" ref="A70:A152" si="6">MID($D70,4,2)</f>
        <v>KU</v>
      </c>
      <c r="B70" s="469" t="str">
        <f t="shared" ref="B70:B152" si="7">IF(MID($D70,12,2)="- ","KY",MID($D70,12,2))</f>
        <v>TN</v>
      </c>
      <c r="C70" s="469" t="str">
        <f t="shared" ref="C70:C152" si="8">MID($D70,8,3)</f>
        <v>355</v>
      </c>
      <c r="D70" s="470" t="s">
        <v>1822</v>
      </c>
      <c r="E70" s="468" t="str">
        <f t="shared" si="5"/>
        <v/>
      </c>
      <c r="F70" s="469">
        <v>125.979</v>
      </c>
      <c r="G70" s="469">
        <v>125.979</v>
      </c>
      <c r="H70" s="469">
        <v>125.979</v>
      </c>
      <c r="I70" s="469">
        <v>125.979</v>
      </c>
      <c r="J70" s="469">
        <v>125.979</v>
      </c>
      <c r="K70" s="469">
        <v>125.979</v>
      </c>
      <c r="L70" s="469">
        <v>125.979</v>
      </c>
      <c r="M70" s="469">
        <v>125.979</v>
      </c>
      <c r="N70" s="469">
        <v>125.979</v>
      </c>
      <c r="O70" s="469">
        <v>125.979</v>
      </c>
      <c r="P70" s="469">
        <v>125.979</v>
      </c>
      <c r="Q70" s="469">
        <v>125.979</v>
      </c>
      <c r="R70" s="469">
        <v>125.979</v>
      </c>
      <c r="T70" s="469">
        <f t="shared" si="4"/>
        <v>125.97900000000003</v>
      </c>
    </row>
    <row r="71" spans="1:20">
      <c r="A71" s="469" t="str">
        <f t="shared" si="6"/>
        <v>KU</v>
      </c>
      <c r="B71" s="469" t="str">
        <f t="shared" si="7"/>
        <v>VA</v>
      </c>
      <c r="C71" s="469" t="str">
        <f t="shared" si="8"/>
        <v>355</v>
      </c>
      <c r="D71" s="470" t="s">
        <v>1823</v>
      </c>
      <c r="E71" s="468" t="str">
        <f t="shared" si="5"/>
        <v/>
      </c>
      <c r="F71" s="469">
        <v>12330.7564099999</v>
      </c>
      <c r="G71" s="469">
        <v>12330.7564099999</v>
      </c>
      <c r="H71" s="469">
        <v>12428.702009999901</v>
      </c>
      <c r="I71" s="469">
        <v>12428.702009999901</v>
      </c>
      <c r="J71" s="469">
        <v>12428.702009999901</v>
      </c>
      <c r="K71" s="469">
        <v>12428.702009999901</v>
      </c>
      <c r="L71" s="469">
        <v>12428.702009999901</v>
      </c>
      <c r="M71" s="469">
        <v>12428.702009999901</v>
      </c>
      <c r="N71" s="469">
        <v>12428.702009999901</v>
      </c>
      <c r="O71" s="469">
        <v>12774.8483699999</v>
      </c>
      <c r="P71" s="469">
        <v>12774.8483699999</v>
      </c>
      <c r="Q71" s="469">
        <v>12774.8483699999</v>
      </c>
      <c r="R71" s="469">
        <v>12774.8483699999</v>
      </c>
      <c r="T71" s="469">
        <f t="shared" ref="T71:T134" si="9">SUM(F71:R71)/13</f>
        <v>12520.140028461439</v>
      </c>
    </row>
    <row r="72" spans="1:20">
      <c r="A72" s="469" t="str">
        <f t="shared" si="6"/>
        <v>KU</v>
      </c>
      <c r="B72" s="469" t="str">
        <f t="shared" si="7"/>
        <v>KY</v>
      </c>
      <c r="C72" s="469" t="str">
        <f t="shared" si="8"/>
        <v>356</v>
      </c>
      <c r="D72" s="470" t="s">
        <v>1824</v>
      </c>
      <c r="E72" s="468" t="str">
        <f t="shared" si="5"/>
        <v/>
      </c>
      <c r="F72" s="469">
        <v>165726.19649</v>
      </c>
      <c r="G72" s="469">
        <v>165797.95860000001</v>
      </c>
      <c r="H72" s="469">
        <v>168011.98746999999</v>
      </c>
      <c r="I72" s="469">
        <v>168083.74958</v>
      </c>
      <c r="J72" s="469">
        <v>168155.51169000001</v>
      </c>
      <c r="K72" s="469">
        <v>168227.2738</v>
      </c>
      <c r="L72" s="469">
        <v>168299.03591000001</v>
      </c>
      <c r="M72" s="469">
        <v>168372.85673999999</v>
      </c>
      <c r="N72" s="469">
        <v>168446.6776</v>
      </c>
      <c r="O72" s="469">
        <v>168520.49846</v>
      </c>
      <c r="P72" s="469">
        <v>168594.31932000001</v>
      </c>
      <c r="Q72" s="469">
        <v>168668.14017999999</v>
      </c>
      <c r="R72" s="469">
        <v>168741.96103999999</v>
      </c>
      <c r="T72" s="469">
        <f t="shared" si="9"/>
        <v>167972.78206769231</v>
      </c>
    </row>
    <row r="73" spans="1:20">
      <c r="A73" s="469" t="str">
        <f t="shared" si="6"/>
        <v>KU</v>
      </c>
      <c r="B73" s="469" t="str">
        <f t="shared" si="7"/>
        <v>TN</v>
      </c>
      <c r="C73" s="469" t="str">
        <f t="shared" si="8"/>
        <v>356</v>
      </c>
      <c r="D73" s="470" t="s">
        <v>1825</v>
      </c>
      <c r="E73" s="468" t="str">
        <f t="shared" si="5"/>
        <v/>
      </c>
      <c r="F73" s="469">
        <v>78.061729999999997</v>
      </c>
      <c r="G73" s="469">
        <v>78.061729999999997</v>
      </c>
      <c r="H73" s="469">
        <v>78.061729999999997</v>
      </c>
      <c r="I73" s="469">
        <v>78.061729999999997</v>
      </c>
      <c r="J73" s="469">
        <v>78.061729999999997</v>
      </c>
      <c r="K73" s="469">
        <v>78.061729999999997</v>
      </c>
      <c r="L73" s="469">
        <v>78.061729999999997</v>
      </c>
      <c r="M73" s="469">
        <v>78.061729999999997</v>
      </c>
      <c r="N73" s="469">
        <v>78.061729999999997</v>
      </c>
      <c r="O73" s="469">
        <v>78.061729999999997</v>
      </c>
      <c r="P73" s="469">
        <v>78.061729999999997</v>
      </c>
      <c r="Q73" s="469">
        <v>78.061729999999997</v>
      </c>
      <c r="R73" s="469">
        <v>78.061729999999997</v>
      </c>
      <c r="T73" s="469">
        <f t="shared" si="9"/>
        <v>78.061729999999997</v>
      </c>
    </row>
    <row r="74" spans="1:20">
      <c r="A74" s="469" t="str">
        <f t="shared" si="6"/>
        <v>KU</v>
      </c>
      <c r="B74" s="469" t="str">
        <f t="shared" si="7"/>
        <v>VA</v>
      </c>
      <c r="C74" s="469" t="str">
        <f t="shared" si="8"/>
        <v>356</v>
      </c>
      <c r="D74" s="470" t="s">
        <v>1826</v>
      </c>
      <c r="E74" s="468" t="str">
        <f t="shared" si="5"/>
        <v/>
      </c>
      <c r="F74" s="469">
        <v>17360.37874</v>
      </c>
      <c r="G74" s="469">
        <v>17360.37874</v>
      </c>
      <c r="H74" s="469">
        <v>17360.37874</v>
      </c>
      <c r="I74" s="469">
        <v>17360.37874</v>
      </c>
      <c r="J74" s="469">
        <v>17360.37874</v>
      </c>
      <c r="K74" s="469">
        <v>17360.37874</v>
      </c>
      <c r="L74" s="469">
        <v>17360.37874</v>
      </c>
      <c r="M74" s="469">
        <v>17360.37874</v>
      </c>
      <c r="N74" s="469">
        <v>17360.37874</v>
      </c>
      <c r="O74" s="469">
        <v>17360.37874</v>
      </c>
      <c r="P74" s="469">
        <v>17360.37874</v>
      </c>
      <c r="Q74" s="469">
        <v>17360.37874</v>
      </c>
      <c r="R74" s="469">
        <v>17360.37874</v>
      </c>
      <c r="T74" s="469">
        <f t="shared" si="9"/>
        <v>17360.378740000007</v>
      </c>
    </row>
    <row r="75" spans="1:20">
      <c r="A75" s="469" t="str">
        <f t="shared" si="6"/>
        <v>KU</v>
      </c>
      <c r="B75" s="469" t="str">
        <f t="shared" si="7"/>
        <v>KY</v>
      </c>
      <c r="C75" s="469" t="str">
        <f t="shared" si="8"/>
        <v>357</v>
      </c>
      <c r="D75" s="470" t="s">
        <v>1827</v>
      </c>
      <c r="E75" s="468" t="str">
        <f t="shared" si="5"/>
        <v/>
      </c>
      <c r="F75" s="469">
        <v>448.76026000000002</v>
      </c>
      <c r="G75" s="469">
        <v>448.76026000000002</v>
      </c>
      <c r="H75" s="469">
        <v>448.76026000000002</v>
      </c>
      <c r="I75" s="469">
        <v>448.76026000000002</v>
      </c>
      <c r="J75" s="469">
        <v>448.76026000000002</v>
      </c>
      <c r="K75" s="469">
        <v>448.76026000000002</v>
      </c>
      <c r="L75" s="469">
        <v>448.76026000000002</v>
      </c>
      <c r="M75" s="469">
        <v>448.76026000000002</v>
      </c>
      <c r="N75" s="469">
        <v>448.76026000000002</v>
      </c>
      <c r="O75" s="469">
        <v>448.76026000000002</v>
      </c>
      <c r="P75" s="469">
        <v>448.76026000000002</v>
      </c>
      <c r="Q75" s="469">
        <v>448.76026000000002</v>
      </c>
      <c r="R75" s="469">
        <v>448.76026000000002</v>
      </c>
      <c r="T75" s="469">
        <f t="shared" si="9"/>
        <v>448.76026000000002</v>
      </c>
    </row>
    <row r="76" spans="1:20">
      <c r="A76" s="469" t="str">
        <f t="shared" si="6"/>
        <v>KU</v>
      </c>
      <c r="B76" s="469" t="str">
        <f t="shared" si="7"/>
        <v>KY</v>
      </c>
      <c r="C76" s="469" t="str">
        <f t="shared" si="8"/>
        <v>358</v>
      </c>
      <c r="D76" s="470" t="s">
        <v>1828</v>
      </c>
      <c r="E76" s="468" t="str">
        <f t="shared" si="5"/>
        <v/>
      </c>
      <c r="F76" s="469">
        <v>1116.71408</v>
      </c>
      <c r="G76" s="469">
        <v>1116.71408</v>
      </c>
      <c r="H76" s="469">
        <v>1116.71408</v>
      </c>
      <c r="I76" s="469">
        <v>1116.71408</v>
      </c>
      <c r="J76" s="469">
        <v>1116.71408</v>
      </c>
      <c r="K76" s="469">
        <v>1116.71408</v>
      </c>
      <c r="L76" s="469">
        <v>1116.71408</v>
      </c>
      <c r="M76" s="469">
        <v>1116.71408</v>
      </c>
      <c r="N76" s="469">
        <v>1116.71408</v>
      </c>
      <c r="O76" s="469">
        <v>1116.71408</v>
      </c>
      <c r="P76" s="469">
        <v>1116.71408</v>
      </c>
      <c r="Q76" s="469">
        <v>1116.71408</v>
      </c>
      <c r="R76" s="469">
        <v>1116.71408</v>
      </c>
      <c r="T76" s="469">
        <f t="shared" si="9"/>
        <v>1116.71408</v>
      </c>
    </row>
    <row r="77" spans="1:20">
      <c r="A77" s="469" t="str">
        <f t="shared" si="6"/>
        <v>KU</v>
      </c>
      <c r="B77" s="469" t="str">
        <f t="shared" si="7"/>
        <v>KY</v>
      </c>
      <c r="C77" s="469" t="str">
        <f t="shared" si="8"/>
        <v>359</v>
      </c>
      <c r="D77" s="470" t="s">
        <v>1829</v>
      </c>
      <c r="E77" s="468" t="str">
        <f t="shared" si="5"/>
        <v>ARO</v>
      </c>
      <c r="F77" s="469">
        <v>413.45062999999999</v>
      </c>
      <c r="G77" s="469">
        <v>413.45062999999999</v>
      </c>
      <c r="H77" s="469">
        <v>413.45062999999999</v>
      </c>
      <c r="I77" s="469">
        <v>413.45062999999999</v>
      </c>
      <c r="J77" s="469">
        <v>413.45062999999999</v>
      </c>
      <c r="K77" s="469">
        <v>413.45062999999999</v>
      </c>
      <c r="L77" s="469">
        <v>413.45062999999999</v>
      </c>
      <c r="M77" s="469">
        <v>413.45062999999999</v>
      </c>
      <c r="N77" s="469">
        <v>413.45062999999999</v>
      </c>
      <c r="O77" s="469">
        <v>413.45062999999999</v>
      </c>
      <c r="P77" s="469">
        <v>413.45062999999999</v>
      </c>
      <c r="Q77" s="469">
        <v>413.45062999999999</v>
      </c>
      <c r="R77" s="469">
        <v>413.45062999999999</v>
      </c>
      <c r="T77" s="469">
        <f t="shared" si="9"/>
        <v>413.45062999999999</v>
      </c>
    </row>
    <row r="78" spans="1:20">
      <c r="A78" s="469" t="str">
        <f t="shared" si="6"/>
        <v>KU</v>
      </c>
      <c r="B78" s="469" t="s">
        <v>104</v>
      </c>
      <c r="C78" s="469" t="str">
        <f t="shared" si="8"/>
        <v>360</v>
      </c>
      <c r="D78" s="470" t="s">
        <v>1830</v>
      </c>
      <c r="E78" s="468" t="str">
        <f t="shared" si="5"/>
        <v>FUTURE USE</v>
      </c>
      <c r="F78" s="469">
        <v>437.97009000000003</v>
      </c>
      <c r="G78" s="469">
        <v>437.97009000000003</v>
      </c>
      <c r="H78" s="469">
        <v>437.97009000000003</v>
      </c>
      <c r="I78" s="469">
        <v>437.97009000000003</v>
      </c>
      <c r="J78" s="469">
        <v>437.97009000000003</v>
      </c>
      <c r="K78" s="469">
        <v>437.97009000000003</v>
      </c>
      <c r="L78" s="469">
        <v>437.97009000000003</v>
      </c>
      <c r="M78" s="469">
        <v>437.97009000000003</v>
      </c>
      <c r="N78" s="469">
        <v>437.97009000000003</v>
      </c>
      <c r="O78" s="469">
        <v>437.97009000000003</v>
      </c>
      <c r="P78" s="469">
        <v>437.97009000000003</v>
      </c>
      <c r="Q78" s="469">
        <v>437.97009000000003</v>
      </c>
      <c r="R78" s="469">
        <v>437.97009000000003</v>
      </c>
      <c r="T78" s="469">
        <f t="shared" si="9"/>
        <v>437.97008999999986</v>
      </c>
    </row>
    <row r="79" spans="1:20">
      <c r="A79" s="469" t="str">
        <f t="shared" si="6"/>
        <v>KU</v>
      </c>
      <c r="B79" s="469" t="str">
        <f t="shared" si="7"/>
        <v>KY</v>
      </c>
      <c r="C79" s="469" t="str">
        <f t="shared" si="8"/>
        <v>360</v>
      </c>
      <c r="D79" s="470" t="s">
        <v>1831</v>
      </c>
      <c r="E79" s="468" t="str">
        <f t="shared" si="5"/>
        <v/>
      </c>
      <c r="F79" s="469">
        <v>8277.7551899999999</v>
      </c>
      <c r="G79" s="469">
        <v>8277.7551899999999</v>
      </c>
      <c r="H79" s="469">
        <v>8277.7551899999999</v>
      </c>
      <c r="I79" s="469">
        <v>8277.7551899999999</v>
      </c>
      <c r="J79" s="469">
        <v>8277.7551899999999</v>
      </c>
      <c r="K79" s="469">
        <v>8277.7551899999999</v>
      </c>
      <c r="L79" s="469">
        <v>8678.5051899999999</v>
      </c>
      <c r="M79" s="469">
        <v>8678.5051899999999</v>
      </c>
      <c r="N79" s="469">
        <v>8678.5051899999999</v>
      </c>
      <c r="O79" s="469">
        <v>8678.5051899999999</v>
      </c>
      <c r="P79" s="469">
        <v>8678.5051899999999</v>
      </c>
      <c r="Q79" s="469">
        <v>8678.5051899999999</v>
      </c>
      <c r="R79" s="469">
        <v>8678.5051899999999</v>
      </c>
      <c r="T79" s="469">
        <f t="shared" si="9"/>
        <v>8493.543651538459</v>
      </c>
    </row>
    <row r="80" spans="1:20">
      <c r="A80" s="469" t="str">
        <f t="shared" si="6"/>
        <v>KU</v>
      </c>
      <c r="B80" s="469" t="str">
        <f t="shared" si="7"/>
        <v>TN</v>
      </c>
      <c r="C80" s="469" t="str">
        <f t="shared" si="8"/>
        <v>360</v>
      </c>
      <c r="D80" s="470" t="s">
        <v>1832</v>
      </c>
      <c r="E80" s="468" t="str">
        <f t="shared" si="5"/>
        <v/>
      </c>
      <c r="F80" s="469">
        <v>5.0402300000000002</v>
      </c>
      <c r="G80" s="469">
        <v>5.0402300000000002</v>
      </c>
      <c r="H80" s="469">
        <v>5.0402300000000002</v>
      </c>
      <c r="I80" s="469">
        <v>5.0402300000000002</v>
      </c>
      <c r="J80" s="469">
        <v>5.0402300000000002</v>
      </c>
      <c r="K80" s="469">
        <v>5.0402300000000002</v>
      </c>
      <c r="L80" s="469">
        <v>5.0402300000000002</v>
      </c>
      <c r="M80" s="469">
        <v>5.0402300000000002</v>
      </c>
      <c r="N80" s="469">
        <v>5.0402300000000002</v>
      </c>
      <c r="O80" s="469">
        <v>5.0402300000000002</v>
      </c>
      <c r="P80" s="469">
        <v>5.0402300000000002</v>
      </c>
      <c r="Q80" s="469">
        <v>5.0402300000000002</v>
      </c>
      <c r="R80" s="469">
        <v>5.0402300000000002</v>
      </c>
      <c r="T80" s="469">
        <f t="shared" si="9"/>
        <v>5.0402300000000002</v>
      </c>
    </row>
    <row r="81" spans="1:20">
      <c r="A81" s="469" t="str">
        <f t="shared" si="6"/>
        <v>KU</v>
      </c>
      <c r="B81" s="469" t="str">
        <f t="shared" si="7"/>
        <v>VA</v>
      </c>
      <c r="C81" s="469" t="str">
        <f t="shared" si="8"/>
        <v>360</v>
      </c>
      <c r="D81" s="470" t="s">
        <v>1833</v>
      </c>
      <c r="E81" s="468" t="str">
        <f t="shared" si="5"/>
        <v/>
      </c>
      <c r="F81" s="469">
        <v>343.25044000000003</v>
      </c>
      <c r="G81" s="469">
        <v>343.25044000000003</v>
      </c>
      <c r="H81" s="469">
        <v>343.25044000000003</v>
      </c>
      <c r="I81" s="469">
        <v>343.25044000000003</v>
      </c>
      <c r="J81" s="469">
        <v>343.25044000000003</v>
      </c>
      <c r="K81" s="469">
        <v>343.25044000000003</v>
      </c>
      <c r="L81" s="469">
        <v>343.25044000000003</v>
      </c>
      <c r="M81" s="469">
        <v>343.25044000000003</v>
      </c>
      <c r="N81" s="469">
        <v>343.25044000000003</v>
      </c>
      <c r="O81" s="469">
        <v>343.25044000000003</v>
      </c>
      <c r="P81" s="469">
        <v>343.25044000000003</v>
      </c>
      <c r="Q81" s="469">
        <v>343.25044000000003</v>
      </c>
      <c r="R81" s="469">
        <v>343.25044000000003</v>
      </c>
      <c r="T81" s="469">
        <f t="shared" si="9"/>
        <v>343.25043999999991</v>
      </c>
    </row>
    <row r="82" spans="1:20">
      <c r="A82" s="469" t="str">
        <f t="shared" si="6"/>
        <v>KU</v>
      </c>
      <c r="B82" s="469" t="str">
        <f t="shared" si="7"/>
        <v>KY</v>
      </c>
      <c r="C82" s="469" t="str">
        <f t="shared" si="8"/>
        <v>361</v>
      </c>
      <c r="D82" s="470" t="s">
        <v>1834</v>
      </c>
      <c r="E82" s="468" t="str">
        <f t="shared" si="5"/>
        <v/>
      </c>
      <c r="F82" s="469">
        <v>12013.416149999999</v>
      </c>
      <c r="G82" s="469">
        <v>13577.416139999999</v>
      </c>
      <c r="H82" s="469">
        <v>13579.416139999999</v>
      </c>
      <c r="I82" s="469">
        <v>13579.416139999999</v>
      </c>
      <c r="J82" s="469">
        <v>13579.416139999999</v>
      </c>
      <c r="K82" s="469">
        <v>13579.416139999999</v>
      </c>
      <c r="L82" s="469">
        <v>13661.722540000001</v>
      </c>
      <c r="M82" s="469">
        <v>13661.722540000001</v>
      </c>
      <c r="N82" s="469">
        <v>13661.722540000001</v>
      </c>
      <c r="O82" s="469">
        <v>13661.722540000001</v>
      </c>
      <c r="P82" s="469">
        <v>13661.722540000001</v>
      </c>
      <c r="Q82" s="469">
        <v>13661.722540000001</v>
      </c>
      <c r="R82" s="469">
        <v>13661.722540000001</v>
      </c>
      <c r="T82" s="469">
        <f t="shared" si="9"/>
        <v>13503.119586923074</v>
      </c>
    </row>
    <row r="83" spans="1:20">
      <c r="A83" s="469" t="str">
        <f t="shared" si="6"/>
        <v>KU</v>
      </c>
      <c r="B83" s="469" t="str">
        <f t="shared" si="7"/>
        <v>TN</v>
      </c>
      <c r="C83" s="469" t="str">
        <f t="shared" si="8"/>
        <v>361</v>
      </c>
      <c r="D83" s="470" t="s">
        <v>1835</v>
      </c>
      <c r="E83" s="468" t="str">
        <f t="shared" si="5"/>
        <v/>
      </c>
      <c r="F83" s="469">
        <v>2.5758899999999998</v>
      </c>
      <c r="G83" s="469">
        <v>2.5758899999999998</v>
      </c>
      <c r="H83" s="469">
        <v>2.5758899999999998</v>
      </c>
      <c r="I83" s="469">
        <v>2.5758899999999998</v>
      </c>
      <c r="J83" s="469">
        <v>2.5758899999999998</v>
      </c>
      <c r="K83" s="469">
        <v>2.5758899999999998</v>
      </c>
      <c r="L83" s="469">
        <v>2.5758899999999998</v>
      </c>
      <c r="M83" s="469">
        <v>2.5758899999999998</v>
      </c>
      <c r="N83" s="469">
        <v>2.5758899999999998</v>
      </c>
      <c r="O83" s="469">
        <v>2.5758899999999998</v>
      </c>
      <c r="P83" s="469">
        <v>2.5758899999999998</v>
      </c>
      <c r="Q83" s="469">
        <v>2.5758899999999998</v>
      </c>
      <c r="R83" s="469">
        <v>2.5758899999999998</v>
      </c>
      <c r="T83" s="469">
        <f t="shared" si="9"/>
        <v>2.5758900000000002</v>
      </c>
    </row>
    <row r="84" spans="1:20">
      <c r="A84" s="469" t="str">
        <f t="shared" si="6"/>
        <v>KU</v>
      </c>
      <c r="B84" s="469" t="str">
        <f t="shared" si="7"/>
        <v>VA</v>
      </c>
      <c r="C84" s="469" t="str">
        <f t="shared" si="8"/>
        <v>361</v>
      </c>
      <c r="D84" s="470" t="s">
        <v>1836</v>
      </c>
      <c r="E84" s="468" t="str">
        <f t="shared" si="5"/>
        <v/>
      </c>
      <c r="F84" s="469">
        <v>493.67151999999999</v>
      </c>
      <c r="G84" s="469">
        <v>493.67151999999999</v>
      </c>
      <c r="H84" s="469">
        <v>493.67151999999999</v>
      </c>
      <c r="I84" s="469">
        <v>493.67151999999999</v>
      </c>
      <c r="J84" s="469">
        <v>493.67151999999999</v>
      </c>
      <c r="K84" s="469">
        <v>493.67151999999999</v>
      </c>
      <c r="L84" s="469">
        <v>493.67151999999999</v>
      </c>
      <c r="M84" s="469">
        <v>493.67151999999999</v>
      </c>
      <c r="N84" s="469">
        <v>493.67151999999999</v>
      </c>
      <c r="O84" s="469">
        <v>493.67151999999999</v>
      </c>
      <c r="P84" s="469">
        <v>493.67151999999999</v>
      </c>
      <c r="Q84" s="469">
        <v>493.67151999999999</v>
      </c>
      <c r="R84" s="469">
        <v>493.67151999999999</v>
      </c>
      <c r="T84" s="469">
        <f t="shared" si="9"/>
        <v>493.67151999999993</v>
      </c>
    </row>
    <row r="85" spans="1:20">
      <c r="A85" s="469" t="str">
        <f t="shared" si="6"/>
        <v>KU</v>
      </c>
      <c r="B85" s="469" t="str">
        <f t="shared" si="7"/>
        <v>KY</v>
      </c>
      <c r="C85" s="469" t="str">
        <f t="shared" si="8"/>
        <v>362</v>
      </c>
      <c r="D85" s="470" t="s">
        <v>1837</v>
      </c>
      <c r="E85" s="468" t="str">
        <f t="shared" ref="E85:E148" si="10">IF(ISTEXT(MID($D85,SEARCH("FUTURE USE",$D85),3)),"FUTURE USE",IF(ISTEXT(MID($D85,SEARCH("ECR",$D85),3)),"ECR",IF(ISTEXT(MID($D85,SEARCH("ARO",$D85),3)),"ARO",IF(ISTEXT(MID($D85,SEARCH("DSM",$D85),3)),"DSM",""))))</f>
        <v/>
      </c>
      <c r="F85" s="469">
        <v>182315.65925999999</v>
      </c>
      <c r="G85" s="469">
        <v>182210.33825999999</v>
      </c>
      <c r="H85" s="469">
        <v>182128.94125999999</v>
      </c>
      <c r="I85" s="469">
        <v>182065.70525999999</v>
      </c>
      <c r="J85" s="469">
        <v>181982.56226000001</v>
      </c>
      <c r="K85" s="469">
        <v>181922.82887</v>
      </c>
      <c r="L85" s="469">
        <v>200338.15885000001</v>
      </c>
      <c r="M85" s="469">
        <v>200286.00885000001</v>
      </c>
      <c r="N85" s="469">
        <v>200203.91485</v>
      </c>
      <c r="O85" s="469">
        <v>200123.31985</v>
      </c>
      <c r="P85" s="469">
        <v>200086.93184999999</v>
      </c>
      <c r="Q85" s="469">
        <v>199988.17984999999</v>
      </c>
      <c r="R85" s="469">
        <v>199851.67284999901</v>
      </c>
      <c r="T85" s="469">
        <f t="shared" si="9"/>
        <v>191808.01708615379</v>
      </c>
    </row>
    <row r="86" spans="1:20">
      <c r="A86" s="469" t="str">
        <f t="shared" si="6"/>
        <v>KU</v>
      </c>
      <c r="B86" s="469" t="str">
        <f t="shared" si="7"/>
        <v>TN</v>
      </c>
      <c r="C86" s="469" t="str">
        <f t="shared" si="8"/>
        <v>362</v>
      </c>
      <c r="D86" s="470" t="s">
        <v>1838</v>
      </c>
      <c r="E86" s="468" t="str">
        <f t="shared" si="10"/>
        <v/>
      </c>
      <c r="F86" s="469">
        <v>66.887249999999995</v>
      </c>
      <c r="G86" s="469">
        <v>66.887249999999995</v>
      </c>
      <c r="H86" s="469">
        <v>66.887249999999995</v>
      </c>
      <c r="I86" s="469">
        <v>66.887249999999995</v>
      </c>
      <c r="J86" s="469">
        <v>66.887249999999995</v>
      </c>
      <c r="K86" s="469">
        <v>66.887249999999995</v>
      </c>
      <c r="L86" s="469">
        <v>66.887249999999995</v>
      </c>
      <c r="M86" s="469">
        <v>66.887249999999995</v>
      </c>
      <c r="N86" s="469">
        <v>66.887249999999995</v>
      </c>
      <c r="O86" s="469">
        <v>66.887249999999995</v>
      </c>
      <c r="P86" s="469">
        <v>66.887249999999995</v>
      </c>
      <c r="Q86" s="469">
        <v>66.887249999999995</v>
      </c>
      <c r="R86" s="469">
        <v>66.887249999999995</v>
      </c>
      <c r="T86" s="469">
        <f t="shared" si="9"/>
        <v>66.887249999999995</v>
      </c>
    </row>
    <row r="87" spans="1:20">
      <c r="A87" s="469" t="str">
        <f t="shared" si="6"/>
        <v>KU</v>
      </c>
      <c r="B87" s="469" t="str">
        <f t="shared" si="7"/>
        <v>VA</v>
      </c>
      <c r="C87" s="469" t="str">
        <f t="shared" si="8"/>
        <v>362</v>
      </c>
      <c r="D87" s="470" t="s">
        <v>1839</v>
      </c>
      <c r="E87" s="468" t="str">
        <f t="shared" si="10"/>
        <v/>
      </c>
      <c r="F87" s="469">
        <v>8233.1900100000003</v>
      </c>
      <c r="G87" s="469">
        <v>8233.1900100000003</v>
      </c>
      <c r="H87" s="469">
        <v>8233.1900100000003</v>
      </c>
      <c r="I87" s="469">
        <v>8233.1900100000003</v>
      </c>
      <c r="J87" s="469">
        <v>8233.1900100000003</v>
      </c>
      <c r="K87" s="469">
        <v>8233.1900100000003</v>
      </c>
      <c r="L87" s="469">
        <v>8233.1900100000003</v>
      </c>
      <c r="M87" s="469">
        <v>8233.1900100000003</v>
      </c>
      <c r="N87" s="469">
        <v>8233.1900100000003</v>
      </c>
      <c r="O87" s="469">
        <v>8233.1900100000003</v>
      </c>
      <c r="P87" s="469">
        <v>8233.1900100000003</v>
      </c>
      <c r="Q87" s="469">
        <v>8233.1900100000003</v>
      </c>
      <c r="R87" s="469">
        <v>8233.1900100000003</v>
      </c>
      <c r="T87" s="469">
        <f t="shared" si="9"/>
        <v>8233.1900100000021</v>
      </c>
    </row>
    <row r="88" spans="1:20">
      <c r="A88" s="469" t="str">
        <f t="shared" si="6"/>
        <v>KU</v>
      </c>
      <c r="B88" s="469" t="str">
        <f t="shared" si="7"/>
        <v>KY</v>
      </c>
      <c r="C88" s="469" t="str">
        <f t="shared" si="8"/>
        <v>364</v>
      </c>
      <c r="D88" s="470" t="s">
        <v>2360</v>
      </c>
      <c r="E88" s="468" t="str">
        <f t="shared" si="10"/>
        <v>ECR</v>
      </c>
      <c r="F88" s="469">
        <v>26.531199999999998</v>
      </c>
      <c r="G88" s="469">
        <v>26.531199999999998</v>
      </c>
      <c r="H88" s="469">
        <v>26.531199999999998</v>
      </c>
      <c r="I88" s="469">
        <v>26.531199999999998</v>
      </c>
      <c r="J88" s="469">
        <v>26.531199999999998</v>
      </c>
      <c r="K88" s="469">
        <v>26.531199999999998</v>
      </c>
      <c r="L88" s="469">
        <v>26.531199999999998</v>
      </c>
      <c r="M88" s="469">
        <v>26.531199999999998</v>
      </c>
      <c r="N88" s="469">
        <v>26.531199999999998</v>
      </c>
      <c r="O88" s="469">
        <v>26.531199999999998</v>
      </c>
      <c r="P88" s="469">
        <v>26.531199999999998</v>
      </c>
      <c r="Q88" s="469">
        <v>26.531199999999998</v>
      </c>
      <c r="R88" s="469">
        <v>26.531199999999998</v>
      </c>
      <c r="T88" s="469">
        <f t="shared" si="9"/>
        <v>26.531200000000009</v>
      </c>
    </row>
    <row r="89" spans="1:20">
      <c r="A89" s="469" t="str">
        <f t="shared" si="6"/>
        <v>KU</v>
      </c>
      <c r="B89" s="469" t="str">
        <f t="shared" si="7"/>
        <v>KY</v>
      </c>
      <c r="C89" s="469" t="str">
        <f t="shared" si="8"/>
        <v>364</v>
      </c>
      <c r="D89" s="470" t="s">
        <v>1840</v>
      </c>
      <c r="E89" s="468" t="str">
        <f t="shared" si="10"/>
        <v/>
      </c>
      <c r="F89" s="469">
        <v>352319.205829999</v>
      </c>
      <c r="G89" s="469">
        <v>353274.191779999</v>
      </c>
      <c r="H89" s="469">
        <v>354317.32356999902</v>
      </c>
      <c r="I89" s="469">
        <v>355341.94862999901</v>
      </c>
      <c r="J89" s="469">
        <v>356305.106169999</v>
      </c>
      <c r="K89" s="469">
        <v>356964.58433999901</v>
      </c>
      <c r="L89" s="469">
        <v>358743.59381999902</v>
      </c>
      <c r="M89" s="469">
        <v>359532.29008999898</v>
      </c>
      <c r="N89" s="469">
        <v>360244.48069999903</v>
      </c>
      <c r="O89" s="469">
        <v>361295.94513999898</v>
      </c>
      <c r="P89" s="469">
        <v>362353.94911999902</v>
      </c>
      <c r="Q89" s="469">
        <v>363382.71433999902</v>
      </c>
      <c r="R89" s="469">
        <v>364343.64177999902</v>
      </c>
      <c r="T89" s="469">
        <f t="shared" si="9"/>
        <v>358339.92117769137</v>
      </c>
    </row>
    <row r="90" spans="1:20">
      <c r="A90" s="469" t="str">
        <f t="shared" si="6"/>
        <v>KU</v>
      </c>
      <c r="B90" s="469" t="str">
        <f t="shared" si="7"/>
        <v>TN</v>
      </c>
      <c r="C90" s="469" t="str">
        <f t="shared" si="8"/>
        <v>364</v>
      </c>
      <c r="D90" s="470" t="s">
        <v>1841</v>
      </c>
      <c r="E90" s="468" t="str">
        <f t="shared" si="10"/>
        <v/>
      </c>
      <c r="F90" s="469">
        <v>47.785559999999997</v>
      </c>
      <c r="G90" s="469">
        <v>47.785559999999997</v>
      </c>
      <c r="H90" s="469">
        <v>47.785559999999997</v>
      </c>
      <c r="I90" s="469">
        <v>47.785559999999997</v>
      </c>
      <c r="J90" s="469">
        <v>47.785559999999997</v>
      </c>
      <c r="K90" s="469">
        <v>47.785559999999997</v>
      </c>
      <c r="L90" s="469">
        <v>47.785559999999997</v>
      </c>
      <c r="M90" s="469">
        <v>47.785559999999997</v>
      </c>
      <c r="N90" s="469">
        <v>47.785559999999997</v>
      </c>
      <c r="O90" s="469">
        <v>47.785559999999997</v>
      </c>
      <c r="P90" s="469">
        <v>47.785559999999997</v>
      </c>
      <c r="Q90" s="469">
        <v>47.785559999999997</v>
      </c>
      <c r="R90" s="469">
        <v>47.785559999999997</v>
      </c>
      <c r="T90" s="469">
        <f t="shared" si="9"/>
        <v>47.785559999999997</v>
      </c>
    </row>
    <row r="91" spans="1:20">
      <c r="A91" s="469" t="str">
        <f t="shared" si="6"/>
        <v>KU</v>
      </c>
      <c r="B91" s="469" t="str">
        <f t="shared" si="7"/>
        <v>VA</v>
      </c>
      <c r="C91" s="469" t="str">
        <f t="shared" si="8"/>
        <v>364</v>
      </c>
      <c r="D91" s="470" t="s">
        <v>1842</v>
      </c>
      <c r="E91" s="468" t="str">
        <f t="shared" si="10"/>
        <v/>
      </c>
      <c r="F91" s="469">
        <v>28701.871040000002</v>
      </c>
      <c r="G91" s="469">
        <v>28730.624260000001</v>
      </c>
      <c r="H91" s="469">
        <v>28752.539390000002</v>
      </c>
      <c r="I91" s="469">
        <v>28773.876049999999</v>
      </c>
      <c r="J91" s="469">
        <v>28806.192790000001</v>
      </c>
      <c r="K91" s="469">
        <v>28819.30286</v>
      </c>
      <c r="L91" s="469">
        <v>28831.517909999999</v>
      </c>
      <c r="M91" s="469">
        <v>28853.490409999999</v>
      </c>
      <c r="N91" s="469">
        <v>28873.690559999999</v>
      </c>
      <c r="O91" s="469">
        <v>28889.090980000001</v>
      </c>
      <c r="P91" s="469">
        <v>28912.235860000001</v>
      </c>
      <c r="Q91" s="469">
        <v>28935.396280000001</v>
      </c>
      <c r="R91" s="469">
        <v>28946.369610000002</v>
      </c>
      <c r="T91" s="469">
        <f t="shared" si="9"/>
        <v>28832.78446153846</v>
      </c>
    </row>
    <row r="92" spans="1:20">
      <c r="A92" s="469" t="str">
        <f t="shared" si="6"/>
        <v>KU</v>
      </c>
      <c r="B92" s="469" t="str">
        <f t="shared" si="7"/>
        <v>KY</v>
      </c>
      <c r="C92" s="469" t="str">
        <f t="shared" si="8"/>
        <v>365</v>
      </c>
      <c r="D92" s="470" t="s">
        <v>2361</v>
      </c>
      <c r="E92" s="468" t="str">
        <f t="shared" si="10"/>
        <v>ECR</v>
      </c>
      <c r="F92" s="469">
        <v>23.599409999999999</v>
      </c>
      <c r="G92" s="469">
        <v>23.599409999999999</v>
      </c>
      <c r="H92" s="469">
        <v>23.599409999999999</v>
      </c>
      <c r="I92" s="469">
        <v>23.599409999999999</v>
      </c>
      <c r="J92" s="469">
        <v>23.599409999999999</v>
      </c>
      <c r="K92" s="469">
        <v>23.599409999999999</v>
      </c>
      <c r="L92" s="469">
        <v>23.599409999999999</v>
      </c>
      <c r="M92" s="469">
        <v>23.599409999999999</v>
      </c>
      <c r="N92" s="469">
        <v>23.599409999999999</v>
      </c>
      <c r="O92" s="469">
        <v>23.599409999999999</v>
      </c>
      <c r="P92" s="469">
        <v>23.599409999999999</v>
      </c>
      <c r="Q92" s="469">
        <v>23.599409999999999</v>
      </c>
      <c r="R92" s="469">
        <v>23.599409999999999</v>
      </c>
      <c r="T92" s="469">
        <f t="shared" si="9"/>
        <v>23.599409999999999</v>
      </c>
    </row>
    <row r="93" spans="1:20">
      <c r="A93" s="469" t="str">
        <f t="shared" si="6"/>
        <v>KU</v>
      </c>
      <c r="B93" s="469" t="str">
        <f t="shared" si="7"/>
        <v>KY</v>
      </c>
      <c r="C93" s="469" t="str">
        <f t="shared" si="8"/>
        <v>365</v>
      </c>
      <c r="D93" s="470" t="s">
        <v>1843</v>
      </c>
      <c r="E93" s="468" t="str">
        <f t="shared" si="10"/>
        <v/>
      </c>
      <c r="F93" s="469">
        <v>349262.34758999897</v>
      </c>
      <c r="G93" s="469">
        <v>350624.062069999</v>
      </c>
      <c r="H93" s="469">
        <v>352358.41098999901</v>
      </c>
      <c r="I93" s="469">
        <v>353803.78752999898</v>
      </c>
      <c r="J93" s="469">
        <v>355174.88957999903</v>
      </c>
      <c r="K93" s="469">
        <v>356581.63097999903</v>
      </c>
      <c r="L93" s="469">
        <v>358798.084139999</v>
      </c>
      <c r="M93" s="469">
        <v>360562.69981999899</v>
      </c>
      <c r="N93" s="469">
        <v>362035.06433999899</v>
      </c>
      <c r="O93" s="469">
        <v>363701.19568999897</v>
      </c>
      <c r="P93" s="469">
        <v>365365.557269999</v>
      </c>
      <c r="Q93" s="469">
        <v>367204.65412999899</v>
      </c>
      <c r="R93" s="469">
        <v>368593.346469999</v>
      </c>
      <c r="T93" s="469">
        <f t="shared" si="9"/>
        <v>358774.28696922981</v>
      </c>
    </row>
    <row r="94" spans="1:20">
      <c r="A94" s="469" t="str">
        <f t="shared" si="6"/>
        <v>KU</v>
      </c>
      <c r="B94" s="469" t="str">
        <f t="shared" si="7"/>
        <v>TN</v>
      </c>
      <c r="C94" s="469" t="str">
        <f t="shared" si="8"/>
        <v>365</v>
      </c>
      <c r="D94" s="470" t="s">
        <v>1844</v>
      </c>
      <c r="E94" s="468" t="str">
        <f t="shared" si="10"/>
        <v/>
      </c>
      <c r="F94" s="469">
        <v>46.763219999999997</v>
      </c>
      <c r="G94" s="469">
        <v>46.763219999999997</v>
      </c>
      <c r="H94" s="469">
        <v>46.763219999999997</v>
      </c>
      <c r="I94" s="469">
        <v>46.763219999999997</v>
      </c>
      <c r="J94" s="469">
        <v>46.763219999999997</v>
      </c>
      <c r="K94" s="469">
        <v>46.763219999999997</v>
      </c>
      <c r="L94" s="469">
        <v>46.763219999999997</v>
      </c>
      <c r="M94" s="469">
        <v>46.763219999999997</v>
      </c>
      <c r="N94" s="469">
        <v>46.763219999999997</v>
      </c>
      <c r="O94" s="469">
        <v>46.763219999999997</v>
      </c>
      <c r="P94" s="469">
        <v>46.763219999999997</v>
      </c>
      <c r="Q94" s="469">
        <v>46.763219999999997</v>
      </c>
      <c r="R94" s="469">
        <v>46.763219999999997</v>
      </c>
      <c r="T94" s="469">
        <f t="shared" si="9"/>
        <v>46.763220000000004</v>
      </c>
    </row>
    <row r="95" spans="1:20">
      <c r="A95" s="469" t="str">
        <f t="shared" si="6"/>
        <v>KU</v>
      </c>
      <c r="B95" s="469" t="str">
        <f t="shared" si="7"/>
        <v>VA</v>
      </c>
      <c r="C95" s="469" t="str">
        <f t="shared" si="8"/>
        <v>365</v>
      </c>
      <c r="D95" s="470" t="s">
        <v>1845</v>
      </c>
      <c r="E95" s="468" t="str">
        <f t="shared" si="10"/>
        <v/>
      </c>
      <c r="F95" s="469">
        <v>26537.120439999999</v>
      </c>
      <c r="G95" s="469">
        <v>26669.160790000002</v>
      </c>
      <c r="H95" s="469">
        <v>26827.381259999998</v>
      </c>
      <c r="I95" s="469">
        <v>26978.006369999999</v>
      </c>
      <c r="J95" s="469">
        <v>27140.885030000001</v>
      </c>
      <c r="K95" s="469">
        <v>27287.7336</v>
      </c>
      <c r="L95" s="469">
        <v>27400.71544</v>
      </c>
      <c r="M95" s="469">
        <v>27552.65136</v>
      </c>
      <c r="N95" s="469">
        <v>27698.855039999999</v>
      </c>
      <c r="O95" s="469">
        <v>27853.8799699999</v>
      </c>
      <c r="P95" s="469">
        <v>27988.699999999899</v>
      </c>
      <c r="Q95" s="469">
        <v>28160.872169999999</v>
      </c>
      <c r="R95" s="469">
        <v>28304.447469999999</v>
      </c>
      <c r="T95" s="469">
        <f t="shared" si="9"/>
        <v>27415.416072307678</v>
      </c>
    </row>
    <row r="96" spans="1:20">
      <c r="A96" s="469" t="str">
        <f t="shared" si="6"/>
        <v>KU</v>
      </c>
      <c r="B96" s="469" t="str">
        <f t="shared" si="7"/>
        <v>KY</v>
      </c>
      <c r="C96" s="469" t="str">
        <f t="shared" si="8"/>
        <v>366</v>
      </c>
      <c r="D96" s="470" t="s">
        <v>2362</v>
      </c>
      <c r="E96" s="468" t="str">
        <f t="shared" si="10"/>
        <v>ECR</v>
      </c>
      <c r="F96" s="469">
        <v>171.00252</v>
      </c>
      <c r="G96" s="469">
        <v>171.00252</v>
      </c>
      <c r="H96" s="469">
        <v>171.00252</v>
      </c>
      <c r="I96" s="469">
        <v>171.00252</v>
      </c>
      <c r="J96" s="469">
        <v>171.00252</v>
      </c>
      <c r="K96" s="469">
        <v>171.00252</v>
      </c>
      <c r="L96" s="469">
        <v>171.00252</v>
      </c>
      <c r="M96" s="469">
        <v>171.00252</v>
      </c>
      <c r="N96" s="469">
        <v>171.00252</v>
      </c>
      <c r="O96" s="469">
        <v>171.00252</v>
      </c>
      <c r="P96" s="469">
        <v>171.00252</v>
      </c>
      <c r="Q96" s="469">
        <v>171.00252</v>
      </c>
      <c r="R96" s="469">
        <v>171.00252</v>
      </c>
      <c r="T96" s="469">
        <f t="shared" si="9"/>
        <v>171.00252</v>
      </c>
    </row>
    <row r="97" spans="1:20">
      <c r="A97" s="469" t="str">
        <f t="shared" si="6"/>
        <v>KU</v>
      </c>
      <c r="B97" s="469" t="str">
        <f t="shared" si="7"/>
        <v>KY</v>
      </c>
      <c r="C97" s="469" t="str">
        <f t="shared" si="8"/>
        <v>366</v>
      </c>
      <c r="D97" s="470" t="s">
        <v>1846</v>
      </c>
      <c r="E97" s="468" t="str">
        <f t="shared" si="10"/>
        <v/>
      </c>
      <c r="F97" s="469">
        <v>2210.2251499999902</v>
      </c>
      <c r="G97" s="469">
        <v>2210.2251499999902</v>
      </c>
      <c r="H97" s="469">
        <v>2210.2251499999902</v>
      </c>
      <c r="I97" s="469">
        <v>2210.2251499999902</v>
      </c>
      <c r="J97" s="469">
        <v>2210.2251499999902</v>
      </c>
      <c r="K97" s="469">
        <v>2210.2251499999902</v>
      </c>
      <c r="L97" s="469">
        <v>2210.2251499999902</v>
      </c>
      <c r="M97" s="469">
        <v>2210.2251499999902</v>
      </c>
      <c r="N97" s="469">
        <v>2210.2251499999902</v>
      </c>
      <c r="O97" s="469">
        <v>2210.2251499999902</v>
      </c>
      <c r="P97" s="469">
        <v>2210.2251499999902</v>
      </c>
      <c r="Q97" s="469">
        <v>2210.2251499999902</v>
      </c>
      <c r="R97" s="469">
        <v>2210.2251499999902</v>
      </c>
      <c r="T97" s="469">
        <f t="shared" si="9"/>
        <v>2210.2251499999907</v>
      </c>
    </row>
    <row r="98" spans="1:20">
      <c r="A98" s="469" t="str">
        <f t="shared" si="6"/>
        <v>KU</v>
      </c>
      <c r="B98" s="469" t="str">
        <f t="shared" si="7"/>
        <v>KY</v>
      </c>
      <c r="C98" s="469" t="str">
        <f t="shared" si="8"/>
        <v>367</v>
      </c>
      <c r="D98" s="470" t="s">
        <v>2363</v>
      </c>
      <c r="E98" s="468" t="str">
        <f t="shared" si="10"/>
        <v>ECR</v>
      </c>
      <c r="F98" s="469">
        <v>1326.11537</v>
      </c>
      <c r="G98" s="469">
        <v>1326.11537</v>
      </c>
      <c r="H98" s="469">
        <v>1326.11537</v>
      </c>
      <c r="I98" s="469">
        <v>1326.11537</v>
      </c>
      <c r="J98" s="469">
        <v>1326.11537</v>
      </c>
      <c r="K98" s="469">
        <v>1326.11537</v>
      </c>
      <c r="L98" s="469">
        <v>1326.11537</v>
      </c>
      <c r="M98" s="469">
        <v>1326.11537</v>
      </c>
      <c r="N98" s="469">
        <v>1326.11537</v>
      </c>
      <c r="O98" s="469">
        <v>1326.11537</v>
      </c>
      <c r="P98" s="469">
        <v>1326.11537</v>
      </c>
      <c r="Q98" s="469">
        <v>1326.11537</v>
      </c>
      <c r="R98" s="469">
        <v>1326.11537</v>
      </c>
      <c r="T98" s="469">
        <f t="shared" si="9"/>
        <v>1326.1153699999998</v>
      </c>
    </row>
    <row r="99" spans="1:20">
      <c r="A99" s="469" t="str">
        <f t="shared" si="6"/>
        <v>KU</v>
      </c>
      <c r="B99" s="469" t="str">
        <f t="shared" si="7"/>
        <v>KY</v>
      </c>
      <c r="C99" s="469" t="str">
        <f t="shared" si="8"/>
        <v>367</v>
      </c>
      <c r="D99" s="470" t="s">
        <v>1847</v>
      </c>
      <c r="E99" s="468" t="str">
        <f t="shared" si="10"/>
        <v/>
      </c>
      <c r="F99" s="469">
        <v>191377.95087</v>
      </c>
      <c r="G99" s="469">
        <v>192505.78458000001</v>
      </c>
      <c r="H99" s="469">
        <v>193949.88631999999</v>
      </c>
      <c r="I99" s="469">
        <v>195163.45839000001</v>
      </c>
      <c r="J99" s="469">
        <v>196434.93781999999</v>
      </c>
      <c r="K99" s="469">
        <v>197572.42311</v>
      </c>
      <c r="L99" s="469">
        <v>198506.33554999999</v>
      </c>
      <c r="M99" s="469">
        <v>199838.15225000001</v>
      </c>
      <c r="N99" s="469">
        <v>200953.56406999999</v>
      </c>
      <c r="O99" s="469">
        <v>202269.24844</v>
      </c>
      <c r="P99" s="469">
        <v>203444.19352999999</v>
      </c>
      <c r="Q99" s="469">
        <v>204793.42431</v>
      </c>
      <c r="R99" s="469">
        <v>206012.93703999999</v>
      </c>
      <c r="T99" s="469">
        <f t="shared" si="9"/>
        <v>198678.63817538464</v>
      </c>
    </row>
    <row r="100" spans="1:20">
      <c r="A100" s="469" t="str">
        <f t="shared" si="6"/>
        <v>KU</v>
      </c>
      <c r="B100" s="469" t="str">
        <f t="shared" si="7"/>
        <v>VA</v>
      </c>
      <c r="C100" s="469" t="str">
        <f t="shared" si="8"/>
        <v>367</v>
      </c>
      <c r="D100" s="470" t="s">
        <v>1848</v>
      </c>
      <c r="E100" s="468" t="str">
        <f t="shared" si="10"/>
        <v/>
      </c>
      <c r="F100" s="469">
        <v>5355.9052700000002</v>
      </c>
      <c r="G100" s="469">
        <v>5394.7053999999998</v>
      </c>
      <c r="H100" s="469">
        <v>5427.8805499999999</v>
      </c>
      <c r="I100" s="469">
        <v>5472.8557099999998</v>
      </c>
      <c r="J100" s="469">
        <v>5506.8508599999996</v>
      </c>
      <c r="K100" s="469">
        <v>5534.9959699999999</v>
      </c>
      <c r="L100" s="469">
        <v>5560.5710600000002</v>
      </c>
      <c r="M100" s="469">
        <v>5610.6457899999996</v>
      </c>
      <c r="N100" s="469">
        <v>5643.6451100000004</v>
      </c>
      <c r="O100" s="469">
        <v>5680.3838599999999</v>
      </c>
      <c r="P100" s="469">
        <v>5718.9505300000001</v>
      </c>
      <c r="Q100" s="469">
        <v>5758.9363599999997</v>
      </c>
      <c r="R100" s="469">
        <v>5799.4827699999996</v>
      </c>
      <c r="T100" s="469">
        <f t="shared" si="9"/>
        <v>5574.2930184615388</v>
      </c>
    </row>
    <row r="101" spans="1:20">
      <c r="A101" s="469" t="str">
        <f t="shared" si="6"/>
        <v>KU</v>
      </c>
      <c r="B101" s="469" t="str">
        <f t="shared" si="7"/>
        <v>KY</v>
      </c>
      <c r="C101" s="469" t="str">
        <f t="shared" si="8"/>
        <v>368</v>
      </c>
      <c r="D101" s="470" t="s">
        <v>1849</v>
      </c>
      <c r="E101" s="468" t="str">
        <f t="shared" si="10"/>
        <v/>
      </c>
      <c r="F101" s="469">
        <v>304986.83052999899</v>
      </c>
      <c r="G101" s="469">
        <v>305575.489089999</v>
      </c>
      <c r="H101" s="469">
        <v>306212.15508999903</v>
      </c>
      <c r="I101" s="469">
        <v>306930.94156999898</v>
      </c>
      <c r="J101" s="469">
        <v>307892.21194999898</v>
      </c>
      <c r="K101" s="469">
        <v>308723.33803999901</v>
      </c>
      <c r="L101" s="469">
        <v>309559.357599999</v>
      </c>
      <c r="M101" s="469">
        <v>309822.86303999898</v>
      </c>
      <c r="N101" s="469">
        <v>310455.65359999897</v>
      </c>
      <c r="O101" s="469">
        <v>310986.97882999899</v>
      </c>
      <c r="P101" s="469">
        <v>311564.255999999</v>
      </c>
      <c r="Q101" s="469">
        <v>312234.79422999901</v>
      </c>
      <c r="R101" s="469">
        <v>312848.71397999901</v>
      </c>
      <c r="T101" s="469">
        <f t="shared" si="9"/>
        <v>309061.04488846048</v>
      </c>
    </row>
    <row r="102" spans="1:20">
      <c r="A102" s="469" t="str">
        <f t="shared" si="6"/>
        <v>KU</v>
      </c>
      <c r="B102" s="469" t="str">
        <f t="shared" si="7"/>
        <v>TN</v>
      </c>
      <c r="C102" s="469" t="str">
        <f t="shared" si="8"/>
        <v>368</v>
      </c>
      <c r="D102" s="470" t="s">
        <v>1850</v>
      </c>
      <c r="E102" s="468" t="str">
        <f t="shared" si="10"/>
        <v/>
      </c>
      <c r="F102" s="469">
        <v>3.1182799999999999</v>
      </c>
      <c r="G102" s="469">
        <v>3.1182799999999999</v>
      </c>
      <c r="H102" s="469">
        <v>3.1182799999999999</v>
      </c>
      <c r="I102" s="469">
        <v>3.1182799999999999</v>
      </c>
      <c r="J102" s="469">
        <v>3.1182799999999999</v>
      </c>
      <c r="K102" s="469">
        <v>3.1182799999999999</v>
      </c>
      <c r="L102" s="469">
        <v>3.1182799999999999</v>
      </c>
      <c r="M102" s="469">
        <v>3.1182799999999999</v>
      </c>
      <c r="N102" s="469">
        <v>3.1182799999999999</v>
      </c>
      <c r="O102" s="469">
        <v>3.1182799999999999</v>
      </c>
      <c r="P102" s="469">
        <v>3.1182799999999999</v>
      </c>
      <c r="Q102" s="469">
        <v>3.1182799999999999</v>
      </c>
      <c r="R102" s="469">
        <v>3.1182799999999999</v>
      </c>
      <c r="T102" s="469">
        <f t="shared" si="9"/>
        <v>3.1182799999999991</v>
      </c>
    </row>
    <row r="103" spans="1:20">
      <c r="A103" s="469" t="str">
        <f t="shared" si="6"/>
        <v>KU</v>
      </c>
      <c r="B103" s="469" t="str">
        <f t="shared" si="7"/>
        <v>VA</v>
      </c>
      <c r="C103" s="469" t="str">
        <f t="shared" si="8"/>
        <v>368</v>
      </c>
      <c r="D103" s="470" t="s">
        <v>1851</v>
      </c>
      <c r="E103" s="468" t="str">
        <f t="shared" si="10"/>
        <v/>
      </c>
      <c r="F103" s="469">
        <v>12723.14867</v>
      </c>
      <c r="G103" s="469">
        <v>12723.14867</v>
      </c>
      <c r="H103" s="469">
        <v>12723.14867</v>
      </c>
      <c r="I103" s="469">
        <v>12723.14867</v>
      </c>
      <c r="J103" s="469">
        <v>12723.14867</v>
      </c>
      <c r="K103" s="469">
        <v>12723.14867</v>
      </c>
      <c r="L103" s="469">
        <v>12723.14867</v>
      </c>
      <c r="M103" s="469">
        <v>12723.14867</v>
      </c>
      <c r="N103" s="469">
        <v>12723.14867</v>
      </c>
      <c r="O103" s="469">
        <v>12723.14867</v>
      </c>
      <c r="P103" s="469">
        <v>12723.14867</v>
      </c>
      <c r="Q103" s="469">
        <v>12723.14867</v>
      </c>
      <c r="R103" s="469">
        <v>12723.14867</v>
      </c>
      <c r="T103" s="469">
        <f t="shared" si="9"/>
        <v>12723.148669999997</v>
      </c>
    </row>
    <row r="104" spans="1:20">
      <c r="A104" s="469" t="str">
        <f t="shared" si="6"/>
        <v>KU</v>
      </c>
      <c r="B104" s="469" t="str">
        <f t="shared" si="7"/>
        <v>KY</v>
      </c>
      <c r="C104" s="469" t="str">
        <f t="shared" si="8"/>
        <v>369</v>
      </c>
      <c r="D104" s="470" t="s">
        <v>1852</v>
      </c>
      <c r="E104" s="468" t="str">
        <f t="shared" si="10"/>
        <v/>
      </c>
      <c r="F104" s="469">
        <v>97262.576699999903</v>
      </c>
      <c r="G104" s="469">
        <v>97262.576699999903</v>
      </c>
      <c r="H104" s="469">
        <v>97262.576699999903</v>
      </c>
      <c r="I104" s="469">
        <v>97262.576699999903</v>
      </c>
      <c r="J104" s="469">
        <v>97262.576699999903</v>
      </c>
      <c r="K104" s="469">
        <v>97262.576699999903</v>
      </c>
      <c r="L104" s="469">
        <v>97262.576699999903</v>
      </c>
      <c r="M104" s="469">
        <v>97262.576699999903</v>
      </c>
      <c r="N104" s="469">
        <v>97262.576699999903</v>
      </c>
      <c r="O104" s="469">
        <v>97262.576699999903</v>
      </c>
      <c r="P104" s="469">
        <v>97262.576699999903</v>
      </c>
      <c r="Q104" s="469">
        <v>97262.576699999903</v>
      </c>
      <c r="R104" s="469">
        <v>97262.576699999903</v>
      </c>
      <c r="T104" s="469">
        <f t="shared" si="9"/>
        <v>97262.576699999874</v>
      </c>
    </row>
    <row r="105" spans="1:20">
      <c r="A105" s="469" t="str">
        <f t="shared" si="6"/>
        <v>KU</v>
      </c>
      <c r="B105" s="469" t="str">
        <f t="shared" si="7"/>
        <v>TN</v>
      </c>
      <c r="C105" s="469" t="str">
        <f t="shared" si="8"/>
        <v>369</v>
      </c>
      <c r="D105" s="470" t="s">
        <v>1853</v>
      </c>
      <c r="E105" s="468" t="str">
        <f t="shared" si="10"/>
        <v/>
      </c>
      <c r="F105" s="469">
        <v>0.25462000000000001</v>
      </c>
      <c r="G105" s="469">
        <v>0.25462000000000001</v>
      </c>
      <c r="H105" s="469">
        <v>0.25462000000000001</v>
      </c>
      <c r="I105" s="469">
        <v>0.25462000000000001</v>
      </c>
      <c r="J105" s="469">
        <v>0.25462000000000001</v>
      </c>
      <c r="K105" s="469">
        <v>0.25462000000000001</v>
      </c>
      <c r="L105" s="469">
        <v>0.25462000000000001</v>
      </c>
      <c r="M105" s="469">
        <v>0.25462000000000001</v>
      </c>
      <c r="N105" s="469">
        <v>0.25462000000000001</v>
      </c>
      <c r="O105" s="469">
        <v>0.25462000000000001</v>
      </c>
      <c r="P105" s="469">
        <v>0.25462000000000001</v>
      </c>
      <c r="Q105" s="469">
        <v>0.25462000000000001</v>
      </c>
      <c r="R105" s="469">
        <v>0.25462000000000001</v>
      </c>
      <c r="T105" s="469">
        <f t="shared" si="9"/>
        <v>0.25462000000000001</v>
      </c>
    </row>
    <row r="106" spans="1:20">
      <c r="A106" s="469" t="str">
        <f t="shared" si="6"/>
        <v>KU</v>
      </c>
      <c r="B106" s="469" t="str">
        <f t="shared" si="7"/>
        <v>VA</v>
      </c>
      <c r="C106" s="469" t="str">
        <f t="shared" si="8"/>
        <v>369</v>
      </c>
      <c r="D106" s="470" t="s">
        <v>1854</v>
      </c>
      <c r="E106" s="468" t="str">
        <f t="shared" si="10"/>
        <v/>
      </c>
      <c r="F106" s="469">
        <v>5498.9874099999997</v>
      </c>
      <c r="G106" s="469">
        <v>5498.9874099999997</v>
      </c>
      <c r="H106" s="469">
        <v>5498.9874099999997</v>
      </c>
      <c r="I106" s="469">
        <v>5498.9874099999997</v>
      </c>
      <c r="J106" s="469">
        <v>5498.9874099999997</v>
      </c>
      <c r="K106" s="469">
        <v>5498.9874099999997</v>
      </c>
      <c r="L106" s="469">
        <v>5498.9874099999997</v>
      </c>
      <c r="M106" s="469">
        <v>5498.9874099999997</v>
      </c>
      <c r="N106" s="469">
        <v>5498.9874099999997</v>
      </c>
      <c r="O106" s="469">
        <v>5498.9874099999997</v>
      </c>
      <c r="P106" s="469">
        <v>5498.9874099999997</v>
      </c>
      <c r="Q106" s="469">
        <v>5498.9874099999997</v>
      </c>
      <c r="R106" s="469">
        <v>5498.9874099999997</v>
      </c>
      <c r="T106" s="469">
        <f t="shared" si="9"/>
        <v>5498.9874100000006</v>
      </c>
    </row>
    <row r="107" spans="1:20">
      <c r="A107" s="469" t="str">
        <f t="shared" si="6"/>
        <v>KU</v>
      </c>
      <c r="B107" s="469" t="str">
        <f t="shared" si="7"/>
        <v>KY</v>
      </c>
      <c r="C107" s="469" t="str">
        <f t="shared" si="8"/>
        <v>370</v>
      </c>
      <c r="D107" s="470" t="s">
        <v>1855</v>
      </c>
      <c r="E107" s="468" t="str">
        <f t="shared" si="10"/>
        <v/>
      </c>
      <c r="F107" s="469">
        <v>74932.43879</v>
      </c>
      <c r="G107" s="469">
        <v>75013.414709999997</v>
      </c>
      <c r="H107" s="469">
        <v>75124.42628</v>
      </c>
      <c r="I107" s="469">
        <v>75192.981780000002</v>
      </c>
      <c r="J107" s="469">
        <v>78483.107229999994</v>
      </c>
      <c r="K107" s="469">
        <v>81784.579859999998</v>
      </c>
      <c r="L107" s="469">
        <v>85036.295360000004</v>
      </c>
      <c r="M107" s="469">
        <v>86803.248869999996</v>
      </c>
      <c r="N107" s="469">
        <v>88720.365330000001</v>
      </c>
      <c r="O107" s="469">
        <v>90851.244349999994</v>
      </c>
      <c r="P107" s="469">
        <v>90655.778539999999</v>
      </c>
      <c r="Q107" s="469">
        <v>90762.659</v>
      </c>
      <c r="R107" s="469">
        <v>90178.543340000004</v>
      </c>
      <c r="T107" s="469">
        <f t="shared" si="9"/>
        <v>83349.160264615377</v>
      </c>
    </row>
    <row r="108" spans="1:20">
      <c r="A108" s="469" t="str">
        <f t="shared" si="6"/>
        <v>KU</v>
      </c>
      <c r="B108" s="469" t="str">
        <f t="shared" si="7"/>
        <v>TN</v>
      </c>
      <c r="C108" s="469" t="str">
        <f t="shared" si="8"/>
        <v>370</v>
      </c>
      <c r="D108" s="470" t="s">
        <v>1856</v>
      </c>
      <c r="E108" s="468" t="str">
        <f t="shared" si="10"/>
        <v/>
      </c>
      <c r="F108" s="469">
        <v>4.1992099999999999</v>
      </c>
      <c r="G108" s="469">
        <v>4.1992099999999999</v>
      </c>
      <c r="H108" s="469">
        <v>4.1992099999999999</v>
      </c>
      <c r="I108" s="469">
        <v>4.1992099999999999</v>
      </c>
      <c r="J108" s="469">
        <v>4.1992099999999999</v>
      </c>
      <c r="K108" s="469">
        <v>4.1992099999999999</v>
      </c>
      <c r="L108" s="469">
        <v>4.1992099999999999</v>
      </c>
      <c r="M108" s="469">
        <v>4.1992099999999999</v>
      </c>
      <c r="N108" s="469">
        <v>4.1992099999999999</v>
      </c>
      <c r="O108" s="469">
        <v>4.1992099999999999</v>
      </c>
      <c r="P108" s="469">
        <v>4.1992099999999999</v>
      </c>
      <c r="Q108" s="469">
        <v>4.1992099999999999</v>
      </c>
      <c r="R108" s="469">
        <v>4.1992099999999999</v>
      </c>
      <c r="T108" s="469">
        <f t="shared" si="9"/>
        <v>4.1992099999999999</v>
      </c>
    </row>
    <row r="109" spans="1:20">
      <c r="A109" s="469" t="str">
        <f t="shared" si="6"/>
        <v>KU</v>
      </c>
      <c r="B109" s="469" t="str">
        <f t="shared" si="7"/>
        <v>VA</v>
      </c>
      <c r="C109" s="469" t="str">
        <f t="shared" si="8"/>
        <v>370</v>
      </c>
      <c r="D109" s="470" t="s">
        <v>1857</v>
      </c>
      <c r="E109" s="468" t="str">
        <f t="shared" si="10"/>
        <v/>
      </c>
      <c r="F109" s="469">
        <v>3938.0738000000001</v>
      </c>
      <c r="G109" s="469">
        <v>3938.0738000000001</v>
      </c>
      <c r="H109" s="469">
        <v>3938.0738000000001</v>
      </c>
      <c r="I109" s="469">
        <v>3938.0738000000001</v>
      </c>
      <c r="J109" s="469">
        <v>3938.0738000000001</v>
      </c>
      <c r="K109" s="469">
        <v>3938.0738000000001</v>
      </c>
      <c r="L109" s="469">
        <v>3938.0738000000001</v>
      </c>
      <c r="M109" s="469">
        <v>3938.0738000000001</v>
      </c>
      <c r="N109" s="469">
        <v>3938.0738000000001</v>
      </c>
      <c r="O109" s="469">
        <v>3938.0738000000001</v>
      </c>
      <c r="P109" s="469">
        <v>3938.0738000000001</v>
      </c>
      <c r="Q109" s="469">
        <v>3938.0738000000001</v>
      </c>
      <c r="R109" s="469">
        <v>3938.0738000000001</v>
      </c>
      <c r="T109" s="469">
        <f t="shared" si="9"/>
        <v>3938.0737999999988</v>
      </c>
    </row>
    <row r="110" spans="1:20">
      <c r="A110" s="469" t="str">
        <f t="shared" si="6"/>
        <v>KU</v>
      </c>
      <c r="B110" s="469" t="str">
        <f t="shared" si="7"/>
        <v>KY</v>
      </c>
      <c r="C110" s="469" t="str">
        <f t="shared" si="8"/>
        <v>371</v>
      </c>
      <c r="D110" s="470" t="s">
        <v>1858</v>
      </c>
      <c r="E110" s="468" t="str">
        <f t="shared" si="10"/>
        <v/>
      </c>
      <c r="F110" s="469">
        <v>237.04222999999999</v>
      </c>
      <c r="G110" s="469">
        <v>244.9589</v>
      </c>
      <c r="H110" s="469">
        <v>252.87557000000001</v>
      </c>
      <c r="I110" s="469">
        <v>260.79223999999999</v>
      </c>
      <c r="J110" s="469">
        <v>268.70891</v>
      </c>
      <c r="K110" s="469">
        <v>276.62558000000001</v>
      </c>
      <c r="L110" s="469">
        <v>284.54225000000002</v>
      </c>
      <c r="M110" s="469">
        <v>291.37558000000001</v>
      </c>
      <c r="N110" s="469">
        <v>298.20891</v>
      </c>
      <c r="O110" s="469">
        <v>305.04223999999999</v>
      </c>
      <c r="P110" s="469">
        <v>311.87556999999998</v>
      </c>
      <c r="Q110" s="469">
        <v>318.70890000000003</v>
      </c>
      <c r="R110" s="469">
        <v>325.54223000000002</v>
      </c>
      <c r="T110" s="469">
        <f t="shared" si="9"/>
        <v>282.79223923076927</v>
      </c>
    </row>
    <row r="111" spans="1:20">
      <c r="A111" s="469" t="str">
        <f t="shared" si="6"/>
        <v>KU</v>
      </c>
      <c r="B111" s="469" t="str">
        <f t="shared" si="7"/>
        <v>VA</v>
      </c>
      <c r="C111" s="469" t="str">
        <f t="shared" si="8"/>
        <v>371</v>
      </c>
      <c r="D111" s="470" t="s">
        <v>1859</v>
      </c>
      <c r="E111" s="468" t="str">
        <f t="shared" si="10"/>
        <v/>
      </c>
      <c r="F111" s="469">
        <v>0</v>
      </c>
      <c r="G111" s="469">
        <v>0</v>
      </c>
      <c r="H111" s="469">
        <v>0</v>
      </c>
      <c r="I111" s="469">
        <v>0</v>
      </c>
      <c r="J111" s="469">
        <v>0</v>
      </c>
      <c r="K111" s="469">
        <v>0</v>
      </c>
      <c r="L111" s="469">
        <v>0</v>
      </c>
      <c r="M111" s="469">
        <v>0</v>
      </c>
      <c r="N111" s="469">
        <v>0</v>
      </c>
      <c r="O111" s="469">
        <v>0</v>
      </c>
      <c r="P111" s="469">
        <v>0</v>
      </c>
      <c r="Q111" s="469">
        <v>0</v>
      </c>
      <c r="R111" s="469">
        <v>0</v>
      </c>
      <c r="T111" s="469">
        <f t="shared" si="9"/>
        <v>0</v>
      </c>
    </row>
    <row r="112" spans="1:20">
      <c r="A112" s="469" t="str">
        <f t="shared" si="6"/>
        <v>KU</v>
      </c>
      <c r="B112" s="469" t="str">
        <f t="shared" si="7"/>
        <v>KY</v>
      </c>
      <c r="C112" s="469" t="str">
        <f t="shared" si="8"/>
        <v>373</v>
      </c>
      <c r="D112" s="470" t="s">
        <v>1860</v>
      </c>
      <c r="E112" s="468" t="str">
        <f t="shared" si="10"/>
        <v/>
      </c>
      <c r="F112" s="469">
        <v>112917.4121</v>
      </c>
      <c r="G112" s="469">
        <v>113138.55907</v>
      </c>
      <c r="H112" s="469">
        <v>113475.21528</v>
      </c>
      <c r="I112" s="469">
        <v>113851.18783</v>
      </c>
      <c r="J112" s="469">
        <v>114191.79818</v>
      </c>
      <c r="K112" s="469">
        <v>114604.52116</v>
      </c>
      <c r="L112" s="469">
        <v>114620.90309000001</v>
      </c>
      <c r="M112" s="469">
        <v>115107.02232</v>
      </c>
      <c r="N112" s="469">
        <v>115452.87907</v>
      </c>
      <c r="O112" s="469">
        <v>115821.50423000001</v>
      </c>
      <c r="P112" s="469">
        <v>116246.67053</v>
      </c>
      <c r="Q112" s="469">
        <v>116566.12115000001</v>
      </c>
      <c r="R112" s="469">
        <v>116767.59689</v>
      </c>
      <c r="T112" s="469">
        <f t="shared" si="9"/>
        <v>114827.7993</v>
      </c>
    </row>
    <row r="113" spans="1:20">
      <c r="A113" s="469" t="str">
        <f t="shared" si="6"/>
        <v>KU</v>
      </c>
      <c r="B113" s="469" t="str">
        <f t="shared" si="7"/>
        <v>VA</v>
      </c>
      <c r="C113" s="469" t="str">
        <f t="shared" si="8"/>
        <v>373</v>
      </c>
      <c r="D113" s="470" t="s">
        <v>1861</v>
      </c>
      <c r="E113" s="468" t="str">
        <f t="shared" si="10"/>
        <v/>
      </c>
      <c r="F113" s="469">
        <v>3795.2988599999999</v>
      </c>
      <c r="G113" s="469">
        <v>3811.2189399999902</v>
      </c>
      <c r="H113" s="469">
        <v>3830.7090399999902</v>
      </c>
      <c r="I113" s="469">
        <v>3849.6291199999901</v>
      </c>
      <c r="J113" s="469">
        <v>3869.11921999999</v>
      </c>
      <c r="K113" s="469">
        <v>3886.3642999999902</v>
      </c>
      <c r="L113" s="469">
        <v>3899.8593599999999</v>
      </c>
      <c r="M113" s="469">
        <v>3918.21686</v>
      </c>
      <c r="N113" s="469">
        <v>3932.86519</v>
      </c>
      <c r="O113" s="469">
        <v>3950.1206099999999</v>
      </c>
      <c r="P113" s="469">
        <v>3968.5210299999999</v>
      </c>
      <c r="Q113" s="469">
        <v>3989.3485299999902</v>
      </c>
      <c r="R113" s="469">
        <v>4010.1760299999901</v>
      </c>
      <c r="T113" s="469">
        <f t="shared" si="9"/>
        <v>3900.8805453846098</v>
      </c>
    </row>
    <row r="114" spans="1:20">
      <c r="A114" s="469" t="str">
        <f t="shared" si="6"/>
        <v>KU</v>
      </c>
      <c r="B114" s="469" t="str">
        <f t="shared" si="7"/>
        <v>KY</v>
      </c>
      <c r="C114" s="469" t="str">
        <f t="shared" si="8"/>
        <v>374</v>
      </c>
      <c r="D114" s="470" t="s">
        <v>1862</v>
      </c>
      <c r="E114" s="468" t="str">
        <f t="shared" si="10"/>
        <v>ARO</v>
      </c>
      <c r="F114" s="469">
        <v>904.89685999999995</v>
      </c>
      <c r="G114" s="469">
        <v>904.89685999999995</v>
      </c>
      <c r="H114" s="469">
        <v>904.89685999999995</v>
      </c>
      <c r="I114" s="469">
        <v>904.89685999999995</v>
      </c>
      <c r="J114" s="469">
        <v>904.89685999999995</v>
      </c>
      <c r="K114" s="469">
        <v>904.89685999999995</v>
      </c>
      <c r="L114" s="469">
        <v>904.89685999999995</v>
      </c>
      <c r="M114" s="469">
        <v>904.89685999999995</v>
      </c>
      <c r="N114" s="469">
        <v>904.89685999999995</v>
      </c>
      <c r="O114" s="469">
        <v>904.89685999999995</v>
      </c>
      <c r="P114" s="469">
        <v>904.89685999999995</v>
      </c>
      <c r="Q114" s="469">
        <v>904.89685999999995</v>
      </c>
      <c r="R114" s="469">
        <v>904.89685999999995</v>
      </c>
      <c r="T114" s="469">
        <f t="shared" si="9"/>
        <v>904.89686000000017</v>
      </c>
    </row>
    <row r="115" spans="1:20">
      <c r="A115" s="469" t="str">
        <f t="shared" si="6"/>
        <v>KU</v>
      </c>
      <c r="B115" s="469" t="str">
        <f t="shared" si="7"/>
        <v>KY</v>
      </c>
      <c r="C115" s="469" t="str">
        <f t="shared" si="8"/>
        <v>389</v>
      </c>
      <c r="D115" s="470" t="s">
        <v>1863</v>
      </c>
      <c r="E115" s="468" t="str">
        <f t="shared" si="10"/>
        <v/>
      </c>
      <c r="F115" s="469">
        <v>3032.4370699999999</v>
      </c>
      <c r="G115" s="469">
        <v>3032.4370699999999</v>
      </c>
      <c r="H115" s="469">
        <v>3032.4370699999999</v>
      </c>
      <c r="I115" s="469">
        <v>3032.4370699999999</v>
      </c>
      <c r="J115" s="469">
        <v>3032.4370699999999</v>
      </c>
      <c r="K115" s="469">
        <v>3532.4370699999999</v>
      </c>
      <c r="L115" s="469">
        <v>4032.4370699999999</v>
      </c>
      <c r="M115" s="469">
        <v>4032.4370699999999</v>
      </c>
      <c r="N115" s="469">
        <v>4032.4370699999999</v>
      </c>
      <c r="O115" s="469">
        <v>4032.4370699999999</v>
      </c>
      <c r="P115" s="469">
        <v>4032.4370699999999</v>
      </c>
      <c r="Q115" s="469">
        <v>4032.4370699999999</v>
      </c>
      <c r="R115" s="469">
        <v>4032.4370699999999</v>
      </c>
      <c r="T115" s="469">
        <f t="shared" si="9"/>
        <v>3609.3601469230771</v>
      </c>
    </row>
    <row r="116" spans="1:20">
      <c r="A116" s="469" t="str">
        <f t="shared" si="6"/>
        <v>KU</v>
      </c>
      <c r="B116" s="469" t="str">
        <f t="shared" si="7"/>
        <v>VA</v>
      </c>
      <c r="C116" s="469" t="str">
        <f t="shared" si="8"/>
        <v>389</v>
      </c>
      <c r="D116" s="470" t="s">
        <v>1864</v>
      </c>
      <c r="E116" s="468" t="str">
        <f t="shared" si="10"/>
        <v/>
      </c>
      <c r="F116" s="469">
        <v>378.354999999999</v>
      </c>
      <c r="G116" s="469">
        <v>378.354999999999</v>
      </c>
      <c r="H116" s="469">
        <v>378.354999999999</v>
      </c>
      <c r="I116" s="469">
        <v>378.354999999999</v>
      </c>
      <c r="J116" s="469">
        <v>378.354999999999</v>
      </c>
      <c r="K116" s="469">
        <v>378.354999999999</v>
      </c>
      <c r="L116" s="469">
        <v>378.354999999999</v>
      </c>
      <c r="M116" s="469">
        <v>378.354999999999</v>
      </c>
      <c r="N116" s="469">
        <v>378.354999999999</v>
      </c>
      <c r="O116" s="469">
        <v>378.354999999999</v>
      </c>
      <c r="P116" s="469">
        <v>378.354999999999</v>
      </c>
      <c r="Q116" s="469">
        <v>378.354999999999</v>
      </c>
      <c r="R116" s="469">
        <v>378.354999999999</v>
      </c>
      <c r="T116" s="469">
        <f t="shared" si="9"/>
        <v>378.354999999999</v>
      </c>
    </row>
    <row r="117" spans="1:20">
      <c r="A117" s="469" t="str">
        <f t="shared" si="6"/>
        <v>KU</v>
      </c>
      <c r="B117" s="469" t="str">
        <f t="shared" si="7"/>
        <v>KY</v>
      </c>
      <c r="C117" s="469" t="str">
        <f t="shared" si="8"/>
        <v>390</v>
      </c>
      <c r="D117" s="470" t="s">
        <v>1865</v>
      </c>
      <c r="E117" s="468" t="str">
        <f t="shared" si="10"/>
        <v/>
      </c>
      <c r="F117" s="469">
        <v>2566.35187</v>
      </c>
      <c r="G117" s="469">
        <v>2566.35187</v>
      </c>
      <c r="H117" s="469">
        <v>2566.35187</v>
      </c>
      <c r="I117" s="469">
        <v>2566.35187</v>
      </c>
      <c r="J117" s="469">
        <v>2566.35187</v>
      </c>
      <c r="K117" s="469">
        <v>2566.35187</v>
      </c>
      <c r="L117" s="469">
        <v>2566.35187</v>
      </c>
      <c r="M117" s="469">
        <v>2566.35187</v>
      </c>
      <c r="N117" s="469">
        <v>2566.35187</v>
      </c>
      <c r="O117" s="469">
        <v>2566.35187</v>
      </c>
      <c r="P117" s="469">
        <v>2566.35187</v>
      </c>
      <c r="Q117" s="469">
        <v>2566.35187</v>
      </c>
      <c r="R117" s="469">
        <v>2566.35187</v>
      </c>
      <c r="T117" s="469">
        <f t="shared" si="9"/>
        <v>2566.3518699999995</v>
      </c>
    </row>
    <row r="118" spans="1:20">
      <c r="A118" s="469" t="str">
        <f t="shared" si="6"/>
        <v>KU</v>
      </c>
      <c r="B118" s="469" t="str">
        <f t="shared" si="7"/>
        <v>KY</v>
      </c>
      <c r="C118" s="469" t="str">
        <f t="shared" si="8"/>
        <v>390</v>
      </c>
      <c r="D118" s="470" t="s">
        <v>1866</v>
      </c>
      <c r="E118" s="468" t="str">
        <f t="shared" si="10"/>
        <v/>
      </c>
      <c r="F118" s="469">
        <v>59013.796649999902</v>
      </c>
      <c r="G118" s="469">
        <v>60363.796649999902</v>
      </c>
      <c r="H118" s="469">
        <v>60484.796649999902</v>
      </c>
      <c r="I118" s="469">
        <v>60625.890959999902</v>
      </c>
      <c r="J118" s="469">
        <v>60743.890959999902</v>
      </c>
      <c r="K118" s="469">
        <v>60930.890959999902</v>
      </c>
      <c r="L118" s="469">
        <v>66435.261699999901</v>
      </c>
      <c r="M118" s="469">
        <v>66435.261699999901</v>
      </c>
      <c r="N118" s="469">
        <v>66435.261699999901</v>
      </c>
      <c r="O118" s="469">
        <v>66498.621129999898</v>
      </c>
      <c r="P118" s="469">
        <v>66648.621129999898</v>
      </c>
      <c r="Q118" s="469">
        <v>66648.621129999898</v>
      </c>
      <c r="R118" s="469">
        <v>66675.341009999902</v>
      </c>
      <c r="T118" s="469">
        <f t="shared" si="9"/>
        <v>63687.696333076812</v>
      </c>
    </row>
    <row r="119" spans="1:20">
      <c r="A119" s="469" t="str">
        <f t="shared" si="6"/>
        <v>KU</v>
      </c>
      <c r="B119" s="469" t="str">
        <f t="shared" si="7"/>
        <v>VA</v>
      </c>
      <c r="C119" s="469" t="str">
        <f t="shared" si="8"/>
        <v>390</v>
      </c>
      <c r="D119" s="470" t="s">
        <v>1867</v>
      </c>
      <c r="E119" s="468" t="str">
        <f t="shared" si="10"/>
        <v/>
      </c>
      <c r="F119" s="469">
        <v>6182.9546499999997</v>
      </c>
      <c r="G119" s="469">
        <v>6182.9546499999997</v>
      </c>
      <c r="H119" s="469">
        <v>6182.9546499999997</v>
      </c>
      <c r="I119" s="469">
        <v>6182.9546499999997</v>
      </c>
      <c r="J119" s="469">
        <v>6182.9546499999997</v>
      </c>
      <c r="K119" s="469">
        <v>6182.9546499999997</v>
      </c>
      <c r="L119" s="469">
        <v>6182.9546499999997</v>
      </c>
      <c r="M119" s="469">
        <v>6182.9546499999997</v>
      </c>
      <c r="N119" s="469">
        <v>6182.9546499999997</v>
      </c>
      <c r="O119" s="469">
        <v>6182.9546499999997</v>
      </c>
      <c r="P119" s="469">
        <v>6182.9546499999997</v>
      </c>
      <c r="Q119" s="469">
        <v>6182.9546499999997</v>
      </c>
      <c r="R119" s="469">
        <v>6182.9546499999997</v>
      </c>
      <c r="T119" s="469">
        <f t="shared" si="9"/>
        <v>6182.9546499999997</v>
      </c>
    </row>
    <row r="120" spans="1:20">
      <c r="A120" s="469" t="str">
        <f t="shared" si="6"/>
        <v>KU</v>
      </c>
      <c r="B120" s="469" t="str">
        <f t="shared" si="7"/>
        <v>KY</v>
      </c>
      <c r="C120" s="469" t="str">
        <f t="shared" si="8"/>
        <v>391</v>
      </c>
      <c r="D120" s="470" t="s">
        <v>1868</v>
      </c>
      <c r="E120" s="468" t="str">
        <f t="shared" si="10"/>
        <v/>
      </c>
      <c r="F120" s="469">
        <v>5284.8657299999904</v>
      </c>
      <c r="G120" s="469">
        <v>5297.1865799999896</v>
      </c>
      <c r="H120" s="469">
        <v>5273.75442999999</v>
      </c>
      <c r="I120" s="469">
        <v>4570.9582799999898</v>
      </c>
      <c r="J120" s="469">
        <v>4710.9241299999903</v>
      </c>
      <c r="K120" s="469">
        <v>4766.9449799999902</v>
      </c>
      <c r="L120" s="469">
        <v>6243.10753999999</v>
      </c>
      <c r="M120" s="469">
        <v>6251.9933899999896</v>
      </c>
      <c r="N120" s="469">
        <v>6186.37823999999</v>
      </c>
      <c r="O120" s="469">
        <v>6197.5540899999896</v>
      </c>
      <c r="P120" s="469">
        <v>6209.8749399999897</v>
      </c>
      <c r="Q120" s="469">
        <v>6222.1957899999898</v>
      </c>
      <c r="R120" s="469">
        <v>6234.5166399999898</v>
      </c>
      <c r="T120" s="469">
        <f t="shared" si="9"/>
        <v>5650.0195969230663</v>
      </c>
    </row>
    <row r="121" spans="1:20">
      <c r="A121" s="469" t="str">
        <f t="shared" si="6"/>
        <v>KU</v>
      </c>
      <c r="B121" s="469" t="str">
        <f t="shared" si="7"/>
        <v>KY</v>
      </c>
      <c r="C121" s="469" t="str">
        <f t="shared" si="8"/>
        <v>391</v>
      </c>
      <c r="D121" s="470" t="s">
        <v>1869</v>
      </c>
      <c r="E121" s="468" t="str">
        <f t="shared" si="10"/>
        <v/>
      </c>
      <c r="F121" s="469">
        <v>37826.08294</v>
      </c>
      <c r="G121" s="469">
        <v>38099.057520000002</v>
      </c>
      <c r="H121" s="469">
        <v>38282.636079999997</v>
      </c>
      <c r="I121" s="469">
        <v>38878.241450000001</v>
      </c>
      <c r="J121" s="469">
        <v>39336.506459999997</v>
      </c>
      <c r="K121" s="469">
        <v>39759.520519999998</v>
      </c>
      <c r="L121" s="469">
        <v>40364.056709999997</v>
      </c>
      <c r="M121" s="469">
        <v>40208.050709999901</v>
      </c>
      <c r="N121" s="469">
        <v>39809.028709999999</v>
      </c>
      <c r="O121" s="469">
        <v>39874.795709999999</v>
      </c>
      <c r="P121" s="469">
        <v>39295.953000000001</v>
      </c>
      <c r="Q121" s="469">
        <v>39196.957869999998</v>
      </c>
      <c r="R121" s="469">
        <v>39272.954810000003</v>
      </c>
      <c r="T121" s="469">
        <f t="shared" si="9"/>
        <v>39246.449422307676</v>
      </c>
    </row>
    <row r="122" spans="1:20">
      <c r="A122" s="469" t="str">
        <f t="shared" si="6"/>
        <v>KU</v>
      </c>
      <c r="B122" s="469" t="str">
        <f t="shared" si="7"/>
        <v>VA</v>
      </c>
      <c r="C122" s="469" t="str">
        <f t="shared" si="8"/>
        <v>391</v>
      </c>
      <c r="D122" s="470" t="s">
        <v>1870</v>
      </c>
      <c r="E122" s="468" t="str">
        <f t="shared" si="10"/>
        <v/>
      </c>
      <c r="F122" s="469">
        <v>0</v>
      </c>
      <c r="G122" s="469">
        <v>0</v>
      </c>
      <c r="H122" s="469">
        <v>0</v>
      </c>
      <c r="I122" s="469">
        <v>0</v>
      </c>
      <c r="J122" s="469">
        <v>0</v>
      </c>
      <c r="K122" s="469">
        <v>0</v>
      </c>
      <c r="L122" s="469">
        <v>0</v>
      </c>
      <c r="M122" s="469">
        <v>0</v>
      </c>
      <c r="N122" s="469">
        <v>0</v>
      </c>
      <c r="O122" s="469">
        <v>0</v>
      </c>
      <c r="P122" s="469">
        <v>0</v>
      </c>
      <c r="Q122" s="469">
        <v>0</v>
      </c>
      <c r="R122" s="469">
        <v>0</v>
      </c>
      <c r="T122" s="469">
        <f t="shared" si="9"/>
        <v>0</v>
      </c>
    </row>
    <row r="123" spans="1:20">
      <c r="A123" s="469" t="str">
        <f t="shared" si="6"/>
        <v>KU</v>
      </c>
      <c r="B123" s="469" t="str">
        <f t="shared" si="7"/>
        <v>KY</v>
      </c>
      <c r="C123" s="469" t="str">
        <f t="shared" si="8"/>
        <v>392</v>
      </c>
      <c r="D123" s="470" t="s">
        <v>1871</v>
      </c>
      <c r="E123" s="468" t="str">
        <f t="shared" si="10"/>
        <v>ECR</v>
      </c>
      <c r="F123" s="469">
        <v>145.26344</v>
      </c>
      <c r="G123" s="469">
        <v>145.26344</v>
      </c>
      <c r="H123" s="469">
        <v>145.26344</v>
      </c>
      <c r="I123" s="469">
        <v>145.26344</v>
      </c>
      <c r="J123" s="469">
        <v>145.26344</v>
      </c>
      <c r="K123" s="469">
        <v>642.69543999999996</v>
      </c>
      <c r="L123" s="469">
        <v>642.69543999999996</v>
      </c>
      <c r="M123" s="469">
        <v>642.69543999999996</v>
      </c>
      <c r="N123" s="469">
        <v>642.69543999999996</v>
      </c>
      <c r="O123" s="469">
        <v>642.69543999999996</v>
      </c>
      <c r="P123" s="469">
        <v>642.69543999999996</v>
      </c>
      <c r="Q123" s="469">
        <v>642.69543999999996</v>
      </c>
      <c r="R123" s="469">
        <v>642.69543999999996</v>
      </c>
      <c r="T123" s="469">
        <f t="shared" si="9"/>
        <v>451.37543999999991</v>
      </c>
    </row>
    <row r="124" spans="1:20">
      <c r="A124" s="469" t="str">
        <f t="shared" si="6"/>
        <v>KU</v>
      </c>
      <c r="B124" s="469" t="str">
        <f t="shared" si="7"/>
        <v>KY</v>
      </c>
      <c r="C124" s="469" t="str">
        <f t="shared" si="8"/>
        <v>392</v>
      </c>
      <c r="D124" s="470" t="s">
        <v>1872</v>
      </c>
      <c r="E124" s="468" t="str">
        <f t="shared" si="10"/>
        <v/>
      </c>
      <c r="F124" s="469">
        <v>7132.4559799999997</v>
      </c>
      <c r="G124" s="469">
        <v>7132.4559799999997</v>
      </c>
      <c r="H124" s="469">
        <v>7132.4559799999997</v>
      </c>
      <c r="I124" s="469">
        <v>7132.4559799999997</v>
      </c>
      <c r="J124" s="469">
        <v>7132.4559799999997</v>
      </c>
      <c r="K124" s="469">
        <v>7132.4559799999997</v>
      </c>
      <c r="L124" s="469">
        <v>7132.4559799999997</v>
      </c>
      <c r="M124" s="469">
        <v>7132.4559799999997</v>
      </c>
      <c r="N124" s="469">
        <v>7132.4559799999997</v>
      </c>
      <c r="O124" s="469">
        <v>7132.4559799999997</v>
      </c>
      <c r="P124" s="469">
        <v>7132.4559799999997</v>
      </c>
      <c r="Q124" s="469">
        <v>7132.4559799999997</v>
      </c>
      <c r="R124" s="469">
        <v>7132.4559799999997</v>
      </c>
      <c r="T124" s="469">
        <f t="shared" si="9"/>
        <v>7132.4559799999997</v>
      </c>
    </row>
    <row r="125" spans="1:20">
      <c r="A125" s="469" t="str">
        <f t="shared" si="6"/>
        <v>KU</v>
      </c>
      <c r="B125" s="469" t="str">
        <f t="shared" si="7"/>
        <v>KY</v>
      </c>
      <c r="C125" s="469" t="str">
        <f t="shared" si="8"/>
        <v>393</v>
      </c>
      <c r="D125" s="470" t="s">
        <v>1873</v>
      </c>
      <c r="E125" s="468" t="str">
        <f t="shared" si="10"/>
        <v/>
      </c>
      <c r="F125" s="469">
        <v>1509.11547</v>
      </c>
      <c r="G125" s="469">
        <v>1509.11547</v>
      </c>
      <c r="H125" s="469">
        <v>1509.11547</v>
      </c>
      <c r="I125" s="469">
        <v>1509.11547</v>
      </c>
      <c r="J125" s="469">
        <v>1509.11547</v>
      </c>
      <c r="K125" s="469">
        <v>1509.11547</v>
      </c>
      <c r="L125" s="469">
        <v>1509.11547</v>
      </c>
      <c r="M125" s="469">
        <v>1509.11547</v>
      </c>
      <c r="N125" s="469">
        <v>1509.11547</v>
      </c>
      <c r="O125" s="469">
        <v>1509.11547</v>
      </c>
      <c r="P125" s="469">
        <v>1509.11547</v>
      </c>
      <c r="Q125" s="469">
        <v>1509.11547</v>
      </c>
      <c r="R125" s="469">
        <v>1509.11547</v>
      </c>
      <c r="T125" s="469">
        <f t="shared" si="9"/>
        <v>1509.1154700000004</v>
      </c>
    </row>
    <row r="126" spans="1:20">
      <c r="A126" s="469" t="str">
        <f t="shared" si="6"/>
        <v>KU</v>
      </c>
      <c r="B126" s="469" t="str">
        <f t="shared" si="7"/>
        <v>VA</v>
      </c>
      <c r="C126" s="469" t="str">
        <f t="shared" si="8"/>
        <v>393</v>
      </c>
      <c r="D126" s="470" t="s">
        <v>1874</v>
      </c>
      <c r="E126" s="468" t="str">
        <f t="shared" si="10"/>
        <v/>
      </c>
      <c r="F126" s="469">
        <v>4.5262200000000004</v>
      </c>
      <c r="G126" s="469">
        <v>4.5262200000000004</v>
      </c>
      <c r="H126" s="469">
        <v>4.5262200000000004</v>
      </c>
      <c r="I126" s="469">
        <v>4.5262200000000004</v>
      </c>
      <c r="J126" s="469">
        <v>4.5262200000000004</v>
      </c>
      <c r="K126" s="469">
        <v>4.5262200000000004</v>
      </c>
      <c r="L126" s="469">
        <v>4.5262200000000004</v>
      </c>
      <c r="M126" s="469">
        <v>4.5262200000000004</v>
      </c>
      <c r="N126" s="469">
        <v>4.5262200000000004</v>
      </c>
      <c r="O126" s="469">
        <v>4.5262200000000004</v>
      </c>
      <c r="P126" s="469">
        <v>4.5262200000000004</v>
      </c>
      <c r="Q126" s="469">
        <v>4.5262200000000004</v>
      </c>
      <c r="R126" s="469">
        <v>4.5262200000000004</v>
      </c>
      <c r="T126" s="469">
        <f t="shared" si="9"/>
        <v>4.5262200000000012</v>
      </c>
    </row>
    <row r="127" spans="1:20">
      <c r="A127" s="469" t="str">
        <f t="shared" si="6"/>
        <v>KU</v>
      </c>
      <c r="B127" s="469" t="str">
        <f t="shared" si="7"/>
        <v>KY</v>
      </c>
      <c r="C127" s="469" t="str">
        <f t="shared" si="8"/>
        <v>394</v>
      </c>
      <c r="D127" s="470" t="s">
        <v>1875</v>
      </c>
      <c r="E127" s="468" t="str">
        <f t="shared" si="10"/>
        <v/>
      </c>
      <c r="F127" s="469">
        <v>12952.83064</v>
      </c>
      <c r="G127" s="469">
        <v>13097.77202</v>
      </c>
      <c r="H127" s="469">
        <v>13126.1674</v>
      </c>
      <c r="I127" s="469">
        <v>12971.219779999999</v>
      </c>
      <c r="J127" s="469">
        <v>13070.650160000001</v>
      </c>
      <c r="K127" s="469">
        <v>13104.94154</v>
      </c>
      <c r="L127" s="469">
        <v>13477.058919999999</v>
      </c>
      <c r="M127" s="469">
        <v>13531.308289999999</v>
      </c>
      <c r="N127" s="469">
        <v>13574.10759</v>
      </c>
      <c r="O127" s="469">
        <v>13616.906889999998</v>
      </c>
      <c r="P127" s="469">
        <v>13675.736190000001</v>
      </c>
      <c r="Q127" s="469">
        <v>13718.53549</v>
      </c>
      <c r="R127" s="469">
        <v>13761.334790000001</v>
      </c>
      <c r="T127" s="469">
        <f t="shared" si="9"/>
        <v>13359.889976923076</v>
      </c>
    </row>
    <row r="128" spans="1:20">
      <c r="A128" s="469" t="str">
        <f t="shared" si="6"/>
        <v>KU</v>
      </c>
      <c r="B128" s="469" t="str">
        <f t="shared" si="7"/>
        <v>VA</v>
      </c>
      <c r="C128" s="469" t="str">
        <f t="shared" si="8"/>
        <v>394</v>
      </c>
      <c r="D128" s="470" t="s">
        <v>1876</v>
      </c>
      <c r="E128" s="468" t="str">
        <f t="shared" si="10"/>
        <v/>
      </c>
      <c r="F128" s="469">
        <v>504.94132000000002</v>
      </c>
      <c r="G128" s="469">
        <v>507.13591000000002</v>
      </c>
      <c r="H128" s="469">
        <v>509.33049999999997</v>
      </c>
      <c r="I128" s="469">
        <v>511.52508999999998</v>
      </c>
      <c r="J128" s="469">
        <v>513.71968000000004</v>
      </c>
      <c r="K128" s="469">
        <v>515.91426999999999</v>
      </c>
      <c r="L128" s="469">
        <v>518.10885999999903</v>
      </c>
      <c r="M128" s="469">
        <v>520.68510999999899</v>
      </c>
      <c r="N128" s="469">
        <v>523.26135999999894</v>
      </c>
      <c r="O128" s="469">
        <v>525.83760999999902</v>
      </c>
      <c r="P128" s="469">
        <v>528.41385999999898</v>
      </c>
      <c r="Q128" s="469">
        <v>530.99010999999905</v>
      </c>
      <c r="R128" s="469">
        <v>533.56635999999901</v>
      </c>
      <c r="T128" s="469">
        <f t="shared" si="9"/>
        <v>518.72538769230709</v>
      </c>
    </row>
    <row r="129" spans="1:20">
      <c r="A129" s="469" t="str">
        <f t="shared" si="6"/>
        <v>KU</v>
      </c>
      <c r="B129" s="469" t="str">
        <f t="shared" si="7"/>
        <v>KY</v>
      </c>
      <c r="C129" s="469" t="str">
        <f t="shared" si="8"/>
        <v>396</v>
      </c>
      <c r="D129" s="470" t="s">
        <v>1877</v>
      </c>
      <c r="E129" s="468" t="str">
        <f t="shared" si="10"/>
        <v/>
      </c>
      <c r="F129" s="469">
        <v>2088.5994999999998</v>
      </c>
      <c r="G129" s="469">
        <v>2088.5994999999998</v>
      </c>
      <c r="H129" s="469">
        <v>2088.5994999999998</v>
      </c>
      <c r="I129" s="469">
        <v>2088.5994999999998</v>
      </c>
      <c r="J129" s="469">
        <v>2088.5994999999998</v>
      </c>
      <c r="K129" s="469">
        <v>2088.5994999999998</v>
      </c>
      <c r="L129" s="469">
        <v>2088.5994999999998</v>
      </c>
      <c r="M129" s="469">
        <v>2088.5994999999998</v>
      </c>
      <c r="N129" s="469">
        <v>2088.5994999999998</v>
      </c>
      <c r="O129" s="469">
        <v>2088.5994999999998</v>
      </c>
      <c r="P129" s="469">
        <v>2088.5994999999998</v>
      </c>
      <c r="Q129" s="469">
        <v>2088.5994999999998</v>
      </c>
      <c r="R129" s="469">
        <v>2088.5994999999998</v>
      </c>
      <c r="T129" s="469">
        <f t="shared" si="9"/>
        <v>2088.5994999999998</v>
      </c>
    </row>
    <row r="130" spans="1:20">
      <c r="A130" s="469" t="str">
        <f t="shared" si="6"/>
        <v>KU</v>
      </c>
      <c r="B130" s="469" t="str">
        <f t="shared" si="7"/>
        <v>VA</v>
      </c>
      <c r="C130" s="469" t="str">
        <f t="shared" si="8"/>
        <v>396</v>
      </c>
      <c r="D130" s="470" t="s">
        <v>1878</v>
      </c>
      <c r="E130" s="468" t="str">
        <f t="shared" si="10"/>
        <v/>
      </c>
      <c r="F130" s="469">
        <v>282.27726000000001</v>
      </c>
      <c r="G130" s="469">
        <v>282.27726000000001</v>
      </c>
      <c r="H130" s="469">
        <v>282.27726000000001</v>
      </c>
      <c r="I130" s="469">
        <v>282.27726000000001</v>
      </c>
      <c r="J130" s="469">
        <v>282.27726000000001</v>
      </c>
      <c r="K130" s="469">
        <v>282.27726000000001</v>
      </c>
      <c r="L130" s="469">
        <v>282.27726000000001</v>
      </c>
      <c r="M130" s="469">
        <v>282.27726000000001</v>
      </c>
      <c r="N130" s="469">
        <v>282.27726000000001</v>
      </c>
      <c r="O130" s="469">
        <v>282.27726000000001</v>
      </c>
      <c r="P130" s="469">
        <v>282.27726000000001</v>
      </c>
      <c r="Q130" s="469">
        <v>282.27726000000001</v>
      </c>
      <c r="R130" s="469">
        <v>282.27726000000001</v>
      </c>
      <c r="T130" s="469">
        <f t="shared" si="9"/>
        <v>282.27725999999996</v>
      </c>
    </row>
    <row r="131" spans="1:20">
      <c r="A131" s="469" t="str">
        <f t="shared" si="6"/>
        <v>KU</v>
      </c>
      <c r="B131" s="469" t="str">
        <f t="shared" si="7"/>
        <v>KY</v>
      </c>
      <c r="C131" s="469" t="str">
        <f t="shared" si="8"/>
        <v>397</v>
      </c>
      <c r="D131" s="470" t="s">
        <v>1879</v>
      </c>
      <c r="E131" s="468" t="str">
        <f t="shared" si="10"/>
        <v>DSM</v>
      </c>
      <c r="F131" s="469">
        <v>10027.554679999999</v>
      </c>
      <c r="G131" s="469">
        <v>10096.739890000001</v>
      </c>
      <c r="H131" s="469">
        <v>10261.33617</v>
      </c>
      <c r="I131" s="469">
        <v>10305.884319999999</v>
      </c>
      <c r="J131" s="469">
        <v>10521.522629999999</v>
      </c>
      <c r="K131" s="469">
        <v>10569.45645</v>
      </c>
      <c r="L131" s="469">
        <v>10788.39863</v>
      </c>
      <c r="M131" s="469">
        <v>10853.559520000001</v>
      </c>
      <c r="N131" s="469">
        <v>11095.68489</v>
      </c>
      <c r="O131" s="469">
        <v>11152.85643</v>
      </c>
      <c r="P131" s="469">
        <v>11448.710150000001</v>
      </c>
      <c r="Q131" s="469">
        <v>11498.93628</v>
      </c>
      <c r="R131" s="469">
        <v>11725.540010000001</v>
      </c>
      <c r="T131" s="469">
        <f t="shared" si="9"/>
        <v>10795.860003846154</v>
      </c>
    </row>
    <row r="132" spans="1:20">
      <c r="A132" s="469" t="str">
        <f t="shared" si="6"/>
        <v>KU</v>
      </c>
      <c r="B132" s="469" t="str">
        <f t="shared" si="7"/>
        <v>KY</v>
      </c>
      <c r="C132" s="469" t="str">
        <f t="shared" si="8"/>
        <v>397</v>
      </c>
      <c r="D132" s="470" t="s">
        <v>1880</v>
      </c>
      <c r="E132" s="468" t="str">
        <f t="shared" si="10"/>
        <v/>
      </c>
      <c r="F132" s="469">
        <v>46172.659339999998</v>
      </c>
      <c r="G132" s="469">
        <v>46268.109299999996</v>
      </c>
      <c r="H132" s="469">
        <v>46503.399439999899</v>
      </c>
      <c r="I132" s="469">
        <v>46565.9592999999</v>
      </c>
      <c r="J132" s="469">
        <v>49888.937769999997</v>
      </c>
      <c r="K132" s="469">
        <v>50666.796539999901</v>
      </c>
      <c r="L132" s="469">
        <v>50707.966589999902</v>
      </c>
      <c r="M132" s="469">
        <v>50707.966589999902</v>
      </c>
      <c r="N132" s="469">
        <v>50707.966589999902</v>
      </c>
      <c r="O132" s="469">
        <v>50707.966589999902</v>
      </c>
      <c r="P132" s="469">
        <v>50707.966589999902</v>
      </c>
      <c r="Q132" s="469">
        <v>50707.966589999902</v>
      </c>
      <c r="R132" s="469">
        <v>50707.966589999902</v>
      </c>
      <c r="T132" s="469">
        <f t="shared" si="9"/>
        <v>49309.355986153758</v>
      </c>
    </row>
    <row r="133" spans="1:20">
      <c r="A133" s="469" t="str">
        <f t="shared" si="6"/>
        <v>KU</v>
      </c>
      <c r="B133" s="469" t="str">
        <f t="shared" si="7"/>
        <v>VA</v>
      </c>
      <c r="C133" s="469" t="str">
        <f t="shared" si="8"/>
        <v>397</v>
      </c>
      <c r="D133" s="470" t="s">
        <v>1881</v>
      </c>
      <c r="E133" s="468" t="str">
        <f t="shared" si="10"/>
        <v/>
      </c>
      <c r="F133" s="469">
        <v>925.24696999999901</v>
      </c>
      <c r="G133" s="469">
        <v>925.24696999999901</v>
      </c>
      <c r="H133" s="469">
        <v>925.24696999999901</v>
      </c>
      <c r="I133" s="469">
        <v>925.24696999999901</v>
      </c>
      <c r="J133" s="469">
        <v>925.24696999999901</v>
      </c>
      <c r="K133" s="469">
        <v>925.24696999999901</v>
      </c>
      <c r="L133" s="469">
        <v>925.24696999999901</v>
      </c>
      <c r="M133" s="469">
        <v>925.24696999999901</v>
      </c>
      <c r="N133" s="469">
        <v>925.24696999999901</v>
      </c>
      <c r="O133" s="469">
        <v>925.24696999999901</v>
      </c>
      <c r="P133" s="469">
        <v>925.24696999999901</v>
      </c>
      <c r="Q133" s="469">
        <v>925.24696999999901</v>
      </c>
      <c r="R133" s="469">
        <v>925.24696999999901</v>
      </c>
      <c r="T133" s="469">
        <f t="shared" si="9"/>
        <v>925.2469699999989</v>
      </c>
    </row>
    <row r="134" spans="1:20">
      <c r="A134" s="469" t="str">
        <f t="shared" si="6"/>
        <v>KU</v>
      </c>
      <c r="B134" s="469" t="str">
        <f t="shared" si="7"/>
        <v>KY</v>
      </c>
      <c r="C134" s="469" t="str">
        <f t="shared" si="8"/>
        <v>398</v>
      </c>
      <c r="D134" s="470" t="s">
        <v>1882</v>
      </c>
      <c r="E134" s="468" t="str">
        <f t="shared" si="10"/>
        <v/>
      </c>
      <c r="F134" s="469">
        <v>0</v>
      </c>
      <c r="G134" s="469">
        <v>139.67099999999999</v>
      </c>
      <c r="H134" s="469">
        <v>159.624</v>
      </c>
      <c r="I134" s="469">
        <v>179.577</v>
      </c>
      <c r="J134" s="469">
        <v>199.53</v>
      </c>
      <c r="K134" s="469">
        <v>219.483</v>
      </c>
      <c r="L134" s="469">
        <v>239.43600000000001</v>
      </c>
      <c r="M134" s="469">
        <v>262.46625</v>
      </c>
      <c r="N134" s="469">
        <v>285.49650000000003</v>
      </c>
      <c r="O134" s="469">
        <v>308.52674999999999</v>
      </c>
      <c r="P134" s="469">
        <v>331.55700000000002</v>
      </c>
      <c r="Q134" s="469">
        <v>354.58724999999998</v>
      </c>
      <c r="R134" s="469">
        <v>377.61750000000001</v>
      </c>
      <c r="T134" s="469">
        <f t="shared" si="9"/>
        <v>235.19786538461537</v>
      </c>
    </row>
    <row r="135" spans="1:20">
      <c r="A135" s="469" t="str">
        <f t="shared" si="6"/>
        <v>KU</v>
      </c>
      <c r="B135" s="469" t="str">
        <f t="shared" si="7"/>
        <v>KY</v>
      </c>
      <c r="C135" s="469" t="str">
        <f t="shared" si="8"/>
        <v>121</v>
      </c>
      <c r="D135" s="470" t="s">
        <v>1883</v>
      </c>
      <c r="E135" s="468" t="str">
        <f t="shared" si="10"/>
        <v/>
      </c>
      <c r="F135" s="469">
        <v>971.31309999999996</v>
      </c>
      <c r="G135" s="469">
        <v>971.31309999999996</v>
      </c>
      <c r="H135" s="469">
        <v>971.31309999999996</v>
      </c>
      <c r="I135" s="469">
        <v>971.31309999999996</v>
      </c>
      <c r="J135" s="469">
        <v>971.31309999999996</v>
      </c>
      <c r="K135" s="469">
        <v>971.31309999999996</v>
      </c>
      <c r="L135" s="469">
        <v>971.31309999999996</v>
      </c>
      <c r="M135" s="469">
        <v>971.31309999999996</v>
      </c>
      <c r="N135" s="469">
        <v>971.31309999999996</v>
      </c>
      <c r="O135" s="469">
        <v>971.31309999999996</v>
      </c>
      <c r="P135" s="469">
        <v>971.31309999999996</v>
      </c>
      <c r="Q135" s="469">
        <v>971.31309999999996</v>
      </c>
      <c r="R135" s="469">
        <v>971.31309999999996</v>
      </c>
      <c r="T135" s="469">
        <f t="shared" ref="T135" si="11">SUM(F135:R135)/13</f>
        <v>971.31309999999985</v>
      </c>
    </row>
    <row r="136" spans="1:20">
      <c r="A136" s="469" t="str">
        <f t="shared" si="6"/>
        <v/>
      </c>
      <c r="B136" s="469" t="str">
        <f t="shared" si="7"/>
        <v/>
      </c>
      <c r="C136" s="469" t="str">
        <f t="shared" si="8"/>
        <v/>
      </c>
      <c r="E136" s="468" t="str">
        <f t="shared" si="10"/>
        <v/>
      </c>
    </row>
    <row r="137" spans="1:20">
      <c r="D137" s="668" t="s">
        <v>7</v>
      </c>
      <c r="E137" s="468" t="str">
        <f t="shared" si="10"/>
        <v/>
      </c>
    </row>
    <row r="138" spans="1:20">
      <c r="A138" s="469" t="str">
        <f t="shared" si="6"/>
        <v>KU</v>
      </c>
      <c r="B138" s="469" t="str">
        <f t="shared" si="7"/>
        <v>KY</v>
      </c>
      <c r="C138" s="469" t="str">
        <f t="shared" si="8"/>
        <v>303</v>
      </c>
      <c r="D138" s="470" t="s">
        <v>1779</v>
      </c>
      <c r="E138" s="468" t="str">
        <f t="shared" si="10"/>
        <v/>
      </c>
      <c r="F138" s="469">
        <v>233.85148000000001</v>
      </c>
      <c r="G138" s="469">
        <v>1066.4163899999901</v>
      </c>
      <c r="H138" s="469">
        <v>3436.8780699999902</v>
      </c>
      <c r="I138" s="469">
        <v>1245.3</v>
      </c>
      <c r="J138" s="469">
        <v>425.12188999999898</v>
      </c>
      <c r="K138" s="469">
        <v>1014.81861</v>
      </c>
      <c r="L138" s="469">
        <v>1646.0966900000001</v>
      </c>
      <c r="M138" s="469">
        <v>0</v>
      </c>
      <c r="N138" s="469">
        <v>0</v>
      </c>
      <c r="O138" s="469">
        <v>186</v>
      </c>
      <c r="P138" s="469">
        <v>181.02104</v>
      </c>
      <c r="Q138" s="469">
        <v>446.18878000000001</v>
      </c>
      <c r="R138" s="469">
        <v>3112.6296499999999</v>
      </c>
      <c r="S138" s="469">
        <f>SUM(G138:R138)</f>
        <v>12760.47111999998</v>
      </c>
    </row>
    <row r="139" spans="1:20">
      <c r="A139" s="469" t="str">
        <f t="shared" si="6"/>
        <v>KU</v>
      </c>
      <c r="B139" s="469" t="str">
        <f t="shared" si="7"/>
        <v>KY</v>
      </c>
      <c r="C139" s="469" t="str">
        <f t="shared" si="8"/>
        <v>303</v>
      </c>
      <c r="D139" s="470" t="s">
        <v>1780</v>
      </c>
      <c r="E139" s="468" t="str">
        <f t="shared" si="10"/>
        <v/>
      </c>
      <c r="F139" s="469">
        <v>0</v>
      </c>
      <c r="G139" s="469">
        <v>0</v>
      </c>
      <c r="H139" s="469">
        <v>15121.058709999999</v>
      </c>
      <c r="I139" s="469">
        <v>0</v>
      </c>
      <c r="J139" s="469">
        <v>0</v>
      </c>
      <c r="K139" s="469">
        <v>140</v>
      </c>
      <c r="L139" s="469">
        <v>168</v>
      </c>
      <c r="M139" s="469">
        <v>0</v>
      </c>
      <c r="N139" s="469">
        <v>0</v>
      </c>
      <c r="O139" s="469">
        <v>245</v>
      </c>
      <c r="P139" s="469">
        <v>35</v>
      </c>
      <c r="Q139" s="469">
        <v>0</v>
      </c>
      <c r="R139" s="469">
        <v>-1.0000000000000001E-5</v>
      </c>
      <c r="S139" s="469">
        <f t="shared" ref="S139:S202" si="12">SUM(G139:R139)</f>
        <v>15709.0587</v>
      </c>
    </row>
    <row r="140" spans="1:20">
      <c r="A140" s="469" t="str">
        <f t="shared" si="6"/>
        <v>KU</v>
      </c>
      <c r="B140" s="469" t="str">
        <f t="shared" si="7"/>
        <v>KY</v>
      </c>
      <c r="C140" s="469" t="str">
        <f t="shared" si="8"/>
        <v>310</v>
      </c>
      <c r="D140" s="470" t="s">
        <v>1781</v>
      </c>
      <c r="E140" s="468" t="str">
        <f t="shared" si="10"/>
        <v>ECR</v>
      </c>
      <c r="F140" s="469">
        <v>0</v>
      </c>
      <c r="G140" s="469">
        <v>0</v>
      </c>
      <c r="H140" s="469">
        <v>0</v>
      </c>
      <c r="I140" s="469">
        <v>0</v>
      </c>
      <c r="J140" s="469">
        <v>0</v>
      </c>
      <c r="K140" s="469">
        <v>0</v>
      </c>
      <c r="L140" s="469">
        <v>1835.2266199999999</v>
      </c>
      <c r="M140" s="469">
        <v>0</v>
      </c>
      <c r="N140" s="469">
        <v>0</v>
      </c>
      <c r="O140" s="469">
        <v>0</v>
      </c>
      <c r="P140" s="469">
        <v>0</v>
      </c>
      <c r="Q140" s="469">
        <v>0</v>
      </c>
      <c r="R140" s="469">
        <v>0</v>
      </c>
      <c r="S140" s="469">
        <f t="shared" si="12"/>
        <v>1835.2266199999999</v>
      </c>
    </row>
    <row r="141" spans="1:20">
      <c r="A141" s="469" t="str">
        <f t="shared" si="6"/>
        <v>KU</v>
      </c>
      <c r="B141" s="469" t="str">
        <f t="shared" si="7"/>
        <v>KY</v>
      </c>
      <c r="C141" s="469" t="str">
        <f t="shared" si="8"/>
        <v>310</v>
      </c>
      <c r="D141" s="470" t="s">
        <v>1783</v>
      </c>
      <c r="E141" s="468" t="str">
        <f t="shared" si="10"/>
        <v/>
      </c>
      <c r="F141" s="469">
        <v>0</v>
      </c>
      <c r="G141" s="469">
        <v>0</v>
      </c>
      <c r="H141" s="469">
        <v>0</v>
      </c>
      <c r="I141" s="469">
        <v>0</v>
      </c>
      <c r="J141" s="469">
        <v>0</v>
      </c>
      <c r="K141" s="469">
        <v>0</v>
      </c>
      <c r="L141" s="469">
        <v>0</v>
      </c>
      <c r="M141" s="469">
        <v>0</v>
      </c>
      <c r="N141" s="469">
        <v>0</v>
      </c>
      <c r="O141" s="469">
        <v>0</v>
      </c>
      <c r="P141" s="469">
        <v>0</v>
      </c>
      <c r="Q141" s="469">
        <v>0</v>
      </c>
      <c r="R141" s="469">
        <v>0</v>
      </c>
      <c r="S141" s="469">
        <f t="shared" si="12"/>
        <v>0</v>
      </c>
    </row>
    <row r="142" spans="1:20">
      <c r="A142" s="469" t="str">
        <f t="shared" si="6"/>
        <v>KU</v>
      </c>
      <c r="B142" s="469" t="str">
        <f t="shared" si="7"/>
        <v>KY</v>
      </c>
      <c r="C142" s="469" t="str">
        <f t="shared" si="8"/>
        <v>311</v>
      </c>
      <c r="D142" s="470" t="s">
        <v>1785</v>
      </c>
      <c r="E142" s="468" t="str">
        <f t="shared" si="10"/>
        <v/>
      </c>
      <c r="F142" s="469">
        <v>68.360869999999906</v>
      </c>
      <c r="G142" s="469">
        <v>0</v>
      </c>
      <c r="H142" s="469">
        <v>181.43199999999999</v>
      </c>
      <c r="I142" s="469">
        <v>820.66399999999999</v>
      </c>
      <c r="J142" s="469">
        <v>49.712000000000003</v>
      </c>
      <c r="K142" s="469">
        <v>0</v>
      </c>
      <c r="L142" s="469">
        <v>1028.03577</v>
      </c>
      <c r="M142" s="469">
        <v>0</v>
      </c>
      <c r="N142" s="469">
        <v>0</v>
      </c>
      <c r="O142" s="469">
        <v>348.19200000000001</v>
      </c>
      <c r="P142" s="469">
        <v>4736.384</v>
      </c>
      <c r="Q142" s="469">
        <v>696.38400000000001</v>
      </c>
      <c r="R142" s="469">
        <v>0</v>
      </c>
      <c r="S142" s="469">
        <f t="shared" si="12"/>
        <v>7860.8037700000004</v>
      </c>
    </row>
    <row r="143" spans="1:20">
      <c r="A143" s="469" t="str">
        <f t="shared" si="6"/>
        <v>KU</v>
      </c>
      <c r="B143" s="469" t="str">
        <f t="shared" si="7"/>
        <v>KY</v>
      </c>
      <c r="C143" s="469" t="str">
        <f t="shared" si="8"/>
        <v>312</v>
      </c>
      <c r="D143" s="470" t="s">
        <v>1786</v>
      </c>
      <c r="E143" s="468" t="str">
        <f t="shared" si="10"/>
        <v/>
      </c>
      <c r="F143" s="469">
        <v>1658.3333299999999</v>
      </c>
      <c r="G143" s="469">
        <v>632.33333000000005</v>
      </c>
      <c r="H143" s="469">
        <v>236.73331999999999</v>
      </c>
      <c r="I143" s="469">
        <v>155.97546</v>
      </c>
      <c r="J143" s="469">
        <v>1884.84449</v>
      </c>
      <c r="K143" s="469">
        <v>8430.3770599999898</v>
      </c>
      <c r="L143" s="469">
        <v>4513.2345599999999</v>
      </c>
      <c r="M143" s="469">
        <v>8.3333700000000004</v>
      </c>
      <c r="N143" s="469">
        <v>8.3333300000000001</v>
      </c>
      <c r="O143" s="469">
        <v>4507.0023300000003</v>
      </c>
      <c r="P143" s="469">
        <v>6608.1426099999999</v>
      </c>
      <c r="Q143" s="469">
        <v>6313.8837599999997</v>
      </c>
      <c r="R143" s="469">
        <v>8.3333300000000001</v>
      </c>
      <c r="S143" s="469">
        <f t="shared" si="12"/>
        <v>33307.526949999992</v>
      </c>
    </row>
    <row r="144" spans="1:20">
      <c r="A144" s="469" t="str">
        <f t="shared" si="6"/>
        <v>KU</v>
      </c>
      <c r="B144" s="469" t="str">
        <f t="shared" si="7"/>
        <v>KY</v>
      </c>
      <c r="C144" s="469" t="str">
        <f t="shared" si="8"/>
        <v>312</v>
      </c>
      <c r="D144" s="470" t="s">
        <v>1787</v>
      </c>
      <c r="E144" s="468" t="str">
        <f t="shared" si="10"/>
        <v>ECR</v>
      </c>
      <c r="F144" s="469">
        <v>850</v>
      </c>
      <c r="G144" s="469">
        <v>300</v>
      </c>
      <c r="H144" s="469">
        <v>0</v>
      </c>
      <c r="I144" s="469">
        <v>0</v>
      </c>
      <c r="J144" s="469">
        <v>0</v>
      </c>
      <c r="K144" s="469">
        <v>0</v>
      </c>
      <c r="L144" s="469">
        <v>0</v>
      </c>
      <c r="M144" s="469">
        <v>0</v>
      </c>
      <c r="N144" s="469">
        <v>0</v>
      </c>
      <c r="O144" s="469">
        <v>0</v>
      </c>
      <c r="P144" s="469">
        <v>-4177.6525499999998</v>
      </c>
      <c r="Q144" s="469">
        <v>0</v>
      </c>
      <c r="R144" s="469">
        <v>0</v>
      </c>
      <c r="S144" s="469">
        <f t="shared" si="12"/>
        <v>-3877.6525499999998</v>
      </c>
    </row>
    <row r="145" spans="1:19">
      <c r="A145" s="469" t="str">
        <f t="shared" si="6"/>
        <v>KU</v>
      </c>
      <c r="B145" s="469" t="str">
        <f t="shared" si="7"/>
        <v>KY</v>
      </c>
      <c r="C145" s="469" t="str">
        <f t="shared" si="8"/>
        <v>312</v>
      </c>
      <c r="D145" s="470" t="s">
        <v>1788</v>
      </c>
      <c r="E145" s="468" t="str">
        <f t="shared" si="10"/>
        <v>ECR</v>
      </c>
      <c r="F145" s="469">
        <v>0</v>
      </c>
      <c r="G145" s="469">
        <v>0</v>
      </c>
      <c r="H145" s="469">
        <v>0</v>
      </c>
      <c r="I145" s="469">
        <v>0</v>
      </c>
      <c r="J145" s="469">
        <v>0</v>
      </c>
      <c r="K145" s="469">
        <v>0</v>
      </c>
      <c r="L145" s="469">
        <v>0</v>
      </c>
      <c r="M145" s="469">
        <v>0</v>
      </c>
      <c r="N145" s="469">
        <v>0</v>
      </c>
      <c r="O145" s="469">
        <v>0</v>
      </c>
      <c r="P145" s="469">
        <v>0</v>
      </c>
      <c r="Q145" s="469">
        <v>0</v>
      </c>
      <c r="R145" s="469">
        <v>0</v>
      </c>
      <c r="S145" s="469">
        <f t="shared" si="12"/>
        <v>0</v>
      </c>
    </row>
    <row r="146" spans="1:19">
      <c r="A146" s="469" t="str">
        <f t="shared" si="6"/>
        <v>KU</v>
      </c>
      <c r="B146" s="469" t="str">
        <f t="shared" si="7"/>
        <v>KY</v>
      </c>
      <c r="C146" s="469" t="str">
        <f t="shared" si="8"/>
        <v>312</v>
      </c>
      <c r="D146" s="470" t="s">
        <v>2342</v>
      </c>
      <c r="E146" s="468" t="str">
        <f t="shared" si="10"/>
        <v>ECR</v>
      </c>
      <c r="F146" s="469">
        <v>0</v>
      </c>
      <c r="G146" s="469">
        <v>0</v>
      </c>
      <c r="H146" s="469">
        <v>0</v>
      </c>
      <c r="I146" s="469">
        <v>0</v>
      </c>
      <c r="J146" s="469">
        <v>0</v>
      </c>
      <c r="K146" s="469">
        <v>0</v>
      </c>
      <c r="L146" s="469">
        <v>13232.60887</v>
      </c>
      <c r="M146" s="469">
        <v>0</v>
      </c>
      <c r="N146" s="469">
        <v>0</v>
      </c>
      <c r="O146" s="469">
        <v>0</v>
      </c>
      <c r="P146" s="469">
        <v>0</v>
      </c>
      <c r="Q146" s="469">
        <v>0</v>
      </c>
      <c r="R146" s="469">
        <v>0</v>
      </c>
      <c r="S146" s="469">
        <f t="shared" si="12"/>
        <v>13232.60887</v>
      </c>
    </row>
    <row r="147" spans="1:19">
      <c r="A147" s="469" t="str">
        <f t="shared" si="6"/>
        <v>KU</v>
      </c>
      <c r="B147" s="469" t="str">
        <f t="shared" si="7"/>
        <v>KY</v>
      </c>
      <c r="C147" s="469" t="str">
        <f t="shared" si="8"/>
        <v>312</v>
      </c>
      <c r="D147" s="470" t="s">
        <v>2343</v>
      </c>
      <c r="E147" s="468" t="str">
        <f t="shared" si="10"/>
        <v>ECR</v>
      </c>
      <c r="F147" s="469">
        <v>0</v>
      </c>
      <c r="G147" s="469">
        <v>0</v>
      </c>
      <c r="H147" s="469">
        <v>0</v>
      </c>
      <c r="I147" s="469">
        <v>0</v>
      </c>
      <c r="J147" s="469">
        <v>0</v>
      </c>
      <c r="K147" s="469">
        <v>0</v>
      </c>
      <c r="L147" s="469">
        <v>0</v>
      </c>
      <c r="M147" s="469">
        <v>0</v>
      </c>
      <c r="N147" s="469">
        <v>0</v>
      </c>
      <c r="O147" s="469">
        <v>0</v>
      </c>
      <c r="P147" s="469">
        <v>0</v>
      </c>
      <c r="Q147" s="469">
        <v>0</v>
      </c>
      <c r="R147" s="469">
        <v>0</v>
      </c>
      <c r="S147" s="469">
        <f t="shared" si="12"/>
        <v>0</v>
      </c>
    </row>
    <row r="148" spans="1:19">
      <c r="A148" s="469" t="str">
        <f t="shared" si="6"/>
        <v>KU</v>
      </c>
      <c r="B148" s="469" t="str">
        <f t="shared" si="7"/>
        <v>KY</v>
      </c>
      <c r="C148" s="469" t="str">
        <f t="shared" si="8"/>
        <v>314</v>
      </c>
      <c r="D148" s="470" t="s">
        <v>1790</v>
      </c>
      <c r="E148" s="468" t="str">
        <f t="shared" si="10"/>
        <v/>
      </c>
      <c r="F148" s="469">
        <v>248.97793999999999</v>
      </c>
      <c r="G148" s="469">
        <v>0</v>
      </c>
      <c r="H148" s="469">
        <v>60</v>
      </c>
      <c r="I148" s="469">
        <v>341.29471999999998</v>
      </c>
      <c r="J148" s="469">
        <v>922.48</v>
      </c>
      <c r="K148" s="469">
        <v>1067.1455599999999</v>
      </c>
      <c r="L148" s="469">
        <v>751.2663</v>
      </c>
      <c r="M148" s="469">
        <v>0</v>
      </c>
      <c r="N148" s="469">
        <v>0</v>
      </c>
      <c r="O148" s="469">
        <v>852.8</v>
      </c>
      <c r="P148" s="469">
        <v>2473.2401799999998</v>
      </c>
      <c r="Q148" s="469">
        <v>541.38239999999996</v>
      </c>
      <c r="R148" s="469">
        <v>338</v>
      </c>
      <c r="S148" s="469">
        <f t="shared" si="12"/>
        <v>7347.60916</v>
      </c>
    </row>
    <row r="149" spans="1:19">
      <c r="A149" s="469" t="str">
        <f t="shared" si="6"/>
        <v>KU</v>
      </c>
      <c r="B149" s="469" t="str">
        <f t="shared" si="7"/>
        <v>KY</v>
      </c>
      <c r="C149" s="469" t="str">
        <f t="shared" si="8"/>
        <v>315</v>
      </c>
      <c r="D149" s="470" t="s">
        <v>1791</v>
      </c>
      <c r="E149" s="468" t="str">
        <f t="shared" ref="E149:E212" si="13">IF(ISTEXT(MID($D149,SEARCH("FUTURE USE",$D149),3)),"FUTURE USE",IF(ISTEXT(MID($D149,SEARCH("ECR",$D149),3)),"ECR",IF(ISTEXT(MID($D149,SEARCH("ARO",$D149),3)),"ARO",IF(ISTEXT(MID($D149,SEARCH("DSM",$D149),3)),"DSM",""))))</f>
        <v/>
      </c>
      <c r="F149" s="469">
        <v>0</v>
      </c>
      <c r="G149" s="469">
        <v>0</v>
      </c>
      <c r="H149" s="469">
        <v>0</v>
      </c>
      <c r="I149" s="469">
        <v>0</v>
      </c>
      <c r="J149" s="469">
        <v>0</v>
      </c>
      <c r="K149" s="469">
        <v>0</v>
      </c>
      <c r="L149" s="469">
        <v>0</v>
      </c>
      <c r="M149" s="469">
        <v>0</v>
      </c>
      <c r="N149" s="469">
        <v>0</v>
      </c>
      <c r="O149" s="469">
        <v>0</v>
      </c>
      <c r="P149" s="469">
        <v>0</v>
      </c>
      <c r="Q149" s="469">
        <v>0</v>
      </c>
      <c r="R149" s="469">
        <v>0</v>
      </c>
      <c r="S149" s="469">
        <f t="shared" si="12"/>
        <v>0</v>
      </c>
    </row>
    <row r="150" spans="1:19">
      <c r="A150" s="469" t="str">
        <f t="shared" si="6"/>
        <v>KU</v>
      </c>
      <c r="B150" s="469" t="str">
        <f t="shared" si="7"/>
        <v>KY</v>
      </c>
      <c r="C150" s="469" t="str">
        <f t="shared" si="8"/>
        <v>315</v>
      </c>
      <c r="D150" s="470" t="s">
        <v>1792</v>
      </c>
      <c r="E150" s="468" t="str">
        <f t="shared" si="13"/>
        <v>ECR</v>
      </c>
      <c r="F150" s="469">
        <v>0</v>
      </c>
      <c r="G150" s="469">
        <v>0</v>
      </c>
      <c r="H150" s="469">
        <v>0</v>
      </c>
      <c r="I150" s="469">
        <v>0</v>
      </c>
      <c r="J150" s="469">
        <v>0</v>
      </c>
      <c r="K150" s="469">
        <v>0</v>
      </c>
      <c r="L150" s="469">
        <v>0</v>
      </c>
      <c r="M150" s="469">
        <v>0</v>
      </c>
      <c r="N150" s="469">
        <v>0</v>
      </c>
      <c r="O150" s="469">
        <v>0</v>
      </c>
      <c r="P150" s="469">
        <v>0</v>
      </c>
      <c r="Q150" s="469">
        <v>0</v>
      </c>
      <c r="R150" s="469">
        <v>0</v>
      </c>
      <c r="S150" s="469">
        <f t="shared" si="12"/>
        <v>0</v>
      </c>
    </row>
    <row r="151" spans="1:19">
      <c r="A151" s="469" t="str">
        <f t="shared" si="6"/>
        <v>KU</v>
      </c>
      <c r="B151" s="469" t="str">
        <f t="shared" si="7"/>
        <v>KY</v>
      </c>
      <c r="C151" s="469" t="str">
        <f t="shared" si="8"/>
        <v>316</v>
      </c>
      <c r="D151" s="470" t="s">
        <v>1793</v>
      </c>
      <c r="E151" s="468" t="str">
        <f t="shared" si="13"/>
        <v/>
      </c>
      <c r="F151" s="469">
        <v>1059.5230999999901</v>
      </c>
      <c r="G151" s="469">
        <v>78.709090000000003</v>
      </c>
      <c r="H151" s="469">
        <v>10.70909</v>
      </c>
      <c r="I151" s="469">
        <v>376.55094000000003</v>
      </c>
      <c r="J151" s="469">
        <v>10.70909</v>
      </c>
      <c r="K151" s="469">
        <v>518.12611000000004</v>
      </c>
      <c r="L151" s="469">
        <v>1278.2244000000001</v>
      </c>
      <c r="M151" s="469">
        <v>20.41093</v>
      </c>
      <c r="N151" s="469">
        <v>20.410969999999999</v>
      </c>
      <c r="O151" s="469">
        <v>105.69096999999999</v>
      </c>
      <c r="P151" s="469">
        <v>20.410969999999999</v>
      </c>
      <c r="Q151" s="469">
        <v>813.67928999999901</v>
      </c>
      <c r="R151" s="469">
        <v>102.97696999999999</v>
      </c>
      <c r="S151" s="469">
        <f t="shared" si="12"/>
        <v>3356.6088199999995</v>
      </c>
    </row>
    <row r="152" spans="1:19">
      <c r="A152" s="469" t="str">
        <f t="shared" si="6"/>
        <v>KU</v>
      </c>
      <c r="B152" s="469" t="str">
        <f t="shared" si="7"/>
        <v>KY</v>
      </c>
      <c r="C152" s="469" t="str">
        <f t="shared" si="8"/>
        <v>317</v>
      </c>
      <c r="D152" s="470" t="s">
        <v>1794</v>
      </c>
      <c r="E152" s="468" t="str">
        <f t="shared" si="13"/>
        <v>ARO</v>
      </c>
      <c r="F152" s="469">
        <v>0</v>
      </c>
      <c r="G152" s="469">
        <v>0</v>
      </c>
      <c r="H152" s="469">
        <v>0</v>
      </c>
      <c r="I152" s="469">
        <v>0</v>
      </c>
      <c r="J152" s="469">
        <v>0</v>
      </c>
      <c r="K152" s="469">
        <v>0</v>
      </c>
      <c r="L152" s="469">
        <v>0</v>
      </c>
      <c r="M152" s="469">
        <v>0</v>
      </c>
      <c r="N152" s="469">
        <v>0</v>
      </c>
      <c r="O152" s="469">
        <v>0</v>
      </c>
      <c r="P152" s="469">
        <v>0</v>
      </c>
      <c r="Q152" s="469">
        <v>0</v>
      </c>
      <c r="R152" s="469">
        <v>0</v>
      </c>
      <c r="S152" s="469">
        <f t="shared" si="12"/>
        <v>0</v>
      </c>
    </row>
    <row r="153" spans="1:19">
      <c r="A153" s="469" t="str">
        <f t="shared" ref="A153:A229" si="14">MID($D153,4,2)</f>
        <v>KU</v>
      </c>
      <c r="B153" s="469" t="str">
        <f t="shared" ref="B153:B229" si="15">IF(MID($D153,12,2)="- ","KY",MID($D153,12,2))</f>
        <v>KY</v>
      </c>
      <c r="C153" s="469" t="str">
        <f t="shared" ref="C153:C229" si="16">MID($D153,8,3)</f>
        <v>331</v>
      </c>
      <c r="D153" s="470" t="s">
        <v>1796</v>
      </c>
      <c r="E153" s="468" t="str">
        <f t="shared" si="13"/>
        <v/>
      </c>
      <c r="F153" s="469">
        <v>0</v>
      </c>
      <c r="G153" s="469">
        <v>0</v>
      </c>
      <c r="H153" s="469">
        <v>0</v>
      </c>
      <c r="I153" s="469">
        <v>0</v>
      </c>
      <c r="J153" s="469">
        <v>0</v>
      </c>
      <c r="K153" s="469">
        <v>0</v>
      </c>
      <c r="L153" s="469">
        <v>0</v>
      </c>
      <c r="M153" s="469">
        <v>0</v>
      </c>
      <c r="N153" s="469">
        <v>0</v>
      </c>
      <c r="O153" s="469">
        <v>0</v>
      </c>
      <c r="P153" s="469">
        <v>0</v>
      </c>
      <c r="Q153" s="469">
        <v>0</v>
      </c>
      <c r="R153" s="469">
        <v>0</v>
      </c>
      <c r="S153" s="469">
        <f t="shared" si="12"/>
        <v>0</v>
      </c>
    </row>
    <row r="154" spans="1:19">
      <c r="A154" s="469" t="str">
        <f t="shared" si="14"/>
        <v>KU</v>
      </c>
      <c r="B154" s="469" t="str">
        <f t="shared" si="15"/>
        <v>KY</v>
      </c>
      <c r="C154" s="469" t="str">
        <f t="shared" si="16"/>
        <v>332</v>
      </c>
      <c r="D154" s="470" t="s">
        <v>1797</v>
      </c>
      <c r="E154" s="468" t="str">
        <f t="shared" si="13"/>
        <v/>
      </c>
      <c r="F154" s="469">
        <v>0</v>
      </c>
      <c r="G154" s="469">
        <v>0</v>
      </c>
      <c r="H154" s="469">
        <v>0</v>
      </c>
      <c r="I154" s="469">
        <v>0</v>
      </c>
      <c r="J154" s="469">
        <v>0</v>
      </c>
      <c r="K154" s="469">
        <v>0</v>
      </c>
      <c r="L154" s="469">
        <v>0</v>
      </c>
      <c r="M154" s="469">
        <v>0</v>
      </c>
      <c r="N154" s="469">
        <v>0</v>
      </c>
      <c r="O154" s="469">
        <v>0</v>
      </c>
      <c r="P154" s="469">
        <v>0</v>
      </c>
      <c r="Q154" s="469">
        <v>0</v>
      </c>
      <c r="R154" s="469">
        <v>0</v>
      </c>
      <c r="S154" s="469">
        <f t="shared" si="12"/>
        <v>0</v>
      </c>
    </row>
    <row r="155" spans="1:19">
      <c r="A155" s="469" t="str">
        <f t="shared" si="14"/>
        <v>KU</v>
      </c>
      <c r="B155" s="469" t="str">
        <f t="shared" si="15"/>
        <v>KY</v>
      </c>
      <c r="C155" s="469" t="str">
        <f t="shared" si="16"/>
        <v>333</v>
      </c>
      <c r="D155" s="470" t="s">
        <v>1798</v>
      </c>
      <c r="E155" s="468" t="str">
        <f t="shared" si="13"/>
        <v/>
      </c>
      <c r="F155" s="469">
        <v>0</v>
      </c>
      <c r="G155" s="469">
        <v>0</v>
      </c>
      <c r="H155" s="469">
        <v>0</v>
      </c>
      <c r="I155" s="469">
        <v>0</v>
      </c>
      <c r="J155" s="469">
        <v>0</v>
      </c>
      <c r="K155" s="469">
        <v>0</v>
      </c>
      <c r="L155" s="469">
        <v>0</v>
      </c>
      <c r="M155" s="469">
        <v>0</v>
      </c>
      <c r="N155" s="469">
        <v>0</v>
      </c>
      <c r="O155" s="469">
        <v>0</v>
      </c>
      <c r="P155" s="469">
        <v>0</v>
      </c>
      <c r="Q155" s="469">
        <v>0</v>
      </c>
      <c r="R155" s="469">
        <v>0</v>
      </c>
      <c r="S155" s="469">
        <f t="shared" si="12"/>
        <v>0</v>
      </c>
    </row>
    <row r="156" spans="1:19">
      <c r="A156" s="469" t="str">
        <f t="shared" si="14"/>
        <v>KU</v>
      </c>
      <c r="B156" s="469" t="str">
        <f t="shared" si="15"/>
        <v>KY</v>
      </c>
      <c r="C156" s="469" t="str">
        <f t="shared" si="16"/>
        <v>334</v>
      </c>
      <c r="D156" s="470" t="s">
        <v>1799</v>
      </c>
      <c r="E156" s="468" t="str">
        <f t="shared" si="13"/>
        <v/>
      </c>
      <c r="F156" s="469">
        <v>0</v>
      </c>
      <c r="G156" s="469">
        <v>0</v>
      </c>
      <c r="H156" s="469">
        <v>0</v>
      </c>
      <c r="I156" s="469">
        <v>0</v>
      </c>
      <c r="J156" s="469">
        <v>0</v>
      </c>
      <c r="K156" s="469">
        <v>0</v>
      </c>
      <c r="L156" s="469">
        <v>0</v>
      </c>
      <c r="M156" s="469">
        <v>0</v>
      </c>
      <c r="N156" s="469">
        <v>0</v>
      </c>
      <c r="O156" s="469">
        <v>0</v>
      </c>
      <c r="P156" s="469">
        <v>0</v>
      </c>
      <c r="Q156" s="469">
        <v>0</v>
      </c>
      <c r="R156" s="469">
        <v>0</v>
      </c>
      <c r="S156" s="469">
        <f t="shared" si="12"/>
        <v>0</v>
      </c>
    </row>
    <row r="157" spans="1:19">
      <c r="A157" s="469" t="str">
        <f t="shared" si="14"/>
        <v>KU</v>
      </c>
      <c r="B157" s="469" t="str">
        <f t="shared" si="15"/>
        <v>KY</v>
      </c>
      <c r="C157" s="469" t="str">
        <f t="shared" si="16"/>
        <v>336</v>
      </c>
      <c r="D157" s="470" t="s">
        <v>1801</v>
      </c>
      <c r="E157" s="468" t="str">
        <f t="shared" si="13"/>
        <v/>
      </c>
      <c r="F157" s="469">
        <v>0</v>
      </c>
      <c r="G157" s="469">
        <v>0</v>
      </c>
      <c r="H157" s="469">
        <v>775</v>
      </c>
      <c r="I157" s="469">
        <v>0</v>
      </c>
      <c r="J157" s="469">
        <v>0</v>
      </c>
      <c r="K157" s="469">
        <v>0</v>
      </c>
      <c r="L157" s="469">
        <v>0</v>
      </c>
      <c r="M157" s="469">
        <v>0</v>
      </c>
      <c r="N157" s="469">
        <v>0</v>
      </c>
      <c r="O157" s="469">
        <v>0</v>
      </c>
      <c r="P157" s="469">
        <v>0</v>
      </c>
      <c r="Q157" s="469">
        <v>0</v>
      </c>
      <c r="R157" s="469">
        <v>0</v>
      </c>
      <c r="S157" s="469">
        <f t="shared" si="12"/>
        <v>775</v>
      </c>
    </row>
    <row r="158" spans="1:19">
      <c r="A158" s="469" t="str">
        <f t="shared" si="14"/>
        <v>KU</v>
      </c>
      <c r="B158" s="469" t="str">
        <f t="shared" si="15"/>
        <v>KY</v>
      </c>
      <c r="C158" s="469" t="str">
        <f t="shared" si="16"/>
        <v>341</v>
      </c>
      <c r="D158" s="470" t="s">
        <v>1804</v>
      </c>
      <c r="E158" s="468" t="str">
        <f t="shared" si="13"/>
        <v/>
      </c>
      <c r="F158" s="469">
        <v>0</v>
      </c>
      <c r="G158" s="469">
        <v>0</v>
      </c>
      <c r="H158" s="469">
        <v>0</v>
      </c>
      <c r="I158" s="469">
        <v>0</v>
      </c>
      <c r="J158" s="469">
        <v>0</v>
      </c>
      <c r="K158" s="469">
        <v>47</v>
      </c>
      <c r="L158" s="469">
        <v>0</v>
      </c>
      <c r="M158" s="469">
        <v>0</v>
      </c>
      <c r="N158" s="469">
        <v>0</v>
      </c>
      <c r="O158" s="469">
        <v>0</v>
      </c>
      <c r="P158" s="469">
        <v>0</v>
      </c>
      <c r="Q158" s="469">
        <v>47</v>
      </c>
      <c r="R158" s="469">
        <v>0</v>
      </c>
      <c r="S158" s="469">
        <f t="shared" si="12"/>
        <v>94</v>
      </c>
    </row>
    <row r="159" spans="1:19">
      <c r="A159" s="469" t="str">
        <f t="shared" si="14"/>
        <v>KU</v>
      </c>
      <c r="B159" s="469" t="str">
        <f t="shared" si="15"/>
        <v>KY</v>
      </c>
      <c r="C159" s="469" t="str">
        <f t="shared" si="16"/>
        <v>341</v>
      </c>
      <c r="D159" s="470" t="s">
        <v>2348</v>
      </c>
      <c r="E159" s="468" t="str">
        <f t="shared" si="13"/>
        <v/>
      </c>
      <c r="F159" s="469">
        <v>0</v>
      </c>
      <c r="G159" s="469">
        <v>0</v>
      </c>
      <c r="H159" s="469">
        <v>0</v>
      </c>
      <c r="I159" s="469">
        <v>195</v>
      </c>
      <c r="J159" s="469">
        <v>195</v>
      </c>
      <c r="K159" s="469">
        <v>0</v>
      </c>
      <c r="L159" s="469">
        <v>0</v>
      </c>
      <c r="M159" s="469">
        <v>0</v>
      </c>
      <c r="N159" s="469">
        <v>0</v>
      </c>
      <c r="O159" s="469">
        <v>0</v>
      </c>
      <c r="P159" s="469">
        <v>0</v>
      </c>
      <c r="Q159" s="469">
        <v>0</v>
      </c>
      <c r="R159" s="469">
        <v>0</v>
      </c>
      <c r="S159" s="469">
        <f t="shared" si="12"/>
        <v>390</v>
      </c>
    </row>
    <row r="160" spans="1:19">
      <c r="A160" s="469" t="str">
        <f t="shared" si="14"/>
        <v>KU</v>
      </c>
      <c r="B160" s="469" t="str">
        <f t="shared" si="15"/>
        <v>KY</v>
      </c>
      <c r="C160" s="469" t="str">
        <f t="shared" si="16"/>
        <v>341</v>
      </c>
      <c r="D160" s="470" t="s">
        <v>2349</v>
      </c>
      <c r="E160" s="468" t="str">
        <f t="shared" si="13"/>
        <v/>
      </c>
      <c r="F160" s="469">
        <v>0</v>
      </c>
      <c r="G160" s="469">
        <v>0</v>
      </c>
      <c r="H160" s="469">
        <v>0</v>
      </c>
      <c r="I160" s="469">
        <v>0</v>
      </c>
      <c r="J160" s="469">
        <v>0</v>
      </c>
      <c r="K160" s="469">
        <v>0</v>
      </c>
      <c r="L160" s="469">
        <v>0</v>
      </c>
      <c r="M160" s="469">
        <v>0</v>
      </c>
      <c r="N160" s="469">
        <v>0</v>
      </c>
      <c r="O160" s="469">
        <v>0</v>
      </c>
      <c r="P160" s="469">
        <v>0</v>
      </c>
      <c r="Q160" s="469">
        <v>0</v>
      </c>
      <c r="R160" s="469">
        <v>0</v>
      </c>
      <c r="S160" s="469">
        <f t="shared" si="12"/>
        <v>0</v>
      </c>
    </row>
    <row r="161" spans="1:19">
      <c r="A161" s="469" t="str">
        <f t="shared" si="14"/>
        <v>KU</v>
      </c>
      <c r="B161" s="469" t="str">
        <f t="shared" si="15"/>
        <v>KY</v>
      </c>
      <c r="C161" s="469" t="str">
        <f t="shared" si="16"/>
        <v>342</v>
      </c>
      <c r="D161" s="470" t="s">
        <v>1805</v>
      </c>
      <c r="E161" s="468" t="str">
        <f t="shared" si="13"/>
        <v/>
      </c>
      <c r="F161" s="469">
        <v>100</v>
      </c>
      <c r="G161" s="469">
        <v>0</v>
      </c>
      <c r="H161" s="469">
        <v>0</v>
      </c>
      <c r="I161" s="469">
        <v>0</v>
      </c>
      <c r="J161" s="469">
        <v>0</v>
      </c>
      <c r="K161" s="469">
        <v>0</v>
      </c>
      <c r="L161" s="469">
        <v>0</v>
      </c>
      <c r="M161" s="469">
        <v>0</v>
      </c>
      <c r="N161" s="469">
        <v>0</v>
      </c>
      <c r="O161" s="469">
        <v>0</v>
      </c>
      <c r="P161" s="469">
        <v>0</v>
      </c>
      <c r="Q161" s="469">
        <v>0</v>
      </c>
      <c r="R161" s="469">
        <v>0</v>
      </c>
      <c r="S161" s="469">
        <f t="shared" si="12"/>
        <v>0</v>
      </c>
    </row>
    <row r="162" spans="1:19">
      <c r="A162" s="469" t="str">
        <f t="shared" si="14"/>
        <v>KU</v>
      </c>
      <c r="B162" s="469" t="str">
        <f t="shared" si="15"/>
        <v>KY</v>
      </c>
      <c r="C162" s="469" t="str">
        <f t="shared" si="16"/>
        <v>342</v>
      </c>
      <c r="D162" s="470" t="s">
        <v>2350</v>
      </c>
      <c r="E162" s="468" t="str">
        <f t="shared" si="13"/>
        <v/>
      </c>
      <c r="F162" s="469">
        <v>0</v>
      </c>
      <c r="G162" s="469">
        <v>0</v>
      </c>
      <c r="H162" s="469">
        <v>0</v>
      </c>
      <c r="I162" s="469">
        <v>0</v>
      </c>
      <c r="J162" s="469">
        <v>0</v>
      </c>
      <c r="K162" s="469">
        <v>0</v>
      </c>
      <c r="L162" s="469">
        <v>0</v>
      </c>
      <c r="M162" s="469">
        <v>0</v>
      </c>
      <c r="N162" s="469">
        <v>0</v>
      </c>
      <c r="O162" s="469">
        <v>0</v>
      </c>
      <c r="P162" s="469">
        <v>0</v>
      </c>
      <c r="Q162" s="469">
        <v>0</v>
      </c>
      <c r="R162" s="469">
        <v>0</v>
      </c>
      <c r="S162" s="469">
        <f t="shared" si="12"/>
        <v>0</v>
      </c>
    </row>
    <row r="163" spans="1:19">
      <c r="A163" s="469" t="str">
        <f t="shared" si="14"/>
        <v>KU</v>
      </c>
      <c r="B163" s="469" t="str">
        <f t="shared" si="15"/>
        <v>KY</v>
      </c>
      <c r="C163" s="469" t="str">
        <f t="shared" si="16"/>
        <v>342</v>
      </c>
      <c r="D163" s="470" t="s">
        <v>2351</v>
      </c>
      <c r="E163" s="468" t="str">
        <f t="shared" si="13"/>
        <v/>
      </c>
      <c r="F163" s="469">
        <v>0</v>
      </c>
      <c r="G163" s="469">
        <v>0</v>
      </c>
      <c r="H163" s="469">
        <v>0</v>
      </c>
      <c r="I163" s="469">
        <v>0</v>
      </c>
      <c r="J163" s="469">
        <v>0</v>
      </c>
      <c r="K163" s="469">
        <v>0</v>
      </c>
      <c r="L163" s="469">
        <v>0</v>
      </c>
      <c r="M163" s="469">
        <v>0</v>
      </c>
      <c r="N163" s="469">
        <v>0</v>
      </c>
      <c r="O163" s="469">
        <v>0</v>
      </c>
      <c r="P163" s="469">
        <v>0</v>
      </c>
      <c r="Q163" s="469">
        <v>0</v>
      </c>
      <c r="R163" s="469">
        <v>0</v>
      </c>
      <c r="S163" s="469">
        <f t="shared" si="12"/>
        <v>0</v>
      </c>
    </row>
    <row r="164" spans="1:19">
      <c r="A164" s="469" t="str">
        <f t="shared" si="14"/>
        <v>KU</v>
      </c>
      <c r="B164" s="469" t="str">
        <f t="shared" si="15"/>
        <v>KY</v>
      </c>
      <c r="C164" s="469" t="str">
        <f t="shared" si="16"/>
        <v>343</v>
      </c>
      <c r="D164" s="470" t="s">
        <v>1806</v>
      </c>
      <c r="E164" s="468" t="str">
        <f t="shared" si="13"/>
        <v/>
      </c>
      <c r="F164" s="469">
        <v>0</v>
      </c>
      <c r="G164" s="469">
        <v>0</v>
      </c>
      <c r="H164" s="469">
        <v>233</v>
      </c>
      <c r="I164" s="469">
        <v>0</v>
      </c>
      <c r="J164" s="469">
        <v>896.85775999999998</v>
      </c>
      <c r="K164" s="469">
        <v>4909.0000799999998</v>
      </c>
      <c r="L164" s="469">
        <v>465.33760000000001</v>
      </c>
      <c r="M164" s="469">
        <v>0</v>
      </c>
      <c r="N164" s="469">
        <v>0</v>
      </c>
      <c r="O164" s="469">
        <v>0</v>
      </c>
      <c r="P164" s="469">
        <v>0</v>
      </c>
      <c r="Q164" s="469">
        <v>0</v>
      </c>
      <c r="R164" s="469">
        <v>0</v>
      </c>
      <c r="S164" s="469">
        <f t="shared" si="12"/>
        <v>6504.1954399999995</v>
      </c>
    </row>
    <row r="165" spans="1:19">
      <c r="A165" s="469" t="str">
        <f t="shared" si="14"/>
        <v>KU</v>
      </c>
      <c r="B165" s="469" t="str">
        <f t="shared" si="15"/>
        <v>KY</v>
      </c>
      <c r="C165" s="469" t="str">
        <f t="shared" si="16"/>
        <v>343</v>
      </c>
      <c r="D165" s="470" t="s">
        <v>2352</v>
      </c>
      <c r="E165" s="468" t="str">
        <f t="shared" si="13"/>
        <v/>
      </c>
      <c r="F165" s="469">
        <v>0</v>
      </c>
      <c r="G165" s="469">
        <v>0</v>
      </c>
      <c r="H165" s="469">
        <v>0</v>
      </c>
      <c r="I165" s="469">
        <v>0</v>
      </c>
      <c r="J165" s="469">
        <v>7905.3059999999996</v>
      </c>
      <c r="K165" s="469">
        <v>0</v>
      </c>
      <c r="L165" s="469">
        <v>0</v>
      </c>
      <c r="M165" s="469">
        <v>0</v>
      </c>
      <c r="N165" s="469">
        <v>0</v>
      </c>
      <c r="O165" s="469">
        <v>0</v>
      </c>
      <c r="P165" s="469">
        <v>0</v>
      </c>
      <c r="Q165" s="469">
        <v>0</v>
      </c>
      <c r="R165" s="469">
        <v>0</v>
      </c>
      <c r="S165" s="469">
        <f t="shared" si="12"/>
        <v>7905.3059999999996</v>
      </c>
    </row>
    <row r="166" spans="1:19">
      <c r="A166" s="469" t="str">
        <f t="shared" si="14"/>
        <v>KU</v>
      </c>
      <c r="B166" s="469" t="str">
        <f t="shared" si="15"/>
        <v>KY</v>
      </c>
      <c r="C166" s="469" t="str">
        <f t="shared" si="16"/>
        <v>344</v>
      </c>
      <c r="D166" s="470" t="s">
        <v>1807</v>
      </c>
      <c r="E166" s="468" t="str">
        <f t="shared" si="13"/>
        <v/>
      </c>
      <c r="F166" s="469">
        <v>0</v>
      </c>
      <c r="G166" s="469">
        <v>0</v>
      </c>
      <c r="H166" s="469">
        <v>0</v>
      </c>
      <c r="I166" s="469">
        <v>0</v>
      </c>
      <c r="J166" s="469">
        <v>0</v>
      </c>
      <c r="K166" s="469">
        <v>0</v>
      </c>
      <c r="L166" s="469">
        <v>0</v>
      </c>
      <c r="M166" s="469">
        <v>0</v>
      </c>
      <c r="N166" s="469">
        <v>0</v>
      </c>
      <c r="O166" s="469">
        <v>0</v>
      </c>
      <c r="P166" s="469">
        <v>0</v>
      </c>
      <c r="Q166" s="469">
        <v>0</v>
      </c>
      <c r="R166" s="469">
        <v>0</v>
      </c>
      <c r="S166" s="469">
        <f t="shared" si="12"/>
        <v>0</v>
      </c>
    </row>
    <row r="167" spans="1:19">
      <c r="A167" s="469" t="str">
        <f t="shared" si="14"/>
        <v>KU</v>
      </c>
      <c r="B167" s="469" t="str">
        <f t="shared" si="15"/>
        <v>KY</v>
      </c>
      <c r="C167" s="469" t="str">
        <f t="shared" si="16"/>
        <v>344</v>
      </c>
      <c r="D167" s="470" t="s">
        <v>2353</v>
      </c>
      <c r="E167" s="468" t="str">
        <f t="shared" si="13"/>
        <v/>
      </c>
      <c r="F167" s="469">
        <v>0</v>
      </c>
      <c r="G167" s="469">
        <v>0</v>
      </c>
      <c r="H167" s="469">
        <v>0</v>
      </c>
      <c r="I167" s="469">
        <v>0</v>
      </c>
      <c r="J167" s="469">
        <v>0</v>
      </c>
      <c r="K167" s="469">
        <v>0</v>
      </c>
      <c r="L167" s="469">
        <v>0</v>
      </c>
      <c r="M167" s="469">
        <v>0</v>
      </c>
      <c r="N167" s="469">
        <v>0</v>
      </c>
      <c r="O167" s="469">
        <v>0</v>
      </c>
      <c r="P167" s="469">
        <v>0</v>
      </c>
      <c r="Q167" s="469">
        <v>0</v>
      </c>
      <c r="R167" s="469">
        <v>0</v>
      </c>
      <c r="S167" s="469">
        <f t="shared" si="12"/>
        <v>0</v>
      </c>
    </row>
    <row r="168" spans="1:19">
      <c r="A168" s="469" t="str">
        <f t="shared" si="14"/>
        <v>KU</v>
      </c>
      <c r="B168" s="469" t="str">
        <f t="shared" si="15"/>
        <v>KY</v>
      </c>
      <c r="C168" s="469" t="str">
        <f t="shared" si="16"/>
        <v>344</v>
      </c>
      <c r="D168" s="470" t="s">
        <v>2354</v>
      </c>
      <c r="E168" s="468" t="str">
        <f t="shared" si="13"/>
        <v/>
      </c>
      <c r="F168" s="469">
        <v>0</v>
      </c>
      <c r="G168" s="469">
        <v>0</v>
      </c>
      <c r="H168" s="469">
        <v>0</v>
      </c>
      <c r="I168" s="469">
        <v>0</v>
      </c>
      <c r="J168" s="469">
        <v>0</v>
      </c>
      <c r="K168" s="469">
        <v>0</v>
      </c>
      <c r="L168" s="469">
        <v>0</v>
      </c>
      <c r="M168" s="469">
        <v>0</v>
      </c>
      <c r="N168" s="469">
        <v>0</v>
      </c>
      <c r="O168" s="469">
        <v>0</v>
      </c>
      <c r="P168" s="469">
        <v>0</v>
      </c>
      <c r="Q168" s="469">
        <v>0</v>
      </c>
      <c r="R168" s="469">
        <v>0</v>
      </c>
      <c r="S168" s="469">
        <f t="shared" si="12"/>
        <v>0</v>
      </c>
    </row>
    <row r="169" spans="1:19">
      <c r="A169" s="469" t="str">
        <f t="shared" si="14"/>
        <v>KU</v>
      </c>
      <c r="B169" s="469" t="str">
        <f t="shared" si="15"/>
        <v>KY</v>
      </c>
      <c r="C169" s="469" t="str">
        <f t="shared" si="16"/>
        <v>345</v>
      </c>
      <c r="D169" s="470" t="s">
        <v>1808</v>
      </c>
      <c r="E169" s="468" t="str">
        <f t="shared" si="13"/>
        <v/>
      </c>
      <c r="F169" s="469">
        <v>0</v>
      </c>
      <c r="G169" s="469">
        <v>0</v>
      </c>
      <c r="H169" s="469">
        <v>0</v>
      </c>
      <c r="I169" s="469">
        <v>0</v>
      </c>
      <c r="J169" s="469">
        <v>3902.9574899999998</v>
      </c>
      <c r="K169" s="469">
        <v>0</v>
      </c>
      <c r="L169" s="469">
        <v>0</v>
      </c>
      <c r="M169" s="469">
        <v>0</v>
      </c>
      <c r="N169" s="469">
        <v>0</v>
      </c>
      <c r="O169" s="469">
        <v>0</v>
      </c>
      <c r="P169" s="469">
        <v>0</v>
      </c>
      <c r="Q169" s="469">
        <v>0</v>
      </c>
      <c r="R169" s="469">
        <v>0</v>
      </c>
      <c r="S169" s="469">
        <f t="shared" si="12"/>
        <v>3902.9574899999998</v>
      </c>
    </row>
    <row r="170" spans="1:19">
      <c r="A170" s="469" t="str">
        <f t="shared" si="14"/>
        <v>KU</v>
      </c>
      <c r="B170" s="469" t="str">
        <f t="shared" si="15"/>
        <v>KY</v>
      </c>
      <c r="C170" s="469" t="str">
        <f t="shared" si="16"/>
        <v>345</v>
      </c>
      <c r="D170" s="470" t="s">
        <v>2355</v>
      </c>
      <c r="E170" s="468" t="str">
        <f t="shared" si="13"/>
        <v/>
      </c>
      <c r="F170" s="469">
        <v>0</v>
      </c>
      <c r="G170" s="469">
        <v>0</v>
      </c>
      <c r="H170" s="469">
        <v>0</v>
      </c>
      <c r="I170" s="469">
        <v>0</v>
      </c>
      <c r="J170" s="469">
        <v>7369.7817500000001</v>
      </c>
      <c r="K170" s="469">
        <v>0</v>
      </c>
      <c r="L170" s="469">
        <v>0</v>
      </c>
      <c r="M170" s="469">
        <v>0</v>
      </c>
      <c r="N170" s="469">
        <v>0</v>
      </c>
      <c r="O170" s="469">
        <v>0</v>
      </c>
      <c r="P170" s="469">
        <v>0</v>
      </c>
      <c r="Q170" s="469">
        <v>0</v>
      </c>
      <c r="R170" s="469">
        <v>0</v>
      </c>
      <c r="S170" s="469">
        <f t="shared" si="12"/>
        <v>7369.7817500000001</v>
      </c>
    </row>
    <row r="171" spans="1:19">
      <c r="A171" s="469" t="str">
        <f t="shared" si="14"/>
        <v>KU</v>
      </c>
      <c r="B171" s="469" t="str">
        <f t="shared" si="15"/>
        <v>KY</v>
      </c>
      <c r="C171" s="469" t="str">
        <f t="shared" si="16"/>
        <v>345</v>
      </c>
      <c r="D171" s="470" t="s">
        <v>2356</v>
      </c>
      <c r="E171" s="468" t="str">
        <f t="shared" si="13"/>
        <v/>
      </c>
      <c r="F171" s="469">
        <v>0</v>
      </c>
      <c r="G171" s="469">
        <v>0</v>
      </c>
      <c r="H171" s="469">
        <v>0</v>
      </c>
      <c r="I171" s="469">
        <v>0</v>
      </c>
      <c r="J171" s="469">
        <v>0</v>
      </c>
      <c r="K171" s="469">
        <v>0</v>
      </c>
      <c r="L171" s="469">
        <v>1500</v>
      </c>
      <c r="M171" s="469">
        <v>0</v>
      </c>
      <c r="N171" s="469">
        <v>0</v>
      </c>
      <c r="O171" s="469">
        <v>0</v>
      </c>
      <c r="P171" s="469">
        <v>0</v>
      </c>
      <c r="Q171" s="469">
        <v>0</v>
      </c>
      <c r="R171" s="469">
        <v>0</v>
      </c>
      <c r="S171" s="469">
        <f t="shared" si="12"/>
        <v>1500</v>
      </c>
    </row>
    <row r="172" spans="1:19">
      <c r="A172" s="469" t="str">
        <f t="shared" si="14"/>
        <v>KU</v>
      </c>
      <c r="B172" s="469" t="str">
        <f t="shared" si="15"/>
        <v>KY</v>
      </c>
      <c r="C172" s="469" t="str">
        <f t="shared" si="16"/>
        <v>346</v>
      </c>
      <c r="D172" s="470" t="s">
        <v>1809</v>
      </c>
      <c r="E172" s="468" t="str">
        <f t="shared" si="13"/>
        <v/>
      </c>
      <c r="F172" s="469">
        <v>2402.6999999999998</v>
      </c>
      <c r="G172" s="469">
        <v>0</v>
      </c>
      <c r="H172" s="469">
        <v>300</v>
      </c>
      <c r="I172" s="469">
        <v>0</v>
      </c>
      <c r="J172" s="469">
        <v>0</v>
      </c>
      <c r="K172" s="469">
        <v>164.5</v>
      </c>
      <c r="L172" s="469">
        <v>0</v>
      </c>
      <c r="M172" s="469">
        <v>0</v>
      </c>
      <c r="N172" s="469">
        <v>0</v>
      </c>
      <c r="O172" s="469">
        <v>0</v>
      </c>
      <c r="P172" s="469">
        <v>0</v>
      </c>
      <c r="Q172" s="469">
        <v>0</v>
      </c>
      <c r="R172" s="469">
        <v>0</v>
      </c>
      <c r="S172" s="469">
        <f t="shared" si="12"/>
        <v>464.5</v>
      </c>
    </row>
    <row r="173" spans="1:19">
      <c r="A173" s="469" t="str">
        <f t="shared" si="14"/>
        <v>KU</v>
      </c>
      <c r="B173" s="469" t="str">
        <f t="shared" si="15"/>
        <v>KY</v>
      </c>
      <c r="C173" s="469" t="str">
        <f t="shared" si="16"/>
        <v>346</v>
      </c>
      <c r="D173" s="470" t="s">
        <v>2357</v>
      </c>
      <c r="E173" s="468" t="str">
        <f t="shared" si="13"/>
        <v/>
      </c>
      <c r="F173" s="469">
        <v>0</v>
      </c>
      <c r="G173" s="469">
        <v>0</v>
      </c>
      <c r="H173" s="469">
        <v>0</v>
      </c>
      <c r="I173" s="469">
        <v>0</v>
      </c>
      <c r="J173" s="469">
        <v>0</v>
      </c>
      <c r="K173" s="469">
        <v>0</v>
      </c>
      <c r="L173" s="469">
        <v>0</v>
      </c>
      <c r="M173" s="469">
        <v>0</v>
      </c>
      <c r="N173" s="469">
        <v>0</v>
      </c>
      <c r="O173" s="469">
        <v>0</v>
      </c>
      <c r="P173" s="469">
        <v>0</v>
      </c>
      <c r="Q173" s="469">
        <v>0</v>
      </c>
      <c r="R173" s="469">
        <v>0</v>
      </c>
      <c r="S173" s="469">
        <f t="shared" si="12"/>
        <v>0</v>
      </c>
    </row>
    <row r="174" spans="1:19">
      <c r="A174" s="469" t="str">
        <f t="shared" si="14"/>
        <v>KU</v>
      </c>
      <c r="B174" s="469" t="str">
        <f t="shared" si="15"/>
        <v>KY</v>
      </c>
      <c r="C174" s="469" t="str">
        <f t="shared" si="16"/>
        <v>346</v>
      </c>
      <c r="D174" s="470" t="s">
        <v>2358</v>
      </c>
      <c r="E174" s="468" t="str">
        <f t="shared" si="13"/>
        <v/>
      </c>
      <c r="F174" s="469">
        <v>0</v>
      </c>
      <c r="G174" s="469">
        <v>0</v>
      </c>
      <c r="H174" s="469">
        <v>0</v>
      </c>
      <c r="I174" s="469">
        <v>0</v>
      </c>
      <c r="J174" s="469">
        <v>0</v>
      </c>
      <c r="K174" s="469">
        <v>0</v>
      </c>
      <c r="L174" s="469">
        <v>0</v>
      </c>
      <c r="M174" s="469">
        <v>0</v>
      </c>
      <c r="N174" s="469">
        <v>0</v>
      </c>
      <c r="O174" s="469">
        <v>0</v>
      </c>
      <c r="P174" s="469">
        <v>0</v>
      </c>
      <c r="Q174" s="469">
        <v>0</v>
      </c>
      <c r="R174" s="469">
        <v>0</v>
      </c>
      <c r="S174" s="469">
        <f t="shared" si="12"/>
        <v>0</v>
      </c>
    </row>
    <row r="175" spans="1:19">
      <c r="A175" s="469" t="str">
        <f t="shared" si="14"/>
        <v>KU</v>
      </c>
      <c r="B175" s="469" t="str">
        <f t="shared" si="15"/>
        <v>KY</v>
      </c>
      <c r="C175" s="469" t="str">
        <f t="shared" si="16"/>
        <v>352</v>
      </c>
      <c r="D175" s="470" t="s">
        <v>1814</v>
      </c>
      <c r="E175" s="468" t="str">
        <f t="shared" si="13"/>
        <v/>
      </c>
      <c r="F175" s="469">
        <v>0</v>
      </c>
      <c r="G175" s="469">
        <v>0</v>
      </c>
      <c r="H175" s="469">
        <v>0</v>
      </c>
      <c r="I175" s="469">
        <v>0</v>
      </c>
      <c r="J175" s="469">
        <v>0</v>
      </c>
      <c r="K175" s="469">
        <v>0</v>
      </c>
      <c r="L175" s="469">
        <v>0</v>
      </c>
      <c r="M175" s="469">
        <v>0</v>
      </c>
      <c r="N175" s="469">
        <v>0</v>
      </c>
      <c r="O175" s="469">
        <v>0</v>
      </c>
      <c r="P175" s="469">
        <v>0</v>
      </c>
      <c r="Q175" s="469">
        <v>0</v>
      </c>
      <c r="R175" s="469">
        <v>0</v>
      </c>
      <c r="S175" s="469">
        <f t="shared" si="12"/>
        <v>0</v>
      </c>
    </row>
    <row r="176" spans="1:19">
      <c r="A176" s="469" t="str">
        <f t="shared" si="14"/>
        <v>KU</v>
      </c>
      <c r="B176" s="469" t="str">
        <f t="shared" si="15"/>
        <v>KY</v>
      </c>
      <c r="C176" s="469" t="str">
        <f t="shared" si="16"/>
        <v>353</v>
      </c>
      <c r="D176" s="470" t="s">
        <v>1816</v>
      </c>
      <c r="E176" s="468" t="str">
        <f t="shared" si="13"/>
        <v/>
      </c>
      <c r="F176" s="469">
        <v>897.94952999999998</v>
      </c>
      <c r="G176" s="469">
        <v>638.10145</v>
      </c>
      <c r="H176" s="469">
        <v>1378.80375999999</v>
      </c>
      <c r="I176" s="469">
        <v>708.70754999999997</v>
      </c>
      <c r="J176" s="469">
        <v>876.05714999999998</v>
      </c>
      <c r="K176" s="469">
        <v>754.90446999999995</v>
      </c>
      <c r="L176" s="469">
        <v>18482.950430000001</v>
      </c>
      <c r="M176" s="469">
        <v>0</v>
      </c>
      <c r="N176" s="469">
        <v>0</v>
      </c>
      <c r="O176" s="469">
        <v>33.768249999999902</v>
      </c>
      <c r="P176" s="469">
        <v>1529.05333</v>
      </c>
      <c r="Q176" s="469">
        <v>894.85906</v>
      </c>
      <c r="R176" s="469">
        <v>4970.0959000000003</v>
      </c>
      <c r="S176" s="469">
        <f t="shared" si="12"/>
        <v>30267.301349999991</v>
      </c>
    </row>
    <row r="177" spans="1:19">
      <c r="A177" s="469" t="str">
        <f t="shared" si="14"/>
        <v>KU</v>
      </c>
      <c r="B177" s="469" t="s">
        <v>17</v>
      </c>
      <c r="C177" s="469" t="str">
        <f t="shared" si="16"/>
        <v>353</v>
      </c>
      <c r="D177" s="470" t="s">
        <v>1817</v>
      </c>
      <c r="E177" s="468" t="str">
        <f t="shared" si="13"/>
        <v/>
      </c>
      <c r="F177" s="469">
        <v>0</v>
      </c>
      <c r="G177" s="469">
        <v>0</v>
      </c>
      <c r="H177" s="469">
        <v>0</v>
      </c>
      <c r="I177" s="469">
        <v>0</v>
      </c>
      <c r="J177" s="469">
        <v>0</v>
      </c>
      <c r="K177" s="469">
        <v>0</v>
      </c>
      <c r="L177" s="469">
        <v>280.00000999999997</v>
      </c>
      <c r="M177" s="469">
        <v>0</v>
      </c>
      <c r="N177" s="469">
        <v>0</v>
      </c>
      <c r="O177" s="469">
        <v>0</v>
      </c>
      <c r="P177" s="469">
        <v>0</v>
      </c>
      <c r="Q177" s="469">
        <v>0</v>
      </c>
      <c r="R177" s="469">
        <v>0</v>
      </c>
      <c r="S177" s="469">
        <f t="shared" si="12"/>
        <v>280.00000999999997</v>
      </c>
    </row>
    <row r="178" spans="1:19">
      <c r="A178" s="469" t="str">
        <f t="shared" si="14"/>
        <v>KU</v>
      </c>
      <c r="B178" s="469" t="str">
        <f t="shared" si="15"/>
        <v>VA</v>
      </c>
      <c r="C178" s="469" t="str">
        <f t="shared" si="16"/>
        <v>353</v>
      </c>
      <c r="D178" s="470" t="s">
        <v>1818</v>
      </c>
      <c r="E178" s="468" t="str">
        <f t="shared" si="13"/>
        <v/>
      </c>
      <c r="F178" s="469">
        <v>0</v>
      </c>
      <c r="G178" s="469">
        <v>0</v>
      </c>
      <c r="H178" s="469">
        <v>0</v>
      </c>
      <c r="I178" s="469">
        <v>0</v>
      </c>
      <c r="J178" s="469">
        <v>0</v>
      </c>
      <c r="K178" s="469">
        <v>0</v>
      </c>
      <c r="L178" s="469">
        <v>200.08</v>
      </c>
      <c r="M178" s="469">
        <v>0</v>
      </c>
      <c r="N178" s="469">
        <v>0</v>
      </c>
      <c r="O178" s="469">
        <v>0</v>
      </c>
      <c r="P178" s="469">
        <v>0</v>
      </c>
      <c r="Q178" s="469">
        <v>0</v>
      </c>
      <c r="R178" s="469">
        <v>0</v>
      </c>
      <c r="S178" s="469">
        <f t="shared" si="12"/>
        <v>200.08</v>
      </c>
    </row>
    <row r="179" spans="1:19">
      <c r="A179" s="469" t="str">
        <f t="shared" si="14"/>
        <v>KU</v>
      </c>
      <c r="B179" s="469" t="str">
        <f t="shared" si="15"/>
        <v>KY</v>
      </c>
      <c r="C179" s="469" t="str">
        <f t="shared" si="16"/>
        <v>354</v>
      </c>
      <c r="D179" s="470" t="s">
        <v>1819</v>
      </c>
      <c r="E179" s="468" t="str">
        <f t="shared" si="13"/>
        <v/>
      </c>
      <c r="F179" s="469">
        <v>0</v>
      </c>
      <c r="G179" s="469">
        <v>0</v>
      </c>
      <c r="H179" s="469">
        <v>0</v>
      </c>
      <c r="I179" s="469">
        <v>0</v>
      </c>
      <c r="J179" s="469">
        <v>0</v>
      </c>
      <c r="K179" s="469">
        <v>0</v>
      </c>
      <c r="L179" s="469">
        <v>0</v>
      </c>
      <c r="M179" s="469">
        <v>0</v>
      </c>
      <c r="N179" s="469">
        <v>0</v>
      </c>
      <c r="O179" s="469">
        <v>0</v>
      </c>
      <c r="P179" s="469">
        <v>0</v>
      </c>
      <c r="Q179" s="469">
        <v>0</v>
      </c>
      <c r="R179" s="469">
        <v>0</v>
      </c>
      <c r="S179" s="469">
        <f t="shared" si="12"/>
        <v>0</v>
      </c>
    </row>
    <row r="180" spans="1:19">
      <c r="A180" s="469" t="str">
        <f t="shared" si="14"/>
        <v>KU</v>
      </c>
      <c r="B180" s="469" t="str">
        <f t="shared" si="15"/>
        <v>KY</v>
      </c>
      <c r="C180" s="469" t="str">
        <f t="shared" si="16"/>
        <v>355</v>
      </c>
      <c r="D180" s="470" t="s">
        <v>1821</v>
      </c>
      <c r="E180" s="468" t="str">
        <f t="shared" si="13"/>
        <v/>
      </c>
      <c r="F180" s="469">
        <v>18485.9822299999</v>
      </c>
      <c r="G180" s="469">
        <v>5649.2849100000003</v>
      </c>
      <c r="H180" s="469">
        <v>3794.8129799999901</v>
      </c>
      <c r="I180" s="469">
        <v>5044.0650599999999</v>
      </c>
      <c r="J180" s="469">
        <v>3605.4199899999899</v>
      </c>
      <c r="K180" s="469">
        <v>4237.27549</v>
      </c>
      <c r="L180" s="469">
        <v>3505.2239</v>
      </c>
      <c r="M180" s="469">
        <v>4310.5972099999999</v>
      </c>
      <c r="N180" s="469">
        <v>4310.6065799999997</v>
      </c>
      <c r="O180" s="469">
        <v>6333.5315000000001</v>
      </c>
      <c r="P180" s="469">
        <v>4534.2846599999903</v>
      </c>
      <c r="Q180" s="469">
        <v>4320.4973</v>
      </c>
      <c r="R180" s="469">
        <v>10168.551659999999</v>
      </c>
      <c r="S180" s="469">
        <f t="shared" si="12"/>
        <v>59814.15123999997</v>
      </c>
    </row>
    <row r="181" spans="1:19">
      <c r="A181" s="469" t="str">
        <f t="shared" si="14"/>
        <v>KU</v>
      </c>
      <c r="B181" s="469" t="str">
        <f t="shared" si="15"/>
        <v>VA</v>
      </c>
      <c r="C181" s="469" t="str">
        <f t="shared" si="16"/>
        <v>355</v>
      </c>
      <c r="D181" s="470" t="s">
        <v>1823</v>
      </c>
      <c r="E181" s="468" t="str">
        <f t="shared" si="13"/>
        <v/>
      </c>
      <c r="F181" s="469">
        <v>0</v>
      </c>
      <c r="G181" s="469">
        <v>0</v>
      </c>
      <c r="H181" s="469">
        <v>97.945599999999999</v>
      </c>
      <c r="I181" s="469">
        <v>0</v>
      </c>
      <c r="J181" s="469">
        <v>0</v>
      </c>
      <c r="K181" s="469">
        <v>0</v>
      </c>
      <c r="L181" s="469">
        <v>0</v>
      </c>
      <c r="M181" s="469">
        <v>0</v>
      </c>
      <c r="N181" s="469">
        <v>0</v>
      </c>
      <c r="O181" s="469">
        <v>346.14636000000002</v>
      </c>
      <c r="P181" s="469">
        <v>0</v>
      </c>
      <c r="Q181" s="469">
        <v>0</v>
      </c>
      <c r="R181" s="469">
        <v>0</v>
      </c>
      <c r="S181" s="469">
        <f t="shared" si="12"/>
        <v>444.09196000000003</v>
      </c>
    </row>
    <row r="182" spans="1:19">
      <c r="A182" s="469" t="str">
        <f t="shared" si="14"/>
        <v>KU</v>
      </c>
      <c r="B182" s="469" t="str">
        <f t="shared" si="15"/>
        <v>KY</v>
      </c>
      <c r="C182" s="469" t="str">
        <f t="shared" si="16"/>
        <v>356</v>
      </c>
      <c r="D182" s="470" t="s">
        <v>1824</v>
      </c>
      <c r="E182" s="468" t="str">
        <f t="shared" si="13"/>
        <v/>
      </c>
      <c r="F182" s="469">
        <v>917.95735000000002</v>
      </c>
      <c r="G182" s="469">
        <v>71.762110000000007</v>
      </c>
      <c r="H182" s="469">
        <v>2214.0288700000001</v>
      </c>
      <c r="I182" s="469">
        <v>71.762110000000007</v>
      </c>
      <c r="J182" s="469">
        <v>71.762110000000007</v>
      </c>
      <c r="K182" s="469">
        <v>71.762110000000007</v>
      </c>
      <c r="L182" s="469">
        <v>71.762110000000007</v>
      </c>
      <c r="M182" s="469">
        <v>73.820830000000001</v>
      </c>
      <c r="N182" s="469">
        <v>73.820859999999996</v>
      </c>
      <c r="O182" s="469">
        <v>73.820859999999996</v>
      </c>
      <c r="P182" s="469">
        <v>73.820859999999996</v>
      </c>
      <c r="Q182" s="469">
        <v>73.820859999999996</v>
      </c>
      <c r="R182" s="469">
        <v>73.820859999999996</v>
      </c>
      <c r="S182" s="469">
        <f t="shared" si="12"/>
        <v>3015.7645499999999</v>
      </c>
    </row>
    <row r="183" spans="1:19">
      <c r="A183" s="469" t="str">
        <f t="shared" si="14"/>
        <v>KU</v>
      </c>
      <c r="B183" s="469" t="str">
        <f t="shared" si="15"/>
        <v>VA</v>
      </c>
      <c r="C183" s="469" t="str">
        <f t="shared" si="16"/>
        <v>356</v>
      </c>
      <c r="D183" s="470" t="s">
        <v>1826</v>
      </c>
      <c r="E183" s="468" t="str">
        <f t="shared" si="13"/>
        <v/>
      </c>
      <c r="F183" s="469">
        <v>0</v>
      </c>
      <c r="G183" s="469">
        <v>0</v>
      </c>
      <c r="H183" s="469">
        <v>0</v>
      </c>
      <c r="I183" s="469">
        <v>0</v>
      </c>
      <c r="J183" s="469">
        <v>0</v>
      </c>
      <c r="K183" s="469">
        <v>0</v>
      </c>
      <c r="L183" s="469">
        <v>0</v>
      </c>
      <c r="M183" s="469">
        <v>0</v>
      </c>
      <c r="N183" s="469">
        <v>0</v>
      </c>
      <c r="O183" s="469">
        <v>0</v>
      </c>
      <c r="P183" s="469">
        <v>0</v>
      </c>
      <c r="Q183" s="469">
        <v>0</v>
      </c>
      <c r="R183" s="469">
        <v>0</v>
      </c>
      <c r="S183" s="469">
        <f t="shared" si="12"/>
        <v>0</v>
      </c>
    </row>
    <row r="184" spans="1:19">
      <c r="A184" s="469" t="str">
        <f t="shared" si="14"/>
        <v>KU</v>
      </c>
      <c r="B184" s="469" t="str">
        <f t="shared" si="15"/>
        <v>KY</v>
      </c>
      <c r="C184" s="469" t="str">
        <f t="shared" si="16"/>
        <v>358</v>
      </c>
      <c r="D184" s="470" t="s">
        <v>1828</v>
      </c>
      <c r="E184" s="468" t="str">
        <f t="shared" si="13"/>
        <v/>
      </c>
      <c r="F184" s="469">
        <v>0</v>
      </c>
      <c r="G184" s="469">
        <v>0</v>
      </c>
      <c r="H184" s="469">
        <v>0</v>
      </c>
      <c r="I184" s="469">
        <v>0</v>
      </c>
      <c r="J184" s="469">
        <v>0</v>
      </c>
      <c r="K184" s="469">
        <v>0</v>
      </c>
      <c r="L184" s="469">
        <v>0</v>
      </c>
      <c r="M184" s="469">
        <v>0</v>
      </c>
      <c r="N184" s="469">
        <v>0</v>
      </c>
      <c r="O184" s="469">
        <v>0</v>
      </c>
      <c r="P184" s="469">
        <v>0</v>
      </c>
      <c r="Q184" s="469">
        <v>0</v>
      </c>
      <c r="R184" s="469">
        <v>0</v>
      </c>
      <c r="S184" s="469">
        <f t="shared" si="12"/>
        <v>0</v>
      </c>
    </row>
    <row r="185" spans="1:19">
      <c r="A185" s="469" t="str">
        <f t="shared" si="14"/>
        <v>KU</v>
      </c>
      <c r="B185" s="469" t="str">
        <f t="shared" si="15"/>
        <v>KY</v>
      </c>
      <c r="C185" s="469" t="str">
        <f t="shared" si="16"/>
        <v>360</v>
      </c>
      <c r="D185" s="470" t="s">
        <v>1831</v>
      </c>
      <c r="E185" s="468" t="str">
        <f t="shared" si="13"/>
        <v/>
      </c>
      <c r="F185" s="469">
        <v>0</v>
      </c>
      <c r="G185" s="469">
        <v>0</v>
      </c>
      <c r="H185" s="469">
        <v>0</v>
      </c>
      <c r="I185" s="469">
        <v>0</v>
      </c>
      <c r="J185" s="469">
        <v>0</v>
      </c>
      <c r="K185" s="469">
        <v>0</v>
      </c>
      <c r="L185" s="469">
        <v>400.75</v>
      </c>
      <c r="M185" s="469">
        <v>0</v>
      </c>
      <c r="N185" s="469">
        <v>0</v>
      </c>
      <c r="O185" s="469">
        <v>0</v>
      </c>
      <c r="P185" s="469">
        <v>0</v>
      </c>
      <c r="Q185" s="469">
        <v>0</v>
      </c>
      <c r="R185" s="469">
        <v>0</v>
      </c>
      <c r="S185" s="469">
        <f t="shared" si="12"/>
        <v>400.75</v>
      </c>
    </row>
    <row r="186" spans="1:19">
      <c r="A186" s="469" t="str">
        <f t="shared" si="14"/>
        <v>KU</v>
      </c>
      <c r="B186" s="469" t="str">
        <f t="shared" si="15"/>
        <v>VA</v>
      </c>
      <c r="C186" s="469" t="str">
        <f t="shared" si="16"/>
        <v>360</v>
      </c>
      <c r="D186" s="470" t="s">
        <v>1833</v>
      </c>
      <c r="E186" s="468" t="str">
        <f t="shared" si="13"/>
        <v/>
      </c>
      <c r="F186" s="469">
        <v>0</v>
      </c>
      <c r="G186" s="469">
        <v>0</v>
      </c>
      <c r="H186" s="469">
        <v>0</v>
      </c>
      <c r="I186" s="469">
        <v>0</v>
      </c>
      <c r="J186" s="469">
        <v>0</v>
      </c>
      <c r="K186" s="469">
        <v>0</v>
      </c>
      <c r="L186" s="469">
        <v>0</v>
      </c>
      <c r="M186" s="469">
        <v>0</v>
      </c>
      <c r="N186" s="469">
        <v>0</v>
      </c>
      <c r="O186" s="469">
        <v>0</v>
      </c>
      <c r="P186" s="469">
        <v>0</v>
      </c>
      <c r="Q186" s="469">
        <v>0</v>
      </c>
      <c r="R186" s="469">
        <v>0</v>
      </c>
      <c r="S186" s="469">
        <f t="shared" si="12"/>
        <v>0</v>
      </c>
    </row>
    <row r="187" spans="1:19">
      <c r="A187" s="469" t="str">
        <f t="shared" si="14"/>
        <v>KU</v>
      </c>
      <c r="B187" s="469" t="str">
        <f t="shared" si="15"/>
        <v>KY</v>
      </c>
      <c r="C187" s="469" t="str">
        <f t="shared" si="16"/>
        <v>361</v>
      </c>
      <c r="D187" s="470" t="s">
        <v>1834</v>
      </c>
      <c r="E187" s="468" t="str">
        <f t="shared" si="13"/>
        <v/>
      </c>
      <c r="F187" s="469">
        <v>0</v>
      </c>
      <c r="G187" s="469">
        <v>1563.99999</v>
      </c>
      <c r="H187" s="469">
        <v>2</v>
      </c>
      <c r="I187" s="469">
        <v>0</v>
      </c>
      <c r="J187" s="469">
        <v>0</v>
      </c>
      <c r="K187" s="469">
        <v>0</v>
      </c>
      <c r="L187" s="469">
        <v>82.306399999999996</v>
      </c>
      <c r="M187" s="469">
        <v>0</v>
      </c>
      <c r="N187" s="469">
        <v>0</v>
      </c>
      <c r="O187" s="469">
        <v>0</v>
      </c>
      <c r="P187" s="469">
        <v>0</v>
      </c>
      <c r="Q187" s="469">
        <v>0</v>
      </c>
      <c r="R187" s="469">
        <v>0</v>
      </c>
      <c r="S187" s="469">
        <f t="shared" si="12"/>
        <v>1648.30639</v>
      </c>
    </row>
    <row r="188" spans="1:19">
      <c r="A188" s="469" t="str">
        <f t="shared" si="14"/>
        <v>KU</v>
      </c>
      <c r="B188" s="469" t="str">
        <f t="shared" si="15"/>
        <v>VA</v>
      </c>
      <c r="C188" s="469" t="str">
        <f t="shared" si="16"/>
        <v>361</v>
      </c>
      <c r="D188" s="470" t="s">
        <v>1836</v>
      </c>
      <c r="E188" s="468" t="str">
        <f t="shared" si="13"/>
        <v/>
      </c>
      <c r="F188" s="469">
        <v>0</v>
      </c>
      <c r="G188" s="469">
        <v>0</v>
      </c>
      <c r="H188" s="469">
        <v>0</v>
      </c>
      <c r="I188" s="469">
        <v>0</v>
      </c>
      <c r="J188" s="469">
        <v>0</v>
      </c>
      <c r="K188" s="469">
        <v>0</v>
      </c>
      <c r="L188" s="469">
        <v>0</v>
      </c>
      <c r="M188" s="469">
        <v>0</v>
      </c>
      <c r="N188" s="469">
        <v>0</v>
      </c>
      <c r="O188" s="469">
        <v>0</v>
      </c>
      <c r="P188" s="469">
        <v>0</v>
      </c>
      <c r="Q188" s="469">
        <v>0</v>
      </c>
      <c r="R188" s="469">
        <v>0</v>
      </c>
      <c r="S188" s="469">
        <f t="shared" si="12"/>
        <v>0</v>
      </c>
    </row>
    <row r="189" spans="1:19">
      <c r="A189" s="469" t="str">
        <f t="shared" si="14"/>
        <v>KU</v>
      </c>
      <c r="B189" s="469" t="str">
        <f t="shared" si="15"/>
        <v>KY</v>
      </c>
      <c r="C189" s="469" t="str">
        <f t="shared" si="16"/>
        <v>362</v>
      </c>
      <c r="D189" s="470" t="s">
        <v>1837</v>
      </c>
      <c r="E189" s="468" t="str">
        <f t="shared" si="13"/>
        <v/>
      </c>
      <c r="F189" s="469">
        <v>5.9050000000000002</v>
      </c>
      <c r="G189" s="469">
        <v>5.9050000000000002</v>
      </c>
      <c r="H189" s="469">
        <v>5.9050000000000002</v>
      </c>
      <c r="I189" s="469">
        <v>5.9050000000000002</v>
      </c>
      <c r="J189" s="469">
        <v>16.39</v>
      </c>
      <c r="K189" s="469">
        <v>9.2266100000000009</v>
      </c>
      <c r="L189" s="469">
        <v>18604.024979999998</v>
      </c>
      <c r="M189" s="469">
        <v>0</v>
      </c>
      <c r="N189" s="469">
        <v>4.58</v>
      </c>
      <c r="O189" s="469">
        <v>4.58</v>
      </c>
      <c r="P189" s="469">
        <v>5.9050000000000002</v>
      </c>
      <c r="Q189" s="469">
        <v>5.9050000000000002</v>
      </c>
      <c r="R189" s="469">
        <v>5.9050000000000002</v>
      </c>
      <c r="S189" s="469">
        <f t="shared" si="12"/>
        <v>18674.231589999999</v>
      </c>
    </row>
    <row r="190" spans="1:19">
      <c r="A190" s="469" t="str">
        <f t="shared" si="14"/>
        <v>KU</v>
      </c>
      <c r="B190" s="469" t="str">
        <f t="shared" si="15"/>
        <v>VA</v>
      </c>
      <c r="C190" s="469" t="str">
        <f t="shared" si="16"/>
        <v>362</v>
      </c>
      <c r="D190" s="470" t="s">
        <v>1839</v>
      </c>
      <c r="E190" s="468" t="str">
        <f t="shared" si="13"/>
        <v/>
      </c>
      <c r="F190" s="469">
        <v>0</v>
      </c>
      <c r="G190" s="469">
        <v>0</v>
      </c>
      <c r="H190" s="469">
        <v>0</v>
      </c>
      <c r="I190" s="469">
        <v>0</v>
      </c>
      <c r="J190" s="469">
        <v>0</v>
      </c>
      <c r="K190" s="469">
        <v>0</v>
      </c>
      <c r="L190" s="469">
        <v>0</v>
      </c>
      <c r="M190" s="469">
        <v>0</v>
      </c>
      <c r="N190" s="469">
        <v>0</v>
      </c>
      <c r="O190" s="469">
        <v>0</v>
      </c>
      <c r="P190" s="469">
        <v>0</v>
      </c>
      <c r="Q190" s="469">
        <v>0</v>
      </c>
      <c r="R190" s="469">
        <v>0</v>
      </c>
      <c r="S190" s="469">
        <f t="shared" si="12"/>
        <v>0</v>
      </c>
    </row>
    <row r="191" spans="1:19">
      <c r="A191" s="469" t="str">
        <f t="shared" si="14"/>
        <v>KU</v>
      </c>
      <c r="B191" s="469" t="str">
        <f t="shared" si="15"/>
        <v>KY</v>
      </c>
      <c r="C191" s="469" t="str">
        <f t="shared" si="16"/>
        <v>364</v>
      </c>
      <c r="D191" s="470" t="s">
        <v>1840</v>
      </c>
      <c r="E191" s="468" t="str">
        <f t="shared" si="13"/>
        <v/>
      </c>
      <c r="F191" s="469">
        <v>1123.04746</v>
      </c>
      <c r="G191" s="469">
        <v>1100.7419500000001</v>
      </c>
      <c r="H191" s="469">
        <v>1157.5357899999999</v>
      </c>
      <c r="I191" s="469">
        <v>1115.2310600000001</v>
      </c>
      <c r="J191" s="469">
        <v>1093.5905399999999</v>
      </c>
      <c r="K191" s="469">
        <v>749.84717000000001</v>
      </c>
      <c r="L191" s="469">
        <v>2026.28448</v>
      </c>
      <c r="M191" s="469">
        <v>857.03626999999904</v>
      </c>
      <c r="N191" s="469">
        <v>825.77160999999899</v>
      </c>
      <c r="O191" s="469">
        <v>1163.0814399999899</v>
      </c>
      <c r="P191" s="469">
        <v>1113.42697999999</v>
      </c>
      <c r="Q191" s="469">
        <v>1165.9132199999999</v>
      </c>
      <c r="R191" s="469">
        <v>1147.55144</v>
      </c>
      <c r="S191" s="469">
        <f t="shared" si="12"/>
        <v>13516.011949999976</v>
      </c>
    </row>
    <row r="192" spans="1:19">
      <c r="A192" s="469" t="str">
        <f t="shared" si="14"/>
        <v>KU</v>
      </c>
      <c r="B192" s="469" t="str">
        <f t="shared" si="15"/>
        <v>VA</v>
      </c>
      <c r="C192" s="469" t="str">
        <f t="shared" si="16"/>
        <v>364</v>
      </c>
      <c r="D192" s="470" t="s">
        <v>1842</v>
      </c>
      <c r="E192" s="468" t="str">
        <f t="shared" si="13"/>
        <v/>
      </c>
      <c r="F192" s="469">
        <v>9.6400699999999997</v>
      </c>
      <c r="G192" s="469">
        <v>28.753219999999999</v>
      </c>
      <c r="H192" s="469">
        <v>21.915130000000001</v>
      </c>
      <c r="I192" s="469">
        <v>21.336659999999998</v>
      </c>
      <c r="J192" s="469">
        <v>32.316740000000003</v>
      </c>
      <c r="K192" s="469">
        <v>13.11007</v>
      </c>
      <c r="L192" s="469">
        <v>12.21505</v>
      </c>
      <c r="M192" s="469">
        <v>21.9725</v>
      </c>
      <c r="N192" s="469">
        <v>20.200150000000001</v>
      </c>
      <c r="O192" s="469">
        <v>15.400419999999899</v>
      </c>
      <c r="P192" s="469">
        <v>23.144880000000001</v>
      </c>
      <c r="Q192" s="469">
        <v>23.160419999999998</v>
      </c>
      <c r="R192" s="469">
        <v>10.973330000000001</v>
      </c>
      <c r="S192" s="469">
        <f t="shared" si="12"/>
        <v>244.49856999999992</v>
      </c>
    </row>
    <row r="193" spans="1:19">
      <c r="A193" s="469" t="str">
        <f t="shared" si="14"/>
        <v>KU</v>
      </c>
      <c r="B193" s="469" t="str">
        <f t="shared" si="15"/>
        <v>KY</v>
      </c>
      <c r="C193" s="469" t="str">
        <f t="shared" si="16"/>
        <v>365</v>
      </c>
      <c r="D193" s="470" t="s">
        <v>1843</v>
      </c>
      <c r="E193" s="468" t="str">
        <f t="shared" si="13"/>
        <v/>
      </c>
      <c r="F193" s="469">
        <v>1864.96891999999</v>
      </c>
      <c r="G193" s="469">
        <v>1807.9134799999899</v>
      </c>
      <c r="H193" s="469">
        <v>2084.5709199999901</v>
      </c>
      <c r="I193" s="469">
        <v>1722.7455399999999</v>
      </c>
      <c r="J193" s="469">
        <v>1770.39105</v>
      </c>
      <c r="K193" s="469">
        <v>1683.3833999999899</v>
      </c>
      <c r="L193" s="469">
        <v>2973.4271599999902</v>
      </c>
      <c r="M193" s="469">
        <v>1973.82167999999</v>
      </c>
      <c r="N193" s="469">
        <v>1820.0675199999901</v>
      </c>
      <c r="O193" s="469">
        <v>2007.8213499999999</v>
      </c>
      <c r="P193" s="469">
        <v>1834.02657999999</v>
      </c>
      <c r="Q193" s="469">
        <v>2258.9428600000001</v>
      </c>
      <c r="R193" s="469">
        <v>1959.9963399999899</v>
      </c>
      <c r="S193" s="469">
        <f t="shared" si="12"/>
        <v>23897.10787999992</v>
      </c>
    </row>
    <row r="194" spans="1:19">
      <c r="A194" s="469" t="str">
        <f t="shared" si="14"/>
        <v>KU</v>
      </c>
      <c r="B194" s="469" t="str">
        <f t="shared" si="15"/>
        <v>VA</v>
      </c>
      <c r="C194" s="469" t="str">
        <f t="shared" si="16"/>
        <v>365</v>
      </c>
      <c r="D194" s="470" t="s">
        <v>1845</v>
      </c>
      <c r="E194" s="468" t="str">
        <f t="shared" si="13"/>
        <v/>
      </c>
      <c r="F194" s="469">
        <v>137.59721999999999</v>
      </c>
      <c r="G194" s="469">
        <v>132.04034999999999</v>
      </c>
      <c r="H194" s="469">
        <v>158.22046999999901</v>
      </c>
      <c r="I194" s="469">
        <v>150.62511000000001</v>
      </c>
      <c r="J194" s="469">
        <v>162.87866</v>
      </c>
      <c r="K194" s="469">
        <v>146.84857</v>
      </c>
      <c r="L194" s="469">
        <v>112.98184000000001</v>
      </c>
      <c r="M194" s="469">
        <v>151.93591999999899</v>
      </c>
      <c r="N194" s="469">
        <v>146.20367999999999</v>
      </c>
      <c r="O194" s="469">
        <v>155.02493000000001</v>
      </c>
      <c r="P194" s="469">
        <v>134.82003</v>
      </c>
      <c r="Q194" s="469">
        <v>172.17216999999999</v>
      </c>
      <c r="R194" s="469">
        <v>143.5753</v>
      </c>
      <c r="S194" s="469">
        <f t="shared" si="12"/>
        <v>1767.3270299999981</v>
      </c>
    </row>
    <row r="195" spans="1:19">
      <c r="A195" s="469" t="str">
        <f t="shared" si="14"/>
        <v>KU</v>
      </c>
      <c r="B195" s="469" t="str">
        <f t="shared" si="15"/>
        <v>KY</v>
      </c>
      <c r="C195" s="469" t="str">
        <f t="shared" si="16"/>
        <v>366</v>
      </c>
      <c r="D195" s="470" t="s">
        <v>1846</v>
      </c>
      <c r="E195" s="468" t="str">
        <f t="shared" si="13"/>
        <v/>
      </c>
      <c r="F195" s="469">
        <v>0</v>
      </c>
      <c r="G195" s="469">
        <v>0</v>
      </c>
      <c r="H195" s="469">
        <v>0</v>
      </c>
      <c r="I195" s="469">
        <v>0</v>
      </c>
      <c r="J195" s="469">
        <v>0</v>
      </c>
      <c r="K195" s="469">
        <v>0</v>
      </c>
      <c r="L195" s="469">
        <v>0</v>
      </c>
      <c r="M195" s="469">
        <v>0</v>
      </c>
      <c r="N195" s="469">
        <v>0</v>
      </c>
      <c r="O195" s="469">
        <v>0</v>
      </c>
      <c r="P195" s="469">
        <v>0</v>
      </c>
      <c r="Q195" s="469">
        <v>0</v>
      </c>
      <c r="R195" s="469">
        <v>0</v>
      </c>
      <c r="S195" s="469">
        <f t="shared" si="12"/>
        <v>0</v>
      </c>
    </row>
    <row r="196" spans="1:19">
      <c r="A196" s="469" t="str">
        <f t="shared" si="14"/>
        <v>KU</v>
      </c>
      <c r="B196" s="469" t="str">
        <f t="shared" si="15"/>
        <v>KY</v>
      </c>
      <c r="C196" s="469" t="str">
        <f t="shared" si="16"/>
        <v>367</v>
      </c>
      <c r="D196" s="470" t="s">
        <v>1847</v>
      </c>
      <c r="E196" s="468" t="str">
        <f t="shared" si="13"/>
        <v/>
      </c>
      <c r="F196" s="469">
        <v>1238.7280900000001</v>
      </c>
      <c r="G196" s="469">
        <v>1127.8337099999901</v>
      </c>
      <c r="H196" s="469">
        <v>1444.1017400000001</v>
      </c>
      <c r="I196" s="469">
        <v>1213.5720699999999</v>
      </c>
      <c r="J196" s="469">
        <v>1271.4794300000001</v>
      </c>
      <c r="K196" s="469">
        <v>1137.4852900000001</v>
      </c>
      <c r="L196" s="469">
        <v>933.91243999999995</v>
      </c>
      <c r="M196" s="469">
        <v>1331.8166999999901</v>
      </c>
      <c r="N196" s="469">
        <v>1115.41182</v>
      </c>
      <c r="O196" s="469">
        <v>1315.6843699999899</v>
      </c>
      <c r="P196" s="469">
        <v>1174.9450899999899</v>
      </c>
      <c r="Q196" s="469">
        <v>1349.2307800000001</v>
      </c>
      <c r="R196" s="469">
        <v>1219.5127299999899</v>
      </c>
      <c r="S196" s="469">
        <f t="shared" si="12"/>
        <v>14634.986169999949</v>
      </c>
    </row>
    <row r="197" spans="1:19">
      <c r="A197" s="469" t="str">
        <f t="shared" si="14"/>
        <v>KU</v>
      </c>
      <c r="B197" s="469" t="str">
        <f t="shared" si="15"/>
        <v>VA</v>
      </c>
      <c r="C197" s="469" t="str">
        <f t="shared" si="16"/>
        <v>367</v>
      </c>
      <c r="D197" s="470" t="s">
        <v>1848</v>
      </c>
      <c r="E197" s="468" t="str">
        <f t="shared" si="13"/>
        <v/>
      </c>
      <c r="F197" s="469">
        <v>40.556709999999903</v>
      </c>
      <c r="G197" s="469">
        <v>38.800130000000003</v>
      </c>
      <c r="H197" s="469">
        <v>33.175150000000002</v>
      </c>
      <c r="I197" s="469">
        <v>44.975160000000002</v>
      </c>
      <c r="J197" s="469">
        <v>33.995150000000002</v>
      </c>
      <c r="K197" s="469">
        <v>28.145109999999999</v>
      </c>
      <c r="L197" s="469">
        <v>25.575089999999999</v>
      </c>
      <c r="M197" s="469">
        <v>50.074729999999903</v>
      </c>
      <c r="N197" s="469">
        <v>32.999319999999997</v>
      </c>
      <c r="O197" s="469">
        <v>36.738750000000003</v>
      </c>
      <c r="P197" s="469">
        <v>38.566670000000002</v>
      </c>
      <c r="Q197" s="469">
        <v>39.98583</v>
      </c>
      <c r="R197" s="469">
        <v>40.546409999999902</v>
      </c>
      <c r="S197" s="469">
        <f t="shared" si="12"/>
        <v>443.57749999999982</v>
      </c>
    </row>
    <row r="198" spans="1:19">
      <c r="A198" s="469" t="str">
        <f t="shared" si="14"/>
        <v>KU</v>
      </c>
      <c r="B198" s="469" t="str">
        <f t="shared" si="15"/>
        <v>KY</v>
      </c>
      <c r="C198" s="469" t="str">
        <f t="shared" si="16"/>
        <v>368</v>
      </c>
      <c r="D198" s="470" t="s">
        <v>1849</v>
      </c>
      <c r="E198" s="468" t="str">
        <f t="shared" si="13"/>
        <v/>
      </c>
      <c r="F198" s="469">
        <v>774.37953000000005</v>
      </c>
      <c r="G198" s="469">
        <v>735.79255999999998</v>
      </c>
      <c r="H198" s="469">
        <v>752.15200000000004</v>
      </c>
      <c r="I198" s="469">
        <v>810.24847999999997</v>
      </c>
      <c r="J198" s="469">
        <v>1092.9353799999999</v>
      </c>
      <c r="K198" s="469">
        <v>922.34909000000005</v>
      </c>
      <c r="L198" s="469">
        <v>1085.63156</v>
      </c>
      <c r="M198" s="469">
        <v>332.49144000000001</v>
      </c>
      <c r="N198" s="469">
        <v>747.44556</v>
      </c>
      <c r="O198" s="469">
        <v>643.99722999999994</v>
      </c>
      <c r="P198" s="469">
        <v>633.22416999999996</v>
      </c>
      <c r="Q198" s="469">
        <v>808.98222999999996</v>
      </c>
      <c r="R198" s="469">
        <v>802.30674999999997</v>
      </c>
      <c r="S198" s="469">
        <f t="shared" si="12"/>
        <v>9367.5564499999982</v>
      </c>
    </row>
    <row r="199" spans="1:19">
      <c r="A199" s="469" t="str">
        <f t="shared" si="14"/>
        <v>KU</v>
      </c>
      <c r="B199" s="469" t="str">
        <f t="shared" si="15"/>
        <v>VA</v>
      </c>
      <c r="C199" s="469" t="str">
        <f t="shared" si="16"/>
        <v>368</v>
      </c>
      <c r="D199" s="470" t="s">
        <v>1851</v>
      </c>
      <c r="E199" s="468" t="str">
        <f t="shared" si="13"/>
        <v/>
      </c>
      <c r="F199" s="469">
        <v>0</v>
      </c>
      <c r="G199" s="469">
        <v>0</v>
      </c>
      <c r="H199" s="469">
        <v>0</v>
      </c>
      <c r="I199" s="469">
        <v>0</v>
      </c>
      <c r="J199" s="469">
        <v>0</v>
      </c>
      <c r="K199" s="469">
        <v>0</v>
      </c>
      <c r="L199" s="469">
        <v>0</v>
      </c>
      <c r="M199" s="469">
        <v>0</v>
      </c>
      <c r="N199" s="469">
        <v>0</v>
      </c>
      <c r="O199" s="469">
        <v>0</v>
      </c>
      <c r="P199" s="469">
        <v>0</v>
      </c>
      <c r="Q199" s="469">
        <v>0</v>
      </c>
      <c r="R199" s="469">
        <v>0</v>
      </c>
      <c r="S199" s="469">
        <f t="shared" si="12"/>
        <v>0</v>
      </c>
    </row>
    <row r="200" spans="1:19">
      <c r="A200" s="469" t="str">
        <f t="shared" si="14"/>
        <v>KU</v>
      </c>
      <c r="B200" s="469" t="str">
        <f t="shared" si="15"/>
        <v>KY</v>
      </c>
      <c r="C200" s="469" t="str">
        <f t="shared" si="16"/>
        <v>369</v>
      </c>
      <c r="D200" s="470" t="s">
        <v>1852</v>
      </c>
      <c r="E200" s="468" t="str">
        <f t="shared" si="13"/>
        <v/>
      </c>
      <c r="F200" s="469">
        <v>0</v>
      </c>
      <c r="G200" s="469">
        <v>0</v>
      </c>
      <c r="H200" s="469">
        <v>0</v>
      </c>
      <c r="I200" s="469">
        <v>0</v>
      </c>
      <c r="J200" s="469">
        <v>0</v>
      </c>
      <c r="K200" s="469">
        <v>0</v>
      </c>
      <c r="L200" s="469">
        <v>0</v>
      </c>
      <c r="M200" s="469">
        <v>0</v>
      </c>
      <c r="N200" s="469">
        <v>0</v>
      </c>
      <c r="O200" s="469">
        <v>0</v>
      </c>
      <c r="P200" s="469">
        <v>0</v>
      </c>
      <c r="Q200" s="469">
        <v>0</v>
      </c>
      <c r="R200" s="469">
        <v>0</v>
      </c>
      <c r="S200" s="469">
        <f t="shared" si="12"/>
        <v>0</v>
      </c>
    </row>
    <row r="201" spans="1:19">
      <c r="A201" s="469" t="str">
        <f t="shared" si="14"/>
        <v>KU</v>
      </c>
      <c r="B201" s="469" t="str">
        <f t="shared" si="15"/>
        <v>VA</v>
      </c>
      <c r="C201" s="469" t="str">
        <f t="shared" si="16"/>
        <v>369</v>
      </c>
      <c r="D201" s="470" t="s">
        <v>1854</v>
      </c>
      <c r="E201" s="468" t="str">
        <f t="shared" si="13"/>
        <v/>
      </c>
      <c r="F201" s="469">
        <v>0</v>
      </c>
      <c r="G201" s="469">
        <v>0</v>
      </c>
      <c r="H201" s="469">
        <v>0</v>
      </c>
      <c r="I201" s="469">
        <v>0</v>
      </c>
      <c r="J201" s="469">
        <v>0</v>
      </c>
      <c r="K201" s="469">
        <v>0</v>
      </c>
      <c r="L201" s="469">
        <v>0</v>
      </c>
      <c r="M201" s="469">
        <v>0</v>
      </c>
      <c r="N201" s="469">
        <v>0</v>
      </c>
      <c r="O201" s="469">
        <v>0</v>
      </c>
      <c r="P201" s="469">
        <v>0</v>
      </c>
      <c r="Q201" s="469">
        <v>0</v>
      </c>
      <c r="R201" s="469">
        <v>0</v>
      </c>
      <c r="S201" s="469">
        <f t="shared" si="12"/>
        <v>0</v>
      </c>
    </row>
    <row r="202" spans="1:19">
      <c r="A202" s="469" t="str">
        <f t="shared" si="14"/>
        <v>KU</v>
      </c>
      <c r="B202" s="469" t="str">
        <f t="shared" si="15"/>
        <v>KY</v>
      </c>
      <c r="C202" s="469" t="str">
        <f t="shared" si="16"/>
        <v>370</v>
      </c>
      <c r="D202" s="470" t="s">
        <v>1855</v>
      </c>
      <c r="E202" s="468" t="str">
        <f t="shared" si="13"/>
        <v/>
      </c>
      <c r="F202" s="469">
        <v>101.04667000000001</v>
      </c>
      <c r="G202" s="469">
        <v>80.975920000000002</v>
      </c>
      <c r="H202" s="469">
        <v>111.01157000000001</v>
      </c>
      <c r="I202" s="469">
        <v>68.555499999999995</v>
      </c>
      <c r="J202" s="469">
        <v>3290.12545</v>
      </c>
      <c r="K202" s="469">
        <v>3301.4726300000002</v>
      </c>
      <c r="L202" s="469">
        <v>3251.7154999999998</v>
      </c>
      <c r="M202" s="469">
        <v>3697.6766299999999</v>
      </c>
      <c r="N202" s="469">
        <v>3738.4796700000002</v>
      </c>
      <c r="O202" s="469">
        <v>3700.5776599999999</v>
      </c>
      <c r="P202" s="469">
        <v>3697.6766699999998</v>
      </c>
      <c r="Q202" s="469">
        <v>3714.6779200000001</v>
      </c>
      <c r="R202" s="469">
        <v>3750.5670799999998</v>
      </c>
      <c r="S202" s="469">
        <f t="shared" si="12"/>
        <v>32403.512199999997</v>
      </c>
    </row>
    <row r="203" spans="1:19">
      <c r="A203" s="469" t="str">
        <f t="shared" si="14"/>
        <v>KU</v>
      </c>
      <c r="B203" s="469" t="str">
        <f t="shared" si="15"/>
        <v>VA</v>
      </c>
      <c r="C203" s="469" t="str">
        <f t="shared" si="16"/>
        <v>370</v>
      </c>
      <c r="D203" s="470" t="s">
        <v>1857</v>
      </c>
      <c r="E203" s="468" t="str">
        <f t="shared" si="13"/>
        <v/>
      </c>
      <c r="F203" s="469">
        <v>0</v>
      </c>
      <c r="G203" s="469">
        <v>0</v>
      </c>
      <c r="H203" s="469">
        <v>0</v>
      </c>
      <c r="I203" s="469">
        <v>0</v>
      </c>
      <c r="J203" s="469">
        <v>0</v>
      </c>
      <c r="K203" s="469">
        <v>0</v>
      </c>
      <c r="L203" s="469">
        <v>0</v>
      </c>
      <c r="M203" s="469">
        <v>0</v>
      </c>
      <c r="N203" s="469">
        <v>0</v>
      </c>
      <c r="O203" s="469">
        <v>0</v>
      </c>
      <c r="P203" s="469">
        <v>0</v>
      </c>
      <c r="Q203" s="469">
        <v>0</v>
      </c>
      <c r="R203" s="469">
        <v>0</v>
      </c>
      <c r="S203" s="469">
        <f t="shared" ref="S203:S269" si="17">SUM(G203:R203)</f>
        <v>0</v>
      </c>
    </row>
    <row r="204" spans="1:19">
      <c r="A204" s="469" t="str">
        <f t="shared" si="14"/>
        <v>KU</v>
      </c>
      <c r="B204" s="469" t="str">
        <f t="shared" si="15"/>
        <v>KY</v>
      </c>
      <c r="C204" s="469" t="str">
        <f t="shared" si="16"/>
        <v>371</v>
      </c>
      <c r="D204" s="470" t="s">
        <v>1858</v>
      </c>
      <c r="E204" s="468" t="str">
        <f t="shared" si="13"/>
        <v/>
      </c>
      <c r="F204" s="469">
        <v>7.9166699999999999</v>
      </c>
      <c r="G204" s="469">
        <v>7.9166699999999999</v>
      </c>
      <c r="H204" s="469">
        <v>7.9166699999999999</v>
      </c>
      <c r="I204" s="469">
        <v>7.9166699999999999</v>
      </c>
      <c r="J204" s="469">
        <v>7.9166699999999999</v>
      </c>
      <c r="K204" s="469">
        <v>7.9166699999999999</v>
      </c>
      <c r="L204" s="469">
        <v>7.9166699999999999</v>
      </c>
      <c r="M204" s="469">
        <v>6.8333300000000001</v>
      </c>
      <c r="N204" s="469">
        <v>6.8333300000000001</v>
      </c>
      <c r="O204" s="469">
        <v>6.8333300000000001</v>
      </c>
      <c r="P204" s="469">
        <v>6.8333300000000001</v>
      </c>
      <c r="Q204" s="469">
        <v>6.8333300000000001</v>
      </c>
      <c r="R204" s="469">
        <v>6.8333300000000001</v>
      </c>
      <c r="S204" s="469">
        <f t="shared" si="17"/>
        <v>88.500000000000014</v>
      </c>
    </row>
    <row r="205" spans="1:19">
      <c r="A205" s="469" t="str">
        <f t="shared" si="14"/>
        <v>KU</v>
      </c>
      <c r="B205" s="469" t="str">
        <f t="shared" si="15"/>
        <v>KY</v>
      </c>
      <c r="C205" s="469" t="str">
        <f t="shared" si="16"/>
        <v>373</v>
      </c>
      <c r="D205" s="470" t="s">
        <v>1860</v>
      </c>
      <c r="E205" s="468" t="str">
        <f t="shared" si="13"/>
        <v/>
      </c>
      <c r="F205" s="469">
        <v>553.46892000000003</v>
      </c>
      <c r="G205" s="469">
        <v>504.46096999999997</v>
      </c>
      <c r="H205" s="469">
        <v>559.03021000000001</v>
      </c>
      <c r="I205" s="469">
        <v>552.08855000000005</v>
      </c>
      <c r="J205" s="469">
        <v>594.13934999999901</v>
      </c>
      <c r="K205" s="469">
        <v>588.37698</v>
      </c>
      <c r="L205" s="469">
        <v>497.02393000000001</v>
      </c>
      <c r="M205" s="469">
        <v>618.95523000000003</v>
      </c>
      <c r="N205" s="469">
        <v>566.63075000000003</v>
      </c>
      <c r="O205" s="469">
        <v>585.58216000000004</v>
      </c>
      <c r="P205" s="469">
        <v>532.89530000000002</v>
      </c>
      <c r="Q205" s="469">
        <v>586.03261999999995</v>
      </c>
      <c r="R205" s="469">
        <v>564.22573999999997</v>
      </c>
      <c r="S205" s="469">
        <f t="shared" si="17"/>
        <v>6749.4417899999989</v>
      </c>
    </row>
    <row r="206" spans="1:19">
      <c r="A206" s="469" t="str">
        <f t="shared" si="14"/>
        <v>KU</v>
      </c>
      <c r="B206" s="469" t="str">
        <f t="shared" si="15"/>
        <v>VA</v>
      </c>
      <c r="C206" s="469" t="str">
        <f t="shared" si="16"/>
        <v>373</v>
      </c>
      <c r="D206" s="470" t="s">
        <v>1861</v>
      </c>
      <c r="E206" s="468" t="str">
        <f t="shared" si="13"/>
        <v/>
      </c>
      <c r="F206" s="469">
        <v>19.490100000000002</v>
      </c>
      <c r="G206" s="469">
        <v>15.920079999999899</v>
      </c>
      <c r="H206" s="469">
        <v>19.490100000000002</v>
      </c>
      <c r="I206" s="469">
        <v>18.920079999999999</v>
      </c>
      <c r="J206" s="469">
        <v>19.490099999999899</v>
      </c>
      <c r="K206" s="469">
        <v>17.245079999999898</v>
      </c>
      <c r="L206" s="469">
        <v>13.495059999999899</v>
      </c>
      <c r="M206" s="469">
        <v>18.357500000000002</v>
      </c>
      <c r="N206" s="469">
        <v>14.64833</v>
      </c>
      <c r="O206" s="469">
        <v>17.255420000000001</v>
      </c>
      <c r="P206" s="469">
        <v>18.40042</v>
      </c>
      <c r="Q206" s="469">
        <v>20.827500000000001</v>
      </c>
      <c r="R206" s="469">
        <v>20.827500000000001</v>
      </c>
      <c r="S206" s="469">
        <f t="shared" si="17"/>
        <v>214.87716999999958</v>
      </c>
    </row>
    <row r="207" spans="1:19">
      <c r="A207" s="469" t="str">
        <f t="shared" si="14"/>
        <v>KU</v>
      </c>
      <c r="B207" s="469" t="str">
        <f t="shared" si="15"/>
        <v>KY</v>
      </c>
      <c r="C207" s="469" t="str">
        <f t="shared" si="16"/>
        <v>389</v>
      </c>
      <c r="D207" s="470" t="s">
        <v>1863</v>
      </c>
      <c r="E207" s="468" t="str">
        <f t="shared" si="13"/>
        <v/>
      </c>
      <c r="F207" s="469">
        <v>0</v>
      </c>
      <c r="G207" s="469">
        <v>0</v>
      </c>
      <c r="H207" s="469">
        <v>0</v>
      </c>
      <c r="I207" s="469">
        <v>0</v>
      </c>
      <c r="J207" s="469">
        <v>0</v>
      </c>
      <c r="K207" s="469">
        <v>500</v>
      </c>
      <c r="L207" s="469">
        <v>500</v>
      </c>
      <c r="M207" s="469">
        <v>0</v>
      </c>
      <c r="N207" s="469">
        <v>0</v>
      </c>
      <c r="O207" s="469">
        <v>0</v>
      </c>
      <c r="P207" s="469">
        <v>0</v>
      </c>
      <c r="Q207" s="469">
        <v>0</v>
      </c>
      <c r="R207" s="469">
        <v>0</v>
      </c>
      <c r="S207" s="469">
        <f t="shared" si="17"/>
        <v>1000</v>
      </c>
    </row>
    <row r="208" spans="1:19">
      <c r="A208" s="469" t="str">
        <f t="shared" si="14"/>
        <v>KU</v>
      </c>
      <c r="B208" s="469" t="str">
        <f t="shared" si="15"/>
        <v>VA</v>
      </c>
      <c r="C208" s="469" t="str">
        <f t="shared" si="16"/>
        <v>389</v>
      </c>
      <c r="D208" s="470" t="s">
        <v>1864</v>
      </c>
      <c r="E208" s="468" t="str">
        <f t="shared" si="13"/>
        <v/>
      </c>
      <c r="F208" s="469">
        <v>0</v>
      </c>
      <c r="G208" s="469">
        <v>0</v>
      </c>
      <c r="H208" s="469">
        <v>0</v>
      </c>
      <c r="I208" s="469">
        <v>0</v>
      </c>
      <c r="J208" s="469">
        <v>0</v>
      </c>
      <c r="K208" s="469">
        <v>0</v>
      </c>
      <c r="L208" s="469">
        <v>0</v>
      </c>
      <c r="M208" s="469">
        <v>0</v>
      </c>
      <c r="N208" s="469">
        <v>0</v>
      </c>
      <c r="O208" s="469">
        <v>0</v>
      </c>
      <c r="P208" s="469">
        <v>0</v>
      </c>
      <c r="Q208" s="469">
        <v>0</v>
      </c>
      <c r="R208" s="469">
        <v>0</v>
      </c>
      <c r="S208" s="469">
        <f t="shared" si="17"/>
        <v>0</v>
      </c>
    </row>
    <row r="209" spans="1:19">
      <c r="A209" s="469" t="str">
        <f t="shared" si="14"/>
        <v>KU</v>
      </c>
      <c r="B209" s="469" t="str">
        <f t="shared" si="15"/>
        <v>KY</v>
      </c>
      <c r="C209" s="469" t="str">
        <f t="shared" si="16"/>
        <v>390</v>
      </c>
      <c r="D209" s="470" t="s">
        <v>1865</v>
      </c>
      <c r="E209" s="468" t="str">
        <f t="shared" si="13"/>
        <v/>
      </c>
      <c r="F209" s="469">
        <v>0</v>
      </c>
      <c r="G209" s="469">
        <v>0</v>
      </c>
      <c r="H209" s="469">
        <v>0</v>
      </c>
      <c r="I209" s="469">
        <v>0</v>
      </c>
      <c r="J209" s="469">
        <v>0</v>
      </c>
      <c r="K209" s="469">
        <v>0</v>
      </c>
      <c r="L209" s="469">
        <v>0</v>
      </c>
      <c r="M209" s="469">
        <v>0</v>
      </c>
      <c r="N209" s="469">
        <v>0</v>
      </c>
      <c r="O209" s="469">
        <v>0</v>
      </c>
      <c r="P209" s="469">
        <v>0</v>
      </c>
      <c r="Q209" s="469">
        <v>0</v>
      </c>
      <c r="R209" s="469">
        <v>0</v>
      </c>
      <c r="S209" s="469">
        <f t="shared" si="17"/>
        <v>0</v>
      </c>
    </row>
    <row r="210" spans="1:19">
      <c r="A210" s="469" t="str">
        <f t="shared" si="14"/>
        <v>KU</v>
      </c>
      <c r="B210" s="469" t="str">
        <f t="shared" si="15"/>
        <v>KY</v>
      </c>
      <c r="C210" s="469" t="str">
        <f t="shared" si="16"/>
        <v>390</v>
      </c>
      <c r="D210" s="470" t="s">
        <v>1866</v>
      </c>
      <c r="E210" s="468" t="str">
        <f t="shared" si="13"/>
        <v/>
      </c>
      <c r="F210" s="469">
        <v>854.51987999999994</v>
      </c>
      <c r="G210" s="469">
        <v>1350</v>
      </c>
      <c r="H210" s="469">
        <v>121</v>
      </c>
      <c r="I210" s="469">
        <v>141.09431000000001</v>
      </c>
      <c r="J210" s="469">
        <v>118</v>
      </c>
      <c r="K210" s="469">
        <v>187</v>
      </c>
      <c r="L210" s="469">
        <v>5504.3707400000003</v>
      </c>
      <c r="M210" s="469">
        <v>0</v>
      </c>
      <c r="N210" s="469">
        <v>0</v>
      </c>
      <c r="O210" s="469">
        <v>63.359430000000003</v>
      </c>
      <c r="P210" s="469">
        <v>150</v>
      </c>
      <c r="Q210" s="469">
        <v>0</v>
      </c>
      <c r="R210" s="469">
        <v>26.71988</v>
      </c>
      <c r="S210" s="469">
        <f t="shared" si="17"/>
        <v>7661.5443600000008</v>
      </c>
    </row>
    <row r="211" spans="1:19">
      <c r="A211" s="469" t="str">
        <f t="shared" si="14"/>
        <v>KU</v>
      </c>
      <c r="B211" s="469" t="str">
        <f t="shared" si="15"/>
        <v>VA</v>
      </c>
      <c r="C211" s="469" t="str">
        <f t="shared" si="16"/>
        <v>390</v>
      </c>
      <c r="D211" s="470" t="s">
        <v>1867</v>
      </c>
      <c r="E211" s="468" t="str">
        <f t="shared" si="13"/>
        <v/>
      </c>
      <c r="F211" s="469">
        <v>5752.5138299999999</v>
      </c>
      <c r="G211" s="469">
        <v>0</v>
      </c>
      <c r="H211" s="469">
        <v>0</v>
      </c>
      <c r="I211" s="469">
        <v>0</v>
      </c>
      <c r="J211" s="469">
        <v>0</v>
      </c>
      <c r="K211" s="469">
        <v>0</v>
      </c>
      <c r="L211" s="469">
        <v>0</v>
      </c>
      <c r="M211" s="469">
        <v>0</v>
      </c>
      <c r="N211" s="469">
        <v>0</v>
      </c>
      <c r="O211" s="469">
        <v>0</v>
      </c>
      <c r="P211" s="469">
        <v>0</v>
      </c>
      <c r="Q211" s="469">
        <v>0</v>
      </c>
      <c r="R211" s="469">
        <v>0</v>
      </c>
      <c r="S211" s="469">
        <f t="shared" si="17"/>
        <v>0</v>
      </c>
    </row>
    <row r="212" spans="1:19">
      <c r="A212" s="469" t="str">
        <f t="shared" si="14"/>
        <v>KU</v>
      </c>
      <c r="B212" s="469" t="str">
        <f t="shared" si="15"/>
        <v>KY</v>
      </c>
      <c r="C212" s="469" t="str">
        <f t="shared" si="16"/>
        <v>391</v>
      </c>
      <c r="D212" s="470" t="s">
        <v>1868</v>
      </c>
      <c r="E212" s="468" t="str">
        <f t="shared" si="13"/>
        <v/>
      </c>
      <c r="F212" s="469">
        <v>12.32085</v>
      </c>
      <c r="G212" s="469">
        <v>12.32085</v>
      </c>
      <c r="H212" s="469">
        <v>12.32085</v>
      </c>
      <c r="I212" s="469">
        <v>12.32085</v>
      </c>
      <c r="J212" s="469">
        <v>139.96584999999999</v>
      </c>
      <c r="K212" s="469">
        <v>56.020850000000003</v>
      </c>
      <c r="L212" s="469">
        <v>1476.16256</v>
      </c>
      <c r="M212" s="469">
        <v>8.8858499999999996</v>
      </c>
      <c r="N212" s="469">
        <v>10.030849999999999</v>
      </c>
      <c r="O212" s="469">
        <v>11.175850000000001</v>
      </c>
      <c r="P212" s="469">
        <v>12.32085</v>
      </c>
      <c r="Q212" s="469">
        <v>12.32085</v>
      </c>
      <c r="R212" s="469">
        <v>12.32085</v>
      </c>
      <c r="S212" s="469">
        <f t="shared" si="17"/>
        <v>1776.1669100000001</v>
      </c>
    </row>
    <row r="213" spans="1:19">
      <c r="A213" s="469" t="str">
        <f t="shared" si="14"/>
        <v>KU</v>
      </c>
      <c r="B213" s="469" t="str">
        <f t="shared" si="15"/>
        <v>KY</v>
      </c>
      <c r="C213" s="469" t="str">
        <f t="shared" si="16"/>
        <v>391</v>
      </c>
      <c r="D213" s="470" t="s">
        <v>1869</v>
      </c>
      <c r="E213" s="468" t="str">
        <f t="shared" ref="E213:E276" si="18">IF(ISTEXT(MID($D213,SEARCH("FUTURE USE",$D213),3)),"FUTURE USE",IF(ISTEXT(MID($D213,SEARCH("ECR",$D213),3)),"ECR",IF(ISTEXT(MID($D213,SEARCH("ARO",$D213),3)),"ARO",IF(ISTEXT(MID($D213,SEARCH("DSM",$D213),3)),"DSM",""))))</f>
        <v/>
      </c>
      <c r="F213" s="469">
        <v>267.25002000000001</v>
      </c>
      <c r="G213" s="469">
        <v>316.56457999999998</v>
      </c>
      <c r="H213" s="469">
        <v>330.34755999999902</v>
      </c>
      <c r="I213" s="469">
        <v>647.89336999999898</v>
      </c>
      <c r="J213" s="469">
        <v>674.94001000000003</v>
      </c>
      <c r="K213" s="469">
        <v>464.98005999999998</v>
      </c>
      <c r="L213" s="469">
        <v>692.68818999999996</v>
      </c>
      <c r="M213" s="469">
        <v>0</v>
      </c>
      <c r="N213" s="469">
        <v>0</v>
      </c>
      <c r="O213" s="469">
        <v>214</v>
      </c>
      <c r="P213" s="469">
        <v>342.66028999999997</v>
      </c>
      <c r="Q213" s="469">
        <v>420.03986999999898</v>
      </c>
      <c r="R213" s="469">
        <v>147.24993999999899</v>
      </c>
      <c r="S213" s="469">
        <f t="shared" si="17"/>
        <v>4251.3638699999956</v>
      </c>
    </row>
    <row r="214" spans="1:19">
      <c r="A214" s="469" t="str">
        <f t="shared" si="14"/>
        <v>KU</v>
      </c>
      <c r="B214" s="469" t="str">
        <f t="shared" si="15"/>
        <v>KY</v>
      </c>
      <c r="C214" s="469" t="str">
        <f t="shared" si="16"/>
        <v>392</v>
      </c>
      <c r="D214" s="470" t="s">
        <v>1871</v>
      </c>
      <c r="E214" s="468" t="str">
        <f t="shared" si="18"/>
        <v>ECR</v>
      </c>
      <c r="F214" s="469">
        <v>0</v>
      </c>
      <c r="G214" s="469">
        <v>0</v>
      </c>
      <c r="H214" s="469">
        <v>0</v>
      </c>
      <c r="I214" s="469">
        <v>0</v>
      </c>
      <c r="J214" s="469">
        <v>0</v>
      </c>
      <c r="K214" s="469">
        <v>497.43200000000002</v>
      </c>
      <c r="L214" s="469">
        <v>0</v>
      </c>
      <c r="M214" s="469">
        <v>0</v>
      </c>
      <c r="N214" s="469">
        <v>0</v>
      </c>
      <c r="O214" s="469">
        <v>0</v>
      </c>
      <c r="P214" s="469">
        <v>0</v>
      </c>
      <c r="Q214" s="469">
        <v>0</v>
      </c>
      <c r="R214" s="469">
        <v>0</v>
      </c>
      <c r="S214" s="469">
        <f t="shared" si="17"/>
        <v>497.43200000000002</v>
      </c>
    </row>
    <row r="215" spans="1:19">
      <c r="A215" s="469" t="str">
        <f t="shared" si="14"/>
        <v>KU</v>
      </c>
      <c r="B215" s="469" t="str">
        <f t="shared" si="15"/>
        <v>KY</v>
      </c>
      <c r="C215" s="469" t="str">
        <f t="shared" si="16"/>
        <v>392</v>
      </c>
      <c r="D215" s="470" t="s">
        <v>1872</v>
      </c>
      <c r="E215" s="468" t="str">
        <f t="shared" si="18"/>
        <v/>
      </c>
      <c r="F215" s="469">
        <v>0</v>
      </c>
      <c r="G215" s="469">
        <v>0</v>
      </c>
      <c r="H215" s="469">
        <v>0</v>
      </c>
      <c r="I215" s="469">
        <v>0</v>
      </c>
      <c r="J215" s="469">
        <v>0</v>
      </c>
      <c r="K215" s="469">
        <v>0</v>
      </c>
      <c r="L215" s="469">
        <v>0</v>
      </c>
      <c r="M215" s="469">
        <v>0</v>
      </c>
      <c r="N215" s="469">
        <v>0</v>
      </c>
      <c r="O215" s="469">
        <v>0</v>
      </c>
      <c r="P215" s="469">
        <v>0</v>
      </c>
      <c r="Q215" s="469">
        <v>0</v>
      </c>
      <c r="R215" s="469">
        <v>0</v>
      </c>
      <c r="S215" s="469">
        <f t="shared" si="17"/>
        <v>0</v>
      </c>
    </row>
    <row r="216" spans="1:19">
      <c r="A216" s="469" t="str">
        <f t="shared" si="14"/>
        <v>KU</v>
      </c>
      <c r="B216" s="469" t="str">
        <f t="shared" si="15"/>
        <v>KY</v>
      </c>
      <c r="C216" s="469" t="str">
        <f t="shared" si="16"/>
        <v>393</v>
      </c>
      <c r="D216" s="470" t="s">
        <v>1873</v>
      </c>
      <c r="E216" s="468" t="str">
        <f t="shared" si="18"/>
        <v/>
      </c>
      <c r="F216" s="469">
        <v>0</v>
      </c>
      <c r="G216" s="469">
        <v>0</v>
      </c>
      <c r="H216" s="469">
        <v>0</v>
      </c>
      <c r="I216" s="469">
        <v>0</v>
      </c>
      <c r="J216" s="469">
        <v>0</v>
      </c>
      <c r="K216" s="469">
        <v>0</v>
      </c>
      <c r="L216" s="469">
        <v>0</v>
      </c>
      <c r="M216" s="469">
        <v>0</v>
      </c>
      <c r="N216" s="469">
        <v>0</v>
      </c>
      <c r="O216" s="469">
        <v>0</v>
      </c>
      <c r="P216" s="469">
        <v>0</v>
      </c>
      <c r="Q216" s="469">
        <v>0</v>
      </c>
      <c r="R216" s="469">
        <v>0</v>
      </c>
      <c r="S216" s="469">
        <f t="shared" si="17"/>
        <v>0</v>
      </c>
    </row>
    <row r="217" spans="1:19">
      <c r="A217" s="469" t="str">
        <f t="shared" si="14"/>
        <v>KU</v>
      </c>
      <c r="B217" s="469" t="str">
        <f t="shared" si="15"/>
        <v>KY</v>
      </c>
      <c r="C217" s="469" t="str">
        <f t="shared" si="16"/>
        <v>394</v>
      </c>
      <c r="D217" s="470" t="s">
        <v>1875</v>
      </c>
      <c r="E217" s="468" t="str">
        <f t="shared" si="18"/>
        <v/>
      </c>
      <c r="F217" s="469">
        <v>55.771379999999901</v>
      </c>
      <c r="G217" s="469">
        <v>157.44237999999999</v>
      </c>
      <c r="H217" s="469">
        <v>37.724379999999996</v>
      </c>
      <c r="I217" s="469">
        <v>37.724379999999996</v>
      </c>
      <c r="J217" s="469">
        <v>105.17438</v>
      </c>
      <c r="K217" s="469">
        <v>37.724379999999996</v>
      </c>
      <c r="L217" s="469">
        <v>379.85937999999999</v>
      </c>
      <c r="M217" s="469">
        <v>54.249369999999999</v>
      </c>
      <c r="N217" s="469">
        <v>42.799300000000002</v>
      </c>
      <c r="O217" s="469">
        <v>42.799300000000002</v>
      </c>
      <c r="P217" s="469">
        <v>58.829300000000003</v>
      </c>
      <c r="Q217" s="469">
        <v>42.799300000000002</v>
      </c>
      <c r="R217" s="469">
        <v>42.799300000000002</v>
      </c>
      <c r="S217" s="469">
        <f t="shared" si="17"/>
        <v>1039.92515</v>
      </c>
    </row>
    <row r="218" spans="1:19">
      <c r="A218" s="469" t="str">
        <f t="shared" si="14"/>
        <v>KU</v>
      </c>
      <c r="B218" s="469" t="str">
        <f t="shared" si="15"/>
        <v>VA</v>
      </c>
      <c r="C218" s="469" t="str">
        <f t="shared" si="16"/>
        <v>394</v>
      </c>
      <c r="D218" s="470" t="s">
        <v>1876</v>
      </c>
      <c r="E218" s="468" t="str">
        <f t="shared" si="18"/>
        <v/>
      </c>
      <c r="F218" s="469">
        <v>2.1945899999999998</v>
      </c>
      <c r="G218" s="469">
        <v>2.1945899999999998</v>
      </c>
      <c r="H218" s="469">
        <v>2.1945899999999998</v>
      </c>
      <c r="I218" s="469">
        <v>2.1945899999999998</v>
      </c>
      <c r="J218" s="469">
        <v>2.1945899999999998</v>
      </c>
      <c r="K218" s="469">
        <v>2.1945899999999998</v>
      </c>
      <c r="L218" s="469">
        <v>2.1945899999999998</v>
      </c>
      <c r="M218" s="469">
        <v>2.5762499999999999</v>
      </c>
      <c r="N218" s="469">
        <v>2.5762499999999999</v>
      </c>
      <c r="O218" s="469">
        <v>2.5762499999999999</v>
      </c>
      <c r="P218" s="469">
        <v>2.5762499999999999</v>
      </c>
      <c r="Q218" s="469">
        <v>2.5762499999999999</v>
      </c>
      <c r="R218" s="469">
        <v>2.5762499999999999</v>
      </c>
      <c r="S218" s="469">
        <f t="shared" si="17"/>
        <v>28.625040000000006</v>
      </c>
    </row>
    <row r="219" spans="1:19">
      <c r="A219" s="469" t="str">
        <f t="shared" si="14"/>
        <v>KU</v>
      </c>
      <c r="B219" s="469" t="str">
        <f t="shared" si="15"/>
        <v>KY</v>
      </c>
      <c r="C219" s="469" t="str">
        <f t="shared" si="16"/>
        <v>396</v>
      </c>
      <c r="D219" s="470" t="s">
        <v>1877</v>
      </c>
      <c r="E219" s="468" t="str">
        <f t="shared" si="18"/>
        <v/>
      </c>
      <c r="F219" s="469">
        <v>0</v>
      </c>
      <c r="G219" s="469">
        <v>0</v>
      </c>
      <c r="H219" s="469">
        <v>0</v>
      </c>
      <c r="I219" s="469">
        <v>0</v>
      </c>
      <c r="J219" s="469">
        <v>0</v>
      </c>
      <c r="K219" s="469">
        <v>0</v>
      </c>
      <c r="L219" s="469">
        <v>0</v>
      </c>
      <c r="M219" s="469">
        <v>0</v>
      </c>
      <c r="N219" s="469">
        <v>0</v>
      </c>
      <c r="O219" s="469">
        <v>0</v>
      </c>
      <c r="P219" s="469">
        <v>0</v>
      </c>
      <c r="Q219" s="469">
        <v>0</v>
      </c>
      <c r="R219" s="469">
        <v>0</v>
      </c>
      <c r="S219" s="469">
        <f t="shared" si="17"/>
        <v>0</v>
      </c>
    </row>
    <row r="220" spans="1:19">
      <c r="A220" s="469" t="str">
        <f t="shared" si="14"/>
        <v>KU</v>
      </c>
      <c r="B220" s="469" t="str">
        <f t="shared" si="15"/>
        <v>KY</v>
      </c>
      <c r="C220" s="670">
        <v>3972</v>
      </c>
      <c r="D220" s="470" t="s">
        <v>1879</v>
      </c>
      <c r="E220" s="468" t="str">
        <f t="shared" si="18"/>
        <v>DSM</v>
      </c>
      <c r="F220" s="469">
        <v>176.46145000000001</v>
      </c>
      <c r="G220" s="469">
        <v>69.185209999999998</v>
      </c>
      <c r="H220" s="469">
        <v>164.59627999999901</v>
      </c>
      <c r="I220" s="469">
        <v>44.54815</v>
      </c>
      <c r="J220" s="469">
        <v>215.63830999999999</v>
      </c>
      <c r="K220" s="469">
        <v>47.933819999999997</v>
      </c>
      <c r="L220" s="469">
        <v>218.94218000000001</v>
      </c>
      <c r="M220" s="469">
        <v>65.160889999999995</v>
      </c>
      <c r="N220" s="469">
        <v>242.12537</v>
      </c>
      <c r="O220" s="469">
        <v>57.17154</v>
      </c>
      <c r="P220" s="469">
        <v>295.85372000000001</v>
      </c>
      <c r="Q220" s="469">
        <v>50.226129999999998</v>
      </c>
      <c r="R220" s="469">
        <v>226.60372999999899</v>
      </c>
      <c r="S220" s="469">
        <f t="shared" si="17"/>
        <v>1697.9853299999982</v>
      </c>
    </row>
    <row r="221" spans="1:19">
      <c r="A221" s="469" t="str">
        <f t="shared" si="14"/>
        <v>KU</v>
      </c>
      <c r="B221" s="469" t="str">
        <f t="shared" si="15"/>
        <v>KY</v>
      </c>
      <c r="C221" s="469" t="str">
        <f t="shared" si="16"/>
        <v>397</v>
      </c>
      <c r="D221" s="470" t="s">
        <v>1880</v>
      </c>
      <c r="E221" s="468" t="str">
        <f t="shared" si="18"/>
        <v/>
      </c>
      <c r="F221" s="469">
        <v>358.29991999999999</v>
      </c>
      <c r="G221" s="469">
        <v>95.449960000000004</v>
      </c>
      <c r="H221" s="469">
        <v>235.29014000000001</v>
      </c>
      <c r="I221" s="469">
        <v>62.55986</v>
      </c>
      <c r="J221" s="469">
        <v>3322.97847</v>
      </c>
      <c r="K221" s="469">
        <v>777.85877000000005</v>
      </c>
      <c r="L221" s="469">
        <v>41.170049999999897</v>
      </c>
      <c r="M221" s="469">
        <v>0</v>
      </c>
      <c r="N221" s="469">
        <v>0</v>
      </c>
      <c r="O221" s="469">
        <v>0</v>
      </c>
      <c r="P221" s="469">
        <v>0</v>
      </c>
      <c r="Q221" s="469">
        <v>0</v>
      </c>
      <c r="R221" s="469">
        <v>0</v>
      </c>
      <c r="S221" s="469">
        <f t="shared" si="17"/>
        <v>4535.3072499999998</v>
      </c>
    </row>
    <row r="222" spans="1:19">
      <c r="A222" s="469" t="str">
        <f t="shared" si="14"/>
        <v>KU</v>
      </c>
      <c r="B222" s="469" t="str">
        <f t="shared" si="15"/>
        <v>KY</v>
      </c>
      <c r="C222" s="469" t="str">
        <f t="shared" si="16"/>
        <v>398</v>
      </c>
      <c r="D222" s="470" t="s">
        <v>1882</v>
      </c>
      <c r="E222" s="468" t="str">
        <f t="shared" si="18"/>
        <v/>
      </c>
      <c r="F222" s="469">
        <v>0</v>
      </c>
      <c r="S222" s="469">
        <f t="shared" si="17"/>
        <v>0</v>
      </c>
    </row>
    <row r="223" spans="1:19">
      <c r="E223" s="468" t="str">
        <f t="shared" si="18"/>
        <v/>
      </c>
    </row>
    <row r="224" spans="1:19">
      <c r="D224" s="668" t="s">
        <v>1885</v>
      </c>
      <c r="E224" s="468" t="str">
        <f t="shared" si="18"/>
        <v/>
      </c>
      <c r="S224" s="469">
        <f t="shared" si="17"/>
        <v>0</v>
      </c>
    </row>
    <row r="225" spans="1:19">
      <c r="A225" s="469" t="str">
        <f t="shared" si="14"/>
        <v>KU</v>
      </c>
      <c r="B225" s="469" t="str">
        <f t="shared" si="15"/>
        <v>KY</v>
      </c>
      <c r="C225" s="469" t="str">
        <f t="shared" si="16"/>
        <v>303</v>
      </c>
      <c r="D225" s="470" t="s">
        <v>1779</v>
      </c>
      <c r="E225" s="468" t="str">
        <f t="shared" si="18"/>
        <v/>
      </c>
      <c r="F225" s="469">
        <v>677.8</v>
      </c>
      <c r="G225" s="469">
        <v>3346.3139999999999</v>
      </c>
      <c r="H225" s="469">
        <v>150.34</v>
      </c>
      <c r="I225" s="469">
        <v>29.13</v>
      </c>
      <c r="J225" s="469">
        <v>30.366</v>
      </c>
      <c r="K225" s="469">
        <v>505.66699999999997</v>
      </c>
      <c r="L225" s="469">
        <v>32.030999999999999</v>
      </c>
      <c r="M225" s="469">
        <v>136.62200000000001</v>
      </c>
      <c r="N225" s="469">
        <v>842.89700000000005</v>
      </c>
      <c r="O225" s="469">
        <v>364.20800000000003</v>
      </c>
      <c r="P225" s="469">
        <v>467.14400000000001</v>
      </c>
      <c r="Q225" s="469">
        <v>1119.8399999999999</v>
      </c>
      <c r="R225" s="469">
        <v>1223.0609999999999</v>
      </c>
      <c r="S225" s="469">
        <f t="shared" si="17"/>
        <v>8247.6200000000008</v>
      </c>
    </row>
    <row r="226" spans="1:19">
      <c r="A226" s="469" t="str">
        <f t="shared" si="14"/>
        <v>KU</v>
      </c>
      <c r="B226" s="469" t="str">
        <f t="shared" si="15"/>
        <v>KY</v>
      </c>
      <c r="C226" s="469" t="str">
        <f t="shared" si="16"/>
        <v>303</v>
      </c>
      <c r="D226" s="470" t="s">
        <v>1780</v>
      </c>
      <c r="E226" s="468" t="str">
        <f t="shared" si="18"/>
        <v/>
      </c>
      <c r="F226" s="469">
        <v>0</v>
      </c>
      <c r="G226" s="469">
        <v>0</v>
      </c>
      <c r="H226" s="469">
        <v>0</v>
      </c>
      <c r="I226" s="469">
        <v>0</v>
      </c>
      <c r="J226" s="469">
        <v>0</v>
      </c>
      <c r="K226" s="469">
        <v>0</v>
      </c>
      <c r="L226" s="469">
        <v>0</v>
      </c>
      <c r="M226" s="469">
        <v>0</v>
      </c>
      <c r="N226" s="469">
        <v>0</v>
      </c>
      <c r="O226" s="469">
        <v>0</v>
      </c>
      <c r="P226" s="469">
        <v>0</v>
      </c>
      <c r="Q226" s="469">
        <v>0</v>
      </c>
      <c r="R226" s="469">
        <v>0</v>
      </c>
      <c r="S226" s="469">
        <f t="shared" si="17"/>
        <v>0</v>
      </c>
    </row>
    <row r="227" spans="1:19">
      <c r="A227" s="469" t="str">
        <f t="shared" si="14"/>
        <v>KU</v>
      </c>
      <c r="B227" s="469" t="str">
        <f t="shared" si="15"/>
        <v>KY</v>
      </c>
      <c r="C227" s="469" t="str">
        <f t="shared" si="16"/>
        <v>310</v>
      </c>
      <c r="D227" s="470" t="s">
        <v>1782</v>
      </c>
      <c r="E227" s="468" t="str">
        <f t="shared" si="18"/>
        <v>ECR</v>
      </c>
      <c r="F227" s="469">
        <v>0</v>
      </c>
      <c r="G227" s="469">
        <v>0</v>
      </c>
      <c r="H227" s="469">
        <v>0</v>
      </c>
      <c r="I227" s="469">
        <v>0</v>
      </c>
      <c r="J227" s="469">
        <v>0</v>
      </c>
      <c r="K227" s="469">
        <v>0</v>
      </c>
      <c r="L227" s="469">
        <v>0</v>
      </c>
      <c r="M227" s="469">
        <v>0</v>
      </c>
      <c r="N227" s="469">
        <v>0</v>
      </c>
      <c r="O227" s="469">
        <v>0</v>
      </c>
      <c r="P227" s="469">
        <v>0</v>
      </c>
      <c r="Q227" s="469">
        <v>0</v>
      </c>
      <c r="R227" s="469">
        <v>0</v>
      </c>
      <c r="S227" s="469">
        <f t="shared" si="17"/>
        <v>0</v>
      </c>
    </row>
    <row r="228" spans="1:19">
      <c r="A228" s="469" t="str">
        <f t="shared" si="14"/>
        <v>KU</v>
      </c>
      <c r="B228" s="469" t="str">
        <f t="shared" si="15"/>
        <v>KY</v>
      </c>
      <c r="C228" s="469" t="str">
        <f t="shared" si="16"/>
        <v>311</v>
      </c>
      <c r="D228" s="470" t="s">
        <v>1785</v>
      </c>
      <c r="E228" s="468" t="str">
        <f t="shared" si="18"/>
        <v/>
      </c>
      <c r="F228" s="469">
        <v>0</v>
      </c>
      <c r="G228" s="469">
        <v>0</v>
      </c>
      <c r="H228" s="469">
        <v>0</v>
      </c>
      <c r="I228" s="469">
        <v>0</v>
      </c>
      <c r="J228" s="469">
        <v>0</v>
      </c>
      <c r="K228" s="469">
        <v>0</v>
      </c>
      <c r="L228" s="469">
        <v>0</v>
      </c>
      <c r="M228" s="469">
        <v>0</v>
      </c>
      <c r="N228" s="469">
        <v>0</v>
      </c>
      <c r="O228" s="469">
        <v>0</v>
      </c>
      <c r="P228" s="469">
        <v>0</v>
      </c>
      <c r="Q228" s="469">
        <v>0</v>
      </c>
      <c r="R228" s="469">
        <v>0</v>
      </c>
      <c r="S228" s="469">
        <f t="shared" si="17"/>
        <v>0</v>
      </c>
    </row>
    <row r="229" spans="1:19">
      <c r="A229" s="469" t="str">
        <f t="shared" si="14"/>
        <v>KU</v>
      </c>
      <c r="B229" s="469" t="str">
        <f t="shared" si="15"/>
        <v>KY</v>
      </c>
      <c r="C229" s="469" t="str">
        <f t="shared" si="16"/>
        <v>312</v>
      </c>
      <c r="D229" s="470" t="s">
        <v>1786</v>
      </c>
      <c r="E229" s="468" t="str">
        <f t="shared" si="18"/>
        <v/>
      </c>
      <c r="F229" s="469">
        <v>116.41</v>
      </c>
      <c r="G229" s="469">
        <v>143.428</v>
      </c>
      <c r="H229" s="469">
        <v>3312.9749999999999</v>
      </c>
      <c r="I229" s="469">
        <v>139.315</v>
      </c>
      <c r="J229" s="469">
        <v>158.827</v>
      </c>
      <c r="K229" s="469">
        <v>1380.886</v>
      </c>
      <c r="L229" s="469">
        <v>2636.51</v>
      </c>
      <c r="M229" s="469">
        <v>79.195999999999998</v>
      </c>
      <c r="N229" s="469">
        <v>3247.3139999999999</v>
      </c>
      <c r="O229" s="469">
        <v>2095.1759999999999</v>
      </c>
      <c r="P229" s="469">
        <v>397.64</v>
      </c>
      <c r="Q229" s="469">
        <v>2943.8789999999999</v>
      </c>
      <c r="R229" s="469">
        <v>116.41</v>
      </c>
      <c r="S229" s="469">
        <f t="shared" si="17"/>
        <v>16651.556</v>
      </c>
    </row>
    <row r="230" spans="1:19">
      <c r="A230" s="469" t="str">
        <f t="shared" ref="A230:A281" si="19">MID($D230,4,2)</f>
        <v>KU</v>
      </c>
      <c r="B230" s="469" t="str">
        <f t="shared" ref="B230:B281" si="20">IF(MID($D230,12,2)="- ","KY",MID($D230,12,2))</f>
        <v>KY</v>
      </c>
      <c r="C230" s="469" t="str">
        <f t="shared" ref="C230:C281" si="21">MID($D230,8,3)</f>
        <v>312</v>
      </c>
      <c r="D230" s="470" t="s">
        <v>1787</v>
      </c>
      <c r="E230" s="468" t="str">
        <f t="shared" si="18"/>
        <v>ECR</v>
      </c>
      <c r="F230" s="469">
        <v>0</v>
      </c>
      <c r="G230" s="469">
        <v>0</v>
      </c>
      <c r="H230" s="469">
        <v>0</v>
      </c>
      <c r="I230" s="469">
        <v>0</v>
      </c>
      <c r="J230" s="469">
        <v>0</v>
      </c>
      <c r="K230" s="469">
        <v>0</v>
      </c>
      <c r="L230" s="469">
        <v>0</v>
      </c>
      <c r="M230" s="469">
        <v>0</v>
      </c>
      <c r="N230" s="469">
        <v>0</v>
      </c>
      <c r="O230" s="469">
        <v>0</v>
      </c>
      <c r="P230" s="469">
        <v>0</v>
      </c>
      <c r="Q230" s="469">
        <v>0</v>
      </c>
      <c r="R230" s="469">
        <v>0</v>
      </c>
      <c r="S230" s="469">
        <f t="shared" si="17"/>
        <v>0</v>
      </c>
    </row>
    <row r="231" spans="1:19">
      <c r="A231" s="469" t="str">
        <f t="shared" si="19"/>
        <v>KU</v>
      </c>
      <c r="B231" s="469" t="str">
        <f t="shared" si="20"/>
        <v>KY</v>
      </c>
      <c r="C231" s="469" t="str">
        <f t="shared" si="21"/>
        <v>314</v>
      </c>
      <c r="D231" s="470" t="s">
        <v>1790</v>
      </c>
      <c r="E231" s="468" t="str">
        <f t="shared" si="18"/>
        <v/>
      </c>
      <c r="F231" s="469">
        <v>0</v>
      </c>
      <c r="G231" s="469">
        <v>0</v>
      </c>
      <c r="H231" s="469">
        <v>0</v>
      </c>
      <c r="I231" s="469">
        <v>0</v>
      </c>
      <c r="J231" s="469">
        <v>0</v>
      </c>
      <c r="K231" s="469">
        <v>0</v>
      </c>
      <c r="L231" s="469">
        <v>0</v>
      </c>
      <c r="M231" s="469">
        <v>0</v>
      </c>
      <c r="N231" s="469">
        <v>0</v>
      </c>
      <c r="O231" s="469">
        <v>0</v>
      </c>
      <c r="P231" s="469">
        <v>0</v>
      </c>
      <c r="Q231" s="469">
        <v>0</v>
      </c>
      <c r="R231" s="469">
        <v>0</v>
      </c>
      <c r="S231" s="469">
        <f t="shared" si="17"/>
        <v>0</v>
      </c>
    </row>
    <row r="232" spans="1:19">
      <c r="A232" s="469" t="str">
        <f t="shared" si="19"/>
        <v>KU</v>
      </c>
      <c r="B232" s="469" t="str">
        <f t="shared" si="20"/>
        <v>KY</v>
      </c>
      <c r="C232" s="469" t="str">
        <f t="shared" si="21"/>
        <v>315</v>
      </c>
      <c r="D232" s="470" t="s">
        <v>1791</v>
      </c>
      <c r="E232" s="468" t="str">
        <f t="shared" si="18"/>
        <v/>
      </c>
      <c r="F232" s="469">
        <v>0</v>
      </c>
      <c r="G232" s="469">
        <v>0</v>
      </c>
      <c r="H232" s="469">
        <v>0</v>
      </c>
      <c r="I232" s="469">
        <v>0</v>
      </c>
      <c r="J232" s="469">
        <v>0</v>
      </c>
      <c r="K232" s="469">
        <v>0</v>
      </c>
      <c r="L232" s="469">
        <v>0</v>
      </c>
      <c r="M232" s="469">
        <v>0</v>
      </c>
      <c r="N232" s="469">
        <v>0</v>
      </c>
      <c r="O232" s="469">
        <v>0</v>
      </c>
      <c r="P232" s="469">
        <v>0</v>
      </c>
      <c r="Q232" s="469">
        <v>0</v>
      </c>
      <c r="R232" s="469">
        <v>0</v>
      </c>
      <c r="S232" s="469">
        <f t="shared" si="17"/>
        <v>0</v>
      </c>
    </row>
    <row r="233" spans="1:19">
      <c r="A233" s="469" t="str">
        <f t="shared" si="19"/>
        <v>KU</v>
      </c>
      <c r="B233" s="469" t="str">
        <f t="shared" si="20"/>
        <v>KY</v>
      </c>
      <c r="C233" s="469" t="str">
        <f t="shared" si="21"/>
        <v>316</v>
      </c>
      <c r="D233" s="470" t="s">
        <v>1793</v>
      </c>
      <c r="E233" s="468" t="str">
        <f t="shared" si="18"/>
        <v/>
      </c>
      <c r="F233" s="469">
        <v>0</v>
      </c>
      <c r="G233" s="469">
        <v>0</v>
      </c>
      <c r="H233" s="469">
        <v>0</v>
      </c>
      <c r="I233" s="469">
        <v>0</v>
      </c>
      <c r="J233" s="469">
        <v>0</v>
      </c>
      <c r="K233" s="469">
        <v>0</v>
      </c>
      <c r="L233" s="469">
        <v>0</v>
      </c>
      <c r="M233" s="469">
        <v>0</v>
      </c>
      <c r="N233" s="469">
        <v>0</v>
      </c>
      <c r="O233" s="469">
        <v>0</v>
      </c>
      <c r="P233" s="469">
        <v>0</v>
      </c>
      <c r="Q233" s="469">
        <v>0</v>
      </c>
      <c r="R233" s="469">
        <v>0</v>
      </c>
      <c r="S233" s="469">
        <f t="shared" si="17"/>
        <v>0</v>
      </c>
    </row>
    <row r="234" spans="1:19">
      <c r="A234" s="469" t="str">
        <f t="shared" si="19"/>
        <v>KU</v>
      </c>
      <c r="B234" s="469" t="str">
        <f t="shared" si="20"/>
        <v>KY</v>
      </c>
      <c r="C234" s="469" t="str">
        <f t="shared" si="21"/>
        <v>331</v>
      </c>
      <c r="D234" s="470" t="s">
        <v>1796</v>
      </c>
      <c r="E234" s="468" t="str">
        <f t="shared" si="18"/>
        <v/>
      </c>
      <c r="F234" s="469">
        <v>0</v>
      </c>
      <c r="G234" s="469">
        <v>0</v>
      </c>
      <c r="H234" s="469">
        <v>0</v>
      </c>
      <c r="I234" s="469">
        <v>0</v>
      </c>
      <c r="J234" s="469">
        <v>0</v>
      </c>
      <c r="K234" s="469">
        <v>0</v>
      </c>
      <c r="L234" s="469">
        <v>0</v>
      </c>
      <c r="M234" s="469">
        <v>0</v>
      </c>
      <c r="N234" s="469">
        <v>0</v>
      </c>
      <c r="O234" s="469">
        <v>0</v>
      </c>
      <c r="P234" s="469">
        <v>0</v>
      </c>
      <c r="Q234" s="469">
        <v>0</v>
      </c>
      <c r="R234" s="469">
        <v>0</v>
      </c>
      <c r="S234" s="469">
        <f t="shared" si="17"/>
        <v>0</v>
      </c>
    </row>
    <row r="235" spans="1:19">
      <c r="A235" s="469" t="str">
        <f t="shared" si="19"/>
        <v>KU</v>
      </c>
      <c r="B235" s="469" t="str">
        <f t="shared" si="20"/>
        <v>KY</v>
      </c>
      <c r="C235" s="469" t="str">
        <f t="shared" si="21"/>
        <v>333</v>
      </c>
      <c r="D235" s="470" t="s">
        <v>1798</v>
      </c>
      <c r="E235" s="468" t="str">
        <f t="shared" si="18"/>
        <v/>
      </c>
      <c r="F235" s="469">
        <v>0</v>
      </c>
      <c r="G235" s="469">
        <v>0</v>
      </c>
      <c r="H235" s="469">
        <v>0</v>
      </c>
      <c r="I235" s="469">
        <v>0</v>
      </c>
      <c r="J235" s="469">
        <v>0</v>
      </c>
      <c r="K235" s="469">
        <v>0</v>
      </c>
      <c r="L235" s="469">
        <v>0</v>
      </c>
      <c r="M235" s="469">
        <v>0</v>
      </c>
      <c r="N235" s="469">
        <v>0</v>
      </c>
      <c r="O235" s="469">
        <v>0</v>
      </c>
      <c r="P235" s="469">
        <v>0</v>
      </c>
      <c r="Q235" s="469">
        <v>0</v>
      </c>
      <c r="R235" s="469">
        <v>0</v>
      </c>
      <c r="S235" s="469">
        <f t="shared" si="17"/>
        <v>0</v>
      </c>
    </row>
    <row r="236" spans="1:19">
      <c r="A236" s="469" t="str">
        <f t="shared" si="19"/>
        <v>KU</v>
      </c>
      <c r="B236" s="469" t="str">
        <f t="shared" si="20"/>
        <v>KY</v>
      </c>
      <c r="C236" s="469" t="str">
        <f t="shared" si="21"/>
        <v>341</v>
      </c>
      <c r="D236" s="470" t="s">
        <v>1804</v>
      </c>
      <c r="E236" s="468" t="str">
        <f t="shared" si="18"/>
        <v/>
      </c>
      <c r="F236" s="469">
        <v>0</v>
      </c>
      <c r="G236" s="469">
        <v>0</v>
      </c>
      <c r="H236" s="469">
        <v>0</v>
      </c>
      <c r="I236" s="469">
        <v>0</v>
      </c>
      <c r="J236" s="469">
        <v>0</v>
      </c>
      <c r="K236" s="469">
        <v>0</v>
      </c>
      <c r="L236" s="469">
        <v>0</v>
      </c>
      <c r="M236" s="469">
        <v>0</v>
      </c>
      <c r="N236" s="469">
        <v>0</v>
      </c>
      <c r="O236" s="469">
        <v>0</v>
      </c>
      <c r="P236" s="469">
        <v>0</v>
      </c>
      <c r="Q236" s="469">
        <v>0</v>
      </c>
      <c r="R236" s="469">
        <v>0</v>
      </c>
      <c r="S236" s="469">
        <f t="shared" si="17"/>
        <v>0</v>
      </c>
    </row>
    <row r="237" spans="1:19">
      <c r="A237" s="469" t="str">
        <f t="shared" si="19"/>
        <v>KU</v>
      </c>
      <c r="B237" s="469" t="str">
        <f t="shared" si="20"/>
        <v>KY</v>
      </c>
      <c r="C237" s="469" t="str">
        <f t="shared" si="21"/>
        <v>343</v>
      </c>
      <c r="D237" s="470" t="s">
        <v>1806</v>
      </c>
      <c r="E237" s="468" t="str">
        <f t="shared" si="18"/>
        <v/>
      </c>
      <c r="F237" s="469">
        <v>0</v>
      </c>
      <c r="G237" s="469">
        <v>0</v>
      </c>
      <c r="H237" s="469">
        <v>0</v>
      </c>
      <c r="I237" s="469">
        <v>0</v>
      </c>
      <c r="J237" s="469">
        <v>0</v>
      </c>
      <c r="K237" s="469">
        <v>0</v>
      </c>
      <c r="L237" s="469">
        <v>0</v>
      </c>
      <c r="M237" s="469">
        <v>0</v>
      </c>
      <c r="N237" s="469">
        <v>0</v>
      </c>
      <c r="O237" s="469">
        <v>0</v>
      </c>
      <c r="P237" s="469">
        <v>0</v>
      </c>
      <c r="Q237" s="469">
        <v>0</v>
      </c>
      <c r="R237" s="469">
        <v>0</v>
      </c>
      <c r="S237" s="469">
        <f t="shared" si="17"/>
        <v>0</v>
      </c>
    </row>
    <row r="238" spans="1:19">
      <c r="A238" s="469" t="str">
        <f t="shared" si="19"/>
        <v>KU</v>
      </c>
      <c r="B238" s="469" t="str">
        <f t="shared" si="20"/>
        <v>KY</v>
      </c>
      <c r="C238" s="469" t="str">
        <f t="shared" si="21"/>
        <v>344</v>
      </c>
      <c r="D238" s="470" t="s">
        <v>1807</v>
      </c>
      <c r="E238" s="468" t="str">
        <f t="shared" si="18"/>
        <v/>
      </c>
      <c r="F238" s="469">
        <v>0</v>
      </c>
      <c r="G238" s="469">
        <v>0</v>
      </c>
      <c r="H238" s="469">
        <v>0</v>
      </c>
      <c r="I238" s="469">
        <v>0</v>
      </c>
      <c r="J238" s="469">
        <v>0</v>
      </c>
      <c r="K238" s="469">
        <v>0</v>
      </c>
      <c r="L238" s="469">
        <v>0</v>
      </c>
      <c r="M238" s="469">
        <v>0</v>
      </c>
      <c r="N238" s="469">
        <v>0</v>
      </c>
      <c r="O238" s="469">
        <v>0</v>
      </c>
      <c r="P238" s="469">
        <v>0</v>
      </c>
      <c r="Q238" s="469">
        <v>0</v>
      </c>
      <c r="R238" s="469">
        <v>0</v>
      </c>
      <c r="S238" s="469">
        <f t="shared" si="17"/>
        <v>0</v>
      </c>
    </row>
    <row r="239" spans="1:19">
      <c r="A239" s="469" t="str">
        <f t="shared" si="19"/>
        <v>KU</v>
      </c>
      <c r="B239" s="469" t="str">
        <f t="shared" si="20"/>
        <v>KY</v>
      </c>
      <c r="C239" s="469" t="str">
        <f t="shared" si="21"/>
        <v>346</v>
      </c>
      <c r="D239" s="470" t="s">
        <v>1809</v>
      </c>
      <c r="E239" s="468" t="str">
        <f t="shared" si="18"/>
        <v/>
      </c>
      <c r="F239" s="469">
        <v>0</v>
      </c>
      <c r="G239" s="469">
        <v>0</v>
      </c>
      <c r="H239" s="469">
        <v>0</v>
      </c>
      <c r="I239" s="469">
        <v>0</v>
      </c>
      <c r="J239" s="469">
        <v>0</v>
      </c>
      <c r="K239" s="469">
        <v>0</v>
      </c>
      <c r="L239" s="469">
        <v>0</v>
      </c>
      <c r="M239" s="469">
        <v>0</v>
      </c>
      <c r="N239" s="469">
        <v>0</v>
      </c>
      <c r="O239" s="469">
        <v>0</v>
      </c>
      <c r="P239" s="469">
        <v>0</v>
      </c>
      <c r="Q239" s="469">
        <v>0</v>
      </c>
      <c r="R239" s="469">
        <v>0</v>
      </c>
      <c r="S239" s="469">
        <f t="shared" si="17"/>
        <v>0</v>
      </c>
    </row>
    <row r="240" spans="1:19">
      <c r="A240" s="469" t="str">
        <f t="shared" si="19"/>
        <v>KU</v>
      </c>
      <c r="B240" s="469" t="str">
        <f t="shared" si="20"/>
        <v>KY</v>
      </c>
      <c r="C240" s="469" t="str">
        <f t="shared" si="21"/>
        <v>352</v>
      </c>
      <c r="D240" s="470" t="s">
        <v>1813</v>
      </c>
      <c r="E240" s="468" t="str">
        <f t="shared" si="18"/>
        <v/>
      </c>
      <c r="F240" s="469">
        <v>0</v>
      </c>
      <c r="G240" s="469">
        <v>0</v>
      </c>
      <c r="H240" s="469">
        <v>0</v>
      </c>
      <c r="I240" s="469">
        <v>0</v>
      </c>
      <c r="J240" s="469">
        <v>0</v>
      </c>
      <c r="K240" s="469">
        <v>0</v>
      </c>
      <c r="L240" s="469">
        <v>0</v>
      </c>
      <c r="M240" s="469">
        <v>0</v>
      </c>
      <c r="N240" s="469">
        <v>0</v>
      </c>
      <c r="O240" s="469">
        <v>0</v>
      </c>
      <c r="P240" s="469">
        <v>0</v>
      </c>
      <c r="Q240" s="469">
        <v>0</v>
      </c>
      <c r="R240" s="469">
        <v>0</v>
      </c>
      <c r="S240" s="469">
        <f t="shared" si="17"/>
        <v>0</v>
      </c>
    </row>
    <row r="241" spans="1:19">
      <c r="A241" s="469" t="str">
        <f t="shared" si="19"/>
        <v>KU</v>
      </c>
      <c r="B241" s="469" t="str">
        <f t="shared" si="20"/>
        <v>KY</v>
      </c>
      <c r="C241" s="469" t="str">
        <f t="shared" si="21"/>
        <v>352</v>
      </c>
      <c r="D241" s="470" t="s">
        <v>1814</v>
      </c>
      <c r="E241" s="468" t="str">
        <f t="shared" si="18"/>
        <v/>
      </c>
      <c r="F241" s="469">
        <v>0</v>
      </c>
      <c r="G241" s="469">
        <v>0</v>
      </c>
      <c r="H241" s="469">
        <v>0</v>
      </c>
      <c r="I241" s="469">
        <v>0</v>
      </c>
      <c r="J241" s="469">
        <v>0</v>
      </c>
      <c r="K241" s="469">
        <v>0</v>
      </c>
      <c r="L241" s="469">
        <v>0</v>
      </c>
      <c r="M241" s="469">
        <v>0</v>
      </c>
      <c r="N241" s="469">
        <v>0</v>
      </c>
      <c r="O241" s="469">
        <v>0</v>
      </c>
      <c r="P241" s="469">
        <v>0</v>
      </c>
      <c r="Q241" s="469">
        <v>0</v>
      </c>
      <c r="R241" s="469">
        <v>0</v>
      </c>
      <c r="S241" s="469">
        <f t="shared" si="17"/>
        <v>0</v>
      </c>
    </row>
    <row r="242" spans="1:19">
      <c r="A242" s="469" t="str">
        <f t="shared" si="19"/>
        <v>KU</v>
      </c>
      <c r="B242" s="469" t="str">
        <f t="shared" si="20"/>
        <v>KY</v>
      </c>
      <c r="C242" s="469" t="str">
        <f t="shared" si="21"/>
        <v>353</v>
      </c>
      <c r="D242" s="470" t="s">
        <v>1816</v>
      </c>
      <c r="E242" s="468" t="str">
        <f t="shared" si="18"/>
        <v/>
      </c>
      <c r="F242" s="469">
        <v>188.21199999999999</v>
      </c>
      <c r="G242" s="469">
        <v>88.402000000000001</v>
      </c>
      <c r="H242" s="469">
        <v>272.05599999999998</v>
      </c>
      <c r="I242" s="469">
        <v>23.372</v>
      </c>
      <c r="J242" s="469">
        <v>88.661000000000001</v>
      </c>
      <c r="K242" s="469">
        <v>64.551000000000002</v>
      </c>
      <c r="L242" s="469">
        <v>207.54</v>
      </c>
      <c r="M242" s="469">
        <v>42.813000000000002</v>
      </c>
      <c r="N242" s="469">
        <v>340.88799999999998</v>
      </c>
      <c r="O242" s="469">
        <v>120.42</v>
      </c>
      <c r="P242" s="469">
        <v>317.85399999999998</v>
      </c>
      <c r="Q242" s="469">
        <v>173.56700000000001</v>
      </c>
      <c r="R242" s="469">
        <v>188.21199999999999</v>
      </c>
      <c r="S242" s="469">
        <f t="shared" si="17"/>
        <v>1928.336</v>
      </c>
    </row>
    <row r="243" spans="1:19">
      <c r="A243" s="469" t="str">
        <f t="shared" si="19"/>
        <v>KU</v>
      </c>
      <c r="B243" s="469" t="s">
        <v>17</v>
      </c>
      <c r="C243" s="469" t="str">
        <f t="shared" si="21"/>
        <v>353</v>
      </c>
      <c r="D243" s="470" t="s">
        <v>1817</v>
      </c>
      <c r="E243" s="468" t="str">
        <f t="shared" si="18"/>
        <v/>
      </c>
      <c r="F243" s="469">
        <v>0</v>
      </c>
      <c r="G243" s="469">
        <v>0</v>
      </c>
      <c r="H243" s="469">
        <v>0</v>
      </c>
      <c r="I243" s="469">
        <v>0</v>
      </c>
      <c r="J243" s="469">
        <v>0</v>
      </c>
      <c r="K243" s="469">
        <v>0</v>
      </c>
      <c r="L243" s="469">
        <v>0</v>
      </c>
      <c r="M243" s="469">
        <v>0</v>
      </c>
      <c r="N243" s="469">
        <v>0</v>
      </c>
      <c r="O243" s="469">
        <v>0</v>
      </c>
      <c r="P243" s="469">
        <v>0</v>
      </c>
      <c r="Q243" s="469">
        <v>0</v>
      </c>
      <c r="R243" s="469">
        <v>0</v>
      </c>
      <c r="S243" s="469">
        <f t="shared" si="17"/>
        <v>0</v>
      </c>
    </row>
    <row r="244" spans="1:19">
      <c r="A244" s="469" t="str">
        <f t="shared" si="19"/>
        <v>KU</v>
      </c>
      <c r="B244" s="469" t="str">
        <f t="shared" si="20"/>
        <v>VA</v>
      </c>
      <c r="C244" s="469" t="str">
        <f t="shared" si="21"/>
        <v>353</v>
      </c>
      <c r="D244" s="470" t="s">
        <v>1818</v>
      </c>
      <c r="E244" s="468" t="str">
        <f t="shared" si="18"/>
        <v/>
      </c>
      <c r="F244" s="469">
        <v>0</v>
      </c>
      <c r="G244" s="469">
        <v>0</v>
      </c>
      <c r="H244" s="469">
        <v>0</v>
      </c>
      <c r="I244" s="469">
        <v>0</v>
      </c>
      <c r="J244" s="469">
        <v>0</v>
      </c>
      <c r="K244" s="469">
        <v>0</v>
      </c>
      <c r="L244" s="469">
        <v>0</v>
      </c>
      <c r="M244" s="469">
        <v>0</v>
      </c>
      <c r="N244" s="469">
        <v>0</v>
      </c>
      <c r="O244" s="469">
        <v>0</v>
      </c>
      <c r="P244" s="469">
        <v>0</v>
      </c>
      <c r="Q244" s="469">
        <v>0</v>
      </c>
      <c r="R244" s="469">
        <v>0</v>
      </c>
      <c r="S244" s="469">
        <f t="shared" si="17"/>
        <v>0</v>
      </c>
    </row>
    <row r="245" spans="1:19">
      <c r="A245" s="469" t="str">
        <f t="shared" si="19"/>
        <v>KU</v>
      </c>
      <c r="B245" s="469" t="str">
        <f t="shared" si="20"/>
        <v>KY</v>
      </c>
      <c r="C245" s="469" t="str">
        <f t="shared" si="21"/>
        <v>354</v>
      </c>
      <c r="D245" s="470" t="s">
        <v>1819</v>
      </c>
      <c r="E245" s="468" t="str">
        <f t="shared" si="18"/>
        <v/>
      </c>
      <c r="F245" s="469">
        <v>0</v>
      </c>
      <c r="G245" s="469">
        <v>0</v>
      </c>
      <c r="H245" s="469">
        <v>0</v>
      </c>
      <c r="I245" s="469">
        <v>0</v>
      </c>
      <c r="J245" s="469">
        <v>0</v>
      </c>
      <c r="K245" s="469">
        <v>0</v>
      </c>
      <c r="L245" s="469">
        <v>0</v>
      </c>
      <c r="M245" s="469">
        <v>0</v>
      </c>
      <c r="N245" s="469">
        <v>0</v>
      </c>
      <c r="O245" s="469">
        <v>0</v>
      </c>
      <c r="P245" s="469">
        <v>0</v>
      </c>
      <c r="Q245" s="469">
        <v>0</v>
      </c>
      <c r="R245" s="469">
        <v>0</v>
      </c>
      <c r="S245" s="469">
        <f t="shared" si="17"/>
        <v>0</v>
      </c>
    </row>
    <row r="246" spans="1:19">
      <c r="A246" s="469" t="str">
        <f t="shared" si="19"/>
        <v>KU</v>
      </c>
      <c r="B246" s="469" t="str">
        <f t="shared" si="20"/>
        <v>KY</v>
      </c>
      <c r="C246" s="469" t="str">
        <f t="shared" si="21"/>
        <v>355</v>
      </c>
      <c r="D246" s="470" t="s">
        <v>1821</v>
      </c>
      <c r="E246" s="468" t="str">
        <f t="shared" si="18"/>
        <v/>
      </c>
      <c r="F246" s="469">
        <v>0</v>
      </c>
      <c r="G246" s="469">
        <v>0</v>
      </c>
      <c r="H246" s="469">
        <v>0</v>
      </c>
      <c r="I246" s="469">
        <v>0</v>
      </c>
      <c r="J246" s="469">
        <v>0</v>
      </c>
      <c r="K246" s="469">
        <v>0</v>
      </c>
      <c r="L246" s="469">
        <v>0</v>
      </c>
      <c r="M246" s="469">
        <v>0</v>
      </c>
      <c r="N246" s="469">
        <v>0</v>
      </c>
      <c r="O246" s="469">
        <v>0</v>
      </c>
      <c r="P246" s="469">
        <v>0</v>
      </c>
      <c r="Q246" s="469">
        <v>0</v>
      </c>
      <c r="R246" s="469">
        <v>0</v>
      </c>
      <c r="S246" s="469">
        <f t="shared" si="17"/>
        <v>0</v>
      </c>
    </row>
    <row r="247" spans="1:19">
      <c r="A247" s="469" t="str">
        <f t="shared" si="19"/>
        <v>KU</v>
      </c>
      <c r="B247" s="469" t="str">
        <f t="shared" si="20"/>
        <v>VA</v>
      </c>
      <c r="C247" s="469" t="str">
        <f t="shared" si="21"/>
        <v>355</v>
      </c>
      <c r="D247" s="470" t="s">
        <v>1823</v>
      </c>
      <c r="E247" s="468" t="str">
        <f t="shared" si="18"/>
        <v/>
      </c>
      <c r="F247" s="469">
        <v>0</v>
      </c>
      <c r="G247" s="469">
        <v>0</v>
      </c>
      <c r="H247" s="469">
        <v>0</v>
      </c>
      <c r="I247" s="469">
        <v>0</v>
      </c>
      <c r="J247" s="469">
        <v>0</v>
      </c>
      <c r="K247" s="469">
        <v>0</v>
      </c>
      <c r="L247" s="469">
        <v>0</v>
      </c>
      <c r="M247" s="469">
        <v>0</v>
      </c>
      <c r="N247" s="469">
        <v>0</v>
      </c>
      <c r="O247" s="469">
        <v>0</v>
      </c>
      <c r="P247" s="469">
        <v>0</v>
      </c>
      <c r="Q247" s="469">
        <v>0</v>
      </c>
      <c r="R247" s="469">
        <v>0</v>
      </c>
      <c r="S247" s="469">
        <f t="shared" si="17"/>
        <v>0</v>
      </c>
    </row>
    <row r="248" spans="1:19">
      <c r="A248" s="469" t="str">
        <f t="shared" si="19"/>
        <v>KU</v>
      </c>
      <c r="B248" s="469" t="str">
        <f t="shared" si="20"/>
        <v>KY</v>
      </c>
      <c r="C248" s="469" t="str">
        <f t="shared" si="21"/>
        <v>356</v>
      </c>
      <c r="D248" s="470" t="s">
        <v>1824</v>
      </c>
      <c r="E248" s="468" t="str">
        <f t="shared" si="18"/>
        <v/>
      </c>
      <c r="F248" s="469">
        <v>0</v>
      </c>
      <c r="G248" s="469">
        <v>0</v>
      </c>
      <c r="H248" s="469">
        <v>0</v>
      </c>
      <c r="I248" s="469">
        <v>0</v>
      </c>
      <c r="J248" s="469">
        <v>0</v>
      </c>
      <c r="K248" s="469">
        <v>0</v>
      </c>
      <c r="L248" s="469">
        <v>0</v>
      </c>
      <c r="M248" s="469">
        <v>0</v>
      </c>
      <c r="N248" s="469">
        <v>0</v>
      </c>
      <c r="O248" s="469">
        <v>0</v>
      </c>
      <c r="P248" s="469">
        <v>0</v>
      </c>
      <c r="Q248" s="469">
        <v>0</v>
      </c>
      <c r="R248" s="469">
        <v>0</v>
      </c>
      <c r="S248" s="469">
        <f t="shared" si="17"/>
        <v>0</v>
      </c>
    </row>
    <row r="249" spans="1:19">
      <c r="A249" s="469" t="str">
        <f t="shared" si="19"/>
        <v>KU</v>
      </c>
      <c r="B249" s="469" t="str">
        <f t="shared" si="20"/>
        <v>VA</v>
      </c>
      <c r="C249" s="469" t="str">
        <f t="shared" si="21"/>
        <v>356</v>
      </c>
      <c r="D249" s="470" t="s">
        <v>1826</v>
      </c>
      <c r="E249" s="468" t="str">
        <f t="shared" si="18"/>
        <v/>
      </c>
      <c r="F249" s="469">
        <v>0</v>
      </c>
      <c r="G249" s="469">
        <v>0</v>
      </c>
      <c r="H249" s="469">
        <v>0</v>
      </c>
      <c r="I249" s="469">
        <v>0</v>
      </c>
      <c r="J249" s="469">
        <v>0</v>
      </c>
      <c r="K249" s="469">
        <v>0</v>
      </c>
      <c r="L249" s="469">
        <v>0</v>
      </c>
      <c r="M249" s="469">
        <v>0</v>
      </c>
      <c r="N249" s="469">
        <v>0</v>
      </c>
      <c r="O249" s="469">
        <v>0</v>
      </c>
      <c r="P249" s="469">
        <v>0</v>
      </c>
      <c r="Q249" s="469">
        <v>0</v>
      </c>
      <c r="R249" s="469">
        <v>0</v>
      </c>
      <c r="S249" s="469">
        <f t="shared" si="17"/>
        <v>0</v>
      </c>
    </row>
    <row r="250" spans="1:19">
      <c r="A250" s="469" t="str">
        <f t="shared" si="19"/>
        <v>KU</v>
      </c>
      <c r="B250" s="469" t="str">
        <f t="shared" si="20"/>
        <v>KY</v>
      </c>
      <c r="C250" s="469" t="str">
        <f t="shared" si="21"/>
        <v>358</v>
      </c>
      <c r="D250" s="470" t="s">
        <v>1828</v>
      </c>
      <c r="E250" s="468" t="str">
        <f t="shared" si="18"/>
        <v/>
      </c>
      <c r="F250" s="469">
        <v>0</v>
      </c>
      <c r="G250" s="469">
        <v>0</v>
      </c>
      <c r="H250" s="469">
        <v>0</v>
      </c>
      <c r="I250" s="469">
        <v>0</v>
      </c>
      <c r="J250" s="469">
        <v>0</v>
      </c>
      <c r="K250" s="469">
        <v>0</v>
      </c>
      <c r="L250" s="469">
        <v>0</v>
      </c>
      <c r="M250" s="469">
        <v>0</v>
      </c>
      <c r="N250" s="469">
        <v>0</v>
      </c>
      <c r="O250" s="469">
        <v>0</v>
      </c>
      <c r="P250" s="469">
        <v>0</v>
      </c>
      <c r="Q250" s="469">
        <v>0</v>
      </c>
      <c r="R250" s="469">
        <v>0</v>
      </c>
      <c r="S250" s="469">
        <f t="shared" si="17"/>
        <v>0</v>
      </c>
    </row>
    <row r="251" spans="1:19">
      <c r="A251" s="469" t="str">
        <f t="shared" si="19"/>
        <v>KU</v>
      </c>
      <c r="B251" s="469" t="str">
        <f t="shared" si="20"/>
        <v>KY</v>
      </c>
      <c r="C251" s="469" t="str">
        <f t="shared" si="21"/>
        <v>361</v>
      </c>
      <c r="D251" s="470" t="s">
        <v>1834</v>
      </c>
      <c r="E251" s="468" t="str">
        <f t="shared" si="18"/>
        <v/>
      </c>
      <c r="F251" s="469">
        <v>0</v>
      </c>
      <c r="G251" s="469">
        <v>0</v>
      </c>
      <c r="H251" s="469">
        <v>0</v>
      </c>
      <c r="I251" s="469">
        <v>0</v>
      </c>
      <c r="J251" s="469">
        <v>0</v>
      </c>
      <c r="K251" s="469">
        <v>0</v>
      </c>
      <c r="L251" s="469">
        <v>0</v>
      </c>
      <c r="M251" s="469">
        <v>0</v>
      </c>
      <c r="N251" s="469">
        <v>0</v>
      </c>
      <c r="O251" s="469">
        <v>0</v>
      </c>
      <c r="P251" s="469">
        <v>0</v>
      </c>
      <c r="Q251" s="469">
        <v>0</v>
      </c>
      <c r="R251" s="469">
        <v>0</v>
      </c>
      <c r="S251" s="469">
        <f t="shared" si="17"/>
        <v>0</v>
      </c>
    </row>
    <row r="252" spans="1:19">
      <c r="A252" s="469" t="str">
        <f t="shared" si="19"/>
        <v>KU</v>
      </c>
      <c r="B252" s="469" t="str">
        <f t="shared" si="20"/>
        <v>VA</v>
      </c>
      <c r="C252" s="469" t="str">
        <f t="shared" si="21"/>
        <v>361</v>
      </c>
      <c r="D252" s="470" t="s">
        <v>1836</v>
      </c>
      <c r="E252" s="468" t="str">
        <f t="shared" si="18"/>
        <v/>
      </c>
      <c r="F252" s="469">
        <v>0</v>
      </c>
      <c r="G252" s="469">
        <v>0</v>
      </c>
      <c r="H252" s="469">
        <v>0</v>
      </c>
      <c r="I252" s="469">
        <v>0</v>
      </c>
      <c r="J252" s="469">
        <v>0</v>
      </c>
      <c r="K252" s="469">
        <v>0</v>
      </c>
      <c r="L252" s="469">
        <v>0</v>
      </c>
      <c r="M252" s="469">
        <v>0</v>
      </c>
      <c r="N252" s="469">
        <v>0</v>
      </c>
      <c r="O252" s="469">
        <v>0</v>
      </c>
      <c r="P252" s="469">
        <v>0</v>
      </c>
      <c r="Q252" s="469">
        <v>0</v>
      </c>
      <c r="R252" s="469">
        <v>0</v>
      </c>
      <c r="S252" s="469">
        <f t="shared" si="17"/>
        <v>0</v>
      </c>
    </row>
    <row r="253" spans="1:19">
      <c r="A253" s="469" t="str">
        <f t="shared" si="19"/>
        <v>KU</v>
      </c>
      <c r="B253" s="469" t="str">
        <f t="shared" si="20"/>
        <v>KY</v>
      </c>
      <c r="C253" s="469" t="str">
        <f t="shared" si="21"/>
        <v>362</v>
      </c>
      <c r="D253" s="470" t="s">
        <v>1837</v>
      </c>
      <c r="E253" s="468" t="str">
        <f t="shared" si="18"/>
        <v/>
      </c>
      <c r="F253" s="469">
        <v>142.41200000000001</v>
      </c>
      <c r="G253" s="469">
        <v>111.226</v>
      </c>
      <c r="H253" s="469">
        <v>87.302000000000007</v>
      </c>
      <c r="I253" s="469">
        <v>69.141000000000005</v>
      </c>
      <c r="J253" s="469">
        <v>99.533000000000001</v>
      </c>
      <c r="K253" s="469">
        <v>68.959999999999994</v>
      </c>
      <c r="L253" s="469">
        <v>188.69499999999999</v>
      </c>
      <c r="M253" s="469">
        <v>52.15</v>
      </c>
      <c r="N253" s="469">
        <v>86.674000000000007</v>
      </c>
      <c r="O253" s="469">
        <v>85.174999999999997</v>
      </c>
      <c r="P253" s="469">
        <v>42.292999999999999</v>
      </c>
      <c r="Q253" s="469">
        <v>104.657</v>
      </c>
      <c r="R253" s="469">
        <v>142.41200000000001</v>
      </c>
      <c r="S253" s="469">
        <f t="shared" si="17"/>
        <v>1138.2179999999998</v>
      </c>
    </row>
    <row r="254" spans="1:19">
      <c r="A254" s="469" t="str">
        <f t="shared" si="19"/>
        <v>KU</v>
      </c>
      <c r="B254" s="469" t="str">
        <f t="shared" si="20"/>
        <v>VA</v>
      </c>
      <c r="C254" s="469" t="str">
        <f t="shared" si="21"/>
        <v>362</v>
      </c>
      <c r="D254" s="470" t="s">
        <v>1839</v>
      </c>
      <c r="E254" s="468" t="str">
        <f t="shared" si="18"/>
        <v/>
      </c>
      <c r="F254" s="469">
        <v>0</v>
      </c>
      <c r="G254" s="469">
        <v>0</v>
      </c>
      <c r="H254" s="469">
        <v>0</v>
      </c>
      <c r="I254" s="469">
        <v>0</v>
      </c>
      <c r="J254" s="469">
        <v>0</v>
      </c>
      <c r="K254" s="469">
        <v>0</v>
      </c>
      <c r="L254" s="469">
        <v>0</v>
      </c>
      <c r="M254" s="469">
        <v>0</v>
      </c>
      <c r="N254" s="469">
        <v>0</v>
      </c>
      <c r="O254" s="469">
        <v>0</v>
      </c>
      <c r="P254" s="469">
        <v>0</v>
      </c>
      <c r="Q254" s="469">
        <v>0</v>
      </c>
      <c r="R254" s="469">
        <v>0</v>
      </c>
      <c r="S254" s="469">
        <f t="shared" si="17"/>
        <v>0</v>
      </c>
    </row>
    <row r="255" spans="1:19">
      <c r="A255" s="469" t="str">
        <f t="shared" si="19"/>
        <v>KU</v>
      </c>
      <c r="B255" s="469" t="str">
        <f t="shared" si="20"/>
        <v>KY</v>
      </c>
      <c r="C255" s="469" t="str">
        <f t="shared" si="21"/>
        <v>364</v>
      </c>
      <c r="D255" s="470" t="s">
        <v>1840</v>
      </c>
      <c r="E255" s="468" t="str">
        <f t="shared" si="18"/>
        <v/>
      </c>
      <c r="F255" s="469">
        <v>186.624</v>
      </c>
      <c r="G255" s="469">
        <v>145.756</v>
      </c>
      <c r="H255" s="469">
        <v>114.404</v>
      </c>
      <c r="I255" s="469">
        <v>90.605999999999995</v>
      </c>
      <c r="J255" s="469">
        <v>130.43299999999999</v>
      </c>
      <c r="K255" s="469">
        <v>90.369</v>
      </c>
      <c r="L255" s="469">
        <v>247.27500000000001</v>
      </c>
      <c r="M255" s="469">
        <v>68.34</v>
      </c>
      <c r="N255" s="469">
        <v>113.581</v>
      </c>
      <c r="O255" s="469">
        <v>111.617</v>
      </c>
      <c r="P255" s="469">
        <v>55.423000000000002</v>
      </c>
      <c r="Q255" s="469">
        <v>137.148</v>
      </c>
      <c r="R255" s="469">
        <v>186.624</v>
      </c>
      <c r="S255" s="469">
        <f t="shared" si="17"/>
        <v>1491.576</v>
      </c>
    </row>
    <row r="256" spans="1:19">
      <c r="A256" s="469" t="str">
        <f t="shared" si="19"/>
        <v>KU</v>
      </c>
      <c r="B256" s="469" t="str">
        <f t="shared" si="20"/>
        <v>VA</v>
      </c>
      <c r="C256" s="469" t="str">
        <f t="shared" si="21"/>
        <v>364</v>
      </c>
      <c r="D256" s="470" t="s">
        <v>1842</v>
      </c>
      <c r="E256" s="468" t="str">
        <f t="shared" si="18"/>
        <v/>
      </c>
      <c r="F256" s="469">
        <v>0</v>
      </c>
      <c r="G256" s="469">
        <v>0</v>
      </c>
      <c r="H256" s="469">
        <v>0</v>
      </c>
      <c r="I256" s="469">
        <v>0</v>
      </c>
      <c r="J256" s="469">
        <v>0</v>
      </c>
      <c r="K256" s="469">
        <v>0</v>
      </c>
      <c r="L256" s="469">
        <v>0</v>
      </c>
      <c r="M256" s="469">
        <v>0</v>
      </c>
      <c r="N256" s="469">
        <v>0</v>
      </c>
      <c r="O256" s="469">
        <v>0</v>
      </c>
      <c r="P256" s="469">
        <v>0</v>
      </c>
      <c r="Q256" s="469">
        <v>0</v>
      </c>
      <c r="R256" s="469">
        <v>0</v>
      </c>
      <c r="S256" s="469">
        <f t="shared" si="17"/>
        <v>0</v>
      </c>
    </row>
    <row r="257" spans="1:19">
      <c r="A257" s="469" t="str">
        <f t="shared" si="19"/>
        <v>KU</v>
      </c>
      <c r="B257" s="469" t="str">
        <f t="shared" si="20"/>
        <v>KY</v>
      </c>
      <c r="C257" s="469" t="str">
        <f t="shared" si="21"/>
        <v>365</v>
      </c>
      <c r="D257" s="470" t="s">
        <v>1843</v>
      </c>
      <c r="E257" s="468" t="str">
        <f t="shared" si="18"/>
        <v/>
      </c>
      <c r="F257" s="469">
        <v>571.30399999999997</v>
      </c>
      <c r="G257" s="469">
        <v>446.19900000000001</v>
      </c>
      <c r="H257" s="469">
        <v>350.22199999999998</v>
      </c>
      <c r="I257" s="469">
        <v>277.36900000000003</v>
      </c>
      <c r="J257" s="469">
        <v>399.28899999999999</v>
      </c>
      <c r="K257" s="469">
        <v>276.642</v>
      </c>
      <c r="L257" s="469">
        <v>756.97400000000005</v>
      </c>
      <c r="M257" s="469">
        <v>209.20599999999999</v>
      </c>
      <c r="N257" s="469">
        <v>347.70299999999997</v>
      </c>
      <c r="O257" s="469">
        <v>341.69</v>
      </c>
      <c r="P257" s="469">
        <v>169.66499999999999</v>
      </c>
      <c r="Q257" s="469">
        <v>419.846</v>
      </c>
      <c r="R257" s="469">
        <v>571.30399999999997</v>
      </c>
      <c r="S257" s="469">
        <f t="shared" si="17"/>
        <v>4566.1090000000004</v>
      </c>
    </row>
    <row r="258" spans="1:19">
      <c r="A258" s="469" t="str">
        <f t="shared" si="19"/>
        <v>KU</v>
      </c>
      <c r="B258" s="469" t="str">
        <f t="shared" si="20"/>
        <v>VA</v>
      </c>
      <c r="C258" s="469" t="str">
        <f t="shared" si="21"/>
        <v>365</v>
      </c>
      <c r="D258" s="470" t="s">
        <v>1845</v>
      </c>
      <c r="E258" s="468" t="str">
        <f t="shared" si="18"/>
        <v/>
      </c>
      <c r="F258" s="469">
        <v>0</v>
      </c>
      <c r="G258" s="469">
        <v>0</v>
      </c>
      <c r="H258" s="469">
        <v>0</v>
      </c>
      <c r="I258" s="469">
        <v>0</v>
      </c>
      <c r="J258" s="469">
        <v>0</v>
      </c>
      <c r="K258" s="469">
        <v>0</v>
      </c>
      <c r="L258" s="469">
        <v>0</v>
      </c>
      <c r="M258" s="469">
        <v>0</v>
      </c>
      <c r="N258" s="469">
        <v>0</v>
      </c>
      <c r="O258" s="469">
        <v>0</v>
      </c>
      <c r="P258" s="469">
        <v>0</v>
      </c>
      <c r="Q258" s="469">
        <v>0</v>
      </c>
      <c r="R258" s="469">
        <v>0</v>
      </c>
      <c r="S258" s="469">
        <f t="shared" si="17"/>
        <v>0</v>
      </c>
    </row>
    <row r="259" spans="1:19">
      <c r="A259" s="469" t="str">
        <f t="shared" si="19"/>
        <v>KU</v>
      </c>
      <c r="B259" s="469" t="str">
        <f t="shared" si="20"/>
        <v>KY</v>
      </c>
      <c r="C259" s="469" t="str">
        <f t="shared" si="21"/>
        <v>366</v>
      </c>
      <c r="D259" s="470" t="s">
        <v>1846</v>
      </c>
      <c r="E259" s="468" t="str">
        <f t="shared" si="18"/>
        <v/>
      </c>
      <c r="F259" s="469">
        <v>0</v>
      </c>
      <c r="G259" s="469">
        <v>0</v>
      </c>
      <c r="H259" s="469">
        <v>0</v>
      </c>
      <c r="I259" s="469">
        <v>0</v>
      </c>
      <c r="J259" s="469">
        <v>0</v>
      </c>
      <c r="K259" s="469">
        <v>0</v>
      </c>
      <c r="L259" s="469">
        <v>0</v>
      </c>
      <c r="M259" s="469">
        <v>0</v>
      </c>
      <c r="N259" s="469">
        <v>0</v>
      </c>
      <c r="O259" s="469">
        <v>0</v>
      </c>
      <c r="P259" s="469">
        <v>0</v>
      </c>
      <c r="Q259" s="469">
        <v>0</v>
      </c>
      <c r="R259" s="469">
        <v>0</v>
      </c>
      <c r="S259" s="469">
        <f t="shared" si="17"/>
        <v>0</v>
      </c>
    </row>
    <row r="260" spans="1:19">
      <c r="A260" s="469" t="str">
        <f t="shared" si="19"/>
        <v>KU</v>
      </c>
      <c r="B260" s="469" t="str">
        <f t="shared" si="20"/>
        <v>KY</v>
      </c>
      <c r="C260" s="469" t="str">
        <f t="shared" si="21"/>
        <v>367</v>
      </c>
      <c r="D260" s="470" t="s">
        <v>1847</v>
      </c>
      <c r="E260" s="468" t="str">
        <f t="shared" si="18"/>
        <v/>
      </c>
      <c r="F260" s="469">
        <v>0</v>
      </c>
      <c r="G260" s="469">
        <v>0</v>
      </c>
      <c r="H260" s="469">
        <v>0</v>
      </c>
      <c r="I260" s="469">
        <v>0</v>
      </c>
      <c r="J260" s="469">
        <v>0</v>
      </c>
      <c r="K260" s="469">
        <v>0</v>
      </c>
      <c r="L260" s="469">
        <v>0</v>
      </c>
      <c r="M260" s="469">
        <v>0</v>
      </c>
      <c r="N260" s="469">
        <v>0</v>
      </c>
      <c r="O260" s="469">
        <v>0</v>
      </c>
      <c r="P260" s="469">
        <v>0</v>
      </c>
      <c r="Q260" s="469">
        <v>0</v>
      </c>
      <c r="R260" s="469">
        <v>0</v>
      </c>
      <c r="S260" s="469">
        <f t="shared" si="17"/>
        <v>0</v>
      </c>
    </row>
    <row r="261" spans="1:19">
      <c r="A261" s="469" t="str">
        <f t="shared" si="19"/>
        <v>KU</v>
      </c>
      <c r="B261" s="469" t="str">
        <f t="shared" si="20"/>
        <v>VA</v>
      </c>
      <c r="C261" s="469" t="str">
        <f t="shared" si="21"/>
        <v>367</v>
      </c>
      <c r="D261" s="470" t="s">
        <v>1848</v>
      </c>
      <c r="E261" s="468" t="str">
        <f t="shared" si="18"/>
        <v/>
      </c>
      <c r="F261" s="469">
        <v>0</v>
      </c>
      <c r="G261" s="469">
        <v>0</v>
      </c>
      <c r="H261" s="469">
        <v>0</v>
      </c>
      <c r="I261" s="469">
        <v>0</v>
      </c>
      <c r="J261" s="469">
        <v>0</v>
      </c>
      <c r="K261" s="469">
        <v>0</v>
      </c>
      <c r="L261" s="469">
        <v>0</v>
      </c>
      <c r="M261" s="469">
        <v>0</v>
      </c>
      <c r="N261" s="469">
        <v>0</v>
      </c>
      <c r="O261" s="469">
        <v>0</v>
      </c>
      <c r="P261" s="469">
        <v>0</v>
      </c>
      <c r="Q261" s="469">
        <v>0</v>
      </c>
      <c r="R261" s="469">
        <v>0</v>
      </c>
      <c r="S261" s="469">
        <f t="shared" si="17"/>
        <v>0</v>
      </c>
    </row>
    <row r="262" spans="1:19">
      <c r="A262" s="469" t="str">
        <f t="shared" si="19"/>
        <v>KU</v>
      </c>
      <c r="B262" s="469" t="str">
        <f t="shared" si="20"/>
        <v>KY</v>
      </c>
      <c r="C262" s="469" t="str">
        <f t="shared" si="21"/>
        <v>368</v>
      </c>
      <c r="D262" s="470" t="s">
        <v>1849</v>
      </c>
      <c r="E262" s="468" t="str">
        <f t="shared" si="18"/>
        <v/>
      </c>
      <c r="F262" s="469">
        <v>188.387</v>
      </c>
      <c r="G262" s="469">
        <v>147.13399999999999</v>
      </c>
      <c r="H262" s="469">
        <v>115.486</v>
      </c>
      <c r="I262" s="469">
        <v>91.462000000000003</v>
      </c>
      <c r="J262" s="469">
        <v>131.66499999999999</v>
      </c>
      <c r="K262" s="469">
        <v>91.222999999999999</v>
      </c>
      <c r="L262" s="469">
        <v>249.61199999999999</v>
      </c>
      <c r="M262" s="469">
        <v>68.986000000000004</v>
      </c>
      <c r="N262" s="469">
        <v>114.655</v>
      </c>
      <c r="O262" s="469">
        <v>112.672</v>
      </c>
      <c r="P262" s="469">
        <v>55.947000000000003</v>
      </c>
      <c r="Q262" s="469">
        <v>138.44399999999999</v>
      </c>
      <c r="R262" s="469">
        <v>188.387</v>
      </c>
      <c r="S262" s="469">
        <f t="shared" si="17"/>
        <v>1505.6729999999995</v>
      </c>
    </row>
    <row r="263" spans="1:19">
      <c r="A263" s="469" t="str">
        <f t="shared" si="19"/>
        <v>KU</v>
      </c>
      <c r="B263" s="469" t="str">
        <f t="shared" si="20"/>
        <v>VA</v>
      </c>
      <c r="C263" s="469" t="str">
        <f t="shared" si="21"/>
        <v>368</v>
      </c>
      <c r="D263" s="470" t="s">
        <v>1851</v>
      </c>
      <c r="E263" s="468" t="str">
        <f t="shared" si="18"/>
        <v/>
      </c>
      <c r="F263" s="469">
        <v>0</v>
      </c>
      <c r="G263" s="469">
        <v>0</v>
      </c>
      <c r="H263" s="469">
        <v>0</v>
      </c>
      <c r="I263" s="469">
        <v>0</v>
      </c>
      <c r="J263" s="469">
        <v>0</v>
      </c>
      <c r="K263" s="469">
        <v>0</v>
      </c>
      <c r="L263" s="469">
        <v>0</v>
      </c>
      <c r="M263" s="469">
        <v>0</v>
      </c>
      <c r="N263" s="469">
        <v>0</v>
      </c>
      <c r="O263" s="469">
        <v>0</v>
      </c>
      <c r="P263" s="469">
        <v>0</v>
      </c>
      <c r="Q263" s="469">
        <v>0</v>
      </c>
      <c r="R263" s="469">
        <v>0</v>
      </c>
      <c r="S263" s="469">
        <f t="shared" si="17"/>
        <v>0</v>
      </c>
    </row>
    <row r="264" spans="1:19">
      <c r="A264" s="469" t="str">
        <f t="shared" si="19"/>
        <v>KU</v>
      </c>
      <c r="B264" s="469" t="str">
        <f t="shared" si="20"/>
        <v>KY</v>
      </c>
      <c r="C264" s="469" t="str">
        <f t="shared" si="21"/>
        <v>369</v>
      </c>
      <c r="D264" s="470" t="s">
        <v>1852</v>
      </c>
      <c r="E264" s="468" t="str">
        <f t="shared" si="18"/>
        <v/>
      </c>
      <c r="F264" s="469">
        <v>0</v>
      </c>
      <c r="G264" s="469">
        <v>0</v>
      </c>
      <c r="H264" s="469">
        <v>0</v>
      </c>
      <c r="I264" s="469">
        <v>0</v>
      </c>
      <c r="J264" s="469">
        <v>0</v>
      </c>
      <c r="K264" s="469">
        <v>0</v>
      </c>
      <c r="L264" s="469">
        <v>0</v>
      </c>
      <c r="M264" s="469">
        <v>0</v>
      </c>
      <c r="N264" s="469">
        <v>0</v>
      </c>
      <c r="O264" s="469">
        <v>0</v>
      </c>
      <c r="P264" s="469">
        <v>0</v>
      </c>
      <c r="Q264" s="469">
        <v>0</v>
      </c>
      <c r="R264" s="469">
        <v>0</v>
      </c>
      <c r="S264" s="469">
        <f t="shared" si="17"/>
        <v>0</v>
      </c>
    </row>
    <row r="265" spans="1:19">
      <c r="A265" s="469" t="str">
        <f t="shared" si="19"/>
        <v>KU</v>
      </c>
      <c r="B265" s="469" t="str">
        <f t="shared" si="20"/>
        <v>VA</v>
      </c>
      <c r="C265" s="469" t="str">
        <f t="shared" si="21"/>
        <v>369</v>
      </c>
      <c r="D265" s="470" t="s">
        <v>1854</v>
      </c>
      <c r="E265" s="468" t="str">
        <f t="shared" si="18"/>
        <v/>
      </c>
      <c r="F265" s="469">
        <v>0</v>
      </c>
      <c r="G265" s="469">
        <v>0</v>
      </c>
      <c r="H265" s="469">
        <v>0</v>
      </c>
      <c r="I265" s="469">
        <v>0</v>
      </c>
      <c r="J265" s="469">
        <v>0</v>
      </c>
      <c r="K265" s="469">
        <v>0</v>
      </c>
      <c r="L265" s="469">
        <v>0</v>
      </c>
      <c r="M265" s="469">
        <v>0</v>
      </c>
      <c r="N265" s="469">
        <v>0</v>
      </c>
      <c r="O265" s="469">
        <v>0</v>
      </c>
      <c r="P265" s="469">
        <v>0</v>
      </c>
      <c r="Q265" s="469">
        <v>0</v>
      </c>
      <c r="R265" s="469">
        <v>0</v>
      </c>
      <c r="S265" s="469">
        <f t="shared" si="17"/>
        <v>0</v>
      </c>
    </row>
    <row r="266" spans="1:19">
      <c r="A266" s="469" t="str">
        <f t="shared" si="19"/>
        <v>KU</v>
      </c>
      <c r="B266" s="469" t="str">
        <f t="shared" si="20"/>
        <v>KY</v>
      </c>
      <c r="C266" s="469" t="str">
        <f t="shared" si="21"/>
        <v>370</v>
      </c>
      <c r="D266" s="470" t="s">
        <v>1855</v>
      </c>
      <c r="E266" s="468" t="str">
        <f t="shared" si="18"/>
        <v/>
      </c>
      <c r="F266" s="469">
        <v>0</v>
      </c>
      <c r="G266" s="469">
        <v>0</v>
      </c>
      <c r="H266" s="469">
        <v>0</v>
      </c>
      <c r="I266" s="469">
        <v>0</v>
      </c>
      <c r="J266" s="469">
        <v>0</v>
      </c>
      <c r="K266" s="469">
        <v>0</v>
      </c>
      <c r="L266" s="469">
        <v>0</v>
      </c>
      <c r="M266" s="469">
        <v>1930.7231200000001</v>
      </c>
      <c r="N266" s="469">
        <v>1821.36321</v>
      </c>
      <c r="O266" s="469">
        <v>1569.6986399999901</v>
      </c>
      <c r="P266" s="469">
        <v>3893.14248</v>
      </c>
      <c r="Q266" s="469">
        <v>3607.7974599999998</v>
      </c>
      <c r="R266" s="469">
        <v>4334.6827400000002</v>
      </c>
      <c r="S266" s="469">
        <f t="shared" si="17"/>
        <v>17157.40764999999</v>
      </c>
    </row>
    <row r="267" spans="1:19">
      <c r="A267" s="469" t="str">
        <f t="shared" si="19"/>
        <v>KU</v>
      </c>
      <c r="B267" s="469" t="str">
        <f t="shared" si="20"/>
        <v>TN</v>
      </c>
      <c r="C267" s="469" t="str">
        <f t="shared" si="21"/>
        <v>370</v>
      </c>
      <c r="D267" s="470" t="s">
        <v>1856</v>
      </c>
      <c r="E267" s="468" t="str">
        <f t="shared" si="18"/>
        <v/>
      </c>
      <c r="F267" s="469">
        <v>0</v>
      </c>
      <c r="G267" s="469">
        <v>0</v>
      </c>
      <c r="H267" s="469">
        <v>0</v>
      </c>
      <c r="I267" s="469">
        <v>0</v>
      </c>
      <c r="J267" s="469">
        <v>0</v>
      </c>
      <c r="K267" s="469">
        <v>0</v>
      </c>
      <c r="L267" s="469">
        <v>0</v>
      </c>
      <c r="M267" s="469">
        <v>0</v>
      </c>
      <c r="N267" s="469">
        <v>0</v>
      </c>
      <c r="O267" s="469">
        <v>0</v>
      </c>
      <c r="P267" s="469">
        <v>0</v>
      </c>
      <c r="Q267" s="469">
        <v>0</v>
      </c>
      <c r="R267" s="469">
        <v>0</v>
      </c>
      <c r="S267" s="469">
        <f t="shared" si="17"/>
        <v>0</v>
      </c>
    </row>
    <row r="268" spans="1:19">
      <c r="A268" s="469" t="str">
        <f t="shared" si="19"/>
        <v>KU</v>
      </c>
      <c r="B268" s="469" t="str">
        <f t="shared" si="20"/>
        <v>VA</v>
      </c>
      <c r="C268" s="469" t="str">
        <f t="shared" si="21"/>
        <v>370</v>
      </c>
      <c r="D268" s="470" t="s">
        <v>1857</v>
      </c>
      <c r="E268" s="468" t="str">
        <f t="shared" si="18"/>
        <v/>
      </c>
      <c r="F268" s="469">
        <v>0</v>
      </c>
      <c r="G268" s="469">
        <v>0</v>
      </c>
      <c r="H268" s="469">
        <v>0</v>
      </c>
      <c r="I268" s="469">
        <v>0</v>
      </c>
      <c r="J268" s="469">
        <v>0</v>
      </c>
      <c r="K268" s="469">
        <v>0</v>
      </c>
      <c r="L268" s="469">
        <v>0</v>
      </c>
      <c r="M268" s="469">
        <v>0</v>
      </c>
      <c r="N268" s="469">
        <v>0</v>
      </c>
      <c r="O268" s="469">
        <v>0</v>
      </c>
      <c r="P268" s="469">
        <v>0</v>
      </c>
      <c r="Q268" s="469">
        <v>0</v>
      </c>
      <c r="R268" s="469">
        <v>0</v>
      </c>
      <c r="S268" s="469">
        <f t="shared" si="17"/>
        <v>0</v>
      </c>
    </row>
    <row r="269" spans="1:19">
      <c r="A269" s="469" t="str">
        <f t="shared" si="19"/>
        <v>KU</v>
      </c>
      <c r="B269" s="469" t="str">
        <f t="shared" si="20"/>
        <v>KY</v>
      </c>
      <c r="C269" s="469" t="str">
        <f t="shared" si="21"/>
        <v>371</v>
      </c>
      <c r="D269" s="470" t="s">
        <v>1858</v>
      </c>
      <c r="E269" s="468" t="str">
        <f t="shared" si="18"/>
        <v/>
      </c>
      <c r="F269" s="469">
        <v>0</v>
      </c>
      <c r="G269" s="469">
        <v>0</v>
      </c>
      <c r="H269" s="469">
        <v>0</v>
      </c>
      <c r="I269" s="469">
        <v>0</v>
      </c>
      <c r="J269" s="469">
        <v>0</v>
      </c>
      <c r="K269" s="469">
        <v>0</v>
      </c>
      <c r="L269" s="469">
        <v>0</v>
      </c>
      <c r="M269" s="469">
        <v>0</v>
      </c>
      <c r="N269" s="469">
        <v>0</v>
      </c>
      <c r="O269" s="469">
        <v>0</v>
      </c>
      <c r="P269" s="469">
        <v>0</v>
      </c>
      <c r="Q269" s="469">
        <v>0</v>
      </c>
      <c r="R269" s="469">
        <v>0</v>
      </c>
      <c r="S269" s="469">
        <f t="shared" si="17"/>
        <v>0</v>
      </c>
    </row>
    <row r="270" spans="1:19">
      <c r="A270" s="469" t="str">
        <f t="shared" si="19"/>
        <v>KU</v>
      </c>
      <c r="B270" s="469" t="str">
        <f t="shared" si="20"/>
        <v>KY</v>
      </c>
      <c r="C270" s="469" t="str">
        <f t="shared" si="21"/>
        <v>373</v>
      </c>
      <c r="D270" s="470" t="s">
        <v>1860</v>
      </c>
      <c r="E270" s="468" t="str">
        <f t="shared" si="18"/>
        <v/>
      </c>
      <c r="F270" s="469">
        <v>362.75</v>
      </c>
      <c r="G270" s="469">
        <v>283.31400000000002</v>
      </c>
      <c r="H270" s="469">
        <v>222.374</v>
      </c>
      <c r="I270" s="469">
        <v>176.11600000000001</v>
      </c>
      <c r="J270" s="469">
        <v>253.529</v>
      </c>
      <c r="K270" s="469">
        <v>175.654</v>
      </c>
      <c r="L270" s="469">
        <v>480.642</v>
      </c>
      <c r="M270" s="469">
        <v>132.83600000000001</v>
      </c>
      <c r="N270" s="469">
        <v>220.774</v>
      </c>
      <c r="O270" s="469">
        <v>216.95699999999999</v>
      </c>
      <c r="P270" s="469">
        <v>107.729</v>
      </c>
      <c r="Q270" s="469">
        <v>266.58199999999999</v>
      </c>
      <c r="R270" s="469">
        <v>362.75</v>
      </c>
      <c r="S270" s="469">
        <f t="shared" ref="S270:S281" si="22">SUM(G270:R270)</f>
        <v>2899.2569999999996</v>
      </c>
    </row>
    <row r="271" spans="1:19">
      <c r="A271" s="469" t="str">
        <f t="shared" si="19"/>
        <v>KU</v>
      </c>
      <c r="B271" s="469" t="str">
        <f t="shared" si="20"/>
        <v>VA</v>
      </c>
      <c r="C271" s="469" t="str">
        <f t="shared" si="21"/>
        <v>373</v>
      </c>
      <c r="D271" s="470" t="s">
        <v>1861</v>
      </c>
      <c r="E271" s="468" t="str">
        <f t="shared" si="18"/>
        <v/>
      </c>
      <c r="F271" s="469">
        <v>0</v>
      </c>
      <c r="G271" s="469">
        <v>0</v>
      </c>
      <c r="H271" s="469">
        <v>0</v>
      </c>
      <c r="I271" s="469">
        <v>0</v>
      </c>
      <c r="J271" s="469">
        <v>0</v>
      </c>
      <c r="K271" s="469">
        <v>0</v>
      </c>
      <c r="L271" s="469">
        <v>0</v>
      </c>
      <c r="M271" s="469">
        <v>0</v>
      </c>
      <c r="N271" s="469">
        <v>0</v>
      </c>
      <c r="O271" s="469">
        <v>0</v>
      </c>
      <c r="P271" s="469">
        <v>0</v>
      </c>
      <c r="Q271" s="469">
        <v>0</v>
      </c>
      <c r="R271" s="469">
        <v>0</v>
      </c>
      <c r="S271" s="469">
        <f t="shared" si="22"/>
        <v>0</v>
      </c>
    </row>
    <row r="272" spans="1:19">
      <c r="A272" s="469" t="str">
        <f t="shared" si="19"/>
        <v>KU</v>
      </c>
      <c r="B272" s="469" t="str">
        <f t="shared" si="20"/>
        <v>KY</v>
      </c>
      <c r="C272" s="469" t="str">
        <f t="shared" si="21"/>
        <v>374</v>
      </c>
      <c r="D272" s="470" t="s">
        <v>1862</v>
      </c>
      <c r="E272" s="468" t="str">
        <f t="shared" si="18"/>
        <v>ARO</v>
      </c>
      <c r="F272" s="469">
        <v>0</v>
      </c>
      <c r="G272" s="469">
        <v>0</v>
      </c>
      <c r="H272" s="469">
        <v>0</v>
      </c>
      <c r="I272" s="469">
        <v>0</v>
      </c>
      <c r="J272" s="469">
        <v>0</v>
      </c>
      <c r="K272" s="469">
        <v>0</v>
      </c>
      <c r="L272" s="469">
        <v>0</v>
      </c>
      <c r="M272" s="469">
        <v>0</v>
      </c>
      <c r="N272" s="469">
        <v>0</v>
      </c>
      <c r="O272" s="469">
        <v>0</v>
      </c>
      <c r="P272" s="469">
        <v>0</v>
      </c>
      <c r="Q272" s="469">
        <v>0</v>
      </c>
      <c r="R272" s="469">
        <v>0</v>
      </c>
      <c r="S272" s="469">
        <f t="shared" si="22"/>
        <v>0</v>
      </c>
    </row>
    <row r="273" spans="1:20">
      <c r="A273" s="469" t="str">
        <f t="shared" si="19"/>
        <v>KU</v>
      </c>
      <c r="B273" s="469" t="str">
        <f t="shared" si="20"/>
        <v>KY</v>
      </c>
      <c r="C273" s="469" t="str">
        <f t="shared" si="21"/>
        <v>390</v>
      </c>
      <c r="D273" s="470" t="s">
        <v>1865</v>
      </c>
      <c r="E273" s="468" t="str">
        <f t="shared" si="18"/>
        <v/>
      </c>
      <c r="F273" s="469">
        <v>0</v>
      </c>
      <c r="G273" s="469">
        <v>0</v>
      </c>
      <c r="H273" s="469">
        <v>0</v>
      </c>
      <c r="I273" s="469">
        <v>0</v>
      </c>
      <c r="J273" s="469">
        <v>0</v>
      </c>
      <c r="K273" s="469">
        <v>0</v>
      </c>
      <c r="L273" s="469">
        <v>0</v>
      </c>
      <c r="M273" s="469">
        <v>0</v>
      </c>
      <c r="N273" s="469">
        <v>0</v>
      </c>
      <c r="O273" s="469">
        <v>0</v>
      </c>
      <c r="P273" s="469">
        <v>0</v>
      </c>
      <c r="Q273" s="469">
        <v>0</v>
      </c>
      <c r="R273" s="469">
        <v>0</v>
      </c>
      <c r="S273" s="469">
        <f t="shared" si="22"/>
        <v>0</v>
      </c>
    </row>
    <row r="274" spans="1:20">
      <c r="A274" s="469" t="str">
        <f t="shared" si="19"/>
        <v>KU</v>
      </c>
      <c r="B274" s="469" t="str">
        <f t="shared" si="20"/>
        <v>KY</v>
      </c>
      <c r="C274" s="469" t="str">
        <f t="shared" si="21"/>
        <v>390</v>
      </c>
      <c r="D274" s="470" t="s">
        <v>1866</v>
      </c>
      <c r="E274" s="468" t="str">
        <f t="shared" si="18"/>
        <v/>
      </c>
      <c r="F274" s="469">
        <v>0</v>
      </c>
      <c r="G274" s="469">
        <v>0</v>
      </c>
      <c r="H274" s="469">
        <v>0</v>
      </c>
      <c r="I274" s="469">
        <v>0</v>
      </c>
      <c r="J274" s="469">
        <v>0</v>
      </c>
      <c r="K274" s="469">
        <v>0</v>
      </c>
      <c r="L274" s="469">
        <v>0</v>
      </c>
      <c r="M274" s="469">
        <v>0</v>
      </c>
      <c r="N274" s="469">
        <v>0</v>
      </c>
      <c r="O274" s="469">
        <v>0</v>
      </c>
      <c r="P274" s="469">
        <v>0</v>
      </c>
      <c r="Q274" s="469">
        <v>0</v>
      </c>
      <c r="R274" s="469">
        <v>0</v>
      </c>
      <c r="S274" s="469">
        <f t="shared" si="22"/>
        <v>0</v>
      </c>
    </row>
    <row r="275" spans="1:20">
      <c r="A275" s="469" t="str">
        <f t="shared" si="19"/>
        <v>KU</v>
      </c>
      <c r="B275" s="469" t="str">
        <f t="shared" si="20"/>
        <v>VA</v>
      </c>
      <c r="C275" s="469" t="str">
        <f t="shared" si="21"/>
        <v>390</v>
      </c>
      <c r="D275" s="470" t="s">
        <v>1867</v>
      </c>
      <c r="E275" s="468" t="str">
        <f t="shared" si="18"/>
        <v/>
      </c>
      <c r="F275" s="469">
        <v>0</v>
      </c>
      <c r="G275" s="469">
        <v>0</v>
      </c>
      <c r="H275" s="469">
        <v>0</v>
      </c>
      <c r="I275" s="469">
        <v>0</v>
      </c>
      <c r="J275" s="469">
        <v>0</v>
      </c>
      <c r="K275" s="469">
        <v>0</v>
      </c>
      <c r="L275" s="469">
        <v>0</v>
      </c>
      <c r="M275" s="469">
        <v>0</v>
      </c>
      <c r="N275" s="469">
        <v>0</v>
      </c>
      <c r="O275" s="469">
        <v>0</v>
      </c>
      <c r="P275" s="469">
        <v>0</v>
      </c>
      <c r="Q275" s="469">
        <v>0</v>
      </c>
      <c r="R275" s="469">
        <v>0</v>
      </c>
      <c r="S275" s="469">
        <f t="shared" si="22"/>
        <v>0</v>
      </c>
    </row>
    <row r="276" spans="1:20">
      <c r="A276" s="469" t="str">
        <f t="shared" si="19"/>
        <v>KU</v>
      </c>
      <c r="B276" s="469" t="str">
        <f t="shared" si="20"/>
        <v>KY</v>
      </c>
      <c r="C276" s="469" t="str">
        <f t="shared" si="21"/>
        <v>391</v>
      </c>
      <c r="D276" s="470" t="s">
        <v>1868</v>
      </c>
      <c r="E276" s="468" t="str">
        <f t="shared" si="18"/>
        <v/>
      </c>
      <c r="F276" s="469">
        <v>0</v>
      </c>
      <c r="G276" s="469">
        <v>0</v>
      </c>
      <c r="H276" s="469">
        <v>35.753</v>
      </c>
      <c r="I276" s="469">
        <v>715.11699999999996</v>
      </c>
      <c r="J276" s="469">
        <v>0</v>
      </c>
      <c r="K276" s="469">
        <v>0</v>
      </c>
      <c r="L276" s="469">
        <v>0</v>
      </c>
      <c r="M276" s="469">
        <v>0</v>
      </c>
      <c r="N276" s="469">
        <v>75.646000000000001</v>
      </c>
      <c r="O276" s="469">
        <v>0</v>
      </c>
      <c r="P276" s="469">
        <v>0</v>
      </c>
      <c r="Q276" s="469">
        <v>0</v>
      </c>
      <c r="R276" s="469">
        <v>0</v>
      </c>
      <c r="S276" s="469">
        <f t="shared" si="22"/>
        <v>826.51599999999996</v>
      </c>
    </row>
    <row r="277" spans="1:20">
      <c r="A277" s="469" t="str">
        <f t="shared" si="19"/>
        <v>KU</v>
      </c>
      <c r="B277" s="469" t="str">
        <f t="shared" si="20"/>
        <v>KY</v>
      </c>
      <c r="C277" s="469" t="str">
        <f t="shared" si="21"/>
        <v>391</v>
      </c>
      <c r="D277" s="470" t="s">
        <v>1869</v>
      </c>
      <c r="E277" s="468" t="str">
        <f t="shared" ref="E277:E342" si="23">IF(ISTEXT(MID($D277,SEARCH("FUTURE USE",$D277),3)),"FUTURE USE",IF(ISTEXT(MID($D277,SEARCH("ECR",$D277),3)),"ECR",IF(ISTEXT(MID($D277,SEARCH("ARO",$D277),3)),"ARO",IF(ISTEXT(MID($D277,SEARCH("DSM",$D277),3)),"DSM",""))))</f>
        <v/>
      </c>
      <c r="F277" s="469">
        <v>1166.114</v>
      </c>
      <c r="G277" s="469">
        <v>43.59</v>
      </c>
      <c r="H277" s="469">
        <v>146.76900000000001</v>
      </c>
      <c r="I277" s="469">
        <v>52.287999999999997</v>
      </c>
      <c r="J277" s="469">
        <v>216.67500000000001</v>
      </c>
      <c r="K277" s="469">
        <v>41.966000000000001</v>
      </c>
      <c r="L277" s="469">
        <v>88.152000000000001</v>
      </c>
      <c r="M277" s="469">
        <v>156.006</v>
      </c>
      <c r="N277" s="469">
        <v>399.02199999999999</v>
      </c>
      <c r="O277" s="469">
        <v>148.233</v>
      </c>
      <c r="P277" s="469">
        <v>921.50300000000004</v>
      </c>
      <c r="Q277" s="469">
        <v>519.03499999999997</v>
      </c>
      <c r="R277" s="469">
        <v>71.253</v>
      </c>
      <c r="S277" s="469">
        <f t="shared" si="22"/>
        <v>2804.4920000000002</v>
      </c>
    </row>
    <row r="278" spans="1:20">
      <c r="A278" s="469" t="str">
        <f t="shared" si="19"/>
        <v>KU</v>
      </c>
      <c r="B278" s="469" t="str">
        <f t="shared" si="20"/>
        <v>VA</v>
      </c>
      <c r="C278" s="469" t="str">
        <f t="shared" si="21"/>
        <v>391</v>
      </c>
      <c r="D278" s="470" t="s">
        <v>1870</v>
      </c>
      <c r="E278" s="468" t="str">
        <f t="shared" si="23"/>
        <v/>
      </c>
      <c r="F278" s="469">
        <v>0</v>
      </c>
      <c r="G278" s="469">
        <v>0</v>
      </c>
      <c r="H278" s="469">
        <v>0</v>
      </c>
      <c r="I278" s="469">
        <v>0</v>
      </c>
      <c r="J278" s="469">
        <v>0</v>
      </c>
      <c r="K278" s="469">
        <v>0</v>
      </c>
      <c r="L278" s="469">
        <v>0</v>
      </c>
      <c r="M278" s="469">
        <v>0</v>
      </c>
      <c r="N278" s="469">
        <v>0</v>
      </c>
      <c r="O278" s="469">
        <v>0</v>
      </c>
      <c r="P278" s="469">
        <v>0</v>
      </c>
      <c r="Q278" s="469">
        <v>0</v>
      </c>
      <c r="R278" s="469">
        <v>0</v>
      </c>
      <c r="S278" s="469">
        <f t="shared" si="22"/>
        <v>0</v>
      </c>
    </row>
    <row r="279" spans="1:20">
      <c r="A279" s="469" t="str">
        <f t="shared" si="19"/>
        <v>KU</v>
      </c>
      <c r="B279" s="469" t="str">
        <f t="shared" si="20"/>
        <v>KY</v>
      </c>
      <c r="C279" s="469" t="str">
        <f t="shared" si="21"/>
        <v>392</v>
      </c>
      <c r="D279" s="470" t="s">
        <v>1872</v>
      </c>
      <c r="E279" s="468" t="str">
        <f t="shared" si="23"/>
        <v/>
      </c>
      <c r="F279" s="469">
        <v>0</v>
      </c>
      <c r="G279" s="469">
        <v>0</v>
      </c>
      <c r="H279" s="469">
        <v>0</v>
      </c>
      <c r="I279" s="469">
        <v>0</v>
      </c>
      <c r="J279" s="469">
        <v>0</v>
      </c>
      <c r="K279" s="469">
        <v>0</v>
      </c>
      <c r="L279" s="469">
        <v>0</v>
      </c>
      <c r="M279" s="469">
        <v>0</v>
      </c>
      <c r="N279" s="469">
        <v>0</v>
      </c>
      <c r="O279" s="469">
        <v>0</v>
      </c>
      <c r="P279" s="469">
        <v>0</v>
      </c>
      <c r="Q279" s="469">
        <v>0</v>
      </c>
      <c r="R279" s="469">
        <v>0</v>
      </c>
      <c r="S279" s="469">
        <f t="shared" si="22"/>
        <v>0</v>
      </c>
    </row>
    <row r="280" spans="1:20">
      <c r="A280" s="469" t="str">
        <f t="shared" si="19"/>
        <v>KU</v>
      </c>
      <c r="B280" s="469" t="str">
        <f t="shared" si="20"/>
        <v>KY</v>
      </c>
      <c r="C280" s="469" t="str">
        <f t="shared" si="21"/>
        <v>394</v>
      </c>
      <c r="D280" s="470" t="s">
        <v>1875</v>
      </c>
      <c r="E280" s="468" t="str">
        <f t="shared" si="23"/>
        <v/>
      </c>
      <c r="F280" s="469">
        <v>3.5049999999999999</v>
      </c>
      <c r="G280" s="469">
        <v>12.500999999999999</v>
      </c>
      <c r="H280" s="469">
        <v>9.3290000000000006</v>
      </c>
      <c r="I280" s="469">
        <v>192.672</v>
      </c>
      <c r="J280" s="469">
        <v>5.7439999999999998</v>
      </c>
      <c r="K280" s="469">
        <v>3.4329999999999998</v>
      </c>
      <c r="L280" s="469">
        <v>7.742</v>
      </c>
      <c r="M280" s="469">
        <v>0</v>
      </c>
      <c r="N280" s="469">
        <v>0</v>
      </c>
      <c r="O280" s="469">
        <v>0</v>
      </c>
      <c r="P280" s="469">
        <v>0</v>
      </c>
      <c r="Q280" s="469">
        <v>0</v>
      </c>
      <c r="R280" s="469">
        <v>0</v>
      </c>
      <c r="S280" s="469">
        <f t="shared" si="22"/>
        <v>231.42099999999999</v>
      </c>
    </row>
    <row r="281" spans="1:20">
      <c r="A281" s="469" t="str">
        <f t="shared" si="19"/>
        <v>KU</v>
      </c>
      <c r="B281" s="469" t="str">
        <f t="shared" si="20"/>
        <v>VA</v>
      </c>
      <c r="C281" s="469" t="str">
        <f t="shared" si="21"/>
        <v>394</v>
      </c>
      <c r="D281" s="470" t="s">
        <v>1876</v>
      </c>
      <c r="E281" s="468" t="str">
        <f t="shared" si="23"/>
        <v/>
      </c>
      <c r="F281" s="469">
        <v>0</v>
      </c>
      <c r="G281" s="469">
        <v>0</v>
      </c>
      <c r="H281" s="469">
        <v>0</v>
      </c>
      <c r="I281" s="469">
        <v>0</v>
      </c>
      <c r="J281" s="469">
        <v>0</v>
      </c>
      <c r="K281" s="469">
        <v>0</v>
      </c>
      <c r="L281" s="469">
        <v>0</v>
      </c>
      <c r="M281" s="469">
        <v>0</v>
      </c>
      <c r="N281" s="469">
        <v>0</v>
      </c>
      <c r="O281" s="469">
        <v>0</v>
      </c>
      <c r="P281" s="469">
        <v>0</v>
      </c>
      <c r="Q281" s="469">
        <v>0</v>
      </c>
      <c r="R281" s="469">
        <v>0</v>
      </c>
      <c r="S281" s="469">
        <f t="shared" si="22"/>
        <v>0</v>
      </c>
    </row>
    <row r="282" spans="1:20">
      <c r="E282" s="468" t="str">
        <f t="shared" si="23"/>
        <v/>
      </c>
    </row>
    <row r="283" spans="1:20">
      <c r="D283" s="668" t="s">
        <v>1886</v>
      </c>
      <c r="E283" s="468" t="str">
        <f t="shared" si="23"/>
        <v/>
      </c>
    </row>
    <row r="284" spans="1:20">
      <c r="A284" s="469" t="str">
        <f t="shared" ref="A284:A349" si="24">MID($D284,4,2)</f>
        <v>KU</v>
      </c>
      <c r="B284" s="469" t="str">
        <f t="shared" ref="B284:B349" si="25">IF(MID($D284,12,2)="- ","KY",MID($D284,12,2))</f>
        <v>KY</v>
      </c>
      <c r="C284" s="469" t="str">
        <f t="shared" ref="C284:C349" si="26">MID($D284,8,3)</f>
        <v>302</v>
      </c>
      <c r="D284" s="470" t="s">
        <v>1778</v>
      </c>
      <c r="E284" s="468" t="str">
        <f t="shared" si="23"/>
        <v/>
      </c>
      <c r="F284" s="469">
        <v>68.330566895000004</v>
      </c>
      <c r="G284" s="469">
        <v>68.499721355800006</v>
      </c>
      <c r="H284" s="469">
        <v>68.668875816600007</v>
      </c>
      <c r="I284" s="469">
        <v>68.838030277399994</v>
      </c>
      <c r="J284" s="469">
        <v>69.007184738199996</v>
      </c>
      <c r="K284" s="469">
        <v>69.176339198999997</v>
      </c>
      <c r="L284" s="469">
        <v>69.345493659799999</v>
      </c>
      <c r="M284" s="469">
        <v>69.5146481206</v>
      </c>
      <c r="N284" s="469">
        <v>69.683802581400002</v>
      </c>
      <c r="O284" s="469">
        <v>69.852957042200003</v>
      </c>
      <c r="P284" s="469">
        <v>70.022111503000005</v>
      </c>
      <c r="Q284" s="469">
        <v>70.191265963800006</v>
      </c>
      <c r="R284" s="469">
        <v>70.360420424599994</v>
      </c>
      <c r="T284" s="469">
        <f t="shared" ref="T284:T349" si="27">SUM(F284:R284)/13</f>
        <v>69.345493659799999</v>
      </c>
    </row>
    <row r="285" spans="1:20">
      <c r="A285" s="469" t="str">
        <f t="shared" si="24"/>
        <v>KU</v>
      </c>
      <c r="B285" s="469" t="str">
        <f t="shared" si="25"/>
        <v>KY</v>
      </c>
      <c r="C285" s="469" t="str">
        <f t="shared" si="26"/>
        <v>303</v>
      </c>
      <c r="D285" s="470" t="s">
        <v>1779</v>
      </c>
      <c r="E285" s="468" t="str">
        <f t="shared" si="23"/>
        <v/>
      </c>
      <c r="F285" s="469">
        <v>21111.059897800002</v>
      </c>
      <c r="G285" s="469">
        <v>18776.935954799999</v>
      </c>
      <c r="H285" s="469">
        <v>19647.577338800002</v>
      </c>
      <c r="I285" s="469">
        <v>20678.752373800002</v>
      </c>
      <c r="J285" s="469">
        <v>21722.7601608</v>
      </c>
      <c r="K285" s="469">
        <v>22299.361073799999</v>
      </c>
      <c r="L285" s="469">
        <v>23368.140750800001</v>
      </c>
      <c r="M285" s="469">
        <v>24345.232435800001</v>
      </c>
      <c r="N285" s="469">
        <v>24607.494655800001</v>
      </c>
      <c r="O285" s="469">
        <v>25339.5282248</v>
      </c>
      <c r="P285" s="469">
        <v>25964.570636799999</v>
      </c>
      <c r="Q285" s="469">
        <v>25928.535020800002</v>
      </c>
      <c r="R285" s="469">
        <v>25799.897417799999</v>
      </c>
      <c r="T285" s="469">
        <f t="shared" si="27"/>
        <v>23045.372764799995</v>
      </c>
    </row>
    <row r="286" spans="1:20">
      <c r="A286" s="469" t="str">
        <f t="shared" si="24"/>
        <v>KU</v>
      </c>
      <c r="B286" s="469" t="str">
        <f t="shared" si="25"/>
        <v>KY</v>
      </c>
      <c r="C286" s="469" t="str">
        <f t="shared" si="26"/>
        <v>303</v>
      </c>
      <c r="D286" s="470" t="s">
        <v>1780</v>
      </c>
      <c r="E286" s="468" t="str">
        <f t="shared" si="23"/>
        <v/>
      </c>
      <c r="F286" s="469">
        <v>32713.843778400002</v>
      </c>
      <c r="G286" s="469">
        <v>33059.045086799997</v>
      </c>
      <c r="H286" s="469">
        <v>33467.628832900002</v>
      </c>
      <c r="I286" s="469">
        <v>33939.595016799998</v>
      </c>
      <c r="J286" s="469">
        <v>34411.561200700002</v>
      </c>
      <c r="K286" s="469">
        <v>34884.114217900002</v>
      </c>
      <c r="L286" s="469">
        <v>35357.958268499999</v>
      </c>
      <c r="M286" s="469">
        <v>35832.506519100003</v>
      </c>
      <c r="N286" s="469">
        <v>36307.0547697</v>
      </c>
      <c r="O286" s="469">
        <v>36782.629978600002</v>
      </c>
      <c r="P286" s="469">
        <v>37259.378854199997</v>
      </c>
      <c r="Q286" s="469">
        <v>37736.274438100001</v>
      </c>
      <c r="R286" s="469">
        <v>38213.170021999998</v>
      </c>
      <c r="T286" s="469">
        <f t="shared" si="27"/>
        <v>35381.904691053845</v>
      </c>
    </row>
    <row r="287" spans="1:20">
      <c r="A287" s="469" t="str">
        <f t="shared" si="24"/>
        <v>KU</v>
      </c>
      <c r="B287" s="469" t="str">
        <f t="shared" si="25"/>
        <v>KY</v>
      </c>
      <c r="C287" s="469" t="str">
        <f t="shared" si="26"/>
        <v>311</v>
      </c>
      <c r="D287" s="470" t="s">
        <v>1784</v>
      </c>
      <c r="E287" s="468" t="str">
        <f t="shared" si="23"/>
        <v>ECR</v>
      </c>
      <c r="F287" s="469">
        <v>204.88003943699999</v>
      </c>
      <c r="G287" s="469">
        <v>211.34997030695001</v>
      </c>
      <c r="H287" s="469">
        <v>217.8199011769</v>
      </c>
      <c r="I287" s="469">
        <v>224.28983204684999</v>
      </c>
      <c r="J287" s="469">
        <v>230.75976291680001</v>
      </c>
      <c r="K287" s="469">
        <v>237.22969378675</v>
      </c>
      <c r="L287" s="469">
        <v>243.6996246567</v>
      </c>
      <c r="M287" s="469">
        <v>250.16955552664999</v>
      </c>
      <c r="N287" s="469">
        <v>256.63948639659998</v>
      </c>
      <c r="O287" s="469">
        <v>263.10941726654897</v>
      </c>
      <c r="P287" s="469">
        <v>269.57934813649899</v>
      </c>
      <c r="Q287" s="469">
        <v>276.04927900644901</v>
      </c>
      <c r="R287" s="469">
        <v>282.51920987639897</v>
      </c>
      <c r="T287" s="469">
        <f t="shared" si="27"/>
        <v>243.69962465669971</v>
      </c>
    </row>
    <row r="288" spans="1:20">
      <c r="A288" s="469" t="str">
        <f t="shared" si="24"/>
        <v>KU</v>
      </c>
      <c r="B288" s="469" t="str">
        <f t="shared" si="25"/>
        <v>KY</v>
      </c>
      <c r="C288" s="469" t="str">
        <f t="shared" si="26"/>
        <v>311</v>
      </c>
      <c r="D288" s="470" t="s">
        <v>2341</v>
      </c>
      <c r="E288" s="468" t="str">
        <f t="shared" si="23"/>
        <v>ECR</v>
      </c>
      <c r="F288" s="469">
        <v>270.60574349500001</v>
      </c>
      <c r="G288" s="469">
        <v>285.68041624990002</v>
      </c>
      <c r="H288" s="469">
        <v>300.75508900480003</v>
      </c>
      <c r="I288" s="469">
        <v>315.82976175969998</v>
      </c>
      <c r="J288" s="469">
        <v>330.90443451459998</v>
      </c>
      <c r="K288" s="469">
        <v>345.97910726949999</v>
      </c>
      <c r="L288" s="469">
        <v>361.0537800244</v>
      </c>
      <c r="M288" s="469">
        <v>376.12845277930001</v>
      </c>
      <c r="N288" s="469">
        <v>391.20312553420001</v>
      </c>
      <c r="O288" s="469">
        <v>406.27779828910002</v>
      </c>
      <c r="P288" s="469">
        <v>421.35247104400003</v>
      </c>
      <c r="Q288" s="469">
        <v>436.42714379889998</v>
      </c>
      <c r="R288" s="469">
        <v>451.50181655379998</v>
      </c>
      <c r="T288" s="469">
        <f t="shared" si="27"/>
        <v>361.0537800244</v>
      </c>
    </row>
    <row r="289" spans="1:20">
      <c r="A289" s="469" t="str">
        <f t="shared" si="24"/>
        <v>KU</v>
      </c>
      <c r="B289" s="469" t="str">
        <f t="shared" si="25"/>
        <v>KY</v>
      </c>
      <c r="C289" s="469" t="str">
        <f t="shared" si="26"/>
        <v>311</v>
      </c>
      <c r="D289" s="470" t="s">
        <v>1785</v>
      </c>
      <c r="E289" s="468" t="str">
        <f t="shared" si="23"/>
        <v/>
      </c>
      <c r="F289" s="469">
        <v>178429.37229412701</v>
      </c>
      <c r="G289" s="469">
        <v>178988.97765566199</v>
      </c>
      <c r="H289" s="469">
        <v>179539.36768663101</v>
      </c>
      <c r="I289" s="469">
        <v>179835.42168339901</v>
      </c>
      <c r="J289" s="469">
        <v>180395.91492580099</v>
      </c>
      <c r="K289" s="469">
        <v>180956.424117469</v>
      </c>
      <c r="L289" s="469">
        <v>181507.49609281399</v>
      </c>
      <c r="M289" s="469">
        <v>182069.93085181699</v>
      </c>
      <c r="N289" s="469">
        <v>182632.36561082001</v>
      </c>
      <c r="O289" s="469">
        <v>183194.91208142301</v>
      </c>
      <c r="P289" s="469">
        <v>183510.578041225</v>
      </c>
      <c r="Q289" s="469">
        <v>184079.936556228</v>
      </c>
      <c r="R289" s="469">
        <v>184649.97984883099</v>
      </c>
      <c r="T289" s="469">
        <f t="shared" si="27"/>
        <v>181522.35980355745</v>
      </c>
    </row>
    <row r="290" spans="1:20">
      <c r="A290" s="469" t="str">
        <f t="shared" si="24"/>
        <v>KU</v>
      </c>
      <c r="B290" s="469" t="str">
        <f t="shared" si="25"/>
        <v>KY</v>
      </c>
      <c r="C290" s="469" t="str">
        <f t="shared" si="26"/>
        <v>312</v>
      </c>
      <c r="D290" s="470" t="s">
        <v>1786</v>
      </c>
      <c r="E290" s="468" t="str">
        <f t="shared" si="23"/>
        <v/>
      </c>
      <c r="F290" s="469">
        <v>1075903.97331239</v>
      </c>
      <c r="G290" s="469">
        <v>1083593.11209025</v>
      </c>
      <c r="H290" s="469">
        <v>1087996.5580682801</v>
      </c>
      <c r="I290" s="469">
        <v>1095673.6306008999</v>
      </c>
      <c r="J290" s="469">
        <v>1103127.8324609899</v>
      </c>
      <c r="K290" s="469">
        <v>1109370.2404312801</v>
      </c>
      <c r="L290" s="469">
        <v>1114517.7948936999</v>
      </c>
      <c r="M290" s="469">
        <v>1122290.92284825</v>
      </c>
      <c r="N290" s="469">
        <v>1126890.3916214199</v>
      </c>
      <c r="O290" s="469">
        <v>1132542.0079077999</v>
      </c>
      <c r="P290" s="469">
        <v>1139567.0026885199</v>
      </c>
      <c r="Q290" s="469">
        <v>1144228.8874786701</v>
      </c>
      <c r="R290" s="469">
        <v>1151992.5306607501</v>
      </c>
      <c r="T290" s="469">
        <f t="shared" si="27"/>
        <v>1114438.0680817848</v>
      </c>
    </row>
    <row r="291" spans="1:20">
      <c r="A291" s="469" t="str">
        <f t="shared" si="24"/>
        <v>KU</v>
      </c>
      <c r="B291" s="469" t="str">
        <f t="shared" si="25"/>
        <v>KY</v>
      </c>
      <c r="C291" s="469" t="str">
        <f t="shared" si="26"/>
        <v>312</v>
      </c>
      <c r="D291" s="470" t="s">
        <v>1787</v>
      </c>
      <c r="E291" s="468" t="str">
        <f t="shared" si="23"/>
        <v>ECR</v>
      </c>
      <c r="F291" s="469">
        <v>34129.767784782998</v>
      </c>
      <c r="G291" s="469">
        <v>35779.604881063497</v>
      </c>
      <c r="H291" s="469">
        <v>37429.951977343997</v>
      </c>
      <c r="I291" s="469">
        <v>39080.299073624497</v>
      </c>
      <c r="J291" s="469">
        <v>40730.646169904998</v>
      </c>
      <c r="K291" s="469">
        <v>42380.993266185498</v>
      </c>
      <c r="L291" s="469">
        <v>44031.340362465999</v>
      </c>
      <c r="M291" s="469">
        <v>45681.687458746499</v>
      </c>
      <c r="N291" s="469">
        <v>47332.034555026999</v>
      </c>
      <c r="O291" s="469">
        <v>48982.3816513075</v>
      </c>
      <c r="P291" s="469">
        <v>50629.003674062697</v>
      </c>
      <c r="Q291" s="469">
        <v>52271.900623292699</v>
      </c>
      <c r="R291" s="469">
        <v>53914.797572522701</v>
      </c>
      <c r="T291" s="469">
        <f t="shared" si="27"/>
        <v>44028.800696179278</v>
      </c>
    </row>
    <row r="292" spans="1:20">
      <c r="A292" s="469" t="str">
        <f t="shared" si="24"/>
        <v>KU</v>
      </c>
      <c r="B292" s="469" t="str">
        <f t="shared" si="25"/>
        <v>KY</v>
      </c>
      <c r="C292" s="469" t="str">
        <f t="shared" si="26"/>
        <v>312</v>
      </c>
      <c r="D292" s="470" t="s">
        <v>3308</v>
      </c>
      <c r="E292" s="468" t="str">
        <f t="shared" si="23"/>
        <v/>
      </c>
      <c r="F292" s="469">
        <v>-710.02203999999995</v>
      </c>
      <c r="G292" s="469">
        <v>-710.02203999999995</v>
      </c>
      <c r="H292" s="469">
        <v>-710.02203999999995</v>
      </c>
      <c r="I292" s="469">
        <v>-710.02203999999995</v>
      </c>
      <c r="J292" s="469">
        <v>-710.02203999999995</v>
      </c>
      <c r="K292" s="469">
        <v>-710.02203999999995</v>
      </c>
      <c r="L292" s="469">
        <v>-710.02203999999995</v>
      </c>
      <c r="M292" s="469">
        <v>-710.02203999999995</v>
      </c>
      <c r="N292" s="469">
        <v>-710.02203999999995</v>
      </c>
      <c r="O292" s="469">
        <v>-710.02203999999995</v>
      </c>
      <c r="P292" s="469">
        <v>-710.02203999999995</v>
      </c>
      <c r="Q292" s="469">
        <v>-710.02203999999995</v>
      </c>
      <c r="R292" s="469">
        <v>-710.02203999999995</v>
      </c>
      <c r="T292" s="469">
        <f t="shared" ref="T292" si="28">SUM(F292:R292)/13</f>
        <v>-710.02203999999995</v>
      </c>
    </row>
    <row r="293" spans="1:20">
      <c r="A293" s="469" t="str">
        <f t="shared" si="24"/>
        <v>KU</v>
      </c>
      <c r="B293" s="469" t="str">
        <f t="shared" si="25"/>
        <v>KY</v>
      </c>
      <c r="C293" s="469" t="str">
        <f t="shared" si="26"/>
        <v>312</v>
      </c>
      <c r="D293" s="470" t="s">
        <v>1788</v>
      </c>
      <c r="E293" s="468" t="str">
        <f t="shared" si="23"/>
        <v>ECR</v>
      </c>
      <c r="F293" s="469">
        <v>36507.524038323005</v>
      </c>
      <c r="G293" s="469">
        <v>39400.448860933007</v>
      </c>
      <c r="H293" s="469">
        <v>42293.37368354301</v>
      </c>
      <c r="I293" s="469">
        <v>45186.298506153013</v>
      </c>
      <c r="J293" s="469">
        <v>48079.223328763015</v>
      </c>
      <c r="K293" s="469">
        <v>50972.148151373018</v>
      </c>
      <c r="L293" s="469">
        <v>53865.07297398302</v>
      </c>
      <c r="M293" s="469">
        <v>56757.997796593023</v>
      </c>
      <c r="N293" s="469">
        <v>59650.922619203026</v>
      </c>
      <c r="O293" s="469">
        <v>62543.847441813028</v>
      </c>
      <c r="P293" s="469">
        <v>65436.772264423031</v>
      </c>
      <c r="Q293" s="469">
        <v>68329.697087033026</v>
      </c>
      <c r="R293" s="469">
        <v>71222.621909643029</v>
      </c>
      <c r="T293" s="469">
        <f t="shared" si="27"/>
        <v>53865.07297398302</v>
      </c>
    </row>
    <row r="294" spans="1:20">
      <c r="A294" s="469" t="str">
        <f t="shared" si="24"/>
        <v>KU</v>
      </c>
      <c r="B294" s="469" t="str">
        <f t="shared" si="25"/>
        <v>KY</v>
      </c>
      <c r="C294" s="469" t="str">
        <f t="shared" si="26"/>
        <v>312</v>
      </c>
      <c r="D294" s="470" t="s">
        <v>3309</v>
      </c>
      <c r="E294" s="468" t="str">
        <f t="shared" si="23"/>
        <v/>
      </c>
      <c r="F294" s="469">
        <v>-26274.878339999897</v>
      </c>
      <c r="G294" s="469">
        <v>-26274.878339999897</v>
      </c>
      <c r="H294" s="469">
        <v>-26274.878339999897</v>
      </c>
      <c r="I294" s="469">
        <v>-26274.878339999897</v>
      </c>
      <c r="J294" s="469">
        <v>-26274.878339999897</v>
      </c>
      <c r="K294" s="469">
        <v>-26274.878339999897</v>
      </c>
      <c r="L294" s="469">
        <v>-26274.878339999897</v>
      </c>
      <c r="M294" s="469">
        <v>-26274.878339999897</v>
      </c>
      <c r="N294" s="469">
        <v>-26274.878339999897</v>
      </c>
      <c r="O294" s="469">
        <v>-26274.878339999897</v>
      </c>
      <c r="P294" s="469">
        <v>-26274.878339999897</v>
      </c>
      <c r="Q294" s="469">
        <v>-26274.878339999897</v>
      </c>
      <c r="R294" s="469">
        <v>-26274.878339999897</v>
      </c>
      <c r="T294" s="469">
        <f t="shared" ref="T294" si="29">SUM(F294:R294)/13</f>
        <v>-26274.878339999897</v>
      </c>
    </row>
    <row r="295" spans="1:20">
      <c r="A295" s="469" t="str">
        <f t="shared" si="24"/>
        <v>KU</v>
      </c>
      <c r="B295" s="469" t="str">
        <f t="shared" si="25"/>
        <v>KY</v>
      </c>
      <c r="C295" s="469" t="str">
        <f t="shared" si="26"/>
        <v>312</v>
      </c>
      <c r="D295" s="470" t="s">
        <v>2342</v>
      </c>
      <c r="E295" s="468" t="str">
        <f t="shared" si="23"/>
        <v>ECR</v>
      </c>
      <c r="F295" s="469">
        <v>77.93037438476</v>
      </c>
      <c r="G295" s="469">
        <v>102.85620325075899</v>
      </c>
      <c r="H295" s="469">
        <v>127.782032116759</v>
      </c>
      <c r="I295" s="469">
        <v>152.707860982759</v>
      </c>
      <c r="J295" s="469">
        <v>177.63368984875899</v>
      </c>
      <c r="K295" s="469">
        <v>202.55951871475901</v>
      </c>
      <c r="L295" s="469">
        <v>251.69718395428899</v>
      </c>
      <c r="M295" s="469">
        <v>325.04668556828898</v>
      </c>
      <c r="N295" s="469">
        <v>398.396187182289</v>
      </c>
      <c r="O295" s="469">
        <v>471.74568879628998</v>
      </c>
      <c r="P295" s="469">
        <v>545.09519041029</v>
      </c>
      <c r="Q295" s="469">
        <v>618.44469202429002</v>
      </c>
      <c r="R295" s="469">
        <v>691.79419363829004</v>
      </c>
      <c r="T295" s="469">
        <f t="shared" si="27"/>
        <v>318.7453462209678</v>
      </c>
    </row>
    <row r="296" spans="1:20">
      <c r="A296" s="469" t="str">
        <f t="shared" si="24"/>
        <v>KU</v>
      </c>
      <c r="B296" s="469" t="str">
        <f t="shared" si="25"/>
        <v>KY</v>
      </c>
      <c r="C296" s="469" t="str">
        <f t="shared" si="26"/>
        <v>312</v>
      </c>
      <c r="D296" s="470" t="s">
        <v>2343</v>
      </c>
      <c r="E296" s="468" t="str">
        <f t="shared" si="23"/>
        <v>ECR</v>
      </c>
      <c r="F296" s="469">
        <v>0</v>
      </c>
      <c r="G296" s="469">
        <v>0</v>
      </c>
      <c r="H296" s="469">
        <v>0</v>
      </c>
      <c r="I296" s="469">
        <v>0</v>
      </c>
      <c r="J296" s="469">
        <v>0</v>
      </c>
      <c r="K296" s="469">
        <v>0</v>
      </c>
      <c r="L296" s="469">
        <v>0</v>
      </c>
      <c r="M296" s="469">
        <v>0</v>
      </c>
      <c r="N296" s="469">
        <v>0</v>
      </c>
      <c r="O296" s="469">
        <v>0</v>
      </c>
      <c r="P296" s="469">
        <v>0</v>
      </c>
      <c r="Q296" s="469">
        <v>0</v>
      </c>
      <c r="R296" s="469">
        <v>0</v>
      </c>
      <c r="T296" s="469">
        <f t="shared" si="27"/>
        <v>0</v>
      </c>
    </row>
    <row r="297" spans="1:20">
      <c r="A297" s="469" t="str">
        <f t="shared" si="24"/>
        <v>KU</v>
      </c>
      <c r="B297" s="469" t="str">
        <f t="shared" si="25"/>
        <v>KY</v>
      </c>
      <c r="C297" s="469" t="str">
        <f t="shared" si="26"/>
        <v>314</v>
      </c>
      <c r="D297" s="470" t="s">
        <v>1790</v>
      </c>
      <c r="E297" s="468" t="str">
        <f t="shared" si="23"/>
        <v/>
      </c>
      <c r="F297" s="469">
        <v>169426.26451974199</v>
      </c>
      <c r="G297" s="469">
        <v>170177.53785487599</v>
      </c>
      <c r="H297" s="469">
        <v>170925.88744001</v>
      </c>
      <c r="I297" s="469">
        <v>171671.62059602601</v>
      </c>
      <c r="J297" s="469">
        <v>172343.83418393001</v>
      </c>
      <c r="K297" s="469">
        <v>173061.28046353901</v>
      </c>
      <c r="L297" s="469">
        <v>173808.64890852501</v>
      </c>
      <c r="M297" s="469">
        <v>174566.46745819799</v>
      </c>
      <c r="N297" s="469">
        <v>175324.28600786999</v>
      </c>
      <c r="O297" s="469">
        <v>176041.58121753699</v>
      </c>
      <c r="P297" s="469">
        <v>176716.49061660201</v>
      </c>
      <c r="Q297" s="469">
        <v>177462.14899894499</v>
      </c>
      <c r="R297" s="469">
        <v>178220.94961679299</v>
      </c>
      <c r="T297" s="469">
        <f t="shared" si="27"/>
        <v>173826.69214481485</v>
      </c>
    </row>
    <row r="298" spans="1:20">
      <c r="A298" s="469" t="str">
        <f t="shared" si="24"/>
        <v>KU</v>
      </c>
      <c r="B298" s="469" t="str">
        <f t="shared" si="25"/>
        <v>KY</v>
      </c>
      <c r="C298" s="469" t="str">
        <f t="shared" si="26"/>
        <v>315</v>
      </c>
      <c r="D298" s="470" t="s">
        <v>1791</v>
      </c>
      <c r="E298" s="468" t="str">
        <f t="shared" si="23"/>
        <v/>
      </c>
      <c r="F298" s="469">
        <v>106900.83172977999</v>
      </c>
      <c r="G298" s="469">
        <v>107376.343540634</v>
      </c>
      <c r="H298" s="469">
        <v>107851.85535148899</v>
      </c>
      <c r="I298" s="469">
        <v>108327.367162344</v>
      </c>
      <c r="J298" s="469">
        <v>108802.87897319801</v>
      </c>
      <c r="K298" s="469">
        <v>109278.390784053</v>
      </c>
      <c r="L298" s="469">
        <v>109753.90259490701</v>
      </c>
      <c r="M298" s="469">
        <v>110229.414405762</v>
      </c>
      <c r="N298" s="469">
        <v>110704.926216616</v>
      </c>
      <c r="O298" s="469">
        <v>111180.438027471</v>
      </c>
      <c r="P298" s="469">
        <v>111655.94983832601</v>
      </c>
      <c r="Q298" s="469">
        <v>112131.46164918</v>
      </c>
      <c r="R298" s="469">
        <v>112606.97346003501</v>
      </c>
      <c r="T298" s="469">
        <f t="shared" si="27"/>
        <v>109753.9025949073</v>
      </c>
    </row>
    <row r="299" spans="1:20">
      <c r="A299" s="469" t="str">
        <f t="shared" si="24"/>
        <v>KU</v>
      </c>
      <c r="B299" s="469" t="str">
        <f t="shared" si="25"/>
        <v>KY</v>
      </c>
      <c r="C299" s="469" t="str">
        <f t="shared" si="26"/>
        <v>315</v>
      </c>
      <c r="D299" s="470" t="s">
        <v>2344</v>
      </c>
      <c r="E299" s="468" t="str">
        <f t="shared" si="23"/>
        <v>ECR</v>
      </c>
      <c r="F299" s="469">
        <v>58.556098226699902</v>
      </c>
      <c r="G299" s="469">
        <v>60.789600577669901</v>
      </c>
      <c r="H299" s="469">
        <v>63.02310292864</v>
      </c>
      <c r="I299" s="469">
        <v>65.25660527961</v>
      </c>
      <c r="J299" s="469">
        <v>67.490107630579999</v>
      </c>
      <c r="K299" s="469">
        <v>69.723609981549998</v>
      </c>
      <c r="L299" s="469">
        <v>71.957112332519998</v>
      </c>
      <c r="M299" s="469">
        <v>74.190614683489997</v>
      </c>
      <c r="N299" s="469">
        <v>76.424117034459996</v>
      </c>
      <c r="O299" s="469">
        <v>78.657619385429996</v>
      </c>
      <c r="P299" s="469">
        <v>80.891121736399995</v>
      </c>
      <c r="Q299" s="469">
        <v>83.124624087369995</v>
      </c>
      <c r="R299" s="469">
        <v>85.358126438339994</v>
      </c>
      <c r="T299" s="469">
        <f t="shared" si="27"/>
        <v>71.957112332519984</v>
      </c>
    </row>
    <row r="300" spans="1:20">
      <c r="A300" s="469" t="str">
        <f t="shared" si="24"/>
        <v>KU</v>
      </c>
      <c r="B300" s="469" t="str">
        <f t="shared" si="25"/>
        <v>KY</v>
      </c>
      <c r="C300" s="469" t="str">
        <f t="shared" si="26"/>
        <v>315</v>
      </c>
      <c r="D300" s="470" t="s">
        <v>1792</v>
      </c>
      <c r="E300" s="468" t="str">
        <f t="shared" si="23"/>
        <v>ECR</v>
      </c>
      <c r="F300" s="469">
        <v>233.51279960506901</v>
      </c>
      <c r="G300" s="469">
        <v>246.007034550566</v>
      </c>
      <c r="H300" s="469">
        <v>258.501269496063</v>
      </c>
      <c r="I300" s="469">
        <v>270.99550444156102</v>
      </c>
      <c r="J300" s="469">
        <v>283.48973938705802</v>
      </c>
      <c r="K300" s="469">
        <v>295.98397433255502</v>
      </c>
      <c r="L300" s="469">
        <v>308.47820927805202</v>
      </c>
      <c r="M300" s="469">
        <v>320.97244422354902</v>
      </c>
      <c r="N300" s="469">
        <v>333.46667916904602</v>
      </c>
      <c r="O300" s="469">
        <v>345.96091411454302</v>
      </c>
      <c r="P300" s="469">
        <v>358.45514906004001</v>
      </c>
      <c r="Q300" s="469">
        <v>370.94938400553701</v>
      </c>
      <c r="R300" s="469">
        <v>383.44361895103401</v>
      </c>
      <c r="T300" s="469">
        <f t="shared" si="27"/>
        <v>308.47820927805174</v>
      </c>
    </row>
    <row r="301" spans="1:20">
      <c r="A301" s="469" t="str">
        <f t="shared" si="24"/>
        <v>KU</v>
      </c>
      <c r="B301" s="469" t="str">
        <f t="shared" si="25"/>
        <v>KY</v>
      </c>
      <c r="C301" s="469" t="str">
        <f t="shared" si="26"/>
        <v>316</v>
      </c>
      <c r="D301" s="470" t="s">
        <v>2345</v>
      </c>
      <c r="E301" s="468" t="str">
        <f t="shared" si="23"/>
        <v>ECR</v>
      </c>
      <c r="F301" s="469">
        <v>20.22470319</v>
      </c>
      <c r="G301" s="469">
        <v>21.5720780445</v>
      </c>
      <c r="H301" s="469">
        <v>22.919452898999999</v>
      </c>
      <c r="I301" s="469">
        <v>24.266827753499999</v>
      </c>
      <c r="J301" s="469">
        <v>25.614202607999999</v>
      </c>
      <c r="K301" s="469">
        <v>26.961577462499999</v>
      </c>
      <c r="L301" s="469">
        <v>28.308952316999999</v>
      </c>
      <c r="M301" s="469">
        <v>29.656327171499999</v>
      </c>
      <c r="N301" s="469">
        <v>31.003702025999999</v>
      </c>
      <c r="O301" s="469">
        <v>32.351076880500003</v>
      </c>
      <c r="P301" s="469">
        <v>33.698451734999999</v>
      </c>
      <c r="Q301" s="469">
        <v>35.045826589499903</v>
      </c>
      <c r="R301" s="469">
        <v>36.393201443999899</v>
      </c>
      <c r="T301" s="469">
        <f t="shared" si="27"/>
        <v>28.308952316999981</v>
      </c>
    </row>
    <row r="302" spans="1:20">
      <c r="A302" s="469" t="str">
        <f t="shared" si="24"/>
        <v>KU</v>
      </c>
      <c r="B302" s="469" t="str">
        <f t="shared" si="25"/>
        <v>KY</v>
      </c>
      <c r="C302" s="469" t="str">
        <f t="shared" si="26"/>
        <v>316</v>
      </c>
      <c r="D302" s="470" t="s">
        <v>1793</v>
      </c>
      <c r="E302" s="468" t="str">
        <f t="shared" si="23"/>
        <v/>
      </c>
      <c r="F302" s="469">
        <v>17032.806863926999</v>
      </c>
      <c r="G302" s="469">
        <v>17098.306515418801</v>
      </c>
      <c r="H302" s="469">
        <v>17175.874899787799</v>
      </c>
      <c r="I302" s="469">
        <v>17250.492625226601</v>
      </c>
      <c r="J302" s="469">
        <v>17328.399691735201</v>
      </c>
      <c r="K302" s="469">
        <v>17406.901171346399</v>
      </c>
      <c r="L302" s="469">
        <v>17482.2517315595</v>
      </c>
      <c r="M302" s="469">
        <v>17564.297544969901</v>
      </c>
      <c r="N302" s="469">
        <v>17646.396596944101</v>
      </c>
      <c r="O302" s="469">
        <v>17728.621375529499</v>
      </c>
      <c r="P302" s="469">
        <v>17810.9718807262</v>
      </c>
      <c r="Q302" s="469">
        <v>17894.135840008799</v>
      </c>
      <c r="R302" s="469">
        <v>17978.220933192399</v>
      </c>
      <c r="T302" s="469">
        <f t="shared" si="27"/>
        <v>17492.129051567092</v>
      </c>
    </row>
    <row r="303" spans="1:20">
      <c r="A303" s="469" t="str">
        <f t="shared" si="24"/>
        <v>KU</v>
      </c>
      <c r="B303" s="469" t="str">
        <f t="shared" si="25"/>
        <v>KY</v>
      </c>
      <c r="C303" s="469" t="str">
        <f t="shared" si="26"/>
        <v>317</v>
      </c>
      <c r="D303" s="470" t="s">
        <v>1794</v>
      </c>
      <c r="E303" s="468" t="str">
        <f t="shared" si="23"/>
        <v>ARO</v>
      </c>
      <c r="F303" s="469">
        <v>122387.83073</v>
      </c>
      <c r="G303" s="469">
        <v>126155.57348000001</v>
      </c>
      <c r="H303" s="469">
        <v>129923.31623</v>
      </c>
      <c r="I303" s="469">
        <v>133691.05898</v>
      </c>
      <c r="J303" s="469">
        <v>137458.80173000001</v>
      </c>
      <c r="K303" s="469">
        <v>141226.54448000001</v>
      </c>
      <c r="L303" s="469">
        <v>144994.28722999999</v>
      </c>
      <c r="M303" s="469">
        <v>148762.02997999999</v>
      </c>
      <c r="N303" s="469">
        <v>152529.77273</v>
      </c>
      <c r="O303" s="469">
        <v>156297.51548</v>
      </c>
      <c r="P303" s="469">
        <v>160065.25823000001</v>
      </c>
      <c r="Q303" s="469">
        <v>163833.00098000001</v>
      </c>
      <c r="R303" s="469">
        <v>167600.74372999999</v>
      </c>
      <c r="T303" s="469">
        <f t="shared" si="27"/>
        <v>144994.28723000002</v>
      </c>
    </row>
    <row r="304" spans="1:20">
      <c r="A304" s="469" t="str">
        <f t="shared" si="24"/>
        <v>KU</v>
      </c>
      <c r="B304" s="469" t="str">
        <f t="shared" si="25"/>
        <v>KY</v>
      </c>
      <c r="C304" s="469" t="str">
        <f t="shared" si="26"/>
        <v>330</v>
      </c>
      <c r="D304" s="470" t="s">
        <v>1795</v>
      </c>
      <c r="E304" s="468" t="str">
        <f t="shared" si="23"/>
        <v/>
      </c>
      <c r="F304" s="469">
        <v>912.33259999999996</v>
      </c>
      <c r="G304" s="469">
        <v>912.33259999999996</v>
      </c>
      <c r="H304" s="469">
        <v>912.33259999999996</v>
      </c>
      <c r="I304" s="469">
        <v>912.33259999999996</v>
      </c>
      <c r="J304" s="469">
        <v>912.33259999999996</v>
      </c>
      <c r="K304" s="469">
        <v>912.33259999999996</v>
      </c>
      <c r="L304" s="469">
        <v>912.33259999999996</v>
      </c>
      <c r="M304" s="469">
        <v>912.33259999999996</v>
      </c>
      <c r="N304" s="469">
        <v>912.33259999999996</v>
      </c>
      <c r="O304" s="469">
        <v>912.33259999999996</v>
      </c>
      <c r="P304" s="469">
        <v>912.33259999999996</v>
      </c>
      <c r="Q304" s="469">
        <v>912.33259999999996</v>
      </c>
      <c r="R304" s="469">
        <v>912.33259999999996</v>
      </c>
      <c r="T304" s="469">
        <f t="shared" si="27"/>
        <v>912.33259999999984</v>
      </c>
    </row>
    <row r="305" spans="1:20">
      <c r="A305" s="469" t="str">
        <f t="shared" si="24"/>
        <v>KU</v>
      </c>
      <c r="B305" s="469" t="str">
        <f t="shared" si="25"/>
        <v>KY</v>
      </c>
      <c r="C305" s="469" t="str">
        <f t="shared" si="26"/>
        <v>331</v>
      </c>
      <c r="D305" s="470" t="s">
        <v>1796</v>
      </c>
      <c r="E305" s="468" t="str">
        <f t="shared" si="23"/>
        <v/>
      </c>
      <c r="F305" s="469">
        <v>315.06019305799998</v>
      </c>
      <c r="G305" s="469">
        <v>321.11586518029998</v>
      </c>
      <c r="H305" s="469">
        <v>327.17153730259997</v>
      </c>
      <c r="I305" s="469">
        <v>333.22720942490002</v>
      </c>
      <c r="J305" s="469">
        <v>339.28288154720002</v>
      </c>
      <c r="K305" s="469">
        <v>345.33855366950002</v>
      </c>
      <c r="L305" s="469">
        <v>351.39422579180001</v>
      </c>
      <c r="M305" s="469">
        <v>357.44989791410001</v>
      </c>
      <c r="N305" s="469">
        <v>363.5055700364</v>
      </c>
      <c r="O305" s="469">
        <v>369.5612421587</v>
      </c>
      <c r="P305" s="469">
        <v>375.61691428099999</v>
      </c>
      <c r="Q305" s="469">
        <v>381.67258640329999</v>
      </c>
      <c r="R305" s="469">
        <v>387.72825852559998</v>
      </c>
      <c r="T305" s="469">
        <f t="shared" si="27"/>
        <v>351.39422579180001</v>
      </c>
    </row>
    <row r="306" spans="1:20">
      <c r="A306" s="469" t="str">
        <f t="shared" si="24"/>
        <v>KU</v>
      </c>
      <c r="B306" s="469" t="str">
        <f t="shared" si="25"/>
        <v>KY</v>
      </c>
      <c r="C306" s="469" t="str">
        <f t="shared" si="26"/>
        <v>332</v>
      </c>
      <c r="D306" s="470" t="s">
        <v>1797</v>
      </c>
      <c r="E306" s="468" t="str">
        <f t="shared" si="23"/>
        <v/>
      </c>
      <c r="F306" s="469">
        <v>9030.7664283499998</v>
      </c>
      <c r="G306" s="469">
        <v>9078.3677092009893</v>
      </c>
      <c r="H306" s="469">
        <v>9125.9689900519897</v>
      </c>
      <c r="I306" s="469">
        <v>9173.5702709029902</v>
      </c>
      <c r="J306" s="469">
        <v>9221.1715517539906</v>
      </c>
      <c r="K306" s="469">
        <v>9268.7728326049892</v>
      </c>
      <c r="L306" s="469">
        <v>9316.3741134559896</v>
      </c>
      <c r="M306" s="469">
        <v>9363.97539430699</v>
      </c>
      <c r="N306" s="469">
        <v>9411.5766751579795</v>
      </c>
      <c r="O306" s="469">
        <v>9459.1779560089799</v>
      </c>
      <c r="P306" s="469">
        <v>9506.7792368599803</v>
      </c>
      <c r="Q306" s="469">
        <v>9554.3805177109807</v>
      </c>
      <c r="R306" s="469">
        <v>9601.9817985619793</v>
      </c>
      <c r="T306" s="469">
        <f t="shared" si="27"/>
        <v>9316.3741134559859</v>
      </c>
    </row>
    <row r="307" spans="1:20">
      <c r="A307" s="469" t="str">
        <f t="shared" si="24"/>
        <v>KU</v>
      </c>
      <c r="B307" s="469" t="str">
        <f t="shared" si="25"/>
        <v>KY</v>
      </c>
      <c r="C307" s="469" t="str">
        <f t="shared" si="26"/>
        <v>333</v>
      </c>
      <c r="D307" s="470" t="s">
        <v>1798</v>
      </c>
      <c r="E307" s="468" t="str">
        <f t="shared" si="23"/>
        <v/>
      </c>
      <c r="F307" s="469">
        <v>1576.105928187</v>
      </c>
      <c r="G307" s="469">
        <v>1621.2896136057</v>
      </c>
      <c r="H307" s="469">
        <v>1666.4732990243999</v>
      </c>
      <c r="I307" s="469">
        <v>1711.6569844431001</v>
      </c>
      <c r="J307" s="469">
        <v>1756.8406698618001</v>
      </c>
      <c r="K307" s="469">
        <v>1802.0243552805</v>
      </c>
      <c r="L307" s="469">
        <v>1847.2080406992</v>
      </c>
      <c r="M307" s="469">
        <v>1892.3917261178999</v>
      </c>
      <c r="N307" s="469">
        <v>1937.5754115365901</v>
      </c>
      <c r="O307" s="469">
        <v>1982.75909695529</v>
      </c>
      <c r="P307" s="469">
        <v>2027.94278237399</v>
      </c>
      <c r="Q307" s="469">
        <v>2073.1264677926902</v>
      </c>
      <c r="R307" s="469">
        <v>2118.3101532113901</v>
      </c>
      <c r="T307" s="469">
        <f t="shared" si="27"/>
        <v>1847.2080406991963</v>
      </c>
    </row>
    <row r="308" spans="1:20">
      <c r="A308" s="469" t="str">
        <f t="shared" si="24"/>
        <v>KU</v>
      </c>
      <c r="B308" s="469" t="str">
        <f t="shared" si="25"/>
        <v>KY</v>
      </c>
      <c r="C308" s="469" t="str">
        <f t="shared" si="26"/>
        <v>334</v>
      </c>
      <c r="D308" s="470" t="s">
        <v>1799</v>
      </c>
      <c r="E308" s="468" t="str">
        <f t="shared" si="23"/>
        <v/>
      </c>
      <c r="F308" s="469">
        <v>292.09469510500003</v>
      </c>
      <c r="G308" s="469">
        <v>296.42090181380001</v>
      </c>
      <c r="H308" s="469">
        <v>300.7471085226</v>
      </c>
      <c r="I308" s="469">
        <v>305.07331523139999</v>
      </c>
      <c r="J308" s="469">
        <v>309.39952194019997</v>
      </c>
      <c r="K308" s="469">
        <v>313.72572864900002</v>
      </c>
      <c r="L308" s="469">
        <v>318.05193535780001</v>
      </c>
      <c r="M308" s="469">
        <v>322.37814206659999</v>
      </c>
      <c r="N308" s="469">
        <v>326.70434877539998</v>
      </c>
      <c r="O308" s="469">
        <v>331.03055548420002</v>
      </c>
      <c r="P308" s="469">
        <v>335.35676219300001</v>
      </c>
      <c r="Q308" s="469">
        <v>339.6829689018</v>
      </c>
      <c r="R308" s="469">
        <v>344.00917561059998</v>
      </c>
      <c r="T308" s="469">
        <f t="shared" si="27"/>
        <v>318.05193535780006</v>
      </c>
    </row>
    <row r="309" spans="1:20">
      <c r="A309" s="469" t="str">
        <f t="shared" si="24"/>
        <v>KU</v>
      </c>
      <c r="B309" s="469" t="str">
        <f t="shared" si="25"/>
        <v>KY</v>
      </c>
      <c r="C309" s="469" t="str">
        <f t="shared" si="26"/>
        <v>335</v>
      </c>
      <c r="D309" s="470" t="s">
        <v>1800</v>
      </c>
      <c r="E309" s="468" t="str">
        <f t="shared" si="23"/>
        <v/>
      </c>
      <c r="F309" s="469">
        <v>137.3809960083</v>
      </c>
      <c r="G309" s="469">
        <v>138.37409579366999</v>
      </c>
      <c r="H309" s="469">
        <v>139.36719557903999</v>
      </c>
      <c r="I309" s="469">
        <v>140.36029536440901</v>
      </c>
      <c r="J309" s="469">
        <v>141.353395149779</v>
      </c>
      <c r="K309" s="469">
        <v>142.346494935149</v>
      </c>
      <c r="L309" s="469">
        <v>143.33959472051899</v>
      </c>
      <c r="M309" s="469">
        <v>144.33269450588901</v>
      </c>
      <c r="N309" s="469">
        <v>145.325794291259</v>
      </c>
      <c r="O309" s="469">
        <v>146.31889407662899</v>
      </c>
      <c r="P309" s="469">
        <v>147.31199386199901</v>
      </c>
      <c r="Q309" s="469">
        <v>148.30509364736901</v>
      </c>
      <c r="R309" s="469">
        <v>149.298193432739</v>
      </c>
      <c r="T309" s="469">
        <f t="shared" si="27"/>
        <v>143.33959472051924</v>
      </c>
    </row>
    <row r="310" spans="1:20">
      <c r="A310" s="469" t="str">
        <f t="shared" si="24"/>
        <v>KU</v>
      </c>
      <c r="B310" s="469" t="str">
        <f t="shared" si="25"/>
        <v>KY</v>
      </c>
      <c r="C310" s="469" t="str">
        <f t="shared" si="26"/>
        <v>336</v>
      </c>
      <c r="D310" s="470" t="s">
        <v>1801</v>
      </c>
      <c r="E310" s="468" t="str">
        <f t="shared" si="23"/>
        <v/>
      </c>
      <c r="F310" s="469">
        <v>84.110174587499998</v>
      </c>
      <c r="G310" s="469">
        <v>84.760937423300007</v>
      </c>
      <c r="H310" s="469">
        <v>86.487012759470005</v>
      </c>
      <c r="I310" s="469">
        <v>89.288400595300004</v>
      </c>
      <c r="J310" s="469">
        <v>92.089788431130003</v>
      </c>
      <c r="K310" s="469">
        <v>94.891176266960002</v>
      </c>
      <c r="L310" s="469">
        <v>97.692564102790001</v>
      </c>
      <c r="M310" s="469">
        <v>100.49395193862</v>
      </c>
      <c r="N310" s="469">
        <v>103.29533977445</v>
      </c>
      <c r="O310" s="469">
        <v>106.09672761028</v>
      </c>
      <c r="P310" s="469">
        <v>108.89811544611</v>
      </c>
      <c r="Q310" s="469">
        <v>111.69950328194</v>
      </c>
      <c r="R310" s="469">
        <v>114.50089111777</v>
      </c>
      <c r="T310" s="469">
        <f t="shared" si="27"/>
        <v>98.023429487355386</v>
      </c>
    </row>
    <row r="311" spans="1:20">
      <c r="A311" s="469" t="str">
        <f t="shared" si="24"/>
        <v>KU</v>
      </c>
      <c r="B311" s="469" t="str">
        <f t="shared" si="25"/>
        <v>KY</v>
      </c>
      <c r="C311" s="469" t="str">
        <f t="shared" si="26"/>
        <v>337</v>
      </c>
      <c r="D311" s="470" t="s">
        <v>1802</v>
      </c>
      <c r="E311" s="468" t="str">
        <f t="shared" si="23"/>
        <v>ARO</v>
      </c>
      <c r="F311" s="469">
        <v>35.5154</v>
      </c>
      <c r="G311" s="469">
        <v>35.963230000000003</v>
      </c>
      <c r="H311" s="469">
        <v>36.411059999999999</v>
      </c>
      <c r="I311" s="469">
        <v>36.858890000000002</v>
      </c>
      <c r="J311" s="469">
        <v>37.306719999999999</v>
      </c>
      <c r="K311" s="469">
        <v>37.754550000000002</v>
      </c>
      <c r="L311" s="469">
        <v>38.202379999999998</v>
      </c>
      <c r="M311" s="469">
        <v>38.650210000000001</v>
      </c>
      <c r="N311" s="469">
        <v>39.098039999999997</v>
      </c>
      <c r="O311" s="469">
        <v>39.545870000000001</v>
      </c>
      <c r="P311" s="469">
        <v>39.993699999999997</v>
      </c>
      <c r="Q311" s="469">
        <v>40.44153</v>
      </c>
      <c r="R311" s="469">
        <v>40.889360000000003</v>
      </c>
      <c r="T311" s="469">
        <f t="shared" si="27"/>
        <v>38.202379999999998</v>
      </c>
    </row>
    <row r="312" spans="1:20">
      <c r="A312" s="469" t="str">
        <f t="shared" si="24"/>
        <v>KU</v>
      </c>
      <c r="B312" s="469" t="str">
        <f t="shared" si="25"/>
        <v>KY</v>
      </c>
      <c r="C312" s="469" t="str">
        <f t="shared" si="26"/>
        <v>340</v>
      </c>
      <c r="D312" s="470" t="s">
        <v>2347</v>
      </c>
      <c r="E312" s="468" t="str">
        <f t="shared" si="23"/>
        <v/>
      </c>
      <c r="F312" s="469">
        <v>122.459773787</v>
      </c>
      <c r="G312" s="469">
        <v>122.48770526108</v>
      </c>
      <c r="H312" s="469">
        <v>122.51563673516</v>
      </c>
      <c r="I312" s="469">
        <v>122.54356820923999</v>
      </c>
      <c r="J312" s="469">
        <v>122.57149968332</v>
      </c>
      <c r="K312" s="469">
        <v>122.59943115740001</v>
      </c>
      <c r="L312" s="469">
        <v>122.62736263148</v>
      </c>
      <c r="M312" s="469">
        <v>122.65529410556</v>
      </c>
      <c r="N312" s="469">
        <v>122.68322557963999</v>
      </c>
      <c r="O312" s="469">
        <v>122.71115705372</v>
      </c>
      <c r="P312" s="469">
        <v>122.73908852780001</v>
      </c>
      <c r="Q312" s="469">
        <v>122.76702000188</v>
      </c>
      <c r="R312" s="469">
        <v>122.79495147596</v>
      </c>
      <c r="T312" s="469">
        <f t="shared" si="27"/>
        <v>122.62736263148</v>
      </c>
    </row>
    <row r="313" spans="1:20">
      <c r="A313" s="469" t="str">
        <f t="shared" si="24"/>
        <v>KU</v>
      </c>
      <c r="B313" s="469" t="str">
        <f t="shared" si="25"/>
        <v>KY</v>
      </c>
      <c r="C313" s="469" t="str">
        <f t="shared" si="26"/>
        <v>341</v>
      </c>
      <c r="D313" s="470" t="s">
        <v>1804</v>
      </c>
      <c r="E313" s="468" t="str">
        <f t="shared" si="23"/>
        <v/>
      </c>
      <c r="F313" s="469">
        <v>19597.1634280996</v>
      </c>
      <c r="G313" s="469">
        <v>19713.015760168601</v>
      </c>
      <c r="H313" s="469">
        <v>19828.868092237601</v>
      </c>
      <c r="I313" s="469">
        <v>19944.720424306601</v>
      </c>
      <c r="J313" s="469">
        <v>20060.572756375601</v>
      </c>
      <c r="K313" s="469">
        <v>20176.506555111599</v>
      </c>
      <c r="L313" s="469">
        <v>20292.521820513601</v>
      </c>
      <c r="M313" s="469">
        <v>20408.537085915599</v>
      </c>
      <c r="N313" s="469">
        <v>20524.552351317601</v>
      </c>
      <c r="O313" s="469">
        <v>20640.5676167196</v>
      </c>
      <c r="P313" s="469">
        <v>20756.582882121598</v>
      </c>
      <c r="Q313" s="469">
        <v>20872.679614190602</v>
      </c>
      <c r="R313" s="469">
        <v>20988.857812926599</v>
      </c>
      <c r="T313" s="469">
        <f t="shared" si="27"/>
        <v>20292.703553846521</v>
      </c>
    </row>
    <row r="314" spans="1:20">
      <c r="A314" s="469" t="str">
        <f t="shared" si="24"/>
        <v>KU</v>
      </c>
      <c r="B314" s="469" t="str">
        <f t="shared" si="25"/>
        <v>KY</v>
      </c>
      <c r="C314" s="469" t="str">
        <f t="shared" si="26"/>
        <v>341</v>
      </c>
      <c r="D314" s="470" t="s">
        <v>2348</v>
      </c>
      <c r="E314" s="468" t="str">
        <f t="shared" si="23"/>
        <v/>
      </c>
      <c r="F314" s="469">
        <v>2529.6421931999998</v>
      </c>
      <c r="G314" s="469">
        <v>2650.5055537200001</v>
      </c>
      <c r="H314" s="469">
        <v>2771.3689142399999</v>
      </c>
      <c r="I314" s="469">
        <v>2892.47846226</v>
      </c>
      <c r="J314" s="469">
        <v>3014.08038528</v>
      </c>
      <c r="K314" s="469">
        <v>3135.9284957999998</v>
      </c>
      <c r="L314" s="469">
        <v>3257.7766063200002</v>
      </c>
      <c r="M314" s="469">
        <v>3379.62471684</v>
      </c>
      <c r="N314" s="469">
        <v>3501.4728273599999</v>
      </c>
      <c r="O314" s="469">
        <v>3623.3209378800002</v>
      </c>
      <c r="P314" s="469">
        <v>3745.1690484000001</v>
      </c>
      <c r="Q314" s="469">
        <v>3867.0171589199999</v>
      </c>
      <c r="R314" s="469">
        <v>3988.8652694399998</v>
      </c>
      <c r="T314" s="469">
        <f t="shared" si="27"/>
        <v>3258.2500438200004</v>
      </c>
    </row>
    <row r="315" spans="1:20">
      <c r="A315" s="469" t="str">
        <f t="shared" si="24"/>
        <v>KU</v>
      </c>
      <c r="B315" s="469" t="str">
        <f t="shared" si="25"/>
        <v>KY</v>
      </c>
      <c r="C315" s="469" t="str">
        <f t="shared" si="26"/>
        <v>341</v>
      </c>
      <c r="D315" s="470" t="s">
        <v>2349</v>
      </c>
      <c r="E315" s="468" t="str">
        <f t="shared" si="23"/>
        <v/>
      </c>
      <c r="F315" s="469">
        <v>38.019570079999902</v>
      </c>
      <c r="G315" s="469">
        <v>41.062710087999903</v>
      </c>
      <c r="H315" s="469">
        <v>44.105850095999898</v>
      </c>
      <c r="I315" s="469">
        <v>47.1489901039999</v>
      </c>
      <c r="J315" s="469">
        <v>50.192130111999901</v>
      </c>
      <c r="K315" s="469">
        <v>53.235270119999903</v>
      </c>
      <c r="L315" s="469">
        <v>56.278410127999898</v>
      </c>
      <c r="M315" s="469">
        <v>59.3215501359999</v>
      </c>
      <c r="N315" s="469">
        <v>62.364690143999901</v>
      </c>
      <c r="O315" s="469">
        <v>65.407830151999903</v>
      </c>
      <c r="P315" s="469">
        <v>68.450970159999898</v>
      </c>
      <c r="Q315" s="469">
        <v>71.494110167999906</v>
      </c>
      <c r="R315" s="469">
        <v>74.537250175999901</v>
      </c>
      <c r="T315" s="469">
        <f t="shared" si="27"/>
        <v>56.278410127999905</v>
      </c>
    </row>
    <row r="316" spans="1:20">
      <c r="A316" s="469" t="str">
        <f t="shared" si="24"/>
        <v>KU</v>
      </c>
      <c r="B316" s="469" t="str">
        <f t="shared" si="25"/>
        <v>KY</v>
      </c>
      <c r="C316" s="469" t="str">
        <f t="shared" si="26"/>
        <v>342</v>
      </c>
      <c r="D316" s="470" t="s">
        <v>1805</v>
      </c>
      <c r="E316" s="468" t="str">
        <f t="shared" si="23"/>
        <v/>
      </c>
      <c r="F316" s="469">
        <v>5257.7514076808202</v>
      </c>
      <c r="G316" s="469">
        <v>5333.0239078925697</v>
      </c>
      <c r="H316" s="469">
        <v>5408.2964081043201</v>
      </c>
      <c r="I316" s="469">
        <v>5483.5689083160696</v>
      </c>
      <c r="J316" s="469">
        <v>5558.84140852782</v>
      </c>
      <c r="K316" s="469">
        <v>5634.1139087395704</v>
      </c>
      <c r="L316" s="469">
        <v>5709.3864089513199</v>
      </c>
      <c r="M316" s="469">
        <v>5784.6589091630703</v>
      </c>
      <c r="N316" s="469">
        <v>5859.9314093748199</v>
      </c>
      <c r="O316" s="469">
        <v>5935.2039095865703</v>
      </c>
      <c r="P316" s="469">
        <v>6010.4764097983198</v>
      </c>
      <c r="Q316" s="469">
        <v>6085.7489100100702</v>
      </c>
      <c r="R316" s="469">
        <v>6161.0214102218197</v>
      </c>
      <c r="T316" s="469">
        <f t="shared" si="27"/>
        <v>5709.386408951319</v>
      </c>
    </row>
    <row r="317" spans="1:20">
      <c r="A317" s="469" t="str">
        <f t="shared" si="24"/>
        <v>KU</v>
      </c>
      <c r="B317" s="469" t="str">
        <f t="shared" si="25"/>
        <v>KY</v>
      </c>
      <c r="C317" s="469" t="str">
        <f t="shared" si="26"/>
        <v>342</v>
      </c>
      <c r="D317" s="470" t="s">
        <v>2350</v>
      </c>
      <c r="E317" s="468" t="str">
        <f t="shared" si="23"/>
        <v/>
      </c>
      <c r="F317" s="469">
        <v>3458.633046808</v>
      </c>
      <c r="G317" s="469">
        <v>3474.9581585659998</v>
      </c>
      <c r="H317" s="469">
        <v>3491.2832703240001</v>
      </c>
      <c r="I317" s="469">
        <v>3507.6083820819999</v>
      </c>
      <c r="J317" s="469">
        <v>3523.9334938400002</v>
      </c>
      <c r="K317" s="469">
        <v>3540.258605598</v>
      </c>
      <c r="L317" s="469">
        <v>3556.5837173559999</v>
      </c>
      <c r="M317" s="469">
        <v>3572.9088291140001</v>
      </c>
      <c r="N317" s="469">
        <v>3589.2339408719999</v>
      </c>
      <c r="O317" s="469">
        <v>3605.5590526300002</v>
      </c>
      <c r="P317" s="469">
        <v>3621.884164388</v>
      </c>
      <c r="Q317" s="469">
        <v>3638.2092761459999</v>
      </c>
      <c r="R317" s="469">
        <v>3654.5343879040001</v>
      </c>
      <c r="T317" s="469">
        <f t="shared" si="27"/>
        <v>3556.5837173559999</v>
      </c>
    </row>
    <row r="318" spans="1:20">
      <c r="A318" s="469" t="str">
        <f t="shared" si="24"/>
        <v>KU</v>
      </c>
      <c r="B318" s="469" t="str">
        <f t="shared" si="25"/>
        <v>KY</v>
      </c>
      <c r="C318" s="469" t="str">
        <f t="shared" si="26"/>
        <v>342</v>
      </c>
      <c r="D318" s="470" t="s">
        <v>2351</v>
      </c>
      <c r="E318" s="468" t="str">
        <f t="shared" si="23"/>
        <v/>
      </c>
      <c r="F318" s="469">
        <v>9353.5144705449893</v>
      </c>
      <c r="G318" s="469">
        <v>9449.3689727455403</v>
      </c>
      <c r="H318" s="469">
        <v>9545.2234749460895</v>
      </c>
      <c r="I318" s="469">
        <v>9641.0779771466405</v>
      </c>
      <c r="J318" s="469">
        <v>9736.9324793471897</v>
      </c>
      <c r="K318" s="469">
        <v>9832.7869815477407</v>
      </c>
      <c r="L318" s="469">
        <v>9928.6414837482898</v>
      </c>
      <c r="M318" s="469">
        <v>10024.495985948801</v>
      </c>
      <c r="N318" s="469">
        <v>10120.350488149301</v>
      </c>
      <c r="O318" s="469">
        <v>10216.204990349899</v>
      </c>
      <c r="P318" s="469">
        <v>10312.059492550399</v>
      </c>
      <c r="Q318" s="469">
        <v>10407.913994750999</v>
      </c>
      <c r="R318" s="469">
        <v>10503.768496951499</v>
      </c>
      <c r="T318" s="469">
        <f t="shared" si="27"/>
        <v>9928.6414837482589</v>
      </c>
    </row>
    <row r="319" spans="1:20">
      <c r="A319" s="469" t="str">
        <f t="shared" si="24"/>
        <v>KU</v>
      </c>
      <c r="B319" s="469" t="str">
        <f t="shared" si="25"/>
        <v>KY</v>
      </c>
      <c r="C319" s="469" t="str">
        <f t="shared" si="26"/>
        <v>343</v>
      </c>
      <c r="D319" s="470" t="s">
        <v>1806</v>
      </c>
      <c r="E319" s="468" t="str">
        <f t="shared" si="23"/>
        <v/>
      </c>
      <c r="F319" s="469">
        <v>182692.33102656499</v>
      </c>
      <c r="G319" s="469">
        <v>184268.413987812</v>
      </c>
      <c r="H319" s="469">
        <v>185834.957124092</v>
      </c>
      <c r="I319" s="469">
        <v>187411.96043540601</v>
      </c>
      <c r="J319" s="469">
        <v>188960.73504074701</v>
      </c>
      <c r="K319" s="469">
        <v>190362.30122786801</v>
      </c>
      <c r="L319" s="469">
        <v>191961.75827172099</v>
      </c>
      <c r="M319" s="469">
        <v>193562.085884664</v>
      </c>
      <c r="N319" s="469">
        <v>195162.41349760801</v>
      </c>
      <c r="O319" s="469">
        <v>196762.74111055199</v>
      </c>
      <c r="P319" s="469">
        <v>198363.068723495</v>
      </c>
      <c r="Q319" s="469">
        <v>199963.39633643901</v>
      </c>
      <c r="R319" s="469">
        <v>201563.72394938199</v>
      </c>
      <c r="T319" s="469">
        <f t="shared" si="27"/>
        <v>192066.91435510392</v>
      </c>
    </row>
    <row r="320" spans="1:20">
      <c r="A320" s="469" t="str">
        <f t="shared" si="24"/>
        <v>KU</v>
      </c>
      <c r="B320" s="469" t="str">
        <f t="shared" si="25"/>
        <v>KY</v>
      </c>
      <c r="C320" s="469" t="str">
        <f t="shared" si="26"/>
        <v>343</v>
      </c>
      <c r="D320" s="470" t="s">
        <v>2352</v>
      </c>
      <c r="E320" s="468" t="str">
        <f t="shared" si="23"/>
        <v/>
      </c>
      <c r="F320" s="469">
        <v>9624.2964024369994</v>
      </c>
      <c r="G320" s="469">
        <v>10395.423373784</v>
      </c>
      <c r="H320" s="469">
        <v>11166.550345131</v>
      </c>
      <c r="I320" s="469">
        <v>11937.677316478001</v>
      </c>
      <c r="J320" s="469">
        <v>12720.563430579999</v>
      </c>
      <c r="K320" s="469">
        <v>13515.208687327</v>
      </c>
      <c r="L320" s="469">
        <v>14309.853944074001</v>
      </c>
      <c r="M320" s="469">
        <v>15104.499200820999</v>
      </c>
      <c r="N320" s="469">
        <v>15899.144457568</v>
      </c>
      <c r="O320" s="469">
        <v>16693.789714315</v>
      </c>
      <c r="P320" s="469">
        <v>17488.434971062001</v>
      </c>
      <c r="Q320" s="469">
        <v>18283.080227809001</v>
      </c>
      <c r="R320" s="469">
        <v>19077.725484555998</v>
      </c>
      <c r="T320" s="469">
        <f t="shared" si="27"/>
        <v>14324.32673507246</v>
      </c>
    </row>
    <row r="321" spans="1:20">
      <c r="A321" s="469" t="str">
        <f t="shared" si="24"/>
        <v>KU</v>
      </c>
      <c r="B321" s="469" t="str">
        <f t="shared" si="25"/>
        <v>KY</v>
      </c>
      <c r="C321" s="469" t="str">
        <f t="shared" si="26"/>
        <v>344</v>
      </c>
      <c r="D321" s="470" t="s">
        <v>1807</v>
      </c>
      <c r="E321" s="468" t="str">
        <f t="shared" si="23"/>
        <v/>
      </c>
      <c r="F321" s="469">
        <v>33283.4594180981</v>
      </c>
      <c r="G321" s="469">
        <v>33482.977481312497</v>
      </c>
      <c r="H321" s="469">
        <v>33682.495544526901</v>
      </c>
      <c r="I321" s="469">
        <v>33882.013607741297</v>
      </c>
      <c r="J321" s="469">
        <v>34081.531670955599</v>
      </c>
      <c r="K321" s="469">
        <v>34281.049734170003</v>
      </c>
      <c r="L321" s="469">
        <v>34480.567797384399</v>
      </c>
      <c r="M321" s="469">
        <v>34680.085860598803</v>
      </c>
      <c r="N321" s="469">
        <v>34879.6039238132</v>
      </c>
      <c r="O321" s="469">
        <v>35079.121987027604</v>
      </c>
      <c r="P321" s="469">
        <v>35278.640050242</v>
      </c>
      <c r="Q321" s="469">
        <v>35478.158113456397</v>
      </c>
      <c r="R321" s="469">
        <v>35677.6761766708</v>
      </c>
      <c r="T321" s="469">
        <f t="shared" si="27"/>
        <v>34480.567797384429</v>
      </c>
    </row>
    <row r="322" spans="1:20">
      <c r="A322" s="469" t="str">
        <f t="shared" si="24"/>
        <v>KU</v>
      </c>
      <c r="B322" s="469" t="str">
        <f t="shared" si="25"/>
        <v>KY</v>
      </c>
      <c r="C322" s="469" t="str">
        <f t="shared" si="26"/>
        <v>344</v>
      </c>
      <c r="D322" s="470" t="s">
        <v>2353</v>
      </c>
      <c r="E322" s="468" t="str">
        <f t="shared" si="23"/>
        <v/>
      </c>
      <c r="F322" s="469">
        <v>5529.5179807599998</v>
      </c>
      <c r="G322" s="469">
        <v>5669.2286624569997</v>
      </c>
      <c r="H322" s="469">
        <v>5808.9393441539996</v>
      </c>
      <c r="I322" s="469">
        <v>5948.6500258509996</v>
      </c>
      <c r="J322" s="469">
        <v>6088.3607075480004</v>
      </c>
      <c r="K322" s="469">
        <v>6228.0713892450003</v>
      </c>
      <c r="L322" s="469">
        <v>6367.7820709420002</v>
      </c>
      <c r="M322" s="469">
        <v>6507.4927526390002</v>
      </c>
      <c r="N322" s="469">
        <v>6647.2034343360001</v>
      </c>
      <c r="O322" s="469">
        <v>6786.914116033</v>
      </c>
      <c r="P322" s="469">
        <v>6926.62479773</v>
      </c>
      <c r="Q322" s="469">
        <v>7066.3354794269999</v>
      </c>
      <c r="R322" s="469">
        <v>7206.0461611239998</v>
      </c>
      <c r="T322" s="469">
        <f t="shared" si="27"/>
        <v>6367.7820709419993</v>
      </c>
    </row>
    <row r="323" spans="1:20">
      <c r="A323" s="469" t="str">
        <f t="shared" si="24"/>
        <v>KU</v>
      </c>
      <c r="B323" s="469" t="str">
        <f t="shared" si="25"/>
        <v>KY</v>
      </c>
      <c r="C323" s="469" t="str">
        <f t="shared" si="26"/>
        <v>344</v>
      </c>
      <c r="D323" s="470" t="s">
        <v>2354</v>
      </c>
      <c r="E323" s="468" t="str">
        <f t="shared" si="23"/>
        <v/>
      </c>
      <c r="F323" s="469">
        <v>619.45940633700002</v>
      </c>
      <c r="G323" s="469">
        <v>669.04181697069998</v>
      </c>
      <c r="H323" s="469">
        <v>718.62422760439995</v>
      </c>
      <c r="I323" s="469">
        <v>768.20663823810003</v>
      </c>
      <c r="J323" s="469">
        <v>817.78904887179999</v>
      </c>
      <c r="K323" s="469">
        <v>867.37145950549996</v>
      </c>
      <c r="L323" s="469">
        <v>916.95387013920003</v>
      </c>
      <c r="M323" s="469">
        <v>966.5362807729</v>
      </c>
      <c r="N323" s="469">
        <v>1016.1186914066</v>
      </c>
      <c r="O323" s="469">
        <v>1065.7011020402999</v>
      </c>
      <c r="P323" s="469">
        <v>1115.2835126739999</v>
      </c>
      <c r="Q323" s="469">
        <v>1164.8659233077001</v>
      </c>
      <c r="R323" s="469">
        <v>1214.4483339414001</v>
      </c>
      <c r="T323" s="469">
        <f t="shared" si="27"/>
        <v>916.95387013919992</v>
      </c>
    </row>
    <row r="324" spans="1:20">
      <c r="A324" s="469" t="str">
        <f t="shared" si="24"/>
        <v>KU</v>
      </c>
      <c r="B324" s="469" t="str">
        <f t="shared" si="25"/>
        <v>KY</v>
      </c>
      <c r="C324" s="469" t="str">
        <f t="shared" si="26"/>
        <v>345</v>
      </c>
      <c r="D324" s="470" t="s">
        <v>1808</v>
      </c>
      <c r="E324" s="468" t="str">
        <f t="shared" si="23"/>
        <v/>
      </c>
      <c r="F324" s="469">
        <v>22868.096906826999</v>
      </c>
      <c r="G324" s="469">
        <v>23046.692986796199</v>
      </c>
      <c r="H324" s="469">
        <v>23225.289066765399</v>
      </c>
      <c r="I324" s="469">
        <v>23403.885146734599</v>
      </c>
      <c r="J324" s="469">
        <v>23589.0512051388</v>
      </c>
      <c r="K324" s="469">
        <v>23780.787241988</v>
      </c>
      <c r="L324" s="469">
        <v>23972.523278837201</v>
      </c>
      <c r="M324" s="469">
        <v>24164.259315686399</v>
      </c>
      <c r="N324" s="469">
        <v>24355.9953525356</v>
      </c>
      <c r="O324" s="469">
        <v>24547.7313893848</v>
      </c>
      <c r="P324" s="469">
        <v>24739.467426234001</v>
      </c>
      <c r="Q324" s="469">
        <v>24931.203463083199</v>
      </c>
      <c r="R324" s="469">
        <v>25122.939499932399</v>
      </c>
      <c r="T324" s="469">
        <f t="shared" si="27"/>
        <v>23980.609406149506</v>
      </c>
    </row>
    <row r="325" spans="1:20">
      <c r="A325" s="469" t="str">
        <f t="shared" si="24"/>
        <v>KU</v>
      </c>
      <c r="B325" s="469" t="str">
        <f t="shared" si="25"/>
        <v>KY</v>
      </c>
      <c r="C325" s="469" t="str">
        <f t="shared" si="26"/>
        <v>345</v>
      </c>
      <c r="D325" s="470" t="s">
        <v>2355</v>
      </c>
      <c r="E325" s="468" t="str">
        <f t="shared" si="23"/>
        <v/>
      </c>
      <c r="F325" s="469">
        <v>1362.8012506</v>
      </c>
      <c r="G325" s="469">
        <v>1407.82893784</v>
      </c>
      <c r="H325" s="469">
        <v>1452.85662508</v>
      </c>
      <c r="I325" s="469">
        <v>1497.8843123199999</v>
      </c>
      <c r="J325" s="469">
        <v>1552.0013970570001</v>
      </c>
      <c r="K325" s="469">
        <v>1615.20787928</v>
      </c>
      <c r="L325" s="469">
        <v>1678.414361503</v>
      </c>
      <c r="M325" s="469">
        <v>1741.620843726</v>
      </c>
      <c r="N325" s="469">
        <v>1804.8273259489999</v>
      </c>
      <c r="O325" s="469">
        <v>1868.0338081719999</v>
      </c>
      <c r="P325" s="469">
        <v>1931.2402903950001</v>
      </c>
      <c r="Q325" s="469">
        <v>1994.4467726180001</v>
      </c>
      <c r="R325" s="469">
        <v>2057.653254841</v>
      </c>
      <c r="T325" s="469">
        <f t="shared" si="27"/>
        <v>1689.6013122600768</v>
      </c>
    </row>
    <row r="326" spans="1:20">
      <c r="A326" s="469" t="str">
        <f t="shared" si="24"/>
        <v>KU</v>
      </c>
      <c r="B326" s="469" t="str">
        <f t="shared" si="25"/>
        <v>KY</v>
      </c>
      <c r="C326" s="469" t="str">
        <f t="shared" si="26"/>
        <v>345</v>
      </c>
      <c r="D326" s="470" t="s">
        <v>2356</v>
      </c>
      <c r="E326" s="468" t="str">
        <f t="shared" si="23"/>
        <v/>
      </c>
      <c r="F326" s="469">
        <v>54.937356916399999</v>
      </c>
      <c r="G326" s="469">
        <v>60.699254530899999</v>
      </c>
      <c r="H326" s="469">
        <v>66.461152145400007</v>
      </c>
      <c r="I326" s="469">
        <v>72.223049759899993</v>
      </c>
      <c r="J326" s="469">
        <v>77.984947374399994</v>
      </c>
      <c r="K326" s="469">
        <v>83.746844988899994</v>
      </c>
      <c r="L326" s="469">
        <v>92.233742603400003</v>
      </c>
      <c r="M326" s="469">
        <v>103.4456402149</v>
      </c>
      <c r="N326" s="469">
        <v>114.6575378264</v>
      </c>
      <c r="O326" s="469">
        <v>125.86943543789999</v>
      </c>
      <c r="P326" s="469">
        <v>137.0813330494</v>
      </c>
      <c r="Q326" s="469">
        <v>148.29323066089901</v>
      </c>
      <c r="R326" s="469">
        <v>159.50512827239899</v>
      </c>
      <c r="T326" s="469">
        <f t="shared" si="27"/>
        <v>99.779896444707532</v>
      </c>
    </row>
    <row r="327" spans="1:20">
      <c r="A327" s="469" t="str">
        <f t="shared" si="24"/>
        <v>KU</v>
      </c>
      <c r="B327" s="469" t="str">
        <f t="shared" si="25"/>
        <v>KY</v>
      </c>
      <c r="C327" s="469" t="str">
        <f t="shared" si="26"/>
        <v>346</v>
      </c>
      <c r="D327" s="470" t="s">
        <v>1809</v>
      </c>
      <c r="E327" s="468" t="str">
        <f t="shared" si="23"/>
        <v/>
      </c>
      <c r="F327" s="469">
        <v>3251.5159277070302</v>
      </c>
      <c r="G327" s="469">
        <v>3281.6142423353299</v>
      </c>
      <c r="H327" s="469">
        <v>3312.2888069636401</v>
      </c>
      <c r="I327" s="469">
        <v>3343.53962159194</v>
      </c>
      <c r="J327" s="469">
        <v>3374.7904362202398</v>
      </c>
      <c r="K327" s="469">
        <v>3406.31061959925</v>
      </c>
      <c r="L327" s="469">
        <v>3438.1001717279501</v>
      </c>
      <c r="M327" s="469">
        <v>3469.8897238566501</v>
      </c>
      <c r="N327" s="469">
        <v>3501.6792759853602</v>
      </c>
      <c r="O327" s="469">
        <v>3533.4688281140602</v>
      </c>
      <c r="P327" s="469">
        <v>3565.2583802427698</v>
      </c>
      <c r="Q327" s="469">
        <v>3597.0479323714699</v>
      </c>
      <c r="R327" s="469">
        <v>3628.8374845001699</v>
      </c>
      <c r="T327" s="469">
        <f t="shared" si="27"/>
        <v>3438.7954962473736</v>
      </c>
    </row>
    <row r="328" spans="1:20">
      <c r="A328" s="469" t="str">
        <f t="shared" si="24"/>
        <v>KU</v>
      </c>
      <c r="B328" s="469" t="str">
        <f t="shared" si="25"/>
        <v>KY</v>
      </c>
      <c r="C328" s="469" t="str">
        <f t="shared" si="26"/>
        <v>346</v>
      </c>
      <c r="D328" s="470" t="s">
        <v>2357</v>
      </c>
      <c r="E328" s="468" t="str">
        <f t="shared" si="23"/>
        <v/>
      </c>
      <c r="F328" s="469">
        <v>83.108445829999994</v>
      </c>
      <c r="G328" s="469">
        <v>91.573521154999995</v>
      </c>
      <c r="H328" s="469">
        <v>100.03859648</v>
      </c>
      <c r="I328" s="469">
        <v>108.503671805</v>
      </c>
      <c r="J328" s="469">
        <v>116.96874713</v>
      </c>
      <c r="K328" s="469">
        <v>125.433822455</v>
      </c>
      <c r="L328" s="469">
        <v>133.89889778</v>
      </c>
      <c r="M328" s="469">
        <v>142.36397310500001</v>
      </c>
      <c r="N328" s="469">
        <v>150.82904843</v>
      </c>
      <c r="O328" s="469">
        <v>159.29412375499999</v>
      </c>
      <c r="P328" s="469">
        <v>167.75919908</v>
      </c>
      <c r="Q328" s="469">
        <v>176.22427440499999</v>
      </c>
      <c r="R328" s="469">
        <v>184.68934973</v>
      </c>
      <c r="T328" s="469">
        <f t="shared" si="27"/>
        <v>133.89889777999997</v>
      </c>
    </row>
    <row r="329" spans="1:20">
      <c r="A329" s="469" t="str">
        <f t="shared" si="24"/>
        <v>KU</v>
      </c>
      <c r="B329" s="469" t="str">
        <f t="shared" si="25"/>
        <v>KY</v>
      </c>
      <c r="C329" s="469" t="str">
        <f t="shared" si="26"/>
        <v>346</v>
      </c>
      <c r="D329" s="470" t="s">
        <v>2358</v>
      </c>
      <c r="E329" s="468" t="str">
        <f t="shared" si="23"/>
        <v/>
      </c>
      <c r="F329" s="469">
        <v>12.997161749999901</v>
      </c>
      <c r="G329" s="469">
        <v>14.0374729249999</v>
      </c>
      <c r="H329" s="469">
        <v>15.077784099999899</v>
      </c>
      <c r="I329" s="469">
        <v>16.118095274999899</v>
      </c>
      <c r="J329" s="469">
        <v>17.158406449999902</v>
      </c>
      <c r="K329" s="469">
        <v>18.198717624999901</v>
      </c>
      <c r="L329" s="469">
        <v>19.2390287999999</v>
      </c>
      <c r="M329" s="469">
        <v>20.2793399749999</v>
      </c>
      <c r="N329" s="469">
        <v>21.319651149999899</v>
      </c>
      <c r="O329" s="469">
        <v>22.359962324999898</v>
      </c>
      <c r="P329" s="469">
        <v>23.400273499999901</v>
      </c>
      <c r="Q329" s="469">
        <v>24.440584674999901</v>
      </c>
      <c r="R329" s="469">
        <v>25.4808958499999</v>
      </c>
      <c r="T329" s="469">
        <f t="shared" si="27"/>
        <v>19.239028799999907</v>
      </c>
    </row>
    <row r="330" spans="1:20">
      <c r="A330" s="469" t="str">
        <f t="shared" si="24"/>
        <v>KU</v>
      </c>
      <c r="B330" s="469" t="str">
        <f t="shared" si="25"/>
        <v>KY</v>
      </c>
      <c r="C330" s="469" t="str">
        <f t="shared" si="26"/>
        <v>347</v>
      </c>
      <c r="D330" s="470" t="s">
        <v>2359</v>
      </c>
      <c r="E330" s="468" t="str">
        <f t="shared" si="23"/>
        <v>ARO</v>
      </c>
      <c r="F330" s="469">
        <v>43.385499999999901</v>
      </c>
      <c r="G330" s="469">
        <v>45.120919999999899</v>
      </c>
      <c r="H330" s="469">
        <v>46.856339999999904</v>
      </c>
      <c r="I330" s="469">
        <v>48.591759999999901</v>
      </c>
      <c r="J330" s="469">
        <v>50.327179999999899</v>
      </c>
      <c r="K330" s="469">
        <v>52.062599999999897</v>
      </c>
      <c r="L330" s="469">
        <v>53.798019999999902</v>
      </c>
      <c r="M330" s="469">
        <v>55.533439999999899</v>
      </c>
      <c r="N330" s="469">
        <v>57.268859999999897</v>
      </c>
      <c r="O330" s="469">
        <v>59.004279999999902</v>
      </c>
      <c r="P330" s="469">
        <v>60.7396999999999</v>
      </c>
      <c r="Q330" s="469">
        <v>62.475119999999897</v>
      </c>
      <c r="R330" s="469">
        <v>64.210539999999895</v>
      </c>
      <c r="T330" s="469">
        <f t="shared" si="27"/>
        <v>53.798019999999902</v>
      </c>
    </row>
    <row r="331" spans="1:20">
      <c r="A331" s="469" t="str">
        <f t="shared" si="24"/>
        <v>KU</v>
      </c>
      <c r="B331" s="469" t="str">
        <f t="shared" si="25"/>
        <v>KY</v>
      </c>
      <c r="C331" s="469" t="str">
        <f t="shared" si="26"/>
        <v>350</v>
      </c>
      <c r="D331" s="470" t="s">
        <v>1810</v>
      </c>
      <c r="E331" s="468" t="str">
        <f t="shared" si="23"/>
        <v/>
      </c>
      <c r="F331" s="469">
        <v>15531.8285663999</v>
      </c>
      <c r="G331" s="469">
        <v>15551.400678989899</v>
      </c>
      <c r="H331" s="469">
        <v>15570.972791579899</v>
      </c>
      <c r="I331" s="469">
        <v>15590.544904169899</v>
      </c>
      <c r="J331" s="469">
        <v>15610.117016759899</v>
      </c>
      <c r="K331" s="469">
        <v>15629.689129349899</v>
      </c>
      <c r="L331" s="469">
        <v>15649.261241939899</v>
      </c>
      <c r="M331" s="469">
        <v>15668.833354529899</v>
      </c>
      <c r="N331" s="469">
        <v>15688.405467119899</v>
      </c>
      <c r="O331" s="469">
        <v>15707.977579709899</v>
      </c>
      <c r="P331" s="469">
        <v>15727.549692299899</v>
      </c>
      <c r="Q331" s="469">
        <v>15747.121804889901</v>
      </c>
      <c r="R331" s="469">
        <v>15766.693917479901</v>
      </c>
      <c r="T331" s="469">
        <f t="shared" si="27"/>
        <v>15649.261241939897</v>
      </c>
    </row>
    <row r="332" spans="1:20">
      <c r="A332" s="469" t="str">
        <f t="shared" si="24"/>
        <v>KU</v>
      </c>
      <c r="B332" s="469" t="str">
        <f t="shared" si="25"/>
        <v>TN</v>
      </c>
      <c r="C332" s="469" t="str">
        <f t="shared" si="26"/>
        <v>350</v>
      </c>
      <c r="D332" s="470" t="s">
        <v>1811</v>
      </c>
      <c r="E332" s="468" t="str">
        <f t="shared" si="23"/>
        <v/>
      </c>
      <c r="F332" s="469">
        <v>0.36737623999999902</v>
      </c>
      <c r="G332" s="469">
        <v>0.36769123649999902</v>
      </c>
      <c r="H332" s="469">
        <v>0.36800623299999902</v>
      </c>
      <c r="I332" s="469">
        <v>0.36832122949999901</v>
      </c>
      <c r="J332" s="469">
        <v>0.36863622599999901</v>
      </c>
      <c r="K332" s="469">
        <v>0.36895122249999901</v>
      </c>
      <c r="L332" s="469">
        <v>0.36926621899999901</v>
      </c>
      <c r="M332" s="469">
        <v>0.36958121549999901</v>
      </c>
      <c r="N332" s="469">
        <v>0.369896211999999</v>
      </c>
      <c r="O332" s="469">
        <v>0.370211208499999</v>
      </c>
      <c r="P332" s="469">
        <v>0.370526204999999</v>
      </c>
      <c r="Q332" s="469">
        <v>0.370841201499999</v>
      </c>
      <c r="R332" s="469">
        <v>0.37115619799999899</v>
      </c>
      <c r="T332" s="469">
        <f t="shared" si="27"/>
        <v>0.36926621899999901</v>
      </c>
    </row>
    <row r="333" spans="1:20">
      <c r="A333" s="469" t="str">
        <f t="shared" si="24"/>
        <v>KU</v>
      </c>
      <c r="B333" s="469" t="str">
        <f t="shared" si="25"/>
        <v>VA</v>
      </c>
      <c r="C333" s="469" t="str">
        <f t="shared" si="26"/>
        <v>350</v>
      </c>
      <c r="D333" s="470" t="s">
        <v>1812</v>
      </c>
      <c r="E333" s="468" t="str">
        <f t="shared" si="23"/>
        <v/>
      </c>
      <c r="F333" s="469">
        <v>1935.63951976</v>
      </c>
      <c r="G333" s="469">
        <v>1937.1578721339999</v>
      </c>
      <c r="H333" s="469">
        <v>1938.6762245079999</v>
      </c>
      <c r="I333" s="469">
        <v>1940.1945768820001</v>
      </c>
      <c r="J333" s="469">
        <v>1941.7129292560001</v>
      </c>
      <c r="K333" s="469">
        <v>1943.23128163</v>
      </c>
      <c r="L333" s="469">
        <v>1944.749634004</v>
      </c>
      <c r="M333" s="469">
        <v>1946.2679863779999</v>
      </c>
      <c r="N333" s="469">
        <v>1947.7863387519999</v>
      </c>
      <c r="O333" s="469">
        <v>1949.3046911260001</v>
      </c>
      <c r="P333" s="469">
        <v>1950.8230435</v>
      </c>
      <c r="Q333" s="469">
        <v>1952.341395874</v>
      </c>
      <c r="R333" s="469">
        <v>1953.859748248</v>
      </c>
      <c r="T333" s="469">
        <f t="shared" si="27"/>
        <v>1944.749634004</v>
      </c>
    </row>
    <row r="334" spans="1:20">
      <c r="A334" s="469" t="str">
        <f t="shared" si="24"/>
        <v>KU</v>
      </c>
      <c r="B334" s="469" t="str">
        <f t="shared" si="25"/>
        <v>KY</v>
      </c>
      <c r="C334" s="469" t="str">
        <f t="shared" si="26"/>
        <v>352</v>
      </c>
      <c r="D334" s="470" t="s">
        <v>1813</v>
      </c>
      <c r="E334" s="468" t="str">
        <f t="shared" si="23"/>
        <v/>
      </c>
      <c r="F334" s="469">
        <v>956.49229252799898</v>
      </c>
      <c r="G334" s="469">
        <v>958.48125874804896</v>
      </c>
      <c r="H334" s="469">
        <v>960.47022496809905</v>
      </c>
      <c r="I334" s="469">
        <v>962.45919118814902</v>
      </c>
      <c r="J334" s="469">
        <v>964.44815740819899</v>
      </c>
      <c r="K334" s="469">
        <v>966.43712362824897</v>
      </c>
      <c r="L334" s="469">
        <v>968.42608984829894</v>
      </c>
      <c r="M334" s="469">
        <v>970.41505606834903</v>
      </c>
      <c r="N334" s="469">
        <v>972.40402228839901</v>
      </c>
      <c r="O334" s="469">
        <v>974.39298850844898</v>
      </c>
      <c r="P334" s="469">
        <v>976.38195472849895</v>
      </c>
      <c r="Q334" s="469">
        <v>978.37092094854904</v>
      </c>
      <c r="R334" s="469">
        <v>980.35988716859902</v>
      </c>
      <c r="T334" s="469">
        <f t="shared" si="27"/>
        <v>968.42608984829894</v>
      </c>
    </row>
    <row r="335" spans="1:20">
      <c r="A335" s="469" t="str">
        <f t="shared" si="24"/>
        <v>KU</v>
      </c>
      <c r="B335" s="469" t="str">
        <f t="shared" si="25"/>
        <v>KY</v>
      </c>
      <c r="C335" s="469" t="str">
        <f t="shared" si="26"/>
        <v>352</v>
      </c>
      <c r="D335" s="470" t="s">
        <v>1814</v>
      </c>
      <c r="E335" s="468" t="str">
        <f t="shared" si="23"/>
        <v/>
      </c>
      <c r="F335" s="469">
        <v>5597.7747688699901</v>
      </c>
      <c r="G335" s="469">
        <v>5633.4561680609904</v>
      </c>
      <c r="H335" s="469">
        <v>5669.1375672519898</v>
      </c>
      <c r="I335" s="469">
        <v>5704.8189664429901</v>
      </c>
      <c r="J335" s="469">
        <v>5740.5003656339904</v>
      </c>
      <c r="K335" s="469">
        <v>5776.1817648249998</v>
      </c>
      <c r="L335" s="469">
        <v>5811.8631640160002</v>
      </c>
      <c r="M335" s="469">
        <v>5847.5445632069996</v>
      </c>
      <c r="N335" s="469">
        <v>5883.2259623979999</v>
      </c>
      <c r="O335" s="469">
        <v>5918.9073615890002</v>
      </c>
      <c r="P335" s="469">
        <v>5954.5887607799996</v>
      </c>
      <c r="Q335" s="469">
        <v>5990.2701599709999</v>
      </c>
      <c r="R335" s="469">
        <v>6025.9515591620002</v>
      </c>
      <c r="T335" s="469">
        <f t="shared" si="27"/>
        <v>5811.8631640159965</v>
      </c>
    </row>
    <row r="336" spans="1:20">
      <c r="A336" s="469" t="str">
        <f t="shared" si="24"/>
        <v>KU</v>
      </c>
      <c r="B336" s="469" t="str">
        <f t="shared" si="25"/>
        <v>VA</v>
      </c>
      <c r="C336" s="469" t="str">
        <f t="shared" si="26"/>
        <v>352</v>
      </c>
      <c r="D336" s="470" t="s">
        <v>1815</v>
      </c>
      <c r="E336" s="468" t="str">
        <f t="shared" si="23"/>
        <v/>
      </c>
      <c r="F336" s="469">
        <v>821.89305899999999</v>
      </c>
      <c r="G336" s="469">
        <v>824.13118188800001</v>
      </c>
      <c r="H336" s="469">
        <v>826.36930477600004</v>
      </c>
      <c r="I336" s="469">
        <v>828.60742766400006</v>
      </c>
      <c r="J336" s="469">
        <v>830.84555055199996</v>
      </c>
      <c r="K336" s="469">
        <v>833.08367343999998</v>
      </c>
      <c r="L336" s="469">
        <v>835.321796328</v>
      </c>
      <c r="M336" s="469">
        <v>837.55991921600003</v>
      </c>
      <c r="N336" s="469">
        <v>839.79804210400005</v>
      </c>
      <c r="O336" s="469">
        <v>842.03616499199995</v>
      </c>
      <c r="P336" s="469">
        <v>844.27428787999997</v>
      </c>
      <c r="Q336" s="469">
        <v>846.512410768</v>
      </c>
      <c r="R336" s="469">
        <v>848.75053365600002</v>
      </c>
      <c r="T336" s="469">
        <f t="shared" si="27"/>
        <v>835.32179632800012</v>
      </c>
    </row>
    <row r="337" spans="1:20">
      <c r="A337" s="469" t="str">
        <f t="shared" si="24"/>
        <v>KU</v>
      </c>
      <c r="B337" s="469" t="str">
        <f t="shared" si="25"/>
        <v>KY</v>
      </c>
      <c r="C337" s="469" t="str">
        <f t="shared" si="26"/>
        <v>353</v>
      </c>
      <c r="D337" s="470" t="s">
        <v>1816</v>
      </c>
      <c r="E337" s="468" t="str">
        <f t="shared" si="23"/>
        <v/>
      </c>
      <c r="F337" s="469">
        <v>63896.287204169901</v>
      </c>
      <c r="G337" s="469">
        <v>64239.590082299903</v>
      </c>
      <c r="H337" s="469">
        <v>64295.115264419903</v>
      </c>
      <c r="I337" s="469">
        <v>64706.1782291899</v>
      </c>
      <c r="J337" s="469">
        <v>65053.118106509901</v>
      </c>
      <c r="K337" s="469">
        <v>65425.337868979899</v>
      </c>
      <c r="L337" s="469">
        <v>65454.113974559899</v>
      </c>
      <c r="M337" s="469">
        <v>65877.520439739907</v>
      </c>
      <c r="N337" s="469">
        <v>66002.548141659907</v>
      </c>
      <c r="O337" s="469">
        <v>66347.705374579906</v>
      </c>
      <c r="P337" s="469">
        <v>66496.318874379896</v>
      </c>
      <c r="Q337" s="469">
        <v>66790.749263169899</v>
      </c>
      <c r="R337" s="469">
        <v>67074.891332949905</v>
      </c>
      <c r="T337" s="469">
        <f t="shared" si="27"/>
        <v>65512.267242816051</v>
      </c>
    </row>
    <row r="338" spans="1:20">
      <c r="A338" s="469" t="str">
        <f t="shared" si="24"/>
        <v>KU</v>
      </c>
      <c r="B338" s="469" t="s">
        <v>17</v>
      </c>
      <c r="C338" s="469" t="str">
        <f t="shared" si="26"/>
        <v>353</v>
      </c>
      <c r="D338" s="470" t="s">
        <v>1817</v>
      </c>
      <c r="E338" s="468" t="str">
        <f t="shared" si="23"/>
        <v/>
      </c>
      <c r="F338" s="469">
        <v>9711.8288400000001</v>
      </c>
      <c r="G338" s="469">
        <v>9711.8288400000001</v>
      </c>
      <c r="H338" s="469">
        <v>9711.8288400000001</v>
      </c>
      <c r="I338" s="469">
        <v>9711.8288400000001</v>
      </c>
      <c r="J338" s="469">
        <v>9711.8288400000001</v>
      </c>
      <c r="K338" s="469">
        <v>9711.8288400000001</v>
      </c>
      <c r="L338" s="469">
        <v>9711.8288400000001</v>
      </c>
      <c r="M338" s="469">
        <v>9711.8288400000001</v>
      </c>
      <c r="N338" s="469">
        <v>9711.8288400000001</v>
      </c>
      <c r="O338" s="469">
        <v>9711.8288400000001</v>
      </c>
      <c r="P338" s="469">
        <v>9711.8288400000001</v>
      </c>
      <c r="Q338" s="469">
        <v>9711.8288400000001</v>
      </c>
      <c r="R338" s="469">
        <v>9711.8288400000001</v>
      </c>
      <c r="T338" s="469">
        <f t="shared" si="27"/>
        <v>9711.8288400000001</v>
      </c>
    </row>
    <row r="339" spans="1:20">
      <c r="A339" s="469" t="str">
        <f t="shared" si="24"/>
        <v>KU</v>
      </c>
      <c r="B339" s="469" t="str">
        <f t="shared" si="25"/>
        <v>VA</v>
      </c>
      <c r="C339" s="469" t="str">
        <f t="shared" si="26"/>
        <v>353</v>
      </c>
      <c r="D339" s="470" t="s">
        <v>1818</v>
      </c>
      <c r="E339" s="468" t="str">
        <f t="shared" si="23"/>
        <v/>
      </c>
      <c r="F339" s="469">
        <v>7959.1008559253996</v>
      </c>
      <c r="G339" s="469">
        <v>7994.1955992045996</v>
      </c>
      <c r="H339" s="469">
        <v>8029.2903424837996</v>
      </c>
      <c r="I339" s="469">
        <v>8064.3850857629996</v>
      </c>
      <c r="J339" s="469">
        <v>8099.4798290422004</v>
      </c>
      <c r="K339" s="469">
        <v>8134.5745723214004</v>
      </c>
      <c r="L339" s="469">
        <v>8169.8277122671998</v>
      </c>
      <c r="M339" s="469">
        <v>8205.2392488796995</v>
      </c>
      <c r="N339" s="469">
        <v>8240.6507854922002</v>
      </c>
      <c r="O339" s="469">
        <v>8276.0623221047008</v>
      </c>
      <c r="P339" s="469">
        <v>8311.4738587171996</v>
      </c>
      <c r="Q339" s="469">
        <v>8346.8853953297003</v>
      </c>
      <c r="R339" s="469">
        <v>8382.2969319422009</v>
      </c>
      <c r="T339" s="469">
        <f t="shared" si="27"/>
        <v>8170.2663491902531</v>
      </c>
    </row>
    <row r="340" spans="1:20">
      <c r="A340" s="469" t="str">
        <f t="shared" si="24"/>
        <v>KU</v>
      </c>
      <c r="B340" s="469" t="str">
        <f t="shared" si="25"/>
        <v>KY</v>
      </c>
      <c r="C340" s="469" t="str">
        <f t="shared" si="26"/>
        <v>354</v>
      </c>
      <c r="D340" s="470" t="s">
        <v>1819</v>
      </c>
      <c r="E340" s="468" t="str">
        <f t="shared" si="23"/>
        <v/>
      </c>
      <c r="F340" s="469">
        <v>45689.6902151799</v>
      </c>
      <c r="G340" s="469">
        <v>45787.132701812901</v>
      </c>
      <c r="H340" s="469">
        <v>45884.575188445902</v>
      </c>
      <c r="I340" s="469">
        <v>45982.017675078903</v>
      </c>
      <c r="J340" s="469">
        <v>46079.460161711999</v>
      </c>
      <c r="K340" s="469">
        <v>46176.902648345</v>
      </c>
      <c r="L340" s="469">
        <v>46274.345134978001</v>
      </c>
      <c r="M340" s="469">
        <v>46371.787621611002</v>
      </c>
      <c r="N340" s="469">
        <v>46469.230108244003</v>
      </c>
      <c r="O340" s="469">
        <v>46566.672594877004</v>
      </c>
      <c r="P340" s="469">
        <v>46664.115081509997</v>
      </c>
      <c r="Q340" s="469">
        <v>46761.557568142998</v>
      </c>
      <c r="R340" s="469">
        <v>46859.000054775999</v>
      </c>
      <c r="T340" s="469">
        <f t="shared" si="27"/>
        <v>46274.345134977964</v>
      </c>
    </row>
    <row r="341" spans="1:20">
      <c r="A341" s="469" t="str">
        <f t="shared" si="24"/>
        <v>KU</v>
      </c>
      <c r="B341" s="469" t="str">
        <f t="shared" si="25"/>
        <v>VA</v>
      </c>
      <c r="C341" s="469" t="str">
        <f t="shared" si="26"/>
        <v>354</v>
      </c>
      <c r="D341" s="470" t="s">
        <v>1820</v>
      </c>
      <c r="E341" s="468" t="str">
        <f t="shared" si="23"/>
        <v/>
      </c>
      <c r="F341" s="469">
        <v>4973.8819380669902</v>
      </c>
      <c r="G341" s="469">
        <v>4983.9952942309901</v>
      </c>
      <c r="H341" s="469">
        <v>4994.10865039499</v>
      </c>
      <c r="I341" s="469">
        <v>5004.22200655899</v>
      </c>
      <c r="J341" s="469">
        <v>5014.3353627229899</v>
      </c>
      <c r="K341" s="469">
        <v>5024.4487188869898</v>
      </c>
      <c r="L341" s="469">
        <v>5034.5620750509897</v>
      </c>
      <c r="M341" s="469">
        <v>5044.6754312149897</v>
      </c>
      <c r="N341" s="469">
        <v>5054.7887873789896</v>
      </c>
      <c r="O341" s="469">
        <v>5064.9021435429904</v>
      </c>
      <c r="P341" s="469">
        <v>5075.0154997069903</v>
      </c>
      <c r="Q341" s="469">
        <v>5085.1288558709903</v>
      </c>
      <c r="R341" s="469">
        <v>5095.2422120349902</v>
      </c>
      <c r="T341" s="469">
        <f t="shared" si="27"/>
        <v>5034.5620750509906</v>
      </c>
    </row>
    <row r="342" spans="1:20">
      <c r="A342" s="469" t="str">
        <f t="shared" si="24"/>
        <v>KU</v>
      </c>
      <c r="B342" s="469" t="str">
        <f t="shared" si="25"/>
        <v>KY</v>
      </c>
      <c r="C342" s="469" t="str">
        <f t="shared" si="26"/>
        <v>355</v>
      </c>
      <c r="D342" s="470" t="s">
        <v>1821</v>
      </c>
      <c r="E342" s="468" t="str">
        <f t="shared" si="23"/>
        <v/>
      </c>
      <c r="F342" s="469">
        <v>63664.095251910003</v>
      </c>
      <c r="G342" s="469">
        <v>64332.182294170001</v>
      </c>
      <c r="H342" s="469">
        <v>65089.322745899997</v>
      </c>
      <c r="I342" s="469">
        <v>65856.380254529999</v>
      </c>
      <c r="J342" s="469">
        <v>66633.997342899995</v>
      </c>
      <c r="K342" s="469">
        <v>67421.189055309995</v>
      </c>
      <c r="L342" s="469">
        <v>68217.833069079905</v>
      </c>
      <c r="M342" s="469">
        <v>69024.018897789996</v>
      </c>
      <c r="N342" s="469">
        <v>69840.729779499903</v>
      </c>
      <c r="O342" s="469">
        <v>70670.435379829898</v>
      </c>
      <c r="P342" s="469">
        <v>71513.408772309893</v>
      </c>
      <c r="Q342" s="469">
        <v>72367.192377769898</v>
      </c>
      <c r="R342" s="469">
        <v>73021.664717099993</v>
      </c>
      <c r="T342" s="469">
        <f t="shared" si="27"/>
        <v>68280.957687546106</v>
      </c>
    </row>
    <row r="343" spans="1:20">
      <c r="A343" s="469" t="str">
        <f t="shared" si="24"/>
        <v>KU</v>
      </c>
      <c r="B343" s="469" t="str">
        <f t="shared" si="25"/>
        <v>TN</v>
      </c>
      <c r="C343" s="469" t="str">
        <f t="shared" si="26"/>
        <v>355</v>
      </c>
      <c r="D343" s="470" t="s">
        <v>1822</v>
      </c>
      <c r="E343" s="468" t="str">
        <f t="shared" ref="E343:E422" si="30">IF(ISTEXT(MID($D343,SEARCH("FUTURE USE",$D343),3)),"FUTURE USE",IF(ISTEXT(MID($D343,SEARCH("ECR",$D343),3)),"ECR",IF(ISTEXT(MID($D343,SEARCH("ARO",$D343),3)),"ARO",IF(ISTEXT(MID($D343,SEARCH("DSM",$D343),3)),"DSM",""))))</f>
        <v/>
      </c>
      <c r="F343" s="469">
        <v>87.669540499999997</v>
      </c>
      <c r="G343" s="469">
        <v>87.977139225000002</v>
      </c>
      <c r="H343" s="469">
        <v>88.284737949999993</v>
      </c>
      <c r="I343" s="469">
        <v>88.592336674999999</v>
      </c>
      <c r="J343" s="469">
        <v>88.899935400000004</v>
      </c>
      <c r="K343" s="469">
        <v>89.207534124999995</v>
      </c>
      <c r="L343" s="469">
        <v>89.515132850000001</v>
      </c>
      <c r="M343" s="469">
        <v>89.822731575000006</v>
      </c>
      <c r="N343" s="469">
        <v>90.130330299999997</v>
      </c>
      <c r="O343" s="469">
        <v>90.437929025000003</v>
      </c>
      <c r="P343" s="469">
        <v>90.745527749999994</v>
      </c>
      <c r="Q343" s="469">
        <v>91.053126474999999</v>
      </c>
      <c r="R343" s="469">
        <v>91.360725200000005</v>
      </c>
      <c r="T343" s="469">
        <f t="shared" si="27"/>
        <v>89.515132850000001</v>
      </c>
    </row>
    <row r="344" spans="1:20">
      <c r="A344" s="469" t="str">
        <f t="shared" si="24"/>
        <v>KU</v>
      </c>
      <c r="B344" s="469" t="str">
        <f t="shared" si="25"/>
        <v>VA</v>
      </c>
      <c r="C344" s="469" t="str">
        <f t="shared" si="26"/>
        <v>355</v>
      </c>
      <c r="D344" s="470" t="s">
        <v>1823</v>
      </c>
      <c r="E344" s="468" t="str">
        <f t="shared" si="30"/>
        <v/>
      </c>
      <c r="F344" s="469">
        <v>4061.2638704189899</v>
      </c>
      <c r="G344" s="469">
        <v>4091.3714673209902</v>
      </c>
      <c r="H344" s="469">
        <v>4121.5986394699903</v>
      </c>
      <c r="I344" s="469">
        <v>4151.9453868749897</v>
      </c>
      <c r="J344" s="469">
        <v>4182.29213427999</v>
      </c>
      <c r="K344" s="469">
        <v>4212.6388816849903</v>
      </c>
      <c r="L344" s="469">
        <v>4242.9856290899897</v>
      </c>
      <c r="M344" s="469">
        <v>4273.3323764949901</v>
      </c>
      <c r="N344" s="469">
        <v>4303.6791238999904</v>
      </c>
      <c r="O344" s="469">
        <v>4334.4484583249896</v>
      </c>
      <c r="P344" s="469">
        <v>4365.6403797589901</v>
      </c>
      <c r="Q344" s="469">
        <v>4396.8323011929897</v>
      </c>
      <c r="R344" s="469">
        <v>4428.0242226269902</v>
      </c>
      <c r="T344" s="469">
        <f t="shared" si="27"/>
        <v>4243.5425285722204</v>
      </c>
    </row>
    <row r="345" spans="1:20">
      <c r="A345" s="469" t="str">
        <f t="shared" si="24"/>
        <v>KU</v>
      </c>
      <c r="B345" s="469" t="str">
        <f t="shared" si="25"/>
        <v>KY</v>
      </c>
      <c r="C345" s="469" t="str">
        <f t="shared" si="26"/>
        <v>356</v>
      </c>
      <c r="D345" s="470" t="s">
        <v>1824</v>
      </c>
      <c r="E345" s="468" t="str">
        <f t="shared" si="30"/>
        <v/>
      </c>
      <c r="F345" s="469">
        <v>105964.91103314899</v>
      </c>
      <c r="G345" s="469">
        <v>106295.81926715899</v>
      </c>
      <c r="H345" s="469">
        <v>106629.146629939</v>
      </c>
      <c r="I345" s="469">
        <v>106964.89312157901</v>
      </c>
      <c r="J345" s="469">
        <v>107300.791509759</v>
      </c>
      <c r="K345" s="469">
        <v>107636.841794269</v>
      </c>
      <c r="L345" s="469">
        <v>107973.043975319</v>
      </c>
      <c r="M345" s="469">
        <v>108308.827751529</v>
      </c>
      <c r="N345" s="469">
        <v>108644.767791939</v>
      </c>
      <c r="O345" s="469">
        <v>108980.864086539</v>
      </c>
      <c r="P345" s="469">
        <v>109317.116635329</v>
      </c>
      <c r="Q345" s="469">
        <v>109653.525438219</v>
      </c>
      <c r="R345" s="469">
        <v>109990.09049519899</v>
      </c>
      <c r="T345" s="469">
        <f t="shared" si="27"/>
        <v>107973.89534845593</v>
      </c>
    </row>
    <row r="346" spans="1:20">
      <c r="A346" s="469" t="str">
        <f t="shared" si="24"/>
        <v>KU</v>
      </c>
      <c r="B346" s="469" t="str">
        <f t="shared" si="25"/>
        <v>TN</v>
      </c>
      <c r="C346" s="469" t="str">
        <f t="shared" si="26"/>
        <v>356</v>
      </c>
      <c r="D346" s="470" t="s">
        <v>1825</v>
      </c>
      <c r="E346" s="468" t="str">
        <f t="shared" si="30"/>
        <v/>
      </c>
      <c r="F346" s="469">
        <v>52.826867968370003</v>
      </c>
      <c r="G346" s="469">
        <v>52.992098630199997</v>
      </c>
      <c r="H346" s="469">
        <v>53.157329292029999</v>
      </c>
      <c r="I346" s="469">
        <v>53.322559953860001</v>
      </c>
      <c r="J346" s="469">
        <v>53.487790615690002</v>
      </c>
      <c r="K346" s="469">
        <v>53.653021277519997</v>
      </c>
      <c r="L346" s="469">
        <v>53.818251939349999</v>
      </c>
      <c r="M346" s="469">
        <v>53.98348260118</v>
      </c>
      <c r="N346" s="469">
        <v>54.148713263010002</v>
      </c>
      <c r="O346" s="469">
        <v>54.313943924839997</v>
      </c>
      <c r="P346" s="469">
        <v>54.479174586669998</v>
      </c>
      <c r="Q346" s="469">
        <v>54.6444052485</v>
      </c>
      <c r="R346" s="469">
        <v>54.809635910330002</v>
      </c>
      <c r="T346" s="469">
        <f t="shared" si="27"/>
        <v>53.818251939349999</v>
      </c>
    </row>
    <row r="347" spans="1:20">
      <c r="A347" s="469" t="str">
        <f t="shared" si="24"/>
        <v>KU</v>
      </c>
      <c r="B347" s="469" t="str">
        <f t="shared" si="25"/>
        <v>VA</v>
      </c>
      <c r="C347" s="469" t="str">
        <f t="shared" si="26"/>
        <v>356</v>
      </c>
      <c r="D347" s="470" t="s">
        <v>1826</v>
      </c>
      <c r="E347" s="468" t="str">
        <f t="shared" si="30"/>
        <v/>
      </c>
      <c r="F347" s="469">
        <v>10342.089513262001</v>
      </c>
      <c r="G347" s="469">
        <v>10378.835648259001</v>
      </c>
      <c r="H347" s="469">
        <v>10415.581783256001</v>
      </c>
      <c r="I347" s="469">
        <v>10452.327918253</v>
      </c>
      <c r="J347" s="469">
        <v>10489.07405325</v>
      </c>
      <c r="K347" s="469">
        <v>10525.820188247</v>
      </c>
      <c r="L347" s="469">
        <v>10562.566323244</v>
      </c>
      <c r="M347" s="469">
        <v>10599.312458241</v>
      </c>
      <c r="N347" s="469">
        <v>10636.058593238</v>
      </c>
      <c r="O347" s="469">
        <v>10672.804728235</v>
      </c>
      <c r="P347" s="469">
        <v>10709.550863232</v>
      </c>
      <c r="Q347" s="469">
        <v>10746.296998229</v>
      </c>
      <c r="R347" s="469">
        <v>10783.043133226</v>
      </c>
      <c r="T347" s="469">
        <f t="shared" si="27"/>
        <v>10562.566323244</v>
      </c>
    </row>
    <row r="348" spans="1:20">
      <c r="A348" s="469" t="str">
        <f t="shared" si="24"/>
        <v>KU</v>
      </c>
      <c r="B348" s="469" t="str">
        <f t="shared" si="25"/>
        <v>KY</v>
      </c>
      <c r="C348" s="469" t="str">
        <f t="shared" si="26"/>
        <v>357</v>
      </c>
      <c r="D348" s="470" t="s">
        <v>1827</v>
      </c>
      <c r="E348" s="468" t="str">
        <f t="shared" si="30"/>
        <v/>
      </c>
      <c r="F348" s="469">
        <v>244.92603825200001</v>
      </c>
      <c r="G348" s="469">
        <v>245.56178195370001</v>
      </c>
      <c r="H348" s="469">
        <v>246.1975256554</v>
      </c>
      <c r="I348" s="469">
        <v>246.83326935709999</v>
      </c>
      <c r="J348" s="469">
        <v>247.46901305879999</v>
      </c>
      <c r="K348" s="469">
        <v>248.10475676050001</v>
      </c>
      <c r="L348" s="469">
        <v>248.7405004622</v>
      </c>
      <c r="M348" s="469">
        <v>249.3762441639</v>
      </c>
      <c r="N348" s="469">
        <v>250.01198786559999</v>
      </c>
      <c r="O348" s="469">
        <v>250.64773156730001</v>
      </c>
      <c r="P348" s="469">
        <v>251.28347526900001</v>
      </c>
      <c r="Q348" s="469">
        <v>251.9192189707</v>
      </c>
      <c r="R348" s="469">
        <v>252.55496267239999</v>
      </c>
      <c r="T348" s="469">
        <f t="shared" si="27"/>
        <v>248.74050046220006</v>
      </c>
    </row>
    <row r="349" spans="1:20">
      <c r="A349" s="469" t="str">
        <f t="shared" si="24"/>
        <v>KU</v>
      </c>
      <c r="B349" s="469" t="str">
        <f t="shared" si="25"/>
        <v>KY</v>
      </c>
      <c r="C349" s="469" t="str">
        <f t="shared" si="26"/>
        <v>358</v>
      </c>
      <c r="D349" s="470" t="s">
        <v>1828</v>
      </c>
      <c r="E349" s="468" t="str">
        <f t="shared" si="30"/>
        <v/>
      </c>
      <c r="F349" s="469">
        <v>967.22702165299904</v>
      </c>
      <c r="G349" s="469">
        <v>967.91566200229897</v>
      </c>
      <c r="H349" s="469">
        <v>968.60430235159902</v>
      </c>
      <c r="I349" s="469">
        <v>969.29294270089895</v>
      </c>
      <c r="J349" s="469">
        <v>969.98158305019899</v>
      </c>
      <c r="K349" s="469">
        <v>970.67022339949904</v>
      </c>
      <c r="L349" s="469">
        <v>971.35886374879897</v>
      </c>
      <c r="M349" s="469">
        <v>972.04750409809901</v>
      </c>
      <c r="N349" s="469">
        <v>972.73614444739906</v>
      </c>
      <c r="O349" s="469">
        <v>973.42478479669899</v>
      </c>
      <c r="P349" s="469">
        <v>974.11342514599903</v>
      </c>
      <c r="Q349" s="469">
        <v>974.80206549529896</v>
      </c>
      <c r="R349" s="469">
        <v>975.49070584459901</v>
      </c>
      <c r="T349" s="469">
        <f t="shared" si="27"/>
        <v>971.35886374879908</v>
      </c>
    </row>
    <row r="350" spans="1:20">
      <c r="A350" s="469" t="str">
        <f t="shared" ref="A350:A405" si="31">MID($D350,4,2)</f>
        <v>KU</v>
      </c>
      <c r="B350" s="469" t="str">
        <f t="shared" ref="B350:B405" si="32">IF(MID($D350,12,2)="- ","KY",MID($D350,12,2))</f>
        <v>KY</v>
      </c>
      <c r="C350" s="469" t="str">
        <f t="shared" ref="C350:C405" si="33">MID($D350,8,3)</f>
        <v>359</v>
      </c>
      <c r="D350" s="470" t="s">
        <v>1829</v>
      </c>
      <c r="E350" s="468" t="str">
        <f t="shared" si="30"/>
        <v>ARO</v>
      </c>
      <c r="F350" s="469">
        <v>56.2912099999999</v>
      </c>
      <c r="G350" s="469">
        <v>56.990659999999899</v>
      </c>
      <c r="H350" s="469">
        <v>57.690109999999898</v>
      </c>
      <c r="I350" s="469">
        <v>58.389559999999904</v>
      </c>
      <c r="J350" s="469">
        <v>59.089009999999902</v>
      </c>
      <c r="K350" s="469">
        <v>59.788459999999901</v>
      </c>
      <c r="L350" s="469">
        <v>60.4879099999999</v>
      </c>
      <c r="M350" s="469">
        <v>61.187359999999899</v>
      </c>
      <c r="N350" s="469">
        <v>61.886809999999898</v>
      </c>
      <c r="O350" s="469">
        <v>62.586259999999903</v>
      </c>
      <c r="P350" s="469">
        <v>63.285709999999902</v>
      </c>
      <c r="Q350" s="469">
        <v>63.985159999999901</v>
      </c>
      <c r="R350" s="469">
        <v>64.684609999999907</v>
      </c>
      <c r="T350" s="469">
        <f t="shared" ref="T350:T405" si="34">SUM(F350:R350)/13</f>
        <v>60.487909999999907</v>
      </c>
    </row>
    <row r="351" spans="1:20">
      <c r="A351" s="469" t="str">
        <f t="shared" si="31"/>
        <v>KU</v>
      </c>
      <c r="B351" s="469" t="str">
        <f t="shared" si="32"/>
        <v>KY</v>
      </c>
      <c r="C351" s="469" t="str">
        <f t="shared" si="33"/>
        <v>360</v>
      </c>
      <c r="D351" s="470" t="s">
        <v>1831</v>
      </c>
      <c r="E351" s="468" t="str">
        <f t="shared" si="30"/>
        <v/>
      </c>
      <c r="F351" s="469">
        <v>1405.71588700999</v>
      </c>
      <c r="G351" s="469">
        <v>1406.82271371399</v>
      </c>
      <c r="H351" s="469">
        <v>1407.92954041799</v>
      </c>
      <c r="I351" s="469">
        <v>1409.03636712199</v>
      </c>
      <c r="J351" s="469">
        <v>1410.14319382599</v>
      </c>
      <c r="K351" s="469">
        <v>1411.25002052999</v>
      </c>
      <c r="L351" s="469">
        <v>1412.35684723399</v>
      </c>
      <c r="M351" s="469">
        <v>1413.4636739379901</v>
      </c>
      <c r="N351" s="469">
        <v>1414.5705006419901</v>
      </c>
      <c r="O351" s="469">
        <v>1415.6773273459901</v>
      </c>
      <c r="P351" s="469">
        <v>1416.7841540499901</v>
      </c>
      <c r="Q351" s="469">
        <v>1417.8909807539901</v>
      </c>
      <c r="R351" s="469">
        <v>1418.9978074579999</v>
      </c>
      <c r="T351" s="469">
        <f t="shared" si="34"/>
        <v>1412.3568472339907</v>
      </c>
    </row>
    <row r="352" spans="1:20">
      <c r="A352" s="469" t="str">
        <f t="shared" si="31"/>
        <v>KU</v>
      </c>
      <c r="B352" s="469" t="str">
        <f t="shared" si="32"/>
        <v>TN</v>
      </c>
      <c r="C352" s="469" t="str">
        <f t="shared" si="33"/>
        <v>360</v>
      </c>
      <c r="D352" s="470" t="s">
        <v>1832</v>
      </c>
      <c r="E352" s="468" t="str">
        <f t="shared" si="30"/>
        <v/>
      </c>
      <c r="F352" s="469">
        <v>2.4607491483300001</v>
      </c>
      <c r="G352" s="469">
        <v>2.462150433663</v>
      </c>
      <c r="H352" s="469">
        <v>2.4635517189959999</v>
      </c>
      <c r="I352" s="469">
        <v>2.4649530043290002</v>
      </c>
      <c r="J352" s="469">
        <v>2.4663542896620001</v>
      </c>
      <c r="K352" s="469">
        <v>2.467755574995</v>
      </c>
      <c r="L352" s="469">
        <v>2.4691568603279999</v>
      </c>
      <c r="M352" s="469">
        <v>2.4705581456610002</v>
      </c>
      <c r="N352" s="469">
        <v>2.4719594309940001</v>
      </c>
      <c r="O352" s="469">
        <v>2.4733607163269999</v>
      </c>
      <c r="P352" s="469">
        <v>2.4747620016599998</v>
      </c>
      <c r="Q352" s="469">
        <v>2.4761632869930001</v>
      </c>
      <c r="R352" s="469">
        <v>2.477564572326</v>
      </c>
      <c r="T352" s="469">
        <f t="shared" si="34"/>
        <v>2.4691568603280007</v>
      </c>
    </row>
    <row r="353" spans="1:20">
      <c r="A353" s="469" t="str">
        <f t="shared" si="31"/>
        <v>KU</v>
      </c>
      <c r="B353" s="469" t="str">
        <f t="shared" si="32"/>
        <v>VA</v>
      </c>
      <c r="C353" s="469" t="str">
        <f t="shared" si="33"/>
        <v>360</v>
      </c>
      <c r="D353" s="470" t="s">
        <v>1833</v>
      </c>
      <c r="E353" s="468" t="str">
        <f t="shared" si="30"/>
        <v/>
      </c>
      <c r="F353" s="469">
        <v>68.797982178300003</v>
      </c>
      <c r="G353" s="469">
        <v>68.846516487629998</v>
      </c>
      <c r="H353" s="469">
        <v>68.895050796960007</v>
      </c>
      <c r="I353" s="469">
        <v>68.943585106290001</v>
      </c>
      <c r="J353" s="469">
        <v>68.992119415619996</v>
      </c>
      <c r="K353" s="469">
        <v>69.040653724949905</v>
      </c>
      <c r="L353" s="469">
        <v>69.0891880342799</v>
      </c>
      <c r="M353" s="469">
        <v>69.137722343609894</v>
      </c>
      <c r="N353" s="469">
        <v>69.186256652939903</v>
      </c>
      <c r="O353" s="469">
        <v>69.234790962269898</v>
      </c>
      <c r="P353" s="469">
        <v>69.283325271599907</v>
      </c>
      <c r="Q353" s="469">
        <v>69.331859580929901</v>
      </c>
      <c r="R353" s="469">
        <v>69.380393890259896</v>
      </c>
      <c r="T353" s="469">
        <f t="shared" si="34"/>
        <v>69.089188034279942</v>
      </c>
    </row>
    <row r="354" spans="1:20">
      <c r="A354" s="469" t="str">
        <f t="shared" si="31"/>
        <v>KU</v>
      </c>
      <c r="B354" s="469" t="str">
        <f t="shared" si="32"/>
        <v>KY</v>
      </c>
      <c r="C354" s="469" t="str">
        <f t="shared" si="33"/>
        <v>361</v>
      </c>
      <c r="D354" s="470" t="s">
        <v>1834</v>
      </c>
      <c r="E354" s="468" t="str">
        <f t="shared" si="30"/>
        <v/>
      </c>
      <c r="F354" s="469">
        <v>2433.71372646399</v>
      </c>
      <c r="G354" s="469">
        <v>2456.6388470529901</v>
      </c>
      <c r="H354" s="469">
        <v>2480.9668426399899</v>
      </c>
      <c r="I354" s="469">
        <v>2505.2966298899901</v>
      </c>
      <c r="J354" s="469">
        <v>2529.6264171399898</v>
      </c>
      <c r="K354" s="469">
        <v>2553.95620438999</v>
      </c>
      <c r="L354" s="469">
        <v>2516.3882144539998</v>
      </c>
      <c r="M354" s="469">
        <v>2540.8654673409901</v>
      </c>
      <c r="N354" s="469">
        <v>2565.34272022799</v>
      </c>
      <c r="O354" s="469">
        <v>2589.8199731149898</v>
      </c>
      <c r="P354" s="469">
        <v>2614.2972260019901</v>
      </c>
      <c r="Q354" s="469">
        <v>2638.77447888899</v>
      </c>
      <c r="R354" s="469">
        <v>2663.2517317759898</v>
      </c>
      <c r="T354" s="469">
        <f t="shared" si="34"/>
        <v>2545.3029599524525</v>
      </c>
    </row>
    <row r="355" spans="1:20">
      <c r="A355" s="469" t="str">
        <f t="shared" si="31"/>
        <v>KU</v>
      </c>
      <c r="B355" s="469" t="str">
        <f t="shared" si="32"/>
        <v>TN</v>
      </c>
      <c r="C355" s="469" t="str">
        <f t="shared" si="33"/>
        <v>361</v>
      </c>
      <c r="D355" s="470" t="s">
        <v>1835</v>
      </c>
      <c r="E355" s="468" t="str">
        <f t="shared" si="30"/>
        <v/>
      </c>
      <c r="F355" s="469">
        <v>2.6410714999999998</v>
      </c>
      <c r="G355" s="469">
        <v>2.6456866362499998</v>
      </c>
      <c r="H355" s="469">
        <v>2.6503017725000002</v>
      </c>
      <c r="I355" s="469">
        <v>2.6549169087500002</v>
      </c>
      <c r="J355" s="469">
        <v>2.6595320450000002</v>
      </c>
      <c r="K355" s="469">
        <v>2.6641471812500002</v>
      </c>
      <c r="L355" s="469">
        <v>2.6687623175000001</v>
      </c>
      <c r="M355" s="469">
        <v>2.6733774537500001</v>
      </c>
      <c r="N355" s="469">
        <v>2.6779925900000001</v>
      </c>
      <c r="O355" s="469">
        <v>2.6826077262500001</v>
      </c>
      <c r="P355" s="469">
        <v>2.6872228625000001</v>
      </c>
      <c r="Q355" s="469">
        <v>2.6918379987500001</v>
      </c>
      <c r="R355" s="469">
        <v>2.6964531350000001</v>
      </c>
      <c r="T355" s="469">
        <f t="shared" si="34"/>
        <v>2.6687623174999997</v>
      </c>
    </row>
    <row r="356" spans="1:20">
      <c r="A356" s="469" t="str">
        <f t="shared" si="31"/>
        <v>KU</v>
      </c>
      <c r="B356" s="469" t="str">
        <f t="shared" si="32"/>
        <v>VA</v>
      </c>
      <c r="C356" s="469" t="str">
        <f t="shared" si="33"/>
        <v>361</v>
      </c>
      <c r="D356" s="470" t="s">
        <v>1836</v>
      </c>
      <c r="E356" s="468" t="str">
        <f t="shared" si="30"/>
        <v/>
      </c>
      <c r="F356" s="469">
        <v>133.863448667</v>
      </c>
      <c r="G356" s="469">
        <v>134.7479434736</v>
      </c>
      <c r="H356" s="469">
        <v>135.63243828020001</v>
      </c>
      <c r="I356" s="469">
        <v>136.51693308680001</v>
      </c>
      <c r="J356" s="469">
        <v>137.40142789340001</v>
      </c>
      <c r="K356" s="469">
        <v>138.28592269999999</v>
      </c>
      <c r="L356" s="469">
        <v>139.17041750659999</v>
      </c>
      <c r="M356" s="469">
        <v>140.05491231319999</v>
      </c>
      <c r="N356" s="469">
        <v>140.93940711979999</v>
      </c>
      <c r="O356" s="469">
        <v>141.8239019264</v>
      </c>
      <c r="P356" s="469">
        <v>142.708396733</v>
      </c>
      <c r="Q356" s="469">
        <v>143.5928915396</v>
      </c>
      <c r="R356" s="469">
        <v>144.47738634620001</v>
      </c>
      <c r="T356" s="469">
        <f t="shared" si="34"/>
        <v>139.17041750659999</v>
      </c>
    </row>
    <row r="357" spans="1:20">
      <c r="A357" s="469" t="str">
        <f t="shared" si="31"/>
        <v>KU</v>
      </c>
      <c r="B357" s="469" t="str">
        <f t="shared" si="32"/>
        <v>KY</v>
      </c>
      <c r="C357" s="469" t="str">
        <f t="shared" si="33"/>
        <v>362</v>
      </c>
      <c r="D357" s="470" t="s">
        <v>1837</v>
      </c>
      <c r="E357" s="468" t="str">
        <f t="shared" si="30"/>
        <v/>
      </c>
      <c r="F357" s="469">
        <v>47916.163978229997</v>
      </c>
      <c r="G357" s="469">
        <v>48152.756534209999</v>
      </c>
      <c r="H357" s="469">
        <v>48413.0949301</v>
      </c>
      <c r="I357" s="469">
        <v>48691.456321969999</v>
      </c>
      <c r="J357" s="469">
        <v>48939.286043859996</v>
      </c>
      <c r="K357" s="469">
        <v>49217.552437860002</v>
      </c>
      <c r="L357" s="469">
        <v>48797.428710350003</v>
      </c>
      <c r="M357" s="469">
        <v>49127.540937040001</v>
      </c>
      <c r="N357" s="469">
        <v>49423.001072530002</v>
      </c>
      <c r="O357" s="469">
        <v>49719.804975619998</v>
      </c>
      <c r="P357" s="469">
        <v>50059.379257410001</v>
      </c>
      <c r="Q357" s="469">
        <v>50336.460593130003</v>
      </c>
      <c r="R357" s="469">
        <v>50575.56245261</v>
      </c>
      <c r="T357" s="469">
        <f t="shared" si="34"/>
        <v>49182.268326532299</v>
      </c>
    </row>
    <row r="358" spans="1:20">
      <c r="A358" s="469" t="str">
        <f t="shared" si="31"/>
        <v>KU</v>
      </c>
      <c r="B358" s="469" t="str">
        <f t="shared" si="32"/>
        <v>TN</v>
      </c>
      <c r="C358" s="469" t="str">
        <f t="shared" si="33"/>
        <v>362</v>
      </c>
      <c r="D358" s="470" t="s">
        <v>1838</v>
      </c>
      <c r="E358" s="468" t="str">
        <f t="shared" si="30"/>
        <v/>
      </c>
      <c r="F358" s="469">
        <v>33.730093812499902</v>
      </c>
      <c r="G358" s="469">
        <v>33.857736981299901</v>
      </c>
      <c r="H358" s="469">
        <v>33.9853801500999</v>
      </c>
      <c r="I358" s="469">
        <v>34.113023318899899</v>
      </c>
      <c r="J358" s="469">
        <v>34.240666487699897</v>
      </c>
      <c r="K358" s="469">
        <v>34.368309656499903</v>
      </c>
      <c r="L358" s="469">
        <v>34.495952825299902</v>
      </c>
      <c r="M358" s="469">
        <v>34.623595994099901</v>
      </c>
      <c r="N358" s="469">
        <v>34.7512391628999</v>
      </c>
      <c r="O358" s="469">
        <v>34.878882331699899</v>
      </c>
      <c r="P358" s="469">
        <v>35.006525500499897</v>
      </c>
      <c r="Q358" s="469">
        <v>35.134168669299903</v>
      </c>
      <c r="R358" s="469">
        <v>35.261811838099902</v>
      </c>
      <c r="T358" s="469">
        <f t="shared" si="34"/>
        <v>34.495952825299895</v>
      </c>
    </row>
    <row r="359" spans="1:20">
      <c r="A359" s="469" t="str">
        <f t="shared" si="31"/>
        <v>KU</v>
      </c>
      <c r="B359" s="469" t="str">
        <f t="shared" si="32"/>
        <v>VA</v>
      </c>
      <c r="C359" s="469" t="str">
        <f t="shared" si="33"/>
        <v>362</v>
      </c>
      <c r="D359" s="470" t="s">
        <v>1839</v>
      </c>
      <c r="E359" s="468" t="str">
        <f t="shared" si="30"/>
        <v/>
      </c>
      <c r="F359" s="469">
        <v>3105.71233439569</v>
      </c>
      <c r="G359" s="469">
        <v>3121.4240053326898</v>
      </c>
      <c r="H359" s="469">
        <v>3137.1356762696901</v>
      </c>
      <c r="I359" s="469">
        <v>3152.8473472066898</v>
      </c>
      <c r="J359" s="469">
        <v>3168.5590181436901</v>
      </c>
      <c r="K359" s="469">
        <v>3184.2706890806899</v>
      </c>
      <c r="L359" s="469">
        <v>3199.9823600176901</v>
      </c>
      <c r="M359" s="469">
        <v>3215.6940309546899</v>
      </c>
      <c r="N359" s="469">
        <v>3231.4057018916901</v>
      </c>
      <c r="O359" s="469">
        <v>3247.1173728286899</v>
      </c>
      <c r="P359" s="469">
        <v>3262.8290437656901</v>
      </c>
      <c r="Q359" s="469">
        <v>3278.5407147026899</v>
      </c>
      <c r="R359" s="469">
        <v>3294.2523856396901</v>
      </c>
      <c r="T359" s="469">
        <f t="shared" si="34"/>
        <v>3199.9823600176896</v>
      </c>
    </row>
    <row r="360" spans="1:20">
      <c r="A360" s="469" t="str">
        <f t="shared" si="31"/>
        <v>KU</v>
      </c>
      <c r="B360" s="469" t="str">
        <f t="shared" si="32"/>
        <v>KY</v>
      </c>
      <c r="C360" s="469" t="str">
        <f t="shared" si="33"/>
        <v>364</v>
      </c>
      <c r="D360" s="470" t="s">
        <v>2360</v>
      </c>
      <c r="E360" s="468" t="str">
        <f t="shared" si="30"/>
        <v>ECR</v>
      </c>
      <c r="F360" s="469">
        <v>1.72586746672999</v>
      </c>
      <c r="G360" s="469">
        <v>1.78489938672999</v>
      </c>
      <c r="H360" s="469">
        <v>1.8439313067299901</v>
      </c>
      <c r="I360" s="469">
        <v>1.9029632267299901</v>
      </c>
      <c r="J360" s="469">
        <v>1.9619951467299901</v>
      </c>
      <c r="K360" s="469">
        <v>2.0210270667299901</v>
      </c>
      <c r="L360" s="469">
        <v>2.0800589867299899</v>
      </c>
      <c r="M360" s="469">
        <v>2.1390909067299901</v>
      </c>
      <c r="N360" s="469">
        <v>2.1981228267299899</v>
      </c>
      <c r="O360" s="469">
        <v>2.2571547467299902</v>
      </c>
      <c r="P360" s="469">
        <v>2.31618666672999</v>
      </c>
      <c r="Q360" s="469">
        <v>2.3752185867299902</v>
      </c>
      <c r="R360" s="469">
        <v>2.43425050672999</v>
      </c>
      <c r="T360" s="469">
        <f t="shared" si="34"/>
        <v>2.0800589867299903</v>
      </c>
    </row>
    <row r="361" spans="1:20">
      <c r="A361" s="469" t="str">
        <f t="shared" si="31"/>
        <v>KU</v>
      </c>
      <c r="B361" s="469" t="str">
        <f t="shared" si="32"/>
        <v>KY</v>
      </c>
      <c r="C361" s="469" t="str">
        <f t="shared" si="33"/>
        <v>364</v>
      </c>
      <c r="D361" s="470" t="s">
        <v>1840</v>
      </c>
      <c r="E361" s="468" t="str">
        <f t="shared" si="30"/>
        <v/>
      </c>
      <c r="F361" s="469">
        <v>146452.440206839</v>
      </c>
      <c r="G361" s="469">
        <v>146989.62590162901</v>
      </c>
      <c r="H361" s="469">
        <v>147545.98767237901</v>
      </c>
      <c r="I361" s="469">
        <v>148137.888292569</v>
      </c>
      <c r="J361" s="469">
        <v>148687.96801096899</v>
      </c>
      <c r="K361" s="469">
        <v>149301.05053158899</v>
      </c>
      <c r="L361" s="469">
        <v>149747.299559629</v>
      </c>
      <c r="M361" s="469">
        <v>150384.36787033899</v>
      </c>
      <c r="N361" s="469">
        <v>150974.89200773899</v>
      </c>
      <c r="O361" s="469">
        <v>151558.750581409</v>
      </c>
      <c r="P361" s="469">
        <v>152198.83239874899</v>
      </c>
      <c r="Q361" s="469">
        <v>152759.510536799</v>
      </c>
      <c r="R361" s="469">
        <v>153270.246347899</v>
      </c>
      <c r="T361" s="469">
        <f t="shared" si="34"/>
        <v>149846.835378349</v>
      </c>
    </row>
    <row r="362" spans="1:20">
      <c r="A362" s="469" t="str">
        <f t="shared" si="31"/>
        <v>KU</v>
      </c>
      <c r="B362" s="469" t="str">
        <f t="shared" si="32"/>
        <v>TN</v>
      </c>
      <c r="C362" s="469" t="str">
        <f t="shared" si="33"/>
        <v>364</v>
      </c>
      <c r="D362" s="470" t="s">
        <v>1841</v>
      </c>
      <c r="E362" s="468" t="str">
        <f t="shared" si="30"/>
        <v/>
      </c>
      <c r="F362" s="469">
        <v>47.005606289999903</v>
      </c>
      <c r="G362" s="469">
        <v>47.1119291609999</v>
      </c>
      <c r="H362" s="469">
        <v>47.218252031999903</v>
      </c>
      <c r="I362" s="469">
        <v>47.324574902999899</v>
      </c>
      <c r="J362" s="469">
        <v>47.430897773999902</v>
      </c>
      <c r="K362" s="469">
        <v>47.537220644999898</v>
      </c>
      <c r="L362" s="469">
        <v>47.643543515999902</v>
      </c>
      <c r="M362" s="469">
        <v>47.749866386999898</v>
      </c>
      <c r="N362" s="469">
        <v>47.856189257999901</v>
      </c>
      <c r="O362" s="469">
        <v>47.962512128999897</v>
      </c>
      <c r="P362" s="469">
        <v>48.068834999999901</v>
      </c>
      <c r="Q362" s="469">
        <v>48.175157870999897</v>
      </c>
      <c r="R362" s="469">
        <v>48.2814807419999</v>
      </c>
      <c r="T362" s="469">
        <f t="shared" si="34"/>
        <v>47.643543515999902</v>
      </c>
    </row>
    <row r="363" spans="1:20">
      <c r="A363" s="469" t="str">
        <f t="shared" si="31"/>
        <v>KU</v>
      </c>
      <c r="B363" s="469" t="str">
        <f t="shared" si="32"/>
        <v>VA</v>
      </c>
      <c r="C363" s="469" t="str">
        <f t="shared" si="33"/>
        <v>364</v>
      </c>
      <c r="D363" s="470" t="s">
        <v>1842</v>
      </c>
      <c r="E363" s="468" t="str">
        <f t="shared" si="30"/>
        <v/>
      </c>
      <c r="F363" s="469">
        <v>12295.273998217999</v>
      </c>
      <c r="G363" s="469">
        <v>12355.597629239999</v>
      </c>
      <c r="H363" s="469">
        <v>12414.697618796001</v>
      </c>
      <c r="I363" s="469">
        <v>12477.415735967999</v>
      </c>
      <c r="J363" s="469">
        <v>12539.048542545001</v>
      </c>
      <c r="K363" s="469">
        <v>12600.731886451</v>
      </c>
      <c r="L363" s="469">
        <v>12664.868424553</v>
      </c>
      <c r="M363" s="469">
        <v>12726.615916309</v>
      </c>
      <c r="N363" s="469">
        <v>12787.265325146</v>
      </c>
      <c r="O363" s="469">
        <v>12846.672249609999</v>
      </c>
      <c r="P363" s="469">
        <v>12912.121225727</v>
      </c>
      <c r="Q363" s="469">
        <v>12974.049636476</v>
      </c>
      <c r="R363" s="469">
        <v>13036.016021034</v>
      </c>
      <c r="T363" s="469">
        <f t="shared" si="34"/>
        <v>12663.874939236386</v>
      </c>
    </row>
    <row r="364" spans="1:20">
      <c r="A364" s="469" t="str">
        <f t="shared" si="31"/>
        <v>KU</v>
      </c>
      <c r="B364" s="469" t="str">
        <f t="shared" si="32"/>
        <v>KY</v>
      </c>
      <c r="C364" s="469" t="str">
        <f t="shared" si="33"/>
        <v>365</v>
      </c>
      <c r="D364" s="470" t="s">
        <v>2361</v>
      </c>
      <c r="E364" s="468" t="str">
        <f t="shared" si="30"/>
        <v>ECR</v>
      </c>
      <c r="F364" s="469">
        <v>2.1281674525000001</v>
      </c>
      <c r="G364" s="469">
        <v>2.1767429047500002</v>
      </c>
      <c r="H364" s="469">
        <v>2.2253183569999999</v>
      </c>
      <c r="I364" s="469">
        <v>2.2738938092500001</v>
      </c>
      <c r="J364" s="469">
        <v>2.3224692615000002</v>
      </c>
      <c r="K364" s="469">
        <v>2.3710447137499999</v>
      </c>
      <c r="L364" s="469">
        <v>2.4196201660000001</v>
      </c>
      <c r="M364" s="469">
        <v>2.4681956182499998</v>
      </c>
      <c r="N364" s="469">
        <v>2.5167710704999999</v>
      </c>
      <c r="O364" s="469">
        <v>2.5653465227500001</v>
      </c>
      <c r="P364" s="469">
        <v>2.6139219749999998</v>
      </c>
      <c r="Q364" s="469">
        <v>2.6624974272499999</v>
      </c>
      <c r="R364" s="469">
        <v>2.7110728795000001</v>
      </c>
      <c r="T364" s="469">
        <f t="shared" si="34"/>
        <v>2.4196201660000001</v>
      </c>
    </row>
    <row r="365" spans="1:20">
      <c r="A365" s="469" t="str">
        <f t="shared" si="31"/>
        <v>KU</v>
      </c>
      <c r="B365" s="469" t="str">
        <f t="shared" si="32"/>
        <v>KY</v>
      </c>
      <c r="C365" s="469" t="str">
        <f t="shared" si="33"/>
        <v>365</v>
      </c>
      <c r="D365" s="470" t="s">
        <v>1843</v>
      </c>
      <c r="E365" s="468" t="str">
        <f t="shared" si="30"/>
        <v/>
      </c>
      <c r="F365" s="469">
        <v>109943.565495569</v>
      </c>
      <c r="G365" s="469">
        <v>110137.68976871901</v>
      </c>
      <c r="H365" s="469">
        <v>110405.11793712901</v>
      </c>
      <c r="I365" s="469">
        <v>110804.827923109</v>
      </c>
      <c r="J365" s="469">
        <v>111065.00503493899</v>
      </c>
      <c r="K365" s="469">
        <v>111464.667980649</v>
      </c>
      <c r="L365" s="469">
        <v>111360.360447379</v>
      </c>
      <c r="M365" s="469">
        <v>111827.678137479</v>
      </c>
      <c r="N365" s="469">
        <v>112138.53365975901</v>
      </c>
      <c r="O365" s="469">
        <v>112477.000187279</v>
      </c>
      <c r="P365" s="469">
        <v>112971.138617199</v>
      </c>
      <c r="Q365" s="469">
        <v>113221.59636964901</v>
      </c>
      <c r="R365" s="469">
        <v>113323.26880521901</v>
      </c>
      <c r="T365" s="469">
        <f t="shared" si="34"/>
        <v>111626.18848954441</v>
      </c>
    </row>
    <row r="366" spans="1:20">
      <c r="A366" s="469" t="str">
        <f t="shared" si="31"/>
        <v>KU</v>
      </c>
      <c r="B366" s="469" t="str">
        <f t="shared" si="32"/>
        <v>TN</v>
      </c>
      <c r="C366" s="469" t="str">
        <f t="shared" si="33"/>
        <v>365</v>
      </c>
      <c r="D366" s="470" t="s">
        <v>1844</v>
      </c>
      <c r="E366" s="468" t="str">
        <f t="shared" si="30"/>
        <v/>
      </c>
      <c r="F366" s="469">
        <v>52.085730004999903</v>
      </c>
      <c r="G366" s="469">
        <v>52.181984299499902</v>
      </c>
      <c r="H366" s="469">
        <v>52.278238593999902</v>
      </c>
      <c r="I366" s="469">
        <v>52.374492888499901</v>
      </c>
      <c r="J366" s="469">
        <v>52.470747182999901</v>
      </c>
      <c r="K366" s="469">
        <v>52.5670014774999</v>
      </c>
      <c r="L366" s="469">
        <v>52.6632557719999</v>
      </c>
      <c r="M366" s="469">
        <v>52.759510066499899</v>
      </c>
      <c r="N366" s="469">
        <v>52.855764360999899</v>
      </c>
      <c r="O366" s="469">
        <v>52.952018655499899</v>
      </c>
      <c r="P366" s="469">
        <v>53.048272949999898</v>
      </c>
      <c r="Q366" s="469">
        <v>53.144527244499898</v>
      </c>
      <c r="R366" s="469">
        <v>53.240781538999897</v>
      </c>
      <c r="T366" s="469">
        <f t="shared" si="34"/>
        <v>52.663255771999907</v>
      </c>
    </row>
    <row r="367" spans="1:20">
      <c r="A367" s="469" t="str">
        <f t="shared" si="31"/>
        <v>KU</v>
      </c>
      <c r="B367" s="469" t="str">
        <f t="shared" si="32"/>
        <v>VA</v>
      </c>
      <c r="C367" s="469" t="str">
        <f t="shared" si="33"/>
        <v>365</v>
      </c>
      <c r="D367" s="470" t="s">
        <v>1845</v>
      </c>
      <c r="E367" s="468" t="str">
        <f t="shared" si="30"/>
        <v/>
      </c>
      <c r="F367" s="469">
        <v>9357.2790685759992</v>
      </c>
      <c r="G367" s="469">
        <v>9404.8971596760002</v>
      </c>
      <c r="H367" s="469">
        <v>9440.6888775349998</v>
      </c>
      <c r="I367" s="469">
        <v>9491.3485689680001</v>
      </c>
      <c r="J367" s="469">
        <v>9532.7658580370007</v>
      </c>
      <c r="K367" s="469">
        <v>9580.3619180450005</v>
      </c>
      <c r="L367" s="469">
        <v>9633.2104468550006</v>
      </c>
      <c r="M367" s="469">
        <v>9681.3403701930001</v>
      </c>
      <c r="N367" s="469">
        <v>9724.4053188630005</v>
      </c>
      <c r="O367" s="469">
        <v>9763.5808419730001</v>
      </c>
      <c r="P367" s="469">
        <v>9818.7621638580003</v>
      </c>
      <c r="Q367" s="469">
        <v>9862.2611018789994</v>
      </c>
      <c r="R367" s="469">
        <v>9906.575266672</v>
      </c>
      <c r="T367" s="469">
        <f t="shared" si="34"/>
        <v>9630.5751508561552</v>
      </c>
    </row>
    <row r="368" spans="1:20">
      <c r="A368" s="469" t="str">
        <f t="shared" si="31"/>
        <v>KU</v>
      </c>
      <c r="B368" s="469" t="str">
        <f t="shared" si="32"/>
        <v>KY</v>
      </c>
      <c r="C368" s="469" t="str">
        <f t="shared" si="33"/>
        <v>366</v>
      </c>
      <c r="D368" s="470" t="s">
        <v>2362</v>
      </c>
      <c r="E368" s="468" t="str">
        <f t="shared" si="30"/>
        <v>ECR</v>
      </c>
      <c r="F368" s="469">
        <v>12.8894167</v>
      </c>
      <c r="G368" s="469">
        <v>13.220021572</v>
      </c>
      <c r="H368" s="469">
        <v>13.550626444000001</v>
      </c>
      <c r="I368" s="469">
        <v>13.881231315999999</v>
      </c>
      <c r="J368" s="469">
        <v>14.211836187999999</v>
      </c>
      <c r="K368" s="469">
        <v>14.54244106</v>
      </c>
      <c r="L368" s="469">
        <v>14.873045932</v>
      </c>
      <c r="M368" s="469">
        <v>15.203650804</v>
      </c>
      <c r="N368" s="469">
        <v>15.534255676000001</v>
      </c>
      <c r="O368" s="469">
        <v>15.864860547999999</v>
      </c>
      <c r="P368" s="469">
        <v>16.195465420000001</v>
      </c>
      <c r="Q368" s="469">
        <v>16.526070292</v>
      </c>
      <c r="R368" s="469">
        <v>16.856675163999999</v>
      </c>
      <c r="T368" s="469">
        <f t="shared" si="34"/>
        <v>14.873045932</v>
      </c>
    </row>
    <row r="369" spans="1:20">
      <c r="A369" s="469" t="str">
        <f t="shared" si="31"/>
        <v>KU</v>
      </c>
      <c r="B369" s="469" t="str">
        <f t="shared" si="32"/>
        <v>KY</v>
      </c>
      <c r="C369" s="469" t="str">
        <f t="shared" si="33"/>
        <v>366</v>
      </c>
      <c r="D369" s="470" t="s">
        <v>1846</v>
      </c>
      <c r="E369" s="468" t="str">
        <f t="shared" si="30"/>
        <v/>
      </c>
      <c r="F369" s="469">
        <v>910.30373587899896</v>
      </c>
      <c r="G369" s="469">
        <v>914.57683783599896</v>
      </c>
      <c r="H369" s="469">
        <v>918.84993979299895</v>
      </c>
      <c r="I369" s="469">
        <v>923.12304174999895</v>
      </c>
      <c r="J369" s="469">
        <v>927.39614370699906</v>
      </c>
      <c r="K369" s="469">
        <v>931.66924566399905</v>
      </c>
      <c r="L369" s="469">
        <v>935.94234762099904</v>
      </c>
      <c r="M369" s="469">
        <v>940.21544957799904</v>
      </c>
      <c r="N369" s="469">
        <v>944.48855153499903</v>
      </c>
      <c r="O369" s="469">
        <v>948.76165349199903</v>
      </c>
      <c r="P369" s="469">
        <v>953.03475544899902</v>
      </c>
      <c r="Q369" s="469">
        <v>957.30785740599902</v>
      </c>
      <c r="R369" s="469">
        <v>961.58095936299901</v>
      </c>
      <c r="T369" s="469">
        <f t="shared" si="34"/>
        <v>935.94234762099904</v>
      </c>
    </row>
    <row r="370" spans="1:20">
      <c r="A370" s="469" t="str">
        <f t="shared" si="31"/>
        <v>KU</v>
      </c>
      <c r="B370" s="469" t="str">
        <f t="shared" si="32"/>
        <v>KY</v>
      </c>
      <c r="C370" s="469" t="str">
        <f t="shared" si="33"/>
        <v>367</v>
      </c>
      <c r="D370" s="470" t="s">
        <v>2363</v>
      </c>
      <c r="E370" s="468" t="str">
        <f t="shared" si="30"/>
        <v>ECR</v>
      </c>
      <c r="F370" s="469">
        <v>87.739158561999901</v>
      </c>
      <c r="G370" s="469">
        <v>90.424542186099899</v>
      </c>
      <c r="H370" s="469">
        <v>93.109925810199897</v>
      </c>
      <c r="I370" s="469">
        <v>95.795309434299895</v>
      </c>
      <c r="J370" s="469">
        <v>98.480693058399893</v>
      </c>
      <c r="K370" s="469">
        <v>101.16607668250001</v>
      </c>
      <c r="L370" s="469">
        <v>103.8514603066</v>
      </c>
      <c r="M370" s="469">
        <v>106.5368439307</v>
      </c>
      <c r="N370" s="469">
        <v>109.2222275548</v>
      </c>
      <c r="O370" s="469">
        <v>111.9076111789</v>
      </c>
      <c r="P370" s="469">
        <v>114.592994803</v>
      </c>
      <c r="Q370" s="469">
        <v>117.27837842709999</v>
      </c>
      <c r="R370" s="469">
        <v>119.96376205120001</v>
      </c>
      <c r="T370" s="469">
        <f t="shared" si="34"/>
        <v>103.85146030659998</v>
      </c>
    </row>
    <row r="371" spans="1:20">
      <c r="A371" s="469" t="str">
        <f t="shared" si="31"/>
        <v>KU</v>
      </c>
      <c r="B371" s="469" t="str">
        <f t="shared" si="32"/>
        <v>KY</v>
      </c>
      <c r="C371" s="469" t="str">
        <f t="shared" si="33"/>
        <v>367</v>
      </c>
      <c r="D371" s="470" t="s">
        <v>1847</v>
      </c>
      <c r="E371" s="468" t="str">
        <f t="shared" si="30"/>
        <v/>
      </c>
      <c r="F371" s="469">
        <v>45195.383443049999</v>
      </c>
      <c r="G371" s="469">
        <v>45555.999575180002</v>
      </c>
      <c r="H371" s="469">
        <v>45905.813591919999</v>
      </c>
      <c r="I371" s="469">
        <v>46262.29820343</v>
      </c>
      <c r="J371" s="469">
        <v>46621.719599579999</v>
      </c>
      <c r="K371" s="469">
        <v>46992.050082499998</v>
      </c>
      <c r="L371" s="469">
        <v>47373.642725600002</v>
      </c>
      <c r="M371" s="469">
        <v>47738.544449460001</v>
      </c>
      <c r="N371" s="469">
        <v>48116.171612220001</v>
      </c>
      <c r="O371" s="469">
        <v>48492.513829850002</v>
      </c>
      <c r="P371" s="469">
        <v>48864.360359810002</v>
      </c>
      <c r="Q371" s="469">
        <v>49233.667217850001</v>
      </c>
      <c r="R371" s="469">
        <v>49611.450178710002</v>
      </c>
      <c r="T371" s="469">
        <f t="shared" si="34"/>
        <v>47381.816528396921</v>
      </c>
    </row>
    <row r="372" spans="1:20">
      <c r="A372" s="469" t="str">
        <f t="shared" si="31"/>
        <v>KU</v>
      </c>
      <c r="B372" s="469" t="str">
        <f t="shared" si="32"/>
        <v>VA</v>
      </c>
      <c r="C372" s="469" t="str">
        <f t="shared" si="33"/>
        <v>367</v>
      </c>
      <c r="D372" s="470" t="s">
        <v>1848</v>
      </c>
      <c r="E372" s="468" t="str">
        <f t="shared" si="30"/>
        <v/>
      </c>
      <c r="F372" s="469">
        <v>576.58927412469995</v>
      </c>
      <c r="G372" s="469">
        <v>585.04924742740002</v>
      </c>
      <c r="H372" s="469">
        <v>596.00711570110002</v>
      </c>
      <c r="I372" s="469">
        <v>604.61909116389995</v>
      </c>
      <c r="J372" s="469">
        <v>615.73604406610002</v>
      </c>
      <c r="K372" s="469">
        <v>624.49089398080002</v>
      </c>
      <c r="L372" s="469">
        <v>635.72515559889996</v>
      </c>
      <c r="M372" s="469">
        <v>642.18184266009996</v>
      </c>
      <c r="N372" s="469">
        <v>653.57681219660003</v>
      </c>
      <c r="O372" s="469">
        <v>665.04239152820003</v>
      </c>
      <c r="P372" s="469">
        <v>676.58421759789996</v>
      </c>
      <c r="Q372" s="469">
        <v>685.77849807380005</v>
      </c>
      <c r="R372" s="469">
        <v>697.48139744269997</v>
      </c>
      <c r="T372" s="469">
        <f t="shared" si="34"/>
        <v>635.29707550478463</v>
      </c>
    </row>
    <row r="373" spans="1:20">
      <c r="A373" s="469" t="str">
        <f t="shared" si="31"/>
        <v>KU</v>
      </c>
      <c r="B373" s="469" t="str">
        <f t="shared" si="32"/>
        <v>KY</v>
      </c>
      <c r="C373" s="469" t="str">
        <f t="shared" si="33"/>
        <v>368</v>
      </c>
      <c r="D373" s="470" t="s">
        <v>1849</v>
      </c>
      <c r="E373" s="468" t="str">
        <f t="shared" si="30"/>
        <v/>
      </c>
      <c r="F373" s="469">
        <v>142758.33127836001</v>
      </c>
      <c r="G373" s="469">
        <v>143066.57500844001</v>
      </c>
      <c r="H373" s="469">
        <v>143395.85239640001</v>
      </c>
      <c r="I373" s="469">
        <v>143761.69295602999</v>
      </c>
      <c r="J373" s="469">
        <v>144083.69293799001</v>
      </c>
      <c r="K373" s="469">
        <v>144450.05571901999</v>
      </c>
      <c r="L373" s="469">
        <v>144659.11528281</v>
      </c>
      <c r="M373" s="469">
        <v>145052.08518908999</v>
      </c>
      <c r="N373" s="469">
        <v>145395.28070275899</v>
      </c>
      <c r="O373" s="469">
        <v>145746.10133277901</v>
      </c>
      <c r="P373" s="469">
        <v>146149.69991539</v>
      </c>
      <c r="Q373" s="469">
        <v>146476.50604037</v>
      </c>
      <c r="R373" s="469">
        <v>146749.55327693</v>
      </c>
      <c r="T373" s="469">
        <f t="shared" si="34"/>
        <v>144749.5801566437</v>
      </c>
    </row>
    <row r="374" spans="1:20">
      <c r="A374" s="469" t="str">
        <f t="shared" si="31"/>
        <v>KU</v>
      </c>
      <c r="B374" s="469" t="str">
        <f t="shared" si="32"/>
        <v>TN</v>
      </c>
      <c r="C374" s="469" t="str">
        <f t="shared" si="33"/>
        <v>368</v>
      </c>
      <c r="D374" s="470" t="s">
        <v>1850</v>
      </c>
      <c r="E374" s="468" t="str">
        <f t="shared" si="30"/>
        <v/>
      </c>
      <c r="F374" s="469">
        <v>5.1712748833299997</v>
      </c>
      <c r="G374" s="469">
        <v>5.1759263176630004</v>
      </c>
      <c r="H374" s="469">
        <v>5.1805777519960001</v>
      </c>
      <c r="I374" s="469">
        <v>5.1852291863289999</v>
      </c>
      <c r="J374" s="469">
        <v>5.1898806206619996</v>
      </c>
      <c r="K374" s="469">
        <v>5.1945320549950003</v>
      </c>
      <c r="L374" s="469">
        <v>5.199183489328</v>
      </c>
      <c r="M374" s="469">
        <v>5.2038349236609998</v>
      </c>
      <c r="N374" s="469">
        <v>5.2084863579940004</v>
      </c>
      <c r="O374" s="469">
        <v>5.2131377923270001</v>
      </c>
      <c r="P374" s="469">
        <v>5.2177892266599999</v>
      </c>
      <c r="Q374" s="469">
        <v>5.2224406609929996</v>
      </c>
      <c r="R374" s="469">
        <v>5.2270920953260003</v>
      </c>
      <c r="T374" s="469">
        <f t="shared" si="34"/>
        <v>5.1991834893280009</v>
      </c>
    </row>
    <row r="375" spans="1:20">
      <c r="A375" s="469" t="str">
        <f t="shared" si="31"/>
        <v>KU</v>
      </c>
      <c r="B375" s="469" t="str">
        <f t="shared" si="32"/>
        <v>VA</v>
      </c>
      <c r="C375" s="469" t="str">
        <f t="shared" si="33"/>
        <v>368</v>
      </c>
      <c r="D375" s="470" t="s">
        <v>1851</v>
      </c>
      <c r="E375" s="468" t="str">
        <f t="shared" si="30"/>
        <v/>
      </c>
      <c r="F375" s="469">
        <v>7115.2226353550004</v>
      </c>
      <c r="G375" s="469">
        <v>7134.2013321253999</v>
      </c>
      <c r="H375" s="469">
        <v>7153.1800288958002</v>
      </c>
      <c r="I375" s="469">
        <v>7172.1587256661996</v>
      </c>
      <c r="J375" s="469">
        <v>7191.1374224366</v>
      </c>
      <c r="K375" s="469">
        <v>7210.1161192070003</v>
      </c>
      <c r="L375" s="469">
        <v>7229.0948159773998</v>
      </c>
      <c r="M375" s="469">
        <v>7248.0735127478001</v>
      </c>
      <c r="N375" s="469">
        <v>7267.0522095181996</v>
      </c>
      <c r="O375" s="469">
        <v>7286.0309062885999</v>
      </c>
      <c r="P375" s="469">
        <v>7305.0096030590003</v>
      </c>
      <c r="Q375" s="469">
        <v>7323.9882998293997</v>
      </c>
      <c r="R375" s="469">
        <v>7342.9669965998</v>
      </c>
      <c r="T375" s="469">
        <f t="shared" si="34"/>
        <v>7229.0948159774016</v>
      </c>
    </row>
    <row r="376" spans="1:20">
      <c r="A376" s="469" t="str">
        <f t="shared" si="31"/>
        <v>KU</v>
      </c>
      <c r="B376" s="469" t="str">
        <f t="shared" si="32"/>
        <v>KY</v>
      </c>
      <c r="C376" s="469" t="str">
        <f t="shared" si="33"/>
        <v>369</v>
      </c>
      <c r="D376" s="470" t="s">
        <v>1852</v>
      </c>
      <c r="E376" s="468" t="str">
        <f t="shared" si="30"/>
        <v/>
      </c>
      <c r="F376" s="469">
        <v>60038.194791369999</v>
      </c>
      <c r="G376" s="469">
        <v>60170.30979136</v>
      </c>
      <c r="H376" s="469">
        <v>60302.42479135</v>
      </c>
      <c r="I376" s="469">
        <v>60434.539791340001</v>
      </c>
      <c r="J376" s="469">
        <v>60566.654791330002</v>
      </c>
      <c r="K376" s="469">
        <v>60698.769791320003</v>
      </c>
      <c r="L376" s="469">
        <v>60830.884791310003</v>
      </c>
      <c r="M376" s="469">
        <v>60962.999791299997</v>
      </c>
      <c r="N376" s="469">
        <v>61095.114791289998</v>
      </c>
      <c r="O376" s="469">
        <v>61227.229791279999</v>
      </c>
      <c r="P376" s="469">
        <v>61359.344791269999</v>
      </c>
      <c r="Q376" s="469">
        <v>61491.45979126</v>
      </c>
      <c r="R376" s="469">
        <v>61623.574791250001</v>
      </c>
      <c r="T376" s="469">
        <f t="shared" si="34"/>
        <v>60830.884791309996</v>
      </c>
    </row>
    <row r="377" spans="1:20">
      <c r="A377" s="469" t="str">
        <f t="shared" si="31"/>
        <v>KU</v>
      </c>
      <c r="B377" s="469" t="str">
        <f t="shared" si="32"/>
        <v>TN</v>
      </c>
      <c r="C377" s="469" t="str">
        <f t="shared" si="33"/>
        <v>369</v>
      </c>
      <c r="D377" s="470" t="s">
        <v>1853</v>
      </c>
      <c r="E377" s="468" t="str">
        <f t="shared" si="30"/>
        <v/>
      </c>
      <c r="F377" s="469">
        <v>1.14705732166999</v>
      </c>
      <c r="G377" s="469">
        <v>1.1474031805029901</v>
      </c>
      <c r="H377" s="469">
        <v>1.1477490393359899</v>
      </c>
      <c r="I377" s="469">
        <v>1.14809489816899</v>
      </c>
      <c r="J377" s="469">
        <v>1.1484407570019901</v>
      </c>
      <c r="K377" s="469">
        <v>1.14878661583499</v>
      </c>
      <c r="L377" s="469">
        <v>1.1491324746679901</v>
      </c>
      <c r="M377" s="469">
        <v>1.1494783335009899</v>
      </c>
      <c r="N377" s="469">
        <v>1.14982419233399</v>
      </c>
      <c r="O377" s="469">
        <v>1.1501700511669899</v>
      </c>
      <c r="P377" s="469">
        <v>1.15051590999999</v>
      </c>
      <c r="Q377" s="469">
        <v>1.1508617688329901</v>
      </c>
      <c r="R377" s="469">
        <v>1.1512076276659899</v>
      </c>
      <c r="T377" s="469">
        <f t="shared" si="34"/>
        <v>1.1491324746679901</v>
      </c>
    </row>
    <row r="378" spans="1:20">
      <c r="A378" s="469" t="str">
        <f t="shared" si="31"/>
        <v>KU</v>
      </c>
      <c r="B378" s="469" t="str">
        <f t="shared" si="32"/>
        <v>VA</v>
      </c>
      <c r="C378" s="469" t="str">
        <f t="shared" si="33"/>
        <v>369</v>
      </c>
      <c r="D378" s="470" t="s">
        <v>1854</v>
      </c>
      <c r="E378" s="468" t="str">
        <f t="shared" si="30"/>
        <v/>
      </c>
      <c r="F378" s="469">
        <v>4245.2073870199902</v>
      </c>
      <c r="G378" s="469">
        <v>4252.6768449189904</v>
      </c>
      <c r="H378" s="469">
        <v>4260.1463028179896</v>
      </c>
      <c r="I378" s="469">
        <v>4267.6157607169898</v>
      </c>
      <c r="J378" s="469">
        <v>4275.08521861598</v>
      </c>
      <c r="K378" s="469">
        <v>4282.5546765149802</v>
      </c>
      <c r="L378" s="469">
        <v>4290.0241344139804</v>
      </c>
      <c r="M378" s="469">
        <v>4297.4935923129797</v>
      </c>
      <c r="N378" s="469">
        <v>4304.9630502119799</v>
      </c>
      <c r="O378" s="469">
        <v>4312.4325081109801</v>
      </c>
      <c r="P378" s="469">
        <v>4319.9019660099802</v>
      </c>
      <c r="Q378" s="469">
        <v>4327.3714239089804</v>
      </c>
      <c r="R378" s="469">
        <v>4334.8408818079797</v>
      </c>
      <c r="T378" s="469">
        <f t="shared" si="34"/>
        <v>4290.0241344139831</v>
      </c>
    </row>
    <row r="379" spans="1:20">
      <c r="A379" s="469" t="str">
        <f t="shared" si="31"/>
        <v>KU</v>
      </c>
      <c r="B379" s="469" t="str">
        <f t="shared" si="32"/>
        <v>KY</v>
      </c>
      <c r="C379" s="469" t="str">
        <f t="shared" si="33"/>
        <v>370</v>
      </c>
      <c r="D379" s="470" t="s">
        <v>1855</v>
      </c>
      <c r="E379" s="468" t="str">
        <f t="shared" si="30"/>
        <v/>
      </c>
      <c r="F379" s="469">
        <v>37658.075995400002</v>
      </c>
      <c r="G379" s="469">
        <v>37885.032875370001</v>
      </c>
      <c r="H379" s="469">
        <v>38112.332932980004</v>
      </c>
      <c r="I379" s="469">
        <v>38339.953966729998</v>
      </c>
      <c r="J379" s="469">
        <v>38577.034642680002</v>
      </c>
      <c r="K379" s="469">
        <v>38832.80980019</v>
      </c>
      <c r="L379" s="469">
        <v>39107.210781490001</v>
      </c>
      <c r="M379" s="469">
        <v>37496.506911757999</v>
      </c>
      <c r="N379" s="469">
        <v>36090.839981830199</v>
      </c>
      <c r="O379" s="469">
        <v>34987.273183407196</v>
      </c>
      <c r="P379" s="469">
        <v>31929.2873846804</v>
      </c>
      <c r="Q379" s="469">
        <v>29267.039735982598</v>
      </c>
      <c r="R379" s="469">
        <v>26210.487985696102</v>
      </c>
      <c r="T379" s="469">
        <f t="shared" si="34"/>
        <v>35730.298936784195</v>
      </c>
    </row>
    <row r="380" spans="1:20">
      <c r="A380" s="469" t="str">
        <f t="shared" si="31"/>
        <v>KU</v>
      </c>
      <c r="B380" s="469" t="str">
        <f t="shared" si="32"/>
        <v>TN</v>
      </c>
      <c r="C380" s="469" t="str">
        <f t="shared" si="33"/>
        <v>370</v>
      </c>
      <c r="D380" s="470" t="s">
        <v>1856</v>
      </c>
      <c r="E380" s="468" t="str">
        <f t="shared" si="30"/>
        <v/>
      </c>
      <c r="F380" s="469">
        <v>0.34138492416999999</v>
      </c>
      <c r="G380" s="469">
        <v>0.35620170992</v>
      </c>
      <c r="H380" s="469">
        <v>0.37101849567</v>
      </c>
      <c r="I380" s="469">
        <v>0.38583528142000001</v>
      </c>
      <c r="J380" s="469">
        <v>0.40065206717000001</v>
      </c>
      <c r="K380" s="469">
        <v>0.41546885292000002</v>
      </c>
      <c r="L380" s="469">
        <v>0.43028563867000003</v>
      </c>
      <c r="M380" s="469">
        <v>0.44510242441999998</v>
      </c>
      <c r="N380" s="469">
        <v>0.45991921016999998</v>
      </c>
      <c r="O380" s="469">
        <v>0.47473599591999999</v>
      </c>
      <c r="P380" s="469">
        <v>0.48955278166999999</v>
      </c>
      <c r="Q380" s="469">
        <v>0.50436956742000005</v>
      </c>
      <c r="R380" s="469">
        <v>0.51918635316999995</v>
      </c>
      <c r="T380" s="469">
        <f t="shared" si="34"/>
        <v>0.43028563866999997</v>
      </c>
    </row>
    <row r="381" spans="1:20">
      <c r="A381" s="469" t="str">
        <f t="shared" si="31"/>
        <v>KU</v>
      </c>
      <c r="B381" s="469" t="str">
        <f t="shared" si="32"/>
        <v>VA</v>
      </c>
      <c r="C381" s="469" t="str">
        <f t="shared" si="33"/>
        <v>370</v>
      </c>
      <c r="D381" s="470" t="s">
        <v>1857</v>
      </c>
      <c r="E381" s="468" t="str">
        <f t="shared" si="30"/>
        <v/>
      </c>
      <c r="F381" s="469">
        <v>2796.48661501999</v>
      </c>
      <c r="G381" s="469">
        <v>2808.5919249839899</v>
      </c>
      <c r="H381" s="469">
        <v>2820.6972349479902</v>
      </c>
      <c r="I381" s="469">
        <v>2832.80254491199</v>
      </c>
      <c r="J381" s="469">
        <v>2844.9078548759899</v>
      </c>
      <c r="K381" s="469">
        <v>2857.0131648399902</v>
      </c>
      <c r="L381" s="469">
        <v>2869.11847480399</v>
      </c>
      <c r="M381" s="469">
        <v>2881.2237847679899</v>
      </c>
      <c r="N381" s="469">
        <v>2893.3290947319902</v>
      </c>
      <c r="O381" s="469">
        <v>2905.43440469599</v>
      </c>
      <c r="P381" s="469">
        <v>2917.5397146599898</v>
      </c>
      <c r="Q381" s="469">
        <v>2929.6450246239901</v>
      </c>
      <c r="R381" s="469">
        <v>2941.75033458799</v>
      </c>
      <c r="T381" s="469">
        <f t="shared" si="34"/>
        <v>2869.1184748039896</v>
      </c>
    </row>
    <row r="382" spans="1:20">
      <c r="A382" s="469" t="str">
        <f t="shared" si="31"/>
        <v>KU</v>
      </c>
      <c r="B382" s="469" t="str">
        <f t="shared" si="32"/>
        <v>KY</v>
      </c>
      <c r="C382" s="469" t="str">
        <f t="shared" si="33"/>
        <v>371</v>
      </c>
      <c r="D382" s="470" t="s">
        <v>1858</v>
      </c>
      <c r="E382" s="468" t="str">
        <f t="shared" si="30"/>
        <v/>
      </c>
      <c r="F382" s="469">
        <v>-2.8729487919180001</v>
      </c>
      <c r="G382" s="469">
        <v>-2.7665068757100002</v>
      </c>
      <c r="H382" s="469">
        <v>-2.6565684302519998</v>
      </c>
      <c r="I382" s="469">
        <v>-2.5431334555439999</v>
      </c>
      <c r="J382" s="469">
        <v>-2.426201951586</v>
      </c>
      <c r="K382" s="469">
        <v>-2.3057739183780002</v>
      </c>
      <c r="L382" s="469">
        <v>-2.1818493559199998</v>
      </c>
      <c r="M382" s="469">
        <v>-2.054667501795</v>
      </c>
      <c r="N382" s="469">
        <v>-1.9244675935869999</v>
      </c>
      <c r="O382" s="469">
        <v>-1.7912496312949999</v>
      </c>
      <c r="P382" s="469">
        <v>-1.6550136149199901</v>
      </c>
      <c r="Q382" s="469">
        <v>-1.51575954446199</v>
      </c>
      <c r="R382" s="469">
        <v>-1.37348741991999</v>
      </c>
      <c r="T382" s="469">
        <f t="shared" si="34"/>
        <v>-2.1590483142528436</v>
      </c>
    </row>
    <row r="383" spans="1:20">
      <c r="A383" s="469" t="str">
        <f t="shared" si="31"/>
        <v>KU</v>
      </c>
      <c r="B383" s="469" t="str">
        <f t="shared" si="32"/>
        <v>VA</v>
      </c>
      <c r="C383" s="469" t="str">
        <f t="shared" si="33"/>
        <v>371</v>
      </c>
      <c r="D383" s="470" t="s">
        <v>1859</v>
      </c>
      <c r="E383" s="468" t="str">
        <f t="shared" si="30"/>
        <v/>
      </c>
      <c r="F383" s="469">
        <v>0</v>
      </c>
      <c r="G383" s="469">
        <v>0</v>
      </c>
      <c r="H383" s="469">
        <v>0</v>
      </c>
      <c r="I383" s="469">
        <v>0</v>
      </c>
      <c r="J383" s="469">
        <v>0</v>
      </c>
      <c r="K383" s="469">
        <v>0</v>
      </c>
      <c r="L383" s="469">
        <v>0</v>
      </c>
      <c r="M383" s="469">
        <v>0</v>
      </c>
      <c r="N383" s="469">
        <v>0</v>
      </c>
      <c r="O383" s="469">
        <v>0</v>
      </c>
      <c r="P383" s="469">
        <v>0</v>
      </c>
      <c r="Q383" s="469">
        <v>0</v>
      </c>
      <c r="R383" s="469">
        <v>0</v>
      </c>
      <c r="T383" s="469">
        <f t="shared" si="34"/>
        <v>0</v>
      </c>
    </row>
    <row r="384" spans="1:20">
      <c r="A384" s="469" t="str">
        <f t="shared" si="31"/>
        <v>KU</v>
      </c>
      <c r="B384" s="469" t="str">
        <f t="shared" si="32"/>
        <v>KY</v>
      </c>
      <c r="C384" s="469" t="str">
        <f t="shared" si="33"/>
        <v>373</v>
      </c>
      <c r="D384" s="470" t="s">
        <v>1860</v>
      </c>
      <c r="E384" s="468" t="str">
        <f t="shared" si="30"/>
        <v/>
      </c>
      <c r="F384" s="469">
        <v>35871.701976359996</v>
      </c>
      <c r="G384" s="469">
        <v>35947.925878330003</v>
      </c>
      <c r="H384" s="469">
        <v>36084.885472279901</v>
      </c>
      <c r="I384" s="469">
        <v>36267.32802085</v>
      </c>
      <c r="J384" s="469">
        <v>36372.085204149997</v>
      </c>
      <c r="K384" s="469">
        <v>36561.99832305</v>
      </c>
      <c r="L384" s="469">
        <v>36443.880786789901</v>
      </c>
      <c r="M384" s="469">
        <v>36666.8043924999</v>
      </c>
      <c r="N384" s="469">
        <v>36811.902964809997</v>
      </c>
      <c r="O384" s="469">
        <v>36954.079290309899</v>
      </c>
      <c r="P384" s="469">
        <v>37218.53280162</v>
      </c>
      <c r="Q384" s="469">
        <v>37318.359501069899</v>
      </c>
      <c r="R384" s="469">
        <v>37324.975421169998</v>
      </c>
      <c r="T384" s="469">
        <f t="shared" si="34"/>
        <v>36603.420002560735</v>
      </c>
    </row>
    <row r="385" spans="1:20">
      <c r="A385" s="469" t="str">
        <f t="shared" si="31"/>
        <v>KU</v>
      </c>
      <c r="B385" s="469" t="str">
        <f t="shared" si="32"/>
        <v>VA</v>
      </c>
      <c r="C385" s="469" t="str">
        <f t="shared" si="33"/>
        <v>373</v>
      </c>
      <c r="D385" s="470" t="s">
        <v>1861</v>
      </c>
      <c r="E385" s="468" t="str">
        <f t="shared" si="30"/>
        <v/>
      </c>
      <c r="F385" s="469">
        <v>1680.8425481239999</v>
      </c>
      <c r="G385" s="469">
        <v>1691.0950577942001</v>
      </c>
      <c r="H385" s="469">
        <v>1701.4065844308</v>
      </c>
      <c r="I385" s="469">
        <v>1709.3571080347999</v>
      </c>
      <c r="J385" s="469">
        <v>1719.7966686062</v>
      </c>
      <c r="K385" s="469">
        <v>1732.7224744739001</v>
      </c>
      <c r="L385" s="469">
        <v>1745.6995139025</v>
      </c>
      <c r="M385" s="469">
        <v>1758.7296409351</v>
      </c>
      <c r="N385" s="469">
        <v>1770.5326976824999</v>
      </c>
      <c r="O385" s="469">
        <v>1782.3889273527</v>
      </c>
      <c r="P385" s="469">
        <v>1795.5866634188999</v>
      </c>
      <c r="Q385" s="469">
        <v>1805.1406193527</v>
      </c>
      <c r="R385" s="469">
        <v>1818.4731602869999</v>
      </c>
      <c r="T385" s="469">
        <f t="shared" si="34"/>
        <v>1747.0593587996386</v>
      </c>
    </row>
    <row r="386" spans="1:20">
      <c r="A386" s="469" t="str">
        <f t="shared" si="31"/>
        <v>KU</v>
      </c>
      <c r="B386" s="469" t="str">
        <f t="shared" si="32"/>
        <v>KY</v>
      </c>
      <c r="C386" s="469" t="str">
        <f t="shared" si="33"/>
        <v>374</v>
      </c>
      <c r="D386" s="470" t="s">
        <v>1862</v>
      </c>
      <c r="E386" s="468" t="str">
        <f t="shared" si="30"/>
        <v>ARO</v>
      </c>
      <c r="F386" s="469">
        <v>137.24498</v>
      </c>
      <c r="G386" s="469">
        <v>139.12951000000001</v>
      </c>
      <c r="H386" s="469">
        <v>141.01403999999999</v>
      </c>
      <c r="I386" s="469">
        <v>142.89857000000001</v>
      </c>
      <c r="J386" s="469">
        <v>144.78309999999999</v>
      </c>
      <c r="K386" s="469">
        <v>146.66763</v>
      </c>
      <c r="L386" s="469">
        <v>148.55215999999999</v>
      </c>
      <c r="M386" s="469">
        <v>150.43669</v>
      </c>
      <c r="N386" s="469">
        <v>152.32122000000001</v>
      </c>
      <c r="O386" s="469">
        <v>154.20574999999999</v>
      </c>
      <c r="P386" s="469">
        <v>156.09028000000001</v>
      </c>
      <c r="Q386" s="469">
        <v>157.97480999999999</v>
      </c>
      <c r="R386" s="469">
        <v>159.85934</v>
      </c>
      <c r="T386" s="469">
        <f t="shared" si="34"/>
        <v>148.55215999999999</v>
      </c>
    </row>
    <row r="387" spans="1:20">
      <c r="A387" s="469" t="str">
        <f t="shared" si="31"/>
        <v>KU</v>
      </c>
      <c r="B387" s="469" t="str">
        <f t="shared" si="32"/>
        <v>KY</v>
      </c>
      <c r="C387" s="469" t="str">
        <f t="shared" si="33"/>
        <v>389</v>
      </c>
      <c r="D387" s="470" t="s">
        <v>1863</v>
      </c>
      <c r="E387" s="468" t="str">
        <f t="shared" si="30"/>
        <v/>
      </c>
      <c r="F387" s="469">
        <v>-17.05</v>
      </c>
      <c r="G387" s="469">
        <v>-17.05</v>
      </c>
      <c r="H387" s="469">
        <v>-17.05</v>
      </c>
      <c r="I387" s="469">
        <v>-17.05</v>
      </c>
      <c r="J387" s="469">
        <v>-17.05</v>
      </c>
      <c r="K387" s="469">
        <v>-17.05</v>
      </c>
      <c r="L387" s="469">
        <v>-17.05</v>
      </c>
      <c r="M387" s="469">
        <v>-17.05</v>
      </c>
      <c r="N387" s="469">
        <v>-17.05</v>
      </c>
      <c r="O387" s="469">
        <v>-17.05</v>
      </c>
      <c r="P387" s="469">
        <v>-17.05</v>
      </c>
      <c r="Q387" s="469">
        <v>-17.05</v>
      </c>
      <c r="R387" s="469">
        <v>-17.05</v>
      </c>
      <c r="T387" s="469">
        <f t="shared" si="34"/>
        <v>-17.050000000000004</v>
      </c>
    </row>
    <row r="388" spans="1:20">
      <c r="A388" s="469" t="str">
        <f t="shared" si="31"/>
        <v>KU</v>
      </c>
      <c r="B388" s="469" t="str">
        <f t="shared" si="32"/>
        <v>KY</v>
      </c>
      <c r="C388" s="469" t="str">
        <f t="shared" si="33"/>
        <v>390</v>
      </c>
      <c r="D388" s="470" t="s">
        <v>1865</v>
      </c>
      <c r="E388" s="468" t="str">
        <f t="shared" si="30"/>
        <v/>
      </c>
      <c r="F388" s="469">
        <v>794.23610489668999</v>
      </c>
      <c r="G388" s="469">
        <v>799.02648849161096</v>
      </c>
      <c r="H388" s="469">
        <v>803.81687208653204</v>
      </c>
      <c r="I388" s="469">
        <v>808.60725568145301</v>
      </c>
      <c r="J388" s="469">
        <v>813.39763927637398</v>
      </c>
      <c r="K388" s="469">
        <v>818.18802287129495</v>
      </c>
      <c r="L388" s="469">
        <v>822.97840646621603</v>
      </c>
      <c r="M388" s="469">
        <v>827.768790061137</v>
      </c>
      <c r="N388" s="469">
        <v>832.55917365605796</v>
      </c>
      <c r="O388" s="469">
        <v>837.34955725097905</v>
      </c>
      <c r="P388" s="469">
        <v>842.13994084590001</v>
      </c>
      <c r="Q388" s="469">
        <v>846.93032444082098</v>
      </c>
      <c r="R388" s="469">
        <v>851.72070803574195</v>
      </c>
      <c r="T388" s="469">
        <f t="shared" si="34"/>
        <v>822.97840646621603</v>
      </c>
    </row>
    <row r="389" spans="1:20">
      <c r="A389" s="469" t="str">
        <f t="shared" si="31"/>
        <v>KU</v>
      </c>
      <c r="B389" s="469" t="str">
        <f t="shared" si="32"/>
        <v>KY</v>
      </c>
      <c r="C389" s="469" t="str">
        <f t="shared" si="33"/>
        <v>390</v>
      </c>
      <c r="D389" s="470" t="s">
        <v>1866</v>
      </c>
      <c r="E389" s="468" t="str">
        <f t="shared" si="30"/>
        <v/>
      </c>
      <c r="F389" s="469">
        <v>11670.950798444001</v>
      </c>
      <c r="G389" s="469">
        <v>11791.820611658501</v>
      </c>
      <c r="H389" s="469">
        <v>11914.179812377</v>
      </c>
      <c r="I389" s="469">
        <v>12036.804383578499</v>
      </c>
      <c r="J389" s="469">
        <v>12159.69128777</v>
      </c>
      <c r="K389" s="469">
        <v>12282.8870044615</v>
      </c>
      <c r="L389" s="469">
        <v>12386.845234033</v>
      </c>
      <c r="M389" s="469">
        <v>12521.3766389745</v>
      </c>
      <c r="N389" s="469">
        <v>12655.908043916001</v>
      </c>
      <c r="O389" s="469">
        <v>12790.5036002775</v>
      </c>
      <c r="P389" s="469">
        <v>12925.315183069</v>
      </c>
      <c r="Q389" s="469">
        <v>13060.278640860501</v>
      </c>
      <c r="R389" s="469">
        <v>13170.269152532001</v>
      </c>
      <c r="T389" s="469">
        <f t="shared" si="34"/>
        <v>12412.833107073231</v>
      </c>
    </row>
    <row r="390" spans="1:20">
      <c r="A390" s="469" t="str">
        <f t="shared" si="31"/>
        <v>KU</v>
      </c>
      <c r="B390" s="469" t="str">
        <f t="shared" si="32"/>
        <v>VA</v>
      </c>
      <c r="C390" s="469" t="str">
        <f t="shared" si="33"/>
        <v>390</v>
      </c>
      <c r="D390" s="470" t="s">
        <v>1867</v>
      </c>
      <c r="E390" s="468" t="str">
        <f t="shared" si="30"/>
        <v/>
      </c>
      <c r="F390" s="469">
        <v>-342.52968932572998</v>
      </c>
      <c r="G390" s="469">
        <v>-330.043275829393</v>
      </c>
      <c r="H390" s="469">
        <v>-317.55686233305602</v>
      </c>
      <c r="I390" s="469">
        <v>-305.07044883671898</v>
      </c>
      <c r="J390" s="469">
        <v>-292.584035340382</v>
      </c>
      <c r="K390" s="469">
        <v>-280.09762184404502</v>
      </c>
      <c r="L390" s="469">
        <v>-267.61120834770799</v>
      </c>
      <c r="M390" s="469">
        <v>-255.12479485137101</v>
      </c>
      <c r="N390" s="469">
        <v>-242.638381355034</v>
      </c>
      <c r="O390" s="469">
        <v>-230.15196785869699</v>
      </c>
      <c r="P390" s="469">
        <v>-217.66555436236001</v>
      </c>
      <c r="Q390" s="469">
        <v>-205.179140866023</v>
      </c>
      <c r="R390" s="469">
        <v>-192.692727369686</v>
      </c>
      <c r="T390" s="469">
        <f t="shared" si="34"/>
        <v>-267.61120834770799</v>
      </c>
    </row>
    <row r="391" spans="1:20">
      <c r="A391" s="469" t="str">
        <f t="shared" si="31"/>
        <v>KU</v>
      </c>
      <c r="B391" s="469" t="str">
        <f t="shared" si="32"/>
        <v>KY</v>
      </c>
      <c r="C391" s="469" t="str">
        <f t="shared" si="33"/>
        <v>391</v>
      </c>
      <c r="D391" s="470" t="s">
        <v>1868</v>
      </c>
      <c r="E391" s="468" t="str">
        <f t="shared" si="30"/>
        <v/>
      </c>
      <c r="F391" s="469">
        <v>721.20355999000003</v>
      </c>
      <c r="G391" s="469">
        <v>831.52145528999995</v>
      </c>
      <c r="H391" s="469">
        <v>905.97051528999998</v>
      </c>
      <c r="I391" s="469">
        <v>293.48464529</v>
      </c>
      <c r="J391" s="469">
        <v>390.24826940999998</v>
      </c>
      <c r="K391" s="469">
        <v>489.05505488</v>
      </c>
      <c r="L391" s="469">
        <v>603.83485238000003</v>
      </c>
      <c r="M391" s="469">
        <v>734.09627957999999</v>
      </c>
      <c r="N391" s="469">
        <v>788.12030377999997</v>
      </c>
      <c r="O391" s="469">
        <v>917.22279828000001</v>
      </c>
      <c r="P391" s="469">
        <v>1046.5702458799999</v>
      </c>
      <c r="Q391" s="469">
        <v>1176.17458328</v>
      </c>
      <c r="R391" s="469">
        <v>1306.0358103799999</v>
      </c>
      <c r="T391" s="469">
        <f t="shared" si="34"/>
        <v>784.88756720846141</v>
      </c>
    </row>
    <row r="392" spans="1:20">
      <c r="A392" s="469" t="str">
        <f t="shared" si="31"/>
        <v>KU</v>
      </c>
      <c r="B392" s="469" t="str">
        <f t="shared" si="32"/>
        <v>KY</v>
      </c>
      <c r="C392" s="469" t="str">
        <f t="shared" si="33"/>
        <v>391</v>
      </c>
      <c r="D392" s="470" t="s">
        <v>1869</v>
      </c>
      <c r="E392" s="468" t="str">
        <f t="shared" si="30"/>
        <v/>
      </c>
      <c r="F392" s="469">
        <v>20218.549616299901</v>
      </c>
      <c r="G392" s="469">
        <v>20477.724471309899</v>
      </c>
      <c r="H392" s="469">
        <v>20635.8016376499</v>
      </c>
      <c r="I392" s="469">
        <v>20892.072970759898</v>
      </c>
      <c r="J392" s="469">
        <v>20989.213250389901</v>
      </c>
      <c r="K392" s="469">
        <v>21265.414903229899</v>
      </c>
      <c r="L392" s="469">
        <v>21499.8407525699</v>
      </c>
      <c r="M392" s="469">
        <v>21668.097228409901</v>
      </c>
      <c r="N392" s="469">
        <v>21590.819808189899</v>
      </c>
      <c r="O392" s="469">
        <v>21762.291701479899</v>
      </c>
      <c r="P392" s="469">
        <v>21157.3989168199</v>
      </c>
      <c r="Q392" s="469">
        <v>20951.740769799901</v>
      </c>
      <c r="R392" s="469">
        <v>21193.930574879902</v>
      </c>
      <c r="T392" s="469">
        <f t="shared" si="34"/>
        <v>21100.222815522207</v>
      </c>
    </row>
    <row r="393" spans="1:20">
      <c r="A393" s="469" t="str">
        <f t="shared" si="31"/>
        <v>KU</v>
      </c>
      <c r="B393" s="469" t="str">
        <f t="shared" si="32"/>
        <v>VA</v>
      </c>
      <c r="C393" s="469" t="str">
        <f t="shared" si="33"/>
        <v>391</v>
      </c>
      <c r="D393" s="470" t="s">
        <v>1870</v>
      </c>
      <c r="E393" s="468" t="str">
        <f t="shared" si="30"/>
        <v/>
      </c>
      <c r="F393" s="469">
        <v>0.83260000000000001</v>
      </c>
      <c r="G393" s="469">
        <v>0.83260000000000001</v>
      </c>
      <c r="H393" s="469">
        <v>0.83260000000000001</v>
      </c>
      <c r="I393" s="469">
        <v>0.83260000000000001</v>
      </c>
      <c r="J393" s="469">
        <v>0.83260000000000001</v>
      </c>
      <c r="K393" s="469">
        <v>0.83260000000000001</v>
      </c>
      <c r="L393" s="469">
        <v>0.83260000000000001</v>
      </c>
      <c r="M393" s="469">
        <v>0.83260000000000001</v>
      </c>
      <c r="N393" s="469">
        <v>0.83260000000000001</v>
      </c>
      <c r="O393" s="469">
        <v>0.83260000000000001</v>
      </c>
      <c r="P393" s="469">
        <v>0.83260000000000001</v>
      </c>
      <c r="Q393" s="469">
        <v>0.83260000000000001</v>
      </c>
      <c r="R393" s="469">
        <v>0.83260000000000001</v>
      </c>
      <c r="T393" s="469">
        <f t="shared" si="34"/>
        <v>0.8325999999999999</v>
      </c>
    </row>
    <row r="394" spans="1:20">
      <c r="A394" s="469" t="str">
        <f t="shared" si="31"/>
        <v>KU</v>
      </c>
      <c r="B394" s="469" t="str">
        <f t="shared" si="32"/>
        <v>KY</v>
      </c>
      <c r="C394" s="469" t="str">
        <f t="shared" si="33"/>
        <v>392</v>
      </c>
      <c r="D394" s="470" t="s">
        <v>1871</v>
      </c>
      <c r="E394" s="468" t="str">
        <f t="shared" si="30"/>
        <v>ECR</v>
      </c>
      <c r="F394" s="469">
        <v>46.126722330999996</v>
      </c>
      <c r="G394" s="469">
        <v>46.3651964783</v>
      </c>
      <c r="H394" s="469">
        <v>46.603670625600003</v>
      </c>
      <c r="I394" s="469">
        <v>46.842144772900006</v>
      </c>
      <c r="J394" s="469">
        <v>47.08061892020001</v>
      </c>
      <c r="K394" s="469">
        <v>47.727401834200009</v>
      </c>
      <c r="L394" s="469">
        <v>48.782493515200009</v>
      </c>
      <c r="M394" s="469">
        <v>49.83758519620001</v>
      </c>
      <c r="N394" s="469">
        <v>50.89267687720001</v>
      </c>
      <c r="O394" s="469">
        <v>51.947768558200011</v>
      </c>
      <c r="P394" s="469">
        <v>53.002860239200011</v>
      </c>
      <c r="Q394" s="469">
        <v>54.057951920200011</v>
      </c>
      <c r="R394" s="469">
        <v>55.113043601200012</v>
      </c>
      <c r="T394" s="469">
        <f t="shared" si="34"/>
        <v>49.567702682276938</v>
      </c>
    </row>
    <row r="395" spans="1:20">
      <c r="A395" s="469" t="str">
        <f t="shared" si="31"/>
        <v>KU</v>
      </c>
      <c r="B395" s="469" t="str">
        <f t="shared" si="32"/>
        <v>KY</v>
      </c>
      <c r="C395" s="469" t="str">
        <f t="shared" si="33"/>
        <v>392</v>
      </c>
      <c r="D395" s="470" t="s">
        <v>3311</v>
      </c>
      <c r="E395" s="468" t="str">
        <f t="shared" si="30"/>
        <v/>
      </c>
      <c r="F395" s="469">
        <v>-9.2766099999999891</v>
      </c>
      <c r="G395" s="469">
        <v>-9.2766099999999891</v>
      </c>
      <c r="H395" s="469">
        <v>-9.2766099999999891</v>
      </c>
      <c r="I395" s="469">
        <v>-9.2766099999999891</v>
      </c>
      <c r="J395" s="469">
        <v>-9.2766099999999891</v>
      </c>
      <c r="K395" s="469">
        <v>-9.2766099999999891</v>
      </c>
      <c r="L395" s="469">
        <v>-9.2766099999999891</v>
      </c>
      <c r="M395" s="469">
        <v>-9.2766099999999891</v>
      </c>
      <c r="N395" s="469">
        <v>-9.2766099999999891</v>
      </c>
      <c r="O395" s="469">
        <v>-9.2766099999999891</v>
      </c>
      <c r="P395" s="469">
        <v>-9.2766099999999891</v>
      </c>
      <c r="Q395" s="469">
        <v>-9.2766099999999891</v>
      </c>
      <c r="R395" s="469">
        <v>-9.2766099999999891</v>
      </c>
      <c r="T395" s="469">
        <f t="shared" ref="T395" si="35">SUM(F395:R395)/13</f>
        <v>-9.2766099999999891</v>
      </c>
    </row>
    <row r="396" spans="1:20">
      <c r="A396" s="469" t="str">
        <f t="shared" si="31"/>
        <v>KU</v>
      </c>
      <c r="B396" s="469" t="str">
        <f t="shared" si="32"/>
        <v>KY</v>
      </c>
      <c r="C396" s="469" t="str">
        <f t="shared" si="33"/>
        <v>392</v>
      </c>
      <c r="D396" s="470" t="s">
        <v>1872</v>
      </c>
      <c r="E396" s="468" t="str">
        <f t="shared" si="30"/>
        <v/>
      </c>
      <c r="F396" s="469">
        <v>3733.3737293899899</v>
      </c>
      <c r="G396" s="469">
        <v>3751.0047628439902</v>
      </c>
      <c r="H396" s="469">
        <v>3768.6357962979901</v>
      </c>
      <c r="I396" s="469">
        <v>3786.2668297519899</v>
      </c>
      <c r="J396" s="469">
        <v>3803.8978632059898</v>
      </c>
      <c r="K396" s="469">
        <v>3821.5288966599901</v>
      </c>
      <c r="L396" s="469">
        <v>3839.15993011399</v>
      </c>
      <c r="M396" s="469">
        <v>3856.7909635679898</v>
      </c>
      <c r="N396" s="469">
        <v>3874.4219970219901</v>
      </c>
      <c r="O396" s="469">
        <v>3892.05303047599</v>
      </c>
      <c r="P396" s="469">
        <v>3909.6840639299899</v>
      </c>
      <c r="Q396" s="469">
        <v>3927.3150973839902</v>
      </c>
      <c r="R396" s="469">
        <v>3944.94613083799</v>
      </c>
      <c r="T396" s="469">
        <f t="shared" si="34"/>
        <v>3839.15993011399</v>
      </c>
    </row>
    <row r="397" spans="1:20">
      <c r="A397" s="469" t="str">
        <f t="shared" si="31"/>
        <v>KU</v>
      </c>
      <c r="B397" s="469" t="str">
        <f t="shared" si="32"/>
        <v>KY</v>
      </c>
      <c r="C397" s="469" t="str">
        <f t="shared" si="33"/>
        <v>393</v>
      </c>
      <c r="D397" s="470" t="s">
        <v>1873</v>
      </c>
      <c r="E397" s="468" t="str">
        <f t="shared" si="30"/>
        <v/>
      </c>
      <c r="F397" s="469">
        <v>423.12760860999902</v>
      </c>
      <c r="G397" s="469">
        <v>428.66103199999901</v>
      </c>
      <c r="H397" s="469">
        <v>434.19445538999901</v>
      </c>
      <c r="I397" s="469">
        <v>439.727878779999</v>
      </c>
      <c r="J397" s="469">
        <v>445.261302169999</v>
      </c>
      <c r="K397" s="469">
        <v>450.79472555999899</v>
      </c>
      <c r="L397" s="469">
        <v>456.32814894999899</v>
      </c>
      <c r="M397" s="469">
        <v>461.86157233999899</v>
      </c>
      <c r="N397" s="469">
        <v>467.39499572999898</v>
      </c>
      <c r="O397" s="469">
        <v>472.92841911999898</v>
      </c>
      <c r="P397" s="469">
        <v>478.46184250999897</v>
      </c>
      <c r="Q397" s="469">
        <v>483.99526589999903</v>
      </c>
      <c r="R397" s="469">
        <v>489.52868928999902</v>
      </c>
      <c r="T397" s="469">
        <f t="shared" si="34"/>
        <v>456.32814894999899</v>
      </c>
    </row>
    <row r="398" spans="1:20">
      <c r="A398" s="469" t="str">
        <f t="shared" si="31"/>
        <v>KU</v>
      </c>
      <c r="B398" s="469" t="str">
        <f t="shared" si="32"/>
        <v>VA</v>
      </c>
      <c r="C398" s="469" t="str">
        <f t="shared" si="33"/>
        <v>393</v>
      </c>
      <c r="D398" s="470" t="s">
        <v>1874</v>
      </c>
      <c r="E398" s="468" t="str">
        <f t="shared" si="30"/>
        <v/>
      </c>
      <c r="F398" s="469">
        <v>3.6070027950000001</v>
      </c>
      <c r="G398" s="469">
        <v>3.623598935</v>
      </c>
      <c r="H398" s="469">
        <v>3.6401950749999998</v>
      </c>
      <c r="I398" s="469">
        <v>3.6567912150000002</v>
      </c>
      <c r="J398" s="469">
        <v>3.673387355</v>
      </c>
      <c r="K398" s="469">
        <v>3.6899834949999999</v>
      </c>
      <c r="L398" s="469">
        <v>3.70657963499999</v>
      </c>
      <c r="M398" s="469">
        <v>3.7231757749999899</v>
      </c>
      <c r="N398" s="469">
        <v>3.7397719149999902</v>
      </c>
      <c r="O398" s="469">
        <v>3.75636805499999</v>
      </c>
      <c r="P398" s="469">
        <v>3.7729641949999899</v>
      </c>
      <c r="Q398" s="469">
        <v>3.7895603349999898</v>
      </c>
      <c r="R398" s="469">
        <v>3.8061564749999901</v>
      </c>
      <c r="T398" s="469">
        <f t="shared" si="34"/>
        <v>3.7065796349999944</v>
      </c>
    </row>
    <row r="399" spans="1:20">
      <c r="A399" s="469" t="str">
        <f t="shared" si="31"/>
        <v>KU</v>
      </c>
      <c r="B399" s="469" t="str">
        <f t="shared" si="32"/>
        <v>KY</v>
      </c>
      <c r="C399" s="469" t="str">
        <f t="shared" si="33"/>
        <v>394</v>
      </c>
      <c r="D399" s="470" t="s">
        <v>1875</v>
      </c>
      <c r="E399" s="468" t="str">
        <f t="shared" si="30"/>
        <v/>
      </c>
      <c r="F399" s="469">
        <v>4078.1315007500002</v>
      </c>
      <c r="G399" s="469">
        <v>4109.0313112800004</v>
      </c>
      <c r="H399" s="469">
        <v>4143.1260906799998</v>
      </c>
      <c r="I399" s="469">
        <v>3993.5990525299999</v>
      </c>
      <c r="J399" s="469">
        <v>4030.8401804499999</v>
      </c>
      <c r="K399" s="469">
        <v>4070.5494497700001</v>
      </c>
      <c r="L399" s="469">
        <v>4106.56361122</v>
      </c>
      <c r="M399" s="469">
        <v>4150.9619400299998</v>
      </c>
      <c r="N399" s="469">
        <v>4195.4456740200003</v>
      </c>
      <c r="O399" s="469">
        <v>4239.99563433</v>
      </c>
      <c r="P399" s="469">
        <v>4284.6386712100002</v>
      </c>
      <c r="Q399" s="469">
        <v>4329.3747846599999</v>
      </c>
      <c r="R399" s="469">
        <v>4374.1771244199999</v>
      </c>
      <c r="T399" s="469">
        <f t="shared" si="34"/>
        <v>4162.0334634884621</v>
      </c>
    </row>
    <row r="400" spans="1:20">
      <c r="A400" s="469" t="str">
        <f t="shared" si="31"/>
        <v>KU</v>
      </c>
      <c r="B400" s="469" t="str">
        <f t="shared" si="32"/>
        <v>VA</v>
      </c>
      <c r="C400" s="469" t="str">
        <f t="shared" si="33"/>
        <v>394</v>
      </c>
      <c r="D400" s="470" t="s">
        <v>1876</v>
      </c>
      <c r="E400" s="468" t="str">
        <f t="shared" si="30"/>
        <v/>
      </c>
      <c r="F400" s="469">
        <v>195.19110386599999</v>
      </c>
      <c r="G400" s="469">
        <v>196.886333226</v>
      </c>
      <c r="H400" s="469">
        <v>198.58891446300001</v>
      </c>
      <c r="I400" s="469">
        <v>200.29884757600001</v>
      </c>
      <c r="J400" s="469">
        <v>202.01613256600001</v>
      </c>
      <c r="K400" s="469">
        <v>203.74076943200001</v>
      </c>
      <c r="L400" s="469">
        <v>205.472758175</v>
      </c>
      <c r="M400" s="469">
        <v>207.212738075</v>
      </c>
      <c r="N400" s="469">
        <v>208.96134841200001</v>
      </c>
      <c r="O400" s="469">
        <v>210.71858918699999</v>
      </c>
      <c r="P400" s="469">
        <v>212.484460399</v>
      </c>
      <c r="Q400" s="469">
        <v>214.25896204899999</v>
      </c>
      <c r="R400" s="469">
        <v>216.042094136</v>
      </c>
      <c r="T400" s="469">
        <f t="shared" si="34"/>
        <v>205.528696274</v>
      </c>
    </row>
    <row r="401" spans="1:20">
      <c r="A401" s="469" t="str">
        <f t="shared" si="31"/>
        <v>KU</v>
      </c>
      <c r="B401" s="469" t="str">
        <f t="shared" si="32"/>
        <v>KY</v>
      </c>
      <c r="C401" s="469" t="str">
        <f t="shared" si="33"/>
        <v>396</v>
      </c>
      <c r="D401" s="470" t="s">
        <v>1877</v>
      </c>
      <c r="E401" s="468" t="str">
        <f t="shared" si="30"/>
        <v/>
      </c>
      <c r="F401" s="469">
        <v>940.07476299999905</v>
      </c>
      <c r="G401" s="469">
        <v>949.90858564599898</v>
      </c>
      <c r="H401" s="469">
        <v>959.74240829199903</v>
      </c>
      <c r="I401" s="469">
        <v>969.57623093799896</v>
      </c>
      <c r="J401" s="469">
        <v>979.410053583999</v>
      </c>
      <c r="K401" s="469">
        <v>989.24387622999996</v>
      </c>
      <c r="L401" s="469">
        <v>999.077698876</v>
      </c>
      <c r="M401" s="469">
        <v>1008.911521522</v>
      </c>
      <c r="N401" s="469">
        <v>1018.745344168</v>
      </c>
      <c r="O401" s="469">
        <v>1028.579166814</v>
      </c>
      <c r="P401" s="469">
        <v>1038.4129894600001</v>
      </c>
      <c r="Q401" s="469">
        <v>1048.2468121060001</v>
      </c>
      <c r="R401" s="469">
        <v>1058.0806347519999</v>
      </c>
      <c r="T401" s="469">
        <f t="shared" si="34"/>
        <v>999.07769887599977</v>
      </c>
    </row>
    <row r="402" spans="1:20">
      <c r="A402" s="469" t="str">
        <f t="shared" si="31"/>
        <v>KU</v>
      </c>
      <c r="B402" s="469" t="str">
        <f t="shared" si="32"/>
        <v>VA</v>
      </c>
      <c r="C402" s="469" t="str">
        <f t="shared" si="33"/>
        <v>396</v>
      </c>
      <c r="D402" s="470" t="s">
        <v>1878</v>
      </c>
      <c r="E402" s="468" t="str">
        <f t="shared" si="30"/>
        <v/>
      </c>
      <c r="F402" s="469">
        <v>106.29478035</v>
      </c>
      <c r="G402" s="469">
        <v>107.623835783</v>
      </c>
      <c r="H402" s="469">
        <v>108.952891216</v>
      </c>
      <c r="I402" s="469">
        <v>110.28194664900001</v>
      </c>
      <c r="J402" s="469">
        <v>111.611002082</v>
      </c>
      <c r="K402" s="469">
        <v>112.94005751500001</v>
      </c>
      <c r="L402" s="469">
        <v>114.269112948</v>
      </c>
      <c r="M402" s="469">
        <v>115.59816838099999</v>
      </c>
      <c r="N402" s="469">
        <v>116.927223814</v>
      </c>
      <c r="O402" s="469">
        <v>118.25627924699999</v>
      </c>
      <c r="P402" s="469">
        <v>119.58533467999899</v>
      </c>
      <c r="Q402" s="469">
        <v>120.914390112999</v>
      </c>
      <c r="R402" s="469">
        <v>122.24344554599899</v>
      </c>
      <c r="T402" s="469">
        <f t="shared" si="34"/>
        <v>114.26911294799979</v>
      </c>
    </row>
    <row r="403" spans="1:20">
      <c r="A403" s="469" t="str">
        <f t="shared" si="31"/>
        <v>KU</v>
      </c>
      <c r="B403" s="469" t="str">
        <f t="shared" si="32"/>
        <v>KY</v>
      </c>
      <c r="C403" s="469" t="str">
        <f t="shared" si="33"/>
        <v>397</v>
      </c>
      <c r="D403" s="470" t="s">
        <v>1879</v>
      </c>
      <c r="E403" s="468" t="str">
        <f t="shared" si="30"/>
        <v>DSM</v>
      </c>
      <c r="F403" s="469">
        <v>1155.16119817</v>
      </c>
      <c r="G403" s="469">
        <v>1267.956988569</v>
      </c>
      <c r="H403" s="469">
        <v>1382.124297068</v>
      </c>
      <c r="I403" s="469">
        <v>1497.518586267</v>
      </c>
      <c r="J403" s="469">
        <v>1614.439302666</v>
      </c>
      <c r="K403" s="469">
        <v>1732.906308865</v>
      </c>
      <c r="L403" s="469">
        <v>1852.9389875639999</v>
      </c>
      <c r="M403" s="469">
        <v>1974.6384043630001</v>
      </c>
      <c r="N403" s="469">
        <v>2098.140567162</v>
      </c>
      <c r="O403" s="469">
        <v>2223.398605161</v>
      </c>
      <c r="P403" s="469">
        <v>2350.7277246600001</v>
      </c>
      <c r="Q403" s="469">
        <v>2480.0871793589999</v>
      </c>
      <c r="R403" s="469">
        <v>2611.070702558</v>
      </c>
      <c r="T403" s="469">
        <f t="shared" si="34"/>
        <v>1864.7006809563079</v>
      </c>
    </row>
    <row r="404" spans="1:20">
      <c r="A404" s="469" t="str">
        <f t="shared" si="31"/>
        <v>KU</v>
      </c>
      <c r="B404" s="469" t="str">
        <f t="shared" si="32"/>
        <v>KY</v>
      </c>
      <c r="C404" s="469" t="str">
        <f t="shared" si="33"/>
        <v>397</v>
      </c>
      <c r="D404" s="470" t="s">
        <v>1880</v>
      </c>
      <c r="E404" s="468" t="str">
        <f t="shared" si="30"/>
        <v/>
      </c>
      <c r="F404" s="469">
        <v>19500.64903</v>
      </c>
      <c r="G404" s="469">
        <v>19785.224493000002</v>
      </c>
      <c r="H404" s="469">
        <v>20070.475216999999</v>
      </c>
      <c r="I404" s="469">
        <v>20356.334051400001</v>
      </c>
      <c r="J404" s="469">
        <v>20649.105026599998</v>
      </c>
      <c r="K404" s="469">
        <v>20950.248544499998</v>
      </c>
      <c r="L404" s="469">
        <v>21253.0642462</v>
      </c>
      <c r="M404" s="469">
        <v>21555.964003500001</v>
      </c>
      <c r="N404" s="469">
        <v>21858.863760799999</v>
      </c>
      <c r="O404" s="469">
        <v>22161.763518100001</v>
      </c>
      <c r="P404" s="469">
        <v>22464.663275399998</v>
      </c>
      <c r="Q404" s="469">
        <v>22767.5630327</v>
      </c>
      <c r="R404" s="469">
        <v>23070.462790000001</v>
      </c>
      <c r="T404" s="469">
        <f t="shared" si="34"/>
        <v>21264.952383784617</v>
      </c>
    </row>
    <row r="405" spans="1:20">
      <c r="A405" s="469" t="str">
        <f t="shared" si="31"/>
        <v>KU</v>
      </c>
      <c r="B405" s="469" t="str">
        <f t="shared" si="32"/>
        <v>VA</v>
      </c>
      <c r="C405" s="469" t="str">
        <f t="shared" si="33"/>
        <v>397</v>
      </c>
      <c r="D405" s="470" t="s">
        <v>1881</v>
      </c>
      <c r="E405" s="468" t="str">
        <f t="shared" si="30"/>
        <v/>
      </c>
      <c r="F405" s="469">
        <v>598.17849152999997</v>
      </c>
      <c r="G405" s="469">
        <v>603.84988051000005</v>
      </c>
      <c r="H405" s="469">
        <v>609.52126949000001</v>
      </c>
      <c r="I405" s="469">
        <v>615.19265846999997</v>
      </c>
      <c r="J405" s="469">
        <v>620.86404745000004</v>
      </c>
      <c r="K405" s="469">
        <v>626.53543643</v>
      </c>
      <c r="L405" s="469">
        <v>632.20682540999996</v>
      </c>
      <c r="M405" s="469">
        <v>637.87821439000004</v>
      </c>
      <c r="N405" s="469">
        <v>643.54960337</v>
      </c>
      <c r="O405" s="469">
        <v>649.22099234999996</v>
      </c>
      <c r="P405" s="469">
        <v>654.89238133000003</v>
      </c>
      <c r="Q405" s="469">
        <v>660.56377031</v>
      </c>
      <c r="R405" s="469">
        <v>666.23515928999996</v>
      </c>
      <c r="T405" s="469">
        <f t="shared" si="34"/>
        <v>632.20682541000008</v>
      </c>
    </row>
    <row r="406" spans="1:20">
      <c r="E406" s="468" t="str">
        <f t="shared" si="30"/>
        <v/>
      </c>
    </row>
    <row r="407" spans="1:20">
      <c r="D407" s="668" t="s">
        <v>1887</v>
      </c>
      <c r="E407" s="468" t="str">
        <f t="shared" si="30"/>
        <v/>
      </c>
    </row>
    <row r="408" spans="1:20">
      <c r="A408" s="469" t="str">
        <f t="shared" ref="A408:A471" si="36">MID($D408,4,2)</f>
        <v>KU</v>
      </c>
      <c r="B408" s="469" t="str">
        <f t="shared" ref="B408:B471" si="37">IF(MID($D408,12,2)="- ","KY",MID($D408,12,2))</f>
        <v>KY</v>
      </c>
      <c r="C408" s="469" t="str">
        <f t="shared" ref="C408:C471" si="38">MID($D408,8,3)</f>
        <v>302</v>
      </c>
      <c r="D408" s="470" t="s">
        <v>1778</v>
      </c>
      <c r="E408" s="468" t="str">
        <f t="shared" si="30"/>
        <v/>
      </c>
      <c r="F408" s="469">
        <v>0.87512968950000003</v>
      </c>
      <c r="G408" s="469">
        <v>0.16915446079999999</v>
      </c>
      <c r="H408" s="469">
        <v>0.16915446079999999</v>
      </c>
      <c r="I408" s="469">
        <v>0.16915446079999999</v>
      </c>
      <c r="J408" s="469">
        <v>0.16915446079999999</v>
      </c>
      <c r="K408" s="469">
        <v>0.16915446079999999</v>
      </c>
      <c r="L408" s="469">
        <v>0.16915446079999999</v>
      </c>
      <c r="M408" s="469">
        <v>0.16915446079999999</v>
      </c>
      <c r="N408" s="469">
        <v>0.16915446079999999</v>
      </c>
      <c r="O408" s="469">
        <v>0.16915446079999999</v>
      </c>
      <c r="P408" s="469">
        <v>0.16915446079999999</v>
      </c>
      <c r="Q408" s="469">
        <v>0.16915446079999999</v>
      </c>
      <c r="R408" s="469">
        <v>0.16915446079999999</v>
      </c>
      <c r="S408" s="469">
        <f t="shared" ref="S408:S471" si="39">SUM(G408:R408)</f>
        <v>2.0298535296</v>
      </c>
    </row>
    <row r="409" spans="1:20">
      <c r="A409" s="469" t="str">
        <f t="shared" si="36"/>
        <v>KU</v>
      </c>
      <c r="B409" s="469" t="str">
        <f t="shared" si="37"/>
        <v>KY</v>
      </c>
      <c r="C409" s="469" t="str">
        <f t="shared" si="38"/>
        <v>303</v>
      </c>
      <c r="D409" s="470" t="s">
        <v>1779</v>
      </c>
      <c r="E409" s="468" t="str">
        <f t="shared" si="30"/>
        <v/>
      </c>
      <c r="F409" s="469">
        <v>755.23609880000004</v>
      </c>
      <c r="G409" s="469">
        <v>1012.190057</v>
      </c>
      <c r="H409" s="469">
        <v>1020.98138399999</v>
      </c>
      <c r="I409" s="469">
        <v>1060.3050349999901</v>
      </c>
      <c r="J409" s="469">
        <v>1074.373787</v>
      </c>
      <c r="K409" s="469">
        <v>1082.2679129999999</v>
      </c>
      <c r="L409" s="469">
        <v>1100.8106769999999</v>
      </c>
      <c r="M409" s="469">
        <v>1113.7136849999999</v>
      </c>
      <c r="N409" s="469">
        <v>1105.15922</v>
      </c>
      <c r="O409" s="469">
        <v>1096.241569</v>
      </c>
      <c r="P409" s="469">
        <v>1092.186412</v>
      </c>
      <c r="Q409" s="469">
        <v>1083.804384</v>
      </c>
      <c r="R409" s="469">
        <v>1094.423397</v>
      </c>
      <c r="S409" s="469">
        <f t="shared" si="39"/>
        <v>12936.45751999998</v>
      </c>
    </row>
    <row r="410" spans="1:20">
      <c r="A410" s="469" t="str">
        <f t="shared" si="36"/>
        <v>KU</v>
      </c>
      <c r="B410" s="469" t="str">
        <f t="shared" si="37"/>
        <v>KY</v>
      </c>
      <c r="C410" s="469" t="str">
        <f t="shared" si="38"/>
        <v>303</v>
      </c>
      <c r="D410" s="470" t="s">
        <v>1780</v>
      </c>
      <c r="E410" s="468" t="str">
        <f t="shared" si="30"/>
        <v/>
      </c>
      <c r="F410" s="469">
        <v>341.083598899999</v>
      </c>
      <c r="G410" s="469">
        <v>345.20130839999899</v>
      </c>
      <c r="H410" s="469">
        <v>408.58374609999998</v>
      </c>
      <c r="I410" s="469">
        <v>471.96618389999998</v>
      </c>
      <c r="J410" s="469">
        <v>471.96618389999998</v>
      </c>
      <c r="K410" s="469">
        <v>472.5530172</v>
      </c>
      <c r="L410" s="469">
        <v>473.8440506</v>
      </c>
      <c r="M410" s="469">
        <v>474.54825060000002</v>
      </c>
      <c r="N410" s="469">
        <v>474.54825060000002</v>
      </c>
      <c r="O410" s="469">
        <v>475.57520890000001</v>
      </c>
      <c r="P410" s="469">
        <v>476.74887560000002</v>
      </c>
      <c r="Q410" s="469">
        <v>476.89558390000002</v>
      </c>
      <c r="R410" s="469">
        <v>476.89558390000002</v>
      </c>
      <c r="S410" s="469">
        <f t="shared" si="39"/>
        <v>5499.3262435999995</v>
      </c>
    </row>
    <row r="411" spans="1:20">
      <c r="A411" s="469" t="str">
        <f t="shared" si="36"/>
        <v>KU</v>
      </c>
      <c r="B411" s="469" t="str">
        <f t="shared" si="37"/>
        <v>KY</v>
      </c>
      <c r="C411" s="469" t="str">
        <f t="shared" si="38"/>
        <v>311</v>
      </c>
      <c r="D411" s="470" t="s">
        <v>1784</v>
      </c>
      <c r="E411" s="468" t="str">
        <f t="shared" si="30"/>
        <v>ECR</v>
      </c>
      <c r="F411" s="469">
        <v>5.3905219436999996</v>
      </c>
      <c r="G411" s="469">
        <v>6.46993086994999</v>
      </c>
      <c r="H411" s="469">
        <v>6.46993086994999</v>
      </c>
      <c r="I411" s="469">
        <v>6.46993086994999</v>
      </c>
      <c r="J411" s="469">
        <v>6.46993086994999</v>
      </c>
      <c r="K411" s="469">
        <v>6.46993086994999</v>
      </c>
      <c r="L411" s="469">
        <v>6.46993086994999</v>
      </c>
      <c r="M411" s="469">
        <v>6.46993086994999</v>
      </c>
      <c r="N411" s="469">
        <v>6.46993086994999</v>
      </c>
      <c r="O411" s="469">
        <v>6.46993086994999</v>
      </c>
      <c r="P411" s="469">
        <v>6.46993086994999</v>
      </c>
      <c r="Q411" s="469">
        <v>6.46993086994999</v>
      </c>
      <c r="R411" s="469">
        <v>6.46993086994999</v>
      </c>
      <c r="S411" s="469">
        <f t="shared" si="39"/>
        <v>77.639170439399876</v>
      </c>
    </row>
    <row r="412" spans="1:20">
      <c r="A412" s="469" t="str">
        <f t="shared" si="36"/>
        <v>KU</v>
      </c>
      <c r="B412" s="469" t="str">
        <f t="shared" si="37"/>
        <v>KY</v>
      </c>
      <c r="C412" s="469" t="str">
        <f t="shared" si="38"/>
        <v>311</v>
      </c>
      <c r="D412" s="470" t="s">
        <v>2341</v>
      </c>
      <c r="E412" s="468" t="str">
        <f t="shared" si="30"/>
        <v>ECR</v>
      </c>
      <c r="F412" s="469">
        <v>9.7497883494999993</v>
      </c>
      <c r="G412" s="469">
        <v>15.0746727549</v>
      </c>
      <c r="H412" s="469">
        <v>15.0746727549</v>
      </c>
      <c r="I412" s="469">
        <v>15.0746727549</v>
      </c>
      <c r="J412" s="469">
        <v>15.0746727549</v>
      </c>
      <c r="K412" s="469">
        <v>15.0746727549</v>
      </c>
      <c r="L412" s="469">
        <v>15.0746727549</v>
      </c>
      <c r="M412" s="469">
        <v>15.0746727549</v>
      </c>
      <c r="N412" s="469">
        <v>15.0746727549</v>
      </c>
      <c r="O412" s="469">
        <v>15.0746727549</v>
      </c>
      <c r="P412" s="469">
        <v>15.0746727549</v>
      </c>
      <c r="Q412" s="469">
        <v>15.0746727549</v>
      </c>
      <c r="R412" s="469">
        <v>15.0746727549</v>
      </c>
      <c r="S412" s="469">
        <f t="shared" si="39"/>
        <v>180.89607305880006</v>
      </c>
    </row>
    <row r="413" spans="1:20">
      <c r="A413" s="469" t="str">
        <f t="shared" si="36"/>
        <v>KU</v>
      </c>
      <c r="B413" s="469" t="str">
        <f t="shared" si="37"/>
        <v>KY</v>
      </c>
      <c r="C413" s="469" t="str">
        <f t="shared" si="38"/>
        <v>311</v>
      </c>
      <c r="D413" s="470" t="s">
        <v>1785</v>
      </c>
      <c r="E413" s="468" t="str">
        <f t="shared" si="30"/>
        <v/>
      </c>
      <c r="F413" s="469">
        <v>508.25673153408701</v>
      </c>
      <c r="G413" s="469">
        <v>559.60536153491705</v>
      </c>
      <c r="H413" s="469">
        <v>559.77803096831701</v>
      </c>
      <c r="I413" s="469">
        <v>560.21399676831697</v>
      </c>
      <c r="J413" s="469">
        <v>560.49324240161695</v>
      </c>
      <c r="K413" s="469">
        <v>560.50919166831704</v>
      </c>
      <c r="L413" s="469">
        <v>561.47197534551697</v>
      </c>
      <c r="M413" s="469">
        <v>562.43475900271699</v>
      </c>
      <c r="N413" s="469">
        <v>562.43475900271699</v>
      </c>
      <c r="O413" s="469">
        <v>562.54647060271702</v>
      </c>
      <c r="P413" s="469">
        <v>565.66595980231705</v>
      </c>
      <c r="Q413" s="469">
        <v>569.35851500301703</v>
      </c>
      <c r="R413" s="469">
        <v>570.04329260301699</v>
      </c>
      <c r="S413" s="469">
        <f t="shared" si="39"/>
        <v>6754.5555547035037</v>
      </c>
    </row>
    <row r="414" spans="1:20">
      <c r="A414" s="469" t="str">
        <f t="shared" si="36"/>
        <v>KU</v>
      </c>
      <c r="B414" s="469" t="str">
        <f t="shared" si="37"/>
        <v>KY</v>
      </c>
      <c r="C414" s="469" t="str">
        <f t="shared" si="38"/>
        <v>312</v>
      </c>
      <c r="D414" s="470" t="s">
        <v>1786</v>
      </c>
      <c r="E414" s="468" t="str">
        <f t="shared" si="30"/>
        <v/>
      </c>
      <c r="F414" s="469">
        <v>6028.4753233762904</v>
      </c>
      <c r="G414" s="469">
        <v>7833.6084478539997</v>
      </c>
      <c r="H414" s="469">
        <v>7829.2226480339996</v>
      </c>
      <c r="I414" s="469">
        <v>7824.0504326139999</v>
      </c>
      <c r="J414" s="469">
        <v>7826.7382900940001</v>
      </c>
      <c r="K414" s="469">
        <v>7841.562810294</v>
      </c>
      <c r="L414" s="469">
        <v>7853.6161324140003</v>
      </c>
      <c r="M414" s="469">
        <v>7853.3655845539897</v>
      </c>
      <c r="N414" s="469">
        <v>7847.8244431639996</v>
      </c>
      <c r="O414" s="469">
        <v>7846.7929563839998</v>
      </c>
      <c r="P414" s="469">
        <v>7863.2581107240003</v>
      </c>
      <c r="Q414" s="469">
        <v>7878.3022601479997</v>
      </c>
      <c r="R414" s="469">
        <v>7881.0948520809998</v>
      </c>
      <c r="S414" s="469">
        <f t="shared" si="39"/>
        <v>94179.43696835899</v>
      </c>
    </row>
    <row r="415" spans="1:20">
      <c r="A415" s="469" t="str">
        <f t="shared" si="36"/>
        <v>KU</v>
      </c>
      <c r="B415" s="469" t="str">
        <f t="shared" si="37"/>
        <v>KY</v>
      </c>
      <c r="C415" s="469" t="str">
        <f t="shared" si="38"/>
        <v>312</v>
      </c>
      <c r="D415" s="470" t="s">
        <v>1787</v>
      </c>
      <c r="E415" s="468" t="str">
        <f t="shared" si="30"/>
        <v>ECR</v>
      </c>
      <c r="F415" s="469">
        <v>931.63683121069903</v>
      </c>
      <c r="G415" s="469">
        <v>1649.8370962805</v>
      </c>
      <c r="H415" s="469">
        <v>1650.3470962805</v>
      </c>
      <c r="I415" s="469">
        <v>1650.3470962805</v>
      </c>
      <c r="J415" s="469">
        <v>1650.3470962805</v>
      </c>
      <c r="K415" s="469">
        <v>1650.3470962805</v>
      </c>
      <c r="L415" s="469">
        <v>1650.3470962805</v>
      </c>
      <c r="M415" s="469">
        <v>1650.3470962805</v>
      </c>
      <c r="N415" s="469">
        <v>1650.3470962805</v>
      </c>
      <c r="O415" s="469">
        <v>1650.3470962805</v>
      </c>
      <c r="P415" s="469">
        <v>1646.6220227552001</v>
      </c>
      <c r="Q415" s="469">
        <v>1642.89694923</v>
      </c>
      <c r="R415" s="469">
        <v>1642.89694923</v>
      </c>
      <c r="S415" s="469">
        <f t="shared" si="39"/>
        <v>19785.029787739699</v>
      </c>
    </row>
    <row r="416" spans="1:20">
      <c r="A416" s="469" t="str">
        <f t="shared" si="36"/>
        <v>KU</v>
      </c>
      <c r="B416" s="469" t="str">
        <f t="shared" si="37"/>
        <v>KY</v>
      </c>
      <c r="C416" s="469" t="str">
        <f t="shared" si="38"/>
        <v>312</v>
      </c>
      <c r="D416" s="470" t="s">
        <v>1788</v>
      </c>
      <c r="E416" s="468" t="str">
        <f t="shared" si="30"/>
        <v>ECR</v>
      </c>
      <c r="F416" s="469">
        <v>1514.6988261270001</v>
      </c>
      <c r="G416" s="469">
        <v>2892.9248226099999</v>
      </c>
      <c r="H416" s="469">
        <v>2892.9248226099999</v>
      </c>
      <c r="I416" s="469">
        <v>2892.9248226099999</v>
      </c>
      <c r="J416" s="469">
        <v>2892.9248226099999</v>
      </c>
      <c r="K416" s="469">
        <v>2892.9248226099999</v>
      </c>
      <c r="L416" s="469">
        <v>2892.9248226099999</v>
      </c>
      <c r="M416" s="469">
        <v>2892.9248226099999</v>
      </c>
      <c r="N416" s="469">
        <v>2892.9248226099999</v>
      </c>
      <c r="O416" s="469">
        <v>2892.9248226099999</v>
      </c>
      <c r="P416" s="469">
        <v>2892.9248226099999</v>
      </c>
      <c r="Q416" s="469">
        <v>2892.9248226099999</v>
      </c>
      <c r="R416" s="469">
        <v>2892.9248226099999</v>
      </c>
      <c r="S416" s="469">
        <f t="shared" si="39"/>
        <v>34715.097871319995</v>
      </c>
    </row>
    <row r="417" spans="1:19">
      <c r="A417" s="469" t="str">
        <f t="shared" si="36"/>
        <v>KU</v>
      </c>
      <c r="B417" s="469" t="str">
        <f t="shared" si="37"/>
        <v>KY</v>
      </c>
      <c r="C417" s="469" t="str">
        <f t="shared" si="38"/>
        <v>312</v>
      </c>
      <c r="D417" s="470" t="s">
        <v>2342</v>
      </c>
      <c r="E417" s="468" t="str">
        <f t="shared" si="30"/>
        <v>ECR</v>
      </c>
      <c r="F417" s="469">
        <v>30.092735024499898</v>
      </c>
      <c r="G417" s="469">
        <v>24.925828866</v>
      </c>
      <c r="H417" s="469">
        <v>24.925828866</v>
      </c>
      <c r="I417" s="469">
        <v>24.925828866</v>
      </c>
      <c r="J417" s="469">
        <v>24.925828866</v>
      </c>
      <c r="K417" s="469">
        <v>24.925828866</v>
      </c>
      <c r="L417" s="469">
        <v>49.137665239530001</v>
      </c>
      <c r="M417" s="469">
        <v>73.349501613999905</v>
      </c>
      <c r="N417" s="469">
        <v>73.349501613999905</v>
      </c>
      <c r="O417" s="469">
        <v>73.349501613999905</v>
      </c>
      <c r="P417" s="469">
        <v>73.349501613999905</v>
      </c>
      <c r="Q417" s="469">
        <v>73.349501613999905</v>
      </c>
      <c r="R417" s="469">
        <v>73.349501613999905</v>
      </c>
      <c r="S417" s="469">
        <f t="shared" si="39"/>
        <v>613.86381925352941</v>
      </c>
    </row>
    <row r="418" spans="1:19">
      <c r="A418" s="469" t="str">
        <f t="shared" si="36"/>
        <v>KU</v>
      </c>
      <c r="B418" s="469" t="str">
        <f t="shared" si="37"/>
        <v>KY</v>
      </c>
      <c r="C418" s="469" t="str">
        <f t="shared" si="38"/>
        <v>312</v>
      </c>
      <c r="D418" s="470" t="s">
        <v>2343</v>
      </c>
      <c r="E418" s="468" t="str">
        <f t="shared" si="30"/>
        <v>ECR</v>
      </c>
      <c r="F418" s="469">
        <v>0</v>
      </c>
      <c r="G418" s="469">
        <v>0</v>
      </c>
      <c r="H418" s="469">
        <v>0</v>
      </c>
      <c r="I418" s="469">
        <v>0</v>
      </c>
      <c r="J418" s="469">
        <v>0</v>
      </c>
      <c r="K418" s="469">
        <v>0</v>
      </c>
      <c r="L418" s="469">
        <v>0</v>
      </c>
      <c r="M418" s="469">
        <v>0</v>
      </c>
      <c r="N418" s="469">
        <v>0</v>
      </c>
      <c r="O418" s="469">
        <v>0</v>
      </c>
      <c r="P418" s="469">
        <v>0</v>
      </c>
      <c r="Q418" s="469">
        <v>0</v>
      </c>
      <c r="R418" s="469">
        <v>0</v>
      </c>
      <c r="S418" s="469">
        <f t="shared" si="39"/>
        <v>0</v>
      </c>
    </row>
    <row r="419" spans="1:19">
      <c r="A419" s="469" t="str">
        <f t="shared" si="36"/>
        <v>KU</v>
      </c>
      <c r="B419" s="469" t="str">
        <f t="shared" si="37"/>
        <v>KY</v>
      </c>
      <c r="C419" s="469" t="str">
        <f t="shared" si="38"/>
        <v>314</v>
      </c>
      <c r="D419" s="470" t="s">
        <v>1790</v>
      </c>
      <c r="E419" s="468" t="str">
        <f t="shared" si="30"/>
        <v/>
      </c>
      <c r="F419" s="469">
        <v>554.27567590180001</v>
      </c>
      <c r="G419" s="469">
        <v>751.27333513400004</v>
      </c>
      <c r="H419" s="469">
        <v>751.34958513399897</v>
      </c>
      <c r="I419" s="469">
        <v>751.77139601599902</v>
      </c>
      <c r="J419" s="469">
        <v>753.12558790399999</v>
      </c>
      <c r="K419" s="469">
        <v>755.21283960899996</v>
      </c>
      <c r="L419" s="469">
        <v>757.05500498599997</v>
      </c>
      <c r="M419" s="469">
        <v>757.81854967300001</v>
      </c>
      <c r="N419" s="469">
        <v>757.81854967300001</v>
      </c>
      <c r="O419" s="469">
        <v>758.89520966600003</v>
      </c>
      <c r="P419" s="469">
        <v>763.10939906600004</v>
      </c>
      <c r="Q419" s="469">
        <v>766.71838234300003</v>
      </c>
      <c r="R419" s="469">
        <v>767.46727784699999</v>
      </c>
      <c r="S419" s="469">
        <f t="shared" si="39"/>
        <v>9091.6151170509984</v>
      </c>
    </row>
    <row r="420" spans="1:19">
      <c r="A420" s="469" t="str">
        <f t="shared" si="36"/>
        <v>KU</v>
      </c>
      <c r="B420" s="469" t="str">
        <f t="shared" si="37"/>
        <v>KY</v>
      </c>
      <c r="C420" s="469" t="str">
        <f t="shared" si="38"/>
        <v>315</v>
      </c>
      <c r="D420" s="470" t="s">
        <v>1791</v>
      </c>
      <c r="E420" s="468" t="str">
        <f t="shared" si="30"/>
        <v/>
      </c>
      <c r="F420" s="469">
        <v>410.52842688734899</v>
      </c>
      <c r="G420" s="469">
        <v>475.51181085457</v>
      </c>
      <c r="H420" s="469">
        <v>475.51181085457</v>
      </c>
      <c r="I420" s="469">
        <v>475.51181085457</v>
      </c>
      <c r="J420" s="469">
        <v>475.51181085457</v>
      </c>
      <c r="K420" s="469">
        <v>475.51181085457</v>
      </c>
      <c r="L420" s="469">
        <v>475.51181085457</v>
      </c>
      <c r="M420" s="469">
        <v>475.51181085457</v>
      </c>
      <c r="N420" s="469">
        <v>475.51181085457</v>
      </c>
      <c r="O420" s="469">
        <v>475.51181085457</v>
      </c>
      <c r="P420" s="469">
        <v>475.51181085457</v>
      </c>
      <c r="Q420" s="469">
        <v>475.51181085457</v>
      </c>
      <c r="R420" s="469">
        <v>475.51181085457</v>
      </c>
      <c r="S420" s="469">
        <f t="shared" si="39"/>
        <v>5706.1417302548407</v>
      </c>
    </row>
    <row r="421" spans="1:19">
      <c r="A421" s="469" t="str">
        <f t="shared" si="36"/>
        <v>KU</v>
      </c>
      <c r="B421" s="469" t="str">
        <f t="shared" si="37"/>
        <v>KY</v>
      </c>
      <c r="C421" s="469" t="str">
        <f t="shared" si="38"/>
        <v>315</v>
      </c>
      <c r="D421" s="470" t="s">
        <v>2344</v>
      </c>
      <c r="E421" s="468" t="str">
        <f t="shared" si="30"/>
        <v>ECR</v>
      </c>
      <c r="F421" s="469">
        <v>2.0821098226700001</v>
      </c>
      <c r="G421" s="469">
        <v>2.2335023509699998</v>
      </c>
      <c r="H421" s="469">
        <v>2.2335023509699998</v>
      </c>
      <c r="I421" s="469">
        <v>2.2335023509699998</v>
      </c>
      <c r="J421" s="469">
        <v>2.2335023509699998</v>
      </c>
      <c r="K421" s="469">
        <v>2.2335023509699998</v>
      </c>
      <c r="L421" s="469">
        <v>2.2335023509699998</v>
      </c>
      <c r="M421" s="469">
        <v>2.2335023509699998</v>
      </c>
      <c r="N421" s="469">
        <v>2.2335023509699998</v>
      </c>
      <c r="O421" s="469">
        <v>2.2335023509699998</v>
      </c>
      <c r="P421" s="469">
        <v>2.2335023509699998</v>
      </c>
      <c r="Q421" s="469">
        <v>2.2335023509699998</v>
      </c>
      <c r="R421" s="469">
        <v>2.2335023509699998</v>
      </c>
      <c r="S421" s="469">
        <f t="shared" si="39"/>
        <v>26.802028211639996</v>
      </c>
    </row>
    <row r="422" spans="1:19">
      <c r="A422" s="469" t="str">
        <f t="shared" si="36"/>
        <v>KU</v>
      </c>
      <c r="B422" s="469" t="str">
        <f t="shared" si="37"/>
        <v>KY</v>
      </c>
      <c r="C422" s="469" t="str">
        <f t="shared" si="38"/>
        <v>315</v>
      </c>
      <c r="D422" s="470" t="s">
        <v>1792</v>
      </c>
      <c r="E422" s="468" t="str">
        <f t="shared" si="30"/>
        <v>ECR</v>
      </c>
      <c r="F422" s="469">
        <v>7.643750960507</v>
      </c>
      <c r="G422" s="469">
        <v>12.494234945496901</v>
      </c>
      <c r="H422" s="469">
        <v>12.494234945496901</v>
      </c>
      <c r="I422" s="469">
        <v>12.494234945496901</v>
      </c>
      <c r="J422" s="469">
        <v>12.494234945496901</v>
      </c>
      <c r="K422" s="469">
        <v>12.494234945496901</v>
      </c>
      <c r="L422" s="469">
        <v>12.494234945496901</v>
      </c>
      <c r="M422" s="469">
        <v>12.494234945496901</v>
      </c>
      <c r="N422" s="469">
        <v>12.494234945496901</v>
      </c>
      <c r="O422" s="469">
        <v>12.494234945496901</v>
      </c>
      <c r="P422" s="469">
        <v>12.494234945496901</v>
      </c>
      <c r="Q422" s="469">
        <v>12.494234945496901</v>
      </c>
      <c r="R422" s="469">
        <v>12.494234945496901</v>
      </c>
      <c r="S422" s="469">
        <f t="shared" si="39"/>
        <v>149.93081934596282</v>
      </c>
    </row>
    <row r="423" spans="1:19">
      <c r="A423" s="469" t="str">
        <f t="shared" si="36"/>
        <v>KU</v>
      </c>
      <c r="B423" s="469" t="str">
        <f t="shared" si="37"/>
        <v>KY</v>
      </c>
      <c r="C423" s="469" t="str">
        <f t="shared" si="38"/>
        <v>316</v>
      </c>
      <c r="D423" s="470" t="s">
        <v>2345</v>
      </c>
      <c r="E423" s="468" t="str">
        <f t="shared" ref="E423:E486" si="40">IF(ISTEXT(MID($D423,SEARCH("FUTURE USE",$D423),3)),"FUTURE USE",IF(ISTEXT(MID($D423,SEARCH("ECR",$D423),3)),"ECR",IF(ISTEXT(MID($D423,SEARCH("ARO",$D423),3)),"ARO",IF(ISTEXT(MID($D423,SEARCH("DSM",$D423),3)),"DSM",""))))</f>
        <v>ECR</v>
      </c>
      <c r="F423" s="469">
        <v>0.72868231900000002</v>
      </c>
      <c r="G423" s="469">
        <v>1.3473748544999999</v>
      </c>
      <c r="H423" s="469">
        <v>1.3473748544999999</v>
      </c>
      <c r="I423" s="469">
        <v>1.3473748544999999</v>
      </c>
      <c r="J423" s="469">
        <v>1.3473748544999999</v>
      </c>
      <c r="K423" s="469">
        <v>1.3473748544999999</v>
      </c>
      <c r="L423" s="469">
        <v>1.3473748544999999</v>
      </c>
      <c r="M423" s="469">
        <v>1.3473748544999999</v>
      </c>
      <c r="N423" s="469">
        <v>1.3473748544999999</v>
      </c>
      <c r="O423" s="469">
        <v>1.3473748544999999</v>
      </c>
      <c r="P423" s="469">
        <v>1.3473748544999999</v>
      </c>
      <c r="Q423" s="469">
        <v>1.3473748544999999</v>
      </c>
      <c r="R423" s="469">
        <v>1.3473748544999999</v>
      </c>
      <c r="S423" s="469">
        <f t="shared" si="39"/>
        <v>16.168498253999999</v>
      </c>
    </row>
    <row r="424" spans="1:19">
      <c r="A424" s="469" t="str">
        <f t="shared" si="36"/>
        <v>KU</v>
      </c>
      <c r="B424" s="469" t="str">
        <f t="shared" si="37"/>
        <v>KY</v>
      </c>
      <c r="C424" s="469" t="str">
        <f t="shared" si="38"/>
        <v>316</v>
      </c>
      <c r="D424" s="470" t="s">
        <v>1793</v>
      </c>
      <c r="E424" s="468" t="str">
        <f t="shared" si="40"/>
        <v/>
      </c>
      <c r="F424" s="469">
        <v>68.52346496749</v>
      </c>
      <c r="G424" s="469">
        <v>77.499651491763998</v>
      </c>
      <c r="H424" s="469">
        <v>77.568384369070003</v>
      </c>
      <c r="I424" s="469">
        <v>77.737725438778</v>
      </c>
      <c r="J424" s="469">
        <v>77.907066508583</v>
      </c>
      <c r="K424" s="469">
        <v>78.501479611213</v>
      </c>
      <c r="L424" s="469">
        <v>80.550560213082903</v>
      </c>
      <c r="M424" s="469">
        <v>82.045813410413004</v>
      </c>
      <c r="N424" s="469">
        <v>82.099051974212998</v>
      </c>
      <c r="O424" s="469">
        <v>82.224778585413006</v>
      </c>
      <c r="P424" s="469">
        <v>82.350505196713002</v>
      </c>
      <c r="Q424" s="469">
        <v>83.163959282613007</v>
      </c>
      <c r="R424" s="469">
        <v>84.085093183612997</v>
      </c>
      <c r="S424" s="469">
        <f t="shared" si="39"/>
        <v>965.73406926546886</v>
      </c>
    </row>
    <row r="425" spans="1:19">
      <c r="A425" s="469" t="str">
        <f t="shared" si="36"/>
        <v>KU</v>
      </c>
      <c r="B425" s="469" t="str">
        <f t="shared" si="37"/>
        <v>KY</v>
      </c>
      <c r="C425" s="469" t="str">
        <f t="shared" si="38"/>
        <v>317</v>
      </c>
      <c r="D425" s="470" t="s">
        <v>1794</v>
      </c>
      <c r="E425" s="468" t="str">
        <f t="shared" si="40"/>
        <v>ARO</v>
      </c>
      <c r="F425" s="469">
        <v>3767.7427499999999</v>
      </c>
      <c r="G425" s="469">
        <v>3767.7427499999999</v>
      </c>
      <c r="H425" s="469">
        <v>3767.7427499999999</v>
      </c>
      <c r="I425" s="469">
        <v>3767.7427499999999</v>
      </c>
      <c r="J425" s="469">
        <v>3767.7427499999999</v>
      </c>
      <c r="K425" s="469">
        <v>3767.7427499999999</v>
      </c>
      <c r="L425" s="469">
        <v>3767.7427499999999</v>
      </c>
      <c r="M425" s="469">
        <v>3767.7427499999999</v>
      </c>
      <c r="N425" s="469">
        <v>3767.7427499999999</v>
      </c>
      <c r="O425" s="469">
        <v>3767.7427499999999</v>
      </c>
      <c r="P425" s="469">
        <v>3767.7427499999999</v>
      </c>
      <c r="Q425" s="469">
        <v>3767.7427499999999</v>
      </c>
      <c r="R425" s="469">
        <v>3767.7427499999999</v>
      </c>
      <c r="S425" s="469">
        <f t="shared" si="39"/>
        <v>45212.912999999993</v>
      </c>
    </row>
    <row r="426" spans="1:19">
      <c r="A426" s="469" t="str">
        <f t="shared" si="36"/>
        <v>KU</v>
      </c>
      <c r="B426" s="469" t="str">
        <f t="shared" si="37"/>
        <v>KY</v>
      </c>
      <c r="C426" s="469" t="str">
        <f t="shared" si="38"/>
        <v>331</v>
      </c>
      <c r="D426" s="470" t="s">
        <v>1796</v>
      </c>
      <c r="E426" s="468" t="str">
        <f t="shared" si="40"/>
        <v/>
      </c>
      <c r="F426" s="469">
        <v>3.9557213058</v>
      </c>
      <c r="G426" s="469">
        <v>6.0556721222999998</v>
      </c>
      <c r="H426" s="469">
        <v>6.0556721222999998</v>
      </c>
      <c r="I426" s="469">
        <v>6.0556721222999998</v>
      </c>
      <c r="J426" s="469">
        <v>6.0556721222999998</v>
      </c>
      <c r="K426" s="469">
        <v>6.0556721222999998</v>
      </c>
      <c r="L426" s="469">
        <v>6.0556721222999998</v>
      </c>
      <c r="M426" s="469">
        <v>6.0556721222999998</v>
      </c>
      <c r="N426" s="469">
        <v>6.0556721222999998</v>
      </c>
      <c r="O426" s="469">
        <v>6.0556721222999998</v>
      </c>
      <c r="P426" s="469">
        <v>6.0556721222999998</v>
      </c>
      <c r="Q426" s="469">
        <v>6.0556721222999998</v>
      </c>
      <c r="R426" s="469">
        <v>6.0556721222999998</v>
      </c>
      <c r="S426" s="469">
        <f t="shared" si="39"/>
        <v>72.668065467600002</v>
      </c>
    </row>
    <row r="427" spans="1:19">
      <c r="A427" s="469" t="str">
        <f t="shared" si="36"/>
        <v>KU</v>
      </c>
      <c r="B427" s="469" t="str">
        <f t="shared" si="37"/>
        <v>KY</v>
      </c>
      <c r="C427" s="469" t="str">
        <f t="shared" si="38"/>
        <v>332</v>
      </c>
      <c r="D427" s="470" t="s">
        <v>1797</v>
      </c>
      <c r="E427" s="468" t="str">
        <f t="shared" si="40"/>
        <v/>
      </c>
      <c r="F427" s="469">
        <v>45.230335834999998</v>
      </c>
      <c r="G427" s="469">
        <v>47.601280850999999</v>
      </c>
      <c r="H427" s="469">
        <v>47.601280850999999</v>
      </c>
      <c r="I427" s="469">
        <v>47.601280850999999</v>
      </c>
      <c r="J427" s="469">
        <v>47.601280850999999</v>
      </c>
      <c r="K427" s="469">
        <v>47.601280850999999</v>
      </c>
      <c r="L427" s="469">
        <v>47.601280850999999</v>
      </c>
      <c r="M427" s="469">
        <v>47.601280850999999</v>
      </c>
      <c r="N427" s="469">
        <v>47.601280850999999</v>
      </c>
      <c r="O427" s="469">
        <v>47.601280850999999</v>
      </c>
      <c r="P427" s="469">
        <v>47.601280850999999</v>
      </c>
      <c r="Q427" s="469">
        <v>47.601280850999999</v>
      </c>
      <c r="R427" s="469">
        <v>47.601280850999999</v>
      </c>
      <c r="S427" s="469">
        <f t="shared" si="39"/>
        <v>571.21537021200004</v>
      </c>
    </row>
    <row r="428" spans="1:19">
      <c r="A428" s="469" t="str">
        <f t="shared" si="36"/>
        <v>KU</v>
      </c>
      <c r="B428" s="469" t="str">
        <f t="shared" si="37"/>
        <v>KY</v>
      </c>
      <c r="C428" s="469" t="str">
        <f t="shared" si="38"/>
        <v>333</v>
      </c>
      <c r="D428" s="470" t="s">
        <v>1798</v>
      </c>
      <c r="E428" s="468" t="str">
        <f t="shared" si="40"/>
        <v/>
      </c>
      <c r="F428" s="469">
        <v>42.842561818699998</v>
      </c>
      <c r="G428" s="469">
        <v>45.183685418700001</v>
      </c>
      <c r="H428" s="469">
        <v>45.183685418700001</v>
      </c>
      <c r="I428" s="469">
        <v>45.183685418700001</v>
      </c>
      <c r="J428" s="469">
        <v>45.183685418700001</v>
      </c>
      <c r="K428" s="469">
        <v>45.183685418700001</v>
      </c>
      <c r="L428" s="469">
        <v>45.183685418700001</v>
      </c>
      <c r="M428" s="469">
        <v>45.183685418700001</v>
      </c>
      <c r="N428" s="469">
        <v>45.183685418700001</v>
      </c>
      <c r="O428" s="469">
        <v>45.183685418700001</v>
      </c>
      <c r="P428" s="469">
        <v>45.183685418700001</v>
      </c>
      <c r="Q428" s="469">
        <v>45.183685418700001</v>
      </c>
      <c r="R428" s="469">
        <v>45.183685418700001</v>
      </c>
      <c r="S428" s="469">
        <f t="shared" si="39"/>
        <v>542.20422502439999</v>
      </c>
    </row>
    <row r="429" spans="1:19">
      <c r="A429" s="469" t="str">
        <f t="shared" si="36"/>
        <v>KU</v>
      </c>
      <c r="B429" s="469" t="str">
        <f t="shared" si="37"/>
        <v>KY</v>
      </c>
      <c r="C429" s="469" t="str">
        <f t="shared" si="38"/>
        <v>334</v>
      </c>
      <c r="D429" s="470" t="s">
        <v>1799</v>
      </c>
      <c r="E429" s="468" t="str">
        <f t="shared" si="40"/>
        <v/>
      </c>
      <c r="F429" s="469">
        <v>3.9855605105</v>
      </c>
      <c r="G429" s="469">
        <v>4.3262067088</v>
      </c>
      <c r="H429" s="469">
        <v>4.3262067088</v>
      </c>
      <c r="I429" s="469">
        <v>4.3262067088</v>
      </c>
      <c r="J429" s="469">
        <v>4.3262067088</v>
      </c>
      <c r="K429" s="469">
        <v>4.3262067088</v>
      </c>
      <c r="L429" s="469">
        <v>4.3262067088</v>
      </c>
      <c r="M429" s="469">
        <v>4.3262067088</v>
      </c>
      <c r="N429" s="469">
        <v>4.3262067088</v>
      </c>
      <c r="O429" s="469">
        <v>4.3262067088</v>
      </c>
      <c r="P429" s="469">
        <v>4.3262067088</v>
      </c>
      <c r="Q429" s="469">
        <v>4.3262067088</v>
      </c>
      <c r="R429" s="469">
        <v>4.3262067088</v>
      </c>
      <c r="S429" s="469">
        <f t="shared" si="39"/>
        <v>51.914480505600004</v>
      </c>
    </row>
    <row r="430" spans="1:19">
      <c r="A430" s="469" t="str">
        <f t="shared" si="36"/>
        <v>KU</v>
      </c>
      <c r="B430" s="469" t="str">
        <f t="shared" si="37"/>
        <v>KY</v>
      </c>
      <c r="C430" s="469" t="str">
        <f t="shared" si="38"/>
        <v>335</v>
      </c>
      <c r="D430" s="470" t="s">
        <v>1800</v>
      </c>
      <c r="E430" s="468" t="str">
        <f t="shared" si="40"/>
        <v/>
      </c>
      <c r="F430" s="469">
        <v>1.1568556008299999</v>
      </c>
      <c r="G430" s="469">
        <v>0.99309978536999999</v>
      </c>
      <c r="H430" s="469">
        <v>0.99309978536999999</v>
      </c>
      <c r="I430" s="469">
        <v>0.99309978536999999</v>
      </c>
      <c r="J430" s="469">
        <v>0.99309978536999999</v>
      </c>
      <c r="K430" s="469">
        <v>0.99309978536999999</v>
      </c>
      <c r="L430" s="469">
        <v>0.99309978536999999</v>
      </c>
      <c r="M430" s="469">
        <v>0.99309978536999999</v>
      </c>
      <c r="N430" s="469">
        <v>0.99309978536999999</v>
      </c>
      <c r="O430" s="469">
        <v>0.99309978536999999</v>
      </c>
      <c r="P430" s="469">
        <v>0.99309978536999999</v>
      </c>
      <c r="Q430" s="469">
        <v>0.99309978536999999</v>
      </c>
      <c r="R430" s="469">
        <v>0.99309978536999999</v>
      </c>
      <c r="S430" s="469">
        <f t="shared" si="39"/>
        <v>11.917197424439998</v>
      </c>
    </row>
    <row r="431" spans="1:19">
      <c r="A431" s="469" t="str">
        <f t="shared" si="36"/>
        <v>KU</v>
      </c>
      <c r="B431" s="469" t="str">
        <f t="shared" si="37"/>
        <v>KY</v>
      </c>
      <c r="C431" s="469" t="str">
        <f t="shared" si="38"/>
        <v>336</v>
      </c>
      <c r="D431" s="470" t="s">
        <v>1801</v>
      </c>
      <c r="E431" s="468" t="str">
        <f t="shared" si="40"/>
        <v/>
      </c>
      <c r="F431" s="469">
        <v>0.75238345875000001</v>
      </c>
      <c r="G431" s="469">
        <v>0.65076283580000005</v>
      </c>
      <c r="H431" s="469">
        <v>1.7260753361700001</v>
      </c>
      <c r="I431" s="469">
        <v>2.80138783583</v>
      </c>
      <c r="J431" s="469">
        <v>2.80138783583</v>
      </c>
      <c r="K431" s="469">
        <v>2.80138783583</v>
      </c>
      <c r="L431" s="469">
        <v>2.80138783583</v>
      </c>
      <c r="M431" s="469">
        <v>2.80138783583</v>
      </c>
      <c r="N431" s="469">
        <v>2.80138783583</v>
      </c>
      <c r="O431" s="469">
        <v>2.80138783583</v>
      </c>
      <c r="P431" s="469">
        <v>2.80138783583</v>
      </c>
      <c r="Q431" s="469">
        <v>2.80138783583</v>
      </c>
      <c r="R431" s="469">
        <v>2.80138783583</v>
      </c>
      <c r="S431" s="469">
        <f t="shared" si="39"/>
        <v>30.390716530269994</v>
      </c>
    </row>
    <row r="432" spans="1:19">
      <c r="A432" s="469" t="str">
        <f t="shared" si="36"/>
        <v>KU</v>
      </c>
      <c r="B432" s="469" t="str">
        <f t="shared" si="37"/>
        <v>KY</v>
      </c>
      <c r="C432" s="469" t="str">
        <f t="shared" si="38"/>
        <v>337</v>
      </c>
      <c r="D432" s="470" t="s">
        <v>1802</v>
      </c>
      <c r="E432" s="468" t="str">
        <f t="shared" si="40"/>
        <v>ARO</v>
      </c>
      <c r="F432" s="469">
        <v>0.44783000000000001</v>
      </c>
      <c r="G432" s="469">
        <v>0.44783000000000001</v>
      </c>
      <c r="H432" s="469">
        <v>0.44783000000000001</v>
      </c>
      <c r="I432" s="469">
        <v>0.44783000000000001</v>
      </c>
      <c r="J432" s="469">
        <v>0.44783000000000001</v>
      </c>
      <c r="K432" s="469">
        <v>0.44783000000000001</v>
      </c>
      <c r="L432" s="469">
        <v>0.44783000000000001</v>
      </c>
      <c r="M432" s="469">
        <v>0.44783000000000001</v>
      </c>
      <c r="N432" s="469">
        <v>0.44783000000000001</v>
      </c>
      <c r="O432" s="469">
        <v>0.44783000000000001</v>
      </c>
      <c r="P432" s="469">
        <v>0.44783000000000001</v>
      </c>
      <c r="Q432" s="469">
        <v>0.44783000000000001</v>
      </c>
      <c r="R432" s="469">
        <v>0.44783000000000001</v>
      </c>
      <c r="S432" s="469">
        <f t="shared" si="39"/>
        <v>5.3739599999999994</v>
      </c>
    </row>
    <row r="433" spans="1:19">
      <c r="A433" s="469" t="str">
        <f t="shared" si="36"/>
        <v>KU</v>
      </c>
      <c r="B433" s="469" t="str">
        <f t="shared" si="37"/>
        <v>KY</v>
      </c>
      <c r="C433" s="469" t="str">
        <f t="shared" si="38"/>
        <v>340</v>
      </c>
      <c r="D433" s="470" t="s">
        <v>2347</v>
      </c>
      <c r="E433" s="468" t="str">
        <f t="shared" si="40"/>
        <v/>
      </c>
      <c r="F433" s="469">
        <v>0.32929737869999998</v>
      </c>
      <c r="G433" s="469">
        <v>2.7931474080000001E-2</v>
      </c>
      <c r="H433" s="469">
        <v>2.7931474080000001E-2</v>
      </c>
      <c r="I433" s="469">
        <v>2.7931474080000001E-2</v>
      </c>
      <c r="J433" s="469">
        <v>2.7931474080000001E-2</v>
      </c>
      <c r="K433" s="469">
        <v>2.7931474080000001E-2</v>
      </c>
      <c r="L433" s="469">
        <v>2.7931474080000001E-2</v>
      </c>
      <c r="M433" s="469">
        <v>2.7931474080000001E-2</v>
      </c>
      <c r="N433" s="469">
        <v>2.7931474080000001E-2</v>
      </c>
      <c r="O433" s="469">
        <v>2.7931474080000001E-2</v>
      </c>
      <c r="P433" s="469">
        <v>2.7931474080000001E-2</v>
      </c>
      <c r="Q433" s="469">
        <v>2.7931474080000001E-2</v>
      </c>
      <c r="R433" s="469">
        <v>2.7931474080000001E-2</v>
      </c>
      <c r="S433" s="469">
        <f t="shared" si="39"/>
        <v>0.33517768896000005</v>
      </c>
    </row>
    <row r="434" spans="1:19">
      <c r="A434" s="469" t="str">
        <f t="shared" si="36"/>
        <v>KU</v>
      </c>
      <c r="B434" s="469" t="str">
        <f t="shared" si="37"/>
        <v>KY</v>
      </c>
      <c r="C434" s="469" t="str">
        <f t="shared" si="38"/>
        <v>341</v>
      </c>
      <c r="D434" s="470" t="s">
        <v>1804</v>
      </c>
      <c r="E434" s="468" t="str">
        <f t="shared" si="40"/>
        <v/>
      </c>
      <c r="F434" s="469">
        <v>108.76651180997</v>
      </c>
      <c r="G434" s="469">
        <v>115.852332069</v>
      </c>
      <c r="H434" s="469">
        <v>115.852332069</v>
      </c>
      <c r="I434" s="469">
        <v>115.852332069</v>
      </c>
      <c r="J434" s="469">
        <v>115.852332069</v>
      </c>
      <c r="K434" s="469">
        <v>115.933798736</v>
      </c>
      <c r="L434" s="469">
        <v>116.015265402</v>
      </c>
      <c r="M434" s="469">
        <v>116.015265402</v>
      </c>
      <c r="N434" s="469">
        <v>116.015265402</v>
      </c>
      <c r="O434" s="469">
        <v>116.015265402</v>
      </c>
      <c r="P434" s="469">
        <v>116.015265402</v>
      </c>
      <c r="Q434" s="469">
        <v>116.096732069</v>
      </c>
      <c r="R434" s="469">
        <v>116.178198736</v>
      </c>
      <c r="S434" s="469">
        <f t="shared" si="39"/>
        <v>1391.6943848269998</v>
      </c>
    </row>
    <row r="435" spans="1:19">
      <c r="A435" s="469" t="str">
        <f t="shared" si="36"/>
        <v>KU</v>
      </c>
      <c r="B435" s="469" t="str">
        <f t="shared" si="37"/>
        <v>KY</v>
      </c>
      <c r="C435" s="469" t="str">
        <f t="shared" si="38"/>
        <v>341</v>
      </c>
      <c r="D435" s="470" t="s">
        <v>2348</v>
      </c>
      <c r="E435" s="468" t="str">
        <f t="shared" si="40"/>
        <v/>
      </c>
      <c r="F435" s="469">
        <v>104.5089124</v>
      </c>
      <c r="G435" s="469">
        <v>120.86336052</v>
      </c>
      <c r="H435" s="469">
        <v>120.86336052</v>
      </c>
      <c r="I435" s="469">
        <v>121.109548019999</v>
      </c>
      <c r="J435" s="469">
        <v>121.60192302</v>
      </c>
      <c r="K435" s="469">
        <v>121.84811052000001</v>
      </c>
      <c r="L435" s="469">
        <v>121.84811052000001</v>
      </c>
      <c r="M435" s="469">
        <v>121.84811052000001</v>
      </c>
      <c r="N435" s="469">
        <v>121.84811052000001</v>
      </c>
      <c r="O435" s="469">
        <v>121.84811052000001</v>
      </c>
      <c r="P435" s="469">
        <v>121.84811052000001</v>
      </c>
      <c r="Q435" s="469">
        <v>121.84811052000001</v>
      </c>
      <c r="R435" s="469">
        <v>121.84811052000001</v>
      </c>
      <c r="S435" s="469">
        <f t="shared" si="39"/>
        <v>1459.2230762399993</v>
      </c>
    </row>
    <row r="436" spans="1:19">
      <c r="A436" s="469" t="str">
        <f t="shared" si="36"/>
        <v>KU</v>
      </c>
      <c r="B436" s="469" t="str">
        <f t="shared" si="37"/>
        <v>KY</v>
      </c>
      <c r="C436" s="469" t="str">
        <f t="shared" si="38"/>
        <v>341</v>
      </c>
      <c r="D436" s="470" t="s">
        <v>2349</v>
      </c>
      <c r="E436" s="468" t="str">
        <f t="shared" si="40"/>
        <v/>
      </c>
      <c r="F436" s="469">
        <v>3.043140008</v>
      </c>
      <c r="G436" s="469">
        <v>3.043140008</v>
      </c>
      <c r="H436" s="469">
        <v>3.043140008</v>
      </c>
      <c r="I436" s="469">
        <v>3.043140008</v>
      </c>
      <c r="J436" s="469">
        <v>3.043140008</v>
      </c>
      <c r="K436" s="469">
        <v>3.043140008</v>
      </c>
      <c r="L436" s="469">
        <v>3.043140008</v>
      </c>
      <c r="M436" s="469">
        <v>3.043140008</v>
      </c>
      <c r="N436" s="469">
        <v>3.043140008</v>
      </c>
      <c r="O436" s="469">
        <v>3.043140008</v>
      </c>
      <c r="P436" s="469">
        <v>3.043140008</v>
      </c>
      <c r="Q436" s="469">
        <v>3.043140008</v>
      </c>
      <c r="R436" s="469">
        <v>3.043140008</v>
      </c>
      <c r="S436" s="469">
        <f t="shared" si="39"/>
        <v>36.517680096000007</v>
      </c>
    </row>
    <row r="437" spans="1:19">
      <c r="A437" s="469" t="str">
        <f t="shared" si="36"/>
        <v>KU</v>
      </c>
      <c r="B437" s="469" t="str">
        <f t="shared" si="37"/>
        <v>KY</v>
      </c>
      <c r="C437" s="469" t="str">
        <f t="shared" si="38"/>
        <v>342</v>
      </c>
      <c r="D437" s="470" t="s">
        <v>1805</v>
      </c>
      <c r="E437" s="468" t="str">
        <f t="shared" si="40"/>
        <v/>
      </c>
      <c r="F437" s="469">
        <v>64.089890687929895</v>
      </c>
      <c r="G437" s="469">
        <v>75.2725002117499</v>
      </c>
      <c r="H437" s="469">
        <v>75.2725002117499</v>
      </c>
      <c r="I437" s="469">
        <v>75.2725002117499</v>
      </c>
      <c r="J437" s="469">
        <v>75.2725002117499</v>
      </c>
      <c r="K437" s="469">
        <v>75.2725002117499</v>
      </c>
      <c r="L437" s="469">
        <v>75.2725002117499</v>
      </c>
      <c r="M437" s="469">
        <v>75.2725002117499</v>
      </c>
      <c r="N437" s="469">
        <v>75.2725002117499</v>
      </c>
      <c r="O437" s="469">
        <v>75.2725002117499</v>
      </c>
      <c r="P437" s="469">
        <v>75.2725002117499</v>
      </c>
      <c r="Q437" s="469">
        <v>75.2725002117499</v>
      </c>
      <c r="R437" s="469">
        <v>75.2725002117499</v>
      </c>
      <c r="S437" s="469">
        <f t="shared" si="39"/>
        <v>903.27000254099903</v>
      </c>
    </row>
    <row r="438" spans="1:19">
      <c r="A438" s="469" t="str">
        <f t="shared" si="36"/>
        <v>KU</v>
      </c>
      <c r="B438" s="469" t="str">
        <f t="shared" si="37"/>
        <v>KY</v>
      </c>
      <c r="C438" s="469" t="str">
        <f t="shared" si="38"/>
        <v>342</v>
      </c>
      <c r="D438" s="470" t="s">
        <v>2350</v>
      </c>
      <c r="E438" s="468" t="str">
        <f t="shared" si="40"/>
        <v/>
      </c>
      <c r="F438" s="469">
        <v>14.3766306808</v>
      </c>
      <c r="G438" s="469">
        <v>16.325111757999998</v>
      </c>
      <c r="H438" s="469">
        <v>16.325111757999998</v>
      </c>
      <c r="I438" s="469">
        <v>16.325111757999998</v>
      </c>
      <c r="J438" s="469">
        <v>16.325111757999998</v>
      </c>
      <c r="K438" s="469">
        <v>16.325111757999998</v>
      </c>
      <c r="L438" s="469">
        <v>16.325111757999998</v>
      </c>
      <c r="M438" s="469">
        <v>16.325111757999998</v>
      </c>
      <c r="N438" s="469">
        <v>16.325111757999998</v>
      </c>
      <c r="O438" s="469">
        <v>16.325111757999998</v>
      </c>
      <c r="P438" s="469">
        <v>16.325111757999998</v>
      </c>
      <c r="Q438" s="469">
        <v>16.325111757999998</v>
      </c>
      <c r="R438" s="469">
        <v>16.325111757999998</v>
      </c>
      <c r="S438" s="469">
        <f t="shared" si="39"/>
        <v>195.90134109599992</v>
      </c>
    </row>
    <row r="439" spans="1:19">
      <c r="A439" s="469" t="str">
        <f t="shared" si="36"/>
        <v>KU</v>
      </c>
      <c r="B439" s="469" t="str">
        <f t="shared" si="37"/>
        <v>KY</v>
      </c>
      <c r="C439" s="469" t="str">
        <f t="shared" si="38"/>
        <v>342</v>
      </c>
      <c r="D439" s="470" t="s">
        <v>2351</v>
      </c>
      <c r="E439" s="468" t="str">
        <f t="shared" si="40"/>
        <v/>
      </c>
      <c r="F439" s="469">
        <v>85.570390992</v>
      </c>
      <c r="G439" s="469">
        <v>95.854502200550002</v>
      </c>
      <c r="H439" s="469">
        <v>95.854502200550002</v>
      </c>
      <c r="I439" s="469">
        <v>95.854502200550002</v>
      </c>
      <c r="J439" s="469">
        <v>95.854502200550002</v>
      </c>
      <c r="K439" s="469">
        <v>95.854502200550002</v>
      </c>
      <c r="L439" s="469">
        <v>95.854502200550002</v>
      </c>
      <c r="M439" s="469">
        <v>95.854502200550002</v>
      </c>
      <c r="N439" s="469">
        <v>95.854502200550002</v>
      </c>
      <c r="O439" s="469">
        <v>95.854502200550002</v>
      </c>
      <c r="P439" s="469">
        <v>95.854502200550002</v>
      </c>
      <c r="Q439" s="469">
        <v>95.854502200550002</v>
      </c>
      <c r="R439" s="469">
        <v>95.854502200550002</v>
      </c>
      <c r="S439" s="469">
        <f t="shared" si="39"/>
        <v>1150.2540264065999</v>
      </c>
    </row>
    <row r="440" spans="1:19">
      <c r="A440" s="469" t="str">
        <f t="shared" si="36"/>
        <v>KU</v>
      </c>
      <c r="B440" s="469" t="str">
        <f t="shared" si="37"/>
        <v>KY</v>
      </c>
      <c r="C440" s="469" t="str">
        <f t="shared" si="38"/>
        <v>343</v>
      </c>
      <c r="D440" s="470" t="s">
        <v>1806</v>
      </c>
      <c r="E440" s="468" t="str">
        <f t="shared" si="40"/>
        <v/>
      </c>
      <c r="F440" s="469">
        <v>1363.68048791</v>
      </c>
      <c r="G440" s="469">
        <v>1576.0829612466</v>
      </c>
      <c r="H440" s="469">
        <v>1576.5431362802001</v>
      </c>
      <c r="I440" s="469">
        <v>1577.0033113139</v>
      </c>
      <c r="J440" s="469">
        <v>1578.7746053405999</v>
      </c>
      <c r="K440" s="469">
        <v>1589.5661871208999</v>
      </c>
      <c r="L440" s="469">
        <v>1599.4570438532</v>
      </c>
      <c r="M440" s="469">
        <v>1600.3276129435999</v>
      </c>
      <c r="N440" s="469">
        <v>1600.3276129435999</v>
      </c>
      <c r="O440" s="469">
        <v>1600.3276129435999</v>
      </c>
      <c r="P440" s="469">
        <v>1600.3276129435999</v>
      </c>
      <c r="Q440" s="469">
        <v>1600.3276129435999</v>
      </c>
      <c r="R440" s="469">
        <v>1600.3276129435999</v>
      </c>
      <c r="S440" s="469">
        <f t="shared" si="39"/>
        <v>19099.392922816995</v>
      </c>
    </row>
    <row r="441" spans="1:19">
      <c r="A441" s="469" t="str">
        <f t="shared" si="36"/>
        <v>KU</v>
      </c>
      <c r="B441" s="469" t="str">
        <f t="shared" si="37"/>
        <v>KY</v>
      </c>
      <c r="C441" s="469" t="str">
        <f t="shared" si="38"/>
        <v>343</v>
      </c>
      <c r="D441" s="470" t="s">
        <v>2352</v>
      </c>
      <c r="E441" s="468" t="str">
        <f t="shared" si="40"/>
        <v/>
      </c>
      <c r="F441" s="469">
        <v>602.645448257</v>
      </c>
      <c r="G441" s="469">
        <v>771.12697134699999</v>
      </c>
      <c r="H441" s="469">
        <v>771.12697134699999</v>
      </c>
      <c r="I441" s="469">
        <v>771.12697134699999</v>
      </c>
      <c r="J441" s="469">
        <v>782.88611410199996</v>
      </c>
      <c r="K441" s="469">
        <v>794.64525674699996</v>
      </c>
      <c r="L441" s="469">
        <v>794.64525674699996</v>
      </c>
      <c r="M441" s="469">
        <v>794.64525674699996</v>
      </c>
      <c r="N441" s="469">
        <v>794.64525674699996</v>
      </c>
      <c r="O441" s="469">
        <v>794.64525674699996</v>
      </c>
      <c r="P441" s="469">
        <v>794.64525674699996</v>
      </c>
      <c r="Q441" s="469">
        <v>794.64525674699996</v>
      </c>
      <c r="R441" s="469">
        <v>794.64525674699996</v>
      </c>
      <c r="S441" s="469">
        <f t="shared" si="39"/>
        <v>9453.4290821189988</v>
      </c>
    </row>
    <row r="442" spans="1:19">
      <c r="A442" s="469" t="str">
        <f t="shared" si="36"/>
        <v>KU</v>
      </c>
      <c r="B442" s="469" t="str">
        <f t="shared" si="37"/>
        <v>KY</v>
      </c>
      <c r="C442" s="469" t="str">
        <f t="shared" si="38"/>
        <v>344</v>
      </c>
      <c r="D442" s="470" t="s">
        <v>1807</v>
      </c>
      <c r="E442" s="468" t="str">
        <f t="shared" si="40"/>
        <v/>
      </c>
      <c r="F442" s="469">
        <v>163.19971240800001</v>
      </c>
      <c r="G442" s="469">
        <v>199.51806321439901</v>
      </c>
      <c r="H442" s="469">
        <v>199.51806321439901</v>
      </c>
      <c r="I442" s="469">
        <v>199.51806321439901</v>
      </c>
      <c r="J442" s="469">
        <v>199.51806321439901</v>
      </c>
      <c r="K442" s="469">
        <v>199.51806321439901</v>
      </c>
      <c r="L442" s="469">
        <v>199.51806321439901</v>
      </c>
      <c r="M442" s="469">
        <v>199.51806321439901</v>
      </c>
      <c r="N442" s="469">
        <v>199.51806321439901</v>
      </c>
      <c r="O442" s="469">
        <v>199.51806321439901</v>
      </c>
      <c r="P442" s="469">
        <v>199.51806321439901</v>
      </c>
      <c r="Q442" s="469">
        <v>199.51806321439901</v>
      </c>
      <c r="R442" s="469">
        <v>199.51806321439901</v>
      </c>
      <c r="S442" s="469">
        <f t="shared" si="39"/>
        <v>2394.216758572788</v>
      </c>
    </row>
    <row r="443" spans="1:19">
      <c r="A443" s="469" t="str">
        <f t="shared" si="36"/>
        <v>KU</v>
      </c>
      <c r="B443" s="469" t="str">
        <f t="shared" si="37"/>
        <v>KY</v>
      </c>
      <c r="C443" s="469" t="str">
        <f t="shared" si="38"/>
        <v>344</v>
      </c>
      <c r="D443" s="470" t="s">
        <v>2353</v>
      </c>
      <c r="E443" s="468" t="str">
        <f t="shared" si="40"/>
        <v/>
      </c>
      <c r="F443" s="469">
        <v>150.34609700300001</v>
      </c>
      <c r="G443" s="469">
        <v>139.71068169699899</v>
      </c>
      <c r="H443" s="469">
        <v>139.71068169699899</v>
      </c>
      <c r="I443" s="469">
        <v>139.71068169699899</v>
      </c>
      <c r="J443" s="469">
        <v>139.71068169699899</v>
      </c>
      <c r="K443" s="469">
        <v>139.71068169699899</v>
      </c>
      <c r="L443" s="469">
        <v>139.71068169699899</v>
      </c>
      <c r="M443" s="469">
        <v>139.71068169699899</v>
      </c>
      <c r="N443" s="469">
        <v>139.71068169699899</v>
      </c>
      <c r="O443" s="469">
        <v>139.71068169699899</v>
      </c>
      <c r="P443" s="469">
        <v>139.71068169699899</v>
      </c>
      <c r="Q443" s="469">
        <v>139.71068169699899</v>
      </c>
      <c r="R443" s="469">
        <v>139.71068169699899</v>
      </c>
      <c r="S443" s="469">
        <f t="shared" si="39"/>
        <v>1676.528180363988</v>
      </c>
    </row>
    <row r="444" spans="1:19">
      <c r="A444" s="469" t="str">
        <f t="shared" si="36"/>
        <v>KU</v>
      </c>
      <c r="B444" s="469" t="str">
        <f t="shared" si="37"/>
        <v>KY</v>
      </c>
      <c r="C444" s="469" t="str">
        <f t="shared" si="38"/>
        <v>344</v>
      </c>
      <c r="D444" s="470" t="s">
        <v>2354</v>
      </c>
      <c r="E444" s="468" t="str">
        <f t="shared" si="40"/>
        <v/>
      </c>
      <c r="F444" s="469">
        <v>49.5824106337</v>
      </c>
      <c r="G444" s="469">
        <v>49.5824106337</v>
      </c>
      <c r="H444" s="469">
        <v>49.5824106337</v>
      </c>
      <c r="I444" s="469">
        <v>49.5824106337</v>
      </c>
      <c r="J444" s="469">
        <v>49.5824106337</v>
      </c>
      <c r="K444" s="469">
        <v>49.5824106337</v>
      </c>
      <c r="L444" s="469">
        <v>49.5824106337</v>
      </c>
      <c r="M444" s="469">
        <v>49.5824106337</v>
      </c>
      <c r="N444" s="469">
        <v>49.5824106337</v>
      </c>
      <c r="O444" s="469">
        <v>49.5824106337</v>
      </c>
      <c r="P444" s="469">
        <v>49.5824106337</v>
      </c>
      <c r="Q444" s="469">
        <v>49.5824106337</v>
      </c>
      <c r="R444" s="469">
        <v>49.5824106337</v>
      </c>
      <c r="S444" s="469">
        <f t="shared" si="39"/>
        <v>594.98892760440003</v>
      </c>
    </row>
    <row r="445" spans="1:19">
      <c r="A445" s="469" t="str">
        <f t="shared" si="36"/>
        <v>KU</v>
      </c>
      <c r="B445" s="469" t="str">
        <f t="shared" si="37"/>
        <v>KY</v>
      </c>
      <c r="C445" s="469" t="str">
        <f t="shared" si="38"/>
        <v>345</v>
      </c>
      <c r="D445" s="470" t="s">
        <v>1808</v>
      </c>
      <c r="E445" s="468" t="str">
        <f t="shared" si="40"/>
        <v/>
      </c>
      <c r="F445" s="469">
        <v>149.16258394330001</v>
      </c>
      <c r="G445" s="469">
        <v>178.59607996919999</v>
      </c>
      <c r="H445" s="469">
        <v>178.59607996919999</v>
      </c>
      <c r="I445" s="469">
        <v>178.59607996919999</v>
      </c>
      <c r="J445" s="469">
        <v>185.16605840419999</v>
      </c>
      <c r="K445" s="469">
        <v>191.73603684919999</v>
      </c>
      <c r="L445" s="469">
        <v>191.73603684919999</v>
      </c>
      <c r="M445" s="469">
        <v>191.73603684919999</v>
      </c>
      <c r="N445" s="469">
        <v>191.73603684919999</v>
      </c>
      <c r="O445" s="469">
        <v>191.73603684919999</v>
      </c>
      <c r="P445" s="469">
        <v>191.73603684919999</v>
      </c>
      <c r="Q445" s="469">
        <v>191.73603684919999</v>
      </c>
      <c r="R445" s="469">
        <v>191.73603684919999</v>
      </c>
      <c r="S445" s="469">
        <f t="shared" si="39"/>
        <v>2254.8425931053998</v>
      </c>
    </row>
    <row r="446" spans="1:19">
      <c r="A446" s="469" t="str">
        <f t="shared" si="36"/>
        <v>KU</v>
      </c>
      <c r="B446" s="469" t="str">
        <f t="shared" si="37"/>
        <v>KY</v>
      </c>
      <c r="C446" s="469" t="str">
        <f t="shared" si="38"/>
        <v>345</v>
      </c>
      <c r="D446" s="470" t="s">
        <v>2355</v>
      </c>
      <c r="E446" s="468" t="str">
        <f t="shared" si="40"/>
        <v/>
      </c>
      <c r="F446" s="469">
        <v>45.17980781</v>
      </c>
      <c r="G446" s="469">
        <v>45.027687239999999</v>
      </c>
      <c r="H446" s="469">
        <v>45.027687239999999</v>
      </c>
      <c r="I446" s="469">
        <v>45.027687239999999</v>
      </c>
      <c r="J446" s="469">
        <v>54.117084736999999</v>
      </c>
      <c r="K446" s="469">
        <v>63.206482222999902</v>
      </c>
      <c r="L446" s="469">
        <v>63.206482222999902</v>
      </c>
      <c r="M446" s="469">
        <v>63.206482222999902</v>
      </c>
      <c r="N446" s="469">
        <v>63.206482222999902</v>
      </c>
      <c r="O446" s="469">
        <v>63.206482222999902</v>
      </c>
      <c r="P446" s="469">
        <v>63.206482222999902</v>
      </c>
      <c r="Q446" s="469">
        <v>63.206482222999902</v>
      </c>
      <c r="R446" s="469">
        <v>63.206482222999902</v>
      </c>
      <c r="S446" s="469">
        <f t="shared" si="39"/>
        <v>694.85200424099912</v>
      </c>
    </row>
    <row r="447" spans="1:19">
      <c r="A447" s="469" t="str">
        <f t="shared" si="36"/>
        <v>KU</v>
      </c>
      <c r="B447" s="469" t="str">
        <f t="shared" si="37"/>
        <v>KY</v>
      </c>
      <c r="C447" s="469" t="str">
        <f t="shared" si="38"/>
        <v>345</v>
      </c>
      <c r="D447" s="470" t="s">
        <v>2356</v>
      </c>
      <c r="E447" s="468" t="str">
        <f t="shared" si="40"/>
        <v/>
      </c>
      <c r="F447" s="469">
        <v>5.7618976144999996</v>
      </c>
      <c r="G447" s="469">
        <v>5.7618976144999996</v>
      </c>
      <c r="H447" s="469">
        <v>5.7618976144999996</v>
      </c>
      <c r="I447" s="469">
        <v>5.7618976144999996</v>
      </c>
      <c r="J447" s="469">
        <v>5.7618976144999996</v>
      </c>
      <c r="K447" s="469">
        <v>5.7618976144999996</v>
      </c>
      <c r="L447" s="469">
        <v>8.4868976145000001</v>
      </c>
      <c r="M447" s="469">
        <v>11.2118976115</v>
      </c>
      <c r="N447" s="469">
        <v>11.2118976115</v>
      </c>
      <c r="O447" s="469">
        <v>11.2118976115</v>
      </c>
      <c r="P447" s="469">
        <v>11.2118976115</v>
      </c>
      <c r="Q447" s="469">
        <v>11.2118976115</v>
      </c>
      <c r="R447" s="469">
        <v>11.2118976115</v>
      </c>
      <c r="S447" s="469">
        <f t="shared" si="39"/>
        <v>104.56777135600001</v>
      </c>
    </row>
    <row r="448" spans="1:19">
      <c r="A448" s="469" t="str">
        <f t="shared" si="36"/>
        <v>KU</v>
      </c>
      <c r="B448" s="469" t="str">
        <f t="shared" si="37"/>
        <v>KY</v>
      </c>
      <c r="C448" s="469" t="str">
        <f t="shared" si="38"/>
        <v>346</v>
      </c>
      <c r="D448" s="470" t="s">
        <v>1809</v>
      </c>
      <c r="E448" s="468" t="str">
        <f t="shared" si="40"/>
        <v/>
      </c>
      <c r="F448" s="469">
        <v>22.559827350776999</v>
      </c>
      <c r="G448" s="469">
        <v>30.098314628303999</v>
      </c>
      <c r="H448" s="469">
        <v>30.674564628304001</v>
      </c>
      <c r="I448" s="469">
        <v>31.250814628303999</v>
      </c>
      <c r="J448" s="469">
        <v>31.250814628303999</v>
      </c>
      <c r="K448" s="469">
        <v>31.520183379003999</v>
      </c>
      <c r="L448" s="469">
        <v>31.789552128703999</v>
      </c>
      <c r="M448" s="469">
        <v>31.789552128703999</v>
      </c>
      <c r="N448" s="469">
        <v>31.789552128703999</v>
      </c>
      <c r="O448" s="469">
        <v>31.789552128703999</v>
      </c>
      <c r="P448" s="469">
        <v>31.789552128703999</v>
      </c>
      <c r="Q448" s="469">
        <v>31.789552128703999</v>
      </c>
      <c r="R448" s="469">
        <v>31.789552128703999</v>
      </c>
      <c r="S448" s="469">
        <f t="shared" si="39"/>
        <v>377.32155679314792</v>
      </c>
    </row>
    <row r="449" spans="1:22">
      <c r="A449" s="469" t="str">
        <f t="shared" si="36"/>
        <v>KU</v>
      </c>
      <c r="B449" s="469" t="str">
        <f t="shared" si="37"/>
        <v>KY</v>
      </c>
      <c r="C449" s="469" t="str">
        <f t="shared" si="38"/>
        <v>346</v>
      </c>
      <c r="D449" s="470" t="s">
        <v>2357</v>
      </c>
      <c r="E449" s="468" t="str">
        <f t="shared" si="40"/>
        <v/>
      </c>
      <c r="F449" s="469">
        <v>7.1902145830000004</v>
      </c>
      <c r="G449" s="469">
        <v>8.4650753250000008</v>
      </c>
      <c r="H449" s="469">
        <v>8.4650753250000008</v>
      </c>
      <c r="I449" s="469">
        <v>8.4650753250000008</v>
      </c>
      <c r="J449" s="469">
        <v>8.4650753250000008</v>
      </c>
      <c r="K449" s="469">
        <v>8.4650753250000008</v>
      </c>
      <c r="L449" s="469">
        <v>8.4650753250000008</v>
      </c>
      <c r="M449" s="469">
        <v>8.4650753250000008</v>
      </c>
      <c r="N449" s="469">
        <v>8.4650753250000008</v>
      </c>
      <c r="O449" s="469">
        <v>8.4650753250000008</v>
      </c>
      <c r="P449" s="469">
        <v>8.4650753250000008</v>
      </c>
      <c r="Q449" s="469">
        <v>8.4650753250000008</v>
      </c>
      <c r="R449" s="469">
        <v>8.4650753250000008</v>
      </c>
      <c r="S449" s="469">
        <f t="shared" si="39"/>
        <v>101.58090390000001</v>
      </c>
    </row>
    <row r="450" spans="1:22">
      <c r="A450" s="469" t="str">
        <f t="shared" si="36"/>
        <v>KU</v>
      </c>
      <c r="B450" s="469" t="str">
        <f t="shared" si="37"/>
        <v>KY</v>
      </c>
      <c r="C450" s="469" t="str">
        <f t="shared" si="38"/>
        <v>346</v>
      </c>
      <c r="D450" s="470" t="s">
        <v>2358</v>
      </c>
      <c r="E450" s="468" t="str">
        <f t="shared" si="40"/>
        <v/>
      </c>
      <c r="F450" s="469">
        <v>1.040311175</v>
      </c>
      <c r="G450" s="469">
        <v>1.040311175</v>
      </c>
      <c r="H450" s="469">
        <v>1.040311175</v>
      </c>
      <c r="I450" s="469">
        <v>1.040311175</v>
      </c>
      <c r="J450" s="469">
        <v>1.040311175</v>
      </c>
      <c r="K450" s="469">
        <v>1.040311175</v>
      </c>
      <c r="L450" s="469">
        <v>1.040311175</v>
      </c>
      <c r="M450" s="469">
        <v>1.040311175</v>
      </c>
      <c r="N450" s="469">
        <v>1.040311175</v>
      </c>
      <c r="O450" s="469">
        <v>1.040311175</v>
      </c>
      <c r="P450" s="469">
        <v>1.040311175</v>
      </c>
      <c r="Q450" s="469">
        <v>1.040311175</v>
      </c>
      <c r="R450" s="469">
        <v>1.040311175</v>
      </c>
      <c r="S450" s="469">
        <f t="shared" si="39"/>
        <v>12.483734099999998</v>
      </c>
    </row>
    <row r="451" spans="1:22">
      <c r="A451" s="469" t="str">
        <f t="shared" si="36"/>
        <v>KU</v>
      </c>
      <c r="B451" s="469" t="str">
        <f t="shared" si="37"/>
        <v>KY</v>
      </c>
      <c r="C451" s="469" t="str">
        <f t="shared" si="38"/>
        <v>347</v>
      </c>
      <c r="D451" s="470" t="s">
        <v>2359</v>
      </c>
      <c r="E451" s="468" t="str">
        <f t="shared" si="40"/>
        <v>ARO</v>
      </c>
      <c r="F451" s="469">
        <v>1.73542</v>
      </c>
      <c r="G451" s="469">
        <v>1.73542</v>
      </c>
      <c r="H451" s="469">
        <v>1.73542</v>
      </c>
      <c r="I451" s="469">
        <v>1.73542</v>
      </c>
      <c r="J451" s="469">
        <v>1.73542</v>
      </c>
      <c r="K451" s="469">
        <v>1.73542</v>
      </c>
      <c r="L451" s="469">
        <v>1.73542</v>
      </c>
      <c r="M451" s="469">
        <v>1.73542</v>
      </c>
      <c r="N451" s="469">
        <v>1.73542</v>
      </c>
      <c r="O451" s="469">
        <v>1.73542</v>
      </c>
      <c r="P451" s="469">
        <v>1.73542</v>
      </c>
      <c r="Q451" s="469">
        <v>1.73542</v>
      </c>
      <c r="R451" s="469">
        <v>1.73542</v>
      </c>
      <c r="S451" s="469">
        <f t="shared" si="39"/>
        <v>20.825040000000001</v>
      </c>
    </row>
    <row r="452" spans="1:22">
      <c r="A452" s="469" t="str">
        <f t="shared" si="36"/>
        <v>KU</v>
      </c>
      <c r="B452" s="469" t="str">
        <f t="shared" si="37"/>
        <v>KY</v>
      </c>
      <c r="C452" s="469" t="str">
        <f t="shared" si="38"/>
        <v>350</v>
      </c>
      <c r="D452" s="470" t="s">
        <v>1810</v>
      </c>
      <c r="E452" s="468" t="str">
        <f t="shared" si="40"/>
        <v/>
      </c>
      <c r="F452" s="469">
        <v>21.84793964</v>
      </c>
      <c r="G452" s="469">
        <v>19.57211259</v>
      </c>
      <c r="H452" s="469">
        <v>19.57211259</v>
      </c>
      <c r="I452" s="469">
        <v>19.57211259</v>
      </c>
      <c r="J452" s="469">
        <v>19.57211259</v>
      </c>
      <c r="K452" s="469">
        <v>19.57211259</v>
      </c>
      <c r="L452" s="469">
        <v>19.57211259</v>
      </c>
      <c r="M452" s="469">
        <v>19.57211259</v>
      </c>
      <c r="N452" s="469">
        <v>19.57211259</v>
      </c>
      <c r="O452" s="469">
        <v>19.57211259</v>
      </c>
      <c r="P452" s="469">
        <v>19.57211259</v>
      </c>
      <c r="Q452" s="469">
        <v>19.57211259</v>
      </c>
      <c r="R452" s="469">
        <v>19.57211259</v>
      </c>
      <c r="S452" s="469">
        <f t="shared" si="39"/>
        <v>234.86535107999995</v>
      </c>
    </row>
    <row r="453" spans="1:22">
      <c r="A453" s="469" t="str">
        <f t="shared" si="36"/>
        <v>KU</v>
      </c>
      <c r="B453" s="469" t="str">
        <f t="shared" si="37"/>
        <v>TN</v>
      </c>
      <c r="C453" s="469" t="str">
        <f t="shared" si="38"/>
        <v>350</v>
      </c>
      <c r="D453" s="470" t="s">
        <v>1811</v>
      </c>
      <c r="E453" s="468" t="str">
        <f t="shared" si="40"/>
        <v/>
      </c>
      <c r="F453" s="469">
        <v>3.5162399999999998E-4</v>
      </c>
      <c r="G453" s="469">
        <v>3.1499650000000001E-4</v>
      </c>
      <c r="H453" s="469">
        <v>3.1499650000000001E-4</v>
      </c>
      <c r="I453" s="469">
        <v>3.1499650000000001E-4</v>
      </c>
      <c r="J453" s="469">
        <v>3.1499650000000001E-4</v>
      </c>
      <c r="K453" s="469">
        <v>3.1499650000000001E-4</v>
      </c>
      <c r="L453" s="469">
        <v>3.1499650000000001E-4</v>
      </c>
      <c r="M453" s="469">
        <v>3.1499650000000001E-4</v>
      </c>
      <c r="N453" s="469">
        <v>3.1499650000000001E-4</v>
      </c>
      <c r="O453" s="469">
        <v>3.1499650000000001E-4</v>
      </c>
      <c r="P453" s="469">
        <v>3.1499650000000001E-4</v>
      </c>
      <c r="Q453" s="469">
        <v>3.1499650000000001E-4</v>
      </c>
      <c r="R453" s="469">
        <v>3.1499650000000001E-4</v>
      </c>
      <c r="S453" s="469">
        <f t="shared" si="39"/>
        <v>3.7799579999999995E-3</v>
      </c>
    </row>
    <row r="454" spans="1:22">
      <c r="A454" s="469" t="str">
        <f t="shared" si="36"/>
        <v>KU</v>
      </c>
      <c r="B454" s="469" t="str">
        <f t="shared" si="37"/>
        <v>VA</v>
      </c>
      <c r="C454" s="469" t="str">
        <f t="shared" si="38"/>
        <v>350</v>
      </c>
      <c r="D454" s="470" t="s">
        <v>1812</v>
      </c>
      <c r="E454" s="468" t="str">
        <f t="shared" si="40"/>
        <v/>
      </c>
      <c r="F454" s="469">
        <v>1.6949049759999999</v>
      </c>
      <c r="G454" s="469">
        <v>1.518352374</v>
      </c>
      <c r="H454" s="469">
        <v>1.518352374</v>
      </c>
      <c r="I454" s="469">
        <v>1.518352374</v>
      </c>
      <c r="J454" s="469">
        <v>1.518352374</v>
      </c>
      <c r="K454" s="469">
        <v>1.518352374</v>
      </c>
      <c r="L454" s="469">
        <v>1.518352374</v>
      </c>
      <c r="M454" s="469">
        <v>1.518352374</v>
      </c>
      <c r="N454" s="469">
        <v>1.518352374</v>
      </c>
      <c r="O454" s="469">
        <v>1.518352374</v>
      </c>
      <c r="P454" s="469">
        <v>1.518352374</v>
      </c>
      <c r="Q454" s="469">
        <v>1.518352374</v>
      </c>
      <c r="R454" s="469">
        <v>1.518352374</v>
      </c>
      <c r="S454" s="469">
        <f t="shared" si="39"/>
        <v>18.220228487999997</v>
      </c>
    </row>
    <row r="455" spans="1:22">
      <c r="A455" s="469" t="str">
        <f t="shared" si="36"/>
        <v>KU</v>
      </c>
      <c r="B455" s="469" t="str">
        <f t="shared" si="37"/>
        <v>KY</v>
      </c>
      <c r="C455" s="469" t="str">
        <f t="shared" si="38"/>
        <v>352</v>
      </c>
      <c r="D455" s="470" t="s">
        <v>1813</v>
      </c>
      <c r="E455" s="468" t="str">
        <f t="shared" si="40"/>
        <v/>
      </c>
      <c r="F455" s="469">
        <v>2.0405702527999998</v>
      </c>
      <c r="G455" s="469">
        <v>1.98896622005</v>
      </c>
      <c r="H455" s="469">
        <v>1.98896622005</v>
      </c>
      <c r="I455" s="469">
        <v>1.98896622005</v>
      </c>
      <c r="J455" s="469">
        <v>1.98896622005</v>
      </c>
      <c r="K455" s="469">
        <v>1.98896622005</v>
      </c>
      <c r="L455" s="469">
        <v>1.98896622005</v>
      </c>
      <c r="M455" s="469">
        <v>1.98896622005</v>
      </c>
      <c r="N455" s="469">
        <v>1.98896622005</v>
      </c>
      <c r="O455" s="469">
        <v>1.98896622005</v>
      </c>
      <c r="P455" s="469">
        <v>1.98896622005</v>
      </c>
      <c r="Q455" s="469">
        <v>1.98896622005</v>
      </c>
      <c r="R455" s="469">
        <v>1.98896622005</v>
      </c>
      <c r="S455" s="469">
        <f t="shared" si="39"/>
        <v>23.867594640599993</v>
      </c>
      <c r="U455" s="432"/>
      <c r="V455" s="432"/>
    </row>
    <row r="456" spans="1:22">
      <c r="A456" s="469" t="str">
        <f t="shared" si="36"/>
        <v>KU</v>
      </c>
      <c r="B456" s="469" t="str">
        <f t="shared" si="37"/>
        <v>KY</v>
      </c>
      <c r="C456" s="469" t="str">
        <f t="shared" si="38"/>
        <v>352</v>
      </c>
      <c r="D456" s="470" t="s">
        <v>1814</v>
      </c>
      <c r="E456" s="468" t="str">
        <f t="shared" si="40"/>
        <v/>
      </c>
      <c r="F456" s="469">
        <v>37.615932887</v>
      </c>
      <c r="G456" s="469">
        <v>35.681399190999997</v>
      </c>
      <c r="H456" s="469">
        <v>35.681399190999997</v>
      </c>
      <c r="I456" s="469">
        <v>35.681399190999997</v>
      </c>
      <c r="J456" s="469">
        <v>35.681399190999997</v>
      </c>
      <c r="K456" s="469">
        <v>35.681399190999997</v>
      </c>
      <c r="L456" s="469">
        <v>35.681399190999997</v>
      </c>
      <c r="M456" s="469">
        <v>35.681399190999997</v>
      </c>
      <c r="N456" s="469">
        <v>35.681399190999997</v>
      </c>
      <c r="O456" s="469">
        <v>35.681399190999997</v>
      </c>
      <c r="P456" s="469">
        <v>35.681399190999997</v>
      </c>
      <c r="Q456" s="469">
        <v>35.681399190999997</v>
      </c>
      <c r="R456" s="469">
        <v>35.681399190999997</v>
      </c>
      <c r="S456" s="469">
        <f t="shared" si="39"/>
        <v>428.17679029199985</v>
      </c>
    </row>
    <row r="457" spans="1:22">
      <c r="A457" s="469" t="str">
        <f t="shared" si="36"/>
        <v>KU</v>
      </c>
      <c r="B457" s="469" t="str">
        <f t="shared" si="37"/>
        <v>VA</v>
      </c>
      <c r="C457" s="469" t="str">
        <f t="shared" si="38"/>
        <v>352</v>
      </c>
      <c r="D457" s="470" t="s">
        <v>1815</v>
      </c>
      <c r="E457" s="468" t="str">
        <f t="shared" si="40"/>
        <v/>
      </c>
      <c r="F457" s="469">
        <v>2.3594668999999899</v>
      </c>
      <c r="G457" s="469">
        <v>2.2381228879999999</v>
      </c>
      <c r="H457" s="469">
        <v>2.2381228879999999</v>
      </c>
      <c r="I457" s="469">
        <v>2.2381228879999999</v>
      </c>
      <c r="J457" s="469">
        <v>2.2381228879999999</v>
      </c>
      <c r="K457" s="469">
        <v>2.2381228879999999</v>
      </c>
      <c r="L457" s="469">
        <v>2.2381228879999999</v>
      </c>
      <c r="M457" s="469">
        <v>2.2381228879999999</v>
      </c>
      <c r="N457" s="469">
        <v>2.2381228879999999</v>
      </c>
      <c r="O457" s="469">
        <v>2.2381228879999999</v>
      </c>
      <c r="P457" s="469">
        <v>2.2381228879999999</v>
      </c>
      <c r="Q457" s="469">
        <v>2.2381228879999999</v>
      </c>
      <c r="R457" s="469">
        <v>2.2381228879999999</v>
      </c>
      <c r="S457" s="469">
        <f t="shared" si="39"/>
        <v>26.857474655999997</v>
      </c>
    </row>
    <row r="458" spans="1:22">
      <c r="A458" s="469" t="str">
        <f t="shared" si="36"/>
        <v>KU</v>
      </c>
      <c r="B458" s="469" t="str">
        <f t="shared" si="37"/>
        <v>KY</v>
      </c>
      <c r="C458" s="469" t="str">
        <f t="shared" si="38"/>
        <v>353</v>
      </c>
      <c r="D458" s="470" t="s">
        <v>1816</v>
      </c>
      <c r="E458" s="468" t="str">
        <f t="shared" si="40"/>
        <v/>
      </c>
      <c r="F458" s="469">
        <v>378.56950834999998</v>
      </c>
      <c r="G458" s="469">
        <v>431.70487813</v>
      </c>
      <c r="H458" s="469">
        <v>433.01623211999998</v>
      </c>
      <c r="I458" s="469">
        <v>434.43496477000002</v>
      </c>
      <c r="J458" s="469">
        <v>435.60087732</v>
      </c>
      <c r="K458" s="469">
        <v>436.77076247000002</v>
      </c>
      <c r="L458" s="469">
        <v>451.78532557999898</v>
      </c>
      <c r="M458" s="469">
        <v>466.21946517999999</v>
      </c>
      <c r="N458" s="469">
        <v>465.91570192</v>
      </c>
      <c r="O458" s="469">
        <v>465.57723291999997</v>
      </c>
      <c r="P458" s="469">
        <v>466.46749979999902</v>
      </c>
      <c r="Q458" s="469">
        <v>467.99738879</v>
      </c>
      <c r="R458" s="469">
        <v>472.35406977999997</v>
      </c>
      <c r="S458" s="469">
        <f t="shared" si="39"/>
        <v>5427.8443987799983</v>
      </c>
    </row>
    <row r="459" spans="1:22">
      <c r="A459" s="469" t="str">
        <f t="shared" si="36"/>
        <v>KU</v>
      </c>
      <c r="B459" s="469" t="str">
        <f t="shared" si="37"/>
        <v>VA</v>
      </c>
      <c r="C459" s="469" t="str">
        <f t="shared" si="38"/>
        <v>353</v>
      </c>
      <c r="D459" s="470" t="s">
        <v>1818</v>
      </c>
      <c r="E459" s="468" t="str">
        <f t="shared" si="40"/>
        <v/>
      </c>
      <c r="F459" s="469">
        <v>30.8464322572</v>
      </c>
      <c r="G459" s="469">
        <v>35.094743279200003</v>
      </c>
      <c r="H459" s="469">
        <v>35.094743279200003</v>
      </c>
      <c r="I459" s="469">
        <v>35.094743279200003</v>
      </c>
      <c r="J459" s="469">
        <v>35.094743279200003</v>
      </c>
      <c r="K459" s="469">
        <v>35.094743279200003</v>
      </c>
      <c r="L459" s="469">
        <v>35.253139945800001</v>
      </c>
      <c r="M459" s="469">
        <v>35.411536612500001</v>
      </c>
      <c r="N459" s="469">
        <v>35.411536612500001</v>
      </c>
      <c r="O459" s="469">
        <v>35.411536612500001</v>
      </c>
      <c r="P459" s="469">
        <v>35.411536612500001</v>
      </c>
      <c r="Q459" s="469">
        <v>35.411536612500001</v>
      </c>
      <c r="R459" s="469">
        <v>35.411536612500001</v>
      </c>
      <c r="S459" s="469">
        <f t="shared" si="39"/>
        <v>423.19607601680008</v>
      </c>
    </row>
    <row r="460" spans="1:22">
      <c r="A460" s="469" t="str">
        <f t="shared" si="36"/>
        <v>KU</v>
      </c>
      <c r="B460" s="469" t="str">
        <f t="shared" si="37"/>
        <v>KY</v>
      </c>
      <c r="C460" s="469" t="str">
        <f t="shared" si="38"/>
        <v>354</v>
      </c>
      <c r="D460" s="470" t="s">
        <v>1819</v>
      </c>
      <c r="E460" s="468" t="str">
        <f t="shared" si="40"/>
        <v/>
      </c>
      <c r="F460" s="469">
        <v>78.415255517999995</v>
      </c>
      <c r="G460" s="469">
        <v>97.442486632999902</v>
      </c>
      <c r="H460" s="469">
        <v>97.442486632999902</v>
      </c>
      <c r="I460" s="469">
        <v>97.442486632999902</v>
      </c>
      <c r="J460" s="469">
        <v>97.442486632999902</v>
      </c>
      <c r="K460" s="469">
        <v>97.442486632999902</v>
      </c>
      <c r="L460" s="469">
        <v>97.442486632999902</v>
      </c>
      <c r="M460" s="469">
        <v>97.442486632999902</v>
      </c>
      <c r="N460" s="469">
        <v>97.442486632999902</v>
      </c>
      <c r="O460" s="469">
        <v>97.442486632999902</v>
      </c>
      <c r="P460" s="469">
        <v>97.442486632999902</v>
      </c>
      <c r="Q460" s="469">
        <v>97.442486632999902</v>
      </c>
      <c r="R460" s="469">
        <v>97.442486632999902</v>
      </c>
      <c r="S460" s="469">
        <f t="shared" si="39"/>
        <v>1169.3098395959989</v>
      </c>
    </row>
    <row r="461" spans="1:22">
      <c r="A461" s="469" t="str">
        <f t="shared" si="36"/>
        <v>KU</v>
      </c>
      <c r="B461" s="469" t="str">
        <f t="shared" si="37"/>
        <v>VA</v>
      </c>
      <c r="C461" s="469" t="str">
        <f t="shared" si="38"/>
        <v>354</v>
      </c>
      <c r="D461" s="470" t="s">
        <v>1820</v>
      </c>
      <c r="E461" s="468" t="str">
        <f t="shared" si="40"/>
        <v/>
      </c>
      <c r="F461" s="469">
        <v>8.1385588067000008</v>
      </c>
      <c r="G461" s="469">
        <v>10.113356164000001</v>
      </c>
      <c r="H461" s="469">
        <v>10.113356164000001</v>
      </c>
      <c r="I461" s="469">
        <v>10.113356164000001</v>
      </c>
      <c r="J461" s="469">
        <v>10.113356164000001</v>
      </c>
      <c r="K461" s="469">
        <v>10.113356164000001</v>
      </c>
      <c r="L461" s="469">
        <v>10.113356164000001</v>
      </c>
      <c r="M461" s="469">
        <v>10.113356164000001</v>
      </c>
      <c r="N461" s="469">
        <v>10.113356164000001</v>
      </c>
      <c r="O461" s="469">
        <v>10.113356164000001</v>
      </c>
      <c r="P461" s="469">
        <v>10.113356164000001</v>
      </c>
      <c r="Q461" s="469">
        <v>10.113356164000001</v>
      </c>
      <c r="R461" s="469">
        <v>10.113356164000001</v>
      </c>
      <c r="S461" s="469">
        <f t="shared" si="39"/>
        <v>121.36027396799999</v>
      </c>
    </row>
    <row r="462" spans="1:22">
      <c r="A462" s="469" t="str">
        <f t="shared" si="36"/>
        <v>KU</v>
      </c>
      <c r="B462" s="469" t="str">
        <f t="shared" si="37"/>
        <v>KY</v>
      </c>
      <c r="C462" s="469" t="str">
        <f t="shared" si="38"/>
        <v>355</v>
      </c>
      <c r="D462" s="470" t="s">
        <v>1821</v>
      </c>
      <c r="E462" s="468" t="str">
        <f t="shared" si="40"/>
        <v/>
      </c>
      <c r="F462" s="469">
        <v>571.24104250999903</v>
      </c>
      <c r="G462" s="469">
        <v>744.73704225999995</v>
      </c>
      <c r="H462" s="469">
        <v>756.26671173</v>
      </c>
      <c r="I462" s="469">
        <v>767.05750862999901</v>
      </c>
      <c r="J462" s="469">
        <v>777.61708837000003</v>
      </c>
      <c r="K462" s="469">
        <v>787.19171241000004</v>
      </c>
      <c r="L462" s="469">
        <v>796.64401377000002</v>
      </c>
      <c r="M462" s="469">
        <v>806.18582871000001</v>
      </c>
      <c r="N462" s="469">
        <v>816.71088170999997</v>
      </c>
      <c r="O462" s="469">
        <v>829.70560032999902</v>
      </c>
      <c r="P462" s="469">
        <v>842.97339248000003</v>
      </c>
      <c r="Q462" s="469">
        <v>853.78360545999999</v>
      </c>
      <c r="R462" s="469">
        <v>871.47231933</v>
      </c>
      <c r="S462" s="469">
        <f t="shared" si="39"/>
        <v>9650.3457051899968</v>
      </c>
    </row>
    <row r="463" spans="1:22">
      <c r="A463" s="469" t="str">
        <f t="shared" si="36"/>
        <v>KU</v>
      </c>
      <c r="B463" s="469" t="str">
        <f t="shared" si="37"/>
        <v>TN</v>
      </c>
      <c r="C463" s="469" t="str">
        <f t="shared" si="38"/>
        <v>355</v>
      </c>
      <c r="D463" s="470" t="s">
        <v>1822</v>
      </c>
      <c r="E463" s="468" t="str">
        <f t="shared" si="40"/>
        <v/>
      </c>
      <c r="F463" s="469">
        <v>0.24565904999999999</v>
      </c>
      <c r="G463" s="469">
        <v>0.30759872499999902</v>
      </c>
      <c r="H463" s="469">
        <v>0.30759872499999902</v>
      </c>
      <c r="I463" s="469">
        <v>0.30759872499999902</v>
      </c>
      <c r="J463" s="469">
        <v>0.30759872499999902</v>
      </c>
      <c r="K463" s="469">
        <v>0.30759872499999902</v>
      </c>
      <c r="L463" s="469">
        <v>0.30759872499999902</v>
      </c>
      <c r="M463" s="469">
        <v>0.30759872499999902</v>
      </c>
      <c r="N463" s="469">
        <v>0.30759872499999902</v>
      </c>
      <c r="O463" s="469">
        <v>0.30759872499999902</v>
      </c>
      <c r="P463" s="469">
        <v>0.30759872499999902</v>
      </c>
      <c r="Q463" s="469">
        <v>0.30759872499999902</v>
      </c>
      <c r="R463" s="469">
        <v>0.30759872499999902</v>
      </c>
      <c r="S463" s="469">
        <f t="shared" si="39"/>
        <v>3.6911846999999889</v>
      </c>
    </row>
    <row r="464" spans="1:22">
      <c r="A464" s="469" t="str">
        <f t="shared" si="36"/>
        <v>KU</v>
      </c>
      <c r="B464" s="469" t="str">
        <f t="shared" si="37"/>
        <v>VA</v>
      </c>
      <c r="C464" s="469" t="str">
        <f t="shared" si="38"/>
        <v>355</v>
      </c>
      <c r="D464" s="470" t="s">
        <v>1823</v>
      </c>
      <c r="E464" s="468" t="str">
        <f t="shared" si="40"/>
        <v/>
      </c>
      <c r="F464" s="469">
        <v>24.044975003699999</v>
      </c>
      <c r="G464" s="469">
        <v>30.107596902000001</v>
      </c>
      <c r="H464" s="469">
        <v>30.227172148999902</v>
      </c>
      <c r="I464" s="469">
        <v>30.346747404999999</v>
      </c>
      <c r="J464" s="469">
        <v>30.346747404999999</v>
      </c>
      <c r="K464" s="469">
        <v>30.346747404999999</v>
      </c>
      <c r="L464" s="469">
        <v>30.346747404999999</v>
      </c>
      <c r="M464" s="469">
        <v>30.346747404999999</v>
      </c>
      <c r="N464" s="469">
        <v>30.346747404999999</v>
      </c>
      <c r="O464" s="469">
        <v>30.769334425</v>
      </c>
      <c r="P464" s="469">
        <v>31.191921434000001</v>
      </c>
      <c r="Q464" s="469">
        <v>31.191921434000001</v>
      </c>
      <c r="R464" s="469">
        <v>31.191921434000001</v>
      </c>
      <c r="S464" s="469">
        <f t="shared" si="39"/>
        <v>366.76035220799986</v>
      </c>
    </row>
    <row r="465" spans="1:19">
      <c r="A465" s="469" t="str">
        <f t="shared" si="36"/>
        <v>KU</v>
      </c>
      <c r="B465" s="469" t="str">
        <f t="shared" si="37"/>
        <v>KY</v>
      </c>
      <c r="C465" s="469" t="str">
        <f t="shared" si="38"/>
        <v>356</v>
      </c>
      <c r="D465" s="470" t="s">
        <v>1824</v>
      </c>
      <c r="E465" s="468" t="str">
        <f t="shared" si="40"/>
        <v/>
      </c>
      <c r="F465" s="469">
        <v>267.18200204999999</v>
      </c>
      <c r="G465" s="469">
        <v>350.86306401000002</v>
      </c>
      <c r="H465" s="469">
        <v>353.28219278</v>
      </c>
      <c r="I465" s="469">
        <v>355.70132164</v>
      </c>
      <c r="J465" s="469">
        <v>355.85321817999898</v>
      </c>
      <c r="K465" s="469">
        <v>356.00511451</v>
      </c>
      <c r="L465" s="469">
        <v>356.15701104999999</v>
      </c>
      <c r="M465" s="469">
        <v>356.31108620999998</v>
      </c>
      <c r="N465" s="469">
        <v>356.467340409999</v>
      </c>
      <c r="O465" s="469">
        <v>356.62359459999999</v>
      </c>
      <c r="P465" s="469">
        <v>356.77984879000002</v>
      </c>
      <c r="Q465" s="469">
        <v>356.93610288999997</v>
      </c>
      <c r="R465" s="469">
        <v>357.09235697999998</v>
      </c>
      <c r="S465" s="469">
        <f t="shared" si="39"/>
        <v>4268.0722520499985</v>
      </c>
    </row>
    <row r="466" spans="1:19">
      <c r="A466" s="469" t="str">
        <f t="shared" si="36"/>
        <v>KU</v>
      </c>
      <c r="B466" s="469" t="str">
        <f t="shared" si="37"/>
        <v>TN</v>
      </c>
      <c r="C466" s="469" t="str">
        <f t="shared" si="38"/>
        <v>356</v>
      </c>
      <c r="D466" s="470" t="s">
        <v>1825</v>
      </c>
      <c r="E466" s="468" t="str">
        <f t="shared" si="40"/>
        <v/>
      </c>
      <c r="F466" s="469">
        <v>0.126199796837</v>
      </c>
      <c r="G466" s="469">
        <v>0.16523066182999999</v>
      </c>
      <c r="H466" s="469">
        <v>0.16523066182999999</v>
      </c>
      <c r="I466" s="469">
        <v>0.16523066182999999</v>
      </c>
      <c r="J466" s="469">
        <v>0.16523066182999999</v>
      </c>
      <c r="K466" s="469">
        <v>0.16523066182999999</v>
      </c>
      <c r="L466" s="469">
        <v>0.16523066182999999</v>
      </c>
      <c r="M466" s="469">
        <v>0.16523066182999999</v>
      </c>
      <c r="N466" s="469">
        <v>0.16523066182999999</v>
      </c>
      <c r="O466" s="469">
        <v>0.16523066182999999</v>
      </c>
      <c r="P466" s="469">
        <v>0.16523066182999999</v>
      </c>
      <c r="Q466" s="469">
        <v>0.16523066182999999</v>
      </c>
      <c r="R466" s="469">
        <v>0.16523066182999999</v>
      </c>
      <c r="S466" s="469">
        <f t="shared" si="39"/>
        <v>1.9827679419599995</v>
      </c>
    </row>
    <row r="467" spans="1:19">
      <c r="A467" s="469" t="str">
        <f t="shared" si="36"/>
        <v>KU</v>
      </c>
      <c r="B467" s="469" t="str">
        <f t="shared" si="37"/>
        <v>VA</v>
      </c>
      <c r="C467" s="469" t="str">
        <f t="shared" si="38"/>
        <v>356</v>
      </c>
      <c r="D467" s="470" t="s">
        <v>1826</v>
      </c>
      <c r="E467" s="468" t="str">
        <f t="shared" si="40"/>
        <v/>
      </c>
      <c r="F467" s="469">
        <v>28.065945626999898</v>
      </c>
      <c r="G467" s="469">
        <v>36.746134996999999</v>
      </c>
      <c r="H467" s="469">
        <v>36.746134996999999</v>
      </c>
      <c r="I467" s="469">
        <v>36.746134996999999</v>
      </c>
      <c r="J467" s="469">
        <v>36.746134996999999</v>
      </c>
      <c r="K467" s="469">
        <v>36.746134996999999</v>
      </c>
      <c r="L467" s="469">
        <v>36.746134996999999</v>
      </c>
      <c r="M467" s="469">
        <v>36.746134996999999</v>
      </c>
      <c r="N467" s="469">
        <v>36.746134996999999</v>
      </c>
      <c r="O467" s="469">
        <v>36.746134996999999</v>
      </c>
      <c r="P467" s="469">
        <v>36.746134996999999</v>
      </c>
      <c r="Q467" s="469">
        <v>36.746134996999999</v>
      </c>
      <c r="R467" s="469">
        <v>36.746134996999999</v>
      </c>
      <c r="S467" s="469">
        <f t="shared" si="39"/>
        <v>440.9536199640001</v>
      </c>
    </row>
    <row r="468" spans="1:19">
      <c r="A468" s="469" t="str">
        <f t="shared" si="36"/>
        <v>KU</v>
      </c>
      <c r="B468" s="469" t="str">
        <f t="shared" si="37"/>
        <v>KY</v>
      </c>
      <c r="C468" s="469" t="str">
        <f t="shared" si="38"/>
        <v>357</v>
      </c>
      <c r="D468" s="470" t="s">
        <v>1827</v>
      </c>
      <c r="E468" s="468" t="str">
        <f t="shared" si="40"/>
        <v/>
      </c>
      <c r="F468" s="469">
        <v>0.84890482519999999</v>
      </c>
      <c r="G468" s="469">
        <v>0.63574370169999905</v>
      </c>
      <c r="H468" s="469">
        <v>0.63574370169999905</v>
      </c>
      <c r="I468" s="469">
        <v>0.63574370169999905</v>
      </c>
      <c r="J468" s="469">
        <v>0.63574370169999905</v>
      </c>
      <c r="K468" s="469">
        <v>0.63574370169999905</v>
      </c>
      <c r="L468" s="469">
        <v>0.63574370169999905</v>
      </c>
      <c r="M468" s="469">
        <v>0.63574370169999905</v>
      </c>
      <c r="N468" s="469">
        <v>0.63574370169999905</v>
      </c>
      <c r="O468" s="469">
        <v>0.63574370169999905</v>
      </c>
      <c r="P468" s="469">
        <v>0.63574370169999905</v>
      </c>
      <c r="Q468" s="469">
        <v>0.63574370169999905</v>
      </c>
      <c r="R468" s="469">
        <v>0.63574370169999905</v>
      </c>
      <c r="S468" s="469">
        <f t="shared" si="39"/>
        <v>7.6289244203999891</v>
      </c>
    </row>
    <row r="469" spans="1:19">
      <c r="A469" s="469" t="str">
        <f t="shared" si="36"/>
        <v>KU</v>
      </c>
      <c r="B469" s="469" t="str">
        <f t="shared" si="37"/>
        <v>KY</v>
      </c>
      <c r="C469" s="469" t="str">
        <f t="shared" si="38"/>
        <v>358</v>
      </c>
      <c r="D469" s="470" t="s">
        <v>1828</v>
      </c>
      <c r="E469" s="468" t="str">
        <f t="shared" si="40"/>
        <v/>
      </c>
      <c r="F469" s="469">
        <v>0.91198316530000001</v>
      </c>
      <c r="G469" s="469">
        <v>0.68864034929999995</v>
      </c>
      <c r="H469" s="469">
        <v>0.68864034929999995</v>
      </c>
      <c r="I469" s="469">
        <v>0.68864034929999995</v>
      </c>
      <c r="J469" s="469">
        <v>0.68864034929999995</v>
      </c>
      <c r="K469" s="469">
        <v>0.68864034929999995</v>
      </c>
      <c r="L469" s="469">
        <v>0.68864034929999995</v>
      </c>
      <c r="M469" s="469">
        <v>0.68864034929999995</v>
      </c>
      <c r="N469" s="469">
        <v>0.68864034929999995</v>
      </c>
      <c r="O469" s="469">
        <v>0.68864034929999995</v>
      </c>
      <c r="P469" s="469">
        <v>0.68864034929999995</v>
      </c>
      <c r="Q469" s="469">
        <v>0.68864034929999995</v>
      </c>
      <c r="R469" s="469">
        <v>0.68864034929999995</v>
      </c>
      <c r="S469" s="469">
        <f t="shared" si="39"/>
        <v>8.2636841915999995</v>
      </c>
    </row>
    <row r="470" spans="1:19">
      <c r="A470" s="469" t="str">
        <f t="shared" si="36"/>
        <v>KU</v>
      </c>
      <c r="B470" s="469" t="str">
        <f t="shared" si="37"/>
        <v>KY</v>
      </c>
      <c r="C470" s="469" t="str">
        <f t="shared" si="38"/>
        <v>359</v>
      </c>
      <c r="D470" s="470" t="s">
        <v>1829</v>
      </c>
      <c r="E470" s="468" t="str">
        <f t="shared" si="40"/>
        <v>ARO</v>
      </c>
      <c r="F470" s="469">
        <v>0.69945000000000002</v>
      </c>
      <c r="G470" s="469">
        <v>0.69945000000000002</v>
      </c>
      <c r="H470" s="469">
        <v>0.69945000000000002</v>
      </c>
      <c r="I470" s="469">
        <v>0.69945000000000002</v>
      </c>
      <c r="J470" s="469">
        <v>0.69945000000000002</v>
      </c>
      <c r="K470" s="469">
        <v>0.69945000000000002</v>
      </c>
      <c r="L470" s="469">
        <v>0.69945000000000002</v>
      </c>
      <c r="M470" s="469">
        <v>0.69945000000000002</v>
      </c>
      <c r="N470" s="469">
        <v>0.69945000000000002</v>
      </c>
      <c r="O470" s="469">
        <v>0.69945000000000002</v>
      </c>
      <c r="P470" s="469">
        <v>0.69945000000000002</v>
      </c>
      <c r="Q470" s="469">
        <v>0.69945000000000002</v>
      </c>
      <c r="R470" s="469">
        <v>0.69945000000000002</v>
      </c>
      <c r="S470" s="469">
        <f t="shared" si="39"/>
        <v>8.393399999999998</v>
      </c>
    </row>
    <row r="471" spans="1:19">
      <c r="A471" s="469" t="str">
        <f t="shared" si="36"/>
        <v>KU</v>
      </c>
      <c r="B471" s="469" t="str">
        <f t="shared" si="37"/>
        <v>KY</v>
      </c>
      <c r="C471" s="469" t="str">
        <f t="shared" si="38"/>
        <v>360</v>
      </c>
      <c r="D471" s="470" t="s">
        <v>1831</v>
      </c>
      <c r="E471" s="468" t="str">
        <f t="shared" si="40"/>
        <v/>
      </c>
      <c r="F471" s="469">
        <v>1.003061701</v>
      </c>
      <c r="G471" s="469">
        <v>1.1068267039999999</v>
      </c>
      <c r="H471" s="469">
        <v>1.1068267039999999</v>
      </c>
      <c r="I471" s="469">
        <v>1.1068267039999999</v>
      </c>
      <c r="J471" s="469">
        <v>1.1068267039999999</v>
      </c>
      <c r="K471" s="469">
        <v>1.1068267039999999</v>
      </c>
      <c r="L471" s="469">
        <v>1.1068267039999999</v>
      </c>
      <c r="M471" s="469">
        <v>1.1068267039999999</v>
      </c>
      <c r="N471" s="469">
        <v>1.1068267039999999</v>
      </c>
      <c r="O471" s="469">
        <v>1.1068267039999999</v>
      </c>
      <c r="P471" s="469">
        <v>1.1068267039999999</v>
      </c>
      <c r="Q471" s="469">
        <v>1.1068267039999999</v>
      </c>
      <c r="R471" s="469">
        <v>1.1068267039999999</v>
      </c>
      <c r="S471" s="469">
        <f t="shared" si="39"/>
        <v>13.281920447999996</v>
      </c>
    </row>
    <row r="472" spans="1:19">
      <c r="A472" s="469" t="str">
        <f t="shared" ref="A472:A523" si="41">MID($D472,4,2)</f>
        <v>KU</v>
      </c>
      <c r="B472" s="469" t="str">
        <f t="shared" ref="B472:B523" si="42">IF(MID($D472,12,2)="- ","KY",MID($D472,12,2))</f>
        <v>TN</v>
      </c>
      <c r="C472" s="469" t="str">
        <f t="shared" ref="C472:C523" si="43">MID($D472,8,3)</f>
        <v>360</v>
      </c>
      <c r="D472" s="470" t="s">
        <v>1832</v>
      </c>
      <c r="E472" s="468" t="str">
        <f t="shared" si="40"/>
        <v/>
      </c>
      <c r="F472" s="469">
        <v>1.2699148329999999E-3</v>
      </c>
      <c r="G472" s="469">
        <v>1.4012853329999999E-3</v>
      </c>
      <c r="H472" s="469">
        <v>1.4012853329999999E-3</v>
      </c>
      <c r="I472" s="469">
        <v>1.4012853329999999E-3</v>
      </c>
      <c r="J472" s="469">
        <v>1.4012853329999999E-3</v>
      </c>
      <c r="K472" s="469">
        <v>1.4012853329999999E-3</v>
      </c>
      <c r="L472" s="469">
        <v>1.4012853329999999E-3</v>
      </c>
      <c r="M472" s="469">
        <v>1.4012853329999999E-3</v>
      </c>
      <c r="N472" s="469">
        <v>1.4012853329999999E-3</v>
      </c>
      <c r="O472" s="469">
        <v>1.4012853329999999E-3</v>
      </c>
      <c r="P472" s="469">
        <v>1.4012853329999999E-3</v>
      </c>
      <c r="Q472" s="469">
        <v>1.4012853329999999E-3</v>
      </c>
      <c r="R472" s="469">
        <v>1.4012853329999999E-3</v>
      </c>
      <c r="S472" s="469">
        <f t="shared" ref="S472:S537" si="44">SUM(G472:R472)</f>
        <v>1.6815423995999997E-2</v>
      </c>
    </row>
    <row r="473" spans="1:19">
      <c r="A473" s="469" t="str">
        <f t="shared" si="41"/>
        <v>KU</v>
      </c>
      <c r="B473" s="469" t="str">
        <f t="shared" si="42"/>
        <v>VA</v>
      </c>
      <c r="C473" s="469" t="str">
        <f t="shared" si="43"/>
        <v>360</v>
      </c>
      <c r="D473" s="470" t="s">
        <v>1833</v>
      </c>
      <c r="E473" s="468" t="str">
        <f t="shared" si="40"/>
        <v/>
      </c>
      <c r="F473" s="469">
        <v>4.3984217829999998E-2</v>
      </c>
      <c r="G473" s="469">
        <v>4.8534309329999997E-2</v>
      </c>
      <c r="H473" s="469">
        <v>4.8534309329999997E-2</v>
      </c>
      <c r="I473" s="469">
        <v>4.8534309329999997E-2</v>
      </c>
      <c r="J473" s="469">
        <v>4.8534309329999997E-2</v>
      </c>
      <c r="K473" s="469">
        <v>4.8534309329999997E-2</v>
      </c>
      <c r="L473" s="469">
        <v>4.8534309329999997E-2</v>
      </c>
      <c r="M473" s="469">
        <v>4.8534309329999997E-2</v>
      </c>
      <c r="N473" s="469">
        <v>4.8534309329999997E-2</v>
      </c>
      <c r="O473" s="469">
        <v>4.8534309329999997E-2</v>
      </c>
      <c r="P473" s="469">
        <v>4.8534309329999997E-2</v>
      </c>
      <c r="Q473" s="469">
        <v>4.8534309329999997E-2</v>
      </c>
      <c r="R473" s="469">
        <v>4.8534309329999997E-2</v>
      </c>
      <c r="S473" s="469">
        <f t="shared" si="44"/>
        <v>0.58241171196000008</v>
      </c>
    </row>
    <row r="474" spans="1:19">
      <c r="A474" s="469" t="str">
        <f t="shared" si="41"/>
        <v>KU</v>
      </c>
      <c r="B474" s="469" t="str">
        <f t="shared" si="42"/>
        <v>KY</v>
      </c>
      <c r="C474" s="469" t="str">
        <f t="shared" si="43"/>
        <v>361</v>
      </c>
      <c r="D474" s="470" t="s">
        <v>1834</v>
      </c>
      <c r="E474" s="468" t="str">
        <f t="shared" si="40"/>
        <v/>
      </c>
      <c r="F474" s="469">
        <v>20.022360250999998</v>
      </c>
      <c r="G474" s="469">
        <v>22.925120588999999</v>
      </c>
      <c r="H474" s="469">
        <v>24.327995587</v>
      </c>
      <c r="I474" s="469">
        <v>24.329787249999999</v>
      </c>
      <c r="J474" s="469">
        <v>24.329787249999999</v>
      </c>
      <c r="K474" s="469">
        <v>24.329787249999999</v>
      </c>
      <c r="L474" s="469">
        <v>24.403520063999999</v>
      </c>
      <c r="M474" s="469">
        <v>24.477252886999999</v>
      </c>
      <c r="N474" s="469">
        <v>24.477252886999999</v>
      </c>
      <c r="O474" s="469">
        <v>24.477252886999999</v>
      </c>
      <c r="P474" s="469">
        <v>24.477252886999999</v>
      </c>
      <c r="Q474" s="469">
        <v>24.477252886999999</v>
      </c>
      <c r="R474" s="469">
        <v>24.477252886999999</v>
      </c>
      <c r="S474" s="469">
        <f t="shared" si="44"/>
        <v>291.50951531199996</v>
      </c>
    </row>
    <row r="475" spans="1:19">
      <c r="A475" s="469" t="str">
        <f t="shared" si="41"/>
        <v>KU</v>
      </c>
      <c r="B475" s="469" t="str">
        <f t="shared" si="42"/>
        <v>TN</v>
      </c>
      <c r="C475" s="469" t="str">
        <f t="shared" si="43"/>
        <v>361</v>
      </c>
      <c r="D475" s="470" t="s">
        <v>1835</v>
      </c>
      <c r="E475" s="468" t="str">
        <f t="shared" si="40"/>
        <v/>
      </c>
      <c r="F475" s="469">
        <v>4.2931499999999999E-3</v>
      </c>
      <c r="G475" s="469">
        <v>4.6151362499999996E-3</v>
      </c>
      <c r="H475" s="469">
        <v>4.6151362499999996E-3</v>
      </c>
      <c r="I475" s="469">
        <v>4.6151362499999996E-3</v>
      </c>
      <c r="J475" s="469">
        <v>4.6151362499999996E-3</v>
      </c>
      <c r="K475" s="469">
        <v>4.6151362499999996E-3</v>
      </c>
      <c r="L475" s="469">
        <v>4.6151362499999996E-3</v>
      </c>
      <c r="M475" s="469">
        <v>4.6151362499999996E-3</v>
      </c>
      <c r="N475" s="469">
        <v>4.6151362499999996E-3</v>
      </c>
      <c r="O475" s="469">
        <v>4.6151362499999996E-3</v>
      </c>
      <c r="P475" s="469">
        <v>4.6151362499999996E-3</v>
      </c>
      <c r="Q475" s="469">
        <v>4.6151362499999996E-3</v>
      </c>
      <c r="R475" s="469">
        <v>4.6151362499999996E-3</v>
      </c>
      <c r="S475" s="469">
        <f t="shared" si="44"/>
        <v>5.5381634999999992E-2</v>
      </c>
    </row>
    <row r="476" spans="1:19">
      <c r="A476" s="469" t="str">
        <f t="shared" si="41"/>
        <v>KU</v>
      </c>
      <c r="B476" s="469" t="str">
        <f t="shared" si="42"/>
        <v>VA</v>
      </c>
      <c r="C476" s="469" t="str">
        <f t="shared" si="43"/>
        <v>361</v>
      </c>
      <c r="D476" s="470" t="s">
        <v>1836</v>
      </c>
      <c r="E476" s="468" t="str">
        <f t="shared" si="40"/>
        <v/>
      </c>
      <c r="F476" s="469">
        <v>0.82278586669999998</v>
      </c>
      <c r="G476" s="469">
        <v>0.88449480660000002</v>
      </c>
      <c r="H476" s="469">
        <v>0.88449480660000002</v>
      </c>
      <c r="I476" s="469">
        <v>0.88449480660000002</v>
      </c>
      <c r="J476" s="469">
        <v>0.88449480660000002</v>
      </c>
      <c r="K476" s="469">
        <v>0.88449480660000002</v>
      </c>
      <c r="L476" s="469">
        <v>0.88449480660000002</v>
      </c>
      <c r="M476" s="469">
        <v>0.88449480660000002</v>
      </c>
      <c r="N476" s="469">
        <v>0.88449480660000002</v>
      </c>
      <c r="O476" s="469">
        <v>0.88449480660000002</v>
      </c>
      <c r="P476" s="469">
        <v>0.88449480660000002</v>
      </c>
      <c r="Q476" s="469">
        <v>0.88449480660000002</v>
      </c>
      <c r="R476" s="469">
        <v>0.88449480660000002</v>
      </c>
      <c r="S476" s="469">
        <f t="shared" si="44"/>
        <v>10.613937679199999</v>
      </c>
    </row>
    <row r="477" spans="1:19">
      <c r="A477" s="469" t="str">
        <f t="shared" si="41"/>
        <v>KU</v>
      </c>
      <c r="B477" s="469" t="str">
        <f t="shared" si="42"/>
        <v>KY</v>
      </c>
      <c r="C477" s="469" t="str">
        <f t="shared" si="43"/>
        <v>362</v>
      </c>
      <c r="D477" s="470" t="s">
        <v>1837</v>
      </c>
      <c r="E477" s="468" t="str">
        <f t="shared" si="40"/>
        <v/>
      </c>
      <c r="F477" s="469">
        <v>345.00956826999999</v>
      </c>
      <c r="G477" s="469">
        <v>347.81855597999999</v>
      </c>
      <c r="H477" s="469">
        <v>347.64039588999998</v>
      </c>
      <c r="I477" s="469">
        <v>347.50239187</v>
      </c>
      <c r="J477" s="469">
        <v>347.36272188999999</v>
      </c>
      <c r="K477" s="469">
        <v>347.22639400000003</v>
      </c>
      <c r="L477" s="469">
        <v>364.74069249000001</v>
      </c>
      <c r="M477" s="469">
        <v>382.26222668999998</v>
      </c>
      <c r="N477" s="469">
        <v>382.13413549000001</v>
      </c>
      <c r="O477" s="469">
        <v>381.97890308999899</v>
      </c>
      <c r="P477" s="469">
        <v>381.86728178999999</v>
      </c>
      <c r="Q477" s="469">
        <v>381.73833571999899</v>
      </c>
      <c r="R477" s="469">
        <v>381.51385948000001</v>
      </c>
      <c r="S477" s="469">
        <f t="shared" si="44"/>
        <v>4393.7858943799984</v>
      </c>
    </row>
    <row r="478" spans="1:19">
      <c r="A478" s="469" t="str">
        <f t="shared" si="41"/>
        <v>KU</v>
      </c>
      <c r="B478" s="469" t="str">
        <f t="shared" si="42"/>
        <v>TN</v>
      </c>
      <c r="C478" s="469" t="str">
        <f t="shared" si="43"/>
        <v>362</v>
      </c>
      <c r="D478" s="470" t="s">
        <v>1838</v>
      </c>
      <c r="E478" s="468" t="str">
        <f t="shared" si="40"/>
        <v/>
      </c>
      <c r="F478" s="469">
        <v>0.12652838124999999</v>
      </c>
      <c r="G478" s="469">
        <v>0.12764316880000001</v>
      </c>
      <c r="H478" s="469">
        <v>0.12764316880000001</v>
      </c>
      <c r="I478" s="469">
        <v>0.12764316880000001</v>
      </c>
      <c r="J478" s="469">
        <v>0.12764316880000001</v>
      </c>
      <c r="K478" s="469">
        <v>0.12764316880000001</v>
      </c>
      <c r="L478" s="469">
        <v>0.12764316880000001</v>
      </c>
      <c r="M478" s="469">
        <v>0.12764316880000001</v>
      </c>
      <c r="N478" s="469">
        <v>0.12764316880000001</v>
      </c>
      <c r="O478" s="469">
        <v>0.12764316880000001</v>
      </c>
      <c r="P478" s="469">
        <v>0.12764316880000001</v>
      </c>
      <c r="Q478" s="469">
        <v>0.12764316880000001</v>
      </c>
      <c r="R478" s="469">
        <v>0.12764316880000001</v>
      </c>
      <c r="S478" s="469">
        <f t="shared" si="44"/>
        <v>1.5317180255999998</v>
      </c>
    </row>
    <row r="479" spans="1:19">
      <c r="A479" s="469" t="str">
        <f t="shared" si="41"/>
        <v>KU</v>
      </c>
      <c r="B479" s="469" t="str">
        <f t="shared" si="42"/>
        <v>VA</v>
      </c>
      <c r="C479" s="469" t="str">
        <f t="shared" si="43"/>
        <v>362</v>
      </c>
      <c r="D479" s="470" t="s">
        <v>1839</v>
      </c>
      <c r="E479" s="468" t="str">
        <f t="shared" si="40"/>
        <v/>
      </c>
      <c r="F479" s="469">
        <v>15.574451099999999</v>
      </c>
      <c r="G479" s="469">
        <v>15.711670936999999</v>
      </c>
      <c r="H479" s="469">
        <v>15.711670936999999</v>
      </c>
      <c r="I479" s="469">
        <v>15.711670936999999</v>
      </c>
      <c r="J479" s="469">
        <v>15.711670936999999</v>
      </c>
      <c r="K479" s="469">
        <v>15.711670936999999</v>
      </c>
      <c r="L479" s="469">
        <v>15.711670936999999</v>
      </c>
      <c r="M479" s="469">
        <v>15.711670936999999</v>
      </c>
      <c r="N479" s="469">
        <v>15.711670936999999</v>
      </c>
      <c r="O479" s="469">
        <v>15.711670936999999</v>
      </c>
      <c r="P479" s="469">
        <v>15.711670936999999</v>
      </c>
      <c r="Q479" s="469">
        <v>15.711670936999999</v>
      </c>
      <c r="R479" s="469">
        <v>15.711670936999999</v>
      </c>
      <c r="S479" s="469">
        <f t="shared" si="44"/>
        <v>188.54005124400001</v>
      </c>
    </row>
    <row r="480" spans="1:19">
      <c r="A480" s="469" t="str">
        <f t="shared" si="41"/>
        <v>KU</v>
      </c>
      <c r="B480" s="469" t="str">
        <f t="shared" si="42"/>
        <v>KY</v>
      </c>
      <c r="C480" s="469" t="str">
        <f t="shared" si="43"/>
        <v>364</v>
      </c>
      <c r="D480" s="470" t="s">
        <v>2360</v>
      </c>
      <c r="E480" s="468" t="str">
        <f t="shared" si="40"/>
        <v>ECR</v>
      </c>
      <c r="F480" s="469">
        <v>5.1514746673000003E-2</v>
      </c>
      <c r="G480" s="469">
        <v>5.9031920000000002E-2</v>
      </c>
      <c r="H480" s="469">
        <v>5.9031920000000002E-2</v>
      </c>
      <c r="I480" s="469">
        <v>5.9031920000000002E-2</v>
      </c>
      <c r="J480" s="469">
        <v>5.9031920000000002E-2</v>
      </c>
      <c r="K480" s="469">
        <v>5.9031920000000002E-2</v>
      </c>
      <c r="L480" s="469">
        <v>5.9031920000000002E-2</v>
      </c>
      <c r="M480" s="469">
        <v>5.9031920000000002E-2</v>
      </c>
      <c r="N480" s="469">
        <v>5.9031920000000002E-2</v>
      </c>
      <c r="O480" s="469">
        <v>5.9031920000000002E-2</v>
      </c>
      <c r="P480" s="469">
        <v>5.9031920000000002E-2</v>
      </c>
      <c r="Q480" s="469">
        <v>5.9031920000000002E-2</v>
      </c>
      <c r="R480" s="469">
        <v>5.9031920000000002E-2</v>
      </c>
      <c r="S480" s="469">
        <f t="shared" si="44"/>
        <v>0.70838304000000007</v>
      </c>
    </row>
    <row r="481" spans="1:19">
      <c r="A481" s="469" t="str">
        <f t="shared" si="41"/>
        <v>KU</v>
      </c>
      <c r="B481" s="469" t="str">
        <f t="shared" si="42"/>
        <v>KY</v>
      </c>
      <c r="C481" s="469" t="str">
        <f t="shared" si="43"/>
        <v>364</v>
      </c>
      <c r="D481" s="470" t="s">
        <v>1840</v>
      </c>
      <c r="E481" s="468" t="str">
        <f t="shared" si="40"/>
        <v/>
      </c>
      <c r="F481" s="469">
        <v>683.17734685999994</v>
      </c>
      <c r="G481" s="469">
        <v>784.97265478999998</v>
      </c>
      <c r="H481" s="469">
        <v>787.195560749999</v>
      </c>
      <c r="I481" s="469">
        <v>789.49594019000006</v>
      </c>
      <c r="J481" s="469">
        <v>791.7073484</v>
      </c>
      <c r="K481" s="469">
        <v>793.51253062000001</v>
      </c>
      <c r="L481" s="469">
        <v>796.22534803999997</v>
      </c>
      <c r="M481" s="469">
        <v>799.08192070999996</v>
      </c>
      <c r="N481" s="469">
        <v>800.7516574</v>
      </c>
      <c r="O481" s="469">
        <v>802.71372366999901</v>
      </c>
      <c r="P481" s="469">
        <v>805.06050733999996</v>
      </c>
      <c r="Q481" s="469">
        <v>807.38203805000001</v>
      </c>
      <c r="R481" s="469">
        <v>809.59557109999901</v>
      </c>
      <c r="S481" s="469">
        <f t="shared" si="44"/>
        <v>9567.6948010599972</v>
      </c>
    </row>
    <row r="482" spans="1:19">
      <c r="A482" s="469" t="str">
        <f t="shared" si="41"/>
        <v>KU</v>
      </c>
      <c r="B482" s="469" t="str">
        <f t="shared" si="42"/>
        <v>TN</v>
      </c>
      <c r="C482" s="469" t="str">
        <f t="shared" si="43"/>
        <v>364</v>
      </c>
      <c r="D482" s="470" t="s">
        <v>1841</v>
      </c>
      <c r="E482" s="468" t="str">
        <f t="shared" si="40"/>
        <v/>
      </c>
      <c r="F482" s="469">
        <v>9.2783629000000006E-2</v>
      </c>
      <c r="G482" s="469">
        <v>0.106322871</v>
      </c>
      <c r="H482" s="469">
        <v>0.106322871</v>
      </c>
      <c r="I482" s="469">
        <v>0.106322871</v>
      </c>
      <c r="J482" s="469">
        <v>0.106322871</v>
      </c>
      <c r="K482" s="469">
        <v>0.106322871</v>
      </c>
      <c r="L482" s="469">
        <v>0.106322871</v>
      </c>
      <c r="M482" s="469">
        <v>0.106322871</v>
      </c>
      <c r="N482" s="469">
        <v>0.106322871</v>
      </c>
      <c r="O482" s="469">
        <v>0.106322871</v>
      </c>
      <c r="P482" s="469">
        <v>0.106322871</v>
      </c>
      <c r="Q482" s="469">
        <v>0.106322871</v>
      </c>
      <c r="R482" s="469">
        <v>0.106322871</v>
      </c>
      <c r="S482" s="469">
        <f t="shared" si="44"/>
        <v>1.275874452</v>
      </c>
    </row>
    <row r="483" spans="1:19">
      <c r="A483" s="469" t="str">
        <f t="shared" si="41"/>
        <v>KU</v>
      </c>
      <c r="B483" s="469" t="str">
        <f t="shared" si="42"/>
        <v>VA</v>
      </c>
      <c r="C483" s="469" t="str">
        <f t="shared" si="43"/>
        <v>364</v>
      </c>
      <c r="D483" s="470" t="s">
        <v>1842</v>
      </c>
      <c r="E483" s="468" t="str">
        <f t="shared" si="40"/>
        <v/>
      </c>
      <c r="F483" s="469">
        <v>55.720107376000001</v>
      </c>
      <c r="G483" s="469">
        <v>63.893651022</v>
      </c>
      <c r="H483" s="469">
        <v>63.950019555999901</v>
      </c>
      <c r="I483" s="469">
        <v>63.998137172</v>
      </c>
      <c r="J483" s="469">
        <v>64.057826577</v>
      </c>
      <c r="K483" s="469">
        <v>64.108363905999994</v>
      </c>
      <c r="L483" s="469">
        <v>64.136538101999903</v>
      </c>
      <c r="M483" s="469">
        <v>64.174571756000006</v>
      </c>
      <c r="N483" s="469">
        <v>64.221488836999995</v>
      </c>
      <c r="O483" s="469">
        <v>64.261094463999996</v>
      </c>
      <c r="P483" s="469">
        <v>64.303976117000005</v>
      </c>
      <c r="Q483" s="469">
        <v>64.355490748999998</v>
      </c>
      <c r="R483" s="469">
        <v>64.393464558000005</v>
      </c>
      <c r="S483" s="469">
        <f t="shared" si="44"/>
        <v>769.85462281599985</v>
      </c>
    </row>
    <row r="484" spans="1:19">
      <c r="A484" s="469" t="str">
        <f t="shared" si="41"/>
        <v>KU</v>
      </c>
      <c r="B484" s="469" t="str">
        <f t="shared" si="42"/>
        <v>KY</v>
      </c>
      <c r="C484" s="469" t="str">
        <f t="shared" si="43"/>
        <v>365</v>
      </c>
      <c r="D484" s="470" t="s">
        <v>2361</v>
      </c>
      <c r="E484" s="468" t="str">
        <f t="shared" si="40"/>
        <v>ECR</v>
      </c>
      <c r="F484" s="469">
        <v>6.3521745249999997E-2</v>
      </c>
      <c r="G484" s="469">
        <v>4.8575452249999998E-2</v>
      </c>
      <c r="H484" s="469">
        <v>4.8575452249999998E-2</v>
      </c>
      <c r="I484" s="469">
        <v>4.8575452249999998E-2</v>
      </c>
      <c r="J484" s="469">
        <v>4.8575452249999998E-2</v>
      </c>
      <c r="K484" s="469">
        <v>4.8575452249999998E-2</v>
      </c>
      <c r="L484" s="469">
        <v>4.8575452249999998E-2</v>
      </c>
      <c r="M484" s="469">
        <v>4.8575452249999998E-2</v>
      </c>
      <c r="N484" s="469">
        <v>4.8575452249999998E-2</v>
      </c>
      <c r="O484" s="469">
        <v>4.8575452249999998E-2</v>
      </c>
      <c r="P484" s="469">
        <v>4.8575452249999998E-2</v>
      </c>
      <c r="Q484" s="469">
        <v>4.8575452249999998E-2</v>
      </c>
      <c r="R484" s="469">
        <v>4.8575452249999998E-2</v>
      </c>
      <c r="S484" s="469">
        <f t="shared" si="44"/>
        <v>0.58290542699999992</v>
      </c>
    </row>
    <row r="485" spans="1:19">
      <c r="A485" s="469" t="str">
        <f t="shared" si="41"/>
        <v>KU</v>
      </c>
      <c r="B485" s="469" t="str">
        <f t="shared" si="42"/>
        <v>KY</v>
      </c>
      <c r="C485" s="469" t="str">
        <f t="shared" si="43"/>
        <v>365</v>
      </c>
      <c r="D485" s="470" t="s">
        <v>1843</v>
      </c>
      <c r="E485" s="468" t="str">
        <f t="shared" si="40"/>
        <v/>
      </c>
      <c r="F485" s="469">
        <v>938.35676149000005</v>
      </c>
      <c r="G485" s="469">
        <v>720.29976314999999</v>
      </c>
      <c r="H485" s="469">
        <v>723.48612840999999</v>
      </c>
      <c r="I485" s="469">
        <v>726.75859598</v>
      </c>
      <c r="J485" s="469">
        <v>729.65722183000003</v>
      </c>
      <c r="K485" s="469">
        <v>732.51608570999997</v>
      </c>
      <c r="L485" s="469">
        <v>736.24495673000001</v>
      </c>
      <c r="M485" s="469">
        <v>740.34214010000005</v>
      </c>
      <c r="N485" s="469">
        <v>743.67353228000002</v>
      </c>
      <c r="O485" s="469">
        <v>746.90356752000002</v>
      </c>
      <c r="P485" s="469">
        <v>750.33119992000002</v>
      </c>
      <c r="Q485" s="469">
        <v>753.93684244999997</v>
      </c>
      <c r="R485" s="469">
        <v>757.25877557000001</v>
      </c>
      <c r="S485" s="469">
        <f t="shared" si="44"/>
        <v>8861.40880965</v>
      </c>
    </row>
    <row r="486" spans="1:19">
      <c r="A486" s="469" t="str">
        <f t="shared" si="41"/>
        <v>KU</v>
      </c>
      <c r="B486" s="469" t="str">
        <f t="shared" si="42"/>
        <v>TN</v>
      </c>
      <c r="C486" s="469" t="str">
        <f t="shared" si="43"/>
        <v>365</v>
      </c>
      <c r="D486" s="470" t="s">
        <v>1844</v>
      </c>
      <c r="E486" s="468" t="str">
        <f t="shared" si="40"/>
        <v/>
      </c>
      <c r="F486" s="469">
        <v>0.1258710005</v>
      </c>
      <c r="G486" s="469">
        <v>9.6254294500000004E-2</v>
      </c>
      <c r="H486" s="469">
        <v>9.6254294500000004E-2</v>
      </c>
      <c r="I486" s="469">
        <v>9.6254294500000004E-2</v>
      </c>
      <c r="J486" s="469">
        <v>9.6254294500000004E-2</v>
      </c>
      <c r="K486" s="469">
        <v>9.6254294500000004E-2</v>
      </c>
      <c r="L486" s="469">
        <v>9.6254294500000004E-2</v>
      </c>
      <c r="M486" s="469">
        <v>9.6254294500000004E-2</v>
      </c>
      <c r="N486" s="469">
        <v>9.6254294500000004E-2</v>
      </c>
      <c r="O486" s="469">
        <v>9.6254294500000004E-2</v>
      </c>
      <c r="P486" s="469">
        <v>9.6254294500000004E-2</v>
      </c>
      <c r="Q486" s="469">
        <v>9.6254294500000004E-2</v>
      </c>
      <c r="R486" s="469">
        <v>9.6254294500000004E-2</v>
      </c>
      <c r="S486" s="469">
        <f t="shared" si="44"/>
        <v>1.155051534</v>
      </c>
    </row>
    <row r="487" spans="1:19">
      <c r="A487" s="469" t="str">
        <f t="shared" si="41"/>
        <v>KU</v>
      </c>
      <c r="B487" s="469" t="str">
        <f t="shared" si="42"/>
        <v>VA</v>
      </c>
      <c r="C487" s="469" t="str">
        <f t="shared" si="43"/>
        <v>365</v>
      </c>
      <c r="D487" s="470" t="s">
        <v>1845</v>
      </c>
      <c r="E487" s="468" t="str">
        <f t="shared" ref="E487:E538" si="45">IF(ISTEXT(MID($D487,SEARCH("FUTURE USE",$D487),3)),"FUTURE USE",IF(ISTEXT(MID($D487,SEARCH("ECR",$D487),3)),"ECR",IF(ISTEXT(MID($D487,SEARCH("ARO",$D487),3)),"ARO",IF(ISTEXT(MID($D487,SEARCH("DSM",$D487),3)),"DSM",""))))</f>
        <v/>
      </c>
      <c r="F487" s="469">
        <v>71.243899587000001</v>
      </c>
      <c r="G487" s="469">
        <v>54.7581311</v>
      </c>
      <c r="H487" s="469">
        <v>55.056857858999997</v>
      </c>
      <c r="I487" s="469">
        <v>55.374711433000002</v>
      </c>
      <c r="J487" s="469">
        <v>55.697359069000001</v>
      </c>
      <c r="K487" s="469">
        <v>56.016120008000001</v>
      </c>
      <c r="L487" s="469">
        <v>56.28352881</v>
      </c>
      <c r="M487" s="469">
        <v>56.556173338000001</v>
      </c>
      <c r="N487" s="469">
        <v>56.863008669999999</v>
      </c>
      <c r="O487" s="469">
        <v>57.173023109999903</v>
      </c>
      <c r="P487" s="469">
        <v>57.471321885000002</v>
      </c>
      <c r="Q487" s="469">
        <v>57.787268021000003</v>
      </c>
      <c r="R487" s="469">
        <v>58.112224793000003</v>
      </c>
      <c r="S487" s="469">
        <f t="shared" si="44"/>
        <v>677.14972809599999</v>
      </c>
    </row>
    <row r="488" spans="1:19">
      <c r="A488" s="469" t="str">
        <f t="shared" si="41"/>
        <v>KU</v>
      </c>
      <c r="B488" s="469" t="str">
        <f t="shared" si="42"/>
        <v>KY</v>
      </c>
      <c r="C488" s="469" t="str">
        <f t="shared" si="43"/>
        <v>366</v>
      </c>
      <c r="D488" s="470" t="s">
        <v>2362</v>
      </c>
      <c r="E488" s="468" t="str">
        <f t="shared" si="45"/>
        <v>ECR</v>
      </c>
      <c r="F488" s="469">
        <v>0.38475566999999999</v>
      </c>
      <c r="G488" s="469">
        <v>0.33060487199999999</v>
      </c>
      <c r="H488" s="469">
        <v>0.33060487199999999</v>
      </c>
      <c r="I488" s="469">
        <v>0.33060487199999999</v>
      </c>
      <c r="J488" s="469">
        <v>0.33060487199999999</v>
      </c>
      <c r="K488" s="469">
        <v>0.33060487199999999</v>
      </c>
      <c r="L488" s="469">
        <v>0.33060487199999999</v>
      </c>
      <c r="M488" s="469">
        <v>0.33060487199999999</v>
      </c>
      <c r="N488" s="469">
        <v>0.33060487199999999</v>
      </c>
      <c r="O488" s="469">
        <v>0.33060487199999999</v>
      </c>
      <c r="P488" s="469">
        <v>0.33060487199999999</v>
      </c>
      <c r="Q488" s="469">
        <v>0.33060487199999999</v>
      </c>
      <c r="R488" s="469">
        <v>0.33060487199999999</v>
      </c>
      <c r="S488" s="469">
        <f t="shared" si="44"/>
        <v>3.967258463999999</v>
      </c>
    </row>
    <row r="489" spans="1:19">
      <c r="A489" s="469" t="str">
        <f t="shared" si="41"/>
        <v>KU</v>
      </c>
      <c r="B489" s="469" t="str">
        <f t="shared" si="42"/>
        <v>KY</v>
      </c>
      <c r="C489" s="469" t="str">
        <f t="shared" si="43"/>
        <v>366</v>
      </c>
      <c r="D489" s="470" t="s">
        <v>1846</v>
      </c>
      <c r="E489" s="468" t="str">
        <f t="shared" si="45"/>
        <v/>
      </c>
      <c r="F489" s="469">
        <v>4.9730065878999996</v>
      </c>
      <c r="G489" s="469">
        <v>4.2731019569999997</v>
      </c>
      <c r="H489" s="469">
        <v>4.2731019569999997</v>
      </c>
      <c r="I489" s="469">
        <v>4.2731019569999997</v>
      </c>
      <c r="J489" s="469">
        <v>4.2731019569999997</v>
      </c>
      <c r="K489" s="469">
        <v>4.2731019569999997</v>
      </c>
      <c r="L489" s="469">
        <v>4.2731019569999997</v>
      </c>
      <c r="M489" s="469">
        <v>4.2731019569999997</v>
      </c>
      <c r="N489" s="469">
        <v>4.2731019569999997</v>
      </c>
      <c r="O489" s="469">
        <v>4.2731019569999997</v>
      </c>
      <c r="P489" s="469">
        <v>4.2731019569999997</v>
      </c>
      <c r="Q489" s="469">
        <v>4.2731019569999997</v>
      </c>
      <c r="R489" s="469">
        <v>4.2731019569999997</v>
      </c>
      <c r="S489" s="469">
        <f t="shared" si="44"/>
        <v>51.277223484000011</v>
      </c>
    </row>
    <row r="490" spans="1:19">
      <c r="A490" s="469" t="str">
        <f t="shared" si="41"/>
        <v>KU</v>
      </c>
      <c r="B490" s="469" t="str">
        <f t="shared" si="42"/>
        <v>KY</v>
      </c>
      <c r="C490" s="469" t="str">
        <f t="shared" si="43"/>
        <v>367</v>
      </c>
      <c r="D490" s="470" t="s">
        <v>2363</v>
      </c>
      <c r="E490" s="468" t="str">
        <f t="shared" si="45"/>
        <v>ECR</v>
      </c>
      <c r="F490" s="469">
        <v>2.6190778562000001</v>
      </c>
      <c r="G490" s="469">
        <v>2.6853836241</v>
      </c>
      <c r="H490" s="469">
        <v>2.6853836241</v>
      </c>
      <c r="I490" s="469">
        <v>2.6853836241</v>
      </c>
      <c r="J490" s="469">
        <v>2.6853836241</v>
      </c>
      <c r="K490" s="469">
        <v>2.6853836241</v>
      </c>
      <c r="L490" s="469">
        <v>2.6853836241</v>
      </c>
      <c r="M490" s="469">
        <v>2.6853836241</v>
      </c>
      <c r="N490" s="469">
        <v>2.6853836241</v>
      </c>
      <c r="O490" s="469">
        <v>2.6853836241</v>
      </c>
      <c r="P490" s="469">
        <v>2.6853836241</v>
      </c>
      <c r="Q490" s="469">
        <v>2.6853836241</v>
      </c>
      <c r="R490" s="469">
        <v>2.6853836241</v>
      </c>
      <c r="S490" s="469">
        <f t="shared" si="44"/>
        <v>32.224603489199993</v>
      </c>
    </row>
    <row r="491" spans="1:19">
      <c r="A491" s="469" t="str">
        <f t="shared" si="41"/>
        <v>KU</v>
      </c>
      <c r="B491" s="469" t="str">
        <f t="shared" si="42"/>
        <v>KY</v>
      </c>
      <c r="C491" s="469" t="str">
        <f t="shared" si="43"/>
        <v>367</v>
      </c>
      <c r="D491" s="470" t="s">
        <v>1847</v>
      </c>
      <c r="E491" s="468" t="str">
        <f t="shared" si="45"/>
        <v/>
      </c>
      <c r="F491" s="469">
        <v>376.74820897999899</v>
      </c>
      <c r="G491" s="469">
        <v>388.68228212999998</v>
      </c>
      <c r="H491" s="469">
        <v>391.28636673999898</v>
      </c>
      <c r="I491" s="469">
        <v>393.97726151000001</v>
      </c>
      <c r="J491" s="469">
        <v>396.49337615000002</v>
      </c>
      <c r="K491" s="469">
        <v>398.93245292</v>
      </c>
      <c r="L491" s="469">
        <v>401.02974310000002</v>
      </c>
      <c r="M491" s="469">
        <v>403.323793859999</v>
      </c>
      <c r="N491" s="469">
        <v>405.80161276000001</v>
      </c>
      <c r="O491" s="469">
        <v>408.26309762999898</v>
      </c>
      <c r="P491" s="469">
        <v>410.78485996000001</v>
      </c>
      <c r="Q491" s="469">
        <v>413.34058804</v>
      </c>
      <c r="R491" s="469">
        <v>415.94144086</v>
      </c>
      <c r="S491" s="469">
        <f t="shared" si="44"/>
        <v>4827.8568756599971</v>
      </c>
    </row>
    <row r="492" spans="1:19">
      <c r="A492" s="469" t="str">
        <f t="shared" si="41"/>
        <v>KU</v>
      </c>
      <c r="B492" s="469" t="str">
        <f t="shared" si="42"/>
        <v>VA</v>
      </c>
      <c r="C492" s="469" t="str">
        <f t="shared" si="43"/>
        <v>367</v>
      </c>
      <c r="D492" s="470" t="s">
        <v>1848</v>
      </c>
      <c r="E492" s="468" t="str">
        <f t="shared" si="45"/>
        <v/>
      </c>
      <c r="F492" s="469">
        <v>10.5378631568</v>
      </c>
      <c r="G492" s="469">
        <v>10.8849933027</v>
      </c>
      <c r="H492" s="469">
        <v>10.9578682736999</v>
      </c>
      <c r="I492" s="469">
        <v>11.0369954628</v>
      </c>
      <c r="J492" s="469">
        <v>11.1169529021999</v>
      </c>
      <c r="K492" s="469">
        <v>11.179869914699999</v>
      </c>
      <c r="L492" s="469">
        <v>11.2342616181</v>
      </c>
      <c r="M492" s="469">
        <v>11.3108570612</v>
      </c>
      <c r="N492" s="469">
        <v>11.3949695365</v>
      </c>
      <c r="O492" s="469">
        <v>11.4655793315999</v>
      </c>
      <c r="P492" s="469">
        <v>11.541826069700001</v>
      </c>
      <c r="Q492" s="469">
        <v>11.6213604759</v>
      </c>
      <c r="R492" s="469">
        <v>11.702899368900001</v>
      </c>
      <c r="S492" s="469">
        <f t="shared" si="44"/>
        <v>135.4484333179997</v>
      </c>
    </row>
    <row r="493" spans="1:19">
      <c r="A493" s="469" t="str">
        <f t="shared" si="41"/>
        <v>KU</v>
      </c>
      <c r="B493" s="469" t="str">
        <f t="shared" si="42"/>
        <v>KY</v>
      </c>
      <c r="C493" s="469" t="str">
        <f t="shared" si="43"/>
        <v>368</v>
      </c>
      <c r="D493" s="470" t="s">
        <v>1849</v>
      </c>
      <c r="E493" s="468" t="str">
        <f t="shared" si="45"/>
        <v/>
      </c>
      <c r="F493" s="469">
        <v>622.08324493999999</v>
      </c>
      <c r="G493" s="469">
        <v>455.37773007999999</v>
      </c>
      <c r="H493" s="469">
        <v>456.29161796</v>
      </c>
      <c r="I493" s="469">
        <v>457.302559629999</v>
      </c>
      <c r="J493" s="469">
        <v>458.55560195999902</v>
      </c>
      <c r="K493" s="469">
        <v>459.89243103000001</v>
      </c>
      <c r="L493" s="469">
        <v>461.135843789999</v>
      </c>
      <c r="M493" s="469">
        <v>461.955906279999</v>
      </c>
      <c r="N493" s="469">
        <v>462.62439367000002</v>
      </c>
      <c r="O493" s="469">
        <v>463.49263001999998</v>
      </c>
      <c r="P493" s="469">
        <v>464.31946261000002</v>
      </c>
      <c r="Q493" s="469">
        <v>465.25012498000001</v>
      </c>
      <c r="R493" s="469">
        <v>466.20811656000001</v>
      </c>
      <c r="S493" s="469">
        <f t="shared" si="44"/>
        <v>5532.4064185699963</v>
      </c>
    </row>
    <row r="494" spans="1:19">
      <c r="A494" s="469" t="str">
        <f t="shared" si="41"/>
        <v>KU</v>
      </c>
      <c r="B494" s="469" t="str">
        <f t="shared" si="42"/>
        <v>TN</v>
      </c>
      <c r="C494" s="469" t="str">
        <f t="shared" si="43"/>
        <v>368</v>
      </c>
      <c r="D494" s="470" t="s">
        <v>1850</v>
      </c>
      <c r="E494" s="468" t="str">
        <f t="shared" si="45"/>
        <v/>
      </c>
      <c r="F494" s="469">
        <v>6.366488333E-3</v>
      </c>
      <c r="G494" s="469">
        <v>4.6514343330000003E-3</v>
      </c>
      <c r="H494" s="469">
        <v>4.6514343330000003E-3</v>
      </c>
      <c r="I494" s="469">
        <v>4.6514343330000003E-3</v>
      </c>
      <c r="J494" s="469">
        <v>4.6514343330000003E-3</v>
      </c>
      <c r="K494" s="469">
        <v>4.6514343330000003E-3</v>
      </c>
      <c r="L494" s="469">
        <v>4.6514343330000003E-3</v>
      </c>
      <c r="M494" s="469">
        <v>4.6514343330000003E-3</v>
      </c>
      <c r="N494" s="469">
        <v>4.6514343330000003E-3</v>
      </c>
      <c r="O494" s="469">
        <v>4.6514343330000003E-3</v>
      </c>
      <c r="P494" s="469">
        <v>4.6514343330000003E-3</v>
      </c>
      <c r="Q494" s="469">
        <v>4.6514343330000003E-3</v>
      </c>
      <c r="R494" s="469">
        <v>4.6514343330000003E-3</v>
      </c>
      <c r="S494" s="469">
        <f t="shared" si="44"/>
        <v>5.5817211995999989E-2</v>
      </c>
    </row>
    <row r="495" spans="1:19">
      <c r="A495" s="469" t="str">
        <f t="shared" si="41"/>
        <v>KU</v>
      </c>
      <c r="B495" s="469" t="str">
        <f t="shared" si="42"/>
        <v>VA</v>
      </c>
      <c r="C495" s="469" t="str">
        <f t="shared" si="43"/>
        <v>368</v>
      </c>
      <c r="D495" s="470" t="s">
        <v>1851</v>
      </c>
      <c r="E495" s="468" t="str">
        <f t="shared" si="45"/>
        <v/>
      </c>
      <c r="F495" s="469">
        <v>25.976428535499998</v>
      </c>
      <c r="G495" s="469">
        <v>18.978696770399999</v>
      </c>
      <c r="H495" s="469">
        <v>18.978696770399999</v>
      </c>
      <c r="I495" s="469">
        <v>18.978696770399999</v>
      </c>
      <c r="J495" s="469">
        <v>18.978696770399999</v>
      </c>
      <c r="K495" s="469">
        <v>18.978696770399999</v>
      </c>
      <c r="L495" s="469">
        <v>18.978696770399999</v>
      </c>
      <c r="M495" s="469">
        <v>18.978696770399999</v>
      </c>
      <c r="N495" s="469">
        <v>18.978696770399999</v>
      </c>
      <c r="O495" s="469">
        <v>18.978696770399999</v>
      </c>
      <c r="P495" s="469">
        <v>18.978696770399999</v>
      </c>
      <c r="Q495" s="469">
        <v>18.978696770399999</v>
      </c>
      <c r="R495" s="469">
        <v>18.978696770399999</v>
      </c>
      <c r="S495" s="469">
        <f t="shared" si="44"/>
        <v>227.74436124480005</v>
      </c>
    </row>
    <row r="496" spans="1:19">
      <c r="A496" s="469" t="str">
        <f t="shared" si="41"/>
        <v>KU</v>
      </c>
      <c r="B496" s="469" t="str">
        <f t="shared" si="42"/>
        <v>KY</v>
      </c>
      <c r="C496" s="469" t="str">
        <f t="shared" si="43"/>
        <v>369</v>
      </c>
      <c r="D496" s="470" t="s">
        <v>1852</v>
      </c>
      <c r="E496" s="468" t="str">
        <f t="shared" si="45"/>
        <v/>
      </c>
      <c r="F496" s="469">
        <v>164.53585891</v>
      </c>
      <c r="G496" s="469">
        <v>132.11499999</v>
      </c>
      <c r="H496" s="469">
        <v>132.11499999</v>
      </c>
      <c r="I496" s="469">
        <v>132.11499999</v>
      </c>
      <c r="J496" s="469">
        <v>132.11499999</v>
      </c>
      <c r="K496" s="469">
        <v>132.11499999</v>
      </c>
      <c r="L496" s="469">
        <v>132.11499999</v>
      </c>
      <c r="M496" s="469">
        <v>132.11499999</v>
      </c>
      <c r="N496" s="469">
        <v>132.11499999</v>
      </c>
      <c r="O496" s="469">
        <v>132.11499999</v>
      </c>
      <c r="P496" s="469">
        <v>132.11499999</v>
      </c>
      <c r="Q496" s="469">
        <v>132.11499999</v>
      </c>
      <c r="R496" s="469">
        <v>132.11499999</v>
      </c>
      <c r="S496" s="469">
        <f t="shared" si="44"/>
        <v>1585.3799998799996</v>
      </c>
    </row>
    <row r="497" spans="1:19">
      <c r="A497" s="469" t="str">
        <f t="shared" si="41"/>
        <v>KU</v>
      </c>
      <c r="B497" s="469" t="str">
        <f t="shared" si="42"/>
        <v>TN</v>
      </c>
      <c r="C497" s="469" t="str">
        <f t="shared" si="43"/>
        <v>369</v>
      </c>
      <c r="D497" s="470" t="s">
        <v>1853</v>
      </c>
      <c r="E497" s="468" t="str">
        <f t="shared" si="45"/>
        <v/>
      </c>
      <c r="F497" s="469">
        <v>4.3073216700000001E-4</v>
      </c>
      <c r="G497" s="469">
        <v>3.4585883300000003E-4</v>
      </c>
      <c r="H497" s="469">
        <v>3.4585883300000003E-4</v>
      </c>
      <c r="I497" s="469">
        <v>3.4585883300000003E-4</v>
      </c>
      <c r="J497" s="469">
        <v>3.4585883300000003E-4</v>
      </c>
      <c r="K497" s="469">
        <v>3.4585883300000003E-4</v>
      </c>
      <c r="L497" s="469">
        <v>3.4585883300000003E-4</v>
      </c>
      <c r="M497" s="469">
        <v>3.4585883300000003E-4</v>
      </c>
      <c r="N497" s="469">
        <v>3.4585883300000003E-4</v>
      </c>
      <c r="O497" s="469">
        <v>3.4585883300000003E-4</v>
      </c>
      <c r="P497" s="469">
        <v>3.4585883300000003E-4</v>
      </c>
      <c r="Q497" s="469">
        <v>3.4585883300000003E-4</v>
      </c>
      <c r="R497" s="469">
        <v>3.4585883300000003E-4</v>
      </c>
      <c r="S497" s="469">
        <f t="shared" si="44"/>
        <v>4.1503059959999995E-3</v>
      </c>
    </row>
    <row r="498" spans="1:19">
      <c r="A498" s="469" t="str">
        <f t="shared" si="41"/>
        <v>KU</v>
      </c>
      <c r="B498" s="469" t="str">
        <f t="shared" si="42"/>
        <v>VA</v>
      </c>
      <c r="C498" s="469" t="str">
        <f t="shared" si="43"/>
        <v>369</v>
      </c>
      <c r="D498" s="470" t="s">
        <v>1854</v>
      </c>
      <c r="E498" s="468" t="str">
        <f t="shared" si="45"/>
        <v/>
      </c>
      <c r="F498" s="469">
        <v>9.3024537019999993</v>
      </c>
      <c r="G498" s="469">
        <v>7.469457899</v>
      </c>
      <c r="H498" s="469">
        <v>7.469457899</v>
      </c>
      <c r="I498" s="469">
        <v>7.469457899</v>
      </c>
      <c r="J498" s="469">
        <v>7.469457899</v>
      </c>
      <c r="K498" s="469">
        <v>7.469457899</v>
      </c>
      <c r="L498" s="469">
        <v>7.469457899</v>
      </c>
      <c r="M498" s="469">
        <v>7.469457899</v>
      </c>
      <c r="N498" s="469">
        <v>7.469457899</v>
      </c>
      <c r="O498" s="469">
        <v>7.469457899</v>
      </c>
      <c r="P498" s="469">
        <v>7.469457899</v>
      </c>
      <c r="Q498" s="469">
        <v>7.469457899</v>
      </c>
      <c r="R498" s="469">
        <v>7.469457899</v>
      </c>
      <c r="S498" s="469">
        <f t="shared" si="44"/>
        <v>89.633494788000007</v>
      </c>
    </row>
    <row r="499" spans="1:19">
      <c r="A499" s="469" t="str">
        <f t="shared" si="41"/>
        <v>KU</v>
      </c>
      <c r="B499" s="469" t="str">
        <f t="shared" si="42"/>
        <v>KY</v>
      </c>
      <c r="C499" s="469" t="str">
        <f t="shared" si="43"/>
        <v>370</v>
      </c>
      <c r="D499" s="470" t="s">
        <v>1855</v>
      </c>
      <c r="E499" s="468" t="str">
        <f t="shared" si="45"/>
        <v/>
      </c>
      <c r="F499" s="469">
        <v>142.89965530000001</v>
      </c>
      <c r="G499" s="469">
        <v>226.95687996999999</v>
      </c>
      <c r="H499" s="469">
        <v>227.30005761000001</v>
      </c>
      <c r="I499" s="469">
        <v>227.62103375000001</v>
      </c>
      <c r="J499" s="469">
        <v>237.08067595</v>
      </c>
      <c r="K499" s="469">
        <v>255.77515750999899</v>
      </c>
      <c r="L499" s="469">
        <v>274.40098130000001</v>
      </c>
      <c r="M499" s="469">
        <v>291.38978154</v>
      </c>
      <c r="N499" s="469">
        <v>307.06337346999999</v>
      </c>
      <c r="O499" s="469">
        <v>323.270149459999</v>
      </c>
      <c r="P499" s="469">
        <v>336.37401290999998</v>
      </c>
      <c r="Q499" s="469">
        <v>346.52236085999999</v>
      </c>
      <c r="R499" s="469">
        <v>356.119497929999</v>
      </c>
      <c r="S499" s="469">
        <f t="shared" si="44"/>
        <v>3409.8739622599974</v>
      </c>
    </row>
    <row r="500" spans="1:19">
      <c r="A500" s="469" t="str">
        <f t="shared" si="41"/>
        <v>KU</v>
      </c>
      <c r="B500" s="469" t="str">
        <f t="shared" si="42"/>
        <v>TN</v>
      </c>
      <c r="C500" s="469" t="str">
        <f t="shared" si="43"/>
        <v>370</v>
      </c>
      <c r="D500" s="470" t="s">
        <v>1856</v>
      </c>
      <c r="E500" s="468" t="str">
        <f t="shared" si="45"/>
        <v/>
      </c>
      <c r="F500" s="469">
        <v>8.0134924169999993E-3</v>
      </c>
      <c r="G500" s="469">
        <v>1.481678575E-2</v>
      </c>
      <c r="H500" s="469">
        <v>1.481678575E-2</v>
      </c>
      <c r="I500" s="469">
        <v>1.481678575E-2</v>
      </c>
      <c r="J500" s="469">
        <v>1.481678575E-2</v>
      </c>
      <c r="K500" s="469">
        <v>1.481678575E-2</v>
      </c>
      <c r="L500" s="469">
        <v>1.481678575E-2</v>
      </c>
      <c r="M500" s="469">
        <v>1.481678575E-2</v>
      </c>
      <c r="N500" s="469">
        <v>1.481678575E-2</v>
      </c>
      <c r="O500" s="469">
        <v>1.481678575E-2</v>
      </c>
      <c r="P500" s="469">
        <v>1.481678575E-2</v>
      </c>
      <c r="Q500" s="469">
        <v>1.481678575E-2</v>
      </c>
      <c r="R500" s="469">
        <v>1.481678575E-2</v>
      </c>
      <c r="S500" s="469">
        <f t="shared" si="44"/>
        <v>0.17780142900000004</v>
      </c>
    </row>
    <row r="501" spans="1:19">
      <c r="A501" s="469" t="str">
        <f t="shared" si="41"/>
        <v>KU</v>
      </c>
      <c r="B501" s="469" t="str">
        <f t="shared" si="42"/>
        <v>VA</v>
      </c>
      <c r="C501" s="469" t="str">
        <f t="shared" si="43"/>
        <v>370</v>
      </c>
      <c r="D501" s="470" t="s">
        <v>1857</v>
      </c>
      <c r="E501" s="468" t="str">
        <f t="shared" si="45"/>
        <v/>
      </c>
      <c r="F501" s="469">
        <v>7.5151575020000001</v>
      </c>
      <c r="G501" s="469">
        <v>12.105309964</v>
      </c>
      <c r="H501" s="469">
        <v>12.105309964</v>
      </c>
      <c r="I501" s="469">
        <v>12.105309964</v>
      </c>
      <c r="J501" s="469">
        <v>12.105309964</v>
      </c>
      <c r="K501" s="469">
        <v>12.105309964</v>
      </c>
      <c r="L501" s="469">
        <v>12.105309964</v>
      </c>
      <c r="M501" s="469">
        <v>12.105309964</v>
      </c>
      <c r="N501" s="469">
        <v>12.105309964</v>
      </c>
      <c r="O501" s="469">
        <v>12.105309964</v>
      </c>
      <c r="P501" s="469">
        <v>12.105309964</v>
      </c>
      <c r="Q501" s="469">
        <v>12.105309964</v>
      </c>
      <c r="R501" s="469">
        <v>12.105309964</v>
      </c>
      <c r="S501" s="469">
        <f t="shared" si="44"/>
        <v>145.263719568</v>
      </c>
    </row>
    <row r="502" spans="1:19">
      <c r="A502" s="469" t="str">
        <f t="shared" si="41"/>
        <v>KU</v>
      </c>
      <c r="B502" s="469" t="str">
        <f t="shared" si="42"/>
        <v>KY</v>
      </c>
      <c r="C502" s="469" t="str">
        <f t="shared" si="43"/>
        <v>371</v>
      </c>
      <c r="D502" s="470" t="s">
        <v>1858</v>
      </c>
      <c r="E502" s="468" t="str">
        <f t="shared" si="45"/>
        <v/>
      </c>
      <c r="F502" s="469">
        <v>0.157331629138</v>
      </c>
      <c r="G502" s="469">
        <v>0.106441916208</v>
      </c>
      <c r="H502" s="469">
        <v>0.10993844545799999</v>
      </c>
      <c r="I502" s="469">
        <v>0.113434974708</v>
      </c>
      <c r="J502" s="469">
        <v>0.116931503958</v>
      </c>
      <c r="K502" s="469">
        <v>0.120428033208</v>
      </c>
      <c r="L502" s="469">
        <v>0.123924562457999</v>
      </c>
      <c r="M502" s="469">
        <v>0.12718185412499999</v>
      </c>
      <c r="N502" s="469">
        <v>0.13019990820800001</v>
      </c>
      <c r="O502" s="469">
        <v>0.133217962292</v>
      </c>
      <c r="P502" s="469">
        <v>0.13623601637499999</v>
      </c>
      <c r="Q502" s="469">
        <v>0.13925407045800001</v>
      </c>
      <c r="R502" s="469">
        <v>0.142272124541999</v>
      </c>
      <c r="S502" s="469">
        <f t="shared" si="44"/>
        <v>1.4994613719979979</v>
      </c>
    </row>
    <row r="503" spans="1:19">
      <c r="A503" s="469" t="str">
        <f t="shared" si="41"/>
        <v>KU</v>
      </c>
      <c r="B503" s="469" t="str">
        <f t="shared" si="42"/>
        <v>VA</v>
      </c>
      <c r="C503" s="469" t="str">
        <f t="shared" si="43"/>
        <v>371</v>
      </c>
      <c r="D503" s="470" t="s">
        <v>1859</v>
      </c>
      <c r="E503" s="468" t="str">
        <f t="shared" si="45"/>
        <v/>
      </c>
      <c r="F503" s="469">
        <v>0</v>
      </c>
      <c r="G503" s="469">
        <v>0</v>
      </c>
      <c r="H503" s="469">
        <v>0</v>
      </c>
      <c r="I503" s="469">
        <v>0</v>
      </c>
      <c r="J503" s="469">
        <v>0</v>
      </c>
      <c r="K503" s="469">
        <v>0</v>
      </c>
      <c r="L503" s="469">
        <v>0</v>
      </c>
      <c r="M503" s="469">
        <v>0</v>
      </c>
      <c r="N503" s="469">
        <v>0</v>
      </c>
      <c r="O503" s="469">
        <v>0</v>
      </c>
      <c r="P503" s="469">
        <v>0</v>
      </c>
      <c r="Q503" s="469">
        <v>0</v>
      </c>
      <c r="R503" s="469">
        <v>0</v>
      </c>
      <c r="S503" s="469">
        <f t="shared" si="44"/>
        <v>0</v>
      </c>
    </row>
    <row r="504" spans="1:19">
      <c r="A504" s="469" t="str">
        <f t="shared" si="41"/>
        <v>KU</v>
      </c>
      <c r="B504" s="469" t="str">
        <f t="shared" si="42"/>
        <v>KY</v>
      </c>
      <c r="C504" s="469" t="str">
        <f t="shared" si="43"/>
        <v>373</v>
      </c>
      <c r="D504" s="470" t="s">
        <v>1860</v>
      </c>
      <c r="E504" s="468" t="str">
        <f t="shared" si="45"/>
        <v/>
      </c>
      <c r="F504" s="469">
        <v>376.07350878999898</v>
      </c>
      <c r="G504" s="469">
        <v>376.75995196999997</v>
      </c>
      <c r="H504" s="469">
        <v>377.68962395</v>
      </c>
      <c r="I504" s="469">
        <v>378.87733856999898</v>
      </c>
      <c r="J504" s="469">
        <v>380.07164330000001</v>
      </c>
      <c r="K504" s="469">
        <v>381.32719889999998</v>
      </c>
      <c r="L504" s="469">
        <v>382.04237374000002</v>
      </c>
      <c r="M504" s="469">
        <v>382.879875709999</v>
      </c>
      <c r="N504" s="469">
        <v>384.26650231000002</v>
      </c>
      <c r="O504" s="469">
        <v>385.45730550000002</v>
      </c>
      <c r="P504" s="469">
        <v>386.78029131</v>
      </c>
      <c r="Q504" s="469">
        <v>388.021319449999</v>
      </c>
      <c r="R504" s="469">
        <v>388.8895301</v>
      </c>
      <c r="S504" s="469">
        <f t="shared" si="44"/>
        <v>4593.0629548099969</v>
      </c>
    </row>
    <row r="505" spans="1:19">
      <c r="A505" s="469" t="str">
        <f t="shared" si="41"/>
        <v>KU</v>
      </c>
      <c r="B505" s="469" t="str">
        <f t="shared" si="42"/>
        <v>VA</v>
      </c>
      <c r="C505" s="469" t="str">
        <f t="shared" si="43"/>
        <v>373</v>
      </c>
      <c r="D505" s="470" t="s">
        <v>1861</v>
      </c>
      <c r="E505" s="468" t="str">
        <f t="shared" si="45"/>
        <v/>
      </c>
      <c r="F505" s="469">
        <v>12.618512703</v>
      </c>
      <c r="G505" s="469">
        <v>12.6775296702</v>
      </c>
      <c r="H505" s="469">
        <v>12.7365466366</v>
      </c>
      <c r="I505" s="469">
        <v>12.800563604000001</v>
      </c>
      <c r="J505" s="469">
        <v>12.864580571399999</v>
      </c>
      <c r="K505" s="469">
        <v>12.925805867699999</v>
      </c>
      <c r="L505" s="469">
        <v>12.9770394285999</v>
      </c>
      <c r="M505" s="469">
        <v>13.030127032599999</v>
      </c>
      <c r="N505" s="469">
        <v>13.0851367474</v>
      </c>
      <c r="O505" s="469">
        <v>13.1383096702</v>
      </c>
      <c r="P505" s="469">
        <v>13.197736066199999</v>
      </c>
      <c r="Q505" s="469">
        <v>13.2631159338</v>
      </c>
      <c r="R505" s="469">
        <v>13.332540934300001</v>
      </c>
      <c r="S505" s="469">
        <f t="shared" si="44"/>
        <v>156.0290321629999</v>
      </c>
    </row>
    <row r="506" spans="1:19">
      <c r="A506" s="469" t="str">
        <f t="shared" si="41"/>
        <v>KU</v>
      </c>
      <c r="B506" s="469" t="str">
        <f t="shared" si="42"/>
        <v>KY</v>
      </c>
      <c r="C506" s="469" t="str">
        <f t="shared" si="43"/>
        <v>374</v>
      </c>
      <c r="D506" s="470" t="s">
        <v>1862</v>
      </c>
      <c r="E506" s="468" t="str">
        <f t="shared" si="45"/>
        <v>ARO</v>
      </c>
      <c r="F506" s="469">
        <v>1.88453</v>
      </c>
      <c r="G506" s="469">
        <v>1.88453</v>
      </c>
      <c r="H506" s="469">
        <v>1.88453</v>
      </c>
      <c r="I506" s="469">
        <v>1.88453</v>
      </c>
      <c r="J506" s="469">
        <v>1.88453</v>
      </c>
      <c r="K506" s="469">
        <v>1.88453</v>
      </c>
      <c r="L506" s="469">
        <v>1.88453</v>
      </c>
      <c r="M506" s="469">
        <v>1.88453</v>
      </c>
      <c r="N506" s="469">
        <v>1.88453</v>
      </c>
      <c r="O506" s="469">
        <v>1.88453</v>
      </c>
      <c r="P506" s="469">
        <v>1.88453</v>
      </c>
      <c r="Q506" s="469">
        <v>1.88453</v>
      </c>
      <c r="R506" s="469">
        <v>1.88453</v>
      </c>
      <c r="S506" s="469">
        <f t="shared" si="44"/>
        <v>22.614360000000005</v>
      </c>
    </row>
    <row r="507" spans="1:19">
      <c r="A507" s="469" t="str">
        <f t="shared" si="41"/>
        <v>KU</v>
      </c>
      <c r="B507" s="469" t="str">
        <f t="shared" si="42"/>
        <v>KY</v>
      </c>
      <c r="C507" s="469" t="str">
        <f t="shared" si="43"/>
        <v>390</v>
      </c>
      <c r="D507" s="470" t="s">
        <v>1865</v>
      </c>
      <c r="E507" s="468" t="str">
        <f t="shared" si="45"/>
        <v/>
      </c>
      <c r="F507" s="469">
        <v>4.1807604896689998</v>
      </c>
      <c r="G507" s="469">
        <v>4.7903835949209999</v>
      </c>
      <c r="H507" s="469">
        <v>4.7903835949209999</v>
      </c>
      <c r="I507" s="469">
        <v>4.7903835949209999</v>
      </c>
      <c r="J507" s="469">
        <v>4.7903835949209999</v>
      </c>
      <c r="K507" s="469">
        <v>4.7903835949209999</v>
      </c>
      <c r="L507" s="469">
        <v>4.7903835949209999</v>
      </c>
      <c r="M507" s="469">
        <v>4.7903835949209999</v>
      </c>
      <c r="N507" s="469">
        <v>4.7903835949209999</v>
      </c>
      <c r="O507" s="469">
        <v>4.7903835949209999</v>
      </c>
      <c r="P507" s="469">
        <v>4.7903835949209999</v>
      </c>
      <c r="Q507" s="469">
        <v>4.7903835949209999</v>
      </c>
      <c r="R507" s="469">
        <v>4.7903835949209999</v>
      </c>
      <c r="S507" s="469">
        <f t="shared" si="44"/>
        <v>57.484603139051984</v>
      </c>
    </row>
    <row r="508" spans="1:19">
      <c r="A508" s="469" t="str">
        <f t="shared" si="41"/>
        <v>KU</v>
      </c>
      <c r="B508" s="469" t="str">
        <f t="shared" si="42"/>
        <v>KY</v>
      </c>
      <c r="C508" s="469" t="str">
        <f t="shared" si="43"/>
        <v>390</v>
      </c>
      <c r="D508" s="470" t="s">
        <v>1866</v>
      </c>
      <c r="E508" s="468" t="str">
        <f t="shared" si="45"/>
        <v/>
      </c>
      <c r="F508" s="469">
        <v>98.132448995999994</v>
      </c>
      <c r="G508" s="469">
        <v>120.8698132145</v>
      </c>
      <c r="H508" s="469">
        <v>122.35920071850001</v>
      </c>
      <c r="I508" s="469">
        <v>122.62457120149899</v>
      </c>
      <c r="J508" s="469">
        <v>122.88690419149999</v>
      </c>
      <c r="K508" s="469">
        <v>123.1957166915</v>
      </c>
      <c r="L508" s="469">
        <v>128.9582295715</v>
      </c>
      <c r="M508" s="469">
        <v>134.5314049415</v>
      </c>
      <c r="N508" s="469">
        <v>134.5314049415</v>
      </c>
      <c r="O508" s="469">
        <v>134.5955563615</v>
      </c>
      <c r="P508" s="469">
        <v>134.8115827915</v>
      </c>
      <c r="Q508" s="469">
        <v>134.96345779149999</v>
      </c>
      <c r="R508" s="469">
        <v>134.9905116715</v>
      </c>
      <c r="S508" s="469">
        <f t="shared" si="44"/>
        <v>1549.3183540879991</v>
      </c>
    </row>
    <row r="509" spans="1:19">
      <c r="A509" s="469" t="str">
        <f t="shared" si="41"/>
        <v>KU</v>
      </c>
      <c r="B509" s="469" t="str">
        <f t="shared" si="42"/>
        <v>VA</v>
      </c>
      <c r="C509" s="469" t="str">
        <f t="shared" si="43"/>
        <v>390</v>
      </c>
      <c r="D509" s="470" t="s">
        <v>1867</v>
      </c>
      <c r="E509" s="468" t="str">
        <f t="shared" si="45"/>
        <v/>
      </c>
      <c r="F509" s="469">
        <v>5.5288385029669902</v>
      </c>
      <c r="G509" s="469">
        <v>12.486413496337001</v>
      </c>
      <c r="H509" s="469">
        <v>12.486413496337001</v>
      </c>
      <c r="I509" s="469">
        <v>12.486413496337001</v>
      </c>
      <c r="J509" s="469">
        <v>12.486413496337001</v>
      </c>
      <c r="K509" s="469">
        <v>12.486413496337001</v>
      </c>
      <c r="L509" s="469">
        <v>12.486413496337001</v>
      </c>
      <c r="M509" s="469">
        <v>12.486413496337001</v>
      </c>
      <c r="N509" s="469">
        <v>12.486413496337001</v>
      </c>
      <c r="O509" s="469">
        <v>12.486413496337001</v>
      </c>
      <c r="P509" s="469">
        <v>12.486413496337001</v>
      </c>
      <c r="Q509" s="469">
        <v>12.486413496337001</v>
      </c>
      <c r="R509" s="469">
        <v>12.486413496337001</v>
      </c>
      <c r="S509" s="469">
        <f t="shared" si="44"/>
        <v>149.83696195604404</v>
      </c>
    </row>
    <row r="510" spans="1:19">
      <c r="A510" s="469" t="str">
        <f t="shared" si="41"/>
        <v>KU</v>
      </c>
      <c r="B510" s="469" t="str">
        <f t="shared" si="42"/>
        <v>KY</v>
      </c>
      <c r="C510" s="469" t="str">
        <f t="shared" si="43"/>
        <v>391</v>
      </c>
      <c r="D510" s="470" t="s">
        <v>1868</v>
      </c>
      <c r="E510" s="468" t="str">
        <f t="shared" si="45"/>
        <v/>
      </c>
      <c r="F510" s="469">
        <v>39.282365310000003</v>
      </c>
      <c r="G510" s="469">
        <v>110.3178953</v>
      </c>
      <c r="H510" s="469">
        <v>110.20206</v>
      </c>
      <c r="I510" s="469">
        <v>102.63113</v>
      </c>
      <c r="J510" s="469">
        <v>96.763624119999903</v>
      </c>
      <c r="K510" s="469">
        <v>98.806785469999994</v>
      </c>
      <c r="L510" s="469">
        <v>114.7797975</v>
      </c>
      <c r="M510" s="469">
        <v>130.26142720000001</v>
      </c>
      <c r="N510" s="469">
        <v>129.6700242</v>
      </c>
      <c r="O510" s="469">
        <v>129.10249450000001</v>
      </c>
      <c r="P510" s="469">
        <v>129.34744760000001</v>
      </c>
      <c r="Q510" s="469">
        <v>129.60433739999999</v>
      </c>
      <c r="R510" s="469">
        <v>129.86122710000001</v>
      </c>
      <c r="S510" s="469">
        <f t="shared" si="44"/>
        <v>1411.34825039</v>
      </c>
    </row>
    <row r="511" spans="1:19">
      <c r="A511" s="469" t="str">
        <f t="shared" si="41"/>
        <v>KU</v>
      </c>
      <c r="B511" s="469" t="str">
        <f t="shared" si="42"/>
        <v>KY</v>
      </c>
      <c r="C511" s="469" t="str">
        <f t="shared" si="43"/>
        <v>391</v>
      </c>
      <c r="D511" s="470" t="s">
        <v>1869</v>
      </c>
      <c r="E511" s="468" t="str">
        <f t="shared" si="45"/>
        <v/>
      </c>
      <c r="F511" s="469">
        <v>532.04333637000002</v>
      </c>
      <c r="G511" s="469">
        <v>302.76485501000002</v>
      </c>
      <c r="H511" s="469">
        <v>304.846166339999</v>
      </c>
      <c r="I511" s="469">
        <v>308.55933311000001</v>
      </c>
      <c r="J511" s="469">
        <v>313.815279629999</v>
      </c>
      <c r="K511" s="469">
        <v>318.16765284000002</v>
      </c>
      <c r="L511" s="469">
        <v>322.57784934</v>
      </c>
      <c r="M511" s="469">
        <v>324.26247583999998</v>
      </c>
      <c r="N511" s="469">
        <v>321.74457977999998</v>
      </c>
      <c r="O511" s="469">
        <v>319.70489328999997</v>
      </c>
      <c r="P511" s="469">
        <v>316.61021534000002</v>
      </c>
      <c r="Q511" s="469">
        <v>313.37685298000002</v>
      </c>
      <c r="R511" s="469">
        <v>313.442805079999</v>
      </c>
      <c r="S511" s="469">
        <f t="shared" si="44"/>
        <v>3779.872958579997</v>
      </c>
    </row>
    <row r="512" spans="1:19">
      <c r="A512" s="469" t="str">
        <f t="shared" si="41"/>
        <v>KU</v>
      </c>
      <c r="B512" s="469" t="str">
        <f t="shared" si="42"/>
        <v>VA</v>
      </c>
      <c r="C512" s="469" t="str">
        <f t="shared" si="43"/>
        <v>391</v>
      </c>
      <c r="D512" s="470" t="s">
        <v>1870</v>
      </c>
      <c r="E512" s="468" t="str">
        <f t="shared" si="45"/>
        <v/>
      </c>
      <c r="F512" s="469">
        <v>0</v>
      </c>
      <c r="G512" s="469">
        <v>0</v>
      </c>
      <c r="H512" s="469">
        <v>0</v>
      </c>
      <c r="I512" s="469">
        <v>0</v>
      </c>
      <c r="J512" s="469">
        <v>0</v>
      </c>
      <c r="K512" s="469">
        <v>0</v>
      </c>
      <c r="L512" s="469">
        <v>0</v>
      </c>
      <c r="M512" s="469">
        <v>0</v>
      </c>
      <c r="N512" s="469">
        <v>0</v>
      </c>
      <c r="O512" s="469">
        <v>0</v>
      </c>
      <c r="P512" s="469">
        <v>0</v>
      </c>
      <c r="Q512" s="469">
        <v>0</v>
      </c>
      <c r="R512" s="469">
        <v>0</v>
      </c>
      <c r="S512" s="469">
        <f t="shared" si="44"/>
        <v>0</v>
      </c>
    </row>
    <row r="513" spans="1:20">
      <c r="A513" s="469" t="str">
        <f t="shared" si="41"/>
        <v>KU</v>
      </c>
      <c r="B513" s="469" t="str">
        <f t="shared" si="42"/>
        <v>KY</v>
      </c>
      <c r="C513" s="469" t="str">
        <f t="shared" si="43"/>
        <v>392</v>
      </c>
      <c r="D513" s="470" t="s">
        <v>1871</v>
      </c>
      <c r="E513" s="468" t="str">
        <f t="shared" si="45"/>
        <v>ECR</v>
      </c>
      <c r="F513" s="469">
        <v>2.4210573329999998</v>
      </c>
      <c r="G513" s="469">
        <v>0.23847414729999999</v>
      </c>
      <c r="H513" s="469">
        <v>0.23847414729999999</v>
      </c>
      <c r="I513" s="469">
        <v>0.23847414729999999</v>
      </c>
      <c r="J513" s="469">
        <v>0.23847414729999999</v>
      </c>
      <c r="K513" s="469">
        <v>0.64678291399999999</v>
      </c>
      <c r="L513" s="469">
        <v>1.0550916809999999</v>
      </c>
      <c r="M513" s="469">
        <v>1.0550916809999999</v>
      </c>
      <c r="N513" s="469">
        <v>1.0550916809999999</v>
      </c>
      <c r="O513" s="469">
        <v>1.0550916809999999</v>
      </c>
      <c r="P513" s="469">
        <v>1.0550916809999999</v>
      </c>
      <c r="Q513" s="469">
        <v>1.0550916809999999</v>
      </c>
      <c r="R513" s="469">
        <v>1.0550916809999999</v>
      </c>
      <c r="S513" s="469">
        <f t="shared" si="44"/>
        <v>8.9863212702000013</v>
      </c>
      <c r="T513" s="470"/>
    </row>
    <row r="514" spans="1:20">
      <c r="A514" s="469" t="str">
        <f t="shared" si="41"/>
        <v>KU</v>
      </c>
      <c r="B514" s="469" t="str">
        <f t="shared" si="42"/>
        <v>KY</v>
      </c>
      <c r="C514" s="469" t="str">
        <f t="shared" si="43"/>
        <v>392</v>
      </c>
      <c r="D514" s="470" t="s">
        <v>1872</v>
      </c>
      <c r="E514" s="468" t="str">
        <f t="shared" si="45"/>
        <v/>
      </c>
      <c r="F514" s="469">
        <v>21.79363983</v>
      </c>
      <c r="G514" s="469">
        <v>17.631033454000001</v>
      </c>
      <c r="H514" s="469">
        <v>17.631033454000001</v>
      </c>
      <c r="I514" s="469">
        <v>17.631033454000001</v>
      </c>
      <c r="J514" s="469">
        <v>17.631033454000001</v>
      </c>
      <c r="K514" s="469">
        <v>17.631033454000001</v>
      </c>
      <c r="L514" s="469">
        <v>17.631033454000001</v>
      </c>
      <c r="M514" s="469">
        <v>17.631033454000001</v>
      </c>
      <c r="N514" s="469">
        <v>17.631033454000001</v>
      </c>
      <c r="O514" s="469">
        <v>17.631033454000001</v>
      </c>
      <c r="P514" s="469">
        <v>17.631033454000001</v>
      </c>
      <c r="Q514" s="469">
        <v>17.631033454000001</v>
      </c>
      <c r="R514" s="469">
        <v>17.631033454000001</v>
      </c>
      <c r="S514" s="469">
        <f t="shared" si="44"/>
        <v>211.57240144800002</v>
      </c>
    </row>
    <row r="515" spans="1:20">
      <c r="A515" s="469" t="str">
        <f t="shared" si="41"/>
        <v>KU</v>
      </c>
      <c r="B515" s="469" t="str">
        <f t="shared" si="42"/>
        <v>KY</v>
      </c>
      <c r="C515" s="469" t="str">
        <f t="shared" si="43"/>
        <v>393</v>
      </c>
      <c r="D515" s="470" t="s">
        <v>1873</v>
      </c>
      <c r="E515" s="468" t="str">
        <f t="shared" si="45"/>
        <v/>
      </c>
      <c r="F515" s="469">
        <v>6.3760128610000004</v>
      </c>
      <c r="G515" s="469">
        <v>5.5334233900000003</v>
      </c>
      <c r="H515" s="469">
        <v>5.5334233900000003</v>
      </c>
      <c r="I515" s="469">
        <v>5.5334233900000003</v>
      </c>
      <c r="J515" s="469">
        <v>5.5334233900000003</v>
      </c>
      <c r="K515" s="469">
        <v>5.5334233900000003</v>
      </c>
      <c r="L515" s="469">
        <v>5.5334233900000003</v>
      </c>
      <c r="M515" s="469">
        <v>5.5334233900000003</v>
      </c>
      <c r="N515" s="469">
        <v>5.5334233900000003</v>
      </c>
      <c r="O515" s="469">
        <v>5.5334233900000003</v>
      </c>
      <c r="P515" s="469">
        <v>5.5334233900000003</v>
      </c>
      <c r="Q515" s="469">
        <v>5.5334233900000003</v>
      </c>
      <c r="R515" s="469">
        <v>5.5334233900000003</v>
      </c>
      <c r="S515" s="469">
        <f t="shared" si="44"/>
        <v>66.401080680000021</v>
      </c>
    </row>
    <row r="516" spans="1:20">
      <c r="A516" s="469" t="str">
        <f t="shared" si="41"/>
        <v>KU</v>
      </c>
      <c r="B516" s="469" t="str">
        <f t="shared" si="42"/>
        <v>VA</v>
      </c>
      <c r="C516" s="469" t="str">
        <f t="shared" si="43"/>
        <v>393</v>
      </c>
      <c r="D516" s="470" t="s">
        <v>1874</v>
      </c>
      <c r="E516" s="468" t="str">
        <f t="shared" si="45"/>
        <v/>
      </c>
      <c r="F516" s="469">
        <v>1.91232795E-2</v>
      </c>
      <c r="G516" s="469">
        <v>1.6596139999999999E-2</v>
      </c>
      <c r="H516" s="469">
        <v>1.6596139999999999E-2</v>
      </c>
      <c r="I516" s="469">
        <v>1.6596139999999999E-2</v>
      </c>
      <c r="J516" s="469">
        <v>1.6596139999999999E-2</v>
      </c>
      <c r="K516" s="469">
        <v>1.6596139999999999E-2</v>
      </c>
      <c r="L516" s="469">
        <v>1.6596139999999999E-2</v>
      </c>
      <c r="M516" s="469">
        <v>1.6596139999999999E-2</v>
      </c>
      <c r="N516" s="469">
        <v>1.6596139999999999E-2</v>
      </c>
      <c r="O516" s="469">
        <v>1.6596139999999999E-2</v>
      </c>
      <c r="P516" s="469">
        <v>1.6596139999999999E-2</v>
      </c>
      <c r="Q516" s="469">
        <v>1.6596139999999999E-2</v>
      </c>
      <c r="R516" s="469">
        <v>1.6596139999999999E-2</v>
      </c>
      <c r="S516" s="469">
        <f t="shared" si="44"/>
        <v>0.19915368000000003</v>
      </c>
    </row>
    <row r="517" spans="1:20">
      <c r="A517" s="469" t="str">
        <f t="shared" si="41"/>
        <v>KU</v>
      </c>
      <c r="B517" s="469" t="str">
        <f t="shared" si="42"/>
        <v>KY</v>
      </c>
      <c r="C517" s="469" t="str">
        <f t="shared" si="43"/>
        <v>394</v>
      </c>
      <c r="D517" s="470" t="s">
        <v>1875</v>
      </c>
      <c r="E517" s="468" t="str">
        <f t="shared" si="45"/>
        <v/>
      </c>
      <c r="F517" s="469">
        <v>45.99749843</v>
      </c>
      <c r="G517" s="469">
        <v>43.400810530000001</v>
      </c>
      <c r="H517" s="469">
        <v>43.423779400000001</v>
      </c>
      <c r="I517" s="469">
        <v>43.144961850000001</v>
      </c>
      <c r="J517" s="469">
        <v>42.985127919999996</v>
      </c>
      <c r="K517" s="469">
        <v>43.142269319999997</v>
      </c>
      <c r="L517" s="469">
        <v>43.75616145</v>
      </c>
      <c r="M517" s="469">
        <v>44.398328810000002</v>
      </c>
      <c r="N517" s="469">
        <v>44.483733989999998</v>
      </c>
      <c r="O517" s="469">
        <v>44.549960310000003</v>
      </c>
      <c r="P517" s="469">
        <v>44.643036879999997</v>
      </c>
      <c r="Q517" s="469">
        <v>44.736113449999998</v>
      </c>
      <c r="R517" s="469">
        <v>44.802339760000002</v>
      </c>
      <c r="S517" s="469">
        <f t="shared" si="44"/>
        <v>527.4666236700001</v>
      </c>
    </row>
    <row r="518" spans="1:20">
      <c r="A518" s="469" t="str">
        <f t="shared" si="41"/>
        <v>KU</v>
      </c>
      <c r="B518" s="469" t="str">
        <f t="shared" si="42"/>
        <v>VA</v>
      </c>
      <c r="C518" s="469" t="str">
        <f t="shared" si="43"/>
        <v>394</v>
      </c>
      <c r="D518" s="470" t="s">
        <v>1876</v>
      </c>
      <c r="E518" s="468" t="str">
        <f t="shared" si="45"/>
        <v/>
      </c>
      <c r="F518" s="469">
        <v>1.792844989</v>
      </c>
      <c r="G518" s="469">
        <v>1.6952293599999999</v>
      </c>
      <c r="H518" s="469">
        <v>1.702581237</v>
      </c>
      <c r="I518" s="469">
        <v>1.7099331129999999</v>
      </c>
      <c r="J518" s="469">
        <v>1.71728499</v>
      </c>
      <c r="K518" s="469">
        <v>1.724636866</v>
      </c>
      <c r="L518" s="469">
        <v>1.7319887430000001</v>
      </c>
      <c r="M518" s="469">
        <v>1.7399799</v>
      </c>
      <c r="N518" s="469">
        <v>1.7486103369999999</v>
      </c>
      <c r="O518" s="469">
        <v>1.7572407750000001</v>
      </c>
      <c r="P518" s="469">
        <v>1.765871212</v>
      </c>
      <c r="Q518" s="469">
        <v>1.7745016499999999</v>
      </c>
      <c r="R518" s="469">
        <v>1.783132087</v>
      </c>
      <c r="S518" s="469">
        <f t="shared" si="44"/>
        <v>20.850990269999997</v>
      </c>
    </row>
    <row r="519" spans="1:20">
      <c r="A519" s="469" t="str">
        <f t="shared" si="41"/>
        <v>KU</v>
      </c>
      <c r="B519" s="469" t="str">
        <f t="shared" si="42"/>
        <v>KY</v>
      </c>
      <c r="C519" s="469" t="str">
        <f t="shared" si="43"/>
        <v>396</v>
      </c>
      <c r="D519" s="470" t="s">
        <v>1877</v>
      </c>
      <c r="E519" s="468" t="str">
        <f t="shared" si="45"/>
        <v/>
      </c>
      <c r="F519" s="469">
        <v>15.4730413</v>
      </c>
      <c r="G519" s="469">
        <v>9.8338226459999998</v>
      </c>
      <c r="H519" s="469">
        <v>9.8338226459999998</v>
      </c>
      <c r="I519" s="469">
        <v>9.8338226459999998</v>
      </c>
      <c r="J519" s="469">
        <v>9.8338226459999998</v>
      </c>
      <c r="K519" s="469">
        <v>9.8338226459999998</v>
      </c>
      <c r="L519" s="469">
        <v>9.8338226459999998</v>
      </c>
      <c r="M519" s="469">
        <v>9.8338226459999998</v>
      </c>
      <c r="N519" s="469">
        <v>9.8338226459999998</v>
      </c>
      <c r="O519" s="469">
        <v>9.8338226459999998</v>
      </c>
      <c r="P519" s="469">
        <v>9.8338226459999998</v>
      </c>
      <c r="Q519" s="469">
        <v>9.8338226459999998</v>
      </c>
      <c r="R519" s="469">
        <v>9.8338226459999998</v>
      </c>
      <c r="S519" s="469">
        <f t="shared" si="44"/>
        <v>118.005871752</v>
      </c>
    </row>
    <row r="520" spans="1:20">
      <c r="A520" s="469" t="str">
        <f t="shared" si="41"/>
        <v>KU</v>
      </c>
      <c r="B520" s="469" t="str">
        <f t="shared" si="42"/>
        <v>VA</v>
      </c>
      <c r="C520" s="469" t="str">
        <f t="shared" si="43"/>
        <v>396</v>
      </c>
      <c r="D520" s="470" t="s">
        <v>1878</v>
      </c>
      <c r="E520" s="468" t="str">
        <f t="shared" si="45"/>
        <v/>
      </c>
      <c r="F520" s="469">
        <v>2.0912040350000001</v>
      </c>
      <c r="G520" s="469">
        <v>1.329055433</v>
      </c>
      <c r="H520" s="469">
        <v>1.329055433</v>
      </c>
      <c r="I520" s="469">
        <v>1.329055433</v>
      </c>
      <c r="J520" s="469">
        <v>1.329055433</v>
      </c>
      <c r="K520" s="469">
        <v>1.329055433</v>
      </c>
      <c r="L520" s="469">
        <v>1.329055433</v>
      </c>
      <c r="M520" s="469">
        <v>1.329055433</v>
      </c>
      <c r="N520" s="469">
        <v>1.329055433</v>
      </c>
      <c r="O520" s="469">
        <v>1.329055433</v>
      </c>
      <c r="P520" s="469">
        <v>1.329055433</v>
      </c>
      <c r="Q520" s="469">
        <v>1.329055433</v>
      </c>
      <c r="R520" s="469">
        <v>1.329055433</v>
      </c>
      <c r="S520" s="469">
        <f t="shared" si="44"/>
        <v>15.948665196000002</v>
      </c>
    </row>
    <row r="521" spans="1:20">
      <c r="A521" s="469" t="str">
        <f t="shared" si="41"/>
        <v>KU</v>
      </c>
      <c r="B521" s="469" t="str">
        <f t="shared" si="42"/>
        <v>KY</v>
      </c>
      <c r="C521" s="469" t="str">
        <f t="shared" si="43"/>
        <v>397</v>
      </c>
      <c r="D521" s="470" t="s">
        <v>1879</v>
      </c>
      <c r="E521" s="468" t="str">
        <f t="shared" si="45"/>
        <v>DSM</v>
      </c>
      <c r="F521" s="469">
        <v>44.727753427000003</v>
      </c>
      <c r="G521" s="469">
        <v>112.795790399</v>
      </c>
      <c r="H521" s="469">
        <v>114.167308499</v>
      </c>
      <c r="I521" s="469">
        <v>115.394289199</v>
      </c>
      <c r="J521" s="469">
        <v>116.920716399</v>
      </c>
      <c r="K521" s="469">
        <v>118.467006199</v>
      </c>
      <c r="L521" s="469">
        <v>120.032678699</v>
      </c>
      <c r="M521" s="469">
        <v>121.69941679900001</v>
      </c>
      <c r="N521" s="469">
        <v>123.502162799</v>
      </c>
      <c r="O521" s="469">
        <v>125.258037999</v>
      </c>
      <c r="P521" s="469">
        <v>127.329119499</v>
      </c>
      <c r="Q521" s="469">
        <v>129.359454699</v>
      </c>
      <c r="R521" s="469">
        <v>130.98352319899999</v>
      </c>
      <c r="S521" s="469">
        <f t="shared" si="44"/>
        <v>1455.909504388</v>
      </c>
    </row>
    <row r="522" spans="1:20">
      <c r="A522" s="469" t="str">
        <f t="shared" si="41"/>
        <v>KU</v>
      </c>
      <c r="B522" s="469" t="str">
        <f t="shared" si="42"/>
        <v>KY</v>
      </c>
      <c r="C522" s="469" t="str">
        <f t="shared" si="43"/>
        <v>397</v>
      </c>
      <c r="D522" s="470" t="s">
        <v>1880</v>
      </c>
      <c r="E522" s="468" t="str">
        <f t="shared" si="45"/>
        <v/>
      </c>
      <c r="F522" s="469">
        <v>187.00581217000001</v>
      </c>
      <c r="G522" s="469">
        <v>284.57546300000001</v>
      </c>
      <c r="H522" s="469">
        <v>285.25072399999999</v>
      </c>
      <c r="I522" s="469">
        <v>285.85883439999998</v>
      </c>
      <c r="J522" s="469">
        <v>292.77097520000001</v>
      </c>
      <c r="K522" s="469">
        <v>301.14351790000001</v>
      </c>
      <c r="L522" s="469">
        <v>302.81570169999998</v>
      </c>
      <c r="M522" s="469">
        <v>302.89975729999998</v>
      </c>
      <c r="N522" s="469">
        <v>302.89975729999998</v>
      </c>
      <c r="O522" s="469">
        <v>302.89975729999998</v>
      </c>
      <c r="P522" s="469">
        <v>302.89975729999998</v>
      </c>
      <c r="Q522" s="469">
        <v>302.89975729999998</v>
      </c>
      <c r="R522" s="469">
        <v>302.89975729999998</v>
      </c>
      <c r="S522" s="469">
        <f t="shared" si="44"/>
        <v>3569.8137600000009</v>
      </c>
    </row>
    <row r="523" spans="1:20">
      <c r="A523" s="469" t="str">
        <f t="shared" si="41"/>
        <v>KU</v>
      </c>
      <c r="B523" s="469" t="str">
        <f t="shared" si="42"/>
        <v>VA</v>
      </c>
      <c r="C523" s="469" t="str">
        <f t="shared" si="43"/>
        <v>397</v>
      </c>
      <c r="D523" s="470" t="s">
        <v>1881</v>
      </c>
      <c r="E523" s="468" t="str">
        <f t="shared" si="45"/>
        <v/>
      </c>
      <c r="F523" s="469">
        <v>3.7733861530000001</v>
      </c>
      <c r="G523" s="469">
        <v>5.6713889799999997</v>
      </c>
      <c r="H523" s="469">
        <v>5.6713889799999997</v>
      </c>
      <c r="I523" s="469">
        <v>5.6713889799999997</v>
      </c>
      <c r="J523" s="469">
        <v>5.6713889799999997</v>
      </c>
      <c r="K523" s="469">
        <v>5.6713889799999997</v>
      </c>
      <c r="L523" s="469">
        <v>5.6713889799999997</v>
      </c>
      <c r="M523" s="469">
        <v>5.6713889799999997</v>
      </c>
      <c r="N523" s="469">
        <v>5.6713889799999997</v>
      </c>
      <c r="O523" s="469">
        <v>5.6713889799999997</v>
      </c>
      <c r="P523" s="469">
        <v>5.6713889799999997</v>
      </c>
      <c r="Q523" s="469">
        <v>5.6713889799999997</v>
      </c>
      <c r="R523" s="469">
        <v>5.6713889799999997</v>
      </c>
      <c r="S523" s="469">
        <f t="shared" si="44"/>
        <v>68.056667760000011</v>
      </c>
    </row>
    <row r="524" spans="1:20">
      <c r="T524" s="470"/>
    </row>
    <row r="525" spans="1:20">
      <c r="D525" s="470" t="s">
        <v>1884</v>
      </c>
      <c r="E525" s="468" t="str">
        <f t="shared" si="45"/>
        <v/>
      </c>
      <c r="F525" s="469">
        <f>SUM(F408:F524)</f>
        <v>24333.459407967708</v>
      </c>
      <c r="G525" s="469">
        <f>SUM(G408:G524)</f>
        <v>29465.779268194648</v>
      </c>
      <c r="H525" s="469">
        <f t="shared" ref="H525:R525" si="46">SUM(H408:H524)</f>
        <v>29569.333605774958</v>
      </c>
      <c r="I525" s="469">
        <f t="shared" si="46"/>
        <v>29694.131762013785</v>
      </c>
      <c r="J525" s="469">
        <f t="shared" si="46"/>
        <v>29782.110862162655</v>
      </c>
      <c r="K525" s="469">
        <f t="shared" si="46"/>
        <v>29903.764064449733</v>
      </c>
      <c r="L525" s="469">
        <f t="shared" si="46"/>
        <v>30079.990156413471</v>
      </c>
      <c r="M525" s="469">
        <f t="shared" si="46"/>
        <v>30219.737670754341</v>
      </c>
      <c r="N525" s="469">
        <f t="shared" si="46"/>
        <v>30240.435784572332</v>
      </c>
      <c r="O525" s="469">
        <f t="shared" si="46"/>
        <v>30271.591051663512</v>
      </c>
      <c r="P525" s="469">
        <f t="shared" si="46"/>
        <v>30327.103148271297</v>
      </c>
      <c r="Q525" s="469">
        <f t="shared" si="46"/>
        <v>30371.376551224577</v>
      </c>
      <c r="R525" s="469">
        <f t="shared" si="46"/>
        <v>30431.326994285166</v>
      </c>
      <c r="S525" s="671">
        <f>SUM(G525:R525)</f>
        <v>360356.68091978045</v>
      </c>
    </row>
    <row r="526" spans="1:20">
      <c r="D526" s="672" t="s">
        <v>1888</v>
      </c>
      <c r="E526" s="468" t="str">
        <f t="shared" si="45"/>
        <v/>
      </c>
      <c r="S526" s="671">
        <f>SUM(S408:S524)</f>
        <v>360356.68091978057</v>
      </c>
    </row>
    <row r="527" spans="1:20">
      <c r="A527" s="469" t="str">
        <f t="shared" ref="A527:A535" si="47">MID($D527,4,2)</f>
        <v>KU</v>
      </c>
      <c r="B527" s="469" t="str">
        <f t="shared" ref="B527:B535" si="48">IF(MID($D527,12,2)="- ","KY",MID($D527,12,2))</f>
        <v>KY</v>
      </c>
      <c r="C527" s="469" t="str">
        <f t="shared" ref="C527:C535" si="49">MID($D527,8,3)</f>
        <v>317</v>
      </c>
      <c r="D527" s="470" t="s">
        <v>1794</v>
      </c>
      <c r="E527" s="468" t="str">
        <f t="shared" si="45"/>
        <v>ARO</v>
      </c>
      <c r="F527" s="469">
        <f>-F425</f>
        <v>-3767.7427499999999</v>
      </c>
      <c r="G527" s="469">
        <f t="shared" ref="G527:R527" si="50">-G425</f>
        <v>-3767.7427499999999</v>
      </c>
      <c r="H527" s="469">
        <f t="shared" si="50"/>
        <v>-3767.7427499999999</v>
      </c>
      <c r="I527" s="469">
        <f t="shared" si="50"/>
        <v>-3767.7427499999999</v>
      </c>
      <c r="J527" s="469">
        <f t="shared" si="50"/>
        <v>-3767.7427499999999</v>
      </c>
      <c r="K527" s="469">
        <f t="shared" si="50"/>
        <v>-3767.7427499999999</v>
      </c>
      <c r="L527" s="469">
        <f t="shared" si="50"/>
        <v>-3767.7427499999999</v>
      </c>
      <c r="M527" s="469">
        <f t="shared" si="50"/>
        <v>-3767.7427499999999</v>
      </c>
      <c r="N527" s="469">
        <f t="shared" si="50"/>
        <v>-3767.7427499999999</v>
      </c>
      <c r="O527" s="469">
        <f t="shared" si="50"/>
        <v>-3767.7427499999999</v>
      </c>
      <c r="P527" s="469">
        <f t="shared" si="50"/>
        <v>-3767.7427499999999</v>
      </c>
      <c r="Q527" s="469">
        <f t="shared" si="50"/>
        <v>-3767.7427499999999</v>
      </c>
      <c r="R527" s="469">
        <f t="shared" si="50"/>
        <v>-3767.7427499999999</v>
      </c>
      <c r="S527" s="469">
        <f t="shared" si="44"/>
        <v>-45212.912999999993</v>
      </c>
    </row>
    <row r="528" spans="1:20">
      <c r="A528" s="469" t="str">
        <f t="shared" si="47"/>
        <v>KU</v>
      </c>
      <c r="B528" s="469" t="str">
        <f t="shared" si="48"/>
        <v>KY</v>
      </c>
      <c r="C528" s="469" t="str">
        <f t="shared" si="49"/>
        <v>337</v>
      </c>
      <c r="D528" s="470" t="s">
        <v>1802</v>
      </c>
      <c r="E528" s="468" t="str">
        <f t="shared" si="45"/>
        <v>ARO</v>
      </c>
      <c r="F528" s="469">
        <f>-F432</f>
        <v>-0.44783000000000001</v>
      </c>
      <c r="G528" s="469">
        <f t="shared" ref="G528:R528" si="51">-G432</f>
        <v>-0.44783000000000001</v>
      </c>
      <c r="H528" s="469">
        <f t="shared" si="51"/>
        <v>-0.44783000000000001</v>
      </c>
      <c r="I528" s="469">
        <f t="shared" si="51"/>
        <v>-0.44783000000000001</v>
      </c>
      <c r="J528" s="469">
        <f t="shared" si="51"/>
        <v>-0.44783000000000001</v>
      </c>
      <c r="K528" s="469">
        <f t="shared" si="51"/>
        <v>-0.44783000000000001</v>
      </c>
      <c r="L528" s="469">
        <f t="shared" si="51"/>
        <v>-0.44783000000000001</v>
      </c>
      <c r="M528" s="469">
        <f t="shared" si="51"/>
        <v>-0.44783000000000001</v>
      </c>
      <c r="N528" s="469">
        <f t="shared" si="51"/>
        <v>-0.44783000000000001</v>
      </c>
      <c r="O528" s="469">
        <f t="shared" si="51"/>
        <v>-0.44783000000000001</v>
      </c>
      <c r="P528" s="469">
        <f t="shared" si="51"/>
        <v>-0.44783000000000001</v>
      </c>
      <c r="Q528" s="469">
        <f t="shared" si="51"/>
        <v>-0.44783000000000001</v>
      </c>
      <c r="R528" s="469">
        <f t="shared" si="51"/>
        <v>-0.44783000000000001</v>
      </c>
      <c r="S528" s="469">
        <f t="shared" si="44"/>
        <v>-5.3739599999999994</v>
      </c>
    </row>
    <row r="529" spans="1:20">
      <c r="A529" s="469" t="str">
        <f t="shared" si="47"/>
        <v>KU</v>
      </c>
      <c r="B529" s="469" t="str">
        <f t="shared" si="48"/>
        <v>KY</v>
      </c>
      <c r="C529" s="469" t="str">
        <f t="shared" si="49"/>
        <v>359</v>
      </c>
      <c r="D529" s="470" t="s">
        <v>1829</v>
      </c>
      <c r="E529" s="468" t="str">
        <f t="shared" si="45"/>
        <v>ARO</v>
      </c>
      <c r="F529" s="469">
        <f>-F470</f>
        <v>-0.69945000000000002</v>
      </c>
      <c r="G529" s="469">
        <f t="shared" ref="G529:R529" si="52">-G470</f>
        <v>-0.69945000000000002</v>
      </c>
      <c r="H529" s="469">
        <f t="shared" si="52"/>
        <v>-0.69945000000000002</v>
      </c>
      <c r="I529" s="469">
        <f t="shared" si="52"/>
        <v>-0.69945000000000002</v>
      </c>
      <c r="J529" s="469">
        <f t="shared" si="52"/>
        <v>-0.69945000000000002</v>
      </c>
      <c r="K529" s="469">
        <f t="shared" si="52"/>
        <v>-0.69945000000000002</v>
      </c>
      <c r="L529" s="469">
        <f t="shared" si="52"/>
        <v>-0.69945000000000002</v>
      </c>
      <c r="M529" s="469">
        <f t="shared" si="52"/>
        <v>-0.69945000000000002</v>
      </c>
      <c r="N529" s="469">
        <f t="shared" si="52"/>
        <v>-0.69945000000000002</v>
      </c>
      <c r="O529" s="469">
        <f t="shared" si="52"/>
        <v>-0.69945000000000002</v>
      </c>
      <c r="P529" s="469">
        <f t="shared" si="52"/>
        <v>-0.69945000000000002</v>
      </c>
      <c r="Q529" s="469">
        <f t="shared" si="52"/>
        <v>-0.69945000000000002</v>
      </c>
      <c r="R529" s="469">
        <f t="shared" si="52"/>
        <v>-0.69945000000000002</v>
      </c>
      <c r="S529" s="469">
        <f>SUM(G529:R529)</f>
        <v>-8.393399999999998</v>
      </c>
    </row>
    <row r="530" spans="1:20">
      <c r="A530" s="469" t="str">
        <f t="shared" si="47"/>
        <v>KU</v>
      </c>
      <c r="B530" s="469" t="str">
        <f t="shared" si="48"/>
        <v>KY</v>
      </c>
      <c r="C530" s="469" t="str">
        <f t="shared" si="49"/>
        <v>374</v>
      </c>
      <c r="D530" s="470" t="s">
        <v>1862</v>
      </c>
      <c r="E530" s="468" t="str">
        <f t="shared" si="45"/>
        <v>ARO</v>
      </c>
      <c r="F530" s="469">
        <f>-F506</f>
        <v>-1.88453</v>
      </c>
      <c r="G530" s="469">
        <f t="shared" ref="G530:R530" si="53">-G506</f>
        <v>-1.88453</v>
      </c>
      <c r="H530" s="469">
        <f t="shared" si="53"/>
        <v>-1.88453</v>
      </c>
      <c r="I530" s="469">
        <f t="shared" si="53"/>
        <v>-1.88453</v>
      </c>
      <c r="J530" s="469">
        <f t="shared" si="53"/>
        <v>-1.88453</v>
      </c>
      <c r="K530" s="469">
        <f t="shared" si="53"/>
        <v>-1.88453</v>
      </c>
      <c r="L530" s="469">
        <f t="shared" si="53"/>
        <v>-1.88453</v>
      </c>
      <c r="M530" s="469">
        <f t="shared" si="53"/>
        <v>-1.88453</v>
      </c>
      <c r="N530" s="469">
        <f t="shared" si="53"/>
        <v>-1.88453</v>
      </c>
      <c r="O530" s="469">
        <f t="shared" si="53"/>
        <v>-1.88453</v>
      </c>
      <c r="P530" s="469">
        <f t="shared" si="53"/>
        <v>-1.88453</v>
      </c>
      <c r="Q530" s="469">
        <f t="shared" si="53"/>
        <v>-1.88453</v>
      </c>
      <c r="R530" s="469">
        <f t="shared" si="53"/>
        <v>-1.88453</v>
      </c>
      <c r="S530" s="469">
        <f t="shared" si="44"/>
        <v>-22.614360000000005</v>
      </c>
    </row>
    <row r="531" spans="1:20">
      <c r="A531" s="469" t="str">
        <f t="shared" si="47"/>
        <v>KU</v>
      </c>
      <c r="B531" s="469" t="str">
        <f t="shared" si="48"/>
        <v>KY</v>
      </c>
      <c r="C531" s="469" t="str">
        <f t="shared" si="49"/>
        <v>347</v>
      </c>
      <c r="D531" s="470" t="s">
        <v>2359</v>
      </c>
      <c r="F531" s="469">
        <f>-F451</f>
        <v>-1.73542</v>
      </c>
      <c r="G531" s="469">
        <f t="shared" ref="G531:R531" si="54">-G451</f>
        <v>-1.73542</v>
      </c>
      <c r="H531" s="469">
        <f t="shared" si="54"/>
        <v>-1.73542</v>
      </c>
      <c r="I531" s="469">
        <f t="shared" si="54"/>
        <v>-1.73542</v>
      </c>
      <c r="J531" s="469">
        <f t="shared" si="54"/>
        <v>-1.73542</v>
      </c>
      <c r="K531" s="469">
        <f t="shared" si="54"/>
        <v>-1.73542</v>
      </c>
      <c r="L531" s="469">
        <f t="shared" si="54"/>
        <v>-1.73542</v>
      </c>
      <c r="M531" s="469">
        <f t="shared" si="54"/>
        <v>-1.73542</v>
      </c>
      <c r="N531" s="469">
        <f t="shared" si="54"/>
        <v>-1.73542</v>
      </c>
      <c r="O531" s="469">
        <f t="shared" si="54"/>
        <v>-1.73542</v>
      </c>
      <c r="P531" s="469">
        <f t="shared" si="54"/>
        <v>-1.73542</v>
      </c>
      <c r="Q531" s="469">
        <f t="shared" si="54"/>
        <v>-1.73542</v>
      </c>
      <c r="R531" s="469">
        <f t="shared" si="54"/>
        <v>-1.73542</v>
      </c>
      <c r="S531" s="469">
        <f t="shared" si="44"/>
        <v>-20.825040000000001</v>
      </c>
    </row>
    <row r="532" spans="1:20">
      <c r="A532" s="469" t="str">
        <f t="shared" si="47"/>
        <v>KU</v>
      </c>
      <c r="B532" s="469" t="str">
        <f t="shared" si="48"/>
        <v>KY</v>
      </c>
      <c r="C532" s="469" t="str">
        <f t="shared" si="49"/>
        <v>340</v>
      </c>
      <c r="D532" s="470" t="s">
        <v>2347</v>
      </c>
      <c r="F532" s="469">
        <f>-F433</f>
        <v>-0.32929737869999998</v>
      </c>
      <c r="G532" s="469">
        <f t="shared" ref="G532:R532" si="55">-G433</f>
        <v>-2.7931474080000001E-2</v>
      </c>
      <c r="H532" s="469">
        <f t="shared" si="55"/>
        <v>-2.7931474080000001E-2</v>
      </c>
      <c r="I532" s="469">
        <f t="shared" si="55"/>
        <v>-2.7931474080000001E-2</v>
      </c>
      <c r="J532" s="469">
        <f t="shared" si="55"/>
        <v>-2.7931474080000001E-2</v>
      </c>
      <c r="K532" s="469">
        <f t="shared" si="55"/>
        <v>-2.7931474080000001E-2</v>
      </c>
      <c r="L532" s="469">
        <f t="shared" si="55"/>
        <v>-2.7931474080000001E-2</v>
      </c>
      <c r="M532" s="469">
        <f t="shared" si="55"/>
        <v>-2.7931474080000001E-2</v>
      </c>
      <c r="N532" s="469">
        <f t="shared" si="55"/>
        <v>-2.7931474080000001E-2</v>
      </c>
      <c r="O532" s="469">
        <f t="shared" si="55"/>
        <v>-2.7931474080000001E-2</v>
      </c>
      <c r="P532" s="469">
        <f t="shared" si="55"/>
        <v>-2.7931474080000001E-2</v>
      </c>
      <c r="Q532" s="469">
        <f t="shared" si="55"/>
        <v>-2.7931474080000001E-2</v>
      </c>
      <c r="R532" s="469">
        <f t="shared" si="55"/>
        <v>-2.7931474080000001E-2</v>
      </c>
      <c r="S532" s="469">
        <f t="shared" si="44"/>
        <v>-0.33517768896000005</v>
      </c>
    </row>
    <row r="533" spans="1:20">
      <c r="A533" s="469" t="str">
        <f t="shared" si="47"/>
        <v>KU</v>
      </c>
      <c r="B533" s="469" t="str">
        <f t="shared" si="48"/>
        <v>KY</v>
      </c>
      <c r="C533" s="469" t="str">
        <f t="shared" si="49"/>
        <v>342</v>
      </c>
      <c r="D533" s="470" t="s">
        <v>2351</v>
      </c>
      <c r="E533" s="468" t="str">
        <f t="shared" si="45"/>
        <v/>
      </c>
      <c r="F533" s="469">
        <f>-F439</f>
        <v>-85.570390992</v>
      </c>
      <c r="G533" s="469">
        <f t="shared" ref="G533:R533" si="56">-G439</f>
        <v>-95.854502200550002</v>
      </c>
      <c r="H533" s="469">
        <f t="shared" si="56"/>
        <v>-95.854502200550002</v>
      </c>
      <c r="I533" s="469">
        <f t="shared" si="56"/>
        <v>-95.854502200550002</v>
      </c>
      <c r="J533" s="469">
        <f t="shared" si="56"/>
        <v>-95.854502200550002</v>
      </c>
      <c r="K533" s="469">
        <f t="shared" si="56"/>
        <v>-95.854502200550002</v>
      </c>
      <c r="L533" s="469">
        <f t="shared" si="56"/>
        <v>-95.854502200550002</v>
      </c>
      <c r="M533" s="469">
        <f t="shared" si="56"/>
        <v>-95.854502200550002</v>
      </c>
      <c r="N533" s="469">
        <f t="shared" si="56"/>
        <v>-95.854502200550002</v>
      </c>
      <c r="O533" s="469">
        <f t="shared" si="56"/>
        <v>-95.854502200550002</v>
      </c>
      <c r="P533" s="469">
        <f t="shared" si="56"/>
        <v>-95.854502200550002</v>
      </c>
      <c r="Q533" s="469">
        <f t="shared" si="56"/>
        <v>-95.854502200550002</v>
      </c>
      <c r="R533" s="469">
        <f t="shared" si="56"/>
        <v>-95.854502200550002</v>
      </c>
      <c r="S533" s="469">
        <f t="shared" si="44"/>
        <v>-1150.2540264065999</v>
      </c>
    </row>
    <row r="534" spans="1:20">
      <c r="A534" s="469" t="str">
        <f t="shared" si="47"/>
        <v>KU</v>
      </c>
      <c r="B534" s="469" t="str">
        <f t="shared" si="48"/>
        <v>KY</v>
      </c>
      <c r="C534" s="469" t="str">
        <f t="shared" si="49"/>
        <v>392</v>
      </c>
      <c r="D534" s="470" t="s">
        <v>1872</v>
      </c>
      <c r="E534" s="468" t="str">
        <f t="shared" si="45"/>
        <v/>
      </c>
      <c r="F534" s="469">
        <f>-F514</f>
        <v>-21.79363983</v>
      </c>
      <c r="G534" s="469">
        <f t="shared" ref="G534:R534" si="57">-G514</f>
        <v>-17.631033454000001</v>
      </c>
      <c r="H534" s="469">
        <f t="shared" si="57"/>
        <v>-17.631033454000001</v>
      </c>
      <c r="I534" s="469">
        <f t="shared" si="57"/>
        <v>-17.631033454000001</v>
      </c>
      <c r="J534" s="469">
        <f t="shared" si="57"/>
        <v>-17.631033454000001</v>
      </c>
      <c r="K534" s="469">
        <f t="shared" si="57"/>
        <v>-17.631033454000001</v>
      </c>
      <c r="L534" s="469">
        <f t="shared" si="57"/>
        <v>-17.631033454000001</v>
      </c>
      <c r="M534" s="469">
        <f t="shared" si="57"/>
        <v>-17.631033454000001</v>
      </c>
      <c r="N534" s="469">
        <f t="shared" si="57"/>
        <v>-17.631033454000001</v>
      </c>
      <c r="O534" s="469">
        <f t="shared" si="57"/>
        <v>-17.631033454000001</v>
      </c>
      <c r="P534" s="469">
        <f t="shared" si="57"/>
        <v>-17.631033454000001</v>
      </c>
      <c r="Q534" s="469">
        <f t="shared" si="57"/>
        <v>-17.631033454000001</v>
      </c>
      <c r="R534" s="469">
        <f t="shared" si="57"/>
        <v>-17.631033454000001</v>
      </c>
      <c r="S534" s="469">
        <f t="shared" si="44"/>
        <v>-211.57240144800002</v>
      </c>
    </row>
    <row r="535" spans="1:20">
      <c r="A535" s="469" t="str">
        <f t="shared" si="47"/>
        <v/>
      </c>
      <c r="B535" s="469" t="str">
        <f t="shared" si="48"/>
        <v/>
      </c>
      <c r="C535" s="469" t="str">
        <f t="shared" si="49"/>
        <v/>
      </c>
      <c r="E535" s="468" t="str">
        <f t="shared" si="45"/>
        <v/>
      </c>
      <c r="F535" s="469">
        <f>-F524</f>
        <v>0</v>
      </c>
      <c r="J535" s="469">
        <f t="shared" ref="J535:R535" si="58">-J524</f>
        <v>0</v>
      </c>
      <c r="K535" s="469">
        <f t="shared" si="58"/>
        <v>0</v>
      </c>
      <c r="L535" s="469">
        <f t="shared" si="58"/>
        <v>0</v>
      </c>
      <c r="M535" s="469">
        <f t="shared" si="58"/>
        <v>0</v>
      </c>
      <c r="N535" s="469">
        <f t="shared" si="58"/>
        <v>0</v>
      </c>
      <c r="O535" s="469">
        <f t="shared" si="58"/>
        <v>0</v>
      </c>
      <c r="P535" s="469">
        <f t="shared" si="58"/>
        <v>0</v>
      </c>
      <c r="Q535" s="469">
        <f t="shared" si="58"/>
        <v>0</v>
      </c>
      <c r="R535" s="469">
        <f t="shared" si="58"/>
        <v>0</v>
      </c>
      <c r="S535" s="671">
        <f t="shared" si="44"/>
        <v>0</v>
      </c>
      <c r="T535" s="470"/>
    </row>
    <row r="536" spans="1:20">
      <c r="D536" s="470" t="s">
        <v>1889</v>
      </c>
      <c r="E536" s="468" t="str">
        <f t="shared" si="45"/>
        <v/>
      </c>
      <c r="F536" s="469">
        <f t="shared" ref="F536:R536" si="59">SUM(F525:F535)</f>
        <v>20453.256099767004</v>
      </c>
      <c r="G536" s="469">
        <f t="shared" si="59"/>
        <v>25579.755821066017</v>
      </c>
      <c r="H536" s="469">
        <f t="shared" si="59"/>
        <v>25683.310158646327</v>
      </c>
      <c r="I536" s="469">
        <f t="shared" si="59"/>
        <v>25808.108314885154</v>
      </c>
      <c r="J536" s="469">
        <f t="shared" si="59"/>
        <v>25896.087415034024</v>
      </c>
      <c r="K536" s="469">
        <f t="shared" si="59"/>
        <v>26017.740617321102</v>
      </c>
      <c r="L536" s="469">
        <f t="shared" si="59"/>
        <v>26193.966709284839</v>
      </c>
      <c r="M536" s="469">
        <f t="shared" si="59"/>
        <v>26333.71422362571</v>
      </c>
      <c r="N536" s="469">
        <f t="shared" si="59"/>
        <v>26354.4123374437</v>
      </c>
      <c r="O536" s="469">
        <f t="shared" si="59"/>
        <v>26385.567604534881</v>
      </c>
      <c r="P536" s="469">
        <f t="shared" si="59"/>
        <v>26441.079701142666</v>
      </c>
      <c r="Q536" s="469">
        <f t="shared" si="59"/>
        <v>26485.353104095946</v>
      </c>
      <c r="R536" s="469">
        <f t="shared" si="59"/>
        <v>26545.303547156534</v>
      </c>
      <c r="S536" s="671">
        <f t="shared" si="44"/>
        <v>313724.39955423691</v>
      </c>
    </row>
    <row r="537" spans="1:20">
      <c r="E537" s="468" t="str">
        <f t="shared" si="45"/>
        <v/>
      </c>
      <c r="G537" s="469">
        <v>25579.755821065999</v>
      </c>
      <c r="H537" s="469">
        <v>25683.310158646302</v>
      </c>
      <c r="I537" s="469">
        <v>25808.108314885092</v>
      </c>
      <c r="J537" s="469">
        <v>25896.087415034002</v>
      </c>
      <c r="K537" s="469">
        <v>26017.740617320989</v>
      </c>
      <c r="L537" s="469">
        <v>26193.966709284792</v>
      </c>
      <c r="M537" s="469">
        <v>26333.714223625699</v>
      </c>
      <c r="N537" s="469">
        <v>26354.412337443599</v>
      </c>
      <c r="O537" s="469">
        <v>26385.567604534801</v>
      </c>
      <c r="P537" s="469">
        <v>26441.0797011426</v>
      </c>
      <c r="Q537" s="469">
        <v>26485.353104095899</v>
      </c>
      <c r="R537" s="469">
        <v>26545.303547156498</v>
      </c>
      <c r="S537" s="671">
        <f t="shared" si="44"/>
        <v>313724.39955423621</v>
      </c>
      <c r="T537" s="470" t="s">
        <v>2380</v>
      </c>
    </row>
    <row r="538" spans="1:20">
      <c r="E538" s="468" t="str">
        <f t="shared" si="45"/>
        <v/>
      </c>
      <c r="G538" s="673">
        <f>G536-G537</f>
        <v>0</v>
      </c>
      <c r="H538" s="671">
        <f t="shared" ref="H538:R538" si="60">H536-H537</f>
        <v>0</v>
      </c>
      <c r="I538" s="671">
        <f t="shared" si="60"/>
        <v>6.184563972055912E-11</v>
      </c>
      <c r="J538" s="671">
        <f t="shared" si="60"/>
        <v>0</v>
      </c>
      <c r="K538" s="671">
        <f t="shared" si="60"/>
        <v>1.127773430198431E-10</v>
      </c>
      <c r="L538" s="671">
        <f t="shared" si="60"/>
        <v>4.7293724492192268E-11</v>
      </c>
      <c r="M538" s="671">
        <f t="shared" si="60"/>
        <v>0</v>
      </c>
      <c r="N538" s="671">
        <f t="shared" si="60"/>
        <v>1.0186340659856796E-10</v>
      </c>
      <c r="O538" s="671">
        <f t="shared" si="60"/>
        <v>8.0035533756017685E-11</v>
      </c>
      <c r="P538" s="671">
        <f t="shared" si="60"/>
        <v>6.5483618527650833E-11</v>
      </c>
      <c r="Q538" s="671">
        <f t="shared" si="60"/>
        <v>4.7293724492192268E-11</v>
      </c>
      <c r="R538" s="671">
        <f t="shared" si="60"/>
        <v>3.637978807091713E-11</v>
      </c>
      <c r="S538" s="671">
        <f t="shared" ref="S538" si="61">SUM(G538:R538)</f>
        <v>5.5297277867794037E-10</v>
      </c>
      <c r="T538" s="470" t="s">
        <v>2381</v>
      </c>
    </row>
    <row r="539" spans="1:20">
      <c r="E539" s="468" t="str">
        <f t="shared" ref="E539:E561" si="62">IF(ISTEXT(MID($D539,SEARCH("FUTURE USE",$D539),3)),"FUTURE USE",IF(ISTEXT(MID($D539,SEARCH("ECR",$D539),3)),"ECR",IF(ISTEXT(MID($D539,SEARCH("ARO",$D539),3)),"ARO",IF(ISTEXT(MID($D539,SEARCH("DSM",$D539),3)),"DSM",""))))</f>
        <v/>
      </c>
    </row>
    <row r="540" spans="1:20">
      <c r="D540" s="668" t="s">
        <v>1890</v>
      </c>
      <c r="E540" s="468" t="str">
        <f t="shared" si="62"/>
        <v/>
      </c>
    </row>
    <row r="541" spans="1:20">
      <c r="A541" s="469" t="str">
        <f t="shared" ref="A541:A561" si="63">MID($D541,4,2)</f>
        <v>KU</v>
      </c>
      <c r="B541" s="469" t="str">
        <f t="shared" ref="B541:B561" si="64">IF(MID($D541,12,2)="- ","KY",MID($D541,12,2))</f>
        <v>KY</v>
      </c>
      <c r="C541" s="469" t="str">
        <f t="shared" ref="C541:C561" si="65">MID($D541,8,3)</f>
        <v>310</v>
      </c>
      <c r="D541" s="470" t="s">
        <v>1782</v>
      </c>
      <c r="E541" s="468" t="str">
        <f t="shared" si="62"/>
        <v>ECR</v>
      </c>
      <c r="R541" s="469">
        <v>0</v>
      </c>
      <c r="S541" s="469">
        <f t="shared" ref="S541:S562" si="66">SUM(G541:R541)</f>
        <v>0</v>
      </c>
    </row>
    <row r="542" spans="1:20">
      <c r="A542" s="469" t="str">
        <f t="shared" si="63"/>
        <v>KU</v>
      </c>
      <c r="B542" s="469" t="str">
        <f t="shared" si="64"/>
        <v>KY</v>
      </c>
      <c r="C542" s="469" t="str">
        <f t="shared" si="65"/>
        <v>311</v>
      </c>
      <c r="D542" s="470" t="s">
        <v>1785</v>
      </c>
      <c r="E542" s="468" t="str">
        <f t="shared" si="62"/>
        <v/>
      </c>
      <c r="R542" s="469">
        <v>0</v>
      </c>
      <c r="S542" s="469">
        <f t="shared" si="66"/>
        <v>0</v>
      </c>
    </row>
    <row r="543" spans="1:20">
      <c r="A543" s="469" t="str">
        <f t="shared" si="63"/>
        <v>KU</v>
      </c>
      <c r="B543" s="469" t="str">
        <f t="shared" si="64"/>
        <v>KY</v>
      </c>
      <c r="C543" s="469" t="str">
        <f t="shared" si="65"/>
        <v>312</v>
      </c>
      <c r="D543" s="470" t="s">
        <v>1786</v>
      </c>
      <c r="E543" s="468" t="str">
        <f t="shared" si="62"/>
        <v/>
      </c>
      <c r="R543" s="469">
        <v>0</v>
      </c>
      <c r="S543" s="469">
        <f t="shared" si="66"/>
        <v>0</v>
      </c>
    </row>
    <row r="544" spans="1:20">
      <c r="A544" s="469" t="str">
        <f t="shared" si="63"/>
        <v>KU</v>
      </c>
      <c r="B544" s="469" t="str">
        <f t="shared" si="64"/>
        <v>KY</v>
      </c>
      <c r="C544" s="469" t="str">
        <f t="shared" si="65"/>
        <v>316</v>
      </c>
      <c r="D544" s="470" t="s">
        <v>1793</v>
      </c>
      <c r="E544" s="468" t="str">
        <f t="shared" si="62"/>
        <v/>
      </c>
      <c r="R544" s="469">
        <v>0</v>
      </c>
      <c r="S544" s="469">
        <f t="shared" si="66"/>
        <v>0</v>
      </c>
    </row>
    <row r="545" spans="1:19">
      <c r="A545" s="469" t="str">
        <f t="shared" si="63"/>
        <v>KU</v>
      </c>
      <c r="B545" s="469" t="str">
        <f t="shared" si="64"/>
        <v>KY</v>
      </c>
      <c r="C545" s="469" t="str">
        <f t="shared" si="65"/>
        <v>340</v>
      </c>
      <c r="D545" s="470" t="s">
        <v>1803</v>
      </c>
      <c r="E545" s="468" t="str">
        <f t="shared" si="62"/>
        <v/>
      </c>
      <c r="R545" s="469">
        <v>0</v>
      </c>
      <c r="S545" s="469">
        <f t="shared" si="66"/>
        <v>0</v>
      </c>
    </row>
    <row r="546" spans="1:19">
      <c r="A546" s="469" t="str">
        <f t="shared" si="63"/>
        <v>KU</v>
      </c>
      <c r="B546" s="469" t="str">
        <f t="shared" si="64"/>
        <v>KY</v>
      </c>
      <c r="C546" s="469" t="str">
        <f t="shared" si="65"/>
        <v>353</v>
      </c>
      <c r="D546" s="470" t="s">
        <v>1816</v>
      </c>
      <c r="E546" s="468" t="str">
        <f t="shared" si="62"/>
        <v/>
      </c>
      <c r="R546" s="469">
        <v>0</v>
      </c>
      <c r="S546" s="469">
        <f t="shared" si="66"/>
        <v>0</v>
      </c>
    </row>
    <row r="547" spans="1:19">
      <c r="A547" s="469" t="str">
        <f t="shared" si="63"/>
        <v>KU</v>
      </c>
      <c r="B547" s="469" t="str">
        <f t="shared" si="64"/>
        <v>VA</v>
      </c>
      <c r="C547" s="469" t="str">
        <f t="shared" si="65"/>
        <v>353</v>
      </c>
      <c r="D547" s="470" t="s">
        <v>1818</v>
      </c>
      <c r="E547" s="468" t="str">
        <f t="shared" si="62"/>
        <v/>
      </c>
      <c r="R547" s="469">
        <v>0</v>
      </c>
      <c r="S547" s="469">
        <f t="shared" si="66"/>
        <v>0</v>
      </c>
    </row>
    <row r="548" spans="1:19">
      <c r="A548" s="469" t="str">
        <f t="shared" si="63"/>
        <v>KU</v>
      </c>
      <c r="B548" s="469" t="str">
        <f t="shared" si="64"/>
        <v>KY</v>
      </c>
      <c r="C548" s="469" t="str">
        <f t="shared" si="65"/>
        <v>355</v>
      </c>
      <c r="D548" s="470" t="s">
        <v>1821</v>
      </c>
      <c r="E548" s="468" t="str">
        <f t="shared" si="62"/>
        <v/>
      </c>
      <c r="R548" s="469">
        <v>0</v>
      </c>
      <c r="S548" s="469">
        <f t="shared" si="66"/>
        <v>0</v>
      </c>
    </row>
    <row r="549" spans="1:19">
      <c r="A549" s="469" t="str">
        <f t="shared" si="63"/>
        <v>KU</v>
      </c>
      <c r="B549" s="469" t="str">
        <f t="shared" si="64"/>
        <v>VA</v>
      </c>
      <c r="C549" s="469" t="str">
        <f t="shared" si="65"/>
        <v>355</v>
      </c>
      <c r="D549" s="470" t="s">
        <v>1823</v>
      </c>
      <c r="E549" s="468" t="str">
        <f t="shared" si="62"/>
        <v/>
      </c>
      <c r="R549" s="469">
        <v>0</v>
      </c>
      <c r="S549" s="469">
        <f t="shared" si="66"/>
        <v>0</v>
      </c>
    </row>
    <row r="550" spans="1:19">
      <c r="A550" s="469" t="str">
        <f t="shared" si="63"/>
        <v>KU</v>
      </c>
      <c r="B550" s="469" t="str">
        <f t="shared" si="64"/>
        <v>KY</v>
      </c>
      <c r="C550" s="469" t="str">
        <f t="shared" si="65"/>
        <v>358</v>
      </c>
      <c r="D550" s="470" t="s">
        <v>1828</v>
      </c>
      <c r="E550" s="468" t="str">
        <f t="shared" si="62"/>
        <v/>
      </c>
      <c r="R550" s="469">
        <v>0</v>
      </c>
      <c r="S550" s="469">
        <f t="shared" si="66"/>
        <v>0</v>
      </c>
    </row>
    <row r="551" spans="1:19">
      <c r="A551" s="469" t="str">
        <f t="shared" si="63"/>
        <v>KU</v>
      </c>
      <c r="B551" s="469" t="str">
        <f t="shared" si="64"/>
        <v>KY</v>
      </c>
      <c r="D551" s="470" t="s">
        <v>1830</v>
      </c>
      <c r="E551" s="468" t="str">
        <f t="shared" si="62"/>
        <v>FUTURE USE</v>
      </c>
      <c r="R551" s="469">
        <v>0</v>
      </c>
      <c r="S551" s="469">
        <f t="shared" si="66"/>
        <v>0</v>
      </c>
    </row>
    <row r="552" spans="1:19">
      <c r="A552" s="469" t="str">
        <f t="shared" si="63"/>
        <v>KU</v>
      </c>
      <c r="B552" s="469" t="str">
        <f t="shared" si="64"/>
        <v>KY</v>
      </c>
      <c r="C552" s="469" t="str">
        <f t="shared" si="65"/>
        <v>360</v>
      </c>
      <c r="D552" s="470" t="s">
        <v>1831</v>
      </c>
      <c r="E552" s="468" t="str">
        <f t="shared" si="62"/>
        <v/>
      </c>
      <c r="R552" s="469">
        <v>0</v>
      </c>
      <c r="S552" s="469">
        <f t="shared" si="66"/>
        <v>0</v>
      </c>
    </row>
    <row r="553" spans="1:19">
      <c r="A553" s="469" t="str">
        <f t="shared" si="63"/>
        <v>KU</v>
      </c>
      <c r="B553" s="469" t="str">
        <f t="shared" si="64"/>
        <v>KY</v>
      </c>
      <c r="C553" s="469" t="str">
        <f t="shared" si="65"/>
        <v>362</v>
      </c>
      <c r="D553" s="470" t="s">
        <v>1837</v>
      </c>
      <c r="E553" s="468" t="str">
        <f t="shared" si="62"/>
        <v/>
      </c>
      <c r="R553" s="469">
        <v>0</v>
      </c>
      <c r="S553" s="469">
        <f t="shared" si="66"/>
        <v>0</v>
      </c>
    </row>
    <row r="554" spans="1:19">
      <c r="A554" s="469" t="str">
        <f t="shared" si="63"/>
        <v>KU</v>
      </c>
      <c r="B554" s="469" t="str">
        <f t="shared" si="64"/>
        <v>VA</v>
      </c>
      <c r="C554" s="469" t="str">
        <f t="shared" si="65"/>
        <v>362</v>
      </c>
      <c r="D554" s="470" t="s">
        <v>1839</v>
      </c>
      <c r="E554" s="468" t="str">
        <f t="shared" si="62"/>
        <v/>
      </c>
      <c r="R554" s="469">
        <v>0</v>
      </c>
      <c r="S554" s="469">
        <f t="shared" si="66"/>
        <v>0</v>
      </c>
    </row>
    <row r="555" spans="1:19">
      <c r="A555" s="469" t="str">
        <f t="shared" si="63"/>
        <v>KU</v>
      </c>
      <c r="B555" s="469" t="str">
        <f t="shared" si="64"/>
        <v>KY</v>
      </c>
      <c r="C555" s="469" t="str">
        <f t="shared" si="65"/>
        <v>365</v>
      </c>
      <c r="D555" s="470" t="s">
        <v>1843</v>
      </c>
      <c r="E555" s="468" t="str">
        <f t="shared" si="62"/>
        <v/>
      </c>
      <c r="R555" s="469">
        <v>0</v>
      </c>
      <c r="S555" s="469">
        <f t="shared" si="66"/>
        <v>0</v>
      </c>
    </row>
    <row r="556" spans="1:19">
      <c r="A556" s="469" t="str">
        <f t="shared" si="63"/>
        <v>KU</v>
      </c>
      <c r="B556" s="469" t="str">
        <f t="shared" si="64"/>
        <v>KY</v>
      </c>
      <c r="C556" s="469" t="str">
        <f t="shared" si="65"/>
        <v>371</v>
      </c>
      <c r="D556" s="470" t="s">
        <v>1858</v>
      </c>
      <c r="E556" s="468" t="str">
        <f t="shared" si="62"/>
        <v/>
      </c>
      <c r="R556" s="469">
        <v>0</v>
      </c>
      <c r="S556" s="469">
        <f t="shared" si="66"/>
        <v>0</v>
      </c>
    </row>
    <row r="557" spans="1:19">
      <c r="A557" s="469" t="str">
        <f t="shared" si="63"/>
        <v>KU</v>
      </c>
      <c r="B557" s="469" t="str">
        <f t="shared" si="64"/>
        <v>VA</v>
      </c>
      <c r="C557" s="469" t="str">
        <f t="shared" si="65"/>
        <v>371</v>
      </c>
      <c r="D557" s="470" t="s">
        <v>1859</v>
      </c>
      <c r="E557" s="468" t="str">
        <f t="shared" si="62"/>
        <v/>
      </c>
      <c r="R557" s="469">
        <v>0</v>
      </c>
      <c r="S557" s="469">
        <f t="shared" si="66"/>
        <v>0</v>
      </c>
    </row>
    <row r="558" spans="1:19">
      <c r="A558" s="469" t="str">
        <f t="shared" si="63"/>
        <v>KU</v>
      </c>
      <c r="B558" s="469" t="str">
        <f t="shared" si="64"/>
        <v>KY</v>
      </c>
      <c r="C558" s="469" t="str">
        <f t="shared" si="65"/>
        <v>373</v>
      </c>
      <c r="D558" s="470" t="s">
        <v>1860</v>
      </c>
      <c r="E558" s="468" t="str">
        <f t="shared" si="62"/>
        <v/>
      </c>
      <c r="R558" s="469">
        <v>0</v>
      </c>
      <c r="S558" s="469">
        <f t="shared" si="66"/>
        <v>0</v>
      </c>
    </row>
    <row r="559" spans="1:19">
      <c r="A559" s="469" t="str">
        <f t="shared" si="63"/>
        <v>KU</v>
      </c>
      <c r="B559" s="469" t="str">
        <f t="shared" si="64"/>
        <v>VA</v>
      </c>
      <c r="C559" s="469" t="str">
        <f t="shared" si="65"/>
        <v>373</v>
      </c>
      <c r="D559" s="470" t="s">
        <v>1861</v>
      </c>
      <c r="E559" s="468" t="str">
        <f t="shared" si="62"/>
        <v/>
      </c>
      <c r="R559" s="469">
        <v>0</v>
      </c>
      <c r="S559" s="469">
        <f t="shared" si="66"/>
        <v>0</v>
      </c>
    </row>
    <row r="560" spans="1:19">
      <c r="A560" s="469" t="str">
        <f t="shared" si="63"/>
        <v>KU</v>
      </c>
      <c r="B560" s="469" t="str">
        <f t="shared" si="64"/>
        <v>KY</v>
      </c>
      <c r="C560" s="469" t="str">
        <f t="shared" si="65"/>
        <v>392</v>
      </c>
      <c r="D560" s="470" t="s">
        <v>1871</v>
      </c>
      <c r="E560" s="468" t="str">
        <f t="shared" si="62"/>
        <v>ECR</v>
      </c>
      <c r="R560" s="469">
        <v>0</v>
      </c>
      <c r="S560" s="469">
        <f t="shared" si="66"/>
        <v>0</v>
      </c>
    </row>
    <row r="561" spans="1:19">
      <c r="A561" s="469" t="str">
        <f t="shared" si="63"/>
        <v>KU</v>
      </c>
      <c r="B561" s="469" t="str">
        <f t="shared" si="64"/>
        <v>KY</v>
      </c>
      <c r="C561" s="469" t="str">
        <f t="shared" si="65"/>
        <v>392</v>
      </c>
      <c r="D561" s="470" t="s">
        <v>1872</v>
      </c>
      <c r="E561" s="468" t="str">
        <f t="shared" si="62"/>
        <v/>
      </c>
      <c r="R561" s="469">
        <v>0</v>
      </c>
      <c r="S561" s="469">
        <f t="shared" si="66"/>
        <v>0</v>
      </c>
    </row>
    <row r="562" spans="1:19">
      <c r="S562" s="469">
        <f t="shared" si="66"/>
        <v>0</v>
      </c>
    </row>
  </sheetData>
  <pageMargins left="0.75" right="0.75" top="1" bottom="1" header="0.5" footer="0.5"/>
  <pageSetup scale="49" fitToHeight="0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pageSetUpPr fitToPage="1"/>
  </sheetPr>
  <dimension ref="A1:Q45"/>
  <sheetViews>
    <sheetView workbookViewId="0">
      <pane xSplit="2" ySplit="3" topLeftCell="C4" activePane="bottomRight" state="frozen"/>
      <selection pane="topRight" activeCell="B1" sqref="B1"/>
      <selection pane="bottomLeft" activeCell="A4" sqref="A4"/>
      <selection pane="bottomRight" activeCell="D18" sqref="D18"/>
    </sheetView>
  </sheetViews>
  <sheetFormatPr defaultColWidth="7.77734375" defaultRowHeight="15"/>
  <cols>
    <col min="1" max="1" width="16.109375" style="199" customWidth="1"/>
    <col min="2" max="2" width="26.88671875" style="488" customWidth="1"/>
    <col min="3" max="3" width="9.33203125" style="497" customWidth="1"/>
    <col min="4" max="16" width="9.33203125" style="489" customWidth="1"/>
    <col min="17" max="17" width="9.44140625" style="489" bestFit="1" customWidth="1"/>
    <col min="18" max="16384" width="7.77734375" style="199"/>
  </cols>
  <sheetData>
    <row r="1" spans="1:17" s="429" customFormat="1" ht="18.75">
      <c r="B1" s="472"/>
      <c r="C1" s="492"/>
      <c r="D1" s="490"/>
      <c r="E1" s="490"/>
      <c r="F1" s="490"/>
      <c r="G1" s="490"/>
      <c r="H1" s="490"/>
      <c r="I1" s="490"/>
      <c r="J1" s="490"/>
      <c r="K1" s="490"/>
      <c r="L1" s="490"/>
      <c r="M1" s="490"/>
      <c r="N1" s="490"/>
      <c r="O1" s="490"/>
      <c r="P1" s="490"/>
      <c r="Q1" s="490"/>
    </row>
    <row r="2" spans="1:17" s="429" customFormat="1" ht="30">
      <c r="A2" s="429" t="s">
        <v>2389</v>
      </c>
      <c r="B2" s="430" t="s">
        <v>2311</v>
      </c>
      <c r="C2" s="492" t="s">
        <v>2364</v>
      </c>
      <c r="D2" s="482" t="s">
        <v>2365</v>
      </c>
      <c r="E2" s="482" t="s">
        <v>2366</v>
      </c>
      <c r="F2" s="482" t="s">
        <v>2367</v>
      </c>
      <c r="G2" s="482" t="s">
        <v>2368</v>
      </c>
      <c r="H2" s="482" t="s">
        <v>2369</v>
      </c>
      <c r="I2" s="482" t="s">
        <v>2370</v>
      </c>
      <c r="J2" s="482" t="s">
        <v>2371</v>
      </c>
      <c r="K2" s="482" t="s">
        <v>2372</v>
      </c>
      <c r="L2" s="482" t="s">
        <v>2373</v>
      </c>
      <c r="M2" s="482" t="s">
        <v>2374</v>
      </c>
      <c r="N2" s="482" t="s">
        <v>2375</v>
      </c>
      <c r="O2" s="482" t="s">
        <v>2376</v>
      </c>
      <c r="P2" s="482" t="s">
        <v>2377</v>
      </c>
      <c r="Q2" s="482" t="s">
        <v>2390</v>
      </c>
    </row>
    <row r="3" spans="1:17" s="429" customFormat="1">
      <c r="B3" s="481"/>
      <c r="C3" s="492"/>
      <c r="D3" s="482"/>
      <c r="E3" s="482"/>
      <c r="F3" s="482"/>
      <c r="G3" s="482"/>
      <c r="H3" s="482"/>
      <c r="I3" s="482"/>
      <c r="J3" s="482"/>
      <c r="K3" s="482"/>
      <c r="L3" s="482"/>
      <c r="M3" s="482"/>
      <c r="N3" s="482"/>
      <c r="O3" s="482"/>
      <c r="P3" s="482"/>
      <c r="Q3" s="482"/>
    </row>
    <row r="4" spans="1:17">
      <c r="B4" s="483"/>
      <c r="D4" s="484"/>
      <c r="E4" s="484"/>
      <c r="F4" s="484"/>
      <c r="G4" s="484"/>
      <c r="H4" s="484"/>
      <c r="I4" s="484"/>
      <c r="J4" s="484"/>
      <c r="K4" s="484"/>
      <c r="L4" s="484"/>
      <c r="M4" s="484"/>
      <c r="N4" s="484"/>
      <c r="O4" s="484"/>
      <c r="P4" s="484"/>
      <c r="Q4" s="498"/>
    </row>
    <row r="5" spans="1:17">
      <c r="B5" s="485" t="s">
        <v>1528</v>
      </c>
      <c r="D5" s="486"/>
      <c r="E5" s="486"/>
      <c r="F5" s="486"/>
      <c r="G5" s="486"/>
      <c r="H5" s="486"/>
      <c r="I5" s="486"/>
      <c r="J5" s="486"/>
      <c r="K5" s="486"/>
      <c r="L5" s="486"/>
      <c r="M5" s="486"/>
      <c r="N5" s="486"/>
      <c r="O5" s="486"/>
      <c r="P5" s="486"/>
      <c r="Q5" s="487"/>
    </row>
    <row r="6" spans="1:17">
      <c r="A6" s="199" t="str">
        <f t="shared" ref="A6:A44" si="0">IF(ISTEXT(MID($B6,SEARCH("PRODUCTION",$B6),3)),"PRODUCTION",IF(ISTEXT(MID($B6,SEARCH("TRANSMISSION",$B6),3)),"TRANSMISSION",IF(ISTEXT(MID($B6,SEARCH("DISTRIBUTION",$B6),3)),"DISTRIBUTION",IF(ISTEXT(MID($B6,SEARCH("COMMON",$B6),3)),"COMMON",IF(ISTEXT(MID($B6,SEARCH("GENERAL",$B6),3)),"GENERAL",IF(ISTEXT(MID($B6,SEARCH("INTANGIBLE",$B6),3)),"INTANGIBLE",IF(ISTEXT(MID($B6,SEARCH("STORAGE",$B6),3)),"STORAGE AND PROCESSING","")))))))</f>
        <v>DISTRIBUTION</v>
      </c>
      <c r="B6" s="483" t="s">
        <v>1529</v>
      </c>
      <c r="C6" s="494" t="str">
        <f t="shared" ref="C6:C45" si="1">IF(ISTEXT(MID($B6,SEARCH("FUTURE USE",$B6),3)),"FUTURE USE",IF(ISTEXT(MID($B6,SEARCH("ECR",$B6),3)),"ECR",IF(ISTEXT(MID($B6,SEARCH("ARO",$B6),3)),"ARO",IF(ISTEXT(MID($B6,SEARCH("DSM",$B6),3)),"DSM",IF(ISTEXT(MID($B6,SEARCH("GLT",$B6),3)),"GLT","")))))</f>
        <v/>
      </c>
      <c r="D6" s="487">
        <v>26245.035100000001</v>
      </c>
      <c r="E6" s="487">
        <v>26705.27104</v>
      </c>
      <c r="F6" s="487">
        <v>29074.55156</v>
      </c>
      <c r="G6" s="487">
        <v>31508.360809999998</v>
      </c>
      <c r="H6" s="487">
        <v>33892.295299999998</v>
      </c>
      <c r="I6" s="487">
        <v>36131.460160000002</v>
      </c>
      <c r="J6" s="487">
        <v>24915.108069999998</v>
      </c>
      <c r="K6" s="487">
        <v>26838.781660000001</v>
      </c>
      <c r="L6" s="487">
        <v>30865.775880000001</v>
      </c>
      <c r="M6" s="487">
        <v>34970.06811</v>
      </c>
      <c r="N6" s="487">
        <v>37838.056709999997</v>
      </c>
      <c r="O6" s="487">
        <v>41884.273459999997</v>
      </c>
      <c r="P6" s="487">
        <v>46423.4444</v>
      </c>
      <c r="Q6" s="499">
        <f>SUM(D6:P6)/13</f>
        <v>32868.652481538455</v>
      </c>
    </row>
    <row r="7" spans="1:17">
      <c r="A7" s="199" t="str">
        <f t="shared" si="0"/>
        <v>DISTRIBUTION</v>
      </c>
      <c r="B7" s="483" t="s">
        <v>1530</v>
      </c>
      <c r="C7" s="494" t="str">
        <f t="shared" si="1"/>
        <v/>
      </c>
      <c r="D7" s="487">
        <v>0</v>
      </c>
      <c r="E7" s="487">
        <v>0</v>
      </c>
      <c r="F7" s="487">
        <v>0</v>
      </c>
      <c r="G7" s="487">
        <v>0</v>
      </c>
      <c r="H7" s="487">
        <v>0</v>
      </c>
      <c r="I7" s="487">
        <v>0</v>
      </c>
      <c r="J7" s="487">
        <v>0</v>
      </c>
      <c r="K7" s="487">
        <v>0</v>
      </c>
      <c r="L7" s="487">
        <v>0</v>
      </c>
      <c r="M7" s="487">
        <v>0</v>
      </c>
      <c r="N7" s="487">
        <v>0</v>
      </c>
      <c r="O7" s="487">
        <v>0</v>
      </c>
      <c r="P7" s="487">
        <v>0</v>
      </c>
      <c r="Q7" s="499">
        <f t="shared" ref="Q7:Q45" si="2">SUM(D7:P7)/13</f>
        <v>0</v>
      </c>
    </row>
    <row r="8" spans="1:17">
      <c r="A8" s="199" t="str">
        <f t="shared" si="0"/>
        <v>DISTRIBUTION</v>
      </c>
      <c r="B8" s="483" t="s">
        <v>2386</v>
      </c>
      <c r="C8" s="494" t="str">
        <f t="shared" si="1"/>
        <v>ECR</v>
      </c>
      <c r="D8" s="487">
        <v>0</v>
      </c>
      <c r="E8" s="487">
        <v>0</v>
      </c>
      <c r="F8" s="487">
        <v>0</v>
      </c>
      <c r="G8" s="487">
        <v>0</v>
      </c>
      <c r="H8" s="487">
        <v>0</v>
      </c>
      <c r="I8" s="487">
        <v>0</v>
      </c>
      <c r="J8" s="487">
        <v>0</v>
      </c>
      <c r="K8" s="487">
        <v>0</v>
      </c>
      <c r="L8" s="487">
        <v>0</v>
      </c>
      <c r="M8" s="487">
        <v>0</v>
      </c>
      <c r="N8" s="487">
        <v>0</v>
      </c>
      <c r="O8" s="487">
        <v>0</v>
      </c>
      <c r="P8" s="487">
        <v>0</v>
      </c>
      <c r="Q8" s="499">
        <f t="shared" si="2"/>
        <v>0</v>
      </c>
    </row>
    <row r="9" spans="1:17">
      <c r="A9" s="199" t="str">
        <f t="shared" si="0"/>
        <v>GENERAL</v>
      </c>
      <c r="B9" s="483" t="s">
        <v>1531</v>
      </c>
      <c r="C9" s="494" t="str">
        <f t="shared" si="1"/>
        <v/>
      </c>
      <c r="D9" s="487">
        <v>8322.7462500000001</v>
      </c>
      <c r="E9" s="487">
        <v>7928.73164</v>
      </c>
      <c r="F9" s="487">
        <v>9336.5945200000006</v>
      </c>
      <c r="G9" s="487">
        <v>10429.77425</v>
      </c>
      <c r="H9" s="487">
        <v>8248.9691000000003</v>
      </c>
      <c r="I9" s="487">
        <v>7787.5691500000003</v>
      </c>
      <c r="J9" s="487">
        <v>1243.89626</v>
      </c>
      <c r="K9" s="487">
        <v>2423.9483100000002</v>
      </c>
      <c r="L9" s="487">
        <v>2697.7061100000001</v>
      </c>
      <c r="M9" s="487">
        <v>4425.0343300000004</v>
      </c>
      <c r="N9" s="487">
        <v>5134.9624599999997</v>
      </c>
      <c r="O9" s="487">
        <v>6175.6255199999996</v>
      </c>
      <c r="P9" s="487">
        <v>8432.9954899999993</v>
      </c>
      <c r="Q9" s="499">
        <f t="shared" si="2"/>
        <v>6352.9656453846164</v>
      </c>
    </row>
    <row r="10" spans="1:17">
      <c r="A10" s="199" t="str">
        <f t="shared" si="0"/>
        <v>GENERAL</v>
      </c>
      <c r="B10" s="483" t="s">
        <v>1532</v>
      </c>
      <c r="C10" s="494" t="str">
        <f t="shared" si="1"/>
        <v/>
      </c>
      <c r="D10" s="487">
        <v>0</v>
      </c>
      <c r="E10" s="487">
        <v>0</v>
      </c>
      <c r="F10" s="487">
        <v>0</v>
      </c>
      <c r="G10" s="487">
        <v>0</v>
      </c>
      <c r="H10" s="487">
        <v>0</v>
      </c>
      <c r="I10" s="487">
        <v>0</v>
      </c>
      <c r="J10" s="487">
        <v>0</v>
      </c>
      <c r="K10" s="487">
        <v>0</v>
      </c>
      <c r="L10" s="487">
        <v>0</v>
      </c>
      <c r="M10" s="487">
        <v>0</v>
      </c>
      <c r="N10" s="487">
        <v>0</v>
      </c>
      <c r="O10" s="487">
        <v>0</v>
      </c>
      <c r="P10" s="487">
        <v>0</v>
      </c>
      <c r="Q10" s="499">
        <f t="shared" si="2"/>
        <v>0</v>
      </c>
    </row>
    <row r="11" spans="1:17">
      <c r="A11" s="199" t="str">
        <f t="shared" si="0"/>
        <v>PRODUCTION</v>
      </c>
      <c r="B11" s="483" t="s">
        <v>1533</v>
      </c>
      <c r="C11" s="494" t="str">
        <f t="shared" si="1"/>
        <v/>
      </c>
      <c r="D11" s="487">
        <v>537.99284</v>
      </c>
      <c r="E11" s="487">
        <v>762.99284</v>
      </c>
      <c r="F11" s="487">
        <v>212.99284</v>
      </c>
      <c r="G11" s="487">
        <v>212.99284</v>
      </c>
      <c r="H11" s="487">
        <v>212.99284</v>
      </c>
      <c r="I11" s="487">
        <v>212.99284</v>
      </c>
      <c r="J11" s="487">
        <v>212.99284</v>
      </c>
      <c r="K11" s="487">
        <v>212.99284</v>
      </c>
      <c r="L11" s="487">
        <v>212.99284</v>
      </c>
      <c r="M11" s="487">
        <v>212.99284</v>
      </c>
      <c r="N11" s="487">
        <v>212.99284</v>
      </c>
      <c r="O11" s="487">
        <v>212.99284</v>
      </c>
      <c r="P11" s="487">
        <v>212.99284</v>
      </c>
      <c r="Q11" s="499">
        <f t="shared" si="2"/>
        <v>280.30053230769221</v>
      </c>
    </row>
    <row r="12" spans="1:17">
      <c r="A12" s="199" t="str">
        <f t="shared" si="0"/>
        <v>INTANGIBLE</v>
      </c>
      <c r="B12" s="483" t="s">
        <v>1534</v>
      </c>
      <c r="C12" s="494" t="str">
        <f t="shared" si="1"/>
        <v/>
      </c>
      <c r="D12" s="487">
        <v>23596.572049999999</v>
      </c>
      <c r="E12" s="487">
        <v>25929.895390000001</v>
      </c>
      <c r="F12" s="487">
        <v>11229.66912</v>
      </c>
      <c r="G12" s="487">
        <v>13541.580239999999</v>
      </c>
      <c r="H12" s="487">
        <v>16486.79549</v>
      </c>
      <c r="I12" s="487">
        <v>18602.19197</v>
      </c>
      <c r="J12" s="487">
        <v>19871.947039999999</v>
      </c>
      <c r="K12" s="487">
        <v>22876.246920000001</v>
      </c>
      <c r="L12" s="487">
        <v>25976.582579999998</v>
      </c>
      <c r="M12" s="487">
        <v>28957.122169999999</v>
      </c>
      <c r="N12" s="487">
        <v>32350.410479999999</v>
      </c>
      <c r="O12" s="487">
        <v>35402.081230000003</v>
      </c>
      <c r="P12" s="487">
        <v>35878.250959999998</v>
      </c>
      <c r="Q12" s="499">
        <f t="shared" si="2"/>
        <v>23899.949664615382</v>
      </c>
    </row>
    <row r="13" spans="1:17">
      <c r="A13" s="199" t="str">
        <f t="shared" si="0"/>
        <v/>
      </c>
      <c r="B13" s="483" t="s">
        <v>1535</v>
      </c>
      <c r="C13" s="494" t="str">
        <f t="shared" si="1"/>
        <v/>
      </c>
      <c r="D13" s="487">
        <v>0</v>
      </c>
      <c r="E13" s="487">
        <v>0</v>
      </c>
      <c r="F13" s="487">
        <v>0</v>
      </c>
      <c r="G13" s="487">
        <v>0</v>
      </c>
      <c r="H13" s="487">
        <v>0</v>
      </c>
      <c r="I13" s="487">
        <v>0</v>
      </c>
      <c r="J13" s="487">
        <v>0</v>
      </c>
      <c r="K13" s="487">
        <v>0</v>
      </c>
      <c r="L13" s="487">
        <v>0</v>
      </c>
      <c r="M13" s="487">
        <v>0</v>
      </c>
      <c r="N13" s="487">
        <v>0</v>
      </c>
      <c r="O13" s="487">
        <v>0</v>
      </c>
      <c r="P13" s="487">
        <v>0</v>
      </c>
      <c r="Q13" s="499">
        <f t="shared" si="2"/>
        <v>0</v>
      </c>
    </row>
    <row r="14" spans="1:17">
      <c r="A14" s="199" t="str">
        <f t="shared" si="0"/>
        <v>PRODUCTION</v>
      </c>
      <c r="B14" s="483" t="s">
        <v>1536</v>
      </c>
      <c r="C14" s="494" t="str">
        <f t="shared" si="1"/>
        <v/>
      </c>
      <c r="D14" s="487">
        <v>14303.453159999999</v>
      </c>
      <c r="E14" s="487">
        <v>14413.49316</v>
      </c>
      <c r="F14" s="487">
        <v>17278.2232</v>
      </c>
      <c r="G14" s="487">
        <v>17504.909199999998</v>
      </c>
      <c r="H14" s="487">
        <v>10993.2662</v>
      </c>
      <c r="I14" s="487">
        <v>9039.7561399999995</v>
      </c>
      <c r="J14" s="487">
        <v>7074.4185399999997</v>
      </c>
      <c r="K14" s="487">
        <v>7074.4185399999997</v>
      </c>
      <c r="L14" s="487">
        <v>7538.0046899999998</v>
      </c>
      <c r="M14" s="487">
        <v>7901.6410500000002</v>
      </c>
      <c r="N14" s="487">
        <v>8279.3774099999991</v>
      </c>
      <c r="O14" s="487">
        <v>9253.4302299999999</v>
      </c>
      <c r="P14" s="487">
        <v>9617.0665900000004</v>
      </c>
      <c r="Q14" s="499">
        <f t="shared" si="2"/>
        <v>10790.112162307691</v>
      </c>
    </row>
    <row r="15" spans="1:17">
      <c r="A15" s="199" t="str">
        <f t="shared" si="0"/>
        <v>PRODUCTION</v>
      </c>
      <c r="B15" s="483" t="s">
        <v>1537</v>
      </c>
      <c r="C15" s="494" t="str">
        <f t="shared" si="1"/>
        <v/>
      </c>
      <c r="D15" s="487">
        <v>19103.943429999999</v>
      </c>
      <c r="E15" s="487">
        <v>19767.55443</v>
      </c>
      <c r="F15" s="487">
        <v>21271.56177</v>
      </c>
      <c r="G15" s="487">
        <v>23337.103480000002</v>
      </c>
      <c r="H15" s="487">
        <v>26112.589599999999</v>
      </c>
      <c r="I15" s="487">
        <v>21536.292740000001</v>
      </c>
      <c r="J15" s="487">
        <v>14293.36001</v>
      </c>
      <c r="K15" s="487">
        <v>16067.96601</v>
      </c>
      <c r="L15" s="487">
        <v>22947.228609999998</v>
      </c>
      <c r="M15" s="487">
        <v>25299.424159999999</v>
      </c>
      <c r="N15" s="487">
        <v>23511.396369999999</v>
      </c>
      <c r="O15" s="487">
        <v>21603.485919999999</v>
      </c>
      <c r="P15" s="487">
        <v>19135.686559999998</v>
      </c>
      <c r="Q15" s="499">
        <f t="shared" si="2"/>
        <v>21075.968699230769</v>
      </c>
    </row>
    <row r="16" spans="1:17">
      <c r="A16" s="199" t="str">
        <f t="shared" si="0"/>
        <v>PRODUCTION</v>
      </c>
      <c r="B16" s="483" t="s">
        <v>1538</v>
      </c>
      <c r="C16" s="494" t="str">
        <f t="shared" si="1"/>
        <v>ECR</v>
      </c>
      <c r="D16" s="487">
        <v>74023.656709999996</v>
      </c>
      <c r="E16" s="487">
        <v>80480.320630000002</v>
      </c>
      <c r="F16" s="487">
        <v>86711.624549999993</v>
      </c>
      <c r="G16" s="487">
        <v>95526.540869999997</v>
      </c>
      <c r="H16" s="487">
        <v>100392.96479</v>
      </c>
      <c r="I16" s="487">
        <v>103979.90471</v>
      </c>
      <c r="J16" s="487">
        <v>104682.47463</v>
      </c>
      <c r="K16" s="487">
        <v>107862.18683000001</v>
      </c>
      <c r="L16" s="487">
        <v>110058.98187</v>
      </c>
      <c r="M16" s="487">
        <v>112477.53691</v>
      </c>
      <c r="N16" s="487">
        <v>119467.2245</v>
      </c>
      <c r="O16" s="487">
        <v>122848.77954</v>
      </c>
      <c r="P16" s="487">
        <v>127204.85458</v>
      </c>
      <c r="Q16" s="499">
        <f t="shared" si="2"/>
        <v>103516.69623999999</v>
      </c>
    </row>
    <row r="17" spans="1:17">
      <c r="A17" s="199" t="str">
        <f t="shared" si="0"/>
        <v>PRODUCTION</v>
      </c>
      <c r="B17" s="483" t="s">
        <v>1539</v>
      </c>
      <c r="C17" s="494" t="str">
        <f t="shared" si="1"/>
        <v>ECR</v>
      </c>
      <c r="D17" s="487">
        <v>2.0000000000000002E-5</v>
      </c>
      <c r="E17" s="487">
        <v>2.0000000000000002E-5</v>
      </c>
      <c r="F17" s="487">
        <v>2.0000000000000002E-5</v>
      </c>
      <c r="G17" s="487">
        <v>2.0000000000000002E-5</v>
      </c>
      <c r="H17" s="487">
        <v>2.0000000000000002E-5</v>
      </c>
      <c r="I17" s="487">
        <v>2.0000000000000002E-5</v>
      </c>
      <c r="J17" s="487">
        <v>2.0000000000000002E-5</v>
      </c>
      <c r="K17" s="487">
        <v>2.0000000000000002E-5</v>
      </c>
      <c r="L17" s="487">
        <v>2.0000000000000002E-5</v>
      </c>
      <c r="M17" s="487">
        <v>2.0000000000000002E-5</v>
      </c>
      <c r="N17" s="487">
        <v>2.0000000000000002E-5</v>
      </c>
      <c r="O17" s="487">
        <v>2.0000000000000002E-5</v>
      </c>
      <c r="P17" s="487">
        <v>2.0000000000000002E-5</v>
      </c>
      <c r="Q17" s="499">
        <f t="shared" si="2"/>
        <v>2.0000000000000002E-5</v>
      </c>
    </row>
    <row r="18" spans="1:17">
      <c r="A18" s="199" t="str">
        <f t="shared" si="0"/>
        <v>PRODUCTION</v>
      </c>
      <c r="B18" s="483" t="s">
        <v>2387</v>
      </c>
      <c r="C18" s="494" t="str">
        <f t="shared" si="1"/>
        <v>ECR</v>
      </c>
      <c r="D18" s="487">
        <v>24015.357510000002</v>
      </c>
      <c r="E18" s="487">
        <v>32007.914980000001</v>
      </c>
      <c r="F18" s="487">
        <v>40000.472450000001</v>
      </c>
      <c r="G18" s="487">
        <v>48105.279949999996</v>
      </c>
      <c r="H18" s="487">
        <v>58950.41459</v>
      </c>
      <c r="I18" s="487">
        <v>69536.799239999993</v>
      </c>
      <c r="J18" s="487">
        <v>69621.800019999995</v>
      </c>
      <c r="K18" s="487">
        <v>83866.64602</v>
      </c>
      <c r="L18" s="487">
        <v>98111.492419999995</v>
      </c>
      <c r="M18" s="487">
        <v>112356.33843</v>
      </c>
      <c r="N18" s="487">
        <v>123058.77869000001</v>
      </c>
      <c r="O18" s="487">
        <v>133761.21843000001</v>
      </c>
      <c r="P18" s="487">
        <v>144526.98447</v>
      </c>
      <c r="Q18" s="499">
        <f t="shared" si="2"/>
        <v>79839.961323076917</v>
      </c>
    </row>
    <row r="19" spans="1:17">
      <c r="A19" s="199" t="str">
        <f t="shared" si="0"/>
        <v>PRODUCTION</v>
      </c>
      <c r="B19" s="483" t="s">
        <v>2388</v>
      </c>
      <c r="C19" s="494" t="str">
        <f t="shared" si="1"/>
        <v>ECR</v>
      </c>
      <c r="D19" s="487">
        <v>0</v>
      </c>
      <c r="E19" s="487">
        <v>0</v>
      </c>
      <c r="F19" s="487">
        <v>0</v>
      </c>
      <c r="G19" s="487">
        <v>0</v>
      </c>
      <c r="H19" s="487">
        <v>0</v>
      </c>
      <c r="I19" s="487">
        <v>0</v>
      </c>
      <c r="J19" s="487">
        <v>0</v>
      </c>
      <c r="K19" s="487">
        <v>0</v>
      </c>
      <c r="L19" s="487">
        <v>0</v>
      </c>
      <c r="M19" s="487">
        <v>0</v>
      </c>
      <c r="N19" s="487">
        <v>0</v>
      </c>
      <c r="O19" s="487">
        <v>0</v>
      </c>
      <c r="P19" s="487">
        <v>4819.7879999999996</v>
      </c>
      <c r="Q19" s="499">
        <f t="shared" si="2"/>
        <v>370.75292307692303</v>
      </c>
    </row>
    <row r="20" spans="1:17">
      <c r="A20" s="199" t="str">
        <f t="shared" si="0"/>
        <v>PRODUCTION</v>
      </c>
      <c r="B20" s="483" t="s">
        <v>1540</v>
      </c>
      <c r="C20" s="494" t="str">
        <f t="shared" si="1"/>
        <v>ECR</v>
      </c>
      <c r="D20" s="487">
        <v>0</v>
      </c>
      <c r="E20" s="487">
        <v>0</v>
      </c>
      <c r="F20" s="487">
        <v>0</v>
      </c>
      <c r="G20" s="487">
        <v>0</v>
      </c>
      <c r="H20" s="487">
        <v>0</v>
      </c>
      <c r="I20" s="487">
        <v>0</v>
      </c>
      <c r="J20" s="487">
        <v>0</v>
      </c>
      <c r="K20" s="487">
        <v>0</v>
      </c>
      <c r="L20" s="487">
        <v>0</v>
      </c>
      <c r="M20" s="487">
        <v>0</v>
      </c>
      <c r="N20" s="487">
        <v>0</v>
      </c>
      <c r="O20" s="487">
        <v>0</v>
      </c>
      <c r="P20" s="487">
        <v>0</v>
      </c>
      <c r="Q20" s="499">
        <f t="shared" si="2"/>
        <v>0</v>
      </c>
    </row>
    <row r="21" spans="1:17">
      <c r="A21" s="199" t="str">
        <f t="shared" si="0"/>
        <v>TRANSMISSION</v>
      </c>
      <c r="B21" s="483" t="s">
        <v>1541</v>
      </c>
      <c r="C21" s="494" t="str">
        <f t="shared" si="1"/>
        <v/>
      </c>
      <c r="D21" s="487">
        <v>24062.196769999999</v>
      </c>
      <c r="E21" s="487">
        <v>25836.48979</v>
      </c>
      <c r="F21" s="487">
        <v>24723.628659999998</v>
      </c>
      <c r="G21" s="487">
        <v>29295.574980000001</v>
      </c>
      <c r="H21" s="487">
        <v>34937.623670000001</v>
      </c>
      <c r="I21" s="487">
        <v>38039.02721</v>
      </c>
      <c r="J21" s="487">
        <v>25405.39258</v>
      </c>
      <c r="K21" s="487">
        <v>28293.085200000001</v>
      </c>
      <c r="L21" s="487">
        <v>31956.585470000002</v>
      </c>
      <c r="M21" s="487">
        <v>33603.523569999998</v>
      </c>
      <c r="N21" s="487">
        <v>38378.1757</v>
      </c>
      <c r="O21" s="487">
        <v>41713.80919</v>
      </c>
      <c r="P21" s="487">
        <v>34836.570370000001</v>
      </c>
      <c r="Q21" s="499">
        <f t="shared" si="2"/>
        <v>31621.667935384627</v>
      </c>
    </row>
    <row r="22" spans="1:17">
      <c r="A22" s="199" t="str">
        <f t="shared" si="0"/>
        <v>TRANSMISSION</v>
      </c>
      <c r="B22" s="483" t="s">
        <v>1542</v>
      </c>
      <c r="C22" s="494" t="str">
        <f t="shared" si="1"/>
        <v/>
      </c>
      <c r="D22" s="487">
        <v>0</v>
      </c>
      <c r="E22" s="487">
        <v>0</v>
      </c>
      <c r="F22" s="487">
        <v>1.83632</v>
      </c>
      <c r="G22" s="487">
        <v>83.553200000000004</v>
      </c>
      <c r="H22" s="487">
        <v>132.21605</v>
      </c>
      <c r="I22" s="487">
        <v>173.53357</v>
      </c>
      <c r="J22" s="487">
        <v>0</v>
      </c>
      <c r="K22" s="487">
        <v>205.79879</v>
      </c>
      <c r="L22" s="487">
        <v>275.97257000000002</v>
      </c>
      <c r="M22" s="487">
        <v>0</v>
      </c>
      <c r="N22" s="487">
        <v>0</v>
      </c>
      <c r="O22" s="487">
        <v>0</v>
      </c>
      <c r="P22" s="487">
        <v>0</v>
      </c>
      <c r="Q22" s="499">
        <f t="shared" si="2"/>
        <v>67.146961538461539</v>
      </c>
    </row>
    <row r="23" spans="1:17">
      <c r="A23" s="199" t="str">
        <f t="shared" si="0"/>
        <v/>
      </c>
      <c r="B23" s="483"/>
      <c r="C23" s="494" t="str">
        <f t="shared" si="1"/>
        <v/>
      </c>
      <c r="D23" s="487"/>
      <c r="E23" s="487"/>
      <c r="F23" s="487"/>
      <c r="G23" s="487"/>
      <c r="H23" s="487"/>
      <c r="I23" s="487"/>
      <c r="J23" s="487"/>
      <c r="K23" s="487"/>
      <c r="L23" s="487"/>
      <c r="M23" s="487"/>
      <c r="N23" s="487"/>
      <c r="O23" s="487"/>
      <c r="P23" s="487"/>
      <c r="Q23" s="499">
        <f t="shared" si="2"/>
        <v>0</v>
      </c>
    </row>
    <row r="24" spans="1:17">
      <c r="A24" s="199" t="str">
        <f t="shared" si="0"/>
        <v/>
      </c>
      <c r="B24" s="485" t="s">
        <v>1544</v>
      </c>
      <c r="C24" s="494" t="str">
        <f t="shared" si="1"/>
        <v/>
      </c>
      <c r="D24" s="487">
        <v>0</v>
      </c>
      <c r="E24" s="487">
        <v>0</v>
      </c>
      <c r="F24" s="487">
        <v>0</v>
      </c>
      <c r="G24" s="487">
        <v>0</v>
      </c>
      <c r="H24" s="487">
        <v>0</v>
      </c>
      <c r="I24" s="487">
        <v>0</v>
      </c>
      <c r="J24" s="487">
        <v>0</v>
      </c>
      <c r="K24" s="487">
        <v>0</v>
      </c>
      <c r="L24" s="487">
        <v>0</v>
      </c>
      <c r="M24" s="487">
        <v>0</v>
      </c>
      <c r="N24" s="487">
        <v>0</v>
      </c>
      <c r="O24" s="487">
        <v>0</v>
      </c>
      <c r="P24" s="487">
        <v>0</v>
      </c>
      <c r="Q24" s="499">
        <f t="shared" si="2"/>
        <v>0</v>
      </c>
    </row>
    <row r="25" spans="1:17">
      <c r="A25" s="199" t="str">
        <f t="shared" si="0"/>
        <v>PRODUCTION</v>
      </c>
      <c r="B25" s="483" t="s">
        <v>1536</v>
      </c>
      <c r="C25" s="494" t="str">
        <f t="shared" si="1"/>
        <v/>
      </c>
      <c r="D25" s="487">
        <v>0</v>
      </c>
      <c r="E25" s="487">
        <v>0</v>
      </c>
      <c r="F25" s="487">
        <v>0</v>
      </c>
      <c r="G25" s="487">
        <v>0</v>
      </c>
      <c r="H25" s="487">
        <v>0</v>
      </c>
      <c r="I25" s="487">
        <v>0</v>
      </c>
      <c r="J25" s="487">
        <v>0</v>
      </c>
      <c r="K25" s="487">
        <v>0</v>
      </c>
      <c r="L25" s="487">
        <v>0</v>
      </c>
      <c r="M25" s="487">
        <v>0</v>
      </c>
      <c r="N25" s="487">
        <v>0</v>
      </c>
      <c r="O25" s="487">
        <v>0</v>
      </c>
      <c r="P25" s="487">
        <v>0</v>
      </c>
      <c r="Q25" s="499">
        <f t="shared" si="2"/>
        <v>0</v>
      </c>
    </row>
    <row r="26" spans="1:17">
      <c r="A26" s="199" t="str">
        <f t="shared" si="0"/>
        <v>PRODUCTION</v>
      </c>
      <c r="B26" s="483" t="s">
        <v>1537</v>
      </c>
      <c r="C26" s="494" t="str">
        <f t="shared" si="1"/>
        <v/>
      </c>
      <c r="D26" s="487">
        <v>0</v>
      </c>
      <c r="E26" s="487">
        <v>0</v>
      </c>
      <c r="F26" s="487">
        <v>0</v>
      </c>
      <c r="G26" s="487">
        <v>0</v>
      </c>
      <c r="H26" s="487">
        <v>0</v>
      </c>
      <c r="I26" s="487">
        <v>0</v>
      </c>
      <c r="J26" s="487">
        <v>0</v>
      </c>
      <c r="K26" s="487">
        <v>0</v>
      </c>
      <c r="L26" s="487">
        <v>0</v>
      </c>
      <c r="M26" s="487">
        <v>0</v>
      </c>
      <c r="N26" s="487">
        <v>0</v>
      </c>
      <c r="O26" s="487">
        <v>0</v>
      </c>
      <c r="P26" s="487">
        <v>0</v>
      </c>
      <c r="Q26" s="499">
        <f t="shared" si="2"/>
        <v>0</v>
      </c>
    </row>
    <row r="27" spans="1:17">
      <c r="A27" s="199" t="str">
        <f t="shared" si="0"/>
        <v>PRODUCTION</v>
      </c>
      <c r="B27" s="483" t="s">
        <v>1538</v>
      </c>
      <c r="C27" s="494" t="str">
        <f t="shared" si="1"/>
        <v>ECR</v>
      </c>
      <c r="D27" s="487">
        <v>0</v>
      </c>
      <c r="E27" s="487">
        <v>0</v>
      </c>
      <c r="F27" s="487">
        <v>0</v>
      </c>
      <c r="G27" s="487">
        <v>0</v>
      </c>
      <c r="H27" s="487">
        <v>0</v>
      </c>
      <c r="I27" s="487">
        <v>0</v>
      </c>
      <c r="J27" s="487">
        <v>0</v>
      </c>
      <c r="K27" s="487">
        <v>0</v>
      </c>
      <c r="L27" s="487">
        <v>0</v>
      </c>
      <c r="M27" s="487">
        <v>0</v>
      </c>
      <c r="N27" s="487">
        <v>0</v>
      </c>
      <c r="O27" s="487">
        <v>0</v>
      </c>
      <c r="P27" s="487">
        <v>0</v>
      </c>
      <c r="Q27" s="499">
        <f t="shared" si="2"/>
        <v>0</v>
      </c>
    </row>
    <row r="28" spans="1:17">
      <c r="A28" s="199" t="str">
        <f t="shared" si="0"/>
        <v>PRODUCTION</v>
      </c>
      <c r="B28" s="483" t="s">
        <v>1539</v>
      </c>
      <c r="C28" s="494" t="str">
        <f t="shared" si="1"/>
        <v>ECR</v>
      </c>
      <c r="D28" s="487">
        <v>0</v>
      </c>
      <c r="E28" s="487">
        <v>0</v>
      </c>
      <c r="F28" s="487">
        <v>0</v>
      </c>
      <c r="G28" s="487">
        <v>0</v>
      </c>
      <c r="H28" s="487">
        <v>0</v>
      </c>
      <c r="I28" s="487">
        <v>0</v>
      </c>
      <c r="J28" s="487">
        <v>0</v>
      </c>
      <c r="K28" s="487">
        <v>0</v>
      </c>
      <c r="L28" s="487">
        <v>0</v>
      </c>
      <c r="M28" s="487">
        <v>0</v>
      </c>
      <c r="N28" s="487">
        <v>0</v>
      </c>
      <c r="O28" s="487">
        <v>0</v>
      </c>
      <c r="P28" s="487">
        <v>0</v>
      </c>
      <c r="Q28" s="499">
        <f t="shared" si="2"/>
        <v>0</v>
      </c>
    </row>
    <row r="29" spans="1:17">
      <c r="A29" s="199" t="str">
        <f t="shared" si="0"/>
        <v/>
      </c>
      <c r="B29" s="483" t="s">
        <v>1543</v>
      </c>
      <c r="C29" s="494" t="str">
        <f t="shared" si="1"/>
        <v/>
      </c>
      <c r="D29" s="487">
        <v>0</v>
      </c>
      <c r="E29" s="487">
        <v>0</v>
      </c>
      <c r="F29" s="487">
        <v>0</v>
      </c>
      <c r="G29" s="487">
        <v>0</v>
      </c>
      <c r="H29" s="487">
        <v>0</v>
      </c>
      <c r="I29" s="487">
        <v>0</v>
      </c>
      <c r="J29" s="487">
        <v>0</v>
      </c>
      <c r="K29" s="487">
        <v>0</v>
      </c>
      <c r="L29" s="487">
        <v>0</v>
      </c>
      <c r="M29" s="487">
        <v>0</v>
      </c>
      <c r="N29" s="487">
        <v>0</v>
      </c>
      <c r="O29" s="487">
        <v>0</v>
      </c>
      <c r="P29" s="487">
        <v>0</v>
      </c>
      <c r="Q29" s="499">
        <f t="shared" si="2"/>
        <v>0</v>
      </c>
    </row>
    <row r="30" spans="1:17">
      <c r="A30" s="199" t="str">
        <f t="shared" si="0"/>
        <v/>
      </c>
      <c r="B30" s="483"/>
      <c r="C30" s="494" t="str">
        <f t="shared" si="1"/>
        <v/>
      </c>
      <c r="D30" s="487">
        <v>0</v>
      </c>
      <c r="E30" s="487">
        <v>0</v>
      </c>
      <c r="F30" s="487">
        <v>0</v>
      </c>
      <c r="G30" s="487">
        <v>0</v>
      </c>
      <c r="H30" s="487">
        <v>0</v>
      </c>
      <c r="I30" s="487">
        <v>0</v>
      </c>
      <c r="J30" s="487">
        <v>0</v>
      </c>
      <c r="K30" s="487">
        <v>0</v>
      </c>
      <c r="L30" s="487">
        <v>0</v>
      </c>
      <c r="M30" s="487">
        <v>0</v>
      </c>
      <c r="N30" s="487">
        <v>0</v>
      </c>
      <c r="O30" s="487">
        <v>0</v>
      </c>
      <c r="P30" s="487">
        <v>0</v>
      </c>
      <c r="Q30" s="499">
        <f t="shared" si="2"/>
        <v>0</v>
      </c>
    </row>
    <row r="31" spans="1:17">
      <c r="A31" s="199" t="str">
        <f t="shared" si="0"/>
        <v/>
      </c>
      <c r="B31" s="485" t="s">
        <v>1545</v>
      </c>
      <c r="C31" s="494" t="str">
        <f t="shared" si="1"/>
        <v/>
      </c>
      <c r="D31" s="487">
        <v>0</v>
      </c>
      <c r="E31" s="487">
        <v>0</v>
      </c>
      <c r="F31" s="487">
        <v>0</v>
      </c>
      <c r="G31" s="487">
        <v>0</v>
      </c>
      <c r="H31" s="487">
        <v>0</v>
      </c>
      <c r="I31" s="487">
        <v>0</v>
      </c>
      <c r="J31" s="487">
        <v>0</v>
      </c>
      <c r="K31" s="487">
        <v>0</v>
      </c>
      <c r="L31" s="487">
        <v>0</v>
      </c>
      <c r="M31" s="487">
        <v>0</v>
      </c>
      <c r="N31" s="487">
        <v>0</v>
      </c>
      <c r="O31" s="487">
        <v>0</v>
      </c>
      <c r="P31" s="487">
        <v>0</v>
      </c>
      <c r="Q31" s="499">
        <f t="shared" si="2"/>
        <v>0</v>
      </c>
    </row>
    <row r="32" spans="1:17">
      <c r="A32" s="199" t="str">
        <f t="shared" si="0"/>
        <v>DISTRIBUTION</v>
      </c>
      <c r="B32" s="483" t="s">
        <v>1529</v>
      </c>
      <c r="C32" s="494" t="str">
        <f t="shared" si="1"/>
        <v/>
      </c>
      <c r="D32" s="487">
        <v>1666.95118</v>
      </c>
      <c r="E32" s="487">
        <v>1806.3325299999999</v>
      </c>
      <c r="F32" s="487">
        <v>1860.2716800000001</v>
      </c>
      <c r="G32" s="487">
        <v>1927.4212500000001</v>
      </c>
      <c r="H32" s="487">
        <v>1998.1317300000001</v>
      </c>
      <c r="I32" s="487">
        <v>2088.2649099999999</v>
      </c>
      <c r="J32" s="487">
        <v>1482.83062</v>
      </c>
      <c r="K32" s="487">
        <v>1514.4799</v>
      </c>
      <c r="L32" s="487">
        <v>1528.3368</v>
      </c>
      <c r="M32" s="487">
        <v>1651.8241399999999</v>
      </c>
      <c r="N32" s="487">
        <v>1932.0163600000001</v>
      </c>
      <c r="O32" s="487">
        <v>2291.6349300000002</v>
      </c>
      <c r="P32" s="487">
        <v>2573.1179299999999</v>
      </c>
      <c r="Q32" s="499">
        <f t="shared" si="2"/>
        <v>1870.8933815384617</v>
      </c>
    </row>
    <row r="33" spans="1:17">
      <c r="A33" s="199" t="str">
        <f t="shared" si="0"/>
        <v>DISTRIBUTION</v>
      </c>
      <c r="B33" s="483" t="s">
        <v>1530</v>
      </c>
      <c r="C33" s="494" t="str">
        <f t="shared" si="1"/>
        <v/>
      </c>
      <c r="D33" s="487">
        <v>2.0000000000000002E-5</v>
      </c>
      <c r="E33" s="487">
        <v>2.0000000000000002E-5</v>
      </c>
      <c r="F33" s="487">
        <v>2.0000000000000002E-5</v>
      </c>
      <c r="G33" s="487">
        <v>2.0000000000000002E-5</v>
      </c>
      <c r="H33" s="487">
        <v>2.0000000000000002E-5</v>
      </c>
      <c r="I33" s="487">
        <v>2.0000000000000002E-5</v>
      </c>
      <c r="J33" s="487">
        <v>2.0000000000000002E-5</v>
      </c>
      <c r="K33" s="487">
        <v>2.0000000000000002E-5</v>
      </c>
      <c r="L33" s="487">
        <v>2.0000000000000002E-5</v>
      </c>
      <c r="M33" s="487">
        <v>2.0000000000000002E-5</v>
      </c>
      <c r="N33" s="487">
        <v>2.0000000000000002E-5</v>
      </c>
      <c r="O33" s="487">
        <v>2.0000000000000002E-5</v>
      </c>
      <c r="P33" s="487">
        <v>2.0000000000000002E-5</v>
      </c>
      <c r="Q33" s="499">
        <f t="shared" si="2"/>
        <v>2.0000000000000002E-5</v>
      </c>
    </row>
    <row r="34" spans="1:17">
      <c r="A34" s="199" t="str">
        <f t="shared" si="0"/>
        <v>GENERAL</v>
      </c>
      <c r="B34" s="483" t="s">
        <v>1531</v>
      </c>
      <c r="C34" s="494" t="str">
        <f t="shared" si="1"/>
        <v/>
      </c>
      <c r="D34" s="487">
        <v>0</v>
      </c>
      <c r="E34" s="487">
        <v>0</v>
      </c>
      <c r="F34" s="487">
        <v>0</v>
      </c>
      <c r="G34" s="487">
        <v>0</v>
      </c>
      <c r="H34" s="487">
        <v>0</v>
      </c>
      <c r="I34" s="487">
        <v>0</v>
      </c>
      <c r="J34" s="487">
        <v>0</v>
      </c>
      <c r="K34" s="487">
        <v>0</v>
      </c>
      <c r="L34" s="487">
        <v>0</v>
      </c>
      <c r="M34" s="487">
        <v>0</v>
      </c>
      <c r="N34" s="487">
        <v>0</v>
      </c>
      <c r="O34" s="487">
        <v>0</v>
      </c>
      <c r="P34" s="487">
        <v>0</v>
      </c>
      <c r="Q34" s="499">
        <f t="shared" si="2"/>
        <v>0</v>
      </c>
    </row>
    <row r="35" spans="1:17">
      <c r="A35" s="199" t="str">
        <f t="shared" si="0"/>
        <v>PRODUCTION</v>
      </c>
      <c r="B35" s="483" t="s">
        <v>1533</v>
      </c>
      <c r="C35" s="494" t="str">
        <f t="shared" si="1"/>
        <v/>
      </c>
      <c r="D35" s="487">
        <v>0</v>
      </c>
      <c r="E35" s="487">
        <v>0</v>
      </c>
      <c r="F35" s="487">
        <v>0</v>
      </c>
      <c r="G35" s="487">
        <v>0</v>
      </c>
      <c r="H35" s="487">
        <v>0</v>
      </c>
      <c r="I35" s="487">
        <v>0</v>
      </c>
      <c r="J35" s="487">
        <v>0</v>
      </c>
      <c r="K35" s="487">
        <v>0</v>
      </c>
      <c r="L35" s="487">
        <v>0</v>
      </c>
      <c r="M35" s="487">
        <v>0</v>
      </c>
      <c r="N35" s="487">
        <v>0</v>
      </c>
      <c r="O35" s="487">
        <v>0</v>
      </c>
      <c r="P35" s="487">
        <v>0</v>
      </c>
      <c r="Q35" s="499">
        <f t="shared" si="2"/>
        <v>0</v>
      </c>
    </row>
    <row r="36" spans="1:17">
      <c r="A36" s="199" t="str">
        <f t="shared" si="0"/>
        <v>INTANGIBLE</v>
      </c>
      <c r="B36" s="483" t="s">
        <v>1534</v>
      </c>
      <c r="C36" s="494" t="str">
        <f t="shared" si="1"/>
        <v/>
      </c>
      <c r="D36" s="487">
        <v>0</v>
      </c>
      <c r="E36" s="487">
        <v>0</v>
      </c>
      <c r="F36" s="487">
        <v>0</v>
      </c>
      <c r="G36" s="487">
        <v>0</v>
      </c>
      <c r="H36" s="487">
        <v>0</v>
      </c>
      <c r="I36" s="487">
        <v>0</v>
      </c>
      <c r="J36" s="487">
        <v>0</v>
      </c>
      <c r="K36" s="487">
        <v>0</v>
      </c>
      <c r="L36" s="487">
        <v>0</v>
      </c>
      <c r="M36" s="487">
        <v>0</v>
      </c>
      <c r="N36" s="487">
        <v>0</v>
      </c>
      <c r="O36" s="487">
        <v>0</v>
      </c>
      <c r="P36" s="487">
        <v>0</v>
      </c>
      <c r="Q36" s="499">
        <f t="shared" si="2"/>
        <v>0</v>
      </c>
    </row>
    <row r="37" spans="1:17">
      <c r="A37" s="199" t="str">
        <f t="shared" si="0"/>
        <v>PRODUCTION</v>
      </c>
      <c r="B37" s="483" t="s">
        <v>1536</v>
      </c>
      <c r="C37" s="494" t="str">
        <f t="shared" si="1"/>
        <v/>
      </c>
      <c r="D37" s="487">
        <v>0</v>
      </c>
      <c r="E37" s="487">
        <v>0</v>
      </c>
      <c r="F37" s="487">
        <v>0</v>
      </c>
      <c r="G37" s="487">
        <v>0</v>
      </c>
      <c r="H37" s="487">
        <v>188</v>
      </c>
      <c r="I37" s="487">
        <v>0</v>
      </c>
      <c r="J37" s="487">
        <v>0</v>
      </c>
      <c r="K37" s="487">
        <v>0</v>
      </c>
      <c r="L37" s="487">
        <v>0</v>
      </c>
      <c r="M37" s="487">
        <v>0</v>
      </c>
      <c r="N37" s="487">
        <v>0</v>
      </c>
      <c r="O37" s="487">
        <v>0</v>
      </c>
      <c r="P37" s="487">
        <v>0</v>
      </c>
      <c r="Q37" s="499">
        <f t="shared" si="2"/>
        <v>14.461538461538462</v>
      </c>
    </row>
    <row r="38" spans="1:17">
      <c r="A38" s="199" t="str">
        <f t="shared" si="0"/>
        <v>PRODUCTION</v>
      </c>
      <c r="B38" s="483" t="s">
        <v>1537</v>
      </c>
      <c r="C38" s="494" t="str">
        <f t="shared" si="1"/>
        <v/>
      </c>
      <c r="D38" s="487">
        <v>1193.3948399999999</v>
      </c>
      <c r="E38" s="487">
        <v>1886.59537</v>
      </c>
      <c r="F38" s="487">
        <v>2417.8966999999998</v>
      </c>
      <c r="G38" s="487">
        <v>2962.2532299999998</v>
      </c>
      <c r="H38" s="487">
        <v>3578.8165300000001</v>
      </c>
      <c r="I38" s="487">
        <v>3998.7513300000001</v>
      </c>
      <c r="J38" s="487">
        <v>4545.5632999999998</v>
      </c>
      <c r="K38" s="487">
        <v>5287.9026599999997</v>
      </c>
      <c r="L38" s="487">
        <v>6280.9403599999996</v>
      </c>
      <c r="M38" s="487">
        <v>8029.4408199999998</v>
      </c>
      <c r="N38" s="487">
        <v>8423.0059199999996</v>
      </c>
      <c r="O38" s="487">
        <v>9092.9740500000007</v>
      </c>
      <c r="P38" s="487">
        <v>9875.1504100000002</v>
      </c>
      <c r="Q38" s="499">
        <f t="shared" si="2"/>
        <v>5197.8988861538464</v>
      </c>
    </row>
    <row r="39" spans="1:17">
      <c r="A39" s="199" t="str">
        <f t="shared" si="0"/>
        <v>PRODUCTION</v>
      </c>
      <c r="B39" s="483" t="s">
        <v>1538</v>
      </c>
      <c r="C39" s="494" t="str">
        <f t="shared" si="1"/>
        <v>ECR</v>
      </c>
      <c r="D39" s="487">
        <v>0</v>
      </c>
      <c r="E39" s="487">
        <v>0</v>
      </c>
      <c r="F39" s="487">
        <v>0</v>
      </c>
      <c r="G39" s="487">
        <v>0</v>
      </c>
      <c r="H39" s="487">
        <v>0</v>
      </c>
      <c r="I39" s="487">
        <v>0</v>
      </c>
      <c r="J39" s="487">
        <v>0</v>
      </c>
      <c r="K39" s="487">
        <v>0</v>
      </c>
      <c r="L39" s="487">
        <v>0</v>
      </c>
      <c r="M39" s="487">
        <v>0</v>
      </c>
      <c r="N39" s="487">
        <v>0</v>
      </c>
      <c r="O39" s="487">
        <v>0</v>
      </c>
      <c r="P39" s="487">
        <v>0</v>
      </c>
      <c r="Q39" s="499">
        <f t="shared" si="2"/>
        <v>0</v>
      </c>
    </row>
    <row r="40" spans="1:17">
      <c r="A40" s="199" t="str">
        <f t="shared" si="0"/>
        <v>PRODUCTION</v>
      </c>
      <c r="B40" s="483" t="s">
        <v>1539</v>
      </c>
      <c r="C40" s="494" t="str">
        <f t="shared" si="1"/>
        <v>ECR</v>
      </c>
      <c r="D40" s="487">
        <v>0</v>
      </c>
      <c r="E40" s="487">
        <v>0</v>
      </c>
      <c r="F40" s="487">
        <v>0</v>
      </c>
      <c r="G40" s="487">
        <v>0</v>
      </c>
      <c r="H40" s="487">
        <v>0</v>
      </c>
      <c r="I40" s="487">
        <v>0</v>
      </c>
      <c r="J40" s="487">
        <v>0</v>
      </c>
      <c r="K40" s="487">
        <v>0</v>
      </c>
      <c r="L40" s="487">
        <v>0</v>
      </c>
      <c r="M40" s="487">
        <v>0</v>
      </c>
      <c r="N40" s="487">
        <v>0</v>
      </c>
      <c r="O40" s="487">
        <v>0</v>
      </c>
      <c r="P40" s="487">
        <v>0</v>
      </c>
      <c r="Q40" s="499">
        <f t="shared" si="2"/>
        <v>0</v>
      </c>
    </row>
    <row r="41" spans="1:17">
      <c r="A41" s="199" t="str">
        <f t="shared" si="0"/>
        <v>PRODUCTION</v>
      </c>
      <c r="B41" s="653" t="s">
        <v>3358</v>
      </c>
      <c r="C41" s="494" t="str">
        <f t="shared" si="1"/>
        <v/>
      </c>
      <c r="D41" s="487">
        <v>1081.5999899999999</v>
      </c>
      <c r="E41" s="487">
        <v>1442.1333199999999</v>
      </c>
      <c r="F41" s="487">
        <v>1802.6666499999999</v>
      </c>
      <c r="G41" s="487">
        <v>2163.1999799999999</v>
      </c>
      <c r="H41" s="487">
        <v>2163.1999799999999</v>
      </c>
      <c r="I41" s="487">
        <v>2163.1999799999999</v>
      </c>
      <c r="J41" s="487">
        <v>2163.1999799999999</v>
      </c>
      <c r="K41" s="487">
        <v>2163.1999799999999</v>
      </c>
      <c r="L41" s="487">
        <v>2163.1999799999999</v>
      </c>
      <c r="M41" s="487">
        <v>2163.1999799999999</v>
      </c>
      <c r="N41" s="487">
        <v>2163.1999799999999</v>
      </c>
      <c r="O41" s="487">
        <v>2163.1999799999999</v>
      </c>
      <c r="P41" s="487">
        <v>2163.1999799999999</v>
      </c>
      <c r="Q41" s="499">
        <f t="shared" si="2"/>
        <v>1996.7999815384619</v>
      </c>
    </row>
    <row r="42" spans="1:17">
      <c r="A42" s="199" t="str">
        <f t="shared" si="0"/>
        <v>PRODUCTION</v>
      </c>
      <c r="B42" s="483" t="s">
        <v>2388</v>
      </c>
      <c r="C42" s="494" t="str">
        <f t="shared" si="1"/>
        <v>ECR</v>
      </c>
      <c r="D42" s="487">
        <v>0</v>
      </c>
      <c r="E42" s="487">
        <v>0</v>
      </c>
      <c r="F42" s="487">
        <v>0</v>
      </c>
      <c r="G42" s="487">
        <v>0</v>
      </c>
      <c r="H42" s="487">
        <v>0</v>
      </c>
      <c r="I42" s="487">
        <v>0</v>
      </c>
      <c r="J42" s="487">
        <v>0</v>
      </c>
      <c r="K42" s="487">
        <v>0</v>
      </c>
      <c r="L42" s="487">
        <v>0</v>
      </c>
      <c r="M42" s="487">
        <v>0</v>
      </c>
      <c r="N42" s="487">
        <v>0</v>
      </c>
      <c r="O42" s="487">
        <v>0</v>
      </c>
      <c r="P42" s="487">
        <v>0</v>
      </c>
      <c r="Q42" s="499">
        <f t="shared" si="2"/>
        <v>0</v>
      </c>
    </row>
    <row r="43" spans="1:17">
      <c r="A43" s="199" t="str">
        <f t="shared" si="0"/>
        <v>TRANSMISSION</v>
      </c>
      <c r="B43" s="483" t="s">
        <v>1541</v>
      </c>
      <c r="C43" s="494" t="str">
        <f t="shared" si="1"/>
        <v/>
      </c>
      <c r="D43" s="487">
        <v>248.19743</v>
      </c>
      <c r="E43" s="487">
        <v>261.88493999999997</v>
      </c>
      <c r="F43" s="487">
        <v>160.01613</v>
      </c>
      <c r="G43" s="487">
        <v>193.55051</v>
      </c>
      <c r="H43" s="487">
        <v>215.45051000000001</v>
      </c>
      <c r="I43" s="487">
        <v>215.45051000000001</v>
      </c>
      <c r="J43" s="487">
        <v>30.796890000000001</v>
      </c>
      <c r="K43" s="487">
        <v>66.963570000000004</v>
      </c>
      <c r="L43" s="487">
        <v>103.13023</v>
      </c>
      <c r="M43" s="487">
        <v>139.29688999999999</v>
      </c>
      <c r="N43" s="487">
        <v>175.46355</v>
      </c>
      <c r="O43" s="487">
        <v>211.63021000000001</v>
      </c>
      <c r="P43" s="487">
        <v>37.580309999999997</v>
      </c>
      <c r="Q43" s="499">
        <f t="shared" si="2"/>
        <v>158.41628307692307</v>
      </c>
    </row>
    <row r="44" spans="1:17">
      <c r="A44" s="199" t="str">
        <f t="shared" si="0"/>
        <v>TRANSMISSION</v>
      </c>
      <c r="B44" s="483" t="s">
        <v>1542</v>
      </c>
      <c r="C44" s="494" t="str">
        <f t="shared" si="1"/>
        <v/>
      </c>
      <c r="D44" s="487">
        <v>0</v>
      </c>
      <c r="E44" s="487">
        <v>0</v>
      </c>
      <c r="F44" s="487">
        <v>0</v>
      </c>
      <c r="G44" s="487">
        <v>0</v>
      </c>
      <c r="H44" s="487">
        <v>0</v>
      </c>
      <c r="I44" s="487">
        <v>0</v>
      </c>
      <c r="J44" s="487">
        <v>0</v>
      </c>
      <c r="K44" s="487">
        <v>0</v>
      </c>
      <c r="L44" s="487">
        <v>0</v>
      </c>
      <c r="M44" s="487">
        <v>0</v>
      </c>
      <c r="N44" s="487">
        <v>0</v>
      </c>
      <c r="O44" s="487">
        <v>0</v>
      </c>
      <c r="P44" s="487">
        <v>0</v>
      </c>
      <c r="Q44" s="499">
        <f t="shared" si="2"/>
        <v>0</v>
      </c>
    </row>
    <row r="45" spans="1:17">
      <c r="B45" s="483"/>
      <c r="C45" s="494" t="str">
        <f t="shared" si="1"/>
        <v/>
      </c>
      <c r="D45" s="487"/>
      <c r="E45" s="487"/>
      <c r="F45" s="487"/>
      <c r="G45" s="487"/>
      <c r="H45" s="487"/>
      <c r="I45" s="487"/>
      <c r="J45" s="487"/>
      <c r="K45" s="487"/>
      <c r="L45" s="487"/>
      <c r="M45" s="487"/>
      <c r="N45" s="487"/>
      <c r="O45" s="487"/>
      <c r="P45" s="487"/>
      <c r="Q45" s="499">
        <f t="shared" si="2"/>
        <v>0</v>
      </c>
    </row>
  </sheetData>
  <pageMargins left="0.75" right="0.75" top="1" bottom="1" header="0.5" footer="0.5"/>
  <pageSetup scale="67" fitToHeight="0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AG274"/>
  <sheetViews>
    <sheetView zoomScale="85" zoomScaleNormal="85" workbookViewId="0">
      <pane xSplit="1" ySplit="3" topLeftCell="O250" activePane="bottomRight" state="frozen"/>
      <selection activeCell="T929" sqref="T929"/>
      <selection pane="topRight" activeCell="T929" sqref="T929"/>
      <selection pane="bottomLeft" activeCell="T929" sqref="T929"/>
      <selection pane="bottomRight" activeCell="U280" sqref="U280"/>
    </sheetView>
  </sheetViews>
  <sheetFormatPr defaultColWidth="9" defaultRowHeight="15"/>
  <cols>
    <col min="1" max="1" width="40.77734375" style="506" customWidth="1"/>
    <col min="2" max="15" width="9.33203125" style="648" customWidth="1"/>
    <col min="16" max="16" width="9.33203125" style="129" customWidth="1"/>
    <col min="17" max="32" width="9.33203125" style="648" customWidth="1"/>
    <col min="33" max="33" width="11.33203125" style="505" customWidth="1"/>
    <col min="34" max="16384" width="9" style="504"/>
  </cols>
  <sheetData>
    <row r="1" spans="1:33" s="501" customFormat="1" ht="15" customHeight="1">
      <c r="A1" s="500"/>
      <c r="B1" s="647"/>
      <c r="C1" s="647"/>
      <c r="D1" s="647"/>
      <c r="E1" s="647"/>
      <c r="F1" s="647"/>
      <c r="G1" s="647"/>
      <c r="H1" s="647"/>
      <c r="I1" s="647"/>
      <c r="J1" s="647"/>
      <c r="K1" s="647"/>
      <c r="L1" s="647"/>
      <c r="M1" s="647"/>
      <c r="N1" s="647"/>
      <c r="O1" s="647"/>
      <c r="P1" s="429"/>
      <c r="Q1" s="647"/>
      <c r="R1" s="647"/>
      <c r="S1" s="647"/>
      <c r="T1" s="647"/>
      <c r="U1" s="647"/>
      <c r="V1" s="647"/>
      <c r="W1" s="647"/>
      <c r="X1" s="647"/>
      <c r="Y1" s="647"/>
      <c r="Z1" s="647"/>
      <c r="AA1" s="647"/>
      <c r="AB1" s="647"/>
      <c r="AC1" s="647"/>
      <c r="AD1" s="647"/>
      <c r="AE1" s="647"/>
      <c r="AF1" s="647"/>
      <c r="AG1" s="502"/>
    </row>
    <row r="2" spans="1:33" s="501" customFormat="1" ht="30">
      <c r="A2" s="500" t="s">
        <v>2385</v>
      </c>
      <c r="B2" s="647" t="s">
        <v>2326</v>
      </c>
      <c r="C2" s="647" t="s">
        <v>2327</v>
      </c>
      <c r="D2" s="647" t="s">
        <v>2328</v>
      </c>
      <c r="E2" s="647" t="s">
        <v>2329</v>
      </c>
      <c r="F2" s="647" t="s">
        <v>2330</v>
      </c>
      <c r="G2" s="647" t="s">
        <v>2331</v>
      </c>
      <c r="H2" s="647" t="s">
        <v>2332</v>
      </c>
      <c r="I2" s="647" t="s">
        <v>2333</v>
      </c>
      <c r="J2" s="647" t="s">
        <v>2334</v>
      </c>
      <c r="K2" s="647" t="s">
        <v>2335</v>
      </c>
      <c r="L2" s="647" t="s">
        <v>2336</v>
      </c>
      <c r="M2" s="647" t="s">
        <v>2337</v>
      </c>
      <c r="N2" s="647" t="s">
        <v>2338</v>
      </c>
      <c r="O2" s="647" t="s">
        <v>2339</v>
      </c>
      <c r="P2" s="198" t="s">
        <v>2405</v>
      </c>
      <c r="Q2" s="647" t="s">
        <v>2391</v>
      </c>
      <c r="R2" s="647" t="s">
        <v>2392</v>
      </c>
      <c r="S2" s="647" t="s">
        <v>2393</v>
      </c>
      <c r="T2" s="647" t="s">
        <v>2365</v>
      </c>
      <c r="U2" s="647" t="s">
        <v>2366</v>
      </c>
      <c r="V2" s="647" t="s">
        <v>2367</v>
      </c>
      <c r="W2" s="647" t="s">
        <v>2368</v>
      </c>
      <c r="X2" s="647" t="s">
        <v>2369</v>
      </c>
      <c r="Y2" s="647" t="s">
        <v>2370</v>
      </c>
      <c r="Z2" s="647" t="s">
        <v>2371</v>
      </c>
      <c r="AA2" s="647" t="s">
        <v>2372</v>
      </c>
      <c r="AB2" s="647" t="s">
        <v>2373</v>
      </c>
      <c r="AC2" s="647" t="s">
        <v>2374</v>
      </c>
      <c r="AD2" s="647" t="s">
        <v>2375</v>
      </c>
      <c r="AE2" s="647" t="s">
        <v>2376</v>
      </c>
      <c r="AF2" s="647" t="s">
        <v>2377</v>
      </c>
      <c r="AG2" s="198" t="s">
        <v>2406</v>
      </c>
    </row>
    <row r="3" spans="1:33" s="501" customFormat="1">
      <c r="A3" s="500"/>
      <c r="B3" s="647"/>
      <c r="C3" s="647"/>
      <c r="D3" s="647"/>
      <c r="E3" s="647"/>
      <c r="F3" s="647"/>
      <c r="G3" s="647"/>
      <c r="H3" s="647"/>
      <c r="I3" s="647"/>
      <c r="J3" s="647"/>
      <c r="K3" s="647"/>
      <c r="L3" s="647"/>
      <c r="M3" s="647"/>
      <c r="N3" s="647"/>
      <c r="O3" s="647"/>
      <c r="P3" s="127"/>
      <c r="Q3" s="647"/>
      <c r="R3" s="647"/>
      <c r="S3" s="647"/>
      <c r="T3" s="647"/>
      <c r="U3" s="647"/>
      <c r="V3" s="647"/>
      <c r="W3" s="647"/>
      <c r="X3" s="647"/>
      <c r="Y3" s="647"/>
      <c r="Z3" s="647"/>
      <c r="AA3" s="647"/>
      <c r="AB3" s="647"/>
      <c r="AC3" s="647"/>
      <c r="AD3" s="647"/>
      <c r="AE3" s="647"/>
      <c r="AF3" s="647"/>
      <c r="AG3" s="502"/>
    </row>
    <row r="4" spans="1:33">
      <c r="A4" s="503" t="s">
        <v>1908</v>
      </c>
    </row>
    <row r="6" spans="1:33">
      <c r="A6" s="503" t="s">
        <v>1909</v>
      </c>
    </row>
    <row r="8" spans="1:33">
      <c r="A8" s="503" t="s">
        <v>1489</v>
      </c>
      <c r="B8" s="649"/>
      <c r="C8" s="649"/>
      <c r="D8" s="649"/>
      <c r="E8" s="649"/>
      <c r="F8" s="649"/>
      <c r="G8" s="649"/>
      <c r="H8" s="649"/>
      <c r="I8" s="649"/>
      <c r="J8" s="649"/>
      <c r="K8" s="649"/>
      <c r="L8" s="649"/>
      <c r="M8" s="649"/>
      <c r="N8" s="649"/>
      <c r="O8" s="649"/>
      <c r="P8" s="278"/>
      <c r="Q8" s="649"/>
      <c r="R8" s="649"/>
      <c r="S8" s="649"/>
      <c r="T8" s="649"/>
      <c r="U8" s="649"/>
      <c r="V8" s="649"/>
      <c r="W8" s="649"/>
      <c r="X8" s="649"/>
      <c r="Y8" s="649"/>
      <c r="Z8" s="649"/>
      <c r="AA8" s="649"/>
      <c r="AB8" s="649"/>
      <c r="AC8" s="649"/>
      <c r="AD8" s="649"/>
      <c r="AE8" s="649"/>
      <c r="AF8" s="649"/>
    </row>
    <row r="9" spans="1:33">
      <c r="A9" s="506" t="s">
        <v>1910</v>
      </c>
      <c r="B9" s="649"/>
      <c r="C9" s="649"/>
      <c r="D9" s="649"/>
      <c r="E9" s="649"/>
      <c r="F9" s="649"/>
      <c r="G9" s="649"/>
      <c r="H9" s="649"/>
      <c r="I9" s="649"/>
      <c r="J9" s="649"/>
      <c r="K9" s="649"/>
      <c r="L9" s="649"/>
      <c r="M9" s="649"/>
      <c r="N9" s="649"/>
      <c r="O9" s="649"/>
      <c r="P9" s="278"/>
      <c r="Q9" s="649"/>
      <c r="R9" s="649"/>
      <c r="S9" s="649"/>
      <c r="T9" s="649"/>
      <c r="U9" s="649"/>
      <c r="V9" s="649"/>
      <c r="W9" s="649"/>
      <c r="X9" s="649"/>
      <c r="Y9" s="649"/>
      <c r="Z9" s="649"/>
      <c r="AA9" s="649"/>
      <c r="AB9" s="649"/>
      <c r="AC9" s="649"/>
      <c r="AD9" s="649"/>
      <c r="AE9" s="649"/>
      <c r="AF9" s="649"/>
    </row>
    <row r="10" spans="1:33">
      <c r="A10" s="506" t="s">
        <v>1911</v>
      </c>
      <c r="B10" s="648">
        <v>7203902.1626300002</v>
      </c>
      <c r="C10" s="648">
        <v>7206413.6499500005</v>
      </c>
      <c r="D10" s="648">
        <v>7231196.6944599999</v>
      </c>
      <c r="E10" s="648">
        <v>7232889.75942</v>
      </c>
      <c r="F10" s="648">
        <v>7238058.61075</v>
      </c>
      <c r="G10" s="648">
        <v>7256146.7180199996</v>
      </c>
      <c r="H10" s="648">
        <v>7680150.5085800001</v>
      </c>
      <c r="I10" s="648">
        <v>7714436.7913599899</v>
      </c>
      <c r="J10" s="648">
        <v>7871162.3702999903</v>
      </c>
      <c r="K10" s="648">
        <v>7913821.9139299896</v>
      </c>
      <c r="L10" s="648">
        <v>7935333.2628699904</v>
      </c>
      <c r="M10" s="648">
        <v>8028523.2351199901</v>
      </c>
      <c r="N10" s="648">
        <v>8035772.40774999</v>
      </c>
      <c r="O10" s="648">
        <v>8045364.54149999</v>
      </c>
      <c r="P10" s="129">
        <f>SUM(C10:O10)/13</f>
        <v>7645328.4972315328</v>
      </c>
      <c r="Q10" s="648">
        <v>8055852.2755199904</v>
      </c>
      <c r="R10" s="648">
        <v>8074748.4388999902</v>
      </c>
      <c r="S10" s="648">
        <v>8091827.7479599901</v>
      </c>
      <c r="T10" s="648">
        <v>8128503.9430699898</v>
      </c>
      <c r="U10" s="648">
        <v>8141326.8979499899</v>
      </c>
      <c r="V10" s="648">
        <v>8171610.7888999898</v>
      </c>
      <c r="W10" s="648">
        <v>8185393.9761299901</v>
      </c>
      <c r="X10" s="648">
        <v>8225959.8039799901</v>
      </c>
      <c r="Y10" s="648">
        <v>8255791.9136099899</v>
      </c>
      <c r="Z10" s="648">
        <v>8338697.4357199902</v>
      </c>
      <c r="AA10" s="648">
        <v>8349425.5642299904</v>
      </c>
      <c r="AB10" s="648">
        <v>8355565.0222699903</v>
      </c>
      <c r="AC10" s="648">
        <v>8373474.7873299904</v>
      </c>
      <c r="AD10" s="648">
        <v>8393136.2574799992</v>
      </c>
      <c r="AE10" s="648">
        <v>8408533.7837499995</v>
      </c>
      <c r="AF10" s="648">
        <v>8430054.1872699894</v>
      </c>
      <c r="AG10" s="505">
        <f>SUM(T10:AF10)/13</f>
        <v>8289036.489360759</v>
      </c>
    </row>
    <row r="11" spans="1:33">
      <c r="A11" s="506" t="s">
        <v>1912</v>
      </c>
      <c r="B11" s="648">
        <v>32709.56422</v>
      </c>
      <c r="C11" s="648">
        <v>32709.56422</v>
      </c>
      <c r="D11" s="648">
        <v>32709.56422</v>
      </c>
      <c r="E11" s="648">
        <v>32709.56422</v>
      </c>
      <c r="F11" s="648">
        <v>32709.56422</v>
      </c>
      <c r="G11" s="648">
        <v>32709.56422</v>
      </c>
      <c r="H11" s="648">
        <v>32709.56422</v>
      </c>
      <c r="I11" s="648">
        <v>32709.56422</v>
      </c>
      <c r="J11" s="648">
        <v>32709.56422</v>
      </c>
      <c r="K11" s="648">
        <v>32709.56422</v>
      </c>
      <c r="L11" s="648">
        <v>32709.56422</v>
      </c>
      <c r="M11" s="648">
        <v>32709.56422</v>
      </c>
      <c r="N11" s="648">
        <v>32709.56422</v>
      </c>
      <c r="O11" s="648">
        <v>32709.56422</v>
      </c>
      <c r="P11" s="129">
        <f t="shared" ref="P11:P74" si="0">SUM(C11:O11)/13</f>
        <v>32709.56422</v>
      </c>
      <c r="Q11" s="648">
        <v>32709.56422</v>
      </c>
      <c r="R11" s="648">
        <v>32709.56422</v>
      </c>
      <c r="S11" s="648">
        <v>32709.56422</v>
      </c>
      <c r="T11" s="648">
        <v>32709.56422</v>
      </c>
      <c r="U11" s="648">
        <v>32709.56422</v>
      </c>
      <c r="V11" s="648">
        <v>32709.56422</v>
      </c>
      <c r="W11" s="648">
        <v>32709.56422</v>
      </c>
      <c r="X11" s="648">
        <v>32709.56422</v>
      </c>
      <c r="Y11" s="648">
        <v>32709.56422</v>
      </c>
      <c r="Z11" s="648">
        <v>32709.56422</v>
      </c>
      <c r="AA11" s="648">
        <v>32709.56422</v>
      </c>
      <c r="AB11" s="648">
        <v>32709.56422</v>
      </c>
      <c r="AC11" s="648">
        <v>32709.56422</v>
      </c>
      <c r="AD11" s="648">
        <v>32709.56422</v>
      </c>
      <c r="AE11" s="648">
        <v>32709.56422</v>
      </c>
      <c r="AF11" s="648">
        <v>32709.56422</v>
      </c>
      <c r="AG11" s="505">
        <f t="shared" ref="AG11:AG74" si="1">SUM(T11:AF11)/13</f>
        <v>32709.56422</v>
      </c>
    </row>
    <row r="12" spans="1:33">
      <c r="A12" s="506" t="s">
        <v>1913</v>
      </c>
      <c r="B12" s="648">
        <v>633.62869000000001</v>
      </c>
      <c r="C12" s="648">
        <v>633.62869000000001</v>
      </c>
      <c r="D12" s="648">
        <v>633.62869000000001</v>
      </c>
      <c r="E12" s="648">
        <v>633.62869000000001</v>
      </c>
      <c r="F12" s="648">
        <v>747.51094000000001</v>
      </c>
      <c r="G12" s="648">
        <v>747.51094000000001</v>
      </c>
      <c r="H12" s="648">
        <v>747.51094000000001</v>
      </c>
      <c r="I12" s="648">
        <v>747.51094000000001</v>
      </c>
      <c r="J12" s="648">
        <v>747.51094000000001</v>
      </c>
      <c r="K12" s="648">
        <v>747.51094000000001</v>
      </c>
      <c r="L12" s="648">
        <v>747.51094000000001</v>
      </c>
      <c r="M12" s="648">
        <v>747.51094000000001</v>
      </c>
      <c r="N12" s="648">
        <v>747.51094000000001</v>
      </c>
      <c r="O12" s="648">
        <v>747.51094000000001</v>
      </c>
      <c r="P12" s="129">
        <f t="shared" si="0"/>
        <v>721.2304207692307</v>
      </c>
      <c r="Q12" s="648">
        <v>747.51094000000001</v>
      </c>
      <c r="R12" s="648">
        <v>747.51094000000001</v>
      </c>
      <c r="S12" s="648">
        <v>747.51094000000001</v>
      </c>
      <c r="T12" s="648">
        <v>747.51094000000001</v>
      </c>
      <c r="U12" s="648">
        <v>747.51094000000001</v>
      </c>
      <c r="V12" s="648">
        <v>747.51094000000001</v>
      </c>
      <c r="W12" s="648">
        <v>747.51094000000001</v>
      </c>
      <c r="X12" s="648">
        <v>747.51094000000001</v>
      </c>
      <c r="Y12" s="648">
        <v>747.51094000000001</v>
      </c>
      <c r="Z12" s="648">
        <v>747.51094000000001</v>
      </c>
      <c r="AA12" s="648">
        <v>747.51094000000001</v>
      </c>
      <c r="AB12" s="648">
        <v>747.51094000000001</v>
      </c>
      <c r="AC12" s="648">
        <v>747.51094000000001</v>
      </c>
      <c r="AD12" s="648">
        <v>747.51094000000001</v>
      </c>
      <c r="AE12" s="648">
        <v>747.51094000000001</v>
      </c>
      <c r="AF12" s="648">
        <v>747.51094000000001</v>
      </c>
      <c r="AG12" s="505">
        <f t="shared" si="1"/>
        <v>747.51094000000001</v>
      </c>
    </row>
    <row r="13" spans="1:33">
      <c r="A13" s="506" t="s">
        <v>1914</v>
      </c>
      <c r="B13" s="648">
        <v>1604152.04972</v>
      </c>
      <c r="C13" s="648">
        <v>1618090.2912900001</v>
      </c>
      <c r="D13" s="648">
        <v>1596556.8005299999</v>
      </c>
      <c r="E13" s="648">
        <v>1607635.94661</v>
      </c>
      <c r="F13" s="648">
        <v>1606288.0811099999</v>
      </c>
      <c r="G13" s="648">
        <v>1623949.2733400001</v>
      </c>
      <c r="H13" s="648">
        <v>1221524.7155899999</v>
      </c>
      <c r="I13" s="648">
        <v>1204565.5561599999</v>
      </c>
      <c r="J13" s="648">
        <v>1204565.5561599999</v>
      </c>
      <c r="K13" s="648">
        <v>1204565.5561599999</v>
      </c>
      <c r="L13" s="648">
        <v>1204565.5561599999</v>
      </c>
      <c r="M13" s="648">
        <v>1204565.5561599999</v>
      </c>
      <c r="N13" s="648">
        <v>1204565.5561599999</v>
      </c>
      <c r="O13" s="648">
        <v>1204565.5561599999</v>
      </c>
      <c r="P13" s="129">
        <f t="shared" si="0"/>
        <v>1362000.3078146151</v>
      </c>
      <c r="Q13" s="648">
        <v>1204565.5561599999</v>
      </c>
      <c r="R13" s="648">
        <v>1204565.5561599999</v>
      </c>
      <c r="S13" s="648">
        <v>1204565.5561599999</v>
      </c>
      <c r="T13" s="648">
        <v>1204565.5561599999</v>
      </c>
      <c r="U13" s="648">
        <v>1204565.5561599999</v>
      </c>
      <c r="V13" s="648">
        <v>1204565.5561599999</v>
      </c>
      <c r="W13" s="648">
        <v>1204565.5561599999</v>
      </c>
      <c r="X13" s="648">
        <v>1204565.5561599999</v>
      </c>
      <c r="Y13" s="648">
        <v>1204565.5561599999</v>
      </c>
      <c r="Z13" s="648">
        <v>1204565.5561599999</v>
      </c>
      <c r="AA13" s="648">
        <v>1204565.5561599999</v>
      </c>
      <c r="AB13" s="648">
        <v>1204565.5561599999</v>
      </c>
      <c r="AC13" s="648">
        <v>1204565.5561599999</v>
      </c>
      <c r="AD13" s="648">
        <v>1204565.5561599999</v>
      </c>
      <c r="AE13" s="648">
        <v>1204565.5561599999</v>
      </c>
      <c r="AF13" s="648">
        <v>1204565.5561599999</v>
      </c>
      <c r="AG13" s="505">
        <f t="shared" si="1"/>
        <v>1204565.5561599997</v>
      </c>
    </row>
    <row r="14" spans="1:33">
      <c r="A14" s="506" t="s">
        <v>1915</v>
      </c>
      <c r="B14" s="648">
        <v>257078.58661999999</v>
      </c>
      <c r="C14" s="648">
        <v>259982.76821000001</v>
      </c>
      <c r="D14" s="648">
        <v>285732.46745999902</v>
      </c>
      <c r="E14" s="648">
        <v>296420.20405</v>
      </c>
      <c r="F14" s="648">
        <v>310378.71879000001</v>
      </c>
      <c r="G14" s="648">
        <v>294747.10129999998</v>
      </c>
      <c r="H14" s="648">
        <v>288187.53116999997</v>
      </c>
      <c r="I14" s="648">
        <v>282962.92543</v>
      </c>
      <c r="J14" s="648">
        <v>152396.71338</v>
      </c>
      <c r="K14" s="648">
        <v>148866.56586</v>
      </c>
      <c r="L14" s="648">
        <v>171507.37473000001</v>
      </c>
      <c r="M14" s="648">
        <v>110641.48724</v>
      </c>
      <c r="N14" s="648">
        <v>125799.11945</v>
      </c>
      <c r="O14" s="648">
        <v>139671.98099000001</v>
      </c>
      <c r="P14" s="129">
        <f t="shared" si="0"/>
        <v>220561.15061999994</v>
      </c>
      <c r="Q14" s="648">
        <v>159935.14204000001</v>
      </c>
      <c r="R14" s="648">
        <v>190378.23006999999</v>
      </c>
      <c r="S14" s="648">
        <v>210323.24953999999</v>
      </c>
      <c r="T14" s="648">
        <v>214210.95379</v>
      </c>
      <c r="U14" s="648">
        <v>233832.66386999999</v>
      </c>
      <c r="V14" s="648">
        <v>239841.154959999</v>
      </c>
      <c r="W14" s="648">
        <v>269545.66979000001</v>
      </c>
      <c r="X14" s="648">
        <v>290360.12760000001</v>
      </c>
      <c r="Y14" s="648">
        <v>305039.52769999998</v>
      </c>
      <c r="Z14" s="648">
        <v>267321.38996</v>
      </c>
      <c r="AA14" s="648">
        <v>295722.07108999998</v>
      </c>
      <c r="AB14" s="648">
        <v>330641.32300999999</v>
      </c>
      <c r="AC14" s="648">
        <v>360203.68154000002</v>
      </c>
      <c r="AD14" s="648">
        <v>388231.37513</v>
      </c>
      <c r="AE14" s="648">
        <v>412855.69633000001</v>
      </c>
      <c r="AF14" s="648">
        <v>431088.63423000003</v>
      </c>
      <c r="AG14" s="505">
        <f t="shared" si="1"/>
        <v>310684.17453846149</v>
      </c>
    </row>
    <row r="15" spans="1:33">
      <c r="A15" s="506" t="s">
        <v>1916</v>
      </c>
      <c r="B15" s="648">
        <v>9098475.9918799996</v>
      </c>
      <c r="C15" s="648">
        <v>9117829.9023599997</v>
      </c>
      <c r="D15" s="648">
        <v>9146829.1553600002</v>
      </c>
      <c r="E15" s="648">
        <v>9170289.1029899996</v>
      </c>
      <c r="F15" s="648">
        <v>9188182.4858100004</v>
      </c>
      <c r="G15" s="648">
        <v>9208300.1678199992</v>
      </c>
      <c r="H15" s="648">
        <v>9223319.8304999992</v>
      </c>
      <c r="I15" s="648">
        <v>9235422.3481099904</v>
      </c>
      <c r="J15" s="648">
        <v>9261581.7149999905</v>
      </c>
      <c r="K15" s="648">
        <v>9300711.1111099906</v>
      </c>
      <c r="L15" s="648">
        <v>9344863.2689199895</v>
      </c>
      <c r="M15" s="648">
        <v>9377187.3536799904</v>
      </c>
      <c r="N15" s="648">
        <v>9399594.1585199907</v>
      </c>
      <c r="O15" s="648">
        <v>9423059.1538099907</v>
      </c>
      <c r="P15" s="129">
        <f t="shared" si="0"/>
        <v>9261320.7503069174</v>
      </c>
      <c r="Q15" s="648">
        <v>9453810.0488799997</v>
      </c>
      <c r="R15" s="648">
        <v>9503149.3002899997</v>
      </c>
      <c r="S15" s="648">
        <v>9540173.6288199909</v>
      </c>
      <c r="T15" s="648">
        <v>9580737.5281799901</v>
      </c>
      <c r="U15" s="648">
        <v>9613182.1931399908</v>
      </c>
      <c r="V15" s="648">
        <v>9649474.5751799997</v>
      </c>
      <c r="W15" s="648">
        <v>9692962.2772399895</v>
      </c>
      <c r="X15" s="648">
        <v>9754342.5628999993</v>
      </c>
      <c r="Y15" s="648">
        <v>9798854.0726299994</v>
      </c>
      <c r="Z15" s="648">
        <v>9844041.4570000004</v>
      </c>
      <c r="AA15" s="648">
        <v>9883170.2666399907</v>
      </c>
      <c r="AB15" s="648">
        <v>9924228.9765999895</v>
      </c>
      <c r="AC15" s="648">
        <v>9971701.1001899894</v>
      </c>
      <c r="AD15" s="648">
        <v>10019390.2639299</v>
      </c>
      <c r="AE15" s="648">
        <v>10059412.111400001</v>
      </c>
      <c r="AF15" s="648">
        <v>10099165.452819999</v>
      </c>
      <c r="AG15" s="505">
        <f t="shared" si="1"/>
        <v>9837743.2952192202</v>
      </c>
    </row>
    <row r="16" spans="1:33">
      <c r="B16" s="649"/>
      <c r="C16" s="649"/>
      <c r="D16" s="649"/>
      <c r="E16" s="649"/>
      <c r="F16" s="649"/>
      <c r="G16" s="649"/>
      <c r="H16" s="649"/>
      <c r="I16" s="649"/>
      <c r="J16" s="649"/>
      <c r="K16" s="649"/>
      <c r="L16" s="649"/>
      <c r="M16" s="649"/>
      <c r="N16" s="649"/>
      <c r="O16" s="649"/>
      <c r="P16" s="129">
        <f t="shared" si="0"/>
        <v>0</v>
      </c>
      <c r="Q16" s="649"/>
      <c r="R16" s="649"/>
      <c r="S16" s="649"/>
      <c r="T16" s="649"/>
      <c r="U16" s="649"/>
      <c r="V16" s="649"/>
      <c r="W16" s="649"/>
      <c r="X16" s="649"/>
      <c r="Y16" s="649"/>
      <c r="Z16" s="649"/>
      <c r="AA16" s="649"/>
      <c r="AB16" s="649"/>
      <c r="AC16" s="649"/>
      <c r="AD16" s="649"/>
      <c r="AE16" s="649"/>
      <c r="AF16" s="649"/>
      <c r="AG16" s="505">
        <f t="shared" si="1"/>
        <v>0</v>
      </c>
    </row>
    <row r="17" spans="1:33">
      <c r="A17" s="506" t="s">
        <v>1917</v>
      </c>
      <c r="B17" s="649"/>
      <c r="C17" s="649"/>
      <c r="D17" s="649"/>
      <c r="E17" s="649"/>
      <c r="F17" s="649"/>
      <c r="G17" s="649"/>
      <c r="H17" s="649"/>
      <c r="I17" s="649"/>
      <c r="J17" s="649"/>
      <c r="K17" s="649"/>
      <c r="L17" s="649"/>
      <c r="M17" s="649"/>
      <c r="N17" s="649"/>
      <c r="O17" s="649"/>
      <c r="P17" s="129">
        <f t="shared" si="0"/>
        <v>0</v>
      </c>
      <c r="Q17" s="649"/>
      <c r="R17" s="649"/>
      <c r="S17" s="649"/>
      <c r="T17" s="649"/>
      <c r="U17" s="649"/>
      <c r="V17" s="649"/>
      <c r="W17" s="649"/>
      <c r="X17" s="649"/>
      <c r="Y17" s="649"/>
      <c r="Z17" s="649"/>
      <c r="AA17" s="649"/>
      <c r="AB17" s="649"/>
      <c r="AC17" s="649"/>
      <c r="AD17" s="649"/>
      <c r="AE17" s="649"/>
      <c r="AF17" s="649"/>
      <c r="AG17" s="505">
        <f t="shared" si="1"/>
        <v>0</v>
      </c>
    </row>
    <row r="18" spans="1:33">
      <c r="A18" s="506" t="s">
        <v>1918</v>
      </c>
      <c r="B18" s="648">
        <v>-2418166.0272599999</v>
      </c>
      <c r="C18" s="648">
        <v>-2434393.0296100001</v>
      </c>
      <c r="D18" s="648">
        <v>-2454064.6645800001</v>
      </c>
      <c r="E18" s="648">
        <v>-2473314.4935900001</v>
      </c>
      <c r="F18" s="648">
        <v>-2486041.1500499998</v>
      </c>
      <c r="G18" s="648">
        <v>-2499235.4800399998</v>
      </c>
      <c r="H18" s="648">
        <v>-2511811.1532899998</v>
      </c>
      <c r="I18" s="648">
        <v>-2522059.1818900001</v>
      </c>
      <c r="J18" s="648">
        <v>-2541682.4654487302</v>
      </c>
      <c r="K18" s="648">
        <v>-2560693.4552544798</v>
      </c>
      <c r="L18" s="648">
        <v>-2579930.4753959798</v>
      </c>
      <c r="M18" s="648">
        <v>-2596049.07262957</v>
      </c>
      <c r="N18" s="648">
        <v>-2616081.76441732</v>
      </c>
      <c r="O18" s="648">
        <v>-2633056.4188544699</v>
      </c>
      <c r="P18" s="129">
        <f t="shared" si="0"/>
        <v>-2531416.3696192731</v>
      </c>
      <c r="Q18" s="648">
        <v>-2649851.9176129601</v>
      </c>
      <c r="R18" s="648">
        <v>-2669429.3474444002</v>
      </c>
      <c r="S18" s="648">
        <v>-2685481.6822109902</v>
      </c>
      <c r="T18" s="648">
        <v>-2703920.2383789099</v>
      </c>
      <c r="U18" s="648">
        <v>-2728069.55773316</v>
      </c>
      <c r="V18" s="648">
        <v>-2748996.50163633</v>
      </c>
      <c r="W18" s="648">
        <v>-2772776.7715020799</v>
      </c>
      <c r="X18" s="648">
        <v>-2796964.0839410699</v>
      </c>
      <c r="Y18" s="648">
        <v>-2820544.4255330702</v>
      </c>
      <c r="Z18" s="648">
        <v>-2841596.1504189498</v>
      </c>
      <c r="AA18" s="648">
        <v>-2864911.3755291598</v>
      </c>
      <c r="AB18" s="648">
        <v>-2884302.3558944701</v>
      </c>
      <c r="AC18" s="648">
        <v>-2905724.7845053198</v>
      </c>
      <c r="AD18" s="648">
        <v>-2926392.60070252</v>
      </c>
      <c r="AE18" s="648">
        <v>-2944855.0018440201</v>
      </c>
      <c r="AF18" s="648">
        <v>-2965827.7784258602</v>
      </c>
      <c r="AG18" s="505">
        <f t="shared" si="1"/>
        <v>-2838837.0481573013</v>
      </c>
    </row>
    <row r="19" spans="1:33">
      <c r="A19" s="506" t="s">
        <v>1919</v>
      </c>
      <c r="B19" s="648">
        <v>-19555.948230000002</v>
      </c>
      <c r="C19" s="648">
        <v>-19580.869030000002</v>
      </c>
      <c r="D19" s="648">
        <v>-19605.7898299999</v>
      </c>
      <c r="E19" s="648">
        <v>-19630.7106299999</v>
      </c>
      <c r="F19" s="648">
        <v>-19655.631430000001</v>
      </c>
      <c r="G19" s="648">
        <v>-19680.552230000001</v>
      </c>
      <c r="H19" s="648">
        <v>-19705.473030000001</v>
      </c>
      <c r="I19" s="648">
        <v>-19730.393829999899</v>
      </c>
      <c r="J19" s="648">
        <v>-19730.393829999899</v>
      </c>
      <c r="K19" s="648">
        <v>-19730.393829999899</v>
      </c>
      <c r="L19" s="648">
        <v>-19730.393829999899</v>
      </c>
      <c r="M19" s="648">
        <v>-19730.393829999899</v>
      </c>
      <c r="N19" s="648">
        <v>-19730.393829999899</v>
      </c>
      <c r="O19" s="648">
        <v>-19730.393829999899</v>
      </c>
      <c r="P19" s="129">
        <f t="shared" si="0"/>
        <v>-19690.137153076856</v>
      </c>
      <c r="Q19" s="648">
        <v>-19730.393829999899</v>
      </c>
      <c r="R19" s="648">
        <v>-19730.393829999899</v>
      </c>
      <c r="S19" s="648">
        <v>-19730.393829999899</v>
      </c>
      <c r="T19" s="648">
        <v>-19730.393829999899</v>
      </c>
      <c r="U19" s="648">
        <v>-19730.393829999899</v>
      </c>
      <c r="V19" s="648">
        <v>-19730.393829999899</v>
      </c>
      <c r="W19" s="648">
        <v>-19730.393829999899</v>
      </c>
      <c r="X19" s="648">
        <v>-19730.393829999899</v>
      </c>
      <c r="Y19" s="648">
        <v>-19730.393829999899</v>
      </c>
      <c r="Z19" s="648">
        <v>-19730.393829999899</v>
      </c>
      <c r="AA19" s="648">
        <v>-19730.393829999899</v>
      </c>
      <c r="AB19" s="648">
        <v>-19730.393829999899</v>
      </c>
      <c r="AC19" s="648">
        <v>-19730.393829999899</v>
      </c>
      <c r="AD19" s="648">
        <v>-19730.393829999899</v>
      </c>
      <c r="AE19" s="648">
        <v>-19730.393829999899</v>
      </c>
      <c r="AF19" s="648">
        <v>-19730.393829999899</v>
      </c>
      <c r="AG19" s="505">
        <f t="shared" si="1"/>
        <v>-19730.393829999899</v>
      </c>
    </row>
    <row r="20" spans="1:33">
      <c r="A20" s="506" t="s">
        <v>1920</v>
      </c>
      <c r="B20" s="648">
        <v>2006.33105</v>
      </c>
      <c r="C20" s="648">
        <v>2200.09485</v>
      </c>
      <c r="D20" s="648">
        <v>2632.7851900000001</v>
      </c>
      <c r="E20" s="648">
        <v>3219.9625299999998</v>
      </c>
      <c r="F20" s="648">
        <v>3976.3701299999998</v>
      </c>
      <c r="G20" s="648">
        <v>4605.3720000000003</v>
      </c>
      <c r="H20" s="648">
        <v>5075.0423300000002</v>
      </c>
      <c r="I20" s="648">
        <v>665.81386999999995</v>
      </c>
      <c r="J20" s="648">
        <v>665.81386999999995</v>
      </c>
      <c r="K20" s="648">
        <v>665.81386999999995</v>
      </c>
      <c r="L20" s="648">
        <v>665.81386999999995</v>
      </c>
      <c r="M20" s="648">
        <v>665.81386999999995</v>
      </c>
      <c r="N20" s="648">
        <v>665.81386999999995</v>
      </c>
      <c r="O20" s="648">
        <v>665.81386999999995</v>
      </c>
      <c r="P20" s="129">
        <f t="shared" si="0"/>
        <v>2028.48647076923</v>
      </c>
      <c r="Q20" s="648">
        <v>665.81386999999995</v>
      </c>
      <c r="R20" s="648">
        <v>665.81386999999995</v>
      </c>
      <c r="S20" s="648">
        <v>665.81386999999995</v>
      </c>
      <c r="T20" s="648">
        <v>665.81386999999995</v>
      </c>
      <c r="U20" s="648">
        <v>665.81386999999995</v>
      </c>
      <c r="V20" s="648">
        <v>665.81386999999995</v>
      </c>
      <c r="W20" s="648">
        <v>665.81386999999995</v>
      </c>
      <c r="X20" s="648">
        <v>665.81386999999995</v>
      </c>
      <c r="Y20" s="648">
        <v>665.81386999999995</v>
      </c>
      <c r="Z20" s="648">
        <v>665.81386999999995</v>
      </c>
      <c r="AA20" s="648">
        <v>665.81386999999995</v>
      </c>
      <c r="AB20" s="648">
        <v>665.81386999999995</v>
      </c>
      <c r="AC20" s="648">
        <v>665.81386999999995</v>
      </c>
      <c r="AD20" s="648">
        <v>665.81386999999995</v>
      </c>
      <c r="AE20" s="648">
        <v>665.81386999999995</v>
      </c>
      <c r="AF20" s="648">
        <v>665.81386999999995</v>
      </c>
      <c r="AG20" s="505">
        <f t="shared" si="1"/>
        <v>665.81386999999995</v>
      </c>
    </row>
    <row r="21" spans="1:33">
      <c r="A21" s="506" t="s">
        <v>1921</v>
      </c>
      <c r="B21" s="648">
        <v>-45220.848030000001</v>
      </c>
      <c r="C21" s="648">
        <v>-46200.486250000002</v>
      </c>
      <c r="D21" s="648">
        <v>-47029.844779999999</v>
      </c>
      <c r="E21" s="648">
        <v>-45719.1662</v>
      </c>
      <c r="F21" s="648">
        <v>-45848.487690000002</v>
      </c>
      <c r="G21" s="648">
        <v>-46230.449240000002</v>
      </c>
      <c r="H21" s="648">
        <v>-47198.455029999997</v>
      </c>
      <c r="I21" s="648">
        <v>-47509.0340499999</v>
      </c>
      <c r="J21" s="648">
        <v>-48519.6041606894</v>
      </c>
      <c r="K21" s="648">
        <v>-48911.867598578901</v>
      </c>
      <c r="L21" s="648">
        <v>-49733.545955568399</v>
      </c>
      <c r="M21" s="648">
        <v>-50564.796712457901</v>
      </c>
      <c r="N21" s="648">
        <v>-51452.180827747397</v>
      </c>
      <c r="O21" s="648">
        <v>-52558.576530236904</v>
      </c>
      <c r="P21" s="129">
        <f t="shared" si="0"/>
        <v>-48267.422694252215</v>
      </c>
      <c r="Q21" s="648">
        <v>-53407.2703142264</v>
      </c>
      <c r="R21" s="648">
        <v>-53711.051438115901</v>
      </c>
      <c r="S21" s="648">
        <v>-53414.260145705499</v>
      </c>
      <c r="T21" s="648">
        <v>-53833.654973094999</v>
      </c>
      <c r="U21" s="648">
        <v>-51844.901492955702</v>
      </c>
      <c r="V21" s="648">
        <v>-53124.2957775166</v>
      </c>
      <c r="W21" s="648">
        <v>-54627.6061508774</v>
      </c>
      <c r="X21" s="648">
        <v>-56143.749276238203</v>
      </c>
      <c r="Y21" s="648">
        <v>-57193.072360899001</v>
      </c>
      <c r="Z21" s="648">
        <v>-58735.865242959801</v>
      </c>
      <c r="AA21" s="648">
        <v>-60187.674333020601</v>
      </c>
      <c r="AB21" s="648">
        <v>-60924.653958081399</v>
      </c>
      <c r="AC21" s="648">
        <v>-62132.431890442102</v>
      </c>
      <c r="AD21" s="648">
        <v>-63234.392332502997</v>
      </c>
      <c r="AE21" s="648">
        <v>-63675.421454863797</v>
      </c>
      <c r="AF21" s="648">
        <v>-64023.848590224501</v>
      </c>
      <c r="AG21" s="505">
        <f t="shared" si="1"/>
        <v>-58437.043679513627</v>
      </c>
    </row>
    <row r="22" spans="1:33">
      <c r="A22" s="506" t="s">
        <v>1922</v>
      </c>
      <c r="B22" s="648">
        <v>-53.453360000000004</v>
      </c>
      <c r="C22" s="648">
        <v>-54.328490000000002</v>
      </c>
      <c r="D22" s="648">
        <v>-55.203620000000001</v>
      </c>
      <c r="E22" s="648">
        <v>-56.078749999999999</v>
      </c>
      <c r="F22" s="648">
        <v>-56.953879999999998</v>
      </c>
      <c r="G22" s="648">
        <v>-57.829009999999997</v>
      </c>
      <c r="H22" s="648">
        <v>-58.704140000000002</v>
      </c>
      <c r="I22" s="648">
        <v>-59.579270000000001</v>
      </c>
      <c r="J22" s="648">
        <v>-59.579270000000001</v>
      </c>
      <c r="K22" s="648">
        <v>-59.579270000000001</v>
      </c>
      <c r="L22" s="648">
        <v>-59.579270000000001</v>
      </c>
      <c r="M22" s="648">
        <v>-59.579270000000001</v>
      </c>
      <c r="N22" s="648">
        <v>-59.579270000000001</v>
      </c>
      <c r="O22" s="648">
        <v>-59.579270000000001</v>
      </c>
      <c r="P22" s="129">
        <f t="shared" si="0"/>
        <v>-58.165598461538444</v>
      </c>
      <c r="Q22" s="648">
        <v>-59.579270000000001</v>
      </c>
      <c r="R22" s="648">
        <v>-59.579270000000001</v>
      </c>
      <c r="S22" s="648">
        <v>-59.579270000000001</v>
      </c>
      <c r="T22" s="648">
        <v>-59.579270000000001</v>
      </c>
      <c r="U22" s="648">
        <v>-59.579270000000001</v>
      </c>
      <c r="V22" s="648">
        <v>-59.579270000000001</v>
      </c>
      <c r="W22" s="648">
        <v>-59.579270000000001</v>
      </c>
      <c r="X22" s="648">
        <v>-59.579270000000001</v>
      </c>
      <c r="Y22" s="648">
        <v>-59.579270000000001</v>
      </c>
      <c r="Z22" s="648">
        <v>-59.579270000000001</v>
      </c>
      <c r="AA22" s="648">
        <v>-59.579270000000001</v>
      </c>
      <c r="AB22" s="648">
        <v>-59.579270000000001</v>
      </c>
      <c r="AC22" s="648">
        <v>-59.579270000000001</v>
      </c>
      <c r="AD22" s="648">
        <v>-59.579270000000001</v>
      </c>
      <c r="AE22" s="648">
        <v>-59.579270000000001</v>
      </c>
      <c r="AF22" s="648">
        <v>-59.579270000000001</v>
      </c>
      <c r="AG22" s="505">
        <f t="shared" si="1"/>
        <v>-59.579269999999987</v>
      </c>
    </row>
    <row r="23" spans="1:33">
      <c r="A23" s="506" t="s">
        <v>1923</v>
      </c>
      <c r="B23" s="648">
        <v>108443.673709999</v>
      </c>
      <c r="C23" s="648">
        <v>108618.283669999</v>
      </c>
      <c r="D23" s="648">
        <v>108872.98961999999</v>
      </c>
      <c r="E23" s="648">
        <v>109191.826299999</v>
      </c>
      <c r="F23" s="648">
        <v>109481.98378</v>
      </c>
      <c r="G23" s="648">
        <v>109798.6289</v>
      </c>
      <c r="H23" s="648">
        <v>110039.621349999</v>
      </c>
      <c r="I23" s="648">
        <v>110294.271319999</v>
      </c>
      <c r="J23" s="648">
        <v>110620.902370585</v>
      </c>
      <c r="K23" s="648">
        <v>110952.069654871</v>
      </c>
      <c r="L23" s="648">
        <v>111284.65424434601</v>
      </c>
      <c r="M23" s="648">
        <v>111619.43391274499</v>
      </c>
      <c r="N23" s="648">
        <v>111956.22182832799</v>
      </c>
      <c r="O23" s="648">
        <v>112293.49723681</v>
      </c>
      <c r="P23" s="129">
        <f t="shared" si="0"/>
        <v>110386.49109136008</v>
      </c>
      <c r="Q23" s="648">
        <v>112631.333179739</v>
      </c>
      <c r="R23" s="648">
        <v>112969.88068374401</v>
      </c>
      <c r="S23" s="648">
        <v>113309.32306275899</v>
      </c>
      <c r="T23" s="648">
        <v>113650.065312566</v>
      </c>
      <c r="U23" s="648">
        <v>114301.71523828201</v>
      </c>
      <c r="V23" s="648">
        <v>114954.610691011</v>
      </c>
      <c r="W23" s="648">
        <v>115608.72326790501</v>
      </c>
      <c r="X23" s="648">
        <v>116264.248249802</v>
      </c>
      <c r="Y23" s="648">
        <v>116921.556896323</v>
      </c>
      <c r="Z23" s="648">
        <v>117582.220264523</v>
      </c>
      <c r="AA23" s="648">
        <v>118245.775082318</v>
      </c>
      <c r="AB23" s="648">
        <v>118910.25388297399</v>
      </c>
      <c r="AC23" s="648">
        <v>119576.017052967</v>
      </c>
      <c r="AD23" s="648">
        <v>120243.71452194201</v>
      </c>
      <c r="AE23" s="648">
        <v>120913.141771453</v>
      </c>
      <c r="AF23" s="648">
        <v>121584.343169367</v>
      </c>
      <c r="AG23" s="505">
        <f t="shared" si="1"/>
        <v>117596.64503087947</v>
      </c>
    </row>
    <row r="24" spans="1:33">
      <c r="A24" s="506" t="s">
        <v>1924</v>
      </c>
      <c r="B24" s="648">
        <v>25628.16531</v>
      </c>
      <c r="C24" s="648">
        <v>27208.039349999999</v>
      </c>
      <c r="D24" s="648">
        <v>26859.823969999899</v>
      </c>
      <c r="E24" s="648">
        <v>28459.931639999999</v>
      </c>
      <c r="F24" s="648">
        <v>29029.985919999999</v>
      </c>
      <c r="G24" s="648">
        <v>29320.734659999998</v>
      </c>
      <c r="H24" s="648">
        <v>27618.248960000001</v>
      </c>
      <c r="I24" s="648">
        <v>26413.968789999999</v>
      </c>
      <c r="J24" s="648">
        <v>6017.6274100000001</v>
      </c>
      <c r="K24" s="648">
        <v>6558.9882600000001</v>
      </c>
      <c r="L24" s="648">
        <v>8120.8339500000002</v>
      </c>
      <c r="M24" s="648">
        <v>1903.9764299999899</v>
      </c>
      <c r="N24" s="648">
        <v>2381.7084599999998</v>
      </c>
      <c r="O24" s="648">
        <v>1879.62084999999</v>
      </c>
      <c r="P24" s="129">
        <f t="shared" si="0"/>
        <v>17059.499126923063</v>
      </c>
      <c r="Q24" s="648">
        <v>2501.7302999999902</v>
      </c>
      <c r="R24" s="648">
        <v>3619.2045899999898</v>
      </c>
      <c r="S24" s="648">
        <v>4457.8448099999896</v>
      </c>
      <c r="T24" s="648">
        <v>3524.32952999999</v>
      </c>
      <c r="U24" s="648">
        <v>4731.1322499999897</v>
      </c>
      <c r="V24" s="648">
        <v>5575.0372499999903</v>
      </c>
      <c r="W24" s="648">
        <v>6580.6110599999902</v>
      </c>
      <c r="X24" s="648">
        <v>7477.7848399999903</v>
      </c>
      <c r="Y24" s="648">
        <v>7799.8528199999901</v>
      </c>
      <c r="Z24" s="648">
        <v>7556.5768799999896</v>
      </c>
      <c r="AA24" s="648">
        <v>8366.7321999999895</v>
      </c>
      <c r="AB24" s="648">
        <v>9409.7934599999899</v>
      </c>
      <c r="AC24" s="648">
        <v>11317.9479199999</v>
      </c>
      <c r="AD24" s="648">
        <v>12027.8718999999</v>
      </c>
      <c r="AE24" s="648">
        <v>13093.625259999901</v>
      </c>
      <c r="AF24" s="648">
        <v>13983.2347199999</v>
      </c>
      <c r="AG24" s="505">
        <f t="shared" si="1"/>
        <v>8572.6561607691947</v>
      </c>
    </row>
    <row r="25" spans="1:33" ht="15.75" thickBot="1">
      <c r="A25" s="506" t="s">
        <v>1925</v>
      </c>
      <c r="B25" s="650">
        <v>-524246.07968999998</v>
      </c>
      <c r="C25" s="650">
        <v>-525474.35655999999</v>
      </c>
      <c r="D25" s="650">
        <v>-526100.66414999997</v>
      </c>
      <c r="E25" s="650">
        <v>-527678.46438999998</v>
      </c>
      <c r="F25" s="650">
        <v>-529009.56558000005</v>
      </c>
      <c r="G25" s="650">
        <v>-529512.77587000001</v>
      </c>
      <c r="H25" s="650">
        <v>-528951.54015000002</v>
      </c>
      <c r="I25" s="650">
        <v>-528104.51934999996</v>
      </c>
      <c r="J25" s="650">
        <v>-494673.97959771001</v>
      </c>
      <c r="K25" s="650">
        <v>-495123.466046174</v>
      </c>
      <c r="L25" s="650">
        <v>-496851.99281708099</v>
      </c>
      <c r="M25" s="650">
        <v>-491707.59227993601</v>
      </c>
      <c r="N25" s="650">
        <v>-492614.682888738</v>
      </c>
      <c r="O25" s="650">
        <v>-492446.45758951199</v>
      </c>
      <c r="P25" s="129">
        <f t="shared" si="0"/>
        <v>-512173.08132839616</v>
      </c>
      <c r="Q25" s="650">
        <v>-492918.56763711298</v>
      </c>
      <c r="R25" s="650">
        <v>-494465.390721003</v>
      </c>
      <c r="S25" s="650">
        <v>-496090.160271767</v>
      </c>
      <c r="T25" s="650">
        <v>-495440.29146423202</v>
      </c>
      <c r="U25" s="650">
        <v>-498276.78853403399</v>
      </c>
      <c r="V25" s="650">
        <v>-500895.80104480701</v>
      </c>
      <c r="W25" s="650">
        <v>-503575.19070460001</v>
      </c>
      <c r="X25" s="650">
        <v>-506185.808814316</v>
      </c>
      <c r="Y25" s="650">
        <v>-508747.66466862097</v>
      </c>
      <c r="Z25" s="650">
        <v>-510754.09011529299</v>
      </c>
      <c r="AA25" s="650">
        <v>-513761.78891230701</v>
      </c>
      <c r="AB25" s="650">
        <v>-516763.53422376298</v>
      </c>
      <c r="AC25" s="650">
        <v>-519629.20518432901</v>
      </c>
      <c r="AD25" s="650">
        <v>-521869.78227067098</v>
      </c>
      <c r="AE25" s="650">
        <v>-524579.57503799</v>
      </c>
      <c r="AF25" s="650">
        <v>-527350.38064477395</v>
      </c>
      <c r="AG25" s="505">
        <f t="shared" si="1"/>
        <v>-511371.53089382593</v>
      </c>
    </row>
    <row r="26" spans="1:33">
      <c r="A26" s="506" t="s">
        <v>1926</v>
      </c>
      <c r="B26" s="648">
        <v>-2871164.1864999998</v>
      </c>
      <c r="C26" s="648">
        <v>-2887676.6520699998</v>
      </c>
      <c r="D26" s="648">
        <v>-2908490.5681799999</v>
      </c>
      <c r="E26" s="648">
        <v>-2925527.1930899899</v>
      </c>
      <c r="F26" s="648">
        <v>-2938123.4487999999</v>
      </c>
      <c r="G26" s="648">
        <v>-2950992.3508299999</v>
      </c>
      <c r="H26" s="648">
        <v>-2964992.4130000002</v>
      </c>
      <c r="I26" s="648">
        <v>-2980088.65441</v>
      </c>
      <c r="J26" s="648">
        <v>-2987361.6786565399</v>
      </c>
      <c r="K26" s="648">
        <v>-3006341.8902143599</v>
      </c>
      <c r="L26" s="648">
        <v>-3026234.6852042801</v>
      </c>
      <c r="M26" s="648">
        <v>-3043922.2105092201</v>
      </c>
      <c r="N26" s="648">
        <v>-3064934.8570754798</v>
      </c>
      <c r="O26" s="648">
        <v>-3083012.4941174099</v>
      </c>
      <c r="P26" s="129">
        <f t="shared" si="0"/>
        <v>-2982130.6997044063</v>
      </c>
      <c r="Q26" s="648">
        <v>-3100168.85131456</v>
      </c>
      <c r="R26" s="648">
        <v>-3120140.8635597802</v>
      </c>
      <c r="S26" s="648">
        <v>-3136343.0939857098</v>
      </c>
      <c r="T26" s="648">
        <v>-3155143.94920367</v>
      </c>
      <c r="U26" s="648">
        <v>-3178282.5595018701</v>
      </c>
      <c r="V26" s="648">
        <v>-3201611.1097476399</v>
      </c>
      <c r="W26" s="648">
        <v>-3227914.3932596599</v>
      </c>
      <c r="X26" s="648">
        <v>-3254675.7681718199</v>
      </c>
      <c r="Y26" s="648">
        <v>-3280887.9120762702</v>
      </c>
      <c r="Z26" s="648">
        <v>-3305071.4678626801</v>
      </c>
      <c r="AA26" s="648">
        <v>-3331372.4907221701</v>
      </c>
      <c r="AB26" s="648">
        <v>-3352794.6559633398</v>
      </c>
      <c r="AC26" s="648">
        <v>-3375716.61583712</v>
      </c>
      <c r="AD26" s="648">
        <v>-3398349.3481137599</v>
      </c>
      <c r="AE26" s="648">
        <v>-3418227.3905354198</v>
      </c>
      <c r="AF26" s="648">
        <v>-3440758.5890014898</v>
      </c>
      <c r="AG26" s="505">
        <f t="shared" si="1"/>
        <v>-3301600.4807689935</v>
      </c>
    </row>
    <row r="27" spans="1:33">
      <c r="B27" s="649"/>
      <c r="C27" s="649"/>
      <c r="D27" s="649"/>
      <c r="E27" s="649"/>
      <c r="F27" s="649"/>
      <c r="G27" s="649"/>
      <c r="H27" s="649"/>
      <c r="I27" s="649"/>
      <c r="J27" s="649"/>
      <c r="K27" s="649"/>
      <c r="L27" s="649"/>
      <c r="M27" s="649"/>
      <c r="N27" s="649"/>
      <c r="O27" s="649"/>
      <c r="P27" s="129">
        <f t="shared" si="0"/>
        <v>0</v>
      </c>
      <c r="Q27" s="649"/>
      <c r="R27" s="649"/>
      <c r="S27" s="649"/>
      <c r="T27" s="649"/>
      <c r="U27" s="649"/>
      <c r="V27" s="649"/>
      <c r="W27" s="649"/>
      <c r="X27" s="649"/>
      <c r="Y27" s="649"/>
      <c r="Z27" s="649"/>
      <c r="AA27" s="649"/>
      <c r="AB27" s="649"/>
      <c r="AC27" s="649"/>
      <c r="AD27" s="649"/>
      <c r="AE27" s="649"/>
      <c r="AF27" s="649"/>
      <c r="AG27" s="505">
        <f t="shared" si="1"/>
        <v>0</v>
      </c>
    </row>
    <row r="28" spans="1:33" ht="15.75" thickBot="1">
      <c r="A28" s="503" t="s">
        <v>1927</v>
      </c>
      <c r="B28" s="651">
        <v>6227311.8053799896</v>
      </c>
      <c r="C28" s="651">
        <v>6230153.2502899896</v>
      </c>
      <c r="D28" s="651">
        <v>6238338.5871799998</v>
      </c>
      <c r="E28" s="651">
        <v>6244761.9099000003</v>
      </c>
      <c r="F28" s="651">
        <v>6250059.0370100001</v>
      </c>
      <c r="G28" s="651">
        <v>6257307.8169900002</v>
      </c>
      <c r="H28" s="651">
        <v>6258327.4174999902</v>
      </c>
      <c r="I28" s="651">
        <v>6255333.6936999904</v>
      </c>
      <c r="J28" s="651">
        <v>6274220.0363434404</v>
      </c>
      <c r="K28" s="651">
        <v>6294369.2208956303</v>
      </c>
      <c r="L28" s="651">
        <v>6318628.5837157099</v>
      </c>
      <c r="M28" s="651">
        <v>6333265.1431707703</v>
      </c>
      <c r="N28" s="651">
        <v>6334659.30144451</v>
      </c>
      <c r="O28" s="651">
        <v>6340046.6596925799</v>
      </c>
      <c r="P28" s="129">
        <f t="shared" si="0"/>
        <v>6279190.0506025096</v>
      </c>
      <c r="Q28" s="651">
        <v>6353641.1975654298</v>
      </c>
      <c r="R28" s="651">
        <v>6383008.4367302097</v>
      </c>
      <c r="S28" s="651">
        <v>6403830.5348342797</v>
      </c>
      <c r="T28" s="651">
        <v>6425593.5789763201</v>
      </c>
      <c r="U28" s="651">
        <v>6434899.6336381203</v>
      </c>
      <c r="V28" s="651">
        <v>6447863.4654323496</v>
      </c>
      <c r="W28" s="651">
        <v>6465047.8839803301</v>
      </c>
      <c r="X28" s="651">
        <v>6499666.7947281701</v>
      </c>
      <c r="Y28" s="651">
        <v>6517966.1605537198</v>
      </c>
      <c r="Z28" s="651">
        <v>6538969.9891373096</v>
      </c>
      <c r="AA28" s="651">
        <v>6551797.7759178197</v>
      </c>
      <c r="AB28" s="651">
        <v>6571434.3206366496</v>
      </c>
      <c r="AC28" s="651">
        <v>6595984.4843528699</v>
      </c>
      <c r="AD28" s="651">
        <v>6621040.9158162298</v>
      </c>
      <c r="AE28" s="651">
        <v>6641184.7208645698</v>
      </c>
      <c r="AF28" s="651">
        <v>6658406.8638185002</v>
      </c>
      <c r="AG28" s="505">
        <f t="shared" si="1"/>
        <v>6536142.8144502277</v>
      </c>
    </row>
    <row r="29" spans="1:33">
      <c r="P29" s="129">
        <f t="shared" si="0"/>
        <v>0</v>
      </c>
      <c r="AG29" s="505">
        <f t="shared" si="1"/>
        <v>0</v>
      </c>
    </row>
    <row r="30" spans="1:33">
      <c r="A30" s="503" t="s">
        <v>1928</v>
      </c>
      <c r="B30" s="649"/>
      <c r="C30" s="649"/>
      <c r="D30" s="649"/>
      <c r="E30" s="649"/>
      <c r="F30" s="649"/>
      <c r="G30" s="649"/>
      <c r="H30" s="649"/>
      <c r="I30" s="649"/>
      <c r="J30" s="649"/>
      <c r="K30" s="649"/>
      <c r="L30" s="649"/>
      <c r="M30" s="649"/>
      <c r="N30" s="649"/>
      <c r="O30" s="649"/>
      <c r="P30" s="129">
        <f t="shared" si="0"/>
        <v>0</v>
      </c>
      <c r="Q30" s="649"/>
      <c r="R30" s="649"/>
      <c r="S30" s="649"/>
      <c r="T30" s="649"/>
      <c r="U30" s="649"/>
      <c r="V30" s="649"/>
      <c r="W30" s="649"/>
      <c r="X30" s="649"/>
      <c r="Y30" s="649"/>
      <c r="Z30" s="649"/>
      <c r="AA30" s="649"/>
      <c r="AB30" s="649"/>
      <c r="AC30" s="649"/>
      <c r="AD30" s="649"/>
      <c r="AE30" s="649"/>
      <c r="AF30" s="649"/>
      <c r="AG30" s="505">
        <f t="shared" si="1"/>
        <v>0</v>
      </c>
    </row>
    <row r="31" spans="1:33">
      <c r="A31" s="506" t="s">
        <v>1929</v>
      </c>
      <c r="B31" s="649"/>
      <c r="C31" s="649"/>
      <c r="D31" s="649"/>
      <c r="E31" s="649"/>
      <c r="F31" s="649"/>
      <c r="G31" s="649"/>
      <c r="H31" s="649"/>
      <c r="I31" s="649"/>
      <c r="J31" s="649"/>
      <c r="K31" s="649"/>
      <c r="L31" s="649"/>
      <c r="M31" s="649"/>
      <c r="N31" s="649"/>
      <c r="O31" s="649"/>
      <c r="P31" s="129">
        <f t="shared" si="0"/>
        <v>0</v>
      </c>
      <c r="Q31" s="649"/>
      <c r="R31" s="649"/>
      <c r="S31" s="649"/>
      <c r="T31" s="649"/>
      <c r="U31" s="649"/>
      <c r="V31" s="649"/>
      <c r="W31" s="649"/>
      <c r="X31" s="649"/>
      <c r="Y31" s="649"/>
      <c r="Z31" s="649"/>
      <c r="AA31" s="649"/>
      <c r="AB31" s="649"/>
      <c r="AC31" s="649"/>
      <c r="AD31" s="649"/>
      <c r="AE31" s="649"/>
      <c r="AF31" s="649"/>
      <c r="AG31" s="505">
        <f t="shared" si="1"/>
        <v>0</v>
      </c>
    </row>
    <row r="32" spans="1:33">
      <c r="A32" s="506" t="s">
        <v>1930</v>
      </c>
      <c r="B32" s="648">
        <v>250</v>
      </c>
      <c r="C32" s="648">
        <v>250</v>
      </c>
      <c r="D32" s="648">
        <v>250</v>
      </c>
      <c r="E32" s="648">
        <v>250</v>
      </c>
      <c r="F32" s="648">
        <v>250</v>
      </c>
      <c r="G32" s="648">
        <v>250</v>
      </c>
      <c r="H32" s="648">
        <v>250</v>
      </c>
      <c r="I32" s="648">
        <v>250</v>
      </c>
      <c r="J32" s="648">
        <v>250</v>
      </c>
      <c r="K32" s="648">
        <v>250</v>
      </c>
      <c r="L32" s="648">
        <v>250</v>
      </c>
      <c r="M32" s="648">
        <v>250</v>
      </c>
      <c r="N32" s="648">
        <v>250</v>
      </c>
      <c r="O32" s="648">
        <v>250</v>
      </c>
      <c r="P32" s="129">
        <f t="shared" si="0"/>
        <v>250</v>
      </c>
      <c r="Q32" s="648">
        <v>250</v>
      </c>
      <c r="R32" s="648">
        <v>250</v>
      </c>
      <c r="S32" s="648">
        <v>250</v>
      </c>
      <c r="T32" s="648">
        <v>250</v>
      </c>
      <c r="U32" s="648">
        <v>250</v>
      </c>
      <c r="V32" s="648">
        <v>250</v>
      </c>
      <c r="W32" s="648">
        <v>250</v>
      </c>
      <c r="X32" s="648">
        <v>250</v>
      </c>
      <c r="Y32" s="648">
        <v>250</v>
      </c>
      <c r="Z32" s="648">
        <v>250</v>
      </c>
      <c r="AA32" s="648">
        <v>250</v>
      </c>
      <c r="AB32" s="648">
        <v>250</v>
      </c>
      <c r="AC32" s="648">
        <v>250</v>
      </c>
      <c r="AD32" s="648">
        <v>250</v>
      </c>
      <c r="AE32" s="648">
        <v>250</v>
      </c>
      <c r="AF32" s="648">
        <v>250</v>
      </c>
      <c r="AG32" s="505">
        <f t="shared" si="1"/>
        <v>250</v>
      </c>
    </row>
    <row r="33" spans="1:33">
      <c r="A33" s="506" t="s">
        <v>1931</v>
      </c>
      <c r="B33" s="648">
        <v>250</v>
      </c>
      <c r="C33" s="648">
        <v>250</v>
      </c>
      <c r="D33" s="648">
        <v>250</v>
      </c>
      <c r="E33" s="648">
        <v>250</v>
      </c>
      <c r="F33" s="648">
        <v>250</v>
      </c>
      <c r="G33" s="648">
        <v>250</v>
      </c>
      <c r="H33" s="648">
        <v>250</v>
      </c>
      <c r="I33" s="648">
        <v>250</v>
      </c>
      <c r="J33" s="648">
        <v>250</v>
      </c>
      <c r="K33" s="648">
        <v>250</v>
      </c>
      <c r="L33" s="648">
        <v>250</v>
      </c>
      <c r="M33" s="648">
        <v>250</v>
      </c>
      <c r="N33" s="648">
        <v>250</v>
      </c>
      <c r="O33" s="648">
        <v>250</v>
      </c>
      <c r="P33" s="129">
        <f t="shared" si="0"/>
        <v>250</v>
      </c>
      <c r="Q33" s="648">
        <v>250</v>
      </c>
      <c r="R33" s="648">
        <v>250</v>
      </c>
      <c r="S33" s="648">
        <v>250</v>
      </c>
      <c r="T33" s="648">
        <v>250</v>
      </c>
      <c r="U33" s="648">
        <v>250</v>
      </c>
      <c r="V33" s="648">
        <v>250</v>
      </c>
      <c r="W33" s="648">
        <v>250</v>
      </c>
      <c r="X33" s="648">
        <v>250</v>
      </c>
      <c r="Y33" s="648">
        <v>250</v>
      </c>
      <c r="Z33" s="648">
        <v>250</v>
      </c>
      <c r="AA33" s="648">
        <v>250</v>
      </c>
      <c r="AB33" s="648">
        <v>250</v>
      </c>
      <c r="AC33" s="648">
        <v>250</v>
      </c>
      <c r="AD33" s="648">
        <v>250</v>
      </c>
      <c r="AE33" s="648">
        <v>250</v>
      </c>
      <c r="AF33" s="648">
        <v>250</v>
      </c>
      <c r="AG33" s="505">
        <f t="shared" si="1"/>
        <v>250</v>
      </c>
    </row>
    <row r="34" spans="1:33">
      <c r="B34" s="649"/>
      <c r="C34" s="649"/>
      <c r="D34" s="649"/>
      <c r="E34" s="649"/>
      <c r="F34" s="649"/>
      <c r="G34" s="649"/>
      <c r="H34" s="649"/>
      <c r="I34" s="649"/>
      <c r="J34" s="649"/>
      <c r="K34" s="649"/>
      <c r="L34" s="649"/>
      <c r="M34" s="649"/>
      <c r="N34" s="649"/>
      <c r="O34" s="649"/>
      <c r="P34" s="129">
        <f t="shared" si="0"/>
        <v>0</v>
      </c>
      <c r="Q34" s="649"/>
      <c r="R34" s="649"/>
      <c r="S34" s="649"/>
      <c r="T34" s="649"/>
      <c r="U34" s="649"/>
      <c r="V34" s="649"/>
      <c r="W34" s="649"/>
      <c r="X34" s="649"/>
      <c r="Y34" s="649"/>
      <c r="Z34" s="649"/>
      <c r="AA34" s="649"/>
      <c r="AB34" s="649"/>
      <c r="AC34" s="649"/>
      <c r="AD34" s="649"/>
      <c r="AE34" s="649"/>
      <c r="AF34" s="649"/>
      <c r="AG34" s="505">
        <f t="shared" si="1"/>
        <v>0</v>
      </c>
    </row>
    <row r="35" spans="1:33">
      <c r="A35" s="506" t="s">
        <v>1932</v>
      </c>
      <c r="B35" s="649"/>
      <c r="C35" s="649"/>
      <c r="D35" s="649"/>
      <c r="E35" s="649"/>
      <c r="F35" s="649"/>
      <c r="G35" s="649"/>
      <c r="H35" s="649"/>
      <c r="I35" s="649"/>
      <c r="J35" s="649"/>
      <c r="K35" s="649"/>
      <c r="L35" s="649"/>
      <c r="M35" s="649"/>
      <c r="N35" s="649"/>
      <c r="O35" s="649"/>
      <c r="P35" s="129">
        <f t="shared" si="0"/>
        <v>0</v>
      </c>
      <c r="Q35" s="649"/>
      <c r="R35" s="649"/>
      <c r="S35" s="649"/>
      <c r="T35" s="649"/>
      <c r="U35" s="649"/>
      <c r="V35" s="649"/>
      <c r="W35" s="649"/>
      <c r="X35" s="649"/>
      <c r="Y35" s="649"/>
      <c r="Z35" s="649"/>
      <c r="AA35" s="649"/>
      <c r="AB35" s="649"/>
      <c r="AC35" s="649"/>
      <c r="AD35" s="649"/>
      <c r="AE35" s="649"/>
      <c r="AF35" s="649"/>
      <c r="AG35" s="505">
        <f t="shared" si="1"/>
        <v>0</v>
      </c>
    </row>
    <row r="36" spans="1:33">
      <c r="A36" s="506" t="s">
        <v>1933</v>
      </c>
      <c r="B36" s="648">
        <v>971.31309999999996</v>
      </c>
      <c r="C36" s="648">
        <v>971.31309999999996</v>
      </c>
      <c r="D36" s="648">
        <v>971.31309999999996</v>
      </c>
      <c r="E36" s="648">
        <v>971.31309999999996</v>
      </c>
      <c r="F36" s="648">
        <v>971.31309999999996</v>
      </c>
      <c r="G36" s="648">
        <v>971.31309999999996</v>
      </c>
      <c r="H36" s="648">
        <v>971.31309999999996</v>
      </c>
      <c r="I36" s="648">
        <v>971.31309999999996</v>
      </c>
      <c r="J36" s="648">
        <v>971.31309999999996</v>
      </c>
      <c r="K36" s="648">
        <v>971.31309999999996</v>
      </c>
      <c r="L36" s="648">
        <v>971.31309999999996</v>
      </c>
      <c r="M36" s="648">
        <v>971.31309999999996</v>
      </c>
      <c r="N36" s="648">
        <v>971.31309999999996</v>
      </c>
      <c r="O36" s="648">
        <v>971.31309999999996</v>
      </c>
      <c r="P36" s="129">
        <f t="shared" si="0"/>
        <v>971.31309999999985</v>
      </c>
      <c r="Q36" s="648">
        <v>971.31309999999996</v>
      </c>
      <c r="R36" s="648">
        <v>971.31309999999996</v>
      </c>
      <c r="S36" s="648">
        <v>971.31309999999996</v>
      </c>
      <c r="T36" s="648">
        <v>971.31309999999996</v>
      </c>
      <c r="U36" s="648">
        <v>971.31309999999996</v>
      </c>
      <c r="V36" s="648">
        <v>971.31309999999996</v>
      </c>
      <c r="W36" s="648">
        <v>971.31309999999996</v>
      </c>
      <c r="X36" s="648">
        <v>971.31309999999996</v>
      </c>
      <c r="Y36" s="648">
        <v>971.31309999999996</v>
      </c>
      <c r="Z36" s="648">
        <v>971.31309999999996</v>
      </c>
      <c r="AA36" s="648">
        <v>971.31309999999996</v>
      </c>
      <c r="AB36" s="648">
        <v>971.31309999999996</v>
      </c>
      <c r="AC36" s="648">
        <v>971.31309999999996</v>
      </c>
      <c r="AD36" s="648">
        <v>971.31309999999996</v>
      </c>
      <c r="AE36" s="648">
        <v>971.31309999999996</v>
      </c>
      <c r="AF36" s="648">
        <v>971.31309999999996</v>
      </c>
      <c r="AG36" s="505">
        <f t="shared" si="1"/>
        <v>971.31309999999985</v>
      </c>
    </row>
    <row r="37" spans="1:33">
      <c r="A37" s="506" t="s">
        <v>1934</v>
      </c>
      <c r="B37" s="648">
        <v>971.31309999999996</v>
      </c>
      <c r="C37" s="648">
        <v>971.31309999999996</v>
      </c>
      <c r="D37" s="648">
        <v>971.31309999999996</v>
      </c>
      <c r="E37" s="648">
        <v>971.31309999999996</v>
      </c>
      <c r="F37" s="648">
        <v>971.31309999999996</v>
      </c>
      <c r="G37" s="648">
        <v>971.31309999999996</v>
      </c>
      <c r="H37" s="648">
        <v>971.31309999999996</v>
      </c>
      <c r="I37" s="648">
        <v>971.31309999999996</v>
      </c>
      <c r="J37" s="648">
        <v>971.31309999999996</v>
      </c>
      <c r="K37" s="648">
        <v>971.31309999999996</v>
      </c>
      <c r="L37" s="648">
        <v>971.31309999999996</v>
      </c>
      <c r="M37" s="648">
        <v>971.31309999999996</v>
      </c>
      <c r="N37" s="648">
        <v>971.31309999999996</v>
      </c>
      <c r="O37" s="648">
        <v>971.31309999999996</v>
      </c>
      <c r="P37" s="129">
        <f t="shared" si="0"/>
        <v>971.31309999999985</v>
      </c>
      <c r="Q37" s="648">
        <v>971.31309999999996</v>
      </c>
      <c r="R37" s="648">
        <v>971.31309999999996</v>
      </c>
      <c r="S37" s="648">
        <v>971.31309999999996</v>
      </c>
      <c r="T37" s="648">
        <v>971.31309999999996</v>
      </c>
      <c r="U37" s="648">
        <v>971.31309999999996</v>
      </c>
      <c r="V37" s="648">
        <v>971.31309999999996</v>
      </c>
      <c r="W37" s="648">
        <v>971.31309999999996</v>
      </c>
      <c r="X37" s="648">
        <v>971.31309999999996</v>
      </c>
      <c r="Y37" s="648">
        <v>971.31309999999996</v>
      </c>
      <c r="Z37" s="648">
        <v>971.31309999999996</v>
      </c>
      <c r="AA37" s="648">
        <v>971.31309999999996</v>
      </c>
      <c r="AB37" s="648">
        <v>971.31309999999996</v>
      </c>
      <c r="AC37" s="648">
        <v>971.31309999999996</v>
      </c>
      <c r="AD37" s="648">
        <v>971.31309999999996</v>
      </c>
      <c r="AE37" s="648">
        <v>971.31309999999996</v>
      </c>
      <c r="AF37" s="648">
        <v>971.31309999999996</v>
      </c>
      <c r="AG37" s="505">
        <f t="shared" si="1"/>
        <v>971.31309999999985</v>
      </c>
    </row>
    <row r="38" spans="1:33">
      <c r="B38" s="649"/>
      <c r="C38" s="649"/>
      <c r="D38" s="649"/>
      <c r="E38" s="649"/>
      <c r="F38" s="649"/>
      <c r="G38" s="649"/>
      <c r="H38" s="649"/>
      <c r="I38" s="649"/>
      <c r="J38" s="649"/>
      <c r="K38" s="649"/>
      <c r="L38" s="649"/>
      <c r="M38" s="649"/>
      <c r="N38" s="649"/>
      <c r="O38" s="649"/>
      <c r="P38" s="129">
        <f t="shared" si="0"/>
        <v>0</v>
      </c>
      <c r="Q38" s="649"/>
      <c r="R38" s="649"/>
      <c r="S38" s="649"/>
      <c r="T38" s="649"/>
      <c r="U38" s="649"/>
      <c r="V38" s="649"/>
      <c r="W38" s="649"/>
      <c r="X38" s="649"/>
      <c r="Y38" s="649"/>
      <c r="Z38" s="649"/>
      <c r="AA38" s="649"/>
      <c r="AB38" s="649"/>
      <c r="AC38" s="649"/>
      <c r="AD38" s="649"/>
      <c r="AE38" s="649"/>
      <c r="AF38" s="649"/>
      <c r="AG38" s="505">
        <f t="shared" si="1"/>
        <v>0</v>
      </c>
    </row>
    <row r="39" spans="1:33">
      <c r="A39" s="506" t="s">
        <v>1935</v>
      </c>
      <c r="B39" s="649"/>
      <c r="C39" s="649"/>
      <c r="D39" s="649"/>
      <c r="E39" s="649"/>
      <c r="F39" s="649"/>
      <c r="G39" s="649"/>
      <c r="H39" s="649"/>
      <c r="I39" s="649"/>
      <c r="J39" s="649"/>
      <c r="K39" s="649"/>
      <c r="L39" s="649"/>
      <c r="M39" s="649"/>
      <c r="N39" s="649"/>
      <c r="O39" s="649"/>
      <c r="P39" s="129">
        <f t="shared" si="0"/>
        <v>0</v>
      </c>
      <c r="Q39" s="649"/>
      <c r="R39" s="649"/>
      <c r="S39" s="649"/>
      <c r="T39" s="649"/>
      <c r="U39" s="649"/>
      <c r="V39" s="649"/>
      <c r="W39" s="649"/>
      <c r="X39" s="649"/>
      <c r="Y39" s="649"/>
      <c r="Z39" s="649"/>
      <c r="AA39" s="649"/>
      <c r="AB39" s="649"/>
      <c r="AC39" s="649"/>
      <c r="AD39" s="649"/>
      <c r="AE39" s="649"/>
      <c r="AF39" s="649"/>
      <c r="AG39" s="505">
        <f t="shared" si="1"/>
        <v>0</v>
      </c>
    </row>
    <row r="40" spans="1:33">
      <c r="B40" s="649"/>
      <c r="C40" s="649"/>
      <c r="D40" s="649"/>
      <c r="E40" s="649"/>
      <c r="F40" s="649"/>
      <c r="G40" s="649"/>
      <c r="H40" s="649"/>
      <c r="I40" s="649"/>
      <c r="J40" s="649"/>
      <c r="K40" s="649"/>
      <c r="L40" s="649"/>
      <c r="M40" s="649"/>
      <c r="N40" s="649"/>
      <c r="O40" s="649"/>
      <c r="P40" s="129">
        <f t="shared" si="0"/>
        <v>0</v>
      </c>
      <c r="Q40" s="649"/>
      <c r="R40" s="649"/>
      <c r="S40" s="649"/>
      <c r="T40" s="649"/>
      <c r="U40" s="649"/>
      <c r="V40" s="649"/>
      <c r="W40" s="649"/>
      <c r="X40" s="649"/>
      <c r="Y40" s="649"/>
      <c r="Z40" s="649"/>
      <c r="AA40" s="649"/>
      <c r="AB40" s="649"/>
      <c r="AC40" s="649"/>
      <c r="AD40" s="649"/>
      <c r="AE40" s="649"/>
      <c r="AF40" s="649"/>
      <c r="AG40" s="505">
        <f t="shared" si="1"/>
        <v>0</v>
      </c>
    </row>
    <row r="41" spans="1:33" ht="15.75" thickBot="1">
      <c r="A41" s="503" t="s">
        <v>1936</v>
      </c>
      <c r="B41" s="651">
        <v>1221.3130999999901</v>
      </c>
      <c r="C41" s="651">
        <v>1221.3130999999901</v>
      </c>
      <c r="D41" s="651">
        <v>1221.3130999999901</v>
      </c>
      <c r="E41" s="651">
        <v>1221.3130999999901</v>
      </c>
      <c r="F41" s="651">
        <v>1221.3130999999901</v>
      </c>
      <c r="G41" s="651">
        <v>1221.3130999999901</v>
      </c>
      <c r="H41" s="651">
        <v>1221.3130999999901</v>
      </c>
      <c r="I41" s="651">
        <v>1221.3130999999901</v>
      </c>
      <c r="J41" s="651">
        <v>1221.3130999999901</v>
      </c>
      <c r="K41" s="651">
        <v>1221.3130999999901</v>
      </c>
      <c r="L41" s="651">
        <v>1221.3130999999901</v>
      </c>
      <c r="M41" s="651">
        <v>1221.3130999999901</v>
      </c>
      <c r="N41" s="651">
        <v>1221.3130999999901</v>
      </c>
      <c r="O41" s="651">
        <v>1221.3130999999901</v>
      </c>
      <c r="P41" s="129">
        <f t="shared" si="0"/>
        <v>1221.3130999999901</v>
      </c>
      <c r="Q41" s="651">
        <v>1221.3130999999901</v>
      </c>
      <c r="R41" s="651">
        <v>1221.3130999999901</v>
      </c>
      <c r="S41" s="651">
        <v>1221.3130999999901</v>
      </c>
      <c r="T41" s="651">
        <v>1221.3130999999901</v>
      </c>
      <c r="U41" s="651">
        <v>1221.3130999999901</v>
      </c>
      <c r="V41" s="651">
        <v>1221.3130999999901</v>
      </c>
      <c r="W41" s="651">
        <v>1221.3130999999901</v>
      </c>
      <c r="X41" s="651">
        <v>1221.3130999999901</v>
      </c>
      <c r="Y41" s="651">
        <v>1221.3130999999901</v>
      </c>
      <c r="Z41" s="651">
        <v>1221.3130999999901</v>
      </c>
      <c r="AA41" s="651">
        <v>1221.3130999999901</v>
      </c>
      <c r="AB41" s="651">
        <v>1221.3130999999901</v>
      </c>
      <c r="AC41" s="651">
        <v>1221.3130999999901</v>
      </c>
      <c r="AD41" s="651">
        <v>1221.3130999999901</v>
      </c>
      <c r="AE41" s="651">
        <v>1221.3130999999901</v>
      </c>
      <c r="AF41" s="651">
        <v>1221.3130999999901</v>
      </c>
      <c r="AG41" s="505">
        <f t="shared" si="1"/>
        <v>1221.3130999999901</v>
      </c>
    </row>
    <row r="42" spans="1:33">
      <c r="P42" s="129">
        <f t="shared" si="0"/>
        <v>0</v>
      </c>
      <c r="AG42" s="505">
        <f t="shared" si="1"/>
        <v>0</v>
      </c>
    </row>
    <row r="43" spans="1:33">
      <c r="A43" s="503" t="s">
        <v>1490</v>
      </c>
      <c r="B43" s="649"/>
      <c r="C43" s="649"/>
      <c r="D43" s="649"/>
      <c r="E43" s="649"/>
      <c r="F43" s="649"/>
      <c r="G43" s="649"/>
      <c r="H43" s="649"/>
      <c r="I43" s="649"/>
      <c r="J43" s="649"/>
      <c r="K43" s="649"/>
      <c r="L43" s="649"/>
      <c r="M43" s="649"/>
      <c r="N43" s="649"/>
      <c r="O43" s="649"/>
      <c r="P43" s="129">
        <f t="shared" si="0"/>
        <v>0</v>
      </c>
      <c r="Q43" s="649"/>
      <c r="R43" s="649"/>
      <c r="S43" s="649"/>
      <c r="T43" s="649"/>
      <c r="U43" s="649"/>
      <c r="V43" s="649"/>
      <c r="W43" s="649"/>
      <c r="X43" s="649"/>
      <c r="Y43" s="649"/>
      <c r="Z43" s="649"/>
      <c r="AA43" s="649"/>
      <c r="AB43" s="649"/>
      <c r="AC43" s="649"/>
      <c r="AD43" s="649"/>
      <c r="AE43" s="649"/>
      <c r="AF43" s="649"/>
      <c r="AG43" s="505">
        <f t="shared" si="1"/>
        <v>0</v>
      </c>
    </row>
    <row r="44" spans="1:33">
      <c r="A44" s="506" t="s">
        <v>1937</v>
      </c>
      <c r="B44" s="649"/>
      <c r="C44" s="649"/>
      <c r="D44" s="649"/>
      <c r="E44" s="649"/>
      <c r="F44" s="649"/>
      <c r="G44" s="649"/>
      <c r="H44" s="649"/>
      <c r="I44" s="649"/>
      <c r="J44" s="649"/>
      <c r="K44" s="649"/>
      <c r="L44" s="649"/>
      <c r="M44" s="649"/>
      <c r="N44" s="649"/>
      <c r="O44" s="649"/>
      <c r="P44" s="129">
        <f t="shared" si="0"/>
        <v>0</v>
      </c>
      <c r="Q44" s="649"/>
      <c r="R44" s="649"/>
      <c r="S44" s="649"/>
      <c r="T44" s="649"/>
      <c r="U44" s="649"/>
      <c r="V44" s="649"/>
      <c r="W44" s="649"/>
      <c r="X44" s="649"/>
      <c r="Y44" s="649"/>
      <c r="Z44" s="649"/>
      <c r="AA44" s="649"/>
      <c r="AB44" s="649"/>
      <c r="AC44" s="649"/>
      <c r="AD44" s="649"/>
      <c r="AE44" s="649"/>
      <c r="AF44" s="649"/>
      <c r="AG44" s="505">
        <f t="shared" si="1"/>
        <v>0</v>
      </c>
    </row>
    <row r="45" spans="1:33">
      <c r="A45" s="506" t="s">
        <v>1938</v>
      </c>
      <c r="B45" s="648">
        <v>9705.1858100000009</v>
      </c>
      <c r="C45" s="648">
        <v>11015.86009</v>
      </c>
      <c r="D45" s="648">
        <v>8026.8333300000004</v>
      </c>
      <c r="E45" s="648">
        <v>5076.2208700000001</v>
      </c>
      <c r="F45" s="648">
        <v>7288.0898200000001</v>
      </c>
      <c r="G45" s="648">
        <v>5457.9688100000003</v>
      </c>
      <c r="H45" s="648">
        <v>10437.753839999999</v>
      </c>
      <c r="I45" s="648">
        <v>8650.6710899999998</v>
      </c>
      <c r="J45" s="648">
        <v>5000</v>
      </c>
      <c r="K45" s="648">
        <v>5000</v>
      </c>
      <c r="L45" s="648">
        <v>5000</v>
      </c>
      <c r="M45" s="648">
        <v>5000</v>
      </c>
      <c r="N45" s="648">
        <v>5000</v>
      </c>
      <c r="O45" s="648">
        <v>5000</v>
      </c>
      <c r="P45" s="129">
        <f t="shared" si="0"/>
        <v>6611.7998346153845</v>
      </c>
      <c r="Q45" s="648">
        <v>5000</v>
      </c>
      <c r="R45" s="648">
        <v>5000</v>
      </c>
      <c r="S45" s="648">
        <v>5000</v>
      </c>
      <c r="T45" s="648">
        <v>5000</v>
      </c>
      <c r="U45" s="648">
        <v>5000</v>
      </c>
      <c r="V45" s="648">
        <v>5000</v>
      </c>
      <c r="W45" s="648">
        <v>5000</v>
      </c>
      <c r="X45" s="648">
        <v>5000</v>
      </c>
      <c r="Y45" s="648">
        <v>5000</v>
      </c>
      <c r="Z45" s="648">
        <v>5000</v>
      </c>
      <c r="AA45" s="648">
        <v>5000</v>
      </c>
      <c r="AB45" s="648">
        <v>5000</v>
      </c>
      <c r="AC45" s="648">
        <v>5000</v>
      </c>
      <c r="AD45" s="648">
        <v>5000</v>
      </c>
      <c r="AE45" s="648">
        <v>5000</v>
      </c>
      <c r="AF45" s="648">
        <v>5000</v>
      </c>
      <c r="AG45" s="505">
        <f t="shared" si="1"/>
        <v>5000</v>
      </c>
    </row>
    <row r="46" spans="1:33">
      <c r="A46" s="506" t="s">
        <v>1942</v>
      </c>
      <c r="B46" s="648">
        <v>61.03</v>
      </c>
      <c r="C46" s="648">
        <v>61.03</v>
      </c>
      <c r="D46" s="648">
        <v>61.03</v>
      </c>
      <c r="E46" s="648">
        <v>61.03</v>
      </c>
      <c r="F46" s="648">
        <v>61.03</v>
      </c>
      <c r="G46" s="648">
        <v>61.03</v>
      </c>
      <c r="H46" s="648">
        <v>61.03</v>
      </c>
      <c r="I46" s="648">
        <v>61.03</v>
      </c>
      <c r="J46" s="648">
        <v>61.03</v>
      </c>
      <c r="K46" s="648">
        <v>61.03</v>
      </c>
      <c r="L46" s="648">
        <v>61.03</v>
      </c>
      <c r="M46" s="648">
        <v>61.03</v>
      </c>
      <c r="N46" s="648">
        <v>61.03</v>
      </c>
      <c r="O46" s="648">
        <v>61.03</v>
      </c>
      <c r="P46" s="129">
        <f t="shared" si="0"/>
        <v>61.02999999999998</v>
      </c>
      <c r="Q46" s="648">
        <v>61.03</v>
      </c>
      <c r="R46" s="648">
        <v>61.03</v>
      </c>
      <c r="S46" s="648">
        <v>61.03</v>
      </c>
      <c r="T46" s="648">
        <v>61.03</v>
      </c>
      <c r="U46" s="648">
        <v>61.03</v>
      </c>
      <c r="V46" s="648">
        <v>61.03</v>
      </c>
      <c r="W46" s="648">
        <v>61.03</v>
      </c>
      <c r="X46" s="648">
        <v>61.03</v>
      </c>
      <c r="Y46" s="648">
        <v>61.03</v>
      </c>
      <c r="Z46" s="648">
        <v>61.03</v>
      </c>
      <c r="AA46" s="648">
        <v>61.03</v>
      </c>
      <c r="AB46" s="648">
        <v>61.03</v>
      </c>
      <c r="AC46" s="648">
        <v>61.03</v>
      </c>
      <c r="AD46" s="648">
        <v>61.03</v>
      </c>
      <c r="AE46" s="648">
        <v>61.03</v>
      </c>
      <c r="AF46" s="648">
        <v>61.03</v>
      </c>
      <c r="AG46" s="505">
        <f t="shared" si="1"/>
        <v>61.02999999999998</v>
      </c>
    </row>
    <row r="47" spans="1:33">
      <c r="A47" s="506" t="s">
        <v>1937</v>
      </c>
      <c r="B47" s="648">
        <v>9766.2158099999997</v>
      </c>
      <c r="C47" s="648">
        <v>11076.890090000001</v>
      </c>
      <c r="D47" s="648">
        <v>8087.8633300000001</v>
      </c>
      <c r="E47" s="648">
        <v>5137.2508699999998</v>
      </c>
      <c r="F47" s="648">
        <v>7349.1198199999999</v>
      </c>
      <c r="G47" s="648">
        <v>5518.99881</v>
      </c>
      <c r="H47" s="648">
        <v>10498.78384</v>
      </c>
      <c r="I47" s="648">
        <v>8711.7010900000005</v>
      </c>
      <c r="J47" s="648">
        <v>5061.03</v>
      </c>
      <c r="K47" s="648">
        <v>5061.03</v>
      </c>
      <c r="L47" s="648">
        <v>5061.03</v>
      </c>
      <c r="M47" s="648">
        <v>5061.03</v>
      </c>
      <c r="N47" s="648">
        <v>5061.03</v>
      </c>
      <c r="O47" s="648">
        <v>5061.03</v>
      </c>
      <c r="P47" s="129">
        <f t="shared" si="0"/>
        <v>6672.8298346153842</v>
      </c>
      <c r="Q47" s="648">
        <v>5061.03</v>
      </c>
      <c r="R47" s="648">
        <v>5061.03</v>
      </c>
      <c r="S47" s="648">
        <v>5061.03</v>
      </c>
      <c r="T47" s="648">
        <v>5061.03</v>
      </c>
      <c r="U47" s="648">
        <v>5061.03</v>
      </c>
      <c r="V47" s="648">
        <v>5061.03</v>
      </c>
      <c r="W47" s="648">
        <v>5061.03</v>
      </c>
      <c r="X47" s="648">
        <v>5061.03</v>
      </c>
      <c r="Y47" s="648">
        <v>5061.03</v>
      </c>
      <c r="Z47" s="648">
        <v>5061.03</v>
      </c>
      <c r="AA47" s="648">
        <v>5061.03</v>
      </c>
      <c r="AB47" s="648">
        <v>5061.03</v>
      </c>
      <c r="AC47" s="648">
        <v>5061.03</v>
      </c>
      <c r="AD47" s="648">
        <v>5061.03</v>
      </c>
      <c r="AE47" s="648">
        <v>5061.03</v>
      </c>
      <c r="AF47" s="648">
        <v>5061.03</v>
      </c>
      <c r="AG47" s="505">
        <f t="shared" si="1"/>
        <v>5061.03</v>
      </c>
    </row>
    <row r="48" spans="1:33">
      <c r="B48" s="649"/>
      <c r="C48" s="649"/>
      <c r="D48" s="649"/>
      <c r="E48" s="649"/>
      <c r="F48" s="649"/>
      <c r="G48" s="649"/>
      <c r="H48" s="649"/>
      <c r="I48" s="649"/>
      <c r="J48" s="649"/>
      <c r="K48" s="649"/>
      <c r="L48" s="649"/>
      <c r="M48" s="649"/>
      <c r="N48" s="649"/>
      <c r="O48" s="649"/>
      <c r="P48" s="129">
        <f t="shared" si="0"/>
        <v>0</v>
      </c>
      <c r="Q48" s="649"/>
      <c r="R48" s="649"/>
      <c r="S48" s="649"/>
      <c r="T48" s="649"/>
      <c r="U48" s="649"/>
      <c r="V48" s="649"/>
      <c r="W48" s="649"/>
      <c r="X48" s="649"/>
      <c r="Y48" s="649"/>
      <c r="Z48" s="649"/>
      <c r="AA48" s="649"/>
      <c r="AB48" s="649"/>
      <c r="AC48" s="649"/>
      <c r="AD48" s="649"/>
      <c r="AE48" s="649"/>
      <c r="AF48" s="649"/>
      <c r="AG48" s="505">
        <f t="shared" si="1"/>
        <v>0</v>
      </c>
    </row>
    <row r="49" spans="1:33">
      <c r="A49" s="506" t="s">
        <v>1939</v>
      </c>
      <c r="B49" s="649"/>
      <c r="C49" s="649"/>
      <c r="D49" s="649"/>
      <c r="E49" s="649"/>
      <c r="F49" s="649"/>
      <c r="G49" s="649"/>
      <c r="H49" s="649"/>
      <c r="I49" s="649"/>
      <c r="J49" s="649"/>
      <c r="K49" s="649"/>
      <c r="L49" s="649"/>
      <c r="M49" s="649"/>
      <c r="N49" s="649"/>
      <c r="O49" s="649"/>
      <c r="P49" s="129">
        <f t="shared" si="0"/>
        <v>0</v>
      </c>
      <c r="Q49" s="649"/>
      <c r="R49" s="649"/>
      <c r="S49" s="649"/>
      <c r="T49" s="649"/>
      <c r="U49" s="649"/>
      <c r="V49" s="649"/>
      <c r="W49" s="649"/>
      <c r="X49" s="649"/>
      <c r="Y49" s="649"/>
      <c r="Z49" s="649"/>
      <c r="AA49" s="649"/>
      <c r="AB49" s="649"/>
      <c r="AC49" s="649"/>
      <c r="AD49" s="649"/>
      <c r="AE49" s="649"/>
      <c r="AF49" s="649"/>
      <c r="AG49" s="505">
        <f t="shared" si="1"/>
        <v>0</v>
      </c>
    </row>
    <row r="50" spans="1:33" ht="15.75" thickBot="1">
      <c r="A50" s="506" t="s">
        <v>1940</v>
      </c>
      <c r="B50" s="650">
        <v>533.11576000000002</v>
      </c>
      <c r="C50" s="650">
        <v>870.20815000000005</v>
      </c>
      <c r="D50" s="650">
        <v>8628.0486600000004</v>
      </c>
      <c r="E50" s="650">
        <v>10871.1083</v>
      </c>
      <c r="F50" s="650">
        <v>43.043329999999997</v>
      </c>
      <c r="G50" s="650">
        <v>2171.2568999999999</v>
      </c>
      <c r="H50" s="650">
        <v>249.35720000000001</v>
      </c>
      <c r="I50" s="650">
        <v>942.19882999999902</v>
      </c>
      <c r="J50" s="650">
        <v>1.0004441719502199E-11</v>
      </c>
      <c r="K50" s="650">
        <v>-1.93608684639912E-10</v>
      </c>
      <c r="L50" s="650">
        <v>-1.8579360272497E-10</v>
      </c>
      <c r="M50" s="650">
        <v>-1.9238743931282401E-10</v>
      </c>
      <c r="N50" s="650">
        <v>-1.7524826034787101E-10</v>
      </c>
      <c r="O50" s="650">
        <v>9033.4987040461292</v>
      </c>
      <c r="P50" s="129">
        <f t="shared" si="0"/>
        <v>2523.7476980034917</v>
      </c>
      <c r="Q50" s="650">
        <v>-1.5643308870494301E-10</v>
      </c>
      <c r="R50" s="650">
        <v>-1.4119905245024701E-10</v>
      </c>
      <c r="S50" s="650">
        <v>-1.74388787854695E-8</v>
      </c>
      <c r="T50" s="650">
        <v>-1.7427282728021902E-8</v>
      </c>
      <c r="U50" s="650">
        <v>-3.4563186090963401E-8</v>
      </c>
      <c r="V50" s="650">
        <v>-3.4579215935082102E-8</v>
      </c>
      <c r="W50" s="650">
        <v>-3.4594222597661402E-8</v>
      </c>
      <c r="X50" s="650">
        <v>-5.20018375027575E-8</v>
      </c>
      <c r="Y50" s="650">
        <v>-5.2034010877832698E-8</v>
      </c>
      <c r="Z50" s="650">
        <v>-5.2084260460105698E-8</v>
      </c>
      <c r="AA50" s="650">
        <v>4.1676457840367204E-9</v>
      </c>
      <c r="AB50" s="650">
        <v>4.1658836380520304E-9</v>
      </c>
      <c r="AC50" s="650">
        <v>4.1593750665924703E-9</v>
      </c>
      <c r="AD50" s="650">
        <v>4.2149395085289102E-9</v>
      </c>
      <c r="AE50" s="650">
        <v>3.9584620026289403E-9</v>
      </c>
      <c r="AF50" s="650">
        <v>3.9517544792033699E-9</v>
      </c>
      <c r="AG50" s="505">
        <f t="shared" si="1"/>
        <v>-1.943584274718325E-8</v>
      </c>
    </row>
    <row r="51" spans="1:33">
      <c r="A51" s="506" t="s">
        <v>1939</v>
      </c>
      <c r="B51" s="648">
        <v>533.11576000000002</v>
      </c>
      <c r="C51" s="648">
        <v>870.20815000000005</v>
      </c>
      <c r="D51" s="648">
        <v>8628.0486600000004</v>
      </c>
      <c r="E51" s="648">
        <v>10871.1083</v>
      </c>
      <c r="F51" s="648">
        <v>43.043329999999997</v>
      </c>
      <c r="G51" s="648">
        <v>2171.2568999999999</v>
      </c>
      <c r="H51" s="648">
        <v>249.35720000000001</v>
      </c>
      <c r="I51" s="648">
        <v>942.19882999999902</v>
      </c>
      <c r="J51" s="648">
        <v>1.0004441719502199E-11</v>
      </c>
      <c r="K51" s="648">
        <v>-1.93608684639912E-10</v>
      </c>
      <c r="L51" s="648">
        <v>-1.8579360272497E-10</v>
      </c>
      <c r="M51" s="648">
        <v>-1.9238743931282401E-10</v>
      </c>
      <c r="N51" s="648">
        <v>-1.7524826034787101E-10</v>
      </c>
      <c r="O51" s="648">
        <v>9033.4987040461292</v>
      </c>
      <c r="P51" s="129">
        <f t="shared" si="0"/>
        <v>2523.7476980034917</v>
      </c>
      <c r="Q51" s="648">
        <v>-1.5643308870494301E-10</v>
      </c>
      <c r="R51" s="648">
        <v>-1.4119905245024701E-10</v>
      </c>
      <c r="S51" s="648">
        <v>-1.74388787854695E-8</v>
      </c>
      <c r="T51" s="648">
        <v>-1.7427282728021902E-8</v>
      </c>
      <c r="U51" s="648">
        <v>-3.4563186090963401E-8</v>
      </c>
      <c r="V51" s="648">
        <v>-3.4579215935082102E-8</v>
      </c>
      <c r="W51" s="648">
        <v>-3.4594222597661402E-8</v>
      </c>
      <c r="X51" s="648">
        <v>-5.20018375027575E-8</v>
      </c>
      <c r="Y51" s="648">
        <v>-5.2034010877832698E-8</v>
      </c>
      <c r="Z51" s="648">
        <v>-5.2084260460105698E-8</v>
      </c>
      <c r="AA51" s="648">
        <v>4.1676457840367204E-9</v>
      </c>
      <c r="AB51" s="648">
        <v>4.1658836380520304E-9</v>
      </c>
      <c r="AC51" s="648">
        <v>4.1593750665924703E-9</v>
      </c>
      <c r="AD51" s="648">
        <v>4.2149395085289102E-9</v>
      </c>
      <c r="AE51" s="648">
        <v>3.9584620026289403E-9</v>
      </c>
      <c r="AF51" s="648">
        <v>3.9517544792033699E-9</v>
      </c>
      <c r="AG51" s="505">
        <f t="shared" si="1"/>
        <v>-1.943584274718325E-8</v>
      </c>
    </row>
    <row r="52" spans="1:33">
      <c r="B52" s="649"/>
      <c r="C52" s="649"/>
      <c r="D52" s="649"/>
      <c r="E52" s="649"/>
      <c r="F52" s="649"/>
      <c r="G52" s="649"/>
      <c r="H52" s="649"/>
      <c r="I52" s="649"/>
      <c r="J52" s="649"/>
      <c r="K52" s="649"/>
      <c r="L52" s="649"/>
      <c r="M52" s="649"/>
      <c r="N52" s="649"/>
      <c r="O52" s="649"/>
      <c r="P52" s="129">
        <f t="shared" si="0"/>
        <v>0</v>
      </c>
      <c r="Q52" s="649"/>
      <c r="R52" s="649"/>
      <c r="S52" s="649"/>
      <c r="T52" s="649"/>
      <c r="U52" s="649"/>
      <c r="V52" s="649"/>
      <c r="W52" s="649"/>
      <c r="X52" s="649"/>
      <c r="Y52" s="649"/>
      <c r="Z52" s="649"/>
      <c r="AA52" s="649"/>
      <c r="AB52" s="649"/>
      <c r="AC52" s="649"/>
      <c r="AD52" s="649"/>
      <c r="AE52" s="649"/>
      <c r="AF52" s="649"/>
      <c r="AG52" s="505">
        <f t="shared" si="1"/>
        <v>0</v>
      </c>
    </row>
    <row r="53" spans="1:33">
      <c r="A53" s="506" t="s">
        <v>1941</v>
      </c>
      <c r="B53" s="649"/>
      <c r="C53" s="649"/>
      <c r="D53" s="649"/>
      <c r="E53" s="649"/>
      <c r="F53" s="649"/>
      <c r="G53" s="649"/>
      <c r="H53" s="649"/>
      <c r="I53" s="649"/>
      <c r="J53" s="649"/>
      <c r="K53" s="649"/>
      <c r="L53" s="649"/>
      <c r="M53" s="649"/>
      <c r="N53" s="649"/>
      <c r="O53" s="649"/>
      <c r="P53" s="129">
        <f t="shared" si="0"/>
        <v>0</v>
      </c>
      <c r="Q53" s="649"/>
      <c r="R53" s="649"/>
      <c r="S53" s="649"/>
      <c r="T53" s="649"/>
      <c r="U53" s="649"/>
      <c r="V53" s="649"/>
      <c r="W53" s="649"/>
      <c r="X53" s="649"/>
      <c r="Y53" s="649"/>
      <c r="Z53" s="649"/>
      <c r="AA53" s="649"/>
      <c r="AB53" s="649"/>
      <c r="AC53" s="649"/>
      <c r="AD53" s="649"/>
      <c r="AE53" s="649"/>
      <c r="AF53" s="649"/>
      <c r="AG53" s="505">
        <f t="shared" si="1"/>
        <v>0</v>
      </c>
    </row>
    <row r="54" spans="1:33">
      <c r="A54" s="506" t="s">
        <v>1943</v>
      </c>
      <c r="B54" s="648">
        <v>137118.28928</v>
      </c>
      <c r="C54" s="648">
        <v>150916.79983999999</v>
      </c>
      <c r="D54" s="648">
        <v>130094.74412</v>
      </c>
      <c r="E54" s="648">
        <v>116646.57326999999</v>
      </c>
      <c r="F54" s="648">
        <v>109365.35665</v>
      </c>
      <c r="G54" s="648">
        <v>115016.80025</v>
      </c>
      <c r="H54" s="648">
        <v>139359.44648999901</v>
      </c>
      <c r="I54" s="648">
        <v>136758.36950999999</v>
      </c>
      <c r="J54" s="648">
        <v>123315.232566523</v>
      </c>
      <c r="K54" s="648">
        <v>111467.251348502</v>
      </c>
      <c r="L54" s="648">
        <v>117653.241465664</v>
      </c>
      <c r="M54" s="648">
        <v>133098.379361631</v>
      </c>
      <c r="N54" s="648">
        <v>146248.989555204</v>
      </c>
      <c r="O54" s="648">
        <v>134412.17876435199</v>
      </c>
      <c r="P54" s="129">
        <f t="shared" si="0"/>
        <v>128027.18178399037</v>
      </c>
      <c r="Q54" s="648">
        <v>126420.42440312701</v>
      </c>
      <c r="R54" s="648">
        <v>109837.02954047</v>
      </c>
      <c r="S54" s="648">
        <v>116465.801821912</v>
      </c>
      <c r="T54" s="648">
        <v>129611.886536973</v>
      </c>
      <c r="U54" s="648">
        <v>137444.10677746101</v>
      </c>
      <c r="V54" s="648">
        <v>140806.59454910699</v>
      </c>
      <c r="W54" s="648">
        <v>123052.17592065199</v>
      </c>
      <c r="X54" s="648">
        <v>111092.25728217101</v>
      </c>
      <c r="Y54" s="648">
        <v>117050.955859714</v>
      </c>
      <c r="Z54" s="648">
        <v>134598.17403110801</v>
      </c>
      <c r="AA54" s="648">
        <v>145946.51476483999</v>
      </c>
      <c r="AB54" s="648">
        <v>133858.485909479</v>
      </c>
      <c r="AC54" s="648">
        <v>125578.879218068</v>
      </c>
      <c r="AD54" s="648">
        <v>108716.352963276</v>
      </c>
      <c r="AE54" s="648">
        <v>116047.81097499801</v>
      </c>
      <c r="AF54" s="648">
        <v>129145.187803389</v>
      </c>
      <c r="AG54" s="505">
        <f t="shared" si="1"/>
        <v>127149.95250701814</v>
      </c>
    </row>
    <row r="55" spans="1:33">
      <c r="A55" s="506" t="s">
        <v>1944</v>
      </c>
      <c r="B55" s="648">
        <v>3299.1134299999999</v>
      </c>
      <c r="C55" s="648">
        <v>1777.0574999999999</v>
      </c>
      <c r="D55" s="648">
        <v>2141.3799800000002</v>
      </c>
      <c r="E55" s="648">
        <v>4759.6059999999998</v>
      </c>
      <c r="F55" s="648">
        <v>3041.0693700000002</v>
      </c>
      <c r="G55" s="648">
        <v>3362.9310999999998</v>
      </c>
      <c r="H55" s="648">
        <v>4311.9853400000002</v>
      </c>
      <c r="I55" s="648">
        <v>3373.97505</v>
      </c>
      <c r="J55" s="648">
        <v>3373.97505</v>
      </c>
      <c r="K55" s="648">
        <v>3373.97505</v>
      </c>
      <c r="L55" s="648">
        <v>3373.97505</v>
      </c>
      <c r="M55" s="648">
        <v>3373.97505</v>
      </c>
      <c r="N55" s="648">
        <v>3373.97505</v>
      </c>
      <c r="O55" s="648">
        <v>3373.97505</v>
      </c>
      <c r="P55" s="129">
        <f t="shared" si="0"/>
        <v>3308.6042030769236</v>
      </c>
      <c r="Q55" s="648">
        <v>3373.97505</v>
      </c>
      <c r="R55" s="648">
        <v>3373.97505</v>
      </c>
      <c r="S55" s="648">
        <v>3373.97505</v>
      </c>
      <c r="T55" s="648">
        <v>3373.97505</v>
      </c>
      <c r="U55" s="648">
        <v>3373.97505</v>
      </c>
      <c r="V55" s="648">
        <v>3373.97505</v>
      </c>
      <c r="W55" s="648">
        <v>3373.97505</v>
      </c>
      <c r="X55" s="648">
        <v>3373.97505</v>
      </c>
      <c r="Y55" s="648">
        <v>3373.97505</v>
      </c>
      <c r="Z55" s="648">
        <v>3373.97505</v>
      </c>
      <c r="AA55" s="648">
        <v>3373.97505</v>
      </c>
      <c r="AB55" s="648">
        <v>3373.97505</v>
      </c>
      <c r="AC55" s="648">
        <v>3373.97505</v>
      </c>
      <c r="AD55" s="648">
        <v>3373.97505</v>
      </c>
      <c r="AE55" s="648">
        <v>3373.97505</v>
      </c>
      <c r="AF55" s="648">
        <v>3373.97505</v>
      </c>
      <c r="AG55" s="505">
        <f t="shared" si="1"/>
        <v>3373.9750500000005</v>
      </c>
    </row>
    <row r="56" spans="1:33">
      <c r="A56" s="506" t="s">
        <v>2394</v>
      </c>
      <c r="B56" s="648">
        <v>0</v>
      </c>
      <c r="C56" s="648">
        <v>0</v>
      </c>
      <c r="D56" s="648">
        <v>0</v>
      </c>
      <c r="E56" s="648">
        <v>0</v>
      </c>
      <c r="F56" s="648">
        <v>0</v>
      </c>
      <c r="G56" s="648">
        <v>0</v>
      </c>
      <c r="H56" s="648">
        <v>0</v>
      </c>
      <c r="I56" s="648">
        <v>0</v>
      </c>
      <c r="J56" s="648">
        <v>0</v>
      </c>
      <c r="K56" s="648">
        <v>0</v>
      </c>
      <c r="L56" s="648">
        <v>0</v>
      </c>
      <c r="M56" s="648">
        <v>0</v>
      </c>
      <c r="N56" s="648">
        <v>0</v>
      </c>
      <c r="O56" s="648">
        <v>0</v>
      </c>
      <c r="P56" s="129">
        <f t="shared" si="0"/>
        <v>0</v>
      </c>
      <c r="Q56" s="648">
        <v>0</v>
      </c>
      <c r="R56" s="648">
        <v>0</v>
      </c>
      <c r="S56" s="648">
        <v>0</v>
      </c>
      <c r="T56" s="648">
        <v>0</v>
      </c>
      <c r="U56" s="648">
        <v>0</v>
      </c>
      <c r="V56" s="648">
        <v>0</v>
      </c>
      <c r="W56" s="648">
        <v>0</v>
      </c>
      <c r="X56" s="648">
        <v>0</v>
      </c>
      <c r="Y56" s="648">
        <v>0</v>
      </c>
      <c r="Z56" s="648">
        <v>0</v>
      </c>
      <c r="AA56" s="648">
        <v>0</v>
      </c>
      <c r="AB56" s="648">
        <v>0</v>
      </c>
      <c r="AC56" s="648">
        <v>0</v>
      </c>
      <c r="AD56" s="648">
        <v>0</v>
      </c>
      <c r="AE56" s="648">
        <v>0</v>
      </c>
      <c r="AF56" s="648">
        <v>0</v>
      </c>
      <c r="AG56" s="505">
        <f t="shared" si="1"/>
        <v>0</v>
      </c>
    </row>
    <row r="57" spans="1:33">
      <c r="A57" s="506" t="s">
        <v>1945</v>
      </c>
      <c r="B57" s="648">
        <v>1010.81771</v>
      </c>
      <c r="C57" s="648">
        <v>1123.69093</v>
      </c>
      <c r="D57" s="648">
        <v>905.74540000000002</v>
      </c>
      <c r="E57" s="648">
        <v>901.99831999999901</v>
      </c>
      <c r="F57" s="648">
        <v>78.25712</v>
      </c>
      <c r="G57" s="648">
        <v>149.06238999999999</v>
      </c>
      <c r="H57" s="648">
        <v>97.024919999999995</v>
      </c>
      <c r="I57" s="648">
        <v>392.55804000000001</v>
      </c>
      <c r="J57" s="648">
        <v>392.55804000000001</v>
      </c>
      <c r="K57" s="648">
        <v>392.55804000000001</v>
      </c>
      <c r="L57" s="648">
        <v>392.55804000000001</v>
      </c>
      <c r="M57" s="648">
        <v>392.55804000000001</v>
      </c>
      <c r="N57" s="648">
        <v>392.55804000000001</v>
      </c>
      <c r="O57" s="648">
        <v>392.55804000000001</v>
      </c>
      <c r="P57" s="129">
        <f t="shared" si="0"/>
        <v>461.82195076923068</v>
      </c>
      <c r="Q57" s="648">
        <v>392.55804000000001</v>
      </c>
      <c r="R57" s="648">
        <v>392.55804000000001</v>
      </c>
      <c r="S57" s="648">
        <v>392.55804000000001</v>
      </c>
      <c r="T57" s="648">
        <v>392.55804000000001</v>
      </c>
      <c r="U57" s="648">
        <v>392.55804000000001</v>
      </c>
      <c r="V57" s="648">
        <v>392.55804000000001</v>
      </c>
      <c r="W57" s="648">
        <v>392.55804000000001</v>
      </c>
      <c r="X57" s="648">
        <v>392.55804000000001</v>
      </c>
      <c r="Y57" s="648">
        <v>392.55804000000001</v>
      </c>
      <c r="Z57" s="648">
        <v>392.55804000000001</v>
      </c>
      <c r="AA57" s="648">
        <v>392.55804000000001</v>
      </c>
      <c r="AB57" s="648">
        <v>392.55804000000001</v>
      </c>
      <c r="AC57" s="648">
        <v>392.55804000000001</v>
      </c>
      <c r="AD57" s="648">
        <v>392.55804000000001</v>
      </c>
      <c r="AE57" s="648">
        <v>392.55804000000001</v>
      </c>
      <c r="AF57" s="648">
        <v>392.55804000000001</v>
      </c>
      <c r="AG57" s="505">
        <f t="shared" si="1"/>
        <v>392.55803999999995</v>
      </c>
    </row>
    <row r="58" spans="1:33">
      <c r="A58" s="506" t="s">
        <v>1946</v>
      </c>
      <c r="B58" s="648">
        <v>0</v>
      </c>
      <c r="C58" s="648">
        <v>0</v>
      </c>
      <c r="D58" s="648">
        <v>0</v>
      </c>
      <c r="E58" s="648">
        <v>0</v>
      </c>
      <c r="F58" s="648">
        <v>0</v>
      </c>
      <c r="G58" s="648">
        <v>0</v>
      </c>
      <c r="H58" s="648">
        <v>0</v>
      </c>
      <c r="I58" s="648">
        <v>0</v>
      </c>
      <c r="J58" s="648">
        <v>0</v>
      </c>
      <c r="K58" s="648">
        <v>0</v>
      </c>
      <c r="L58" s="648">
        <v>0</v>
      </c>
      <c r="M58" s="648">
        <v>0</v>
      </c>
      <c r="N58" s="648">
        <v>0</v>
      </c>
      <c r="O58" s="648">
        <v>0</v>
      </c>
      <c r="P58" s="129">
        <f t="shared" si="0"/>
        <v>0</v>
      </c>
      <c r="Q58" s="648">
        <v>0</v>
      </c>
      <c r="R58" s="648">
        <v>0</v>
      </c>
      <c r="S58" s="648">
        <v>0</v>
      </c>
      <c r="T58" s="648">
        <v>0</v>
      </c>
      <c r="U58" s="648">
        <v>0</v>
      </c>
      <c r="V58" s="648">
        <v>0</v>
      </c>
      <c r="W58" s="648">
        <v>0</v>
      </c>
      <c r="X58" s="648">
        <v>0</v>
      </c>
      <c r="Y58" s="648">
        <v>0</v>
      </c>
      <c r="Z58" s="648">
        <v>0</v>
      </c>
      <c r="AA58" s="648">
        <v>0</v>
      </c>
      <c r="AB58" s="648">
        <v>0</v>
      </c>
      <c r="AC58" s="648">
        <v>0</v>
      </c>
      <c r="AD58" s="648">
        <v>0</v>
      </c>
      <c r="AE58" s="648">
        <v>0</v>
      </c>
      <c r="AF58" s="648">
        <v>0</v>
      </c>
      <c r="AG58" s="505">
        <f t="shared" si="1"/>
        <v>0</v>
      </c>
    </row>
    <row r="59" spans="1:33">
      <c r="A59" s="506" t="s">
        <v>1947</v>
      </c>
      <c r="B59" s="648">
        <v>-1834.46334</v>
      </c>
      <c r="C59" s="648">
        <v>-2010.2858100000001</v>
      </c>
      <c r="D59" s="648">
        <v>-2117.31918</v>
      </c>
      <c r="E59" s="648">
        <v>-2093.58574</v>
      </c>
      <c r="F59" s="648">
        <v>-1920.6243099999899</v>
      </c>
      <c r="G59" s="648">
        <v>-1806.9006099999999</v>
      </c>
      <c r="H59" s="648">
        <v>-1694.49225999999</v>
      </c>
      <c r="I59" s="648">
        <v>-1766.8767599999901</v>
      </c>
      <c r="J59" s="648">
        <v>-1766.8767599999901</v>
      </c>
      <c r="K59" s="648">
        <v>-1766.8767599999901</v>
      </c>
      <c r="L59" s="648">
        <v>-1766.8767599999901</v>
      </c>
      <c r="M59" s="648">
        <v>-1766.8767599999901</v>
      </c>
      <c r="N59" s="648">
        <v>-1766.8767599999901</v>
      </c>
      <c r="O59" s="648">
        <v>-1766.8767599999901</v>
      </c>
      <c r="P59" s="129">
        <f t="shared" si="0"/>
        <v>-1847.0265561538399</v>
      </c>
      <c r="Q59" s="648">
        <v>-1766.8767599999901</v>
      </c>
      <c r="R59" s="648">
        <v>-1766.8767599999901</v>
      </c>
      <c r="S59" s="648">
        <v>-1766.8767599999901</v>
      </c>
      <c r="T59" s="648">
        <v>-1766.8767599999901</v>
      </c>
      <c r="U59" s="648">
        <v>-1766.8767599999901</v>
      </c>
      <c r="V59" s="648">
        <v>-1766.8767599999901</v>
      </c>
      <c r="W59" s="648">
        <v>-1766.8767599999901</v>
      </c>
      <c r="X59" s="648">
        <v>-1766.8767599999901</v>
      </c>
      <c r="Y59" s="648">
        <v>-1766.8767599999901</v>
      </c>
      <c r="Z59" s="648">
        <v>-1766.8767599999901</v>
      </c>
      <c r="AA59" s="648">
        <v>-1766.8767599999901</v>
      </c>
      <c r="AB59" s="648">
        <v>-1766.8767599999901</v>
      </c>
      <c r="AC59" s="648">
        <v>-1766.8767599999901</v>
      </c>
      <c r="AD59" s="648">
        <v>-1766.8767599999901</v>
      </c>
      <c r="AE59" s="648">
        <v>-1766.8767599999901</v>
      </c>
      <c r="AF59" s="648">
        <v>-1766.8767599999901</v>
      </c>
      <c r="AG59" s="505">
        <f t="shared" si="1"/>
        <v>-1766.8767599999903</v>
      </c>
    </row>
    <row r="60" spans="1:33">
      <c r="A60" s="506" t="s">
        <v>1948</v>
      </c>
      <c r="B60" s="648">
        <v>-105.8356</v>
      </c>
      <c r="C60" s="648">
        <v>-105.8356</v>
      </c>
      <c r="D60" s="648">
        <v>-62.16836</v>
      </c>
      <c r="E60" s="648">
        <v>-62.16836</v>
      </c>
      <c r="F60" s="648">
        <v>-62.16836</v>
      </c>
      <c r="G60" s="648">
        <v>-30.022359999999999</v>
      </c>
      <c r="H60" s="648">
        <v>-30.022359999999999</v>
      </c>
      <c r="I60" s="648">
        <v>-30.022359999999999</v>
      </c>
      <c r="J60" s="648">
        <v>-30.022359999999999</v>
      </c>
      <c r="K60" s="648">
        <v>-30.022359999999999</v>
      </c>
      <c r="L60" s="648">
        <v>-30.022359999999999</v>
      </c>
      <c r="M60" s="648">
        <v>-30.022359999999999</v>
      </c>
      <c r="N60" s="648">
        <v>-30.022359999999999</v>
      </c>
      <c r="O60" s="648">
        <v>-30.022359999999999</v>
      </c>
      <c r="P60" s="129">
        <f t="shared" si="0"/>
        <v>-43.272455384615384</v>
      </c>
      <c r="Q60" s="648">
        <v>-30.022359999999999</v>
      </c>
      <c r="R60" s="648">
        <v>-30.022359999999999</v>
      </c>
      <c r="S60" s="648">
        <v>-30.022359999999999</v>
      </c>
      <c r="T60" s="648">
        <v>-30.022359999999999</v>
      </c>
      <c r="U60" s="648">
        <v>-30.022359999999999</v>
      </c>
      <c r="V60" s="648">
        <v>-30.022359999999999</v>
      </c>
      <c r="W60" s="648">
        <v>-30.022359999999999</v>
      </c>
      <c r="X60" s="648">
        <v>-30.022359999999999</v>
      </c>
      <c r="Y60" s="648">
        <v>-30.022359999999999</v>
      </c>
      <c r="Z60" s="648">
        <v>-30.022359999999999</v>
      </c>
      <c r="AA60" s="648">
        <v>-30.022359999999999</v>
      </c>
      <c r="AB60" s="648">
        <v>-30.022359999999999</v>
      </c>
      <c r="AC60" s="648">
        <v>-30.022359999999999</v>
      </c>
      <c r="AD60" s="648">
        <v>-30.022359999999999</v>
      </c>
      <c r="AE60" s="648">
        <v>-30.022359999999999</v>
      </c>
      <c r="AF60" s="648">
        <v>-30.022359999999999</v>
      </c>
      <c r="AG60" s="505">
        <f t="shared" si="1"/>
        <v>-30.022359999999995</v>
      </c>
    </row>
    <row r="61" spans="1:33">
      <c r="A61" s="506" t="s">
        <v>1949</v>
      </c>
      <c r="B61" s="648">
        <v>36.78098</v>
      </c>
      <c r="C61" s="648">
        <v>32.132069999999999</v>
      </c>
      <c r="D61" s="648">
        <v>27.483160000000002</v>
      </c>
      <c r="E61" s="648">
        <v>22.834250000000001</v>
      </c>
      <c r="F61" s="648">
        <v>18.18534</v>
      </c>
      <c r="G61" s="648">
        <v>13.536429999999999</v>
      </c>
      <c r="H61" s="648">
        <v>8.8875200000000003</v>
      </c>
      <c r="I61" s="648">
        <v>122.753199999999</v>
      </c>
      <c r="J61" s="648">
        <v>122.753199999999</v>
      </c>
      <c r="K61" s="648">
        <v>122.753199999999</v>
      </c>
      <c r="L61" s="648">
        <v>122.753199999999</v>
      </c>
      <c r="M61" s="648">
        <v>122.753199999999</v>
      </c>
      <c r="N61" s="648">
        <v>122.753199999999</v>
      </c>
      <c r="O61" s="648">
        <v>122.753199999999</v>
      </c>
      <c r="P61" s="129">
        <f t="shared" si="0"/>
        <v>75.563936153845603</v>
      </c>
      <c r="Q61" s="648">
        <v>122.753199999999</v>
      </c>
      <c r="R61" s="648">
        <v>122.753199999999</v>
      </c>
      <c r="S61" s="648">
        <v>122.753199999999</v>
      </c>
      <c r="T61" s="648">
        <v>122.753199999999</v>
      </c>
      <c r="U61" s="648">
        <v>122.753199999999</v>
      </c>
      <c r="V61" s="648">
        <v>122.753199999999</v>
      </c>
      <c r="W61" s="648">
        <v>122.753199999999</v>
      </c>
      <c r="X61" s="648">
        <v>122.753199999999</v>
      </c>
      <c r="Y61" s="648">
        <v>122.753199999999</v>
      </c>
      <c r="Z61" s="648">
        <v>122.753199999999</v>
      </c>
      <c r="AA61" s="648">
        <v>122.753199999999</v>
      </c>
      <c r="AB61" s="648">
        <v>122.753199999999</v>
      </c>
      <c r="AC61" s="648">
        <v>122.753199999999</v>
      </c>
      <c r="AD61" s="648">
        <v>122.753199999999</v>
      </c>
      <c r="AE61" s="648">
        <v>122.753199999999</v>
      </c>
      <c r="AF61" s="648">
        <v>122.753199999999</v>
      </c>
      <c r="AG61" s="505">
        <f t="shared" si="1"/>
        <v>122.75319999999898</v>
      </c>
    </row>
    <row r="62" spans="1:33">
      <c r="A62" s="506" t="s">
        <v>1950</v>
      </c>
      <c r="B62" s="648">
        <v>877.45683999999903</v>
      </c>
      <c r="C62" s="648">
        <v>853.10243000000003</v>
      </c>
      <c r="D62" s="648">
        <v>408.33929000000001</v>
      </c>
      <c r="E62" s="648">
        <v>516.77386999999999</v>
      </c>
      <c r="F62" s="648">
        <v>640.76660000000004</v>
      </c>
      <c r="G62" s="648">
        <v>783.09446000000003</v>
      </c>
      <c r="H62" s="648">
        <v>696.50316999999995</v>
      </c>
      <c r="I62" s="648">
        <v>223.08358999999999</v>
      </c>
      <c r="J62" s="648">
        <v>223.08358999999999</v>
      </c>
      <c r="K62" s="648">
        <v>223.08358999999999</v>
      </c>
      <c r="L62" s="648">
        <v>223.08358999999999</v>
      </c>
      <c r="M62" s="648">
        <v>223.08358999999999</v>
      </c>
      <c r="N62" s="648">
        <v>223.08358999999999</v>
      </c>
      <c r="O62" s="648">
        <v>223.08358999999999</v>
      </c>
      <c r="P62" s="129">
        <f t="shared" si="0"/>
        <v>420.01268846153857</v>
      </c>
      <c r="Q62" s="648">
        <v>223.08358999999999</v>
      </c>
      <c r="R62" s="648">
        <v>223.08358999999999</v>
      </c>
      <c r="S62" s="648">
        <v>223.08358999999999</v>
      </c>
      <c r="T62" s="648">
        <v>223.08358999999999</v>
      </c>
      <c r="U62" s="648">
        <v>223.08358999999999</v>
      </c>
      <c r="V62" s="648">
        <v>223.08358999999999</v>
      </c>
      <c r="W62" s="648">
        <v>223.08358999999999</v>
      </c>
      <c r="X62" s="648">
        <v>223.08358999999999</v>
      </c>
      <c r="Y62" s="648">
        <v>223.08358999999999</v>
      </c>
      <c r="Z62" s="648">
        <v>223.08358999999999</v>
      </c>
      <c r="AA62" s="648">
        <v>223.08358999999999</v>
      </c>
      <c r="AB62" s="648">
        <v>223.08358999999999</v>
      </c>
      <c r="AC62" s="648">
        <v>223.08358999999999</v>
      </c>
      <c r="AD62" s="648">
        <v>223.08358999999999</v>
      </c>
      <c r="AE62" s="648">
        <v>223.08358999999999</v>
      </c>
      <c r="AF62" s="648">
        <v>223.08358999999999</v>
      </c>
      <c r="AG62" s="505">
        <f t="shared" si="1"/>
        <v>223.08359000000004</v>
      </c>
    </row>
    <row r="63" spans="1:33" ht="15.75" thickBot="1">
      <c r="A63" s="506" t="s">
        <v>1951</v>
      </c>
      <c r="B63" s="650">
        <v>100938.26676</v>
      </c>
      <c r="C63" s="650">
        <v>96023.012010000006</v>
      </c>
      <c r="D63" s="650">
        <v>79653.794989999995</v>
      </c>
      <c r="E63" s="650">
        <v>76364.703840000002</v>
      </c>
      <c r="F63" s="650">
        <v>84602.133779999902</v>
      </c>
      <c r="G63" s="650">
        <v>93327.915959999897</v>
      </c>
      <c r="H63" s="650">
        <v>101827.01624</v>
      </c>
      <c r="I63" s="650">
        <v>105830.48005</v>
      </c>
      <c r="J63" s="650">
        <v>105830.48005</v>
      </c>
      <c r="K63" s="650">
        <v>105830.48005</v>
      </c>
      <c r="L63" s="650">
        <v>105830.48005</v>
      </c>
      <c r="M63" s="650">
        <v>105830.48005</v>
      </c>
      <c r="N63" s="650">
        <v>105830.48005</v>
      </c>
      <c r="O63" s="650">
        <v>105830.48005</v>
      </c>
      <c r="P63" s="129">
        <f t="shared" si="0"/>
        <v>97893.225936153816</v>
      </c>
      <c r="Q63" s="650">
        <v>105830.48005</v>
      </c>
      <c r="R63" s="650">
        <v>105830.48005</v>
      </c>
      <c r="S63" s="650">
        <v>105830.48005</v>
      </c>
      <c r="T63" s="650">
        <v>105830.48005</v>
      </c>
      <c r="U63" s="650">
        <v>105830.48005</v>
      </c>
      <c r="V63" s="650">
        <v>105830.48005</v>
      </c>
      <c r="W63" s="650">
        <v>105830.48005</v>
      </c>
      <c r="X63" s="650">
        <v>105830.48005</v>
      </c>
      <c r="Y63" s="650">
        <v>105830.48005</v>
      </c>
      <c r="Z63" s="650">
        <v>105830.48005</v>
      </c>
      <c r="AA63" s="650">
        <v>105830.48005</v>
      </c>
      <c r="AB63" s="650">
        <v>105830.48005</v>
      </c>
      <c r="AC63" s="650">
        <v>105830.48005</v>
      </c>
      <c r="AD63" s="650">
        <v>105830.48005</v>
      </c>
      <c r="AE63" s="650">
        <v>105830.48005</v>
      </c>
      <c r="AF63" s="650">
        <v>105830.48005</v>
      </c>
      <c r="AG63" s="505">
        <f t="shared" si="1"/>
        <v>105830.48004999997</v>
      </c>
    </row>
    <row r="64" spans="1:33">
      <c r="A64" s="506" t="s">
        <v>1941</v>
      </c>
      <c r="B64" s="648">
        <v>241340.42606</v>
      </c>
      <c r="C64" s="648">
        <v>248609.67337</v>
      </c>
      <c r="D64" s="648">
        <v>211051.9994</v>
      </c>
      <c r="E64" s="648">
        <v>197056.73545000001</v>
      </c>
      <c r="F64" s="648">
        <v>195762.97618999999</v>
      </c>
      <c r="G64" s="648">
        <v>210816.417619999</v>
      </c>
      <c r="H64" s="648">
        <v>244576.34905999899</v>
      </c>
      <c r="I64" s="648">
        <v>244904.32032</v>
      </c>
      <c r="J64" s="648">
        <v>231461.183376523</v>
      </c>
      <c r="K64" s="648">
        <v>219613.20215850201</v>
      </c>
      <c r="L64" s="648">
        <v>225799.19227566401</v>
      </c>
      <c r="M64" s="648">
        <v>241244.33017163101</v>
      </c>
      <c r="N64" s="648">
        <v>254394.94036520401</v>
      </c>
      <c r="O64" s="648">
        <v>242558.129574352</v>
      </c>
      <c r="P64" s="129">
        <f t="shared" si="0"/>
        <v>228296.11148706725</v>
      </c>
      <c r="Q64" s="648">
        <v>234566.375213127</v>
      </c>
      <c r="R64" s="648">
        <v>217982.98035047</v>
      </c>
      <c r="S64" s="648">
        <v>224611.75263191201</v>
      </c>
      <c r="T64" s="648">
        <v>237757.83734697301</v>
      </c>
      <c r="U64" s="648">
        <v>245590.05758746099</v>
      </c>
      <c r="V64" s="648">
        <v>248952.54535910601</v>
      </c>
      <c r="W64" s="648">
        <v>231198.126730652</v>
      </c>
      <c r="X64" s="648">
        <v>219238.208092171</v>
      </c>
      <c r="Y64" s="648">
        <v>225196.90666971399</v>
      </c>
      <c r="Z64" s="648">
        <v>242744.12484110799</v>
      </c>
      <c r="AA64" s="648">
        <v>254092.46557484</v>
      </c>
      <c r="AB64" s="648">
        <v>242004.43671947901</v>
      </c>
      <c r="AC64" s="648">
        <v>233724.83002806801</v>
      </c>
      <c r="AD64" s="648">
        <v>216862.30377327601</v>
      </c>
      <c r="AE64" s="648">
        <v>224193.761784998</v>
      </c>
      <c r="AF64" s="648">
        <v>237291.13861338899</v>
      </c>
      <c r="AG64" s="505">
        <f t="shared" si="1"/>
        <v>235295.90331701806</v>
      </c>
    </row>
    <row r="65" spans="1:33">
      <c r="B65" s="649"/>
      <c r="C65" s="649"/>
      <c r="D65" s="649"/>
      <c r="E65" s="649"/>
      <c r="F65" s="649"/>
      <c r="G65" s="649"/>
      <c r="H65" s="649"/>
      <c r="I65" s="649"/>
      <c r="J65" s="649"/>
      <c r="K65" s="649"/>
      <c r="L65" s="649"/>
      <c r="M65" s="649"/>
      <c r="N65" s="649"/>
      <c r="O65" s="649"/>
      <c r="P65" s="129">
        <f t="shared" si="0"/>
        <v>0</v>
      </c>
      <c r="Q65" s="649"/>
      <c r="R65" s="649"/>
      <c r="S65" s="649"/>
      <c r="T65" s="649"/>
      <c r="U65" s="649"/>
      <c r="V65" s="649"/>
      <c r="W65" s="649"/>
      <c r="X65" s="649"/>
      <c r="Y65" s="649"/>
      <c r="Z65" s="649"/>
      <c r="AA65" s="649"/>
      <c r="AB65" s="649"/>
      <c r="AC65" s="649"/>
      <c r="AD65" s="649"/>
      <c r="AE65" s="649"/>
      <c r="AF65" s="649"/>
      <c r="AG65" s="505">
        <f t="shared" si="1"/>
        <v>0</v>
      </c>
    </row>
    <row r="66" spans="1:33">
      <c r="A66" s="506" t="s">
        <v>1952</v>
      </c>
      <c r="B66" s="649"/>
      <c r="C66" s="649"/>
      <c r="D66" s="649"/>
      <c r="E66" s="649"/>
      <c r="F66" s="649"/>
      <c r="G66" s="649"/>
      <c r="H66" s="649"/>
      <c r="I66" s="649"/>
      <c r="J66" s="649"/>
      <c r="K66" s="649"/>
      <c r="L66" s="649"/>
      <c r="M66" s="649"/>
      <c r="N66" s="649"/>
      <c r="O66" s="649"/>
      <c r="P66" s="129">
        <f t="shared" si="0"/>
        <v>0</v>
      </c>
      <c r="Q66" s="649"/>
      <c r="R66" s="649"/>
      <c r="S66" s="649"/>
      <c r="T66" s="649"/>
      <c r="U66" s="649"/>
      <c r="V66" s="649"/>
      <c r="W66" s="649"/>
      <c r="X66" s="649"/>
      <c r="Y66" s="649"/>
      <c r="Z66" s="649"/>
      <c r="AA66" s="649"/>
      <c r="AB66" s="649"/>
      <c r="AC66" s="649"/>
      <c r="AD66" s="649"/>
      <c r="AE66" s="649"/>
      <c r="AF66" s="649"/>
      <c r="AG66" s="505">
        <f t="shared" si="1"/>
        <v>0</v>
      </c>
    </row>
    <row r="67" spans="1:33">
      <c r="A67" s="506" t="s">
        <v>2395</v>
      </c>
      <c r="B67" s="648">
        <v>0</v>
      </c>
      <c r="C67" s="648">
        <v>0</v>
      </c>
      <c r="D67" s="648">
        <v>0</v>
      </c>
      <c r="E67" s="648">
        <v>0</v>
      </c>
      <c r="F67" s="648">
        <v>0</v>
      </c>
      <c r="G67" s="648">
        <v>0</v>
      </c>
      <c r="H67" s="648">
        <v>0</v>
      </c>
      <c r="I67" s="648">
        <v>33000</v>
      </c>
      <c r="J67" s="648">
        <v>0</v>
      </c>
      <c r="K67" s="648">
        <v>0</v>
      </c>
      <c r="L67" s="648">
        <v>0</v>
      </c>
      <c r="M67" s="648">
        <v>0</v>
      </c>
      <c r="N67" s="648">
        <v>0</v>
      </c>
      <c r="O67" s="648">
        <v>0</v>
      </c>
      <c r="P67" s="129">
        <f t="shared" si="0"/>
        <v>2538.4615384615386</v>
      </c>
      <c r="Q67" s="648">
        <v>0</v>
      </c>
      <c r="R67" s="648">
        <v>0</v>
      </c>
      <c r="S67" s="648">
        <v>0</v>
      </c>
      <c r="T67" s="648">
        <v>0</v>
      </c>
      <c r="U67" s="648">
        <v>0</v>
      </c>
      <c r="V67" s="648">
        <v>0</v>
      </c>
      <c r="W67" s="648">
        <v>0</v>
      </c>
      <c r="X67" s="648">
        <v>0</v>
      </c>
      <c r="Y67" s="648">
        <v>0</v>
      </c>
      <c r="Z67" s="648">
        <v>0</v>
      </c>
      <c r="AA67" s="648">
        <v>0</v>
      </c>
      <c r="AB67" s="648">
        <v>0</v>
      </c>
      <c r="AC67" s="648">
        <v>0</v>
      </c>
      <c r="AD67" s="648">
        <v>0</v>
      </c>
      <c r="AE67" s="648">
        <v>0</v>
      </c>
      <c r="AF67" s="648">
        <v>0</v>
      </c>
      <c r="AG67" s="505">
        <f t="shared" si="1"/>
        <v>0</v>
      </c>
    </row>
    <row r="68" spans="1:33" ht="15.75" thickBot="1">
      <c r="A68" s="506" t="s">
        <v>1953</v>
      </c>
      <c r="B68" s="650">
        <v>0.45167000000000002</v>
      </c>
      <c r="C68" s="650">
        <v>25.565989999999999</v>
      </c>
      <c r="D68" s="650">
        <v>15.92972</v>
      </c>
      <c r="E68" s="650">
        <v>724.62599999999998</v>
      </c>
      <c r="F68" s="650">
        <v>3.27E-2</v>
      </c>
      <c r="G68" s="650">
        <v>1.8629899999999999</v>
      </c>
      <c r="H68" s="650">
        <v>2.81853</v>
      </c>
      <c r="I68" s="650">
        <v>208.64073999999999</v>
      </c>
      <c r="J68" s="650">
        <v>563.92400999999904</v>
      </c>
      <c r="K68" s="650">
        <v>49.038310000000301</v>
      </c>
      <c r="L68" s="650">
        <v>-33.7566899999998</v>
      </c>
      <c r="M68" s="650">
        <v>-133.217289999999</v>
      </c>
      <c r="N68" s="650">
        <v>465.69520999999997</v>
      </c>
      <c r="O68" s="650">
        <v>769.55691000000002</v>
      </c>
      <c r="P68" s="129">
        <f t="shared" si="0"/>
        <v>204.67054846153854</v>
      </c>
      <c r="Q68" s="650">
        <v>1099.4521099999999</v>
      </c>
      <c r="R68" s="650">
        <v>2881.6670100000001</v>
      </c>
      <c r="S68" s="650">
        <v>2530.3147100000001</v>
      </c>
      <c r="T68" s="650">
        <v>3317.0676100000001</v>
      </c>
      <c r="U68" s="650">
        <v>3418.8690099999899</v>
      </c>
      <c r="V68" s="650">
        <v>3537.3725099999901</v>
      </c>
      <c r="W68" s="650">
        <v>3223.07590999999</v>
      </c>
      <c r="X68" s="650">
        <v>3565.8651099999902</v>
      </c>
      <c r="Y68" s="650">
        <v>3283.1796099999901</v>
      </c>
      <c r="Z68" s="650">
        <v>3488.9967099999899</v>
      </c>
      <c r="AA68" s="650">
        <v>3928.13480999999</v>
      </c>
      <c r="AB68" s="650">
        <v>4711.4405099999904</v>
      </c>
      <c r="AC68" s="650">
        <v>4964.38320999999</v>
      </c>
      <c r="AD68" s="650">
        <v>5267.4584099999902</v>
      </c>
      <c r="AE68" s="650">
        <v>6727.52620999999</v>
      </c>
      <c r="AF68" s="650">
        <v>6900.6806099999903</v>
      </c>
      <c r="AG68" s="505">
        <f t="shared" si="1"/>
        <v>4333.3884792307599</v>
      </c>
    </row>
    <row r="69" spans="1:33">
      <c r="A69" s="506" t="s">
        <v>1954</v>
      </c>
      <c r="B69" s="648">
        <v>0</v>
      </c>
      <c r="C69" s="648">
        <v>0</v>
      </c>
      <c r="D69" s="648">
        <v>0</v>
      </c>
      <c r="E69" s="648">
        <v>0</v>
      </c>
      <c r="F69" s="648">
        <v>0</v>
      </c>
      <c r="G69" s="648">
        <v>0</v>
      </c>
      <c r="H69" s="648">
        <v>0</v>
      </c>
      <c r="I69" s="648">
        <v>0</v>
      </c>
      <c r="J69" s="648">
        <v>0</v>
      </c>
      <c r="K69" s="648">
        <v>0</v>
      </c>
      <c r="L69" s="648">
        <v>0</v>
      </c>
      <c r="M69" s="648">
        <v>0</v>
      </c>
      <c r="N69" s="648">
        <v>0</v>
      </c>
      <c r="O69" s="648">
        <v>0</v>
      </c>
      <c r="P69" s="129">
        <f t="shared" si="0"/>
        <v>0</v>
      </c>
      <c r="Q69" s="648">
        <v>0</v>
      </c>
      <c r="R69" s="648">
        <v>0</v>
      </c>
      <c r="S69" s="648">
        <v>0</v>
      </c>
      <c r="T69" s="648">
        <v>0</v>
      </c>
      <c r="U69" s="648">
        <v>0</v>
      </c>
      <c r="V69" s="648">
        <v>0</v>
      </c>
      <c r="W69" s="648">
        <v>0</v>
      </c>
      <c r="X69" s="648">
        <v>0</v>
      </c>
      <c r="Y69" s="648">
        <v>0</v>
      </c>
      <c r="Z69" s="648">
        <v>0</v>
      </c>
      <c r="AA69" s="648">
        <v>0</v>
      </c>
      <c r="AB69" s="648">
        <v>0</v>
      </c>
      <c r="AC69" s="648">
        <v>0</v>
      </c>
      <c r="AD69" s="648">
        <v>0</v>
      </c>
      <c r="AE69" s="648">
        <v>0</v>
      </c>
      <c r="AF69" s="648">
        <v>0</v>
      </c>
      <c r="AG69" s="505">
        <f t="shared" si="1"/>
        <v>0</v>
      </c>
    </row>
    <row r="70" spans="1:33">
      <c r="A70" s="506" t="s">
        <v>1955</v>
      </c>
      <c r="B70" s="648">
        <v>0</v>
      </c>
      <c r="C70" s="648">
        <v>0</v>
      </c>
      <c r="D70" s="648">
        <v>0</v>
      </c>
      <c r="E70" s="648">
        <v>2064.2200499999999</v>
      </c>
      <c r="F70" s="648">
        <v>8434.4496600000002</v>
      </c>
      <c r="G70" s="648">
        <v>0</v>
      </c>
      <c r="H70" s="648">
        <v>0</v>
      </c>
      <c r="I70" s="648">
        <v>0</v>
      </c>
      <c r="J70" s="648">
        <v>0</v>
      </c>
      <c r="K70" s="648">
        <v>0</v>
      </c>
      <c r="L70" s="648">
        <v>0</v>
      </c>
      <c r="M70" s="648">
        <v>0</v>
      </c>
      <c r="N70" s="648">
        <v>0</v>
      </c>
      <c r="O70" s="648">
        <v>0</v>
      </c>
      <c r="P70" s="129">
        <f t="shared" si="0"/>
        <v>807.58997769230768</v>
      </c>
      <c r="Q70" s="648">
        <v>0</v>
      </c>
      <c r="R70" s="648">
        <v>0</v>
      </c>
      <c r="S70" s="648">
        <v>0</v>
      </c>
      <c r="T70" s="648">
        <v>0</v>
      </c>
      <c r="U70" s="648">
        <v>0</v>
      </c>
      <c r="V70" s="648">
        <v>0</v>
      </c>
      <c r="W70" s="648">
        <v>0</v>
      </c>
      <c r="X70" s="648">
        <v>0</v>
      </c>
      <c r="Y70" s="648">
        <v>0</v>
      </c>
      <c r="Z70" s="648">
        <v>0</v>
      </c>
      <c r="AA70" s="648">
        <v>0</v>
      </c>
      <c r="AB70" s="648">
        <v>0</v>
      </c>
      <c r="AC70" s="648">
        <v>0</v>
      </c>
      <c r="AD70" s="648">
        <v>0</v>
      </c>
      <c r="AE70" s="648">
        <v>0</v>
      </c>
      <c r="AF70" s="648">
        <v>0</v>
      </c>
      <c r="AG70" s="505">
        <f t="shared" si="1"/>
        <v>0</v>
      </c>
    </row>
    <row r="71" spans="1:33">
      <c r="A71" s="506" t="s">
        <v>1952</v>
      </c>
      <c r="B71" s="648">
        <v>0.45167000000000002</v>
      </c>
      <c r="C71" s="648">
        <v>25.565989999999999</v>
      </c>
      <c r="D71" s="648">
        <v>15.92972</v>
      </c>
      <c r="E71" s="648">
        <v>2788.8460500000001</v>
      </c>
      <c r="F71" s="648">
        <v>8434.48236</v>
      </c>
      <c r="G71" s="648">
        <v>1.8629899999999999</v>
      </c>
      <c r="H71" s="648">
        <v>2.81853</v>
      </c>
      <c r="I71" s="648">
        <v>33208.640740000003</v>
      </c>
      <c r="J71" s="648">
        <v>563.92400999999904</v>
      </c>
      <c r="K71" s="648">
        <v>49.038310000000301</v>
      </c>
      <c r="L71" s="648">
        <v>-33.7566899999998</v>
      </c>
      <c r="M71" s="648">
        <v>-133.217289999999</v>
      </c>
      <c r="N71" s="648">
        <v>465.69520999999997</v>
      </c>
      <c r="O71" s="648">
        <v>769.55691000000002</v>
      </c>
      <c r="P71" s="129">
        <f t="shared" si="0"/>
        <v>3550.7220646153851</v>
      </c>
      <c r="Q71" s="648">
        <v>1099.4521099999999</v>
      </c>
      <c r="R71" s="648">
        <v>2881.6670100000001</v>
      </c>
      <c r="S71" s="648">
        <v>2530.3147100000001</v>
      </c>
      <c r="T71" s="648">
        <v>3317.0676100000001</v>
      </c>
      <c r="U71" s="648">
        <v>3418.8690099999899</v>
      </c>
      <c r="V71" s="648">
        <v>3537.3725099999901</v>
      </c>
      <c r="W71" s="648">
        <v>3223.07590999999</v>
      </c>
      <c r="X71" s="648">
        <v>3565.8651099999902</v>
      </c>
      <c r="Y71" s="648">
        <v>3283.1796099999901</v>
      </c>
      <c r="Z71" s="648">
        <v>3488.9967099999899</v>
      </c>
      <c r="AA71" s="648">
        <v>3928.13480999999</v>
      </c>
      <c r="AB71" s="648">
        <v>4711.4405099999904</v>
      </c>
      <c r="AC71" s="648">
        <v>4964.38320999999</v>
      </c>
      <c r="AD71" s="648">
        <v>5267.4584099999902</v>
      </c>
      <c r="AE71" s="648">
        <v>6727.52620999999</v>
      </c>
      <c r="AF71" s="648">
        <v>6900.6806099999903</v>
      </c>
      <c r="AG71" s="505">
        <f t="shared" si="1"/>
        <v>4333.3884792307599</v>
      </c>
    </row>
    <row r="72" spans="1:33">
      <c r="B72" s="649"/>
      <c r="C72" s="649"/>
      <c r="D72" s="649"/>
      <c r="E72" s="649"/>
      <c r="F72" s="649"/>
      <c r="G72" s="649"/>
      <c r="H72" s="649"/>
      <c r="I72" s="649"/>
      <c r="J72" s="649"/>
      <c r="K72" s="649"/>
      <c r="L72" s="649"/>
      <c r="M72" s="649"/>
      <c r="N72" s="649"/>
      <c r="O72" s="649"/>
      <c r="P72" s="129">
        <f t="shared" si="0"/>
        <v>0</v>
      </c>
      <c r="Q72" s="649"/>
      <c r="R72" s="649"/>
      <c r="S72" s="649"/>
      <c r="T72" s="649"/>
      <c r="U72" s="649"/>
      <c r="V72" s="649"/>
      <c r="W72" s="649"/>
      <c r="X72" s="649"/>
      <c r="Y72" s="649"/>
      <c r="Z72" s="649"/>
      <c r="AA72" s="649"/>
      <c r="AB72" s="649"/>
      <c r="AC72" s="649"/>
      <c r="AD72" s="649"/>
      <c r="AE72" s="649"/>
      <c r="AF72" s="649"/>
      <c r="AG72" s="505">
        <f t="shared" si="1"/>
        <v>0</v>
      </c>
    </row>
    <row r="73" spans="1:33">
      <c r="A73" s="506" t="s">
        <v>1956</v>
      </c>
      <c r="B73" s="649"/>
      <c r="C73" s="649"/>
      <c r="D73" s="649"/>
      <c r="E73" s="649"/>
      <c r="F73" s="649"/>
      <c r="G73" s="649"/>
      <c r="H73" s="649"/>
      <c r="I73" s="649"/>
      <c r="J73" s="649"/>
      <c r="K73" s="649"/>
      <c r="L73" s="649"/>
      <c r="M73" s="649"/>
      <c r="N73" s="649"/>
      <c r="O73" s="649"/>
      <c r="P73" s="129">
        <f t="shared" si="0"/>
        <v>0</v>
      </c>
      <c r="Q73" s="649"/>
      <c r="R73" s="649"/>
      <c r="S73" s="649"/>
      <c r="T73" s="649"/>
      <c r="U73" s="649"/>
      <c r="V73" s="649"/>
      <c r="W73" s="649"/>
      <c r="X73" s="649"/>
      <c r="Y73" s="649"/>
      <c r="Z73" s="649"/>
      <c r="AA73" s="649"/>
      <c r="AB73" s="649"/>
      <c r="AC73" s="649"/>
      <c r="AD73" s="649"/>
      <c r="AE73" s="649"/>
      <c r="AF73" s="649"/>
      <c r="AG73" s="505">
        <f t="shared" si="1"/>
        <v>0</v>
      </c>
    </row>
    <row r="74" spans="1:33">
      <c r="A74" s="506" t="s">
        <v>1957</v>
      </c>
      <c r="B74" s="648">
        <v>95426.0760899999</v>
      </c>
      <c r="C74" s="648">
        <v>100903.23563</v>
      </c>
      <c r="D74" s="648">
        <v>104438.77118</v>
      </c>
      <c r="E74" s="648">
        <v>105432.52542000001</v>
      </c>
      <c r="F74" s="648">
        <v>109630.24484</v>
      </c>
      <c r="G74" s="648">
        <v>103727.16085</v>
      </c>
      <c r="H74" s="648">
        <v>100078.000659999</v>
      </c>
      <c r="I74" s="648">
        <v>97618.732379999899</v>
      </c>
      <c r="J74" s="648">
        <v>101074.374042261</v>
      </c>
      <c r="K74" s="648">
        <v>95605.111305962302</v>
      </c>
      <c r="L74" s="648">
        <v>101596.65901780401</v>
      </c>
      <c r="M74" s="648">
        <v>102649.729999541</v>
      </c>
      <c r="N74" s="648">
        <v>96180.544613417107</v>
      </c>
      <c r="O74" s="648">
        <v>93419.541037517702</v>
      </c>
      <c r="P74" s="129">
        <f t="shared" si="0"/>
        <v>100950.35622896168</v>
      </c>
      <c r="Q74" s="648">
        <v>90455.689565719294</v>
      </c>
      <c r="R74" s="648">
        <v>92902.824367926005</v>
      </c>
      <c r="S74" s="648">
        <v>92398.126339338705</v>
      </c>
      <c r="T74" s="648">
        <v>87746.782799371998</v>
      </c>
      <c r="U74" s="648">
        <v>84691.851284306904</v>
      </c>
      <c r="V74" s="648">
        <v>81761.070171915504</v>
      </c>
      <c r="W74" s="648">
        <v>81867.064373922505</v>
      </c>
      <c r="X74" s="648">
        <v>81473.986256681397</v>
      </c>
      <c r="Y74" s="648">
        <v>82517.864736182906</v>
      </c>
      <c r="Z74" s="648">
        <v>81778.107542519094</v>
      </c>
      <c r="AA74" s="648">
        <v>79112.704958591406</v>
      </c>
      <c r="AB74" s="648">
        <v>78159.484163066707</v>
      </c>
      <c r="AC74" s="648">
        <v>78705.362435717194</v>
      </c>
      <c r="AD74" s="648">
        <v>80782.115839736507</v>
      </c>
      <c r="AE74" s="648">
        <v>80145.770956901804</v>
      </c>
      <c r="AF74" s="648">
        <v>78099.402433162701</v>
      </c>
      <c r="AG74" s="505">
        <f t="shared" si="1"/>
        <v>81295.505227082816</v>
      </c>
    </row>
    <row r="75" spans="1:33">
      <c r="A75" s="506" t="s">
        <v>1958</v>
      </c>
      <c r="B75" s="648">
        <v>41582.541409999998</v>
      </c>
      <c r="C75" s="648">
        <v>42680.587630000002</v>
      </c>
      <c r="D75" s="648">
        <v>42735.185409999998</v>
      </c>
      <c r="E75" s="648">
        <v>43254.596740000001</v>
      </c>
      <c r="F75" s="648">
        <v>43339.609600000003</v>
      </c>
      <c r="G75" s="648">
        <v>43016.000180000003</v>
      </c>
      <c r="H75" s="648">
        <v>43570.979670000001</v>
      </c>
      <c r="I75" s="648">
        <v>44476.438620000001</v>
      </c>
      <c r="J75" s="648">
        <v>44461.855620000002</v>
      </c>
      <c r="K75" s="648">
        <v>44413.8819</v>
      </c>
      <c r="L75" s="648">
        <v>44399.298900000002</v>
      </c>
      <c r="M75" s="648">
        <v>44354.298900000002</v>
      </c>
      <c r="N75" s="648">
        <v>44339.298900000002</v>
      </c>
      <c r="O75" s="648">
        <v>44324.298900000002</v>
      </c>
      <c r="P75" s="129">
        <f t="shared" ref="P75:P138" si="2">SUM(C75:O75)/13</f>
        <v>43797.410074615385</v>
      </c>
      <c r="Q75" s="648">
        <v>44309.298900000002</v>
      </c>
      <c r="R75" s="648">
        <v>44294.298900000002</v>
      </c>
      <c r="S75" s="648">
        <v>44279.298900000002</v>
      </c>
      <c r="T75" s="648">
        <v>44183.347900000001</v>
      </c>
      <c r="U75" s="648">
        <v>44158.347909999997</v>
      </c>
      <c r="V75" s="648">
        <v>44143.347909999997</v>
      </c>
      <c r="W75" s="648">
        <v>44128.347909999997</v>
      </c>
      <c r="X75" s="648">
        <v>44079.289270000001</v>
      </c>
      <c r="Y75" s="648">
        <v>44064.289270000001</v>
      </c>
      <c r="Z75" s="648">
        <v>44049.289270000001</v>
      </c>
      <c r="AA75" s="648">
        <v>44030.991479999997</v>
      </c>
      <c r="AB75" s="648">
        <v>44012.69369</v>
      </c>
      <c r="AC75" s="648">
        <v>43994.395900000003</v>
      </c>
      <c r="AD75" s="648">
        <v>43976.098109999999</v>
      </c>
      <c r="AE75" s="648">
        <v>43957.800320000002</v>
      </c>
      <c r="AF75" s="648">
        <v>43856.932529999998</v>
      </c>
      <c r="AG75" s="505">
        <f t="shared" ref="AG75:AG138" si="3">SUM(T75:AF75)/13</f>
        <v>44048.859343846161</v>
      </c>
    </row>
    <row r="76" spans="1:33">
      <c r="A76" s="506" t="s">
        <v>1959</v>
      </c>
      <c r="B76" s="648">
        <v>139.99606</v>
      </c>
      <c r="C76" s="648">
        <v>139.52950000000001</v>
      </c>
      <c r="D76" s="648">
        <v>139.04510999999999</v>
      </c>
      <c r="E76" s="648">
        <v>138.63158999999999</v>
      </c>
      <c r="F76" s="648">
        <v>138.14250000000001</v>
      </c>
      <c r="G76" s="648">
        <v>137.63041999999999</v>
      </c>
      <c r="H76" s="648">
        <v>137.13242</v>
      </c>
      <c r="I76" s="648">
        <v>136.55977999999999</v>
      </c>
      <c r="J76" s="648">
        <v>136.55977999999999</v>
      </c>
      <c r="K76" s="648">
        <v>136.55977999999999</v>
      </c>
      <c r="L76" s="648">
        <v>136.55977999999999</v>
      </c>
      <c r="M76" s="648">
        <v>136.55977999999999</v>
      </c>
      <c r="N76" s="648">
        <v>136.55977999999999</v>
      </c>
      <c r="O76" s="648">
        <v>136.55977999999999</v>
      </c>
      <c r="P76" s="129">
        <f t="shared" si="2"/>
        <v>137.3869230769231</v>
      </c>
      <c r="Q76" s="648">
        <v>136.55977999999999</v>
      </c>
      <c r="R76" s="648">
        <v>136.55977999999999</v>
      </c>
      <c r="S76" s="648">
        <v>136.55977999999999</v>
      </c>
      <c r="T76" s="648">
        <v>136.55977999999999</v>
      </c>
      <c r="U76" s="648">
        <v>136.55977999999999</v>
      </c>
      <c r="V76" s="648">
        <v>136.55977999999999</v>
      </c>
      <c r="W76" s="648">
        <v>136.55977999999999</v>
      </c>
      <c r="X76" s="648">
        <v>136.55977999999999</v>
      </c>
      <c r="Y76" s="648">
        <v>136.55977999999999</v>
      </c>
      <c r="Z76" s="648">
        <v>136.55977999999999</v>
      </c>
      <c r="AA76" s="648">
        <v>136.55977999999999</v>
      </c>
      <c r="AB76" s="648">
        <v>136.55977999999999</v>
      </c>
      <c r="AC76" s="648">
        <v>136.55977999999999</v>
      </c>
      <c r="AD76" s="648">
        <v>136.55977999999999</v>
      </c>
      <c r="AE76" s="648">
        <v>136.55977999999999</v>
      </c>
      <c r="AF76" s="648">
        <v>136.55977999999999</v>
      </c>
      <c r="AG76" s="505">
        <f t="shared" si="3"/>
        <v>136.55978000000002</v>
      </c>
    </row>
    <row r="77" spans="1:33">
      <c r="A77" s="506" t="s">
        <v>1960</v>
      </c>
      <c r="B77" s="648">
        <v>9502.9083300000002</v>
      </c>
      <c r="C77" s="648">
        <v>9760.3238099999999</v>
      </c>
      <c r="D77" s="648">
        <v>9869.0262199999997</v>
      </c>
      <c r="E77" s="648">
        <v>9943.8210099999906</v>
      </c>
      <c r="F77" s="648">
        <v>10107.8245399999</v>
      </c>
      <c r="G77" s="648">
        <v>10208.177</v>
      </c>
      <c r="H77" s="648">
        <v>10306.666359999999</v>
      </c>
      <c r="I77" s="648">
        <v>10515.0708399999</v>
      </c>
      <c r="J77" s="648">
        <v>10515.0708399999</v>
      </c>
      <c r="K77" s="648">
        <v>10515.0708399999</v>
      </c>
      <c r="L77" s="648">
        <v>10515.0708399999</v>
      </c>
      <c r="M77" s="648">
        <v>10515.0708399999</v>
      </c>
      <c r="N77" s="648">
        <v>10515.0708399999</v>
      </c>
      <c r="O77" s="648">
        <v>10515.0708399999</v>
      </c>
      <c r="P77" s="129">
        <f t="shared" si="2"/>
        <v>10292.41037076917</v>
      </c>
      <c r="Q77" s="648">
        <v>10515.0708399999</v>
      </c>
      <c r="R77" s="648">
        <v>10515.0708399999</v>
      </c>
      <c r="S77" s="648">
        <v>10515.0708399999</v>
      </c>
      <c r="T77" s="648">
        <v>10515.0708399999</v>
      </c>
      <c r="U77" s="648">
        <v>10515.0708399999</v>
      </c>
      <c r="V77" s="648">
        <v>10515.0708399999</v>
      </c>
      <c r="W77" s="648">
        <v>10515.0708399999</v>
      </c>
      <c r="X77" s="648">
        <v>10515.0708399999</v>
      </c>
      <c r="Y77" s="648">
        <v>10515.0708399999</v>
      </c>
      <c r="Z77" s="648">
        <v>10515.0708399999</v>
      </c>
      <c r="AA77" s="648">
        <v>10515.0708399999</v>
      </c>
      <c r="AB77" s="648">
        <v>10515.0708399999</v>
      </c>
      <c r="AC77" s="648">
        <v>10515.0708399999</v>
      </c>
      <c r="AD77" s="648">
        <v>10515.0708399999</v>
      </c>
      <c r="AE77" s="648">
        <v>10515.0708399999</v>
      </c>
      <c r="AF77" s="648">
        <v>10515.0708399999</v>
      </c>
      <c r="AG77" s="505">
        <f t="shared" si="3"/>
        <v>10515.0708399999</v>
      </c>
    </row>
    <row r="78" spans="1:33">
      <c r="A78" s="506" t="s">
        <v>1956</v>
      </c>
      <c r="B78" s="648">
        <v>146651.52189</v>
      </c>
      <c r="C78" s="648">
        <v>153483.67657000001</v>
      </c>
      <c r="D78" s="648">
        <v>157182.02791999999</v>
      </c>
      <c r="E78" s="648">
        <v>158769.57475999999</v>
      </c>
      <c r="F78" s="648">
        <v>163215.82148000001</v>
      </c>
      <c r="G78" s="648">
        <v>157088.96844999999</v>
      </c>
      <c r="H78" s="648">
        <v>154092.77911</v>
      </c>
      <c r="I78" s="648">
        <v>152746.80161999899</v>
      </c>
      <c r="J78" s="648">
        <v>156187.86028226101</v>
      </c>
      <c r="K78" s="648">
        <v>150670.62382596199</v>
      </c>
      <c r="L78" s="648">
        <v>156647.588537804</v>
      </c>
      <c r="M78" s="648">
        <v>157655.65951954099</v>
      </c>
      <c r="N78" s="648">
        <v>151171.47413341701</v>
      </c>
      <c r="O78" s="648">
        <v>148395.47055751699</v>
      </c>
      <c r="P78" s="129">
        <f t="shared" si="2"/>
        <v>155177.56359742317</v>
      </c>
      <c r="Q78" s="648">
        <v>145416.61908571899</v>
      </c>
      <c r="R78" s="648">
        <v>147848.753887926</v>
      </c>
      <c r="S78" s="648">
        <v>147329.055859338</v>
      </c>
      <c r="T78" s="648">
        <v>142581.76131937199</v>
      </c>
      <c r="U78" s="648">
        <v>139501.82981430599</v>
      </c>
      <c r="V78" s="648">
        <v>136556.04870191499</v>
      </c>
      <c r="W78" s="648">
        <v>136647.042903922</v>
      </c>
      <c r="X78" s="648">
        <v>136204.90614668099</v>
      </c>
      <c r="Y78" s="648">
        <v>137233.78462618199</v>
      </c>
      <c r="Z78" s="648">
        <v>136479.02743251901</v>
      </c>
      <c r="AA78" s="648">
        <v>133795.32705859101</v>
      </c>
      <c r="AB78" s="648">
        <v>132823.80847306599</v>
      </c>
      <c r="AC78" s="648">
        <v>133351.388955717</v>
      </c>
      <c r="AD78" s="648">
        <v>135409.84456973599</v>
      </c>
      <c r="AE78" s="648">
        <v>134755.20189690101</v>
      </c>
      <c r="AF78" s="648">
        <v>132607.965583162</v>
      </c>
      <c r="AG78" s="505">
        <f t="shared" si="3"/>
        <v>135995.99519092843</v>
      </c>
    </row>
    <row r="79" spans="1:33">
      <c r="B79" s="649"/>
      <c r="C79" s="649"/>
      <c r="D79" s="649"/>
      <c r="E79" s="649"/>
      <c r="F79" s="649"/>
      <c r="G79" s="649"/>
      <c r="H79" s="649"/>
      <c r="I79" s="649"/>
      <c r="J79" s="649"/>
      <c r="K79" s="649"/>
      <c r="L79" s="649"/>
      <c r="M79" s="649"/>
      <c r="N79" s="649"/>
      <c r="O79" s="649"/>
      <c r="P79" s="129">
        <f t="shared" si="2"/>
        <v>0</v>
      </c>
      <c r="Q79" s="649"/>
      <c r="R79" s="649"/>
      <c r="S79" s="649"/>
      <c r="T79" s="649"/>
      <c r="U79" s="649"/>
      <c r="V79" s="649"/>
      <c r="W79" s="649"/>
      <c r="X79" s="649"/>
      <c r="Y79" s="649"/>
      <c r="Z79" s="649"/>
      <c r="AA79" s="649"/>
      <c r="AB79" s="649"/>
      <c r="AC79" s="649"/>
      <c r="AD79" s="649"/>
      <c r="AE79" s="649"/>
      <c r="AF79" s="649"/>
      <c r="AG79" s="505">
        <f t="shared" si="3"/>
        <v>0</v>
      </c>
    </row>
    <row r="80" spans="1:33">
      <c r="A80" s="506" t="s">
        <v>1961</v>
      </c>
      <c r="B80" s="649"/>
      <c r="C80" s="649"/>
      <c r="D80" s="649"/>
      <c r="E80" s="649"/>
      <c r="F80" s="649"/>
      <c r="G80" s="649"/>
      <c r="H80" s="649"/>
      <c r="I80" s="649"/>
      <c r="J80" s="649"/>
      <c r="K80" s="649"/>
      <c r="L80" s="649"/>
      <c r="M80" s="649"/>
      <c r="N80" s="649"/>
      <c r="O80" s="649"/>
      <c r="P80" s="129">
        <f t="shared" si="2"/>
        <v>0</v>
      </c>
      <c r="Q80" s="649"/>
      <c r="R80" s="649"/>
      <c r="S80" s="649"/>
      <c r="T80" s="649"/>
      <c r="U80" s="649"/>
      <c r="V80" s="649"/>
      <c r="W80" s="649"/>
      <c r="X80" s="649"/>
      <c r="Y80" s="649"/>
      <c r="Z80" s="649"/>
      <c r="AA80" s="649"/>
      <c r="AB80" s="649"/>
      <c r="AC80" s="649"/>
      <c r="AD80" s="649"/>
      <c r="AE80" s="649"/>
      <c r="AF80" s="649"/>
      <c r="AG80" s="505">
        <f t="shared" si="3"/>
        <v>0</v>
      </c>
    </row>
    <row r="81" spans="1:33">
      <c r="A81" s="506" t="s">
        <v>1962</v>
      </c>
      <c r="B81" s="648">
        <v>6452.80339</v>
      </c>
      <c r="C81" s="648">
        <v>5661.4738799999996</v>
      </c>
      <c r="D81" s="648">
        <v>7427.0721100000001</v>
      </c>
      <c r="E81" s="648">
        <v>11381.0831799999</v>
      </c>
      <c r="F81" s="648">
        <v>10062.14896</v>
      </c>
      <c r="G81" s="648">
        <v>15544.86968</v>
      </c>
      <c r="H81" s="648">
        <v>14237.421609999999</v>
      </c>
      <c r="I81" s="648">
        <v>14575.96551</v>
      </c>
      <c r="J81" s="648">
        <v>14678.1231041666</v>
      </c>
      <c r="K81" s="648">
        <v>13454.598818333299</v>
      </c>
      <c r="L81" s="648">
        <v>11856.3685625</v>
      </c>
      <c r="M81" s="648">
        <v>10707.2527366666</v>
      </c>
      <c r="N81" s="648">
        <v>14403.968127177801</v>
      </c>
      <c r="O81" s="648">
        <v>13075.567487177799</v>
      </c>
      <c r="P81" s="129">
        <f t="shared" si="2"/>
        <v>12081.993366617076</v>
      </c>
      <c r="Q81" s="648">
        <v>11458.9428171778</v>
      </c>
      <c r="R81" s="648">
        <v>16650.4578183468</v>
      </c>
      <c r="S81" s="648">
        <v>15054.198498346799</v>
      </c>
      <c r="T81" s="648">
        <v>15180.778788346701</v>
      </c>
      <c r="U81" s="648">
        <v>13637.6772183467</v>
      </c>
      <c r="V81" s="648">
        <v>12434.421757886699</v>
      </c>
      <c r="W81" s="648">
        <v>12692.2144378867</v>
      </c>
      <c r="X81" s="648">
        <v>11792.757007886699</v>
      </c>
      <c r="Y81" s="648">
        <v>12389.8871404117</v>
      </c>
      <c r="Z81" s="648">
        <v>11174.5353104117</v>
      </c>
      <c r="AA81" s="648">
        <v>15569.2880427529</v>
      </c>
      <c r="AB81" s="648">
        <v>14140.971262752901</v>
      </c>
      <c r="AC81" s="648">
        <v>12446.1089027529</v>
      </c>
      <c r="AD81" s="648">
        <v>18271.4799149803</v>
      </c>
      <c r="AE81" s="648">
        <v>16527.311544980301</v>
      </c>
      <c r="AF81" s="648">
        <v>16598.4308249803</v>
      </c>
      <c r="AG81" s="505">
        <f t="shared" si="3"/>
        <v>14065.835550336655</v>
      </c>
    </row>
    <row r="82" spans="1:33">
      <c r="A82" s="506" t="s">
        <v>2396</v>
      </c>
      <c r="B82" s="648">
        <v>1130.5020400000001</v>
      </c>
      <c r="C82" s="648">
        <v>1079.1155799999999</v>
      </c>
      <c r="D82" s="648">
        <v>1027.72912</v>
      </c>
      <c r="E82" s="648">
        <v>976.34266000000002</v>
      </c>
      <c r="F82" s="648">
        <v>924.95619999999997</v>
      </c>
      <c r="G82" s="648">
        <v>4078.4784800000002</v>
      </c>
      <c r="H82" s="648">
        <v>4020.4471100000001</v>
      </c>
      <c r="I82" s="648">
        <v>4009.5837099999999</v>
      </c>
      <c r="J82" s="648">
        <v>4009.5837099999999</v>
      </c>
      <c r="K82" s="648">
        <v>4009.5837099999999</v>
      </c>
      <c r="L82" s="648">
        <v>4009.5837099999999</v>
      </c>
      <c r="M82" s="648">
        <v>4009.5837099999999</v>
      </c>
      <c r="N82" s="648">
        <v>4009.5837099999999</v>
      </c>
      <c r="O82" s="648">
        <v>4009.5837099999999</v>
      </c>
      <c r="P82" s="129">
        <f t="shared" si="2"/>
        <v>3090.3196246153843</v>
      </c>
      <c r="Q82" s="648">
        <v>4009.5837099999999</v>
      </c>
      <c r="R82" s="648">
        <v>4009.5837099999999</v>
      </c>
      <c r="S82" s="648">
        <v>4009.5837099999999</v>
      </c>
      <c r="T82" s="648">
        <v>4009.5837099999999</v>
      </c>
      <c r="U82" s="648">
        <v>4009.5837099999999</v>
      </c>
      <c r="V82" s="648">
        <v>4009.5837099999999</v>
      </c>
      <c r="W82" s="648">
        <v>4009.5837099999999</v>
      </c>
      <c r="X82" s="648">
        <v>4009.5837099999999</v>
      </c>
      <c r="Y82" s="648">
        <v>4009.5837099999999</v>
      </c>
      <c r="Z82" s="648">
        <v>4009.5837099999999</v>
      </c>
      <c r="AA82" s="648">
        <v>4009.5837099999999</v>
      </c>
      <c r="AB82" s="648">
        <v>4009.5837099999999</v>
      </c>
      <c r="AC82" s="648">
        <v>4009.5837099999999</v>
      </c>
      <c r="AD82" s="648">
        <v>4009.5837099999999</v>
      </c>
      <c r="AE82" s="648">
        <v>4009.5837099999999</v>
      </c>
      <c r="AF82" s="648">
        <v>4009.5837099999999</v>
      </c>
      <c r="AG82" s="505">
        <f t="shared" si="3"/>
        <v>4009.5837099999994</v>
      </c>
    </row>
    <row r="83" spans="1:33" ht="15.75" thickBot="1">
      <c r="A83" s="506" t="s">
        <v>1963</v>
      </c>
      <c r="B83" s="650">
        <v>1240.7227800000001</v>
      </c>
      <c r="C83" s="650">
        <v>992.57822999999996</v>
      </c>
      <c r="D83" s="650">
        <v>744.43367999999998</v>
      </c>
      <c r="E83" s="650">
        <v>496.28913</v>
      </c>
      <c r="F83" s="650">
        <v>248.14457999999999</v>
      </c>
      <c r="G83" s="650">
        <v>0</v>
      </c>
      <c r="H83" s="650">
        <v>2870.8470400000001</v>
      </c>
      <c r="I83" s="650">
        <v>2609.86094</v>
      </c>
      <c r="J83" s="650">
        <v>2348.8748399999999</v>
      </c>
      <c r="K83" s="650">
        <v>2087.8887399999999</v>
      </c>
      <c r="L83" s="650">
        <v>1826.90263999999</v>
      </c>
      <c r="M83" s="650">
        <v>1565.9165399999899</v>
      </c>
      <c r="N83" s="650">
        <v>1304.9304399999901</v>
      </c>
      <c r="O83" s="650">
        <v>1043.94433999999</v>
      </c>
      <c r="P83" s="129">
        <f t="shared" si="2"/>
        <v>1395.4316261538431</v>
      </c>
      <c r="Q83" s="650">
        <v>782.95823999999902</v>
      </c>
      <c r="R83" s="650">
        <v>521.97213999999894</v>
      </c>
      <c r="S83" s="650">
        <v>260.98603999999898</v>
      </c>
      <c r="T83" s="650">
        <v>-6.0000000644322399E-5</v>
      </c>
      <c r="U83" s="650">
        <v>2928.2639199999899</v>
      </c>
      <c r="V83" s="650">
        <v>2662.0580999999902</v>
      </c>
      <c r="W83" s="650">
        <v>2395.8522799999901</v>
      </c>
      <c r="X83" s="650">
        <v>2129.6464599999899</v>
      </c>
      <c r="Y83" s="650">
        <v>1863.44063999999</v>
      </c>
      <c r="Z83" s="650">
        <v>1597.2348199999899</v>
      </c>
      <c r="AA83" s="650">
        <v>1331.02899999999</v>
      </c>
      <c r="AB83" s="650">
        <v>1064.8231799999901</v>
      </c>
      <c r="AC83" s="650">
        <v>798.61735999999803</v>
      </c>
      <c r="AD83" s="650">
        <v>532.41153999999801</v>
      </c>
      <c r="AE83" s="650">
        <v>266.205719999998</v>
      </c>
      <c r="AF83" s="650">
        <v>-1.00000002021261E-4</v>
      </c>
      <c r="AG83" s="505">
        <f t="shared" si="3"/>
        <v>1351.506373846147</v>
      </c>
    </row>
    <row r="84" spans="1:33">
      <c r="A84" s="506" t="s">
        <v>1961</v>
      </c>
      <c r="B84" s="648">
        <v>8824.0282100000004</v>
      </c>
      <c r="C84" s="648">
        <v>7733.1676900000002</v>
      </c>
      <c r="D84" s="648">
        <v>9199.2349099999992</v>
      </c>
      <c r="E84" s="648">
        <v>12853.714969999901</v>
      </c>
      <c r="F84" s="648">
        <v>11235.249739999999</v>
      </c>
      <c r="G84" s="648">
        <v>19623.348160000001</v>
      </c>
      <c r="H84" s="648">
        <v>21128.715759999999</v>
      </c>
      <c r="I84" s="648">
        <v>21195.410159999999</v>
      </c>
      <c r="J84" s="648">
        <v>21036.581654166599</v>
      </c>
      <c r="K84" s="648">
        <v>19552.0712683333</v>
      </c>
      <c r="L84" s="648">
        <v>17692.854912499999</v>
      </c>
      <c r="M84" s="648">
        <v>16282.752986666599</v>
      </c>
      <c r="N84" s="648">
        <v>19718.482277177802</v>
      </c>
      <c r="O84" s="648">
        <v>18129.0955371778</v>
      </c>
      <c r="P84" s="129">
        <f t="shared" si="2"/>
        <v>16567.744617386306</v>
      </c>
      <c r="Q84" s="648">
        <v>16251.484767177801</v>
      </c>
      <c r="R84" s="648">
        <v>21182.013668346699</v>
      </c>
      <c r="S84" s="648">
        <v>19324.7682483467</v>
      </c>
      <c r="T84" s="648">
        <v>19190.362438346699</v>
      </c>
      <c r="U84" s="648">
        <v>20575.5248483467</v>
      </c>
      <c r="V84" s="648">
        <v>19106.0635678867</v>
      </c>
      <c r="W84" s="648">
        <v>19097.6504278867</v>
      </c>
      <c r="X84" s="648">
        <v>17931.987177886698</v>
      </c>
      <c r="Y84" s="648">
        <v>18262.911490411701</v>
      </c>
      <c r="Z84" s="648">
        <v>16781.353840411699</v>
      </c>
      <c r="AA84" s="648">
        <v>20909.900752752899</v>
      </c>
      <c r="AB84" s="648">
        <v>19215.378152752899</v>
      </c>
      <c r="AC84" s="648">
        <v>17254.309972752901</v>
      </c>
      <c r="AD84" s="648">
        <v>22813.475164980198</v>
      </c>
      <c r="AE84" s="648">
        <v>20803.1009749802</v>
      </c>
      <c r="AF84" s="648">
        <v>20608.014434980199</v>
      </c>
      <c r="AG84" s="505">
        <f t="shared" si="3"/>
        <v>19426.925634182782</v>
      </c>
    </row>
    <row r="85" spans="1:33">
      <c r="B85" s="649"/>
      <c r="C85" s="649"/>
      <c r="D85" s="649"/>
      <c r="E85" s="649"/>
      <c r="F85" s="649"/>
      <c r="G85" s="649"/>
      <c r="H85" s="649"/>
      <c r="I85" s="649"/>
      <c r="J85" s="649"/>
      <c r="K85" s="649"/>
      <c r="L85" s="649"/>
      <c r="M85" s="649"/>
      <c r="N85" s="649"/>
      <c r="O85" s="649"/>
      <c r="P85" s="129">
        <f t="shared" si="2"/>
        <v>0</v>
      </c>
      <c r="Q85" s="649"/>
      <c r="R85" s="649"/>
      <c r="S85" s="649"/>
      <c r="T85" s="649"/>
      <c r="U85" s="649"/>
      <c r="V85" s="649"/>
      <c r="W85" s="649"/>
      <c r="X85" s="649"/>
      <c r="Y85" s="649"/>
      <c r="Z85" s="649"/>
      <c r="AA85" s="649"/>
      <c r="AB85" s="649"/>
      <c r="AC85" s="649"/>
      <c r="AD85" s="649"/>
      <c r="AE85" s="649"/>
      <c r="AF85" s="649"/>
      <c r="AG85" s="505">
        <f t="shared" si="3"/>
        <v>0</v>
      </c>
    </row>
    <row r="86" spans="1:33">
      <c r="A86" s="506" t="s">
        <v>1964</v>
      </c>
      <c r="B86" s="649"/>
      <c r="C86" s="649"/>
      <c r="D86" s="649"/>
      <c r="E86" s="649"/>
      <c r="F86" s="649"/>
      <c r="G86" s="649"/>
      <c r="H86" s="649"/>
      <c r="I86" s="649"/>
      <c r="J86" s="649"/>
      <c r="K86" s="649"/>
      <c r="L86" s="649"/>
      <c r="M86" s="649"/>
      <c r="N86" s="649"/>
      <c r="O86" s="649"/>
      <c r="P86" s="129">
        <f t="shared" si="2"/>
        <v>0</v>
      </c>
      <c r="Q86" s="649"/>
      <c r="R86" s="649"/>
      <c r="S86" s="649"/>
      <c r="T86" s="649"/>
      <c r="U86" s="649"/>
      <c r="V86" s="649"/>
      <c r="W86" s="649"/>
      <c r="X86" s="649"/>
      <c r="Y86" s="649"/>
      <c r="Z86" s="649"/>
      <c r="AA86" s="649"/>
      <c r="AB86" s="649"/>
      <c r="AC86" s="649"/>
      <c r="AD86" s="649"/>
      <c r="AE86" s="649"/>
      <c r="AF86" s="649"/>
      <c r="AG86" s="505">
        <f t="shared" si="3"/>
        <v>0</v>
      </c>
    </row>
    <row r="87" spans="1:33">
      <c r="A87" s="506" t="s">
        <v>1965</v>
      </c>
      <c r="B87" s="648">
        <v>0</v>
      </c>
      <c r="C87" s="648">
        <v>0</v>
      </c>
      <c r="D87" s="648">
        <v>9.1810000000000003E-2</v>
      </c>
      <c r="E87" s="648">
        <v>0</v>
      </c>
      <c r="F87" s="648">
        <v>0</v>
      </c>
      <c r="G87" s="648">
        <v>0</v>
      </c>
      <c r="H87" s="648">
        <v>0</v>
      </c>
      <c r="I87" s="648">
        <v>0</v>
      </c>
      <c r="J87" s="648">
        <v>0</v>
      </c>
      <c r="K87" s="648">
        <v>0</v>
      </c>
      <c r="L87" s="648">
        <v>0</v>
      </c>
      <c r="M87" s="648">
        <v>0</v>
      </c>
      <c r="N87" s="648">
        <v>0</v>
      </c>
      <c r="O87" s="648">
        <v>0</v>
      </c>
      <c r="P87" s="129">
        <f t="shared" si="2"/>
        <v>7.0623076923076924E-3</v>
      </c>
      <c r="Q87" s="648">
        <v>0</v>
      </c>
      <c r="R87" s="648">
        <v>0</v>
      </c>
      <c r="S87" s="648">
        <v>0</v>
      </c>
      <c r="T87" s="648">
        <v>0</v>
      </c>
      <c r="U87" s="648">
        <v>0</v>
      </c>
      <c r="V87" s="648">
        <v>0</v>
      </c>
      <c r="W87" s="648">
        <v>0</v>
      </c>
      <c r="X87" s="648">
        <v>0</v>
      </c>
      <c r="Y87" s="648">
        <v>0</v>
      </c>
      <c r="Z87" s="648">
        <v>0</v>
      </c>
      <c r="AA87" s="648">
        <v>0</v>
      </c>
      <c r="AB87" s="648">
        <v>0</v>
      </c>
      <c r="AC87" s="648">
        <v>0</v>
      </c>
      <c r="AD87" s="648">
        <v>0</v>
      </c>
      <c r="AE87" s="648">
        <v>0</v>
      </c>
      <c r="AF87" s="648">
        <v>0</v>
      </c>
      <c r="AG87" s="505">
        <f t="shared" si="3"/>
        <v>0</v>
      </c>
    </row>
    <row r="88" spans="1:33">
      <c r="A88" s="506" t="s">
        <v>2397</v>
      </c>
      <c r="B88" s="648">
        <v>0</v>
      </c>
      <c r="C88" s="648">
        <v>0</v>
      </c>
      <c r="D88" s="648">
        <v>0</v>
      </c>
      <c r="E88" s="648">
        <v>0</v>
      </c>
      <c r="F88" s="648">
        <v>0</v>
      </c>
      <c r="G88" s="648">
        <v>0</v>
      </c>
      <c r="H88" s="648">
        <v>0</v>
      </c>
      <c r="I88" s="648">
        <v>0</v>
      </c>
      <c r="J88" s="648">
        <v>0</v>
      </c>
      <c r="K88" s="648">
        <v>0</v>
      </c>
      <c r="L88" s="648">
        <v>0</v>
      </c>
      <c r="M88" s="648">
        <v>0</v>
      </c>
      <c r="N88" s="648">
        <v>0</v>
      </c>
      <c r="O88" s="648">
        <v>0</v>
      </c>
      <c r="P88" s="129">
        <f t="shared" si="2"/>
        <v>0</v>
      </c>
      <c r="Q88" s="648">
        <v>0</v>
      </c>
      <c r="R88" s="648">
        <v>0</v>
      </c>
      <c r="S88" s="648">
        <v>0</v>
      </c>
      <c r="T88" s="648">
        <v>0</v>
      </c>
      <c r="U88" s="648">
        <v>0</v>
      </c>
      <c r="V88" s="648">
        <v>0</v>
      </c>
      <c r="W88" s="648">
        <v>0</v>
      </c>
      <c r="X88" s="648">
        <v>0</v>
      </c>
      <c r="Y88" s="648">
        <v>0</v>
      </c>
      <c r="Z88" s="648">
        <v>0</v>
      </c>
      <c r="AA88" s="648">
        <v>0</v>
      </c>
      <c r="AB88" s="648">
        <v>0</v>
      </c>
      <c r="AC88" s="648">
        <v>0</v>
      </c>
      <c r="AD88" s="648">
        <v>0</v>
      </c>
      <c r="AE88" s="648">
        <v>0</v>
      </c>
      <c r="AF88" s="648">
        <v>0</v>
      </c>
      <c r="AG88" s="505">
        <f t="shared" si="3"/>
        <v>0</v>
      </c>
    </row>
    <row r="89" spans="1:33">
      <c r="A89" s="506" t="s">
        <v>1964</v>
      </c>
      <c r="B89" s="648">
        <v>0</v>
      </c>
      <c r="C89" s="648">
        <v>0</v>
      </c>
      <c r="D89" s="648">
        <v>9.1810000000000003E-2</v>
      </c>
      <c r="E89" s="648">
        <v>0</v>
      </c>
      <c r="F89" s="648">
        <v>0</v>
      </c>
      <c r="G89" s="648">
        <v>0</v>
      </c>
      <c r="H89" s="648">
        <v>0</v>
      </c>
      <c r="I89" s="648">
        <v>0</v>
      </c>
      <c r="J89" s="648">
        <v>0</v>
      </c>
      <c r="K89" s="648">
        <v>0</v>
      </c>
      <c r="L89" s="648">
        <v>0</v>
      </c>
      <c r="M89" s="648">
        <v>0</v>
      </c>
      <c r="N89" s="648">
        <v>0</v>
      </c>
      <c r="O89" s="648">
        <v>0</v>
      </c>
      <c r="P89" s="129">
        <f t="shared" si="2"/>
        <v>7.0623076923076924E-3</v>
      </c>
      <c r="Q89" s="648">
        <v>0</v>
      </c>
      <c r="R89" s="648">
        <v>0</v>
      </c>
      <c r="S89" s="648">
        <v>0</v>
      </c>
      <c r="T89" s="648">
        <v>0</v>
      </c>
      <c r="U89" s="648">
        <v>0</v>
      </c>
      <c r="V89" s="648">
        <v>0</v>
      </c>
      <c r="W89" s="648">
        <v>0</v>
      </c>
      <c r="X89" s="648">
        <v>0</v>
      </c>
      <c r="Y89" s="648">
        <v>0</v>
      </c>
      <c r="Z89" s="648">
        <v>0</v>
      </c>
      <c r="AA89" s="648">
        <v>0</v>
      </c>
      <c r="AB89" s="648">
        <v>0</v>
      </c>
      <c r="AC89" s="648">
        <v>0</v>
      </c>
      <c r="AD89" s="648">
        <v>0</v>
      </c>
      <c r="AE89" s="648">
        <v>0</v>
      </c>
      <c r="AF89" s="648">
        <v>0</v>
      </c>
      <c r="AG89" s="505">
        <f t="shared" si="3"/>
        <v>0</v>
      </c>
    </row>
    <row r="90" spans="1:33">
      <c r="B90" s="649"/>
      <c r="C90" s="649"/>
      <c r="D90" s="649"/>
      <c r="E90" s="649"/>
      <c r="F90" s="649"/>
      <c r="G90" s="649"/>
      <c r="H90" s="649"/>
      <c r="I90" s="649"/>
      <c r="J90" s="649"/>
      <c r="K90" s="649"/>
      <c r="L90" s="649"/>
      <c r="M90" s="649"/>
      <c r="N90" s="649"/>
      <c r="O90" s="649"/>
      <c r="P90" s="129">
        <f t="shared" si="2"/>
        <v>0</v>
      </c>
      <c r="Q90" s="649"/>
      <c r="R90" s="649"/>
      <c r="S90" s="649"/>
      <c r="T90" s="649"/>
      <c r="U90" s="649"/>
      <c r="V90" s="649"/>
      <c r="W90" s="649"/>
      <c r="X90" s="649"/>
      <c r="Y90" s="649"/>
      <c r="Z90" s="649"/>
      <c r="AA90" s="649"/>
      <c r="AB90" s="649"/>
      <c r="AC90" s="649"/>
      <c r="AD90" s="649"/>
      <c r="AE90" s="649"/>
      <c r="AF90" s="649"/>
      <c r="AG90" s="505">
        <f t="shared" si="3"/>
        <v>0</v>
      </c>
    </row>
    <row r="91" spans="1:33" ht="15.75" thickBot="1">
      <c r="A91" s="503" t="s">
        <v>1491</v>
      </c>
      <c r="B91" s="651">
        <v>407115.75939999998</v>
      </c>
      <c r="C91" s="651">
        <v>421799.18185999902</v>
      </c>
      <c r="D91" s="651">
        <v>394165.19575000001</v>
      </c>
      <c r="E91" s="651">
        <v>387477.2304</v>
      </c>
      <c r="F91" s="651">
        <v>386040.69292</v>
      </c>
      <c r="G91" s="651">
        <v>395220.85292999999</v>
      </c>
      <c r="H91" s="651">
        <v>430548.80349999998</v>
      </c>
      <c r="I91" s="651">
        <v>461709.07276000001</v>
      </c>
      <c r="J91" s="651">
        <v>414310.57932295202</v>
      </c>
      <c r="K91" s="651">
        <v>394945.96556279802</v>
      </c>
      <c r="L91" s="651">
        <v>405166.90903596801</v>
      </c>
      <c r="M91" s="651">
        <v>420110.55538783898</v>
      </c>
      <c r="N91" s="651">
        <v>430811.621985798</v>
      </c>
      <c r="O91" s="651">
        <v>423946.78128309402</v>
      </c>
      <c r="P91" s="129">
        <f t="shared" si="2"/>
        <v>412788.72636141907</v>
      </c>
      <c r="Q91" s="651">
        <v>402394.96117602399</v>
      </c>
      <c r="R91" s="651">
        <v>394956.44491674303</v>
      </c>
      <c r="S91" s="651">
        <v>398856.92144958</v>
      </c>
      <c r="T91" s="651">
        <v>407908.05871467502</v>
      </c>
      <c r="U91" s="651">
        <v>414147.31126008101</v>
      </c>
      <c r="V91" s="651">
        <v>413213.06013887399</v>
      </c>
      <c r="W91" s="651">
        <v>395226.92597242701</v>
      </c>
      <c r="X91" s="651">
        <v>382001.996526687</v>
      </c>
      <c r="Y91" s="651">
        <v>389037.81239625701</v>
      </c>
      <c r="Z91" s="651">
        <v>404554.53282398701</v>
      </c>
      <c r="AA91" s="651">
        <v>417786.85819618899</v>
      </c>
      <c r="AB91" s="651">
        <v>403816.09385530202</v>
      </c>
      <c r="AC91" s="651">
        <v>394355.94216654298</v>
      </c>
      <c r="AD91" s="651">
        <v>385414.11191799701</v>
      </c>
      <c r="AE91" s="651">
        <v>391540.62086688401</v>
      </c>
      <c r="AF91" s="651">
        <v>402468.82924153598</v>
      </c>
      <c r="AG91" s="505">
        <f t="shared" si="3"/>
        <v>400113.24262134137</v>
      </c>
    </row>
    <row r="92" spans="1:33">
      <c r="P92" s="129">
        <f t="shared" si="2"/>
        <v>0</v>
      </c>
      <c r="AG92" s="505">
        <f t="shared" si="3"/>
        <v>0</v>
      </c>
    </row>
    <row r="93" spans="1:33">
      <c r="A93" s="503" t="s">
        <v>1966</v>
      </c>
      <c r="B93" s="649"/>
      <c r="C93" s="649"/>
      <c r="D93" s="649"/>
      <c r="E93" s="649"/>
      <c r="F93" s="649"/>
      <c r="G93" s="649"/>
      <c r="H93" s="649"/>
      <c r="I93" s="649"/>
      <c r="J93" s="649"/>
      <c r="K93" s="649"/>
      <c r="L93" s="649"/>
      <c r="M93" s="649"/>
      <c r="N93" s="649"/>
      <c r="O93" s="649"/>
      <c r="P93" s="129">
        <f t="shared" si="2"/>
        <v>0</v>
      </c>
      <c r="Q93" s="649"/>
      <c r="R93" s="649"/>
      <c r="S93" s="649"/>
      <c r="T93" s="649"/>
      <c r="U93" s="649"/>
      <c r="V93" s="649"/>
      <c r="W93" s="649"/>
      <c r="X93" s="649"/>
      <c r="Y93" s="649"/>
      <c r="Z93" s="649"/>
      <c r="AA93" s="649"/>
      <c r="AB93" s="649"/>
      <c r="AC93" s="649"/>
      <c r="AD93" s="649"/>
      <c r="AE93" s="649"/>
      <c r="AF93" s="649"/>
      <c r="AG93" s="505">
        <f t="shared" si="3"/>
        <v>0</v>
      </c>
    </row>
    <row r="94" spans="1:33">
      <c r="A94" s="506" t="s">
        <v>1967</v>
      </c>
      <c r="B94" s="649"/>
      <c r="C94" s="649"/>
      <c r="D94" s="649"/>
      <c r="E94" s="649"/>
      <c r="F94" s="649"/>
      <c r="G94" s="649"/>
      <c r="H94" s="649"/>
      <c r="I94" s="649"/>
      <c r="J94" s="649"/>
      <c r="K94" s="649"/>
      <c r="L94" s="649"/>
      <c r="M94" s="649"/>
      <c r="N94" s="649"/>
      <c r="O94" s="649"/>
      <c r="P94" s="129">
        <f t="shared" si="2"/>
        <v>0</v>
      </c>
      <c r="Q94" s="649"/>
      <c r="R94" s="649"/>
      <c r="S94" s="649"/>
      <c r="T94" s="649"/>
      <c r="U94" s="649"/>
      <c r="V94" s="649"/>
      <c r="W94" s="649"/>
      <c r="X94" s="649"/>
      <c r="Y94" s="649"/>
      <c r="Z94" s="649"/>
      <c r="AA94" s="649"/>
      <c r="AB94" s="649"/>
      <c r="AC94" s="649"/>
      <c r="AD94" s="649"/>
      <c r="AE94" s="649"/>
      <c r="AF94" s="649"/>
      <c r="AG94" s="505">
        <f t="shared" si="3"/>
        <v>0</v>
      </c>
    </row>
    <row r="95" spans="1:33">
      <c r="A95" s="506" t="s">
        <v>2398</v>
      </c>
      <c r="B95" s="648">
        <v>18600.159239999899</v>
      </c>
      <c r="C95" s="648">
        <v>18500.66516</v>
      </c>
      <c r="D95" s="648">
        <v>18394.310979999998</v>
      </c>
      <c r="E95" s="648">
        <v>18291.39646</v>
      </c>
      <c r="F95" s="648">
        <v>18185.032910000002</v>
      </c>
      <c r="G95" s="648">
        <v>18082.119159999998</v>
      </c>
      <c r="H95" s="648">
        <v>17975.7411499999</v>
      </c>
      <c r="I95" s="648">
        <v>17405.1835399999</v>
      </c>
      <c r="J95" s="648">
        <v>17234.472836496501</v>
      </c>
      <c r="K95" s="648">
        <v>17058.071776209599</v>
      </c>
      <c r="L95" s="648">
        <v>16887.361072706099</v>
      </c>
      <c r="M95" s="648">
        <v>16710.9600124192</v>
      </c>
      <c r="N95" s="648">
        <v>16534.558952132302</v>
      </c>
      <c r="O95" s="648">
        <v>16375.228962195701</v>
      </c>
      <c r="P95" s="129">
        <f t="shared" si="2"/>
        <v>17510.392536319938</v>
      </c>
      <c r="Q95" s="648">
        <v>16198.8279019088</v>
      </c>
      <c r="R95" s="648">
        <v>16028.1171984054</v>
      </c>
      <c r="S95" s="648">
        <v>15851.7161381185</v>
      </c>
      <c r="T95" s="648">
        <v>15681.005434614999</v>
      </c>
      <c r="U95" s="648">
        <v>15504.604374328101</v>
      </c>
      <c r="V95" s="648">
        <v>15328.2033140412</v>
      </c>
      <c r="W95" s="648">
        <v>15157.4926105377</v>
      </c>
      <c r="X95" s="648">
        <v>15644.7825502508</v>
      </c>
      <c r="Y95" s="648">
        <v>15474.0718467474</v>
      </c>
      <c r="Z95" s="648">
        <v>15297.6707864604</v>
      </c>
      <c r="AA95" s="648">
        <v>15121.269726173499</v>
      </c>
      <c r="AB95" s="648">
        <v>15411.633136237</v>
      </c>
      <c r="AC95" s="648">
        <v>15227.474325950099</v>
      </c>
      <c r="AD95" s="648">
        <v>15049.256122446601</v>
      </c>
      <c r="AE95" s="648">
        <v>14865.0973121597</v>
      </c>
      <c r="AF95" s="648">
        <v>14686.8791086562</v>
      </c>
      <c r="AG95" s="505">
        <f t="shared" si="3"/>
        <v>15265.341588354129</v>
      </c>
    </row>
    <row r="96" spans="1:33">
      <c r="A96" s="506" t="s">
        <v>2399</v>
      </c>
      <c r="B96" s="648">
        <v>2747.0657099999999</v>
      </c>
      <c r="C96" s="648">
        <v>2702.30033</v>
      </c>
      <c r="D96" s="648">
        <v>2662.8954100000001</v>
      </c>
      <c r="E96" s="648">
        <v>2605.3906900000002</v>
      </c>
      <c r="F96" s="648">
        <v>2544.94614</v>
      </c>
      <c r="G96" s="648">
        <v>2486.4514199999999</v>
      </c>
      <c r="H96" s="648">
        <v>2426.0068799999999</v>
      </c>
      <c r="I96" s="648">
        <v>2365.5623500000002</v>
      </c>
      <c r="J96" s="648">
        <v>2365.5623500000002</v>
      </c>
      <c r="K96" s="648">
        <v>2365.5623500000002</v>
      </c>
      <c r="L96" s="648">
        <v>2365.5623500000002</v>
      </c>
      <c r="M96" s="648">
        <v>2365.5623500000002</v>
      </c>
      <c r="N96" s="648">
        <v>2365.5623500000002</v>
      </c>
      <c r="O96" s="648">
        <v>2365.5623500000002</v>
      </c>
      <c r="P96" s="129">
        <f t="shared" si="2"/>
        <v>2460.5328707692306</v>
      </c>
      <c r="Q96" s="648">
        <v>2365.5623500000002</v>
      </c>
      <c r="R96" s="648">
        <v>2365.5623500000002</v>
      </c>
      <c r="S96" s="648">
        <v>2365.5623500000002</v>
      </c>
      <c r="T96" s="648">
        <v>2365.5623500000002</v>
      </c>
      <c r="U96" s="648">
        <v>2365.5623500000002</v>
      </c>
      <c r="V96" s="648">
        <v>2365.5623500000002</v>
      </c>
      <c r="W96" s="648">
        <v>2365.5623500000002</v>
      </c>
      <c r="X96" s="648">
        <v>2365.5623500000002</v>
      </c>
      <c r="Y96" s="648">
        <v>2365.5623500000002</v>
      </c>
      <c r="Z96" s="648">
        <v>2365.5623500000002</v>
      </c>
      <c r="AA96" s="648">
        <v>2365.5623500000002</v>
      </c>
      <c r="AB96" s="648">
        <v>2365.5623500000002</v>
      </c>
      <c r="AC96" s="648">
        <v>2365.5623500000002</v>
      </c>
      <c r="AD96" s="648">
        <v>2365.5623500000002</v>
      </c>
      <c r="AE96" s="648">
        <v>2365.5623500000002</v>
      </c>
      <c r="AF96" s="648">
        <v>2365.5623500000002</v>
      </c>
      <c r="AG96" s="505">
        <f t="shared" si="3"/>
        <v>2365.5623500000002</v>
      </c>
    </row>
    <row r="97" spans="1:33" ht="15.75" thickBot="1">
      <c r="A97" s="506" t="s">
        <v>1968</v>
      </c>
      <c r="B97" s="650">
        <v>8849.30403999999</v>
      </c>
      <c r="C97" s="650">
        <v>8796.2301499999994</v>
      </c>
      <c r="D97" s="650">
        <v>8739.4959399999898</v>
      </c>
      <c r="E97" s="650">
        <v>8684.5919200000008</v>
      </c>
      <c r="F97" s="650">
        <v>8627.8576799999992</v>
      </c>
      <c r="G97" s="650">
        <v>8572.9536399999997</v>
      </c>
      <c r="H97" s="650">
        <v>8516.2194399999898</v>
      </c>
      <c r="I97" s="650">
        <v>9648.2329000000009</v>
      </c>
      <c r="J97" s="650">
        <v>9587.0806762923494</v>
      </c>
      <c r="K97" s="650">
        <v>9523.8900451277896</v>
      </c>
      <c r="L97" s="650">
        <v>9462.7378214201399</v>
      </c>
      <c r="M97" s="650">
        <v>9399.5471902555691</v>
      </c>
      <c r="N97" s="650">
        <v>9336.3565590910093</v>
      </c>
      <c r="O97" s="650">
        <v>9279.2811502971999</v>
      </c>
      <c r="P97" s="129">
        <f t="shared" si="2"/>
        <v>9090.3442394218509</v>
      </c>
      <c r="Q97" s="650">
        <v>9216.0905191326401</v>
      </c>
      <c r="R97" s="650">
        <v>9154.9382954249904</v>
      </c>
      <c r="S97" s="650">
        <v>9091.7476642604306</v>
      </c>
      <c r="T97" s="650">
        <v>9030.5954405527791</v>
      </c>
      <c r="U97" s="650">
        <v>8967.4048093882193</v>
      </c>
      <c r="V97" s="650">
        <v>8904.2141782236504</v>
      </c>
      <c r="W97" s="650">
        <v>8843.0619545160007</v>
      </c>
      <c r="X97" s="650">
        <v>8788.4060545159991</v>
      </c>
      <c r="Y97" s="650">
        <v>8735.7885308083605</v>
      </c>
      <c r="Z97" s="650">
        <v>8681.41708964379</v>
      </c>
      <c r="AA97" s="650">
        <v>8627.0456484792194</v>
      </c>
      <c r="AB97" s="650">
        <v>8577.9359596854192</v>
      </c>
      <c r="AC97" s="650">
        <v>8523.5645185208596</v>
      </c>
      <c r="AD97" s="650">
        <v>8470.94699481321</v>
      </c>
      <c r="AE97" s="650">
        <v>8416.5755536486395</v>
      </c>
      <c r="AF97" s="650">
        <v>8363.9580299410009</v>
      </c>
      <c r="AG97" s="505">
        <f t="shared" si="3"/>
        <v>8686.9934432874743</v>
      </c>
    </row>
    <row r="98" spans="1:33">
      <c r="A98" s="506" t="s">
        <v>1967</v>
      </c>
      <c r="B98" s="648">
        <v>30196.528989999901</v>
      </c>
      <c r="C98" s="648">
        <v>29999.195640000002</v>
      </c>
      <c r="D98" s="648">
        <v>29796.70233</v>
      </c>
      <c r="E98" s="648">
        <v>29581.379069999999</v>
      </c>
      <c r="F98" s="648">
        <v>29357.836729999999</v>
      </c>
      <c r="G98" s="648">
        <v>29141.524219999999</v>
      </c>
      <c r="H98" s="648">
        <v>28917.967469999901</v>
      </c>
      <c r="I98" s="648">
        <v>29418.978790000001</v>
      </c>
      <c r="J98" s="648">
        <v>29187.1158627888</v>
      </c>
      <c r="K98" s="648">
        <v>28947.524171337402</v>
      </c>
      <c r="L98" s="648">
        <v>28715.661244126299</v>
      </c>
      <c r="M98" s="648">
        <v>28476.069552674799</v>
      </c>
      <c r="N98" s="648">
        <v>28236.477861223299</v>
      </c>
      <c r="O98" s="648">
        <v>28020.072462492899</v>
      </c>
      <c r="P98" s="129">
        <f t="shared" si="2"/>
        <v>29061.269646511024</v>
      </c>
      <c r="Q98" s="648">
        <v>27780.480771041501</v>
      </c>
      <c r="R98" s="648">
        <v>27548.617843830401</v>
      </c>
      <c r="S98" s="648">
        <v>27309.026152378901</v>
      </c>
      <c r="T98" s="648">
        <v>27077.163225167798</v>
      </c>
      <c r="U98" s="648">
        <v>26837.571533716298</v>
      </c>
      <c r="V98" s="648">
        <v>26597.979842264798</v>
      </c>
      <c r="W98" s="648">
        <v>26366.116915053699</v>
      </c>
      <c r="X98" s="648">
        <v>26798.750954766801</v>
      </c>
      <c r="Y98" s="648">
        <v>26575.422727555699</v>
      </c>
      <c r="Z98" s="648">
        <v>26344.650226104201</v>
      </c>
      <c r="AA98" s="648">
        <v>26113.877724652801</v>
      </c>
      <c r="AB98" s="648">
        <v>26355.131445922401</v>
      </c>
      <c r="AC98" s="648">
        <v>26116.601194470899</v>
      </c>
      <c r="AD98" s="648">
        <v>25885.7654672598</v>
      </c>
      <c r="AE98" s="648">
        <v>25647.235215808301</v>
      </c>
      <c r="AF98" s="648">
        <v>25416.399488597199</v>
      </c>
      <c r="AG98" s="505">
        <f t="shared" si="3"/>
        <v>26317.897381641593</v>
      </c>
    </row>
    <row r="99" spans="1:33">
      <c r="B99" s="649"/>
      <c r="C99" s="649"/>
      <c r="D99" s="649"/>
      <c r="E99" s="649"/>
      <c r="F99" s="649"/>
      <c r="G99" s="649"/>
      <c r="H99" s="649"/>
      <c r="I99" s="649"/>
      <c r="J99" s="649"/>
      <c r="K99" s="649"/>
      <c r="L99" s="649"/>
      <c r="M99" s="649"/>
      <c r="N99" s="649"/>
      <c r="O99" s="649"/>
      <c r="P99" s="129">
        <f t="shared" si="2"/>
        <v>0</v>
      </c>
      <c r="Q99" s="649"/>
      <c r="R99" s="649"/>
      <c r="S99" s="649"/>
      <c r="T99" s="649"/>
      <c r="U99" s="649"/>
      <c r="V99" s="649"/>
      <c r="W99" s="649"/>
      <c r="X99" s="649"/>
      <c r="Y99" s="649"/>
      <c r="Z99" s="649"/>
      <c r="AA99" s="649"/>
      <c r="AB99" s="649"/>
      <c r="AC99" s="649"/>
      <c r="AD99" s="649"/>
      <c r="AE99" s="649"/>
      <c r="AF99" s="649"/>
      <c r="AG99" s="505">
        <f t="shared" si="3"/>
        <v>0</v>
      </c>
    </row>
    <row r="100" spans="1:33">
      <c r="A100" s="506" t="s">
        <v>1969</v>
      </c>
      <c r="B100" s="649"/>
      <c r="C100" s="649"/>
      <c r="D100" s="649"/>
      <c r="E100" s="649"/>
      <c r="F100" s="649"/>
      <c r="G100" s="649"/>
      <c r="H100" s="649"/>
      <c r="I100" s="649"/>
      <c r="J100" s="649"/>
      <c r="K100" s="649"/>
      <c r="L100" s="649"/>
      <c r="M100" s="649"/>
      <c r="N100" s="649"/>
      <c r="O100" s="649"/>
      <c r="P100" s="129">
        <f t="shared" si="2"/>
        <v>0</v>
      </c>
      <c r="Q100" s="649"/>
      <c r="R100" s="649"/>
      <c r="S100" s="649"/>
      <c r="T100" s="649"/>
      <c r="U100" s="649"/>
      <c r="V100" s="649"/>
      <c r="W100" s="649"/>
      <c r="X100" s="649"/>
      <c r="Y100" s="649"/>
      <c r="Z100" s="649"/>
      <c r="AA100" s="649"/>
      <c r="AB100" s="649"/>
      <c r="AC100" s="649"/>
      <c r="AD100" s="649"/>
      <c r="AE100" s="649"/>
      <c r="AF100" s="649"/>
      <c r="AG100" s="505">
        <f t="shared" si="3"/>
        <v>0</v>
      </c>
    </row>
    <row r="101" spans="1:33">
      <c r="A101" s="506" t="s">
        <v>1970</v>
      </c>
      <c r="B101" s="648">
        <v>294482.42527000001</v>
      </c>
      <c r="C101" s="648">
        <v>294482.42527000001</v>
      </c>
      <c r="D101" s="648">
        <v>284719.34276999999</v>
      </c>
      <c r="E101" s="648">
        <v>284719.34276999999</v>
      </c>
      <c r="F101" s="648">
        <v>290708.20152</v>
      </c>
      <c r="G101" s="648">
        <v>294922.01493</v>
      </c>
      <c r="H101" s="648">
        <v>294922.01493</v>
      </c>
      <c r="I101" s="648">
        <v>286780.92047000001</v>
      </c>
      <c r="J101" s="648">
        <v>286780.92047000001</v>
      </c>
      <c r="K101" s="648">
        <v>286780.92047000001</v>
      </c>
      <c r="L101" s="648">
        <v>286780.92047000001</v>
      </c>
      <c r="M101" s="648">
        <v>286780.92047000001</v>
      </c>
      <c r="N101" s="648">
        <v>286780.92047000001</v>
      </c>
      <c r="O101" s="648">
        <v>286780.92047000001</v>
      </c>
      <c r="P101" s="129">
        <f t="shared" si="2"/>
        <v>288610.75272923085</v>
      </c>
      <c r="Q101" s="648">
        <v>286780.92047000001</v>
      </c>
      <c r="R101" s="648">
        <v>286780.92047000001</v>
      </c>
      <c r="S101" s="648">
        <v>286780.92047000001</v>
      </c>
      <c r="T101" s="648">
        <v>286780.92047000001</v>
      </c>
      <c r="U101" s="648">
        <v>286780.92047000001</v>
      </c>
      <c r="V101" s="648">
        <v>286780.92047000001</v>
      </c>
      <c r="W101" s="648">
        <v>286780.92047000001</v>
      </c>
      <c r="X101" s="648">
        <v>286780.92047000001</v>
      </c>
      <c r="Y101" s="648">
        <v>286780.92047000001</v>
      </c>
      <c r="Z101" s="648">
        <v>286780.92047000001</v>
      </c>
      <c r="AA101" s="648">
        <v>286780.92047000001</v>
      </c>
      <c r="AB101" s="648">
        <v>286780.92047000001</v>
      </c>
      <c r="AC101" s="648">
        <v>286780.92047000001</v>
      </c>
      <c r="AD101" s="648">
        <v>286780.92047000001</v>
      </c>
      <c r="AE101" s="648">
        <v>286780.92047000001</v>
      </c>
      <c r="AF101" s="648">
        <v>286780.92047000001</v>
      </c>
      <c r="AG101" s="505">
        <f t="shared" si="3"/>
        <v>286780.92047000013</v>
      </c>
    </row>
    <row r="102" spans="1:33">
      <c r="A102" s="506" t="s">
        <v>1971</v>
      </c>
      <c r="B102" s="648">
        <v>0</v>
      </c>
      <c r="C102" s="648">
        <v>0</v>
      </c>
      <c r="D102" s="648">
        <v>0</v>
      </c>
      <c r="E102" s="648">
        <v>0</v>
      </c>
      <c r="F102" s="648">
        <v>0</v>
      </c>
      <c r="G102" s="648">
        <v>0</v>
      </c>
      <c r="H102" s="648">
        <v>0</v>
      </c>
      <c r="I102" s="648">
        <v>0</v>
      </c>
      <c r="J102" s="648">
        <v>0</v>
      </c>
      <c r="K102" s="648">
        <v>0</v>
      </c>
      <c r="L102" s="648">
        <v>0</v>
      </c>
      <c r="M102" s="648">
        <v>0</v>
      </c>
      <c r="N102" s="648">
        <v>0</v>
      </c>
      <c r="O102" s="648">
        <v>0</v>
      </c>
      <c r="P102" s="129">
        <f t="shared" si="2"/>
        <v>0</v>
      </c>
      <c r="Q102" s="648">
        <v>0</v>
      </c>
      <c r="R102" s="648">
        <v>0</v>
      </c>
      <c r="S102" s="648">
        <v>0</v>
      </c>
      <c r="T102" s="648">
        <v>0</v>
      </c>
      <c r="U102" s="648">
        <v>0</v>
      </c>
      <c r="V102" s="648">
        <v>0</v>
      </c>
      <c r="W102" s="648">
        <v>0</v>
      </c>
      <c r="X102" s="648">
        <v>0</v>
      </c>
      <c r="Y102" s="648">
        <v>0</v>
      </c>
      <c r="Z102" s="648">
        <v>0</v>
      </c>
      <c r="AA102" s="648">
        <v>0</v>
      </c>
      <c r="AB102" s="648">
        <v>0</v>
      </c>
      <c r="AC102" s="648">
        <v>0</v>
      </c>
      <c r="AD102" s="648">
        <v>0</v>
      </c>
      <c r="AE102" s="648">
        <v>0</v>
      </c>
      <c r="AF102" s="648">
        <v>0</v>
      </c>
      <c r="AG102" s="505">
        <f t="shared" si="3"/>
        <v>0</v>
      </c>
    </row>
    <row r="103" spans="1:33">
      <c r="A103" s="506" t="s">
        <v>1972</v>
      </c>
      <c r="B103" s="648">
        <v>63556.230309999999</v>
      </c>
      <c r="C103" s="648">
        <v>63556.230309999999</v>
      </c>
      <c r="D103" s="648">
        <v>63087.29752</v>
      </c>
      <c r="E103" s="648">
        <v>63087.29752</v>
      </c>
      <c r="F103" s="648">
        <v>63087.29752</v>
      </c>
      <c r="G103" s="648">
        <v>65165.009550000002</v>
      </c>
      <c r="H103" s="648">
        <v>65165.009550000002</v>
      </c>
      <c r="I103" s="648">
        <v>65132.02031</v>
      </c>
      <c r="J103" s="648">
        <v>65132.02031</v>
      </c>
      <c r="K103" s="648">
        <v>65132.02031</v>
      </c>
      <c r="L103" s="648">
        <v>65132.02031</v>
      </c>
      <c r="M103" s="648">
        <v>65132.02031</v>
      </c>
      <c r="N103" s="648">
        <v>65132.02031</v>
      </c>
      <c r="O103" s="648">
        <v>65132.02031</v>
      </c>
      <c r="P103" s="129">
        <f t="shared" si="2"/>
        <v>64544.021856923093</v>
      </c>
      <c r="Q103" s="648">
        <v>65132.02031</v>
      </c>
      <c r="R103" s="648">
        <v>65132.02031</v>
      </c>
      <c r="S103" s="648">
        <v>65132.02031</v>
      </c>
      <c r="T103" s="648">
        <v>65132.02031</v>
      </c>
      <c r="U103" s="648">
        <v>65132.02031</v>
      </c>
      <c r="V103" s="648">
        <v>65132.02031</v>
      </c>
      <c r="W103" s="648">
        <v>65132.02031</v>
      </c>
      <c r="X103" s="648">
        <v>65132.02031</v>
      </c>
      <c r="Y103" s="648">
        <v>65132.02031</v>
      </c>
      <c r="Z103" s="648">
        <v>65132.02031</v>
      </c>
      <c r="AA103" s="648">
        <v>65132.02031</v>
      </c>
      <c r="AB103" s="648">
        <v>65132.02031</v>
      </c>
      <c r="AC103" s="648">
        <v>65132.02031</v>
      </c>
      <c r="AD103" s="648">
        <v>65132.02031</v>
      </c>
      <c r="AE103" s="648">
        <v>65132.02031</v>
      </c>
      <c r="AF103" s="648">
        <v>65132.02031</v>
      </c>
      <c r="AG103" s="505">
        <f t="shared" si="3"/>
        <v>65132.020310000014</v>
      </c>
    </row>
    <row r="104" spans="1:33" ht="15.75" thickBot="1">
      <c r="A104" s="506" t="s">
        <v>1973</v>
      </c>
      <c r="B104" s="650">
        <v>0</v>
      </c>
      <c r="C104" s="650">
        <v>0</v>
      </c>
      <c r="D104" s="650">
        <v>0</v>
      </c>
      <c r="E104" s="650">
        <v>0</v>
      </c>
      <c r="F104" s="650">
        <v>0</v>
      </c>
      <c r="G104" s="650">
        <v>0</v>
      </c>
      <c r="H104" s="650">
        <v>0</v>
      </c>
      <c r="I104" s="650">
        <v>0</v>
      </c>
      <c r="J104" s="650">
        <v>0</v>
      </c>
      <c r="K104" s="650">
        <v>0</v>
      </c>
      <c r="L104" s="650">
        <v>0</v>
      </c>
      <c r="M104" s="650">
        <v>0</v>
      </c>
      <c r="N104" s="650">
        <v>0</v>
      </c>
      <c r="O104" s="650">
        <v>0</v>
      </c>
      <c r="P104" s="129">
        <f t="shared" si="2"/>
        <v>0</v>
      </c>
      <c r="Q104" s="650">
        <v>0</v>
      </c>
      <c r="R104" s="650">
        <v>0</v>
      </c>
      <c r="S104" s="650">
        <v>0</v>
      </c>
      <c r="T104" s="650">
        <v>0</v>
      </c>
      <c r="U104" s="650">
        <v>0</v>
      </c>
      <c r="V104" s="650">
        <v>0</v>
      </c>
      <c r="W104" s="650">
        <v>0</v>
      </c>
      <c r="X104" s="650">
        <v>0</v>
      </c>
      <c r="Y104" s="650">
        <v>0</v>
      </c>
      <c r="Z104" s="650">
        <v>0</v>
      </c>
      <c r="AA104" s="650">
        <v>0</v>
      </c>
      <c r="AB104" s="650">
        <v>0</v>
      </c>
      <c r="AC104" s="650">
        <v>0</v>
      </c>
      <c r="AD104" s="650">
        <v>0</v>
      </c>
      <c r="AE104" s="650">
        <v>0</v>
      </c>
      <c r="AF104" s="650">
        <v>0</v>
      </c>
      <c r="AG104" s="505">
        <f t="shared" si="3"/>
        <v>0</v>
      </c>
    </row>
    <row r="105" spans="1:33">
      <c r="A105" s="506" t="s">
        <v>1969</v>
      </c>
      <c r="B105" s="648">
        <v>358038.65558000002</v>
      </c>
      <c r="C105" s="648">
        <v>358038.65558000002</v>
      </c>
      <c r="D105" s="648">
        <v>347806.64029000001</v>
      </c>
      <c r="E105" s="648">
        <v>347806.64029000001</v>
      </c>
      <c r="F105" s="648">
        <v>353795.49904000002</v>
      </c>
      <c r="G105" s="648">
        <v>360087.02448000002</v>
      </c>
      <c r="H105" s="648">
        <v>360087.02448000002</v>
      </c>
      <c r="I105" s="648">
        <v>351912.94078</v>
      </c>
      <c r="J105" s="648">
        <v>351912.94078</v>
      </c>
      <c r="K105" s="648">
        <v>351912.94078</v>
      </c>
      <c r="L105" s="648">
        <v>351912.94078</v>
      </c>
      <c r="M105" s="648">
        <v>351912.94078</v>
      </c>
      <c r="N105" s="648">
        <v>351912.94078</v>
      </c>
      <c r="O105" s="648">
        <v>351912.94078</v>
      </c>
      <c r="P105" s="129">
        <f t="shared" si="2"/>
        <v>353154.7745861538</v>
      </c>
      <c r="Q105" s="648">
        <v>351912.94078</v>
      </c>
      <c r="R105" s="648">
        <v>351912.94078</v>
      </c>
      <c r="S105" s="648">
        <v>351912.94078</v>
      </c>
      <c r="T105" s="648">
        <v>351912.94078</v>
      </c>
      <c r="U105" s="648">
        <v>351912.94078</v>
      </c>
      <c r="V105" s="648">
        <v>351912.94078</v>
      </c>
      <c r="W105" s="648">
        <v>351912.94078</v>
      </c>
      <c r="X105" s="648">
        <v>351912.94078</v>
      </c>
      <c r="Y105" s="648">
        <v>351912.94078</v>
      </c>
      <c r="Z105" s="648">
        <v>351912.94078</v>
      </c>
      <c r="AA105" s="648">
        <v>351912.94078</v>
      </c>
      <c r="AB105" s="648">
        <v>351912.94078</v>
      </c>
      <c r="AC105" s="648">
        <v>351912.94078</v>
      </c>
      <c r="AD105" s="648">
        <v>351912.94078</v>
      </c>
      <c r="AE105" s="648">
        <v>351912.94078</v>
      </c>
      <c r="AF105" s="648">
        <v>351912.94078</v>
      </c>
      <c r="AG105" s="505">
        <f t="shared" si="3"/>
        <v>351912.94077999989</v>
      </c>
    </row>
    <row r="106" spans="1:33">
      <c r="B106" s="649"/>
      <c r="C106" s="649"/>
      <c r="D106" s="649"/>
      <c r="E106" s="649"/>
      <c r="F106" s="649"/>
      <c r="G106" s="649"/>
      <c r="H106" s="649"/>
      <c r="I106" s="649"/>
      <c r="J106" s="649"/>
      <c r="K106" s="649"/>
      <c r="L106" s="649"/>
      <c r="M106" s="649"/>
      <c r="N106" s="649"/>
      <c r="O106" s="649"/>
      <c r="P106" s="129">
        <f t="shared" si="2"/>
        <v>0</v>
      </c>
      <c r="Q106" s="649"/>
      <c r="R106" s="649"/>
      <c r="S106" s="649"/>
      <c r="T106" s="649"/>
      <c r="U106" s="649"/>
      <c r="V106" s="649"/>
      <c r="W106" s="649"/>
      <c r="X106" s="649"/>
      <c r="Y106" s="649"/>
      <c r="Z106" s="649"/>
      <c r="AA106" s="649"/>
      <c r="AB106" s="649"/>
      <c r="AC106" s="649"/>
      <c r="AD106" s="649"/>
      <c r="AE106" s="649"/>
      <c r="AF106" s="649"/>
      <c r="AG106" s="505">
        <f t="shared" si="3"/>
        <v>0</v>
      </c>
    </row>
    <row r="107" spans="1:33">
      <c r="A107" s="506" t="s">
        <v>1974</v>
      </c>
      <c r="B107" s="649"/>
      <c r="C107" s="649"/>
      <c r="D107" s="649"/>
      <c r="E107" s="649"/>
      <c r="F107" s="649"/>
      <c r="G107" s="649"/>
      <c r="H107" s="649"/>
      <c r="I107" s="649"/>
      <c r="J107" s="649"/>
      <c r="K107" s="649"/>
      <c r="L107" s="649"/>
      <c r="M107" s="649"/>
      <c r="N107" s="649"/>
      <c r="O107" s="649"/>
      <c r="P107" s="129">
        <f t="shared" si="2"/>
        <v>0</v>
      </c>
      <c r="Q107" s="649"/>
      <c r="R107" s="649"/>
      <c r="S107" s="649"/>
      <c r="T107" s="649"/>
      <c r="U107" s="649"/>
      <c r="V107" s="649"/>
      <c r="W107" s="649"/>
      <c r="X107" s="649"/>
      <c r="Y107" s="649"/>
      <c r="Z107" s="649"/>
      <c r="AA107" s="649"/>
      <c r="AB107" s="649"/>
      <c r="AC107" s="649"/>
      <c r="AD107" s="649"/>
      <c r="AE107" s="649"/>
      <c r="AF107" s="649"/>
      <c r="AG107" s="505">
        <f t="shared" si="3"/>
        <v>0</v>
      </c>
    </row>
    <row r="108" spans="1:33">
      <c r="A108" s="506" t="s">
        <v>2400</v>
      </c>
      <c r="B108" s="648">
        <v>0</v>
      </c>
      <c r="C108" s="648">
        <v>0</v>
      </c>
      <c r="D108" s="648">
        <v>0</v>
      </c>
      <c r="E108" s="648">
        <v>0</v>
      </c>
      <c r="F108" s="648">
        <v>0</v>
      </c>
      <c r="G108" s="648">
        <v>0</v>
      </c>
      <c r="H108" s="648">
        <v>0</v>
      </c>
      <c r="I108" s="648">
        <v>0</v>
      </c>
      <c r="J108" s="648">
        <v>0</v>
      </c>
      <c r="K108" s="648">
        <v>0</v>
      </c>
      <c r="L108" s="648">
        <v>0</v>
      </c>
      <c r="M108" s="648">
        <v>0</v>
      </c>
      <c r="N108" s="648">
        <v>0</v>
      </c>
      <c r="O108" s="648">
        <v>0</v>
      </c>
      <c r="P108" s="129">
        <f t="shared" si="2"/>
        <v>0</v>
      </c>
      <c r="Q108" s="648">
        <v>0</v>
      </c>
      <c r="R108" s="648">
        <v>0</v>
      </c>
      <c r="S108" s="648">
        <v>0</v>
      </c>
      <c r="T108" s="648">
        <v>0</v>
      </c>
      <c r="U108" s="648">
        <v>0</v>
      </c>
      <c r="V108" s="648">
        <v>0</v>
      </c>
      <c r="W108" s="648">
        <v>0</v>
      </c>
      <c r="X108" s="648">
        <v>0</v>
      </c>
      <c r="Y108" s="648">
        <v>0</v>
      </c>
      <c r="Z108" s="648">
        <v>0</v>
      </c>
      <c r="AA108" s="648">
        <v>28.629468728049002</v>
      </c>
      <c r="AB108" s="648">
        <v>137.26237533021299</v>
      </c>
      <c r="AC108" s="648">
        <v>280.12406744728401</v>
      </c>
      <c r="AD108" s="648">
        <v>778.90673581045701</v>
      </c>
      <c r="AE108" s="648">
        <v>1377.9341862526201</v>
      </c>
      <c r="AF108" s="648">
        <v>2299.9456780361702</v>
      </c>
      <c r="AG108" s="505">
        <f t="shared" si="3"/>
        <v>377.13865473883027</v>
      </c>
    </row>
    <row r="109" spans="1:33">
      <c r="A109" s="506" t="s">
        <v>1975</v>
      </c>
      <c r="B109" s="648">
        <v>69961.050919999994</v>
      </c>
      <c r="C109" s="648">
        <v>69961.050919999994</v>
      </c>
      <c r="D109" s="648">
        <v>69612.284100000004</v>
      </c>
      <c r="E109" s="648">
        <v>69612.284100000004</v>
      </c>
      <c r="F109" s="648">
        <v>69570.887389999902</v>
      </c>
      <c r="G109" s="648">
        <v>70537.964300000007</v>
      </c>
      <c r="H109" s="648">
        <v>70537.964300000007</v>
      </c>
      <c r="I109" s="648">
        <v>70525.558309999993</v>
      </c>
      <c r="J109" s="648">
        <v>70525.558309999993</v>
      </c>
      <c r="K109" s="648">
        <v>70525.558309999993</v>
      </c>
      <c r="L109" s="648">
        <v>70525.558309999993</v>
      </c>
      <c r="M109" s="648">
        <v>70525.558309999993</v>
      </c>
      <c r="N109" s="648">
        <v>70525.558309999993</v>
      </c>
      <c r="O109" s="648">
        <v>70525.558309999993</v>
      </c>
      <c r="P109" s="129">
        <f t="shared" si="2"/>
        <v>70270.103329230755</v>
      </c>
      <c r="Q109" s="648">
        <v>70525.558309999993</v>
      </c>
      <c r="R109" s="648">
        <v>70525.558309999993</v>
      </c>
      <c r="S109" s="648">
        <v>70525.558309999993</v>
      </c>
      <c r="T109" s="648">
        <v>70525.558309999993</v>
      </c>
      <c r="U109" s="648">
        <v>70525.558309999993</v>
      </c>
      <c r="V109" s="648">
        <v>70525.558309999993</v>
      </c>
      <c r="W109" s="648">
        <v>70525.558309999993</v>
      </c>
      <c r="X109" s="648">
        <v>70525.558309999993</v>
      </c>
      <c r="Y109" s="648">
        <v>70525.558309999993</v>
      </c>
      <c r="Z109" s="648">
        <v>70525.558309999993</v>
      </c>
      <c r="AA109" s="648">
        <v>70525.558309999993</v>
      </c>
      <c r="AB109" s="648">
        <v>70525.558309999993</v>
      </c>
      <c r="AC109" s="648">
        <v>70525.558309999993</v>
      </c>
      <c r="AD109" s="648">
        <v>70525.558309999993</v>
      </c>
      <c r="AE109" s="648">
        <v>70525.558309999993</v>
      </c>
      <c r="AF109" s="648">
        <v>70525.558309999993</v>
      </c>
      <c r="AG109" s="505">
        <f t="shared" si="3"/>
        <v>70525.558309999993</v>
      </c>
    </row>
    <row r="110" spans="1:33">
      <c r="A110" s="506" t="s">
        <v>1976</v>
      </c>
      <c r="B110" s="648">
        <v>125250.47949</v>
      </c>
      <c r="C110" s="648">
        <v>125250.47949</v>
      </c>
      <c r="D110" s="648">
        <v>124499.67148999999</v>
      </c>
      <c r="E110" s="648">
        <v>124499.67148999999</v>
      </c>
      <c r="F110" s="648">
        <v>124499.67148999999</v>
      </c>
      <c r="G110" s="648">
        <v>125075.594489999</v>
      </c>
      <c r="H110" s="648">
        <v>125075.594489999</v>
      </c>
      <c r="I110" s="648">
        <v>125075.594489999</v>
      </c>
      <c r="J110" s="648">
        <v>124812.753103001</v>
      </c>
      <c r="K110" s="648">
        <v>124275.172605902</v>
      </c>
      <c r="L110" s="648">
        <v>123737.592108803</v>
      </c>
      <c r="M110" s="648">
        <v>174424.70972180401</v>
      </c>
      <c r="N110" s="648">
        <v>173641.96894273499</v>
      </c>
      <c r="O110" s="648">
        <v>172859.228163666</v>
      </c>
      <c r="P110" s="129">
        <f t="shared" si="2"/>
        <v>135979.05400583908</v>
      </c>
      <c r="Q110" s="648">
        <v>172777.87693861101</v>
      </c>
      <c r="R110" s="648">
        <v>171995.13615954199</v>
      </c>
      <c r="S110" s="648">
        <v>171212.395380473</v>
      </c>
      <c r="T110" s="648">
        <v>171131.044155418</v>
      </c>
      <c r="U110" s="648">
        <v>170348.30337634901</v>
      </c>
      <c r="V110" s="648">
        <v>169565.56259727999</v>
      </c>
      <c r="W110" s="648">
        <v>169484.21137222499</v>
      </c>
      <c r="X110" s="648">
        <v>168701.47059315699</v>
      </c>
      <c r="Y110" s="648">
        <v>167918.729814088</v>
      </c>
      <c r="Z110" s="648">
        <v>167837.378589033</v>
      </c>
      <c r="AA110" s="648">
        <v>167058.020600071</v>
      </c>
      <c r="AB110" s="648">
        <v>166278.662611109</v>
      </c>
      <c r="AC110" s="648">
        <v>166098.35176661599</v>
      </c>
      <c r="AD110" s="648">
        <v>165318.99377765399</v>
      </c>
      <c r="AE110" s="648">
        <v>164539.63578869199</v>
      </c>
      <c r="AF110" s="648">
        <v>164359.324944199</v>
      </c>
      <c r="AG110" s="505">
        <f t="shared" si="3"/>
        <v>167587.66846045313</v>
      </c>
    </row>
    <row r="111" spans="1:33">
      <c r="A111" s="506" t="s">
        <v>1977</v>
      </c>
      <c r="B111" s="648">
        <v>27650.774689999998</v>
      </c>
      <c r="C111" s="648">
        <v>27116.10354</v>
      </c>
      <c r="D111" s="648">
        <v>26581.432390000002</v>
      </c>
      <c r="E111" s="648">
        <v>26046.76124</v>
      </c>
      <c r="F111" s="648">
        <v>25512.0900899999</v>
      </c>
      <c r="G111" s="648">
        <v>24977.41894</v>
      </c>
      <c r="H111" s="648">
        <v>24442.747790000001</v>
      </c>
      <c r="I111" s="648">
        <v>23908.076639999999</v>
      </c>
      <c r="J111" s="648">
        <v>23373.405490000001</v>
      </c>
      <c r="K111" s="648">
        <v>22838.734339999999</v>
      </c>
      <c r="L111" s="648">
        <v>22304.063190000001</v>
      </c>
      <c r="M111" s="648">
        <v>21769.392039999999</v>
      </c>
      <c r="N111" s="648">
        <v>21234.720890000001</v>
      </c>
      <c r="O111" s="648">
        <v>20700.049739999999</v>
      </c>
      <c r="P111" s="129">
        <f t="shared" si="2"/>
        <v>23908.076639999992</v>
      </c>
      <c r="Q111" s="648">
        <v>20165.37859</v>
      </c>
      <c r="R111" s="648">
        <v>19630.707439999998</v>
      </c>
      <c r="S111" s="648">
        <v>19096.03629</v>
      </c>
      <c r="T111" s="648">
        <v>18561.365140000002</v>
      </c>
      <c r="U111" s="648">
        <v>18026.69399</v>
      </c>
      <c r="V111" s="648">
        <v>17492.022840000001</v>
      </c>
      <c r="W111" s="648">
        <v>16957.35169</v>
      </c>
      <c r="X111" s="648">
        <v>16422.680540000001</v>
      </c>
      <c r="Y111" s="648">
        <v>15888.009389999999</v>
      </c>
      <c r="Z111" s="648">
        <v>15353.338239999999</v>
      </c>
      <c r="AA111" s="648">
        <v>14858.069289999999</v>
      </c>
      <c r="AB111" s="648">
        <v>14362.80034</v>
      </c>
      <c r="AC111" s="648">
        <v>13867.53139</v>
      </c>
      <c r="AD111" s="648">
        <v>13372.26244</v>
      </c>
      <c r="AE111" s="648">
        <v>12876.993490000001</v>
      </c>
      <c r="AF111" s="648">
        <v>12381.724539999999</v>
      </c>
      <c r="AG111" s="505">
        <f t="shared" si="3"/>
        <v>15416.987947692305</v>
      </c>
    </row>
    <row r="112" spans="1:33">
      <c r="A112" s="506" t="s">
        <v>1978</v>
      </c>
      <c r="B112" s="648">
        <v>8818</v>
      </c>
      <c r="C112" s="648">
        <v>701.3</v>
      </c>
      <c r="D112" s="648">
        <v>36</v>
      </c>
      <c r="E112" s="648">
        <v>942</v>
      </c>
      <c r="F112" s="648">
        <v>708</v>
      </c>
      <c r="G112" s="648">
        <v>0</v>
      </c>
      <c r="H112" s="648">
        <v>0</v>
      </c>
      <c r="I112" s="648">
        <v>0</v>
      </c>
      <c r="J112" s="648">
        <v>2400.5360472238599</v>
      </c>
      <c r="K112" s="648">
        <v>6507.7053948505099</v>
      </c>
      <c r="L112" s="648">
        <v>8632.5358983058995</v>
      </c>
      <c r="M112" s="648">
        <v>7708.7143410839199</v>
      </c>
      <c r="N112" s="648">
        <v>6462.0435820502898</v>
      </c>
      <c r="O112" s="648">
        <v>7828.1854589310897</v>
      </c>
      <c r="P112" s="129">
        <f t="shared" si="2"/>
        <v>3225.1554401881203</v>
      </c>
      <c r="Q112" s="648">
        <v>9374.8728331822495</v>
      </c>
      <c r="R112" s="648">
        <v>8756.3214694930102</v>
      </c>
      <c r="S112" s="648">
        <v>7778.5683853523697</v>
      </c>
      <c r="T112" s="648">
        <v>8291.4430257863205</v>
      </c>
      <c r="U112" s="648">
        <v>10503.3800107935</v>
      </c>
      <c r="V112" s="648">
        <v>11892.705898964599</v>
      </c>
      <c r="W112" s="648">
        <v>11481.8779591124</v>
      </c>
      <c r="X112" s="648">
        <v>13158.6428356614</v>
      </c>
      <c r="Y112" s="648">
        <v>14026.465490865001</v>
      </c>
      <c r="Z112" s="648">
        <v>12669.8559653211</v>
      </c>
      <c r="AA112" s="648">
        <v>11634.3230462785</v>
      </c>
      <c r="AB112" s="648">
        <v>12448.0046223919</v>
      </c>
      <c r="AC112" s="648">
        <v>14454.0663907776</v>
      </c>
      <c r="AD112" s="648">
        <v>15905.7905578874</v>
      </c>
      <c r="AE112" s="648">
        <v>13430.002767157999</v>
      </c>
      <c r="AF112" s="648">
        <v>12628.1831397111</v>
      </c>
      <c r="AG112" s="505">
        <f t="shared" si="3"/>
        <v>12501.903208516063</v>
      </c>
    </row>
    <row r="113" spans="1:33">
      <c r="A113" s="506" t="s">
        <v>1979</v>
      </c>
      <c r="B113" s="648">
        <v>141740.77565</v>
      </c>
      <c r="C113" s="648">
        <v>146385.03149999899</v>
      </c>
      <c r="D113" s="648">
        <v>151058.93302999999</v>
      </c>
      <c r="E113" s="648">
        <v>155722.11401999899</v>
      </c>
      <c r="F113" s="648">
        <v>160394.19121999899</v>
      </c>
      <c r="G113" s="648">
        <v>165091.23734999899</v>
      </c>
      <c r="H113" s="648">
        <v>169767.66772</v>
      </c>
      <c r="I113" s="648">
        <v>174426.68058999901</v>
      </c>
      <c r="J113" s="648">
        <v>179066.29188355</v>
      </c>
      <c r="K113" s="648">
        <v>183698.446396402</v>
      </c>
      <c r="L113" s="648">
        <v>188480.43805668899</v>
      </c>
      <c r="M113" s="648">
        <v>194279.85475864599</v>
      </c>
      <c r="N113" s="648">
        <v>198889.39207666399</v>
      </c>
      <c r="O113" s="648">
        <v>203624.74597173301</v>
      </c>
      <c r="P113" s="129">
        <f t="shared" si="2"/>
        <v>174683.46342874455</v>
      </c>
      <c r="Q113" s="648">
        <v>208241.727915953</v>
      </c>
      <c r="R113" s="648">
        <v>212879.272143407</v>
      </c>
      <c r="S113" s="648">
        <v>217540.303913518</v>
      </c>
      <c r="T113" s="648">
        <v>222205.78042910399</v>
      </c>
      <c r="U113" s="648">
        <v>226905.35376585301</v>
      </c>
      <c r="V113" s="648">
        <v>231522.522996552</v>
      </c>
      <c r="W113" s="648">
        <v>236141.834628618</v>
      </c>
      <c r="X113" s="648">
        <v>240748.26184310301</v>
      </c>
      <c r="Y113" s="648">
        <v>245354.95271573399</v>
      </c>
      <c r="Z113" s="648">
        <v>249948.755720135</v>
      </c>
      <c r="AA113" s="648">
        <v>254326.43101158401</v>
      </c>
      <c r="AB113" s="648">
        <v>258819.35069524701</v>
      </c>
      <c r="AC113" s="648">
        <v>263183.24057781801</v>
      </c>
      <c r="AD113" s="648">
        <v>267534.69297269202</v>
      </c>
      <c r="AE113" s="648">
        <v>271860.454712181</v>
      </c>
      <c r="AF113" s="648">
        <v>276173.45148819103</v>
      </c>
      <c r="AG113" s="505">
        <f t="shared" si="3"/>
        <v>249594.23719667786</v>
      </c>
    </row>
    <row r="114" spans="1:33" ht="15.75" thickBot="1">
      <c r="A114" s="506" t="s">
        <v>1980</v>
      </c>
      <c r="B114" s="650">
        <v>8249.15337</v>
      </c>
      <c r="C114" s="650">
        <v>8977.0394799999995</v>
      </c>
      <c r="D114" s="650">
        <v>9647.9255099999991</v>
      </c>
      <c r="E114" s="650">
        <v>11451.81162</v>
      </c>
      <c r="F114" s="650">
        <v>12284.69773</v>
      </c>
      <c r="G114" s="650">
        <v>13481.35917</v>
      </c>
      <c r="H114" s="650">
        <v>12968.7834</v>
      </c>
      <c r="I114" s="650">
        <v>12804.969010000001</v>
      </c>
      <c r="J114" s="650">
        <v>12169.0253511264</v>
      </c>
      <c r="K114" s="650">
        <v>11533.081692252899</v>
      </c>
      <c r="L114" s="650">
        <v>10897.1380333794</v>
      </c>
      <c r="M114" s="650">
        <v>10261.1943745059</v>
      </c>
      <c r="N114" s="650">
        <v>9625.25071563237</v>
      </c>
      <c r="O114" s="650">
        <v>8989.3070567588493</v>
      </c>
      <c r="P114" s="129">
        <f t="shared" si="2"/>
        <v>11160.891011050448</v>
      </c>
      <c r="Q114" s="650">
        <v>8353.3633978853304</v>
      </c>
      <c r="R114" s="650">
        <v>7717.4197390117997</v>
      </c>
      <c r="S114" s="650">
        <v>7081.4760801382799</v>
      </c>
      <c r="T114" s="650">
        <v>6445.5324212647502</v>
      </c>
      <c r="U114" s="650">
        <v>5876.2718284983403</v>
      </c>
      <c r="V114" s="650">
        <v>5307.0112355108604</v>
      </c>
      <c r="W114" s="650">
        <v>4737.7506425233696</v>
      </c>
      <c r="X114" s="650">
        <v>4168.4900495358797</v>
      </c>
      <c r="Y114" s="650">
        <v>3599.2294565483899</v>
      </c>
      <c r="Z114" s="650">
        <v>3029.9688635609</v>
      </c>
      <c r="AA114" s="650">
        <v>2460.7082705734101</v>
      </c>
      <c r="AB114" s="650">
        <v>1891.44767758593</v>
      </c>
      <c r="AC114" s="650">
        <v>1322.1870845984399</v>
      </c>
      <c r="AD114" s="650">
        <v>752.92649014660401</v>
      </c>
      <c r="AE114" s="650">
        <v>183.665897020975</v>
      </c>
      <c r="AF114" s="650">
        <v>-385.59469610465402</v>
      </c>
      <c r="AG114" s="505">
        <f t="shared" si="3"/>
        <v>3029.9688631740914</v>
      </c>
    </row>
    <row r="115" spans="1:33">
      <c r="A115" s="506" t="s">
        <v>1974</v>
      </c>
      <c r="B115" s="648">
        <v>381670.23411999998</v>
      </c>
      <c r="C115" s="648">
        <v>378391.00493</v>
      </c>
      <c r="D115" s="648">
        <v>381436.24651999999</v>
      </c>
      <c r="E115" s="648">
        <v>388274.64246999897</v>
      </c>
      <c r="F115" s="648">
        <v>392969.53791999997</v>
      </c>
      <c r="G115" s="648">
        <v>399163.57425000001</v>
      </c>
      <c r="H115" s="648">
        <v>402792.75770000002</v>
      </c>
      <c r="I115" s="648">
        <v>406740.87903999898</v>
      </c>
      <c r="J115" s="648">
        <v>412347.570184902</v>
      </c>
      <c r="K115" s="648">
        <v>419378.69873940799</v>
      </c>
      <c r="L115" s="648">
        <v>424577.32559717802</v>
      </c>
      <c r="M115" s="648">
        <v>478969.42354604002</v>
      </c>
      <c r="N115" s="648">
        <v>480378.93451708299</v>
      </c>
      <c r="O115" s="648">
        <v>484527.074701089</v>
      </c>
      <c r="P115" s="129">
        <f t="shared" si="2"/>
        <v>419226.74385505379</v>
      </c>
      <c r="Q115" s="648">
        <v>489438.77798563201</v>
      </c>
      <c r="R115" s="648">
        <v>491504.415261455</v>
      </c>
      <c r="S115" s="648">
        <v>493234.33835948299</v>
      </c>
      <c r="T115" s="648">
        <v>497160.72348157398</v>
      </c>
      <c r="U115" s="648">
        <v>502185.56128149503</v>
      </c>
      <c r="V115" s="648">
        <v>506305.383878308</v>
      </c>
      <c r="W115" s="648">
        <v>509328.58460247901</v>
      </c>
      <c r="X115" s="648">
        <v>513725.104171457</v>
      </c>
      <c r="Y115" s="648">
        <v>517312.94517723599</v>
      </c>
      <c r="Z115" s="648">
        <v>519364.85568804998</v>
      </c>
      <c r="AA115" s="648">
        <v>520891.73999723501</v>
      </c>
      <c r="AB115" s="648">
        <v>524463.08663166501</v>
      </c>
      <c r="AC115" s="648">
        <v>529731.05958725698</v>
      </c>
      <c r="AD115" s="648">
        <v>534189.13128419104</v>
      </c>
      <c r="AE115" s="648">
        <v>534794.24515130499</v>
      </c>
      <c r="AF115" s="648">
        <v>537982.59340403299</v>
      </c>
      <c r="AG115" s="505">
        <f t="shared" si="3"/>
        <v>519033.46264125273</v>
      </c>
    </row>
    <row r="116" spans="1:33">
      <c r="B116" s="649"/>
      <c r="C116" s="649"/>
      <c r="D116" s="649"/>
      <c r="E116" s="649"/>
      <c r="F116" s="649"/>
      <c r="G116" s="649"/>
      <c r="H116" s="649"/>
      <c r="I116" s="649"/>
      <c r="J116" s="649"/>
      <c r="K116" s="649"/>
      <c r="L116" s="649"/>
      <c r="M116" s="649"/>
      <c r="N116" s="649"/>
      <c r="O116" s="649"/>
      <c r="P116" s="129">
        <f t="shared" si="2"/>
        <v>0</v>
      </c>
      <c r="Q116" s="649"/>
      <c r="R116" s="649"/>
      <c r="S116" s="649"/>
      <c r="T116" s="649"/>
      <c r="U116" s="649"/>
      <c r="V116" s="649"/>
      <c r="W116" s="649"/>
      <c r="X116" s="649"/>
      <c r="Y116" s="649"/>
      <c r="Z116" s="649"/>
      <c r="AA116" s="649"/>
      <c r="AB116" s="649"/>
      <c r="AC116" s="649"/>
      <c r="AD116" s="649"/>
      <c r="AE116" s="649"/>
      <c r="AF116" s="649"/>
      <c r="AG116" s="505">
        <f t="shared" si="3"/>
        <v>0</v>
      </c>
    </row>
    <row r="117" spans="1:33">
      <c r="A117" s="506" t="s">
        <v>1981</v>
      </c>
      <c r="B117" s="649"/>
      <c r="C117" s="649"/>
      <c r="D117" s="649"/>
      <c r="E117" s="649"/>
      <c r="F117" s="649"/>
      <c r="G117" s="649"/>
      <c r="H117" s="649"/>
      <c r="I117" s="649"/>
      <c r="J117" s="649"/>
      <c r="K117" s="649"/>
      <c r="L117" s="649"/>
      <c r="M117" s="649"/>
      <c r="N117" s="649"/>
      <c r="O117" s="649"/>
      <c r="P117" s="129">
        <f t="shared" si="2"/>
        <v>0</v>
      </c>
      <c r="Q117" s="649"/>
      <c r="R117" s="649"/>
      <c r="S117" s="649"/>
      <c r="T117" s="649"/>
      <c r="U117" s="649"/>
      <c r="V117" s="649"/>
      <c r="W117" s="649"/>
      <c r="X117" s="649"/>
      <c r="Y117" s="649"/>
      <c r="Z117" s="649"/>
      <c r="AA117" s="649"/>
      <c r="AB117" s="649"/>
      <c r="AC117" s="649"/>
      <c r="AD117" s="649"/>
      <c r="AE117" s="649"/>
      <c r="AF117" s="649"/>
      <c r="AG117" s="505">
        <f t="shared" si="3"/>
        <v>0</v>
      </c>
    </row>
    <row r="118" spans="1:33">
      <c r="A118" s="506" t="s">
        <v>1982</v>
      </c>
      <c r="B118" s="648">
        <v>3580.5871699999998</v>
      </c>
      <c r="C118" s="648">
        <v>3580.5871699999998</v>
      </c>
      <c r="D118" s="648">
        <v>3581.9050499999998</v>
      </c>
      <c r="E118" s="648">
        <v>3593.11301</v>
      </c>
      <c r="F118" s="648">
        <v>3603.5034900000001</v>
      </c>
      <c r="G118" s="648">
        <v>3603.5034900000001</v>
      </c>
      <c r="H118" s="648">
        <v>3603.5034900000001</v>
      </c>
      <c r="I118" s="648">
        <v>3603.5034900000001</v>
      </c>
      <c r="J118" s="648">
        <v>3603.5034900000001</v>
      </c>
      <c r="K118" s="648">
        <v>3603.5034900000001</v>
      </c>
      <c r="L118" s="648">
        <v>3603.5034900000001</v>
      </c>
      <c r="M118" s="648">
        <v>3603.5034900000001</v>
      </c>
      <c r="N118" s="648">
        <v>3603.5034900000001</v>
      </c>
      <c r="O118" s="648">
        <v>3603.5034900000001</v>
      </c>
      <c r="P118" s="129">
        <f t="shared" si="2"/>
        <v>3599.2800100000004</v>
      </c>
      <c r="Q118" s="648">
        <v>3603.5034900000001</v>
      </c>
      <c r="R118" s="648">
        <v>3603.5034900000001</v>
      </c>
      <c r="S118" s="648">
        <v>3603.5034900000001</v>
      </c>
      <c r="T118" s="648">
        <v>3603.5034900000001</v>
      </c>
      <c r="U118" s="648">
        <v>3603.5034900000001</v>
      </c>
      <c r="V118" s="648">
        <v>3603.5034900000001</v>
      </c>
      <c r="W118" s="648">
        <v>3603.5034900000001</v>
      </c>
      <c r="X118" s="648">
        <v>3603.5034900000001</v>
      </c>
      <c r="Y118" s="648">
        <v>3603.5034900000001</v>
      </c>
      <c r="Z118" s="648">
        <v>3603.5034900000001</v>
      </c>
      <c r="AA118" s="648">
        <v>3603.5034900000001</v>
      </c>
      <c r="AB118" s="648">
        <v>3603.5034900000001</v>
      </c>
      <c r="AC118" s="648">
        <v>3603.5034900000001</v>
      </c>
      <c r="AD118" s="648">
        <v>3603.5034900000001</v>
      </c>
      <c r="AE118" s="648">
        <v>3603.5034900000001</v>
      </c>
      <c r="AF118" s="648">
        <v>3603.5034900000001</v>
      </c>
      <c r="AG118" s="505">
        <f t="shared" si="3"/>
        <v>3603.5034900000005</v>
      </c>
    </row>
    <row r="119" spans="1:33">
      <c r="A119" s="506" t="s">
        <v>1983</v>
      </c>
      <c r="B119" s="648">
        <v>3174.8388500000001</v>
      </c>
      <c r="C119" s="648">
        <v>3255.1488399999998</v>
      </c>
      <c r="D119" s="648">
        <v>3381.3730799999998</v>
      </c>
      <c r="E119" s="648">
        <v>1992.7544600000001</v>
      </c>
      <c r="F119" s="648">
        <v>1909.15128</v>
      </c>
      <c r="G119" s="648">
        <v>1859.7899299999999</v>
      </c>
      <c r="H119" s="648">
        <v>2131.3299400000001</v>
      </c>
      <c r="I119" s="648">
        <v>2096.2747100000001</v>
      </c>
      <c r="J119" s="648">
        <v>2096.2747100000001</v>
      </c>
      <c r="K119" s="648">
        <v>2096.2747100000001</v>
      </c>
      <c r="L119" s="648">
        <v>2096.2747100000001</v>
      </c>
      <c r="M119" s="648">
        <v>2096.2747100000001</v>
      </c>
      <c r="N119" s="648">
        <v>2096.2747100000001</v>
      </c>
      <c r="O119" s="648">
        <v>2096.2747100000001</v>
      </c>
      <c r="P119" s="129">
        <f t="shared" si="2"/>
        <v>2246.4208076923087</v>
      </c>
      <c r="Q119" s="648">
        <v>2096.2747100000001</v>
      </c>
      <c r="R119" s="648">
        <v>2096.2747100000001</v>
      </c>
      <c r="S119" s="648">
        <v>2096.2747100000001</v>
      </c>
      <c r="T119" s="648">
        <v>2096.2747100000001</v>
      </c>
      <c r="U119" s="648">
        <v>2096.2747100000001</v>
      </c>
      <c r="V119" s="648">
        <v>2096.2747100000001</v>
      </c>
      <c r="W119" s="648">
        <v>2096.2747100000001</v>
      </c>
      <c r="X119" s="648">
        <v>2096.2747100000001</v>
      </c>
      <c r="Y119" s="648">
        <v>2096.2747100000001</v>
      </c>
      <c r="Z119" s="648">
        <v>2096.2747100000001</v>
      </c>
      <c r="AA119" s="648">
        <v>2096.2747100000001</v>
      </c>
      <c r="AB119" s="648">
        <v>2096.2747100000001</v>
      </c>
      <c r="AC119" s="648">
        <v>2096.2747100000001</v>
      </c>
      <c r="AD119" s="648">
        <v>2096.2747100000001</v>
      </c>
      <c r="AE119" s="648">
        <v>2096.2747100000001</v>
      </c>
      <c r="AF119" s="648">
        <v>2096.2747100000001</v>
      </c>
      <c r="AG119" s="505">
        <f t="shared" si="3"/>
        <v>2096.2747100000006</v>
      </c>
    </row>
    <row r="120" spans="1:33">
      <c r="A120" s="506" t="s">
        <v>1984</v>
      </c>
      <c r="B120" s="648">
        <v>-736.99548000000004</v>
      </c>
      <c r="C120" s="648">
        <v>-1636.27485</v>
      </c>
      <c r="D120" s="648">
        <v>513.04772000000003</v>
      </c>
      <c r="E120" s="648">
        <v>-467.73795999999999</v>
      </c>
      <c r="F120" s="648">
        <v>-1117.29412</v>
      </c>
      <c r="G120" s="648">
        <v>515.34529999999995</v>
      </c>
      <c r="H120" s="648">
        <v>97.075050000000104</v>
      </c>
      <c r="I120" s="648">
        <v>-695.65135999999995</v>
      </c>
      <c r="J120" s="648">
        <v>-695.65135999999995</v>
      </c>
      <c r="K120" s="648">
        <v>-695.65135999999995</v>
      </c>
      <c r="L120" s="648">
        <v>-695.65135999999995</v>
      </c>
      <c r="M120" s="648">
        <v>-695.65135999999995</v>
      </c>
      <c r="N120" s="648">
        <v>-695.65135999999995</v>
      </c>
      <c r="O120" s="648">
        <v>-695.65135999999995</v>
      </c>
      <c r="P120" s="129">
        <f t="shared" si="2"/>
        <v>-535.79987538461535</v>
      </c>
      <c r="Q120" s="648">
        <v>-695.65135999999995</v>
      </c>
      <c r="R120" s="648">
        <v>-695.65135999999995</v>
      </c>
      <c r="S120" s="648">
        <v>-695.65135999999995</v>
      </c>
      <c r="T120" s="648">
        <v>-695.65135999999995</v>
      </c>
      <c r="U120" s="648">
        <v>-695.65135999999995</v>
      </c>
      <c r="V120" s="648">
        <v>-695.65135999999995</v>
      </c>
      <c r="W120" s="648">
        <v>-695.65135999999995</v>
      </c>
      <c r="X120" s="648">
        <v>-695.65135999999995</v>
      </c>
      <c r="Y120" s="648">
        <v>-695.65135999999995</v>
      </c>
      <c r="Z120" s="648">
        <v>-695.65135999999995</v>
      </c>
      <c r="AA120" s="648">
        <v>-695.65135999999995</v>
      </c>
      <c r="AB120" s="648">
        <v>-695.65135999999995</v>
      </c>
      <c r="AC120" s="648">
        <v>-695.65135999999995</v>
      </c>
      <c r="AD120" s="648">
        <v>-695.65135999999995</v>
      </c>
      <c r="AE120" s="648">
        <v>-695.65135999999995</v>
      </c>
      <c r="AF120" s="648">
        <v>-695.65135999999995</v>
      </c>
      <c r="AG120" s="505">
        <f t="shared" si="3"/>
        <v>-695.65135999999995</v>
      </c>
    </row>
    <row r="121" spans="1:33">
      <c r="A121" s="506" t="s">
        <v>1985</v>
      </c>
      <c r="B121" s="648">
        <v>-468.37965000000003</v>
      </c>
      <c r="C121" s="648">
        <v>-960.10874000000001</v>
      </c>
      <c r="D121" s="648">
        <v>-262.92409999999899</v>
      </c>
      <c r="E121" s="648">
        <v>-730.03021999999896</v>
      </c>
      <c r="F121" s="648">
        <v>-1244.75989</v>
      </c>
      <c r="G121" s="648">
        <v>216.77055999999999</v>
      </c>
      <c r="H121" s="648">
        <v>-822.58498999999995</v>
      </c>
      <c r="I121" s="648">
        <v>-1480.7449200000001</v>
      </c>
      <c r="J121" s="648">
        <v>-1480.7449200000001</v>
      </c>
      <c r="K121" s="648">
        <v>-1480.7449200000001</v>
      </c>
      <c r="L121" s="648">
        <v>-1480.7449200000001</v>
      </c>
      <c r="M121" s="648">
        <v>-1480.7449200000001</v>
      </c>
      <c r="N121" s="648">
        <v>-1480.7449200000001</v>
      </c>
      <c r="O121" s="648">
        <v>-1480.7449200000001</v>
      </c>
      <c r="P121" s="129">
        <f t="shared" si="2"/>
        <v>-1089.9116784615385</v>
      </c>
      <c r="Q121" s="648">
        <v>-1480.7449200000001</v>
      </c>
      <c r="R121" s="648">
        <v>-1480.7449200000001</v>
      </c>
      <c r="S121" s="648">
        <v>-1480.7449200000001</v>
      </c>
      <c r="T121" s="648">
        <v>-1480.7449200000001</v>
      </c>
      <c r="U121" s="648">
        <v>-1480.7449200000001</v>
      </c>
      <c r="V121" s="648">
        <v>-1480.7449200000001</v>
      </c>
      <c r="W121" s="648">
        <v>-1480.7449200000001</v>
      </c>
      <c r="X121" s="648">
        <v>-1480.7449200000001</v>
      </c>
      <c r="Y121" s="648">
        <v>-1480.7449200000001</v>
      </c>
      <c r="Z121" s="648">
        <v>-1480.7449200000001</v>
      </c>
      <c r="AA121" s="648">
        <v>-1480.7449200000001</v>
      </c>
      <c r="AB121" s="648">
        <v>-1480.7449200000001</v>
      </c>
      <c r="AC121" s="648">
        <v>-1480.7449200000001</v>
      </c>
      <c r="AD121" s="648">
        <v>-1480.7449200000001</v>
      </c>
      <c r="AE121" s="648">
        <v>-1480.7449200000001</v>
      </c>
      <c r="AF121" s="648">
        <v>-1480.7449200000001</v>
      </c>
      <c r="AG121" s="505">
        <f t="shared" si="3"/>
        <v>-1480.7449200000005</v>
      </c>
    </row>
    <row r="122" spans="1:33">
      <c r="A122" s="506" t="s">
        <v>1986</v>
      </c>
      <c r="B122" s="648">
        <v>-2002.2912100000101</v>
      </c>
      <c r="C122" s="648">
        <v>-1598.54647000001</v>
      </c>
      <c r="D122" s="648">
        <v>-1067.3022699999699</v>
      </c>
      <c r="E122" s="648">
        <v>-1005.91811999999</v>
      </c>
      <c r="F122" s="648">
        <v>-922.391819999993</v>
      </c>
      <c r="G122" s="648">
        <v>-1341.0187799999901</v>
      </c>
      <c r="H122" s="648">
        <v>-1324.2904700000099</v>
      </c>
      <c r="I122" s="648">
        <v>-968.71097000000304</v>
      </c>
      <c r="J122" s="648">
        <v>-968.71097000000304</v>
      </c>
      <c r="K122" s="648">
        <v>-968.71097000000304</v>
      </c>
      <c r="L122" s="648">
        <v>-968.71097000000304</v>
      </c>
      <c r="M122" s="648">
        <v>-968.71097000000304</v>
      </c>
      <c r="N122" s="648">
        <v>-968.71097000000304</v>
      </c>
      <c r="O122" s="648">
        <v>-968.71097000000304</v>
      </c>
      <c r="P122" s="129">
        <f t="shared" si="2"/>
        <v>-1080.0342092307683</v>
      </c>
      <c r="Q122" s="648">
        <v>-968.71097000000304</v>
      </c>
      <c r="R122" s="648">
        <v>-968.71097000000304</v>
      </c>
      <c r="S122" s="648">
        <v>-968.71097000000304</v>
      </c>
      <c r="T122" s="648">
        <v>-968.71097000000304</v>
      </c>
      <c r="U122" s="648">
        <v>-968.71097000000304</v>
      </c>
      <c r="V122" s="648">
        <v>-968.71097000000304</v>
      </c>
      <c r="W122" s="648">
        <v>-968.71097000000304</v>
      </c>
      <c r="X122" s="648">
        <v>-968.71097000000304</v>
      </c>
      <c r="Y122" s="648">
        <v>-968.71097000000304</v>
      </c>
      <c r="Z122" s="648">
        <v>-968.71097000000304</v>
      </c>
      <c r="AA122" s="648">
        <v>-968.71097000000304</v>
      </c>
      <c r="AB122" s="648">
        <v>-968.71097000000304</v>
      </c>
      <c r="AC122" s="648">
        <v>-968.71097000000304</v>
      </c>
      <c r="AD122" s="648">
        <v>-968.71097000000304</v>
      </c>
      <c r="AE122" s="648">
        <v>-968.71097000000304</v>
      </c>
      <c r="AF122" s="648">
        <v>-968.71097000000304</v>
      </c>
      <c r="AG122" s="505">
        <f t="shared" si="3"/>
        <v>-968.71097000000316</v>
      </c>
    </row>
    <row r="123" spans="1:33">
      <c r="A123" s="506" t="s">
        <v>1987</v>
      </c>
      <c r="B123" s="648">
        <v>3523.4142400000001</v>
      </c>
      <c r="C123" s="648">
        <v>4772.8511699999999</v>
      </c>
      <c r="D123" s="648">
        <v>1560.2995699999999</v>
      </c>
      <c r="E123" s="648">
        <v>3131.4995099999901</v>
      </c>
      <c r="F123" s="648">
        <v>4467.7319600000001</v>
      </c>
      <c r="G123" s="648">
        <v>1858.5988</v>
      </c>
      <c r="H123" s="648">
        <v>3370.8789000000002</v>
      </c>
      <c r="I123" s="648">
        <v>4629.87799</v>
      </c>
      <c r="J123" s="648">
        <v>4629.87799</v>
      </c>
      <c r="K123" s="648">
        <v>4629.87799</v>
      </c>
      <c r="L123" s="648">
        <v>4629.87799</v>
      </c>
      <c r="M123" s="648">
        <v>4629.87799</v>
      </c>
      <c r="N123" s="648">
        <v>4629.87799</v>
      </c>
      <c r="O123" s="648">
        <v>4629.87799</v>
      </c>
      <c r="P123" s="129">
        <f t="shared" si="2"/>
        <v>3967.0004492307685</v>
      </c>
      <c r="Q123" s="648">
        <v>4629.87799</v>
      </c>
      <c r="R123" s="648">
        <v>4629.87799</v>
      </c>
      <c r="S123" s="648">
        <v>4629.87799</v>
      </c>
      <c r="T123" s="648">
        <v>4629.87799</v>
      </c>
      <c r="U123" s="648">
        <v>4629.87799</v>
      </c>
      <c r="V123" s="648">
        <v>4629.87799</v>
      </c>
      <c r="W123" s="648">
        <v>4629.87799</v>
      </c>
      <c r="X123" s="648">
        <v>4629.87799</v>
      </c>
      <c r="Y123" s="648">
        <v>4629.87799</v>
      </c>
      <c r="Z123" s="648">
        <v>4629.87799</v>
      </c>
      <c r="AA123" s="648">
        <v>4629.87799</v>
      </c>
      <c r="AB123" s="648">
        <v>4629.87799</v>
      </c>
      <c r="AC123" s="648">
        <v>4629.87799</v>
      </c>
      <c r="AD123" s="648">
        <v>4629.87799</v>
      </c>
      <c r="AE123" s="648">
        <v>4629.87799</v>
      </c>
      <c r="AF123" s="648">
        <v>4629.87799</v>
      </c>
      <c r="AG123" s="505">
        <f t="shared" si="3"/>
        <v>4629.87799</v>
      </c>
    </row>
    <row r="124" spans="1:33">
      <c r="A124" s="506" t="s">
        <v>1988</v>
      </c>
      <c r="B124" s="648">
        <v>-264.17743999999999</v>
      </c>
      <c r="C124" s="648">
        <v>-525.83493999999996</v>
      </c>
      <c r="D124" s="648">
        <v>-640.63272999999901</v>
      </c>
      <c r="E124" s="648">
        <v>-868.01895999999999</v>
      </c>
      <c r="F124" s="648">
        <v>-1125.8015700000001</v>
      </c>
      <c r="G124" s="648">
        <v>-1159.92527</v>
      </c>
      <c r="H124" s="648">
        <v>-1229.87374</v>
      </c>
      <c r="I124" s="648">
        <v>-1399.65843</v>
      </c>
      <c r="J124" s="648">
        <v>-1399.65843</v>
      </c>
      <c r="K124" s="648">
        <v>-1399.65843</v>
      </c>
      <c r="L124" s="648">
        <v>-1399.65843</v>
      </c>
      <c r="M124" s="648">
        <v>-1399.65843</v>
      </c>
      <c r="N124" s="648">
        <v>-1399.65843</v>
      </c>
      <c r="O124" s="648">
        <v>-1399.65843</v>
      </c>
      <c r="P124" s="129">
        <f t="shared" si="2"/>
        <v>-1180.5920169230767</v>
      </c>
      <c r="Q124" s="648">
        <v>-1399.65843</v>
      </c>
      <c r="R124" s="648">
        <v>-1399.65843</v>
      </c>
      <c r="S124" s="648">
        <v>-1399.65843</v>
      </c>
      <c r="T124" s="648">
        <v>-1399.65843</v>
      </c>
      <c r="U124" s="648">
        <v>-1399.65843</v>
      </c>
      <c r="V124" s="648">
        <v>-1399.65843</v>
      </c>
      <c r="W124" s="648">
        <v>-1399.65843</v>
      </c>
      <c r="X124" s="648">
        <v>-1399.65843</v>
      </c>
      <c r="Y124" s="648">
        <v>-1399.65843</v>
      </c>
      <c r="Z124" s="648">
        <v>-1399.65843</v>
      </c>
      <c r="AA124" s="648">
        <v>-1399.65843</v>
      </c>
      <c r="AB124" s="648">
        <v>-1399.65843</v>
      </c>
      <c r="AC124" s="648">
        <v>-1399.65843</v>
      </c>
      <c r="AD124" s="648">
        <v>-1399.65843</v>
      </c>
      <c r="AE124" s="648">
        <v>-1399.65843</v>
      </c>
      <c r="AF124" s="648">
        <v>-1399.65843</v>
      </c>
      <c r="AG124" s="505">
        <f t="shared" si="3"/>
        <v>-1399.6584299999997</v>
      </c>
    </row>
    <row r="125" spans="1:33">
      <c r="A125" s="506" t="s">
        <v>2401</v>
      </c>
      <c r="B125" s="648">
        <v>0</v>
      </c>
      <c r="C125" s="648">
        <v>0</v>
      </c>
      <c r="D125" s="648">
        <v>0</v>
      </c>
      <c r="E125" s="648">
        <v>0</v>
      </c>
      <c r="F125" s="648">
        <v>0</v>
      </c>
      <c r="G125" s="648">
        <v>0</v>
      </c>
      <c r="H125" s="648">
        <v>0</v>
      </c>
      <c r="I125" s="648">
        <v>0</v>
      </c>
      <c r="J125" s="648">
        <v>0</v>
      </c>
      <c r="K125" s="648">
        <v>0</v>
      </c>
      <c r="L125" s="648">
        <v>0</v>
      </c>
      <c r="M125" s="648">
        <v>0</v>
      </c>
      <c r="N125" s="648">
        <v>0</v>
      </c>
      <c r="O125" s="648">
        <v>0</v>
      </c>
      <c r="P125" s="129">
        <f t="shared" si="2"/>
        <v>0</v>
      </c>
      <c r="Q125" s="648">
        <v>0</v>
      </c>
      <c r="R125" s="648">
        <v>0</v>
      </c>
      <c r="S125" s="648">
        <v>0</v>
      </c>
      <c r="T125" s="648">
        <v>0</v>
      </c>
      <c r="U125" s="648">
        <v>0</v>
      </c>
      <c r="V125" s="648">
        <v>0</v>
      </c>
      <c r="W125" s="648">
        <v>0</v>
      </c>
      <c r="X125" s="648">
        <v>0</v>
      </c>
      <c r="Y125" s="648">
        <v>0</v>
      </c>
      <c r="Z125" s="648">
        <v>0</v>
      </c>
      <c r="AA125" s="648">
        <v>0</v>
      </c>
      <c r="AB125" s="648">
        <v>0</v>
      </c>
      <c r="AC125" s="648">
        <v>0</v>
      </c>
      <c r="AD125" s="648">
        <v>0</v>
      </c>
      <c r="AE125" s="648">
        <v>0</v>
      </c>
      <c r="AF125" s="648">
        <v>0</v>
      </c>
      <c r="AG125" s="505">
        <f t="shared" si="3"/>
        <v>0</v>
      </c>
    </row>
    <row r="126" spans="1:33">
      <c r="A126" s="506" t="s">
        <v>1989</v>
      </c>
      <c r="B126" s="648">
        <v>34441.92931</v>
      </c>
      <c r="C126" s="648">
        <v>34512.093289999997</v>
      </c>
      <c r="D126" s="648">
        <v>34669.464180000003</v>
      </c>
      <c r="E126" s="648">
        <v>34814.000829999997</v>
      </c>
      <c r="F126" s="648">
        <v>34992.480389999997</v>
      </c>
      <c r="G126" s="648">
        <v>35293.348189999997</v>
      </c>
      <c r="H126" s="648">
        <v>35465.958919999997</v>
      </c>
      <c r="I126" s="648">
        <v>34084.46185</v>
      </c>
      <c r="J126" s="648">
        <v>34226.250399999997</v>
      </c>
      <c r="K126" s="648">
        <v>34368.0389499999</v>
      </c>
      <c r="L126" s="648">
        <v>34509.827499999898</v>
      </c>
      <c r="M126" s="648">
        <v>34651.616049999902</v>
      </c>
      <c r="N126" s="648">
        <v>34796.2403674999</v>
      </c>
      <c r="O126" s="648">
        <v>34940.864684999899</v>
      </c>
      <c r="P126" s="129">
        <f t="shared" si="2"/>
        <v>34717.280430961502</v>
      </c>
      <c r="Q126" s="648">
        <v>35085.489002499897</v>
      </c>
      <c r="R126" s="648">
        <v>35230.113319999902</v>
      </c>
      <c r="S126" s="648">
        <v>35374.7376374999</v>
      </c>
      <c r="T126" s="648">
        <v>35519.361954999898</v>
      </c>
      <c r="U126" s="648">
        <v>35663.986272499897</v>
      </c>
      <c r="V126" s="648">
        <v>35808.610589999902</v>
      </c>
      <c r="W126" s="648">
        <v>35953.2349074999</v>
      </c>
      <c r="X126" s="648">
        <v>36097.859224999898</v>
      </c>
      <c r="Y126" s="648">
        <v>36242.483542499896</v>
      </c>
      <c r="Z126" s="648">
        <v>36387.107859999902</v>
      </c>
      <c r="AA126" s="648">
        <v>36534.6246641666</v>
      </c>
      <c r="AB126" s="648">
        <v>36682.141468333299</v>
      </c>
      <c r="AC126" s="648">
        <v>36829.658272499903</v>
      </c>
      <c r="AD126" s="648">
        <v>36977.175076666601</v>
      </c>
      <c r="AE126" s="648">
        <v>37124.691880833299</v>
      </c>
      <c r="AF126" s="648">
        <v>37272.208684999903</v>
      </c>
      <c r="AG126" s="505">
        <f t="shared" si="3"/>
        <v>36391.780338461453</v>
      </c>
    </row>
    <row r="127" spans="1:33">
      <c r="A127" s="506" t="s">
        <v>1990</v>
      </c>
      <c r="B127" s="648">
        <v>7328.4405800000004</v>
      </c>
      <c r="C127" s="648">
        <v>7656.8256199999996</v>
      </c>
      <c r="D127" s="648">
        <v>8068.8435300000001</v>
      </c>
      <c r="E127" s="648">
        <v>8432.9766400000008</v>
      </c>
      <c r="F127" s="648">
        <v>8904.2369399999898</v>
      </c>
      <c r="G127" s="648">
        <v>9334.38842999999</v>
      </c>
      <c r="H127" s="648">
        <v>9814.37673</v>
      </c>
      <c r="I127" s="648">
        <v>10225.104079999999</v>
      </c>
      <c r="J127" s="648">
        <v>10668.873749659901</v>
      </c>
      <c r="K127" s="648">
        <v>11112.6434193198</v>
      </c>
      <c r="L127" s="648">
        <v>11556.4130889798</v>
      </c>
      <c r="M127" s="648">
        <v>12000.182758639699</v>
      </c>
      <c r="N127" s="648">
        <v>11785.751634528</v>
      </c>
      <c r="O127" s="648">
        <v>11571.320510416301</v>
      </c>
      <c r="P127" s="129">
        <f t="shared" si="2"/>
        <v>10087.072087041804</v>
      </c>
      <c r="Q127" s="648">
        <v>11356.8893863046</v>
      </c>
      <c r="R127" s="648">
        <v>11142.4582621929</v>
      </c>
      <c r="S127" s="648">
        <v>10928.027138081199</v>
      </c>
      <c r="T127" s="648">
        <v>10713.5960139695</v>
      </c>
      <c r="U127" s="648">
        <v>10499.164889857801</v>
      </c>
      <c r="V127" s="648">
        <v>10284.733765746099</v>
      </c>
      <c r="W127" s="648">
        <v>10070.3026416344</v>
      </c>
      <c r="X127" s="648">
        <v>9855.8715175227699</v>
      </c>
      <c r="Y127" s="648">
        <v>9641.4403934110705</v>
      </c>
      <c r="Z127" s="648">
        <v>9427.0092692993694</v>
      </c>
      <c r="AA127" s="648">
        <v>9862.8763261731092</v>
      </c>
      <c r="AB127" s="648">
        <v>10298.7433830468</v>
      </c>
      <c r="AC127" s="648">
        <v>10734.6104399205</v>
      </c>
      <c r="AD127" s="648">
        <v>11170.477496794299</v>
      </c>
      <c r="AE127" s="648">
        <v>11606.344553667999</v>
      </c>
      <c r="AF127" s="648">
        <v>12042.211610541801</v>
      </c>
      <c r="AG127" s="505">
        <f t="shared" si="3"/>
        <v>10477.49094627581</v>
      </c>
    </row>
    <row r="128" spans="1:33">
      <c r="A128" s="507" t="s">
        <v>2402</v>
      </c>
      <c r="B128" s="648">
        <v>46.99492</v>
      </c>
      <c r="C128" s="648">
        <v>46.99492</v>
      </c>
      <c r="D128" s="648">
        <v>52.061799999999998</v>
      </c>
      <c r="E128" s="648">
        <v>52.061799999999998</v>
      </c>
      <c r="F128" s="648">
        <v>107.6845</v>
      </c>
      <c r="G128" s="648">
        <v>140.53023999999999</v>
      </c>
      <c r="H128" s="648">
        <v>206.53769</v>
      </c>
      <c r="I128" s="648">
        <v>339.83764000000002</v>
      </c>
      <c r="J128" s="648">
        <v>764.433964039221</v>
      </c>
      <c r="K128" s="648">
        <v>1097.05541669902</v>
      </c>
      <c r="L128" s="648">
        <v>1570.7890007902599</v>
      </c>
      <c r="M128" s="648">
        <v>1595.5386788759499</v>
      </c>
      <c r="N128" s="648">
        <v>1568.5116788759501</v>
      </c>
      <c r="O128" s="648">
        <v>1541.4846788759501</v>
      </c>
      <c r="P128" s="129">
        <f t="shared" si="2"/>
        <v>698.73246216587313</v>
      </c>
      <c r="Q128" s="648">
        <v>1514.45767887595</v>
      </c>
      <c r="R128" s="648">
        <v>1487.43067887595</v>
      </c>
      <c r="S128" s="648">
        <v>1460.4036788759499</v>
      </c>
      <c r="T128" s="648">
        <v>1433.3766788759499</v>
      </c>
      <c r="U128" s="648">
        <v>1406.3496788759501</v>
      </c>
      <c r="V128" s="648">
        <v>1379.32267887595</v>
      </c>
      <c r="W128" s="648">
        <v>1352.29567887595</v>
      </c>
      <c r="X128" s="648">
        <v>1325.2686788759499</v>
      </c>
      <c r="Y128" s="648">
        <v>1298.2416788759499</v>
      </c>
      <c r="Z128" s="648">
        <v>1271.2146788759501</v>
      </c>
      <c r="AA128" s="648">
        <v>1244.18767887595</v>
      </c>
      <c r="AB128" s="648">
        <v>1217.16067887595</v>
      </c>
      <c r="AC128" s="648">
        <v>1190.13367887595</v>
      </c>
      <c r="AD128" s="648">
        <v>1163.1066788759499</v>
      </c>
      <c r="AE128" s="648">
        <v>1136.0796788759501</v>
      </c>
      <c r="AF128" s="648">
        <v>1109.0526788759501</v>
      </c>
      <c r="AG128" s="505">
        <f t="shared" si="3"/>
        <v>1271.2146788759501</v>
      </c>
    </row>
    <row r="129" spans="1:33">
      <c r="A129" s="506" t="s">
        <v>1981</v>
      </c>
      <c r="B129" s="648">
        <v>48624.361289999899</v>
      </c>
      <c r="C129" s="648">
        <v>49103.736009999899</v>
      </c>
      <c r="D129" s="648">
        <v>49856.135829999999</v>
      </c>
      <c r="E129" s="648">
        <v>48944.700989999998</v>
      </c>
      <c r="F129" s="648">
        <v>49574.541160000001</v>
      </c>
      <c r="G129" s="648">
        <v>50321.330889999997</v>
      </c>
      <c r="H129" s="648">
        <v>51312.9115199999</v>
      </c>
      <c r="I129" s="648">
        <v>50434.294079999898</v>
      </c>
      <c r="J129" s="648">
        <v>51444.4486236991</v>
      </c>
      <c r="K129" s="648">
        <v>52362.628296018898</v>
      </c>
      <c r="L129" s="648">
        <v>53421.920099770003</v>
      </c>
      <c r="M129" s="648">
        <v>54032.2279975157</v>
      </c>
      <c r="N129" s="648">
        <v>53935.394190904</v>
      </c>
      <c r="O129" s="648">
        <v>53838.560384292301</v>
      </c>
      <c r="P129" s="129">
        <f t="shared" si="2"/>
        <v>51429.448467092276</v>
      </c>
      <c r="Q129" s="648">
        <v>53741.726577680602</v>
      </c>
      <c r="R129" s="648">
        <v>53644.892771068902</v>
      </c>
      <c r="S129" s="648">
        <v>53548.058964457203</v>
      </c>
      <c r="T129" s="648">
        <v>53451.225157845503</v>
      </c>
      <c r="U129" s="648">
        <v>53354.391351233797</v>
      </c>
      <c r="V129" s="648">
        <v>53257.557544622097</v>
      </c>
      <c r="W129" s="648">
        <v>53160.723738010398</v>
      </c>
      <c r="X129" s="648">
        <v>53063.889931398699</v>
      </c>
      <c r="Y129" s="648">
        <v>52967.056124786999</v>
      </c>
      <c r="Z129" s="648">
        <v>52870.222318175198</v>
      </c>
      <c r="AA129" s="648">
        <v>53426.579179215703</v>
      </c>
      <c r="AB129" s="648">
        <v>53982.9360402561</v>
      </c>
      <c r="AC129" s="648">
        <v>54539.292901296503</v>
      </c>
      <c r="AD129" s="648">
        <v>55095.6497623369</v>
      </c>
      <c r="AE129" s="648">
        <v>55652.006623377303</v>
      </c>
      <c r="AF129" s="648">
        <v>56208.3634844177</v>
      </c>
      <c r="AG129" s="505">
        <f t="shared" si="3"/>
        <v>53925.376473613302</v>
      </c>
    </row>
    <row r="130" spans="1:33">
      <c r="B130" s="649"/>
      <c r="C130" s="649"/>
      <c r="D130" s="649"/>
      <c r="E130" s="649"/>
      <c r="F130" s="649"/>
      <c r="G130" s="649"/>
      <c r="H130" s="649"/>
      <c r="I130" s="649"/>
      <c r="J130" s="649"/>
      <c r="K130" s="649"/>
      <c r="L130" s="649"/>
      <c r="M130" s="649"/>
      <c r="N130" s="649"/>
      <c r="O130" s="649"/>
      <c r="P130" s="129">
        <f t="shared" si="2"/>
        <v>0</v>
      </c>
      <c r="Q130" s="649"/>
      <c r="R130" s="649"/>
      <c r="S130" s="649"/>
      <c r="T130" s="649"/>
      <c r="U130" s="649"/>
      <c r="V130" s="649"/>
      <c r="W130" s="649"/>
      <c r="X130" s="649"/>
      <c r="Y130" s="649"/>
      <c r="Z130" s="649"/>
      <c r="AA130" s="649"/>
      <c r="AB130" s="649"/>
      <c r="AC130" s="649"/>
      <c r="AD130" s="649"/>
      <c r="AE130" s="649"/>
      <c r="AF130" s="649"/>
      <c r="AG130" s="505">
        <f t="shared" si="3"/>
        <v>0</v>
      </c>
    </row>
    <row r="131" spans="1:33">
      <c r="B131" s="649"/>
      <c r="C131" s="649"/>
      <c r="D131" s="649"/>
      <c r="E131" s="649"/>
      <c r="F131" s="649"/>
      <c r="G131" s="649"/>
      <c r="H131" s="649"/>
      <c r="I131" s="649"/>
      <c r="J131" s="649"/>
      <c r="K131" s="649"/>
      <c r="L131" s="649"/>
      <c r="M131" s="649"/>
      <c r="N131" s="649"/>
      <c r="O131" s="649"/>
      <c r="P131" s="129">
        <f t="shared" si="2"/>
        <v>0</v>
      </c>
      <c r="Q131" s="649"/>
      <c r="R131" s="649"/>
      <c r="S131" s="649"/>
      <c r="T131" s="649"/>
      <c r="U131" s="649"/>
      <c r="V131" s="649"/>
      <c r="W131" s="649"/>
      <c r="X131" s="649"/>
      <c r="Y131" s="649"/>
      <c r="Z131" s="649"/>
      <c r="AA131" s="649"/>
      <c r="AB131" s="649"/>
      <c r="AC131" s="649"/>
      <c r="AD131" s="649"/>
      <c r="AE131" s="649"/>
      <c r="AF131" s="649"/>
      <c r="AG131" s="505">
        <f t="shared" si="3"/>
        <v>0</v>
      </c>
    </row>
    <row r="132" spans="1:33" ht="15.75" thickBot="1">
      <c r="A132" s="503" t="s">
        <v>1991</v>
      </c>
      <c r="B132" s="651">
        <v>818529.77997999999</v>
      </c>
      <c r="C132" s="651">
        <v>815532.59216</v>
      </c>
      <c r="D132" s="651">
        <v>808895.72496999998</v>
      </c>
      <c r="E132" s="651">
        <v>814607.36282000004</v>
      </c>
      <c r="F132" s="651">
        <v>825697.41484999994</v>
      </c>
      <c r="G132" s="651">
        <v>838713.45383999997</v>
      </c>
      <c r="H132" s="651">
        <v>843110.66116999998</v>
      </c>
      <c r="I132" s="651">
        <v>838507.09268999996</v>
      </c>
      <c r="J132" s="651">
        <v>844892.07545139</v>
      </c>
      <c r="K132" s="651">
        <v>852601.79198676394</v>
      </c>
      <c r="L132" s="651">
        <v>858627.84772107401</v>
      </c>
      <c r="M132" s="651">
        <v>913390.66187623097</v>
      </c>
      <c r="N132" s="651">
        <v>914463.74734920997</v>
      </c>
      <c r="O132" s="651">
        <v>918298.64832787495</v>
      </c>
      <c r="P132" s="129">
        <f t="shared" si="2"/>
        <v>852872.23655481124</v>
      </c>
      <c r="Q132" s="651">
        <v>922873.92611435498</v>
      </c>
      <c r="R132" s="651">
        <v>924610.86665635405</v>
      </c>
      <c r="S132" s="651">
        <v>926004.36425631901</v>
      </c>
      <c r="T132" s="651">
        <v>929602.05264458701</v>
      </c>
      <c r="U132" s="651">
        <v>934290.46494644496</v>
      </c>
      <c r="V132" s="651">
        <v>938073.86204519495</v>
      </c>
      <c r="W132" s="651">
        <v>940768.36603554396</v>
      </c>
      <c r="X132" s="651">
        <v>945500.68583762296</v>
      </c>
      <c r="Y132" s="651">
        <v>948768.36480957805</v>
      </c>
      <c r="Z132" s="651">
        <v>950492.66901233001</v>
      </c>
      <c r="AA132" s="651">
        <v>952345.13768110401</v>
      </c>
      <c r="AB132" s="651">
        <v>956714.09489784297</v>
      </c>
      <c r="AC132" s="651">
        <v>962299.89446302503</v>
      </c>
      <c r="AD132" s="651">
        <v>967083.487293788</v>
      </c>
      <c r="AE132" s="651">
        <v>968006.42777049099</v>
      </c>
      <c r="AF132" s="651">
        <v>971520.29715704895</v>
      </c>
      <c r="AG132" s="505">
        <f t="shared" si="3"/>
        <v>951189.67727650783</v>
      </c>
    </row>
    <row r="133" spans="1:33">
      <c r="P133" s="129">
        <f t="shared" si="2"/>
        <v>0</v>
      </c>
      <c r="AG133" s="505">
        <f t="shared" si="3"/>
        <v>0</v>
      </c>
    </row>
    <row r="134" spans="1:33" ht="15.75" thickBot="1">
      <c r="A134" s="503" t="s">
        <v>1992</v>
      </c>
      <c r="B134" s="651">
        <v>7454178.6578599904</v>
      </c>
      <c r="C134" s="651">
        <v>7468706.3374099899</v>
      </c>
      <c r="D134" s="651">
        <v>7442620.8210000005</v>
      </c>
      <c r="E134" s="651">
        <v>7448067.8162200004</v>
      </c>
      <c r="F134" s="651">
        <v>7463018.4578799997</v>
      </c>
      <c r="G134" s="651">
        <v>7492463.4368599998</v>
      </c>
      <c r="H134" s="651">
        <v>7533208.1952699898</v>
      </c>
      <c r="I134" s="651">
        <v>7556771.1722499896</v>
      </c>
      <c r="J134" s="651">
        <v>7534644.0042177904</v>
      </c>
      <c r="K134" s="651">
        <v>7543138.2915451899</v>
      </c>
      <c r="L134" s="651">
        <v>7583644.6535727503</v>
      </c>
      <c r="M134" s="651">
        <v>7667987.6735348403</v>
      </c>
      <c r="N134" s="651">
        <v>7681155.9838795196</v>
      </c>
      <c r="O134" s="651">
        <v>7683513.4024035502</v>
      </c>
      <c r="P134" s="129">
        <f t="shared" si="2"/>
        <v>7546072.3266187394</v>
      </c>
      <c r="Q134" s="651">
        <v>7680131.3979558097</v>
      </c>
      <c r="R134" s="651">
        <v>7703797.0614033099</v>
      </c>
      <c r="S134" s="651">
        <v>7729913.1336401803</v>
      </c>
      <c r="T134" s="651">
        <v>7764325.0034355801</v>
      </c>
      <c r="U134" s="651">
        <v>7784558.7229446499</v>
      </c>
      <c r="V134" s="651">
        <v>7800371.7007164201</v>
      </c>
      <c r="W134" s="651">
        <v>7802264.4890882997</v>
      </c>
      <c r="X134" s="651">
        <v>7828390.7901924802</v>
      </c>
      <c r="Y134" s="651">
        <v>7856993.6508595599</v>
      </c>
      <c r="Z134" s="651">
        <v>7895238.5040736301</v>
      </c>
      <c r="AA134" s="651">
        <v>7923151.08489512</v>
      </c>
      <c r="AB134" s="651">
        <v>7933185.8224897897</v>
      </c>
      <c r="AC134" s="651">
        <v>7953861.63408243</v>
      </c>
      <c r="AD134" s="651">
        <v>7974759.8281280203</v>
      </c>
      <c r="AE134" s="651">
        <v>8001953.0826019496</v>
      </c>
      <c r="AF134" s="651">
        <v>8033617.3033170896</v>
      </c>
      <c r="AG134" s="505">
        <f t="shared" si="3"/>
        <v>7888667.0474480782</v>
      </c>
    </row>
    <row r="135" spans="1:33">
      <c r="P135" s="129">
        <f t="shared" si="2"/>
        <v>0</v>
      </c>
      <c r="AG135" s="505">
        <f t="shared" si="3"/>
        <v>0</v>
      </c>
    </row>
    <row r="136" spans="1:33">
      <c r="A136" s="503" t="s">
        <v>1993</v>
      </c>
      <c r="P136" s="129">
        <f t="shared" si="2"/>
        <v>0</v>
      </c>
      <c r="AG136" s="505">
        <f t="shared" si="3"/>
        <v>0</v>
      </c>
    </row>
    <row r="137" spans="1:33">
      <c r="P137" s="129">
        <f t="shared" si="2"/>
        <v>0</v>
      </c>
      <c r="AG137" s="505">
        <f t="shared" si="3"/>
        <v>0</v>
      </c>
    </row>
    <row r="138" spans="1:33">
      <c r="A138" s="503" t="s">
        <v>1492</v>
      </c>
      <c r="B138" s="649"/>
      <c r="C138" s="649"/>
      <c r="D138" s="649"/>
      <c r="E138" s="649"/>
      <c r="F138" s="649"/>
      <c r="G138" s="649"/>
      <c r="H138" s="649"/>
      <c r="I138" s="649"/>
      <c r="J138" s="649"/>
      <c r="K138" s="649"/>
      <c r="L138" s="649"/>
      <c r="M138" s="649"/>
      <c r="N138" s="649"/>
      <c r="O138" s="649"/>
      <c r="P138" s="129">
        <f t="shared" si="2"/>
        <v>0</v>
      </c>
      <c r="Q138" s="649"/>
      <c r="R138" s="649"/>
      <c r="S138" s="649"/>
      <c r="T138" s="649"/>
      <c r="U138" s="649"/>
      <c r="V138" s="649"/>
      <c r="W138" s="649"/>
      <c r="X138" s="649"/>
      <c r="Y138" s="649"/>
      <c r="Z138" s="649"/>
      <c r="AA138" s="649"/>
      <c r="AB138" s="649"/>
      <c r="AC138" s="649"/>
      <c r="AD138" s="649"/>
      <c r="AE138" s="649"/>
      <c r="AF138" s="649"/>
      <c r="AG138" s="505">
        <f t="shared" si="3"/>
        <v>0</v>
      </c>
    </row>
    <row r="139" spans="1:33">
      <c r="A139" s="506" t="s">
        <v>1994</v>
      </c>
      <c r="B139" s="649"/>
      <c r="C139" s="649"/>
      <c r="D139" s="649"/>
      <c r="E139" s="649"/>
      <c r="F139" s="649"/>
      <c r="G139" s="649"/>
      <c r="H139" s="649"/>
      <c r="I139" s="649"/>
      <c r="J139" s="649"/>
      <c r="K139" s="649"/>
      <c r="L139" s="649"/>
      <c r="M139" s="649"/>
      <c r="N139" s="649"/>
      <c r="O139" s="649"/>
      <c r="P139" s="129">
        <f t="shared" ref="P139:P202" si="4">SUM(C139:O139)/13</f>
        <v>0</v>
      </c>
      <c r="Q139" s="649"/>
      <c r="R139" s="649"/>
      <c r="S139" s="649"/>
      <c r="T139" s="649"/>
      <c r="U139" s="649"/>
      <c r="V139" s="649"/>
      <c r="W139" s="649"/>
      <c r="X139" s="649"/>
      <c r="Y139" s="649"/>
      <c r="Z139" s="649"/>
      <c r="AA139" s="649"/>
      <c r="AB139" s="649"/>
      <c r="AC139" s="649"/>
      <c r="AD139" s="649"/>
      <c r="AE139" s="649"/>
      <c r="AF139" s="649"/>
      <c r="AG139" s="505">
        <f t="shared" ref="AG139:AG202" si="5">SUM(T139:AF139)/13</f>
        <v>0</v>
      </c>
    </row>
    <row r="140" spans="1:33">
      <c r="A140" s="506" t="s">
        <v>1995</v>
      </c>
      <c r="B140" s="648">
        <v>308139.97756000003</v>
      </c>
      <c r="C140" s="648">
        <v>308139.97756000003</v>
      </c>
      <c r="D140" s="648">
        <v>308139.97756000003</v>
      </c>
      <c r="E140" s="648">
        <v>308139.97756000003</v>
      </c>
      <c r="F140" s="648">
        <v>308139.97756000003</v>
      </c>
      <c r="G140" s="648">
        <v>308139.97756000003</v>
      </c>
      <c r="H140" s="648">
        <v>308139.97756000003</v>
      </c>
      <c r="I140" s="648">
        <v>308139.97756000003</v>
      </c>
      <c r="J140" s="648">
        <v>308139.97756000003</v>
      </c>
      <c r="K140" s="648">
        <v>308139.97756000003</v>
      </c>
      <c r="L140" s="648">
        <v>308139.97756000003</v>
      </c>
      <c r="M140" s="648">
        <v>308139.97756000003</v>
      </c>
      <c r="N140" s="648">
        <v>308139.97756000003</v>
      </c>
      <c r="O140" s="648">
        <v>308139.97756000003</v>
      </c>
      <c r="P140" s="129">
        <f t="shared" si="4"/>
        <v>308139.97756000003</v>
      </c>
      <c r="Q140" s="648">
        <v>308139.97756000003</v>
      </c>
      <c r="R140" s="648">
        <v>308139.97756000003</v>
      </c>
      <c r="S140" s="648">
        <v>308139.97756000003</v>
      </c>
      <c r="T140" s="648">
        <v>308139.97756000003</v>
      </c>
      <c r="U140" s="648">
        <v>308139.97756000003</v>
      </c>
      <c r="V140" s="648">
        <v>308139.97756000003</v>
      </c>
      <c r="W140" s="648">
        <v>308139.97756000003</v>
      </c>
      <c r="X140" s="648">
        <v>308139.97756000003</v>
      </c>
      <c r="Y140" s="648">
        <v>308139.97756000003</v>
      </c>
      <c r="Z140" s="648">
        <v>308139.97756000003</v>
      </c>
      <c r="AA140" s="648">
        <v>308139.97756000003</v>
      </c>
      <c r="AB140" s="648">
        <v>308139.97756000003</v>
      </c>
      <c r="AC140" s="648">
        <v>308139.97756000003</v>
      </c>
      <c r="AD140" s="648">
        <v>308139.97756000003</v>
      </c>
      <c r="AE140" s="648">
        <v>308139.97756000003</v>
      </c>
      <c r="AF140" s="648">
        <v>308139.97756000003</v>
      </c>
      <c r="AG140" s="505">
        <f t="shared" si="5"/>
        <v>308139.97756000003</v>
      </c>
    </row>
    <row r="141" spans="1:33">
      <c r="A141" s="506" t="s">
        <v>1996</v>
      </c>
      <c r="B141" s="648">
        <v>308139.97756000003</v>
      </c>
      <c r="C141" s="648">
        <v>308139.97756000003</v>
      </c>
      <c r="D141" s="648">
        <v>308139.97756000003</v>
      </c>
      <c r="E141" s="648">
        <v>308139.97756000003</v>
      </c>
      <c r="F141" s="648">
        <v>308139.97756000003</v>
      </c>
      <c r="G141" s="648">
        <v>308139.97756000003</v>
      </c>
      <c r="H141" s="648">
        <v>308139.97756000003</v>
      </c>
      <c r="I141" s="648">
        <v>308139.97756000003</v>
      </c>
      <c r="J141" s="648">
        <v>308139.97756000003</v>
      </c>
      <c r="K141" s="648">
        <v>308139.97756000003</v>
      </c>
      <c r="L141" s="648">
        <v>308139.97756000003</v>
      </c>
      <c r="M141" s="648">
        <v>308139.97756000003</v>
      </c>
      <c r="N141" s="648">
        <v>308139.97756000003</v>
      </c>
      <c r="O141" s="648">
        <v>308139.97756000003</v>
      </c>
      <c r="P141" s="129">
        <f t="shared" si="4"/>
        <v>308139.97756000003</v>
      </c>
      <c r="Q141" s="648">
        <v>308139.97756000003</v>
      </c>
      <c r="R141" s="648">
        <v>308139.97756000003</v>
      </c>
      <c r="S141" s="648">
        <v>308139.97756000003</v>
      </c>
      <c r="T141" s="648">
        <v>308139.97756000003</v>
      </c>
      <c r="U141" s="648">
        <v>308139.97756000003</v>
      </c>
      <c r="V141" s="648">
        <v>308139.97756000003</v>
      </c>
      <c r="W141" s="648">
        <v>308139.97756000003</v>
      </c>
      <c r="X141" s="648">
        <v>308139.97756000003</v>
      </c>
      <c r="Y141" s="648">
        <v>308139.97756000003</v>
      </c>
      <c r="Z141" s="648">
        <v>308139.97756000003</v>
      </c>
      <c r="AA141" s="648">
        <v>308139.97756000003</v>
      </c>
      <c r="AB141" s="648">
        <v>308139.97756000003</v>
      </c>
      <c r="AC141" s="648">
        <v>308139.97756000003</v>
      </c>
      <c r="AD141" s="648">
        <v>308139.97756000003</v>
      </c>
      <c r="AE141" s="648">
        <v>308139.97756000003</v>
      </c>
      <c r="AF141" s="648">
        <v>308139.97756000003</v>
      </c>
      <c r="AG141" s="505">
        <f t="shared" si="5"/>
        <v>308139.97756000003</v>
      </c>
    </row>
    <row r="142" spans="1:33">
      <c r="B142" s="649"/>
      <c r="C142" s="649"/>
      <c r="D142" s="649"/>
      <c r="E142" s="649"/>
      <c r="F142" s="649"/>
      <c r="G142" s="649"/>
      <c r="H142" s="649"/>
      <c r="I142" s="649"/>
      <c r="J142" s="649"/>
      <c r="K142" s="649"/>
      <c r="L142" s="649"/>
      <c r="M142" s="649"/>
      <c r="N142" s="649"/>
      <c r="O142" s="649"/>
      <c r="P142" s="129">
        <f t="shared" si="4"/>
        <v>0</v>
      </c>
      <c r="Q142" s="649"/>
      <c r="R142" s="649"/>
      <c r="S142" s="649"/>
      <c r="T142" s="649"/>
      <c r="U142" s="649"/>
      <c r="V142" s="649"/>
      <c r="W142" s="649"/>
      <c r="X142" s="649"/>
      <c r="Y142" s="649"/>
      <c r="Z142" s="649"/>
      <c r="AA142" s="649"/>
      <c r="AB142" s="649"/>
      <c r="AC142" s="649"/>
      <c r="AD142" s="649"/>
      <c r="AE142" s="649"/>
      <c r="AF142" s="649"/>
      <c r="AG142" s="505">
        <f t="shared" si="5"/>
        <v>0</v>
      </c>
    </row>
    <row r="143" spans="1:33">
      <c r="A143" s="506" t="s">
        <v>1997</v>
      </c>
      <c r="B143" s="649"/>
      <c r="C143" s="649"/>
      <c r="D143" s="649"/>
      <c r="E143" s="649"/>
      <c r="F143" s="649"/>
      <c r="G143" s="649"/>
      <c r="H143" s="649"/>
      <c r="I143" s="649"/>
      <c r="J143" s="649"/>
      <c r="K143" s="649"/>
      <c r="L143" s="649"/>
      <c r="M143" s="649"/>
      <c r="N143" s="649"/>
      <c r="O143" s="649"/>
      <c r="P143" s="129">
        <f t="shared" si="4"/>
        <v>0</v>
      </c>
      <c r="Q143" s="649"/>
      <c r="R143" s="649"/>
      <c r="S143" s="649"/>
      <c r="T143" s="649"/>
      <c r="U143" s="649"/>
      <c r="V143" s="649"/>
      <c r="W143" s="649"/>
      <c r="X143" s="649"/>
      <c r="Y143" s="649"/>
      <c r="Z143" s="649"/>
      <c r="AA143" s="649"/>
      <c r="AB143" s="649"/>
      <c r="AC143" s="649"/>
      <c r="AD143" s="649"/>
      <c r="AE143" s="649"/>
      <c r="AF143" s="649"/>
      <c r="AG143" s="505">
        <f t="shared" si="5"/>
        <v>0</v>
      </c>
    </row>
    <row r="144" spans="1:33">
      <c r="A144" s="506" t="s">
        <v>1998</v>
      </c>
      <c r="B144" s="648">
        <v>-321.28886999999997</v>
      </c>
      <c r="C144" s="648">
        <v>-321.28886999999997</v>
      </c>
      <c r="D144" s="648">
        <v>-321.28886999999997</v>
      </c>
      <c r="E144" s="648">
        <v>-321.28886999999997</v>
      </c>
      <c r="F144" s="648">
        <v>-321.28886999999997</v>
      </c>
      <c r="G144" s="648">
        <v>-321.28886999999997</v>
      </c>
      <c r="H144" s="648">
        <v>-321.28886999999997</v>
      </c>
      <c r="I144" s="648">
        <v>-321.28886999999997</v>
      </c>
      <c r="J144" s="648">
        <v>-321.28886999999997</v>
      </c>
      <c r="K144" s="648">
        <v>-321.28886999999997</v>
      </c>
      <c r="L144" s="648">
        <v>-321.28886999999997</v>
      </c>
      <c r="M144" s="648">
        <v>-321.28886999999997</v>
      </c>
      <c r="N144" s="648">
        <v>-321.28886999999997</v>
      </c>
      <c r="O144" s="648">
        <v>-321.28886999999997</v>
      </c>
      <c r="P144" s="129">
        <f t="shared" si="4"/>
        <v>-321.28886999999992</v>
      </c>
      <c r="Q144" s="648">
        <v>-321.28886999999997</v>
      </c>
      <c r="R144" s="648">
        <v>-321.28886999999997</v>
      </c>
      <c r="S144" s="648">
        <v>-321.28886999999997</v>
      </c>
      <c r="T144" s="648">
        <v>-321.28886999999997</v>
      </c>
      <c r="U144" s="648">
        <v>-321.28886999999997</v>
      </c>
      <c r="V144" s="648">
        <v>-321.28886999999997</v>
      </c>
      <c r="W144" s="648">
        <v>-321.28886999999997</v>
      </c>
      <c r="X144" s="648">
        <v>-321.28886999999997</v>
      </c>
      <c r="Y144" s="648">
        <v>-321.28886999999997</v>
      </c>
      <c r="Z144" s="648">
        <v>-321.28886999999997</v>
      </c>
      <c r="AA144" s="648">
        <v>-321.28886999999997</v>
      </c>
      <c r="AB144" s="648">
        <v>-321.28886999999997</v>
      </c>
      <c r="AC144" s="648">
        <v>-321.28886999999997</v>
      </c>
      <c r="AD144" s="648">
        <v>-321.28886999999997</v>
      </c>
      <c r="AE144" s="648">
        <v>-321.28886999999997</v>
      </c>
      <c r="AF144" s="648">
        <v>-321.28886999999997</v>
      </c>
      <c r="AG144" s="505">
        <f t="shared" si="5"/>
        <v>-321.28886999999992</v>
      </c>
    </row>
    <row r="145" spans="1:33">
      <c r="A145" s="506" t="s">
        <v>1999</v>
      </c>
      <c r="B145" s="648">
        <v>-321.28886999999997</v>
      </c>
      <c r="C145" s="648">
        <v>-321.28886999999997</v>
      </c>
      <c r="D145" s="648">
        <v>-321.28886999999997</v>
      </c>
      <c r="E145" s="648">
        <v>-321.28886999999997</v>
      </c>
      <c r="F145" s="648">
        <v>-321.28886999999997</v>
      </c>
      <c r="G145" s="648">
        <v>-321.28886999999997</v>
      </c>
      <c r="H145" s="648">
        <v>-321.28886999999997</v>
      </c>
      <c r="I145" s="648">
        <v>-321.28886999999997</v>
      </c>
      <c r="J145" s="648">
        <v>-321.28886999999997</v>
      </c>
      <c r="K145" s="648">
        <v>-321.28886999999997</v>
      </c>
      <c r="L145" s="648">
        <v>-321.28886999999997</v>
      </c>
      <c r="M145" s="648">
        <v>-321.28886999999997</v>
      </c>
      <c r="N145" s="648">
        <v>-321.28886999999997</v>
      </c>
      <c r="O145" s="648">
        <v>-321.28886999999997</v>
      </c>
      <c r="P145" s="129">
        <f t="shared" si="4"/>
        <v>-321.28886999999992</v>
      </c>
      <c r="Q145" s="648">
        <v>-321.28886999999997</v>
      </c>
      <c r="R145" s="648">
        <v>-321.28886999999997</v>
      </c>
      <c r="S145" s="648">
        <v>-321.28886999999997</v>
      </c>
      <c r="T145" s="648">
        <v>-321.28886999999997</v>
      </c>
      <c r="U145" s="648">
        <v>-321.28886999999997</v>
      </c>
      <c r="V145" s="648">
        <v>-321.28886999999997</v>
      </c>
      <c r="W145" s="648">
        <v>-321.28886999999997</v>
      </c>
      <c r="X145" s="648">
        <v>-321.28886999999997</v>
      </c>
      <c r="Y145" s="648">
        <v>-321.28886999999997</v>
      </c>
      <c r="Z145" s="648">
        <v>-321.28886999999997</v>
      </c>
      <c r="AA145" s="648">
        <v>-321.28886999999997</v>
      </c>
      <c r="AB145" s="648">
        <v>-321.28886999999997</v>
      </c>
      <c r="AC145" s="648">
        <v>-321.28886999999997</v>
      </c>
      <c r="AD145" s="648">
        <v>-321.28886999999997</v>
      </c>
      <c r="AE145" s="648">
        <v>-321.28886999999997</v>
      </c>
      <c r="AF145" s="648">
        <v>-321.28886999999997</v>
      </c>
      <c r="AG145" s="505">
        <f t="shared" si="5"/>
        <v>-321.28886999999992</v>
      </c>
    </row>
    <row r="146" spans="1:33">
      <c r="B146" s="649"/>
      <c r="C146" s="649"/>
      <c r="D146" s="649"/>
      <c r="E146" s="649"/>
      <c r="F146" s="649"/>
      <c r="G146" s="649"/>
      <c r="H146" s="649"/>
      <c r="I146" s="649"/>
      <c r="J146" s="649"/>
      <c r="K146" s="649"/>
      <c r="L146" s="649"/>
      <c r="M146" s="649"/>
      <c r="N146" s="649"/>
      <c r="O146" s="649"/>
      <c r="P146" s="129">
        <f t="shared" si="4"/>
        <v>0</v>
      </c>
      <c r="Q146" s="649"/>
      <c r="R146" s="649"/>
      <c r="S146" s="649"/>
      <c r="T146" s="649"/>
      <c r="U146" s="649"/>
      <c r="V146" s="649"/>
      <c r="W146" s="649"/>
      <c r="X146" s="649"/>
      <c r="Y146" s="649"/>
      <c r="Z146" s="649"/>
      <c r="AA146" s="649"/>
      <c r="AB146" s="649"/>
      <c r="AC146" s="649"/>
      <c r="AD146" s="649"/>
      <c r="AE146" s="649"/>
      <c r="AF146" s="649"/>
      <c r="AG146" s="505">
        <f t="shared" si="5"/>
        <v>0</v>
      </c>
    </row>
    <row r="147" spans="1:33">
      <c r="A147" s="506" t="s">
        <v>2000</v>
      </c>
      <c r="B147" s="649"/>
      <c r="C147" s="649"/>
      <c r="D147" s="649"/>
      <c r="E147" s="649"/>
      <c r="F147" s="649"/>
      <c r="G147" s="649"/>
      <c r="H147" s="649"/>
      <c r="I147" s="649"/>
      <c r="J147" s="649"/>
      <c r="K147" s="649"/>
      <c r="L147" s="649"/>
      <c r="M147" s="649"/>
      <c r="N147" s="649"/>
      <c r="O147" s="649"/>
      <c r="P147" s="129">
        <f t="shared" si="4"/>
        <v>0</v>
      </c>
      <c r="Q147" s="649"/>
      <c r="R147" s="649"/>
      <c r="S147" s="649"/>
      <c r="T147" s="649"/>
      <c r="U147" s="649"/>
      <c r="V147" s="649"/>
      <c r="W147" s="649"/>
      <c r="X147" s="649"/>
      <c r="Y147" s="649"/>
      <c r="Z147" s="649"/>
      <c r="AA147" s="649"/>
      <c r="AB147" s="649"/>
      <c r="AC147" s="649"/>
      <c r="AD147" s="649"/>
      <c r="AE147" s="649"/>
      <c r="AF147" s="649"/>
      <c r="AG147" s="505">
        <f t="shared" si="5"/>
        <v>0</v>
      </c>
    </row>
    <row r="148" spans="1:33">
      <c r="A148" s="506" t="s">
        <v>2001</v>
      </c>
      <c r="B148" s="648">
        <v>563858.08299999998</v>
      </c>
      <c r="C148" s="648">
        <v>563858.08299999998</v>
      </c>
      <c r="D148" s="648">
        <v>563858.08299999998</v>
      </c>
      <c r="E148" s="648">
        <v>563858.08299999998</v>
      </c>
      <c r="F148" s="648">
        <v>563858.08299999998</v>
      </c>
      <c r="G148" s="648">
        <v>583858.08299999998</v>
      </c>
      <c r="H148" s="648">
        <v>583858.08299999998</v>
      </c>
      <c r="I148" s="648">
        <v>583858.08299999998</v>
      </c>
      <c r="J148" s="648">
        <v>535458.08299999998</v>
      </c>
      <c r="K148" s="648">
        <v>535458.08299999998</v>
      </c>
      <c r="L148" s="648">
        <v>535458.08299999998</v>
      </c>
      <c r="M148" s="648">
        <v>605354.63767122303</v>
      </c>
      <c r="N148" s="648">
        <v>605354.63767122303</v>
      </c>
      <c r="O148" s="648">
        <v>605354.63767122303</v>
      </c>
      <c r="P148" s="129">
        <f t="shared" si="4"/>
        <v>571495.74946258985</v>
      </c>
      <c r="Q148" s="648">
        <v>540956.65233530197</v>
      </c>
      <c r="R148" s="648">
        <v>540956.65233530197</v>
      </c>
      <c r="S148" s="648">
        <v>540956.65233530197</v>
      </c>
      <c r="T148" s="648">
        <v>591155.69735419797</v>
      </c>
      <c r="U148" s="648">
        <v>591155.69735419797</v>
      </c>
      <c r="V148" s="648">
        <v>591155.69735419797</v>
      </c>
      <c r="W148" s="648">
        <v>546865.29441178194</v>
      </c>
      <c r="X148" s="648">
        <v>546865.29441178194</v>
      </c>
      <c r="Y148" s="648">
        <v>546865.29441178194</v>
      </c>
      <c r="Z148" s="648">
        <v>588095.02125920996</v>
      </c>
      <c r="AA148" s="648">
        <v>588095.02125920996</v>
      </c>
      <c r="AB148" s="648">
        <v>588095.02125920996</v>
      </c>
      <c r="AC148" s="648">
        <v>558909.57936894696</v>
      </c>
      <c r="AD148" s="648">
        <v>558909.57936894696</v>
      </c>
      <c r="AE148" s="648">
        <v>558909.57936894696</v>
      </c>
      <c r="AF148" s="648">
        <v>617158.02604952001</v>
      </c>
      <c r="AG148" s="505">
        <f t="shared" si="5"/>
        <v>574787.29255630239</v>
      </c>
    </row>
    <row r="149" spans="1:33">
      <c r="A149" s="506" t="s">
        <v>2002</v>
      </c>
      <c r="B149" s="648">
        <v>563858.08299999998</v>
      </c>
      <c r="C149" s="648">
        <v>563858.08299999998</v>
      </c>
      <c r="D149" s="648">
        <v>563858.08299999998</v>
      </c>
      <c r="E149" s="648">
        <v>563858.08299999998</v>
      </c>
      <c r="F149" s="648">
        <v>563858.08299999998</v>
      </c>
      <c r="G149" s="648">
        <v>583858.08299999998</v>
      </c>
      <c r="H149" s="648">
        <v>583858.08299999998</v>
      </c>
      <c r="I149" s="648">
        <v>583858.08299999998</v>
      </c>
      <c r="J149" s="648">
        <v>535458.08299999998</v>
      </c>
      <c r="K149" s="648">
        <v>535458.08299999998</v>
      </c>
      <c r="L149" s="648">
        <v>535458.08299999998</v>
      </c>
      <c r="M149" s="648">
        <v>605354.63767122303</v>
      </c>
      <c r="N149" s="648">
        <v>605354.63767122303</v>
      </c>
      <c r="O149" s="648">
        <v>605354.63767122303</v>
      </c>
      <c r="P149" s="129">
        <f t="shared" si="4"/>
        <v>571495.74946258985</v>
      </c>
      <c r="Q149" s="648">
        <v>540956.65233530197</v>
      </c>
      <c r="R149" s="648">
        <v>540956.65233530197</v>
      </c>
      <c r="S149" s="648">
        <v>540956.65233530197</v>
      </c>
      <c r="T149" s="648">
        <v>591155.69735419797</v>
      </c>
      <c r="U149" s="648">
        <v>591155.69735419797</v>
      </c>
      <c r="V149" s="648">
        <v>591155.69735419797</v>
      </c>
      <c r="W149" s="648">
        <v>546865.29441178194</v>
      </c>
      <c r="X149" s="648">
        <v>546865.29441178194</v>
      </c>
      <c r="Y149" s="648">
        <v>546865.29441178194</v>
      </c>
      <c r="Z149" s="648">
        <v>588095.02125920996</v>
      </c>
      <c r="AA149" s="648">
        <v>588095.02125920996</v>
      </c>
      <c r="AB149" s="648">
        <v>588095.02125920996</v>
      </c>
      <c r="AC149" s="648">
        <v>558909.57936894696</v>
      </c>
      <c r="AD149" s="648">
        <v>558909.57936894696</v>
      </c>
      <c r="AE149" s="648">
        <v>558909.57936894696</v>
      </c>
      <c r="AF149" s="648">
        <v>617158.02604952001</v>
      </c>
      <c r="AG149" s="505">
        <f t="shared" si="5"/>
        <v>574787.29255630239</v>
      </c>
    </row>
    <row r="150" spans="1:33">
      <c r="B150" s="649"/>
      <c r="C150" s="649"/>
      <c r="D150" s="649"/>
      <c r="E150" s="649"/>
      <c r="F150" s="649"/>
      <c r="G150" s="649"/>
      <c r="H150" s="649"/>
      <c r="I150" s="649"/>
      <c r="J150" s="649"/>
      <c r="K150" s="649"/>
      <c r="L150" s="649"/>
      <c r="M150" s="649"/>
      <c r="N150" s="649"/>
      <c r="O150" s="649"/>
      <c r="P150" s="129">
        <f t="shared" si="4"/>
        <v>0</v>
      </c>
      <c r="Q150" s="649"/>
      <c r="R150" s="649"/>
      <c r="S150" s="649"/>
      <c r="T150" s="649"/>
      <c r="U150" s="649"/>
      <c r="V150" s="649"/>
      <c r="W150" s="649"/>
      <c r="X150" s="649"/>
      <c r="Y150" s="649"/>
      <c r="Z150" s="649"/>
      <c r="AA150" s="649"/>
      <c r="AB150" s="649"/>
      <c r="AC150" s="649"/>
      <c r="AD150" s="649"/>
      <c r="AE150" s="649"/>
      <c r="AF150" s="649"/>
      <c r="AG150" s="505">
        <f t="shared" si="5"/>
        <v>0</v>
      </c>
    </row>
    <row r="151" spans="1:33">
      <c r="A151" s="506" t="s">
        <v>2003</v>
      </c>
      <c r="B151" s="649"/>
      <c r="C151" s="649"/>
      <c r="D151" s="649"/>
      <c r="E151" s="649"/>
      <c r="F151" s="649"/>
      <c r="G151" s="649"/>
      <c r="H151" s="649"/>
      <c r="I151" s="649"/>
      <c r="J151" s="649"/>
      <c r="K151" s="649"/>
      <c r="L151" s="649"/>
      <c r="M151" s="649"/>
      <c r="N151" s="649"/>
      <c r="O151" s="649"/>
      <c r="P151" s="129">
        <f t="shared" si="4"/>
        <v>0</v>
      </c>
      <c r="Q151" s="649"/>
      <c r="R151" s="649"/>
      <c r="S151" s="649"/>
      <c r="T151" s="649"/>
      <c r="U151" s="649"/>
      <c r="V151" s="649"/>
      <c r="W151" s="649"/>
      <c r="X151" s="649"/>
      <c r="Y151" s="649"/>
      <c r="Z151" s="649"/>
      <c r="AA151" s="649"/>
      <c r="AB151" s="649"/>
      <c r="AC151" s="649"/>
      <c r="AD151" s="649"/>
      <c r="AE151" s="649"/>
      <c r="AF151" s="649"/>
      <c r="AG151" s="505">
        <f t="shared" si="5"/>
        <v>0</v>
      </c>
    </row>
    <row r="152" spans="1:33">
      <c r="A152" s="506" t="s">
        <v>2004</v>
      </c>
      <c r="B152" s="648">
        <v>1843225.8953</v>
      </c>
      <c r="C152" s="648">
        <v>1804943.55788</v>
      </c>
      <c r="D152" s="648">
        <v>1820248.6270399999</v>
      </c>
      <c r="E152" s="648">
        <v>1832232.9034599999</v>
      </c>
      <c r="F152" s="648">
        <v>1800437.6377000001</v>
      </c>
      <c r="G152" s="648">
        <v>1826037.39882</v>
      </c>
      <c r="H152" s="648">
        <v>1853723.0008399901</v>
      </c>
      <c r="I152" s="648">
        <v>1798594.1164199901</v>
      </c>
      <c r="J152" s="648">
        <v>1817882.17520838</v>
      </c>
      <c r="K152" s="648">
        <v>1831834.4861209199</v>
      </c>
      <c r="L152" s="648">
        <v>1800393.9345685299</v>
      </c>
      <c r="M152" s="648">
        <v>1826225.1863826099</v>
      </c>
      <c r="N152" s="648">
        <v>1858502.49188268</v>
      </c>
      <c r="O152" s="648">
        <v>1847577.1246317099</v>
      </c>
      <c r="P152" s="129">
        <f t="shared" si="4"/>
        <v>1824510.2031503697</v>
      </c>
      <c r="Q152" s="648">
        <v>1867811.00068834</v>
      </c>
      <c r="R152" s="648">
        <v>1879935.90269942</v>
      </c>
      <c r="S152" s="648">
        <v>1845085.3266260501</v>
      </c>
      <c r="T152" s="648">
        <v>1865930.55891805</v>
      </c>
      <c r="U152" s="648">
        <v>1888520.1773450801</v>
      </c>
      <c r="V152" s="648">
        <v>1879520.97645497</v>
      </c>
      <c r="W152" s="648">
        <v>1895382.2277750401</v>
      </c>
      <c r="X152" s="648">
        <v>1903339.79654236</v>
      </c>
      <c r="Y152" s="648">
        <v>1879649.01905619</v>
      </c>
      <c r="Z152" s="648">
        <v>1904192.62837274</v>
      </c>
      <c r="AA152" s="648">
        <v>1932850.78315315</v>
      </c>
      <c r="AB152" s="648">
        <v>1924340.4348047599</v>
      </c>
      <c r="AC152" s="648">
        <v>1938525.1997420399</v>
      </c>
      <c r="AD152" s="648">
        <v>1945142.2013508901</v>
      </c>
      <c r="AE152" s="648">
        <v>1913153.66550987</v>
      </c>
      <c r="AF152" s="648">
        <v>1930358.9817091599</v>
      </c>
      <c r="AG152" s="505">
        <f t="shared" si="5"/>
        <v>1907762.0500564848</v>
      </c>
    </row>
    <row r="153" spans="1:33">
      <c r="A153" s="506" t="s">
        <v>2003</v>
      </c>
      <c r="B153" s="648">
        <v>1843225.8953</v>
      </c>
      <c r="C153" s="648">
        <v>1804943.55788</v>
      </c>
      <c r="D153" s="648">
        <v>1820248.6270399999</v>
      </c>
      <c r="E153" s="648">
        <v>1832232.9034599999</v>
      </c>
      <c r="F153" s="648">
        <v>1800437.6377000001</v>
      </c>
      <c r="G153" s="648">
        <v>1826037.39882</v>
      </c>
      <c r="H153" s="648">
        <v>1853723.0008399901</v>
      </c>
      <c r="I153" s="648">
        <v>1798594.1164199901</v>
      </c>
      <c r="J153" s="648">
        <v>1817882.17520838</v>
      </c>
      <c r="K153" s="648">
        <v>1831834.4861209199</v>
      </c>
      <c r="L153" s="648">
        <v>1800393.9345685299</v>
      </c>
      <c r="M153" s="648">
        <v>1826225.1863826099</v>
      </c>
      <c r="N153" s="648">
        <v>1858502.49188268</v>
      </c>
      <c r="O153" s="648">
        <v>1847577.1246317099</v>
      </c>
      <c r="P153" s="129">
        <f t="shared" si="4"/>
        <v>1824510.2031503697</v>
      </c>
      <c r="Q153" s="648">
        <v>1867811.00068834</v>
      </c>
      <c r="R153" s="648">
        <v>1879935.90269942</v>
      </c>
      <c r="S153" s="648">
        <v>1845085.3266260501</v>
      </c>
      <c r="T153" s="648">
        <v>1865930.55891805</v>
      </c>
      <c r="U153" s="648">
        <v>1888520.1773450801</v>
      </c>
      <c r="V153" s="648">
        <v>1879520.97645497</v>
      </c>
      <c r="W153" s="648">
        <v>1895382.2277750401</v>
      </c>
      <c r="X153" s="648">
        <v>1903339.79654236</v>
      </c>
      <c r="Y153" s="648">
        <v>1879649.01905619</v>
      </c>
      <c r="Z153" s="648">
        <v>1904192.62837274</v>
      </c>
      <c r="AA153" s="648">
        <v>1932850.78315315</v>
      </c>
      <c r="AB153" s="648">
        <v>1924340.4348047599</v>
      </c>
      <c r="AC153" s="648">
        <v>1938525.1997420399</v>
      </c>
      <c r="AD153" s="648">
        <v>1945142.2013508901</v>
      </c>
      <c r="AE153" s="648">
        <v>1913153.66550987</v>
      </c>
      <c r="AF153" s="648">
        <v>1930358.9817091599</v>
      </c>
      <c r="AG153" s="505">
        <f t="shared" si="5"/>
        <v>1907762.0500564848</v>
      </c>
    </row>
    <row r="154" spans="1:33">
      <c r="B154" s="649"/>
      <c r="C154" s="649"/>
      <c r="D154" s="649"/>
      <c r="E154" s="649"/>
      <c r="F154" s="649"/>
      <c r="G154" s="649"/>
      <c r="H154" s="649"/>
      <c r="I154" s="649"/>
      <c r="J154" s="649"/>
      <c r="K154" s="649"/>
      <c r="L154" s="649"/>
      <c r="M154" s="649"/>
      <c r="N154" s="649"/>
      <c r="O154" s="649"/>
      <c r="P154" s="129">
        <f t="shared" si="4"/>
        <v>0</v>
      </c>
      <c r="Q154" s="649"/>
      <c r="R154" s="649"/>
      <c r="S154" s="649"/>
      <c r="T154" s="649"/>
      <c r="U154" s="649"/>
      <c r="V154" s="649"/>
      <c r="W154" s="649"/>
      <c r="X154" s="649"/>
      <c r="Y154" s="649"/>
      <c r="Z154" s="649"/>
      <c r="AA154" s="649"/>
      <c r="AB154" s="649"/>
      <c r="AC154" s="649"/>
      <c r="AD154" s="649"/>
      <c r="AE154" s="649"/>
      <c r="AF154" s="649"/>
      <c r="AG154" s="505">
        <f t="shared" si="5"/>
        <v>0</v>
      </c>
    </row>
    <row r="155" spans="1:33">
      <c r="A155" s="506" t="s">
        <v>2005</v>
      </c>
      <c r="P155" s="129">
        <f t="shared" si="4"/>
        <v>0</v>
      </c>
      <c r="AG155" s="505">
        <f t="shared" si="5"/>
        <v>0</v>
      </c>
    </row>
    <row r="156" spans="1:33">
      <c r="A156" s="506" t="s">
        <v>2006</v>
      </c>
      <c r="B156" s="648">
        <v>1035.98488</v>
      </c>
      <c r="C156" s="648">
        <v>1035.98488</v>
      </c>
      <c r="D156" s="648">
        <v>1127.47768</v>
      </c>
      <c r="E156" s="648">
        <v>1127.47768</v>
      </c>
      <c r="F156" s="648">
        <v>1131.5232800000001</v>
      </c>
      <c r="G156" s="648">
        <v>1136.5024800000001</v>
      </c>
      <c r="H156" s="648">
        <v>1136.5024800000001</v>
      </c>
      <c r="I156" s="648">
        <v>1136.5024800000001</v>
      </c>
      <c r="J156" s="648">
        <v>1136.5024800000001</v>
      </c>
      <c r="K156" s="648">
        <v>1136.5024800000001</v>
      </c>
      <c r="L156" s="648">
        <v>1136.5024800000001</v>
      </c>
      <c r="M156" s="648">
        <v>1136.5024800000001</v>
      </c>
      <c r="N156" s="648">
        <v>1136.5024800000001</v>
      </c>
      <c r="O156" s="648">
        <v>1136.5024800000001</v>
      </c>
      <c r="P156" s="129">
        <f t="shared" si="4"/>
        <v>1126.9989107692306</v>
      </c>
      <c r="Q156" s="648">
        <v>1136.5024800000001</v>
      </c>
      <c r="R156" s="648">
        <v>1136.5024800000001</v>
      </c>
      <c r="S156" s="648">
        <v>1136.5024800000001</v>
      </c>
      <c r="T156" s="648">
        <v>1136.5024800000001</v>
      </c>
      <c r="U156" s="648">
        <v>1136.5024800000001</v>
      </c>
      <c r="V156" s="648">
        <v>1136.5024800000001</v>
      </c>
      <c r="W156" s="648">
        <v>1136.5024800000001</v>
      </c>
      <c r="X156" s="648">
        <v>1136.5024800000001</v>
      </c>
      <c r="Y156" s="648">
        <v>1136.5024800000001</v>
      </c>
      <c r="Z156" s="648">
        <v>1136.5024800000001</v>
      </c>
      <c r="AA156" s="648">
        <v>1136.5024800000001</v>
      </c>
      <c r="AB156" s="648">
        <v>1136.5024800000001</v>
      </c>
      <c r="AC156" s="648">
        <v>1136.5024800000001</v>
      </c>
      <c r="AD156" s="648">
        <v>1136.5024800000001</v>
      </c>
      <c r="AE156" s="648">
        <v>1136.5024800000001</v>
      </c>
      <c r="AF156" s="648">
        <v>1136.5024800000001</v>
      </c>
      <c r="AG156" s="505">
        <f t="shared" si="5"/>
        <v>1136.5024799999997</v>
      </c>
    </row>
    <row r="157" spans="1:33">
      <c r="A157" s="506" t="s">
        <v>2007</v>
      </c>
      <c r="B157" s="648">
        <v>-2663.2002000000002</v>
      </c>
      <c r="C157" s="648">
        <v>-2663.2002000000002</v>
      </c>
      <c r="D157" s="648">
        <v>-2898.4002</v>
      </c>
      <c r="E157" s="648">
        <v>-2898.4002</v>
      </c>
      <c r="F157" s="648">
        <v>-2908.8002000000001</v>
      </c>
      <c r="G157" s="648">
        <v>-2921.6001999999999</v>
      </c>
      <c r="H157" s="648">
        <v>-2921.6001999999999</v>
      </c>
      <c r="I157" s="648">
        <v>-2931.8002000000001</v>
      </c>
      <c r="J157" s="648">
        <v>-2931.8002000000001</v>
      </c>
      <c r="K157" s="648">
        <v>-2931.8002000000001</v>
      </c>
      <c r="L157" s="648">
        <v>-2931.8002000000001</v>
      </c>
      <c r="M157" s="648">
        <v>-2931.8002000000001</v>
      </c>
      <c r="N157" s="648">
        <v>-2931.8002000000001</v>
      </c>
      <c r="O157" s="648">
        <v>-2931.8002000000001</v>
      </c>
      <c r="P157" s="129">
        <f t="shared" si="4"/>
        <v>-2902.6617384615388</v>
      </c>
      <c r="Q157" s="648">
        <v>-2931.8002000000001</v>
      </c>
      <c r="R157" s="648">
        <v>-2931.8002000000001</v>
      </c>
      <c r="S157" s="648">
        <v>-2931.8002000000001</v>
      </c>
      <c r="T157" s="648">
        <v>-2931.8002000000001</v>
      </c>
      <c r="U157" s="648">
        <v>-2931.8002000000001</v>
      </c>
      <c r="V157" s="648">
        <v>-2931.8002000000001</v>
      </c>
      <c r="W157" s="648">
        <v>-2931.8002000000001</v>
      </c>
      <c r="X157" s="648">
        <v>-2931.8002000000001</v>
      </c>
      <c r="Y157" s="648">
        <v>-2931.8002000000001</v>
      </c>
      <c r="Z157" s="648">
        <v>-2931.8002000000001</v>
      </c>
      <c r="AA157" s="648">
        <v>-2931.8002000000001</v>
      </c>
      <c r="AB157" s="648">
        <v>-2931.8002000000001</v>
      </c>
      <c r="AC157" s="648">
        <v>-2931.8002000000001</v>
      </c>
      <c r="AD157" s="648">
        <v>-2931.8002000000001</v>
      </c>
      <c r="AE157" s="648">
        <v>-2931.8002000000001</v>
      </c>
      <c r="AF157" s="648">
        <v>-2931.8002000000001</v>
      </c>
      <c r="AG157" s="505">
        <f t="shared" si="5"/>
        <v>-2931.8002000000006</v>
      </c>
    </row>
    <row r="158" spans="1:33">
      <c r="A158" s="506" t="s">
        <v>2005</v>
      </c>
      <c r="B158" s="648">
        <v>-1627.21532</v>
      </c>
      <c r="C158" s="648">
        <v>-1627.21532</v>
      </c>
      <c r="D158" s="648">
        <v>-1770.9225200000001</v>
      </c>
      <c r="E158" s="648">
        <v>-1770.9225200000001</v>
      </c>
      <c r="F158" s="648">
        <v>-1777.27692</v>
      </c>
      <c r="G158" s="648">
        <v>-1785.09772</v>
      </c>
      <c r="H158" s="648">
        <v>-1785.09772</v>
      </c>
      <c r="I158" s="648">
        <v>-1795.29772</v>
      </c>
      <c r="J158" s="648">
        <v>-1795.29772</v>
      </c>
      <c r="K158" s="648">
        <v>-1795.29772</v>
      </c>
      <c r="L158" s="648">
        <v>-1795.29772</v>
      </c>
      <c r="M158" s="648">
        <v>-1795.29772</v>
      </c>
      <c r="N158" s="648">
        <v>-1795.29772</v>
      </c>
      <c r="O158" s="648">
        <v>-1795.29772</v>
      </c>
      <c r="P158" s="129">
        <f t="shared" si="4"/>
        <v>-1775.6628276923075</v>
      </c>
      <c r="Q158" s="648">
        <v>-1795.29772</v>
      </c>
      <c r="R158" s="648">
        <v>-1795.29772</v>
      </c>
      <c r="S158" s="648">
        <v>-1795.29772</v>
      </c>
      <c r="T158" s="648">
        <v>-1795.29772</v>
      </c>
      <c r="U158" s="648">
        <v>-1795.29772</v>
      </c>
      <c r="V158" s="648">
        <v>-1795.29772</v>
      </c>
      <c r="W158" s="648">
        <v>-1795.29772</v>
      </c>
      <c r="X158" s="648">
        <v>-1795.29772</v>
      </c>
      <c r="Y158" s="648">
        <v>-1795.29772</v>
      </c>
      <c r="Z158" s="648">
        <v>-1795.29772</v>
      </c>
      <c r="AA158" s="648">
        <v>-1795.29772</v>
      </c>
      <c r="AB158" s="648">
        <v>-1795.29772</v>
      </c>
      <c r="AC158" s="648">
        <v>-1795.29772</v>
      </c>
      <c r="AD158" s="648">
        <v>-1795.29772</v>
      </c>
      <c r="AE158" s="648">
        <v>-1795.29772</v>
      </c>
      <c r="AF158" s="648">
        <v>-1795.29772</v>
      </c>
      <c r="AG158" s="505">
        <f t="shared" si="5"/>
        <v>-1795.2977199999998</v>
      </c>
    </row>
    <row r="159" spans="1:33">
      <c r="B159" s="649"/>
      <c r="C159" s="649"/>
      <c r="D159" s="649"/>
      <c r="E159" s="649"/>
      <c r="F159" s="649"/>
      <c r="G159" s="649"/>
      <c r="H159" s="649"/>
      <c r="I159" s="649"/>
      <c r="J159" s="649"/>
      <c r="K159" s="649"/>
      <c r="L159" s="649"/>
      <c r="M159" s="649"/>
      <c r="N159" s="649"/>
      <c r="O159" s="649"/>
      <c r="P159" s="129">
        <f t="shared" si="4"/>
        <v>0</v>
      </c>
      <c r="Q159" s="649"/>
      <c r="R159" s="649"/>
      <c r="S159" s="649"/>
      <c r="T159" s="649"/>
      <c r="U159" s="649"/>
      <c r="V159" s="649"/>
      <c r="W159" s="649"/>
      <c r="X159" s="649"/>
      <c r="Y159" s="649"/>
      <c r="Z159" s="649"/>
      <c r="AA159" s="649"/>
      <c r="AB159" s="649"/>
      <c r="AC159" s="649"/>
      <c r="AD159" s="649"/>
      <c r="AE159" s="649"/>
      <c r="AF159" s="649"/>
      <c r="AG159" s="505">
        <f t="shared" si="5"/>
        <v>0</v>
      </c>
    </row>
    <row r="160" spans="1:33">
      <c r="B160" s="649"/>
      <c r="C160" s="649"/>
      <c r="D160" s="649"/>
      <c r="E160" s="649"/>
      <c r="F160" s="649"/>
      <c r="G160" s="649"/>
      <c r="H160" s="649"/>
      <c r="I160" s="649"/>
      <c r="J160" s="649"/>
      <c r="K160" s="649"/>
      <c r="L160" s="649"/>
      <c r="M160" s="649"/>
      <c r="N160" s="649"/>
      <c r="O160" s="649"/>
      <c r="P160" s="129">
        <f t="shared" si="4"/>
        <v>0</v>
      </c>
      <c r="Q160" s="649"/>
      <c r="R160" s="649"/>
      <c r="S160" s="649"/>
      <c r="T160" s="649"/>
      <c r="U160" s="649"/>
      <c r="V160" s="649"/>
      <c r="W160" s="649"/>
      <c r="X160" s="649"/>
      <c r="Y160" s="649"/>
      <c r="Z160" s="649"/>
      <c r="AA160" s="649"/>
      <c r="AB160" s="649"/>
      <c r="AC160" s="649"/>
      <c r="AD160" s="649"/>
      <c r="AE160" s="649"/>
      <c r="AF160" s="649"/>
      <c r="AG160" s="505">
        <f t="shared" si="5"/>
        <v>0</v>
      </c>
    </row>
    <row r="161" spans="1:33" ht="15.75" thickBot="1">
      <c r="A161" s="503" t="s">
        <v>1588</v>
      </c>
      <c r="B161" s="651">
        <v>2713275.4516699999</v>
      </c>
      <c r="C161" s="651">
        <v>2674993.1142500001</v>
      </c>
      <c r="D161" s="651">
        <v>2690154.47621</v>
      </c>
      <c r="E161" s="651">
        <v>2702138.75263</v>
      </c>
      <c r="F161" s="651">
        <v>2670337.1324700001</v>
      </c>
      <c r="G161" s="651">
        <v>2715929.0727900001</v>
      </c>
      <c r="H161" s="651">
        <v>2743614.67480999</v>
      </c>
      <c r="I161" s="651">
        <v>2688475.5903899898</v>
      </c>
      <c r="J161" s="651">
        <v>2659363.6491783801</v>
      </c>
      <c r="K161" s="651">
        <v>2673315.9600909199</v>
      </c>
      <c r="L161" s="651">
        <v>2641875.4085385301</v>
      </c>
      <c r="M161" s="651">
        <v>2737603.2150238301</v>
      </c>
      <c r="N161" s="651">
        <v>2769880.5205239099</v>
      </c>
      <c r="O161" s="651">
        <v>2758955.1532729398</v>
      </c>
      <c r="P161" s="129">
        <f t="shared" si="4"/>
        <v>2702048.9784752685</v>
      </c>
      <c r="Q161" s="651">
        <v>2714791.0439936402</v>
      </c>
      <c r="R161" s="651">
        <v>2726915.9460047302</v>
      </c>
      <c r="S161" s="651">
        <v>2692065.36993135</v>
      </c>
      <c r="T161" s="651">
        <v>2763109.6472422499</v>
      </c>
      <c r="U161" s="651">
        <v>2785699.2656692802</v>
      </c>
      <c r="V161" s="651">
        <v>2776700.0647791699</v>
      </c>
      <c r="W161" s="651">
        <v>2748270.91315682</v>
      </c>
      <c r="X161" s="651">
        <v>2756228.4819241399</v>
      </c>
      <c r="Y161" s="651">
        <v>2732537.70443798</v>
      </c>
      <c r="Z161" s="651">
        <v>2798311.0406019501</v>
      </c>
      <c r="AA161" s="651">
        <v>2826969.1953823599</v>
      </c>
      <c r="AB161" s="651">
        <v>2818458.8470339701</v>
      </c>
      <c r="AC161" s="651">
        <v>2803458.1700809901</v>
      </c>
      <c r="AD161" s="651">
        <v>2810075.17168984</v>
      </c>
      <c r="AE161" s="651">
        <v>2778086.63584881</v>
      </c>
      <c r="AF161" s="651">
        <v>2853540.3987286799</v>
      </c>
      <c r="AG161" s="505">
        <f t="shared" si="5"/>
        <v>2788572.7335827877</v>
      </c>
    </row>
    <row r="162" spans="1:33">
      <c r="P162" s="129">
        <f t="shared" si="4"/>
        <v>0</v>
      </c>
      <c r="AG162" s="505">
        <f t="shared" si="5"/>
        <v>0</v>
      </c>
    </row>
    <row r="163" spans="1:33">
      <c r="A163" s="503" t="s">
        <v>1493</v>
      </c>
      <c r="B163" s="649"/>
      <c r="C163" s="649"/>
      <c r="D163" s="649"/>
      <c r="E163" s="649"/>
      <c r="F163" s="649"/>
      <c r="G163" s="649"/>
      <c r="H163" s="649"/>
      <c r="I163" s="649"/>
      <c r="J163" s="649"/>
      <c r="K163" s="649"/>
      <c r="L163" s="649"/>
      <c r="M163" s="649"/>
      <c r="N163" s="649"/>
      <c r="O163" s="649"/>
      <c r="P163" s="129">
        <f t="shared" si="4"/>
        <v>0</v>
      </c>
      <c r="Q163" s="649"/>
      <c r="R163" s="649"/>
      <c r="S163" s="649"/>
      <c r="T163" s="649"/>
      <c r="U163" s="649"/>
      <c r="V163" s="649"/>
      <c r="W163" s="649"/>
      <c r="X163" s="649"/>
      <c r="Y163" s="649"/>
      <c r="Z163" s="649"/>
      <c r="AA163" s="649"/>
      <c r="AB163" s="649"/>
      <c r="AC163" s="649"/>
      <c r="AD163" s="649"/>
      <c r="AE163" s="649"/>
      <c r="AF163" s="649"/>
      <c r="AG163" s="505">
        <f t="shared" si="5"/>
        <v>0</v>
      </c>
    </row>
    <row r="164" spans="1:33">
      <c r="A164" s="506" t="s">
        <v>2008</v>
      </c>
      <c r="B164" s="649"/>
      <c r="C164" s="649"/>
      <c r="D164" s="649"/>
      <c r="E164" s="649"/>
      <c r="F164" s="649"/>
      <c r="G164" s="649"/>
      <c r="H164" s="649"/>
      <c r="I164" s="649"/>
      <c r="J164" s="649"/>
      <c r="K164" s="649"/>
      <c r="L164" s="649"/>
      <c r="M164" s="649"/>
      <c r="N164" s="649"/>
      <c r="O164" s="649"/>
      <c r="P164" s="129">
        <f t="shared" si="4"/>
        <v>0</v>
      </c>
      <c r="Q164" s="649"/>
      <c r="R164" s="649"/>
      <c r="S164" s="649"/>
      <c r="T164" s="649"/>
      <c r="U164" s="649"/>
      <c r="V164" s="649"/>
      <c r="W164" s="649"/>
      <c r="X164" s="649"/>
      <c r="Y164" s="649"/>
      <c r="Z164" s="649"/>
      <c r="AA164" s="649"/>
      <c r="AB164" s="649"/>
      <c r="AC164" s="649"/>
      <c r="AD164" s="649"/>
      <c r="AE164" s="649"/>
      <c r="AF164" s="649"/>
      <c r="AG164" s="505">
        <f t="shared" si="5"/>
        <v>0</v>
      </c>
    </row>
    <row r="165" spans="1:33">
      <c r="A165" s="506" t="s">
        <v>2009</v>
      </c>
      <c r="B165" s="648">
        <v>0</v>
      </c>
      <c r="C165" s="648">
        <v>0</v>
      </c>
      <c r="D165" s="648">
        <v>0</v>
      </c>
      <c r="E165" s="648">
        <v>0</v>
      </c>
      <c r="F165" s="648">
        <v>0</v>
      </c>
      <c r="G165" s="648">
        <v>0</v>
      </c>
      <c r="H165" s="648">
        <v>0</v>
      </c>
      <c r="I165" s="648">
        <v>0</v>
      </c>
      <c r="J165" s="648">
        <v>0</v>
      </c>
      <c r="K165" s="648">
        <v>0</v>
      </c>
      <c r="L165" s="648">
        <v>0</v>
      </c>
      <c r="M165" s="648">
        <v>0</v>
      </c>
      <c r="N165" s="648">
        <v>0</v>
      </c>
      <c r="O165" s="648">
        <v>0</v>
      </c>
      <c r="P165" s="129">
        <f t="shared" si="4"/>
        <v>0</v>
      </c>
      <c r="Q165" s="648">
        <v>0</v>
      </c>
      <c r="R165" s="648">
        <v>0</v>
      </c>
      <c r="S165" s="648">
        <v>0</v>
      </c>
      <c r="T165" s="648">
        <v>0</v>
      </c>
      <c r="U165" s="648">
        <v>0</v>
      </c>
      <c r="V165" s="648">
        <v>0</v>
      </c>
      <c r="W165" s="648">
        <v>0</v>
      </c>
      <c r="X165" s="648">
        <v>0</v>
      </c>
      <c r="Y165" s="648">
        <v>0</v>
      </c>
      <c r="Z165" s="648">
        <v>0</v>
      </c>
      <c r="AA165" s="648">
        <v>0</v>
      </c>
      <c r="AB165" s="648">
        <v>0</v>
      </c>
      <c r="AC165" s="648">
        <v>0</v>
      </c>
      <c r="AD165" s="648">
        <v>0</v>
      </c>
      <c r="AE165" s="648">
        <v>0</v>
      </c>
      <c r="AF165" s="648">
        <v>0</v>
      </c>
      <c r="AG165" s="505">
        <f t="shared" si="5"/>
        <v>0</v>
      </c>
    </row>
    <row r="166" spans="1:33">
      <c r="A166" s="506" t="s">
        <v>2010</v>
      </c>
      <c r="B166" s="648">
        <v>2350779.4049999998</v>
      </c>
      <c r="C166" s="648">
        <v>2350779.4049999998</v>
      </c>
      <c r="D166" s="648">
        <v>2350779.4049999998</v>
      </c>
      <c r="E166" s="648">
        <v>2350779.4049999998</v>
      </c>
      <c r="F166" s="648">
        <v>2350779.4049999998</v>
      </c>
      <c r="G166" s="648">
        <v>2350779.4049999998</v>
      </c>
      <c r="H166" s="648">
        <v>2350779.4049999998</v>
      </c>
      <c r="I166" s="648">
        <v>2350779.4049999998</v>
      </c>
      <c r="J166" s="648">
        <v>2350779.4049999998</v>
      </c>
      <c r="K166" s="648">
        <v>2350779.4049999998</v>
      </c>
      <c r="L166" s="648">
        <v>2350779.4049999998</v>
      </c>
      <c r="M166" s="648">
        <v>2350779.4049999998</v>
      </c>
      <c r="N166" s="648">
        <v>2350779.4049999998</v>
      </c>
      <c r="O166" s="648">
        <v>2350779.4049999998</v>
      </c>
      <c r="P166" s="129">
        <f t="shared" si="4"/>
        <v>2350779.4050000003</v>
      </c>
      <c r="Q166" s="648">
        <v>2350779.4049999998</v>
      </c>
      <c r="R166" s="648">
        <v>2350779.4049999998</v>
      </c>
      <c r="S166" s="648">
        <v>2350779.4049999998</v>
      </c>
      <c r="T166" s="648">
        <v>2350779.4049999998</v>
      </c>
      <c r="U166" s="648">
        <v>2350779.4049999998</v>
      </c>
      <c r="V166" s="648">
        <v>2350779.4049999998</v>
      </c>
      <c r="W166" s="648">
        <v>2350779.4049999998</v>
      </c>
      <c r="X166" s="648">
        <v>2350779.4049999998</v>
      </c>
      <c r="Y166" s="648">
        <v>2350779.4049999998</v>
      </c>
      <c r="Z166" s="648">
        <v>2350779.4049999998</v>
      </c>
      <c r="AA166" s="648">
        <v>2350779.4049999998</v>
      </c>
      <c r="AB166" s="648">
        <v>2350779.4049999998</v>
      </c>
      <c r="AC166" s="648">
        <v>2350779.4049999998</v>
      </c>
      <c r="AD166" s="648">
        <v>2350779.4049999998</v>
      </c>
      <c r="AE166" s="648">
        <v>2350779.4049999998</v>
      </c>
      <c r="AF166" s="648">
        <v>2350779.4049999998</v>
      </c>
      <c r="AG166" s="505">
        <f t="shared" si="5"/>
        <v>2350779.4050000003</v>
      </c>
    </row>
    <row r="167" spans="1:33" ht="15.75" thickBot="1">
      <c r="A167" s="506" t="s">
        <v>2011</v>
      </c>
      <c r="B167" s="650">
        <v>-9603.0550500000008</v>
      </c>
      <c r="C167" s="650">
        <v>-9560.2585799999997</v>
      </c>
      <c r="D167" s="650">
        <v>-9514.5106300000007</v>
      </c>
      <c r="E167" s="650">
        <v>-9470.2384399999992</v>
      </c>
      <c r="F167" s="650">
        <v>-9424.4904800000004</v>
      </c>
      <c r="G167" s="650">
        <v>-9380.2182699999994</v>
      </c>
      <c r="H167" s="650">
        <v>-9334.4703200000004</v>
      </c>
      <c r="I167" s="650">
        <v>-9288.7223599999998</v>
      </c>
      <c r="J167" s="650">
        <v>-9244.4174992001408</v>
      </c>
      <c r="K167" s="650">
        <v>-9198.6358097069497</v>
      </c>
      <c r="L167" s="650">
        <v>-9154.3309489070998</v>
      </c>
      <c r="M167" s="650">
        <v>-9108.5492594139105</v>
      </c>
      <c r="N167" s="650">
        <v>-9062.7675699207193</v>
      </c>
      <c r="O167" s="650">
        <v>-9021.4163665075193</v>
      </c>
      <c r="P167" s="129">
        <f t="shared" si="4"/>
        <v>-9289.4635795120248</v>
      </c>
      <c r="Q167" s="650">
        <v>-8975.6346770143391</v>
      </c>
      <c r="R167" s="650">
        <v>-8931.3298162144802</v>
      </c>
      <c r="S167" s="650">
        <v>-8885.5481267212999</v>
      </c>
      <c r="T167" s="650">
        <v>-8841.2432659214392</v>
      </c>
      <c r="U167" s="650">
        <v>-8795.4615764282498</v>
      </c>
      <c r="V167" s="650">
        <v>-8749.6798869350696</v>
      </c>
      <c r="W167" s="650">
        <v>-8705.3750261352106</v>
      </c>
      <c r="X167" s="650">
        <v>-8659.5933366420195</v>
      </c>
      <c r="Y167" s="650">
        <v>-8615.2884758421696</v>
      </c>
      <c r="Z167" s="650">
        <v>-8569.5067863489803</v>
      </c>
      <c r="AA167" s="650">
        <v>-8523.7250968558001</v>
      </c>
      <c r="AB167" s="650">
        <v>-8482.3738934426001</v>
      </c>
      <c r="AC167" s="650">
        <v>-8436.5922039494108</v>
      </c>
      <c r="AD167" s="650">
        <v>-8392.28734314955</v>
      </c>
      <c r="AE167" s="650">
        <v>-8346.5056536563698</v>
      </c>
      <c r="AF167" s="650">
        <v>-8302.2007928565108</v>
      </c>
      <c r="AG167" s="505">
        <f t="shared" si="5"/>
        <v>-8570.7564106279533</v>
      </c>
    </row>
    <row r="168" spans="1:33">
      <c r="A168" s="506" t="s">
        <v>2008</v>
      </c>
      <c r="B168" s="648">
        <v>2341176.3499500002</v>
      </c>
      <c r="C168" s="648">
        <v>2341219.1464200001</v>
      </c>
      <c r="D168" s="648">
        <v>2341264.8943699999</v>
      </c>
      <c r="E168" s="648">
        <v>2341309.1665599998</v>
      </c>
      <c r="F168" s="648">
        <v>2341354.9145200001</v>
      </c>
      <c r="G168" s="648">
        <v>2341399.1867300002</v>
      </c>
      <c r="H168" s="648">
        <v>2341444.9346799999</v>
      </c>
      <c r="I168" s="648">
        <v>2341490.6826399998</v>
      </c>
      <c r="J168" s="648">
        <v>2341534.9875007998</v>
      </c>
      <c r="K168" s="648">
        <v>2341580.76919029</v>
      </c>
      <c r="L168" s="648">
        <v>2341625.0740510901</v>
      </c>
      <c r="M168" s="648">
        <v>2341670.8557405798</v>
      </c>
      <c r="N168" s="648">
        <v>2341716.63743007</v>
      </c>
      <c r="O168" s="648">
        <v>2341757.9886334902</v>
      </c>
      <c r="P168" s="129">
        <f t="shared" si="4"/>
        <v>2341489.9414204862</v>
      </c>
      <c r="Q168" s="648">
        <v>2341803.7703229799</v>
      </c>
      <c r="R168" s="648">
        <v>2341848.0751837799</v>
      </c>
      <c r="S168" s="648">
        <v>2341893.8568732701</v>
      </c>
      <c r="T168" s="648">
        <v>2341938.1617340702</v>
      </c>
      <c r="U168" s="648">
        <v>2341983.9434235701</v>
      </c>
      <c r="V168" s="648">
        <v>2342029.7251130599</v>
      </c>
      <c r="W168" s="648">
        <v>2342074.0299738599</v>
      </c>
      <c r="X168" s="648">
        <v>2342119.8116633501</v>
      </c>
      <c r="Y168" s="648">
        <v>2342164.1165241501</v>
      </c>
      <c r="Z168" s="648">
        <v>2342209.8982136501</v>
      </c>
      <c r="AA168" s="648">
        <v>2342255.6799031398</v>
      </c>
      <c r="AB168" s="648">
        <v>2342297.0311065498</v>
      </c>
      <c r="AC168" s="648">
        <v>2342342.8127960502</v>
      </c>
      <c r="AD168" s="648">
        <v>2342387.1176568498</v>
      </c>
      <c r="AE168" s="648">
        <v>2342432.89934634</v>
      </c>
      <c r="AF168" s="648">
        <v>2342477.20420714</v>
      </c>
      <c r="AG168" s="505">
        <f t="shared" si="5"/>
        <v>2342208.648589368</v>
      </c>
    </row>
    <row r="169" spans="1:33">
      <c r="B169" s="649"/>
      <c r="C169" s="649"/>
      <c r="D169" s="649"/>
      <c r="E169" s="649"/>
      <c r="F169" s="649"/>
      <c r="G169" s="649"/>
      <c r="H169" s="649"/>
      <c r="I169" s="649"/>
      <c r="J169" s="649"/>
      <c r="K169" s="649"/>
      <c r="L169" s="649"/>
      <c r="M169" s="649"/>
      <c r="N169" s="649"/>
      <c r="O169" s="649"/>
      <c r="P169" s="129">
        <f t="shared" si="4"/>
        <v>0</v>
      </c>
      <c r="Q169" s="649"/>
      <c r="R169" s="649"/>
      <c r="S169" s="649"/>
      <c r="T169" s="649"/>
      <c r="U169" s="649"/>
      <c r="V169" s="649"/>
      <c r="W169" s="649"/>
      <c r="X169" s="649"/>
      <c r="Y169" s="649"/>
      <c r="Z169" s="649"/>
      <c r="AA169" s="649"/>
      <c r="AB169" s="649"/>
      <c r="AC169" s="649"/>
      <c r="AD169" s="649"/>
      <c r="AE169" s="649"/>
      <c r="AF169" s="649"/>
      <c r="AG169" s="505">
        <f t="shared" si="5"/>
        <v>0</v>
      </c>
    </row>
    <row r="170" spans="1:33">
      <c r="A170" s="506" t="s">
        <v>2012</v>
      </c>
      <c r="P170" s="129">
        <f t="shared" si="4"/>
        <v>0</v>
      </c>
      <c r="AG170" s="505">
        <f t="shared" si="5"/>
        <v>0</v>
      </c>
    </row>
    <row r="171" spans="1:33">
      <c r="B171" s="649"/>
      <c r="C171" s="649"/>
      <c r="D171" s="649"/>
      <c r="E171" s="649"/>
      <c r="F171" s="649"/>
      <c r="G171" s="649"/>
      <c r="H171" s="649"/>
      <c r="I171" s="649"/>
      <c r="J171" s="649"/>
      <c r="K171" s="649"/>
      <c r="L171" s="649"/>
      <c r="M171" s="649"/>
      <c r="N171" s="649"/>
      <c r="O171" s="649"/>
      <c r="P171" s="129">
        <f t="shared" si="4"/>
        <v>0</v>
      </c>
      <c r="Q171" s="649"/>
      <c r="R171" s="649"/>
      <c r="S171" s="649"/>
      <c r="T171" s="649"/>
      <c r="U171" s="649"/>
      <c r="V171" s="649"/>
      <c r="W171" s="649"/>
      <c r="X171" s="649"/>
      <c r="Y171" s="649"/>
      <c r="Z171" s="649"/>
      <c r="AA171" s="649"/>
      <c r="AB171" s="649"/>
      <c r="AC171" s="649"/>
      <c r="AD171" s="649"/>
      <c r="AE171" s="649"/>
      <c r="AF171" s="649"/>
      <c r="AG171" s="505">
        <f t="shared" si="5"/>
        <v>0</v>
      </c>
    </row>
    <row r="172" spans="1:33" ht="15.75" thickBot="1">
      <c r="A172" s="503" t="s">
        <v>2013</v>
      </c>
      <c r="B172" s="651">
        <v>2341176.3499500002</v>
      </c>
      <c r="C172" s="651">
        <v>2341219.1464200001</v>
      </c>
      <c r="D172" s="651">
        <v>2341264.8943699999</v>
      </c>
      <c r="E172" s="651">
        <v>2341309.1665599998</v>
      </c>
      <c r="F172" s="651">
        <v>2341354.9145200001</v>
      </c>
      <c r="G172" s="651">
        <v>2341399.1867300002</v>
      </c>
      <c r="H172" s="651">
        <v>2341444.9346799999</v>
      </c>
      <c r="I172" s="651">
        <v>2341490.6826399998</v>
      </c>
      <c r="J172" s="651">
        <v>2341534.9875007998</v>
      </c>
      <c r="K172" s="651">
        <v>2341580.76919029</v>
      </c>
      <c r="L172" s="651">
        <v>2341625.0740510901</v>
      </c>
      <c r="M172" s="651">
        <v>2341670.8557405798</v>
      </c>
      <c r="N172" s="651">
        <v>2341716.63743007</v>
      </c>
      <c r="O172" s="651">
        <v>2341757.9886334902</v>
      </c>
      <c r="P172" s="129">
        <f t="shared" si="4"/>
        <v>2341489.9414204862</v>
      </c>
      <c r="Q172" s="651">
        <v>2341803.7703229799</v>
      </c>
      <c r="R172" s="651">
        <v>2341848.0751837799</v>
      </c>
      <c r="S172" s="651">
        <v>2341893.8568732701</v>
      </c>
      <c r="T172" s="651">
        <v>2341938.1617340702</v>
      </c>
      <c r="U172" s="651">
        <v>2341983.9434235701</v>
      </c>
      <c r="V172" s="651">
        <v>2342029.7251130599</v>
      </c>
      <c r="W172" s="651">
        <v>2342074.0299738599</v>
      </c>
      <c r="X172" s="651">
        <v>2342119.8116633501</v>
      </c>
      <c r="Y172" s="651">
        <v>2342164.1165241501</v>
      </c>
      <c r="Z172" s="651">
        <v>2342209.8982136501</v>
      </c>
      <c r="AA172" s="651">
        <v>2342255.6799031398</v>
      </c>
      <c r="AB172" s="651">
        <v>2342297.0311065498</v>
      </c>
      <c r="AC172" s="651">
        <v>2342342.8127960502</v>
      </c>
      <c r="AD172" s="651">
        <v>2342387.1176568498</v>
      </c>
      <c r="AE172" s="651">
        <v>2342432.89934634</v>
      </c>
      <c r="AF172" s="651">
        <v>2342477.20420714</v>
      </c>
      <c r="AG172" s="505">
        <f t="shared" si="5"/>
        <v>2342208.648589368</v>
      </c>
    </row>
    <row r="173" spans="1:33">
      <c r="P173" s="129">
        <f t="shared" si="4"/>
        <v>0</v>
      </c>
      <c r="AG173" s="505">
        <f t="shared" si="5"/>
        <v>0</v>
      </c>
    </row>
    <row r="174" spans="1:33">
      <c r="A174" s="503" t="s">
        <v>2014</v>
      </c>
      <c r="B174" s="652">
        <v>5054451.80162</v>
      </c>
      <c r="C174" s="652">
        <v>5016212.2606699998</v>
      </c>
      <c r="D174" s="652">
        <v>5031419.3705799999</v>
      </c>
      <c r="E174" s="652">
        <v>5043447.9191899998</v>
      </c>
      <c r="F174" s="652">
        <v>5011692.0469899997</v>
      </c>
      <c r="G174" s="652">
        <v>5057328.2595199998</v>
      </c>
      <c r="H174" s="652">
        <v>5085059.6094899997</v>
      </c>
      <c r="I174" s="652">
        <v>5029966.2730299998</v>
      </c>
      <c r="J174" s="652">
        <v>5000898.63667918</v>
      </c>
      <c r="K174" s="652">
        <v>5014896.7292812197</v>
      </c>
      <c r="L174" s="652">
        <v>4983500.4825896202</v>
      </c>
      <c r="M174" s="652">
        <v>5079274.0707644196</v>
      </c>
      <c r="N174" s="652">
        <v>5111597.1579539897</v>
      </c>
      <c r="O174" s="652">
        <v>5100713.14190643</v>
      </c>
      <c r="P174" s="129">
        <f t="shared" si="4"/>
        <v>5043538.9198957589</v>
      </c>
      <c r="Q174" s="652">
        <v>5056594.8143166304</v>
      </c>
      <c r="R174" s="652">
        <v>5068764.0211885097</v>
      </c>
      <c r="S174" s="652">
        <v>5033959.2268046299</v>
      </c>
      <c r="T174" s="652">
        <v>5105047.8089763299</v>
      </c>
      <c r="U174" s="652">
        <v>5127683.2090928499</v>
      </c>
      <c r="V174" s="652">
        <v>5118729.7898922302</v>
      </c>
      <c r="W174" s="652">
        <v>5090344.9431306897</v>
      </c>
      <c r="X174" s="652">
        <v>5098348.2935875002</v>
      </c>
      <c r="Y174" s="652">
        <v>5074701.8209621301</v>
      </c>
      <c r="Z174" s="652">
        <v>5140520.9388156002</v>
      </c>
      <c r="AA174" s="652">
        <v>5169224.87528551</v>
      </c>
      <c r="AB174" s="652">
        <v>5160755.8781405296</v>
      </c>
      <c r="AC174" s="652">
        <v>5145800.9828770403</v>
      </c>
      <c r="AD174" s="652">
        <v>5152462.2893466903</v>
      </c>
      <c r="AE174" s="652">
        <v>5120519.5351951597</v>
      </c>
      <c r="AF174" s="652">
        <v>5196017.6029358301</v>
      </c>
      <c r="AG174" s="505">
        <f t="shared" si="5"/>
        <v>5130781.3821721608</v>
      </c>
    </row>
    <row r="175" spans="1:33">
      <c r="P175" s="129">
        <f t="shared" si="4"/>
        <v>0</v>
      </c>
      <c r="AG175" s="505">
        <f t="shared" si="5"/>
        <v>0</v>
      </c>
    </row>
    <row r="176" spans="1:33">
      <c r="A176" s="503" t="s">
        <v>1494</v>
      </c>
      <c r="B176" s="649"/>
      <c r="C176" s="649"/>
      <c r="D176" s="649"/>
      <c r="E176" s="649"/>
      <c r="F176" s="649"/>
      <c r="G176" s="649"/>
      <c r="H176" s="649"/>
      <c r="I176" s="649"/>
      <c r="J176" s="649"/>
      <c r="K176" s="649"/>
      <c r="L176" s="649"/>
      <c r="M176" s="649"/>
      <c r="N176" s="649"/>
      <c r="O176" s="649"/>
      <c r="P176" s="129">
        <f t="shared" si="4"/>
        <v>0</v>
      </c>
      <c r="Q176" s="649"/>
      <c r="R176" s="649"/>
      <c r="S176" s="649"/>
      <c r="T176" s="649"/>
      <c r="U176" s="649"/>
      <c r="V176" s="649"/>
      <c r="W176" s="649"/>
      <c r="X176" s="649"/>
      <c r="Y176" s="649"/>
      <c r="Z176" s="649"/>
      <c r="AA176" s="649"/>
      <c r="AB176" s="649"/>
      <c r="AC176" s="649"/>
      <c r="AD176" s="649"/>
      <c r="AE176" s="649"/>
      <c r="AF176" s="649"/>
      <c r="AG176" s="505">
        <f t="shared" si="5"/>
        <v>0</v>
      </c>
    </row>
    <row r="177" spans="1:33">
      <c r="A177" s="506" t="s">
        <v>2015</v>
      </c>
      <c r="P177" s="129">
        <f t="shared" si="4"/>
        <v>0</v>
      </c>
      <c r="AG177" s="505">
        <f t="shared" si="5"/>
        <v>0</v>
      </c>
    </row>
    <row r="178" spans="1:33">
      <c r="B178" s="649"/>
      <c r="C178" s="649"/>
      <c r="D178" s="649"/>
      <c r="E178" s="649"/>
      <c r="F178" s="649"/>
      <c r="G178" s="649"/>
      <c r="H178" s="649"/>
      <c r="I178" s="649"/>
      <c r="J178" s="649"/>
      <c r="K178" s="649"/>
      <c r="L178" s="649"/>
      <c r="M178" s="649"/>
      <c r="N178" s="649"/>
      <c r="O178" s="649"/>
      <c r="P178" s="129">
        <f t="shared" si="4"/>
        <v>0</v>
      </c>
      <c r="Q178" s="649"/>
      <c r="R178" s="649"/>
      <c r="S178" s="649"/>
      <c r="T178" s="649"/>
      <c r="U178" s="649"/>
      <c r="V178" s="649"/>
      <c r="W178" s="649"/>
      <c r="X178" s="649"/>
      <c r="Y178" s="649"/>
      <c r="Z178" s="649"/>
      <c r="AA178" s="649"/>
      <c r="AB178" s="649"/>
      <c r="AC178" s="649"/>
      <c r="AD178" s="649"/>
      <c r="AE178" s="649"/>
      <c r="AF178" s="649"/>
      <c r="AG178" s="505">
        <f t="shared" si="5"/>
        <v>0</v>
      </c>
    </row>
    <row r="179" spans="1:33">
      <c r="A179" s="506" t="s">
        <v>2016</v>
      </c>
      <c r="B179" s="649"/>
      <c r="C179" s="649"/>
      <c r="D179" s="649"/>
      <c r="E179" s="649"/>
      <c r="F179" s="649"/>
      <c r="G179" s="649"/>
      <c r="H179" s="649"/>
      <c r="I179" s="649"/>
      <c r="J179" s="649"/>
      <c r="K179" s="649"/>
      <c r="L179" s="649"/>
      <c r="M179" s="649"/>
      <c r="N179" s="649"/>
      <c r="O179" s="649"/>
      <c r="P179" s="129">
        <f t="shared" si="4"/>
        <v>0</v>
      </c>
      <c r="Q179" s="649"/>
      <c r="R179" s="649"/>
      <c r="S179" s="649"/>
      <c r="T179" s="649"/>
      <c r="U179" s="649"/>
      <c r="V179" s="649"/>
      <c r="W179" s="649"/>
      <c r="X179" s="649"/>
      <c r="Y179" s="649"/>
      <c r="Z179" s="649"/>
      <c r="AA179" s="649"/>
      <c r="AB179" s="649"/>
      <c r="AC179" s="649"/>
      <c r="AD179" s="649"/>
      <c r="AE179" s="649"/>
      <c r="AF179" s="649"/>
      <c r="AG179" s="505">
        <f t="shared" si="5"/>
        <v>0</v>
      </c>
    </row>
    <row r="180" spans="1:33">
      <c r="A180" s="506" t="s">
        <v>2017</v>
      </c>
      <c r="B180" s="648">
        <v>43220.46471</v>
      </c>
      <c r="C180" s="648">
        <v>15999.182220000001</v>
      </c>
      <c r="D180" s="648">
        <v>33997.593889999996</v>
      </c>
      <c r="E180" s="648">
        <v>21341.25303</v>
      </c>
      <c r="F180" s="648">
        <v>33998.612869999997</v>
      </c>
      <c r="G180" s="648">
        <v>28997.47222</v>
      </c>
      <c r="H180" s="648">
        <v>21999.586670000001</v>
      </c>
      <c r="I180" s="648">
        <v>0</v>
      </c>
      <c r="J180" s="648">
        <v>79155.536308798793</v>
      </c>
      <c r="K180" s="648">
        <v>78295.063390277297</v>
      </c>
      <c r="L180" s="648">
        <v>120637.62609330899</v>
      </c>
      <c r="M180" s="648">
        <v>83690.629796627298</v>
      </c>
      <c r="N180" s="648">
        <v>50393.170305758198</v>
      </c>
      <c r="O180" s="648">
        <v>0</v>
      </c>
      <c r="P180" s="129">
        <f t="shared" si="4"/>
        <v>43731.209753443902</v>
      </c>
      <c r="Q180" s="648">
        <v>65284.550880014198</v>
      </c>
      <c r="R180" s="648">
        <v>90305.119323477295</v>
      </c>
      <c r="S180" s="648">
        <v>111299.86467151099</v>
      </c>
      <c r="T180" s="648">
        <v>105429.633329484</v>
      </c>
      <c r="U180" s="648">
        <v>80317.494335461495</v>
      </c>
      <c r="V180" s="648">
        <v>48520.314547489899</v>
      </c>
      <c r="W180" s="648">
        <v>93637.798376226594</v>
      </c>
      <c r="X180" s="648">
        <v>122193.64640711401</v>
      </c>
      <c r="Y180" s="648">
        <v>157420.45499108001</v>
      </c>
      <c r="Z180" s="648">
        <v>140336.505090094</v>
      </c>
      <c r="AA180" s="648">
        <v>124549.96414361001</v>
      </c>
      <c r="AB180" s="648">
        <v>88303.570542921996</v>
      </c>
      <c r="AC180" s="648">
        <v>144427.49373699399</v>
      </c>
      <c r="AD180" s="648">
        <v>175548.17784625999</v>
      </c>
      <c r="AE180" s="648">
        <v>211093.61762254799</v>
      </c>
      <c r="AF180" s="648">
        <v>187655.06714422</v>
      </c>
      <c r="AG180" s="505">
        <f t="shared" si="5"/>
        <v>129187.21062411569</v>
      </c>
    </row>
    <row r="181" spans="1:33">
      <c r="A181" s="506" t="s">
        <v>2016</v>
      </c>
      <c r="B181" s="648">
        <v>43220.46471</v>
      </c>
      <c r="C181" s="648">
        <v>15999.182220000001</v>
      </c>
      <c r="D181" s="648">
        <v>33997.593889999996</v>
      </c>
      <c r="E181" s="648">
        <v>21341.25303</v>
      </c>
      <c r="F181" s="648">
        <v>33998.612869999997</v>
      </c>
      <c r="G181" s="648">
        <v>28997.47222</v>
      </c>
      <c r="H181" s="648">
        <v>21999.586670000001</v>
      </c>
      <c r="I181" s="648">
        <v>0</v>
      </c>
      <c r="J181" s="648">
        <v>79155.536308798793</v>
      </c>
      <c r="K181" s="648">
        <v>78295.063390277297</v>
      </c>
      <c r="L181" s="648">
        <v>120637.62609330899</v>
      </c>
      <c r="M181" s="648">
        <v>83690.629796627298</v>
      </c>
      <c r="N181" s="648">
        <v>50393.170305758198</v>
      </c>
      <c r="O181" s="648">
        <v>0</v>
      </c>
      <c r="P181" s="129">
        <f t="shared" si="4"/>
        <v>43731.209753443902</v>
      </c>
      <c r="Q181" s="648">
        <v>65284.550880014198</v>
      </c>
      <c r="R181" s="648">
        <v>90305.119323477295</v>
      </c>
      <c r="S181" s="648">
        <v>111299.86467151099</v>
      </c>
      <c r="T181" s="648">
        <v>105429.633329484</v>
      </c>
      <c r="U181" s="648">
        <v>80317.494335461495</v>
      </c>
      <c r="V181" s="648">
        <v>48520.314547489899</v>
      </c>
      <c r="W181" s="648">
        <v>93637.798376226594</v>
      </c>
      <c r="X181" s="648">
        <v>122193.64640711401</v>
      </c>
      <c r="Y181" s="648">
        <v>157420.45499108001</v>
      </c>
      <c r="Z181" s="648">
        <v>140336.505090094</v>
      </c>
      <c r="AA181" s="648">
        <v>124549.96414361001</v>
      </c>
      <c r="AB181" s="648">
        <v>88303.570542921996</v>
      </c>
      <c r="AC181" s="648">
        <v>144427.49373699399</v>
      </c>
      <c r="AD181" s="648">
        <v>175548.17784625999</v>
      </c>
      <c r="AE181" s="648">
        <v>211093.61762254799</v>
      </c>
      <c r="AF181" s="648">
        <v>187655.06714422</v>
      </c>
      <c r="AG181" s="505">
        <f t="shared" si="5"/>
        <v>129187.21062411569</v>
      </c>
    </row>
    <row r="182" spans="1:33">
      <c r="B182" s="649"/>
      <c r="C182" s="649"/>
      <c r="D182" s="649"/>
      <c r="E182" s="649"/>
      <c r="F182" s="649"/>
      <c r="G182" s="649"/>
      <c r="H182" s="649"/>
      <c r="I182" s="649"/>
      <c r="J182" s="649"/>
      <c r="K182" s="649"/>
      <c r="L182" s="649"/>
      <c r="M182" s="649"/>
      <c r="N182" s="649"/>
      <c r="O182" s="649"/>
      <c r="P182" s="129">
        <f t="shared" si="4"/>
        <v>0</v>
      </c>
      <c r="Q182" s="649"/>
      <c r="R182" s="649"/>
      <c r="S182" s="649"/>
      <c r="T182" s="649"/>
      <c r="U182" s="649"/>
      <c r="V182" s="649"/>
      <c r="W182" s="649"/>
      <c r="X182" s="649"/>
      <c r="Y182" s="649"/>
      <c r="Z182" s="649"/>
      <c r="AA182" s="649"/>
      <c r="AB182" s="649"/>
      <c r="AC182" s="649"/>
      <c r="AD182" s="649"/>
      <c r="AE182" s="649"/>
      <c r="AF182" s="649"/>
      <c r="AG182" s="505">
        <f t="shared" si="5"/>
        <v>0</v>
      </c>
    </row>
    <row r="183" spans="1:33">
      <c r="A183" s="506" t="s">
        <v>2018</v>
      </c>
      <c r="B183" s="649"/>
      <c r="C183" s="649"/>
      <c r="D183" s="649"/>
      <c r="E183" s="649"/>
      <c r="F183" s="649"/>
      <c r="G183" s="649"/>
      <c r="H183" s="649"/>
      <c r="I183" s="649"/>
      <c r="J183" s="649"/>
      <c r="K183" s="649"/>
      <c r="L183" s="649"/>
      <c r="M183" s="649"/>
      <c r="N183" s="649"/>
      <c r="O183" s="649"/>
      <c r="P183" s="129">
        <f t="shared" si="4"/>
        <v>0</v>
      </c>
      <c r="Q183" s="649"/>
      <c r="R183" s="649"/>
      <c r="S183" s="649"/>
      <c r="T183" s="649"/>
      <c r="U183" s="649"/>
      <c r="V183" s="649"/>
      <c r="W183" s="649"/>
      <c r="X183" s="649"/>
      <c r="Y183" s="649"/>
      <c r="Z183" s="649"/>
      <c r="AA183" s="649"/>
      <c r="AB183" s="649"/>
      <c r="AC183" s="649"/>
      <c r="AD183" s="649"/>
      <c r="AE183" s="649"/>
      <c r="AF183" s="649"/>
      <c r="AG183" s="505">
        <f t="shared" si="5"/>
        <v>0</v>
      </c>
    </row>
    <row r="184" spans="1:33">
      <c r="A184" s="506" t="s">
        <v>2019</v>
      </c>
      <c r="B184" s="648">
        <v>0</v>
      </c>
      <c r="C184" s="648">
        <v>0</v>
      </c>
      <c r="D184" s="648">
        <v>0</v>
      </c>
      <c r="E184" s="648">
        <v>0</v>
      </c>
      <c r="F184" s="648">
        <v>0</v>
      </c>
      <c r="G184" s="648">
        <v>0</v>
      </c>
      <c r="H184" s="648">
        <v>0</v>
      </c>
      <c r="I184" s="648">
        <v>0</v>
      </c>
      <c r="J184" s="648">
        <v>126.658622379299</v>
      </c>
      <c r="K184" s="648">
        <v>188.18814475859901</v>
      </c>
      <c r="L184" s="648">
        <v>-41.559527737100197</v>
      </c>
      <c r="M184" s="648">
        <v>-146.75563410780001</v>
      </c>
      <c r="N184" s="648">
        <v>-194.89631447849999</v>
      </c>
      <c r="O184" s="648">
        <v>-255.21234084919999</v>
      </c>
      <c r="P184" s="129">
        <f t="shared" si="4"/>
        <v>-24.890542310361703</v>
      </c>
      <c r="Q184" s="648">
        <v>-502.29979521989998</v>
      </c>
      <c r="R184" s="648">
        <v>-550.9558015906</v>
      </c>
      <c r="S184" s="648">
        <v>-547.17032396130003</v>
      </c>
      <c r="T184" s="648">
        <v>-725.72689533200003</v>
      </c>
      <c r="U184" s="648">
        <v>-810.37268100663005</v>
      </c>
      <c r="V184" s="648">
        <v>-875.61423468125997</v>
      </c>
      <c r="W184" s="648">
        <v>-1009.92861635589</v>
      </c>
      <c r="X184" s="648">
        <v>-1116.65463303052</v>
      </c>
      <c r="Y184" s="648">
        <v>-1193.5149667051501</v>
      </c>
      <c r="Z184" s="648">
        <v>-1248.20066537978</v>
      </c>
      <c r="AA184" s="648">
        <v>-1331.34628605441</v>
      </c>
      <c r="AB184" s="648">
        <v>-1445.77187372904</v>
      </c>
      <c r="AC184" s="648">
        <v>-1639.51080540367</v>
      </c>
      <c r="AD184" s="648">
        <v>-1688.8111220783001</v>
      </c>
      <c r="AE184" s="648">
        <v>-1691.26450475293</v>
      </c>
      <c r="AF184" s="648">
        <v>-1835.4322744275601</v>
      </c>
      <c r="AG184" s="505">
        <f t="shared" si="5"/>
        <v>-1277.8576583797799</v>
      </c>
    </row>
    <row r="185" spans="1:33">
      <c r="A185" s="506" t="s">
        <v>2020</v>
      </c>
      <c r="B185" s="648">
        <v>10016.84174</v>
      </c>
      <c r="C185" s="648">
        <v>10290.281639999999</v>
      </c>
      <c r="D185" s="648">
        <v>4899.2929800000002</v>
      </c>
      <c r="E185" s="648">
        <v>5143.0550899999998</v>
      </c>
      <c r="F185" s="648">
        <v>5829.9098299999996</v>
      </c>
      <c r="G185" s="648">
        <v>7840.8766699999996</v>
      </c>
      <c r="H185" s="648">
        <v>5123.5792299999903</v>
      </c>
      <c r="I185" s="648">
        <v>5991.1997300000003</v>
      </c>
      <c r="J185" s="648">
        <v>5991.1997300000003</v>
      </c>
      <c r="K185" s="648">
        <v>5991.1997300000003</v>
      </c>
      <c r="L185" s="648">
        <v>5991.1997300000003</v>
      </c>
      <c r="M185" s="648">
        <v>5991.1997300000003</v>
      </c>
      <c r="N185" s="648">
        <v>5991.1997300000003</v>
      </c>
      <c r="O185" s="648">
        <v>5991.1997300000003</v>
      </c>
      <c r="P185" s="129">
        <f t="shared" si="4"/>
        <v>6235.7995038461522</v>
      </c>
      <c r="Q185" s="648">
        <v>5991.1997300000003</v>
      </c>
      <c r="R185" s="648">
        <v>5991.1997300000003</v>
      </c>
      <c r="S185" s="648">
        <v>5991.1997300000003</v>
      </c>
      <c r="T185" s="648">
        <v>5991.1997300000003</v>
      </c>
      <c r="U185" s="648">
        <v>5991.1997300000003</v>
      </c>
      <c r="V185" s="648">
        <v>5991.1997300000003</v>
      </c>
      <c r="W185" s="648">
        <v>5991.1997300000003</v>
      </c>
      <c r="X185" s="648">
        <v>5991.1997300000003</v>
      </c>
      <c r="Y185" s="648">
        <v>5991.1997300000003</v>
      </c>
      <c r="Z185" s="648">
        <v>5991.1997300000003</v>
      </c>
      <c r="AA185" s="648">
        <v>5991.1997300000003</v>
      </c>
      <c r="AB185" s="648">
        <v>5991.1997300000003</v>
      </c>
      <c r="AC185" s="648">
        <v>5991.1997300000003</v>
      </c>
      <c r="AD185" s="648">
        <v>5991.1997300000003</v>
      </c>
      <c r="AE185" s="648">
        <v>5991.1997300000003</v>
      </c>
      <c r="AF185" s="648">
        <v>5991.1997300000003</v>
      </c>
      <c r="AG185" s="505">
        <f t="shared" si="5"/>
        <v>5991.1997299999994</v>
      </c>
    </row>
    <row r="186" spans="1:33">
      <c r="A186" s="506" t="s">
        <v>2021</v>
      </c>
      <c r="B186" s="648">
        <v>0</v>
      </c>
      <c r="C186" s="648">
        <v>0</v>
      </c>
      <c r="D186" s="648">
        <v>0</v>
      </c>
      <c r="E186" s="648">
        <v>0</v>
      </c>
      <c r="F186" s="648">
        <v>0</v>
      </c>
      <c r="G186" s="648">
        <v>0</v>
      </c>
      <c r="H186" s="648">
        <v>0</v>
      </c>
      <c r="I186" s="648">
        <v>0</v>
      </c>
      <c r="J186" s="648">
        <v>-251.758295199999</v>
      </c>
      <c r="K186" s="648">
        <v>-172.79489520000001</v>
      </c>
      <c r="L186" s="648">
        <v>-472.89769519999902</v>
      </c>
      <c r="M186" s="648">
        <v>1460.2620048000001</v>
      </c>
      <c r="N186" s="648">
        <v>1546.0736950999999</v>
      </c>
      <c r="O186" s="648">
        <v>1149.1566951</v>
      </c>
      <c r="P186" s="129">
        <f t="shared" si="4"/>
        <v>250.61857764615399</v>
      </c>
      <c r="Q186" s="648">
        <v>-440.22755489999997</v>
      </c>
      <c r="R186" s="648">
        <v>-269.09210489999901</v>
      </c>
      <c r="S186" s="648">
        <v>-216.14610489999899</v>
      </c>
      <c r="T186" s="648">
        <v>-11.4739048999995</v>
      </c>
      <c r="U186" s="648">
        <v>75.003495100000194</v>
      </c>
      <c r="V186" s="648">
        <v>336.21759509999998</v>
      </c>
      <c r="W186" s="648">
        <v>-231.96460489999899</v>
      </c>
      <c r="X186" s="648">
        <v>-199.56830489999899</v>
      </c>
      <c r="Y186" s="648">
        <v>-453.01000489999899</v>
      </c>
      <c r="Z186" s="648">
        <v>1481.2435951</v>
      </c>
      <c r="AA186" s="648">
        <v>1431.6477866999901</v>
      </c>
      <c r="AB186" s="648">
        <v>1043.6820866999999</v>
      </c>
      <c r="AC186" s="648">
        <v>-357.15906330000001</v>
      </c>
      <c r="AD186" s="648">
        <v>-142.00155615713899</v>
      </c>
      <c r="AE186" s="648">
        <v>-108.06925615713899</v>
      </c>
      <c r="AF186" s="648">
        <v>-8.56315615713992</v>
      </c>
      <c r="AG186" s="505">
        <f t="shared" si="5"/>
        <v>219.69113133296736</v>
      </c>
    </row>
    <row r="187" spans="1:33">
      <c r="A187" s="506" t="s">
        <v>2022</v>
      </c>
      <c r="B187" s="648">
        <v>77387.060800000007</v>
      </c>
      <c r="C187" s="648">
        <v>76432.274380000003</v>
      </c>
      <c r="D187" s="648">
        <v>76774.171869999904</v>
      </c>
      <c r="E187" s="648">
        <v>73893.264920000001</v>
      </c>
      <c r="F187" s="648">
        <v>68896.215979999994</v>
      </c>
      <c r="G187" s="648">
        <v>72973.298970000003</v>
      </c>
      <c r="H187" s="648">
        <v>76796.512069999997</v>
      </c>
      <c r="I187" s="648">
        <v>72353.940969999996</v>
      </c>
      <c r="J187" s="648">
        <v>72342.437099999996</v>
      </c>
      <c r="K187" s="648">
        <v>72342.437099999996</v>
      </c>
      <c r="L187" s="648">
        <v>72342.437099999996</v>
      </c>
      <c r="M187" s="648">
        <v>72342.437099999996</v>
      </c>
      <c r="N187" s="648">
        <v>72342.437099999996</v>
      </c>
      <c r="O187" s="648">
        <v>72342.437099999996</v>
      </c>
      <c r="P187" s="129">
        <f t="shared" si="4"/>
        <v>73244.17705846153</v>
      </c>
      <c r="Q187" s="648">
        <v>72342.437099999996</v>
      </c>
      <c r="R187" s="648">
        <v>72342.437099999996</v>
      </c>
      <c r="S187" s="648">
        <v>72342.437099999996</v>
      </c>
      <c r="T187" s="648">
        <v>72342.437099999996</v>
      </c>
      <c r="U187" s="648">
        <v>72342.437099999996</v>
      </c>
      <c r="V187" s="648">
        <v>72342.437099999996</v>
      </c>
      <c r="W187" s="648">
        <v>72342.437099999996</v>
      </c>
      <c r="X187" s="648">
        <v>72342.437099999996</v>
      </c>
      <c r="Y187" s="648">
        <v>72342.649932509201</v>
      </c>
      <c r="Z187" s="648">
        <v>72342.437099999996</v>
      </c>
      <c r="AA187" s="648">
        <v>72342.437099999996</v>
      </c>
      <c r="AB187" s="648">
        <v>72342.437099999996</v>
      </c>
      <c r="AC187" s="648">
        <v>72342.437099999996</v>
      </c>
      <c r="AD187" s="648">
        <v>72342.437099999996</v>
      </c>
      <c r="AE187" s="648">
        <v>72342.437099999996</v>
      </c>
      <c r="AF187" s="648">
        <v>72342.437099999996</v>
      </c>
      <c r="AG187" s="505">
        <f t="shared" si="5"/>
        <v>72342.453471731467</v>
      </c>
    </row>
    <row r="188" spans="1:33" ht="15.75" thickBot="1">
      <c r="A188" s="506" t="s">
        <v>2023</v>
      </c>
      <c r="B188" s="650">
        <v>9983.2066199999899</v>
      </c>
      <c r="C188" s="650">
        <v>215.83328</v>
      </c>
      <c r="D188" s="650">
        <v>1680.8102799999999</v>
      </c>
      <c r="E188" s="650">
        <v>8869.3999899999999</v>
      </c>
      <c r="F188" s="650">
        <v>84.054299999999998</v>
      </c>
      <c r="G188" s="650">
        <v>454.02922999999998</v>
      </c>
      <c r="H188" s="650">
        <v>2831.5319100000002</v>
      </c>
      <c r="I188" s="650">
        <v>2.5850000000000001E-2</v>
      </c>
      <c r="J188" s="650">
        <v>495.506007963684</v>
      </c>
      <c r="K188" s="650">
        <v>993.598388144654</v>
      </c>
      <c r="L188" s="650">
        <v>1475.57592340785</v>
      </c>
      <c r="M188" s="650">
        <v>2826.8273882287799</v>
      </c>
      <c r="N188" s="650">
        <v>3334.3123430287801</v>
      </c>
      <c r="O188" s="650">
        <v>3796.1549343787801</v>
      </c>
      <c r="P188" s="129">
        <f t="shared" si="4"/>
        <v>2081.3584480886561</v>
      </c>
      <c r="Q188" s="650">
        <v>-2383.3246331783498</v>
      </c>
      <c r="R188" s="650">
        <v>-1913.98327617835</v>
      </c>
      <c r="S188" s="650">
        <v>-1404.1709975783499</v>
      </c>
      <c r="T188" s="650">
        <v>-913.54036332835005</v>
      </c>
      <c r="U188" s="650">
        <v>-453.75957192835</v>
      </c>
      <c r="V188" s="650">
        <v>79.202357871649298</v>
      </c>
      <c r="W188" s="650">
        <v>560.69388482164902</v>
      </c>
      <c r="X188" s="650">
        <v>1087.5730908216401</v>
      </c>
      <c r="Y188" s="650">
        <v>1574.11366772164</v>
      </c>
      <c r="Z188" s="650">
        <v>1999.9331820216401</v>
      </c>
      <c r="AA188" s="650">
        <v>2542.4106126216402</v>
      </c>
      <c r="AB188" s="650">
        <v>3024.8862250716402</v>
      </c>
      <c r="AC188" s="650">
        <v>-2323.0613026283499</v>
      </c>
      <c r="AD188" s="650">
        <v>-1821.6769097783499</v>
      </c>
      <c r="AE188" s="650">
        <v>-1267.19184372835</v>
      </c>
      <c r="AF188" s="650">
        <v>-767.28178677835001</v>
      </c>
      <c r="AG188" s="505">
        <f t="shared" si="5"/>
        <v>255.56163406010754</v>
      </c>
    </row>
    <row r="189" spans="1:33">
      <c r="A189" s="506" t="s">
        <v>2018</v>
      </c>
      <c r="B189" s="648">
        <v>97387.109160000007</v>
      </c>
      <c r="C189" s="648">
        <v>86938.389299999995</v>
      </c>
      <c r="D189" s="648">
        <v>83354.275129999995</v>
      </c>
      <c r="E189" s="648">
        <v>87905.72</v>
      </c>
      <c r="F189" s="648">
        <v>74810.180110000001</v>
      </c>
      <c r="G189" s="648">
        <v>81268.204870000001</v>
      </c>
      <c r="H189" s="648">
        <v>84751.623210000005</v>
      </c>
      <c r="I189" s="648">
        <v>78345.166549999994</v>
      </c>
      <c r="J189" s="648">
        <v>78704.043165142997</v>
      </c>
      <c r="K189" s="648">
        <v>79342.628467703194</v>
      </c>
      <c r="L189" s="648">
        <v>79294.755530470706</v>
      </c>
      <c r="M189" s="648">
        <v>82473.970588921002</v>
      </c>
      <c r="N189" s="648">
        <v>83019.126553650305</v>
      </c>
      <c r="O189" s="648">
        <v>83023.736118629604</v>
      </c>
      <c r="P189" s="129">
        <f t="shared" si="4"/>
        <v>81787.063045732139</v>
      </c>
      <c r="Q189" s="648">
        <v>75007.784846701703</v>
      </c>
      <c r="R189" s="648">
        <v>75599.605647331002</v>
      </c>
      <c r="S189" s="648">
        <v>76166.149403560295</v>
      </c>
      <c r="T189" s="648">
        <v>76682.895666439596</v>
      </c>
      <c r="U189" s="648">
        <v>77144.508072165001</v>
      </c>
      <c r="V189" s="648">
        <v>77873.442548290404</v>
      </c>
      <c r="W189" s="648">
        <v>77652.437493565696</v>
      </c>
      <c r="X189" s="648">
        <v>78104.986982891103</v>
      </c>
      <c r="Y189" s="648">
        <v>78261.438358625703</v>
      </c>
      <c r="Z189" s="648">
        <v>80566.612941741798</v>
      </c>
      <c r="AA189" s="648">
        <v>80976.348943267207</v>
      </c>
      <c r="AB189" s="648">
        <v>80956.433268042601</v>
      </c>
      <c r="AC189" s="648">
        <v>74013.905658667907</v>
      </c>
      <c r="AD189" s="648">
        <v>74681.147241986197</v>
      </c>
      <c r="AE189" s="648">
        <v>75267.111225361601</v>
      </c>
      <c r="AF189" s="648">
        <v>75722.359612636894</v>
      </c>
      <c r="AG189" s="505">
        <f t="shared" si="5"/>
        <v>77531.04830874475</v>
      </c>
    </row>
    <row r="190" spans="1:33">
      <c r="B190" s="649"/>
      <c r="C190" s="649"/>
      <c r="D190" s="649"/>
      <c r="E190" s="649"/>
      <c r="F190" s="649"/>
      <c r="G190" s="649"/>
      <c r="H190" s="649"/>
      <c r="I190" s="649"/>
      <c r="J190" s="649"/>
      <c r="K190" s="649"/>
      <c r="L190" s="649"/>
      <c r="M190" s="649"/>
      <c r="N190" s="649"/>
      <c r="O190" s="649"/>
      <c r="P190" s="129">
        <f t="shared" si="4"/>
        <v>0</v>
      </c>
      <c r="Q190" s="649"/>
      <c r="R190" s="649"/>
      <c r="S190" s="649"/>
      <c r="T190" s="649"/>
      <c r="U190" s="649"/>
      <c r="V190" s="649"/>
      <c r="W190" s="649"/>
      <c r="X190" s="649"/>
      <c r="Y190" s="649"/>
      <c r="Z190" s="649"/>
      <c r="AA190" s="649"/>
      <c r="AB190" s="649"/>
      <c r="AC190" s="649"/>
      <c r="AD190" s="649"/>
      <c r="AE190" s="649"/>
      <c r="AF190" s="649"/>
      <c r="AG190" s="505">
        <f t="shared" si="5"/>
        <v>0</v>
      </c>
    </row>
    <row r="191" spans="1:33">
      <c r="A191" s="506" t="s">
        <v>2024</v>
      </c>
      <c r="B191" s="649"/>
      <c r="C191" s="649"/>
      <c r="D191" s="649"/>
      <c r="E191" s="649"/>
      <c r="F191" s="649"/>
      <c r="G191" s="649"/>
      <c r="H191" s="649"/>
      <c r="I191" s="649"/>
      <c r="J191" s="649"/>
      <c r="K191" s="649"/>
      <c r="L191" s="649"/>
      <c r="M191" s="649"/>
      <c r="N191" s="649"/>
      <c r="O191" s="649"/>
      <c r="P191" s="129">
        <f t="shared" si="4"/>
        <v>0</v>
      </c>
      <c r="Q191" s="649"/>
      <c r="R191" s="649"/>
      <c r="S191" s="649"/>
      <c r="T191" s="649"/>
      <c r="U191" s="649"/>
      <c r="V191" s="649"/>
      <c r="W191" s="649"/>
      <c r="X191" s="649"/>
      <c r="Y191" s="649"/>
      <c r="Z191" s="649"/>
      <c r="AA191" s="649"/>
      <c r="AB191" s="649"/>
      <c r="AC191" s="649"/>
      <c r="AD191" s="649"/>
      <c r="AE191" s="649"/>
      <c r="AF191" s="649"/>
      <c r="AG191" s="505">
        <f t="shared" si="5"/>
        <v>0</v>
      </c>
    </row>
    <row r="192" spans="1:33" ht="15.75" thickBot="1">
      <c r="A192" s="506" t="s">
        <v>2025</v>
      </c>
      <c r="B192" s="650">
        <v>0</v>
      </c>
      <c r="C192" s="650">
        <v>0</v>
      </c>
      <c r="D192" s="650">
        <v>0</v>
      </c>
      <c r="E192" s="650">
        <v>0</v>
      </c>
      <c r="F192" s="650">
        <v>0</v>
      </c>
      <c r="G192" s="650">
        <v>0</v>
      </c>
      <c r="H192" s="650">
        <v>0</v>
      </c>
      <c r="I192" s="650">
        <v>0</v>
      </c>
      <c r="J192" s="650">
        <v>1427.4181799999999</v>
      </c>
      <c r="K192" s="650">
        <v>1427.4760799999999</v>
      </c>
      <c r="L192" s="650">
        <v>3212.9022799999998</v>
      </c>
      <c r="M192" s="650">
        <v>4217.4633800000001</v>
      </c>
      <c r="N192" s="650">
        <v>5914.0892800000001</v>
      </c>
      <c r="O192" s="650">
        <v>5599.6643800000002</v>
      </c>
      <c r="P192" s="129">
        <f t="shared" si="4"/>
        <v>1676.8471984615385</v>
      </c>
      <c r="Q192" s="650">
        <v>6466.9449800000002</v>
      </c>
      <c r="R192" s="650">
        <v>1971.52188</v>
      </c>
      <c r="S192" s="650">
        <v>3197.5558799999999</v>
      </c>
      <c r="T192" s="650">
        <v>2334.9317799999999</v>
      </c>
      <c r="U192" s="650">
        <v>2470.3021800000001</v>
      </c>
      <c r="V192" s="650">
        <v>2976.5308799999998</v>
      </c>
      <c r="W192" s="650">
        <v>3493.76208</v>
      </c>
      <c r="X192" s="650">
        <v>3470.7664799999998</v>
      </c>
      <c r="Y192" s="650">
        <v>3742.4590800000001</v>
      </c>
      <c r="Z192" s="650">
        <v>7134.4162800000004</v>
      </c>
      <c r="AA192" s="650">
        <v>7621.5488800000003</v>
      </c>
      <c r="AB192" s="650">
        <v>7148.5157799999997</v>
      </c>
      <c r="AC192" s="650">
        <v>8906.1437800000003</v>
      </c>
      <c r="AD192" s="650">
        <v>5240.6136800000004</v>
      </c>
      <c r="AE192" s="650">
        <v>4197.2425800000001</v>
      </c>
      <c r="AF192" s="650">
        <v>3633.7225800000001</v>
      </c>
      <c r="AG192" s="505">
        <f t="shared" si="5"/>
        <v>4797.7658492307692</v>
      </c>
    </row>
    <row r="193" spans="1:33" ht="15.75" thickBot="1">
      <c r="A193" s="506" t="s">
        <v>2026</v>
      </c>
      <c r="B193" s="650">
        <v>40348.015619999998</v>
      </c>
      <c r="C193" s="650">
        <v>39150.288769999999</v>
      </c>
      <c r="D193" s="650">
        <v>42286.429790000002</v>
      </c>
      <c r="E193" s="650">
        <v>44461.776949999999</v>
      </c>
      <c r="F193" s="650">
        <v>41024.277040000001</v>
      </c>
      <c r="G193" s="650">
        <v>52696.233209999999</v>
      </c>
      <c r="H193" s="650">
        <v>40543.387710000003</v>
      </c>
      <c r="I193" s="650">
        <v>43216.664219999999</v>
      </c>
      <c r="J193" s="650">
        <v>43491.403330100002</v>
      </c>
      <c r="K193" s="650">
        <v>43216.664219999999</v>
      </c>
      <c r="L193" s="650">
        <v>43216.664219999999</v>
      </c>
      <c r="M193" s="650">
        <v>43491.403330100002</v>
      </c>
      <c r="N193" s="650">
        <v>43216.664219999999</v>
      </c>
      <c r="O193" s="650">
        <v>43216.664219999999</v>
      </c>
      <c r="P193" s="129">
        <f t="shared" si="4"/>
        <v>43325.270863861537</v>
      </c>
      <c r="Q193" s="650">
        <v>43918.053774013897</v>
      </c>
      <c r="R193" s="650">
        <v>43216.664219999999</v>
      </c>
      <c r="S193" s="650">
        <v>43216.664219999999</v>
      </c>
      <c r="T193" s="650">
        <v>43918.053774013897</v>
      </c>
      <c r="U193" s="650">
        <v>43216.664219999999</v>
      </c>
      <c r="V193" s="650">
        <v>43216.664219999999</v>
      </c>
      <c r="W193" s="650">
        <v>43918.053774013897</v>
      </c>
      <c r="X193" s="650">
        <v>43216.664219999999</v>
      </c>
      <c r="Y193" s="650">
        <v>43216.664219999999</v>
      </c>
      <c r="Z193" s="650">
        <v>43918.053774013897</v>
      </c>
      <c r="AA193" s="650">
        <v>43216.664219999999</v>
      </c>
      <c r="AB193" s="650">
        <v>43216.664219999999</v>
      </c>
      <c r="AC193" s="650">
        <v>43815.711364468298</v>
      </c>
      <c r="AD193" s="650">
        <v>43216.664219999999</v>
      </c>
      <c r="AE193" s="650">
        <v>43216.664219999999</v>
      </c>
      <c r="AF193" s="650">
        <v>43815.711364468298</v>
      </c>
      <c r="AG193" s="505">
        <f t="shared" si="5"/>
        <v>43470.684446998326</v>
      </c>
    </row>
    <row r="194" spans="1:33">
      <c r="A194" s="506" t="s">
        <v>2024</v>
      </c>
      <c r="B194" s="648">
        <v>40348.015619999998</v>
      </c>
      <c r="C194" s="648">
        <v>39150.288769999999</v>
      </c>
      <c r="D194" s="648">
        <v>42286.429790000002</v>
      </c>
      <c r="E194" s="648">
        <v>44461.776949999999</v>
      </c>
      <c r="F194" s="648">
        <v>41024.277040000001</v>
      </c>
      <c r="G194" s="648">
        <v>52696.233209999999</v>
      </c>
      <c r="H194" s="648">
        <v>40543.387710000003</v>
      </c>
      <c r="I194" s="648">
        <v>43216.664219999999</v>
      </c>
      <c r="J194" s="648">
        <v>44918.821510100002</v>
      </c>
      <c r="K194" s="648">
        <v>44644.140299999999</v>
      </c>
      <c r="L194" s="648">
        <v>46429.566500000001</v>
      </c>
      <c r="M194" s="648">
        <v>47708.866710100003</v>
      </c>
      <c r="N194" s="648">
        <v>49130.753499999999</v>
      </c>
      <c r="O194" s="648">
        <v>48816.328600000001</v>
      </c>
      <c r="P194" s="129">
        <f t="shared" si="4"/>
        <v>45002.118062323076</v>
      </c>
      <c r="Q194" s="648">
        <v>50384.998754013897</v>
      </c>
      <c r="R194" s="648">
        <v>45188.186099999999</v>
      </c>
      <c r="S194" s="648">
        <v>46414.220099999999</v>
      </c>
      <c r="T194" s="648">
        <v>46252.985554013903</v>
      </c>
      <c r="U194" s="648">
        <v>45686.966399999998</v>
      </c>
      <c r="V194" s="648">
        <v>46193.195099999997</v>
      </c>
      <c r="W194" s="648">
        <v>47411.815854013897</v>
      </c>
      <c r="X194" s="648">
        <v>46687.430699999997</v>
      </c>
      <c r="Y194" s="648">
        <v>46959.123299999999</v>
      </c>
      <c r="Z194" s="648">
        <v>51052.470054013902</v>
      </c>
      <c r="AA194" s="648">
        <v>50838.213100000001</v>
      </c>
      <c r="AB194" s="648">
        <v>50365.18</v>
      </c>
      <c r="AC194" s="648">
        <v>52721.855144468303</v>
      </c>
      <c r="AD194" s="648">
        <v>48457.277900000001</v>
      </c>
      <c r="AE194" s="648">
        <v>47413.906799999997</v>
      </c>
      <c r="AF194" s="648">
        <v>47449.433944468299</v>
      </c>
      <c r="AG194" s="505">
        <f t="shared" si="5"/>
        <v>48268.450296229101</v>
      </c>
    </row>
    <row r="195" spans="1:33">
      <c r="B195" s="649"/>
      <c r="C195" s="649"/>
      <c r="D195" s="649"/>
      <c r="E195" s="649"/>
      <c r="F195" s="649"/>
      <c r="G195" s="649"/>
      <c r="H195" s="649"/>
      <c r="I195" s="649"/>
      <c r="J195" s="649"/>
      <c r="K195" s="649"/>
      <c r="L195" s="649"/>
      <c r="M195" s="649"/>
      <c r="N195" s="649"/>
      <c r="O195" s="649"/>
      <c r="P195" s="129">
        <f t="shared" si="4"/>
        <v>0</v>
      </c>
      <c r="Q195" s="649"/>
      <c r="R195" s="649"/>
      <c r="S195" s="649"/>
      <c r="T195" s="649"/>
      <c r="U195" s="649"/>
      <c r="V195" s="649"/>
      <c r="W195" s="649"/>
      <c r="X195" s="649"/>
      <c r="Y195" s="649"/>
      <c r="Z195" s="649"/>
      <c r="AA195" s="649"/>
      <c r="AB195" s="649"/>
      <c r="AC195" s="649"/>
      <c r="AD195" s="649"/>
      <c r="AE195" s="649"/>
      <c r="AF195" s="649"/>
      <c r="AG195" s="505">
        <f t="shared" si="5"/>
        <v>0</v>
      </c>
    </row>
    <row r="196" spans="1:33">
      <c r="A196" s="506" t="s">
        <v>2027</v>
      </c>
      <c r="B196" s="648">
        <v>26502.955470000001</v>
      </c>
      <c r="C196" s="648">
        <v>27098.71183</v>
      </c>
      <c r="D196" s="648">
        <v>27331.950939999999</v>
      </c>
      <c r="E196" s="648">
        <v>27528.30963</v>
      </c>
      <c r="F196" s="648">
        <v>27572.209739999998</v>
      </c>
      <c r="G196" s="648">
        <v>27610.573629999999</v>
      </c>
      <c r="H196" s="648">
        <v>27771.029839999999</v>
      </c>
      <c r="I196" s="648">
        <v>28000.98402</v>
      </c>
      <c r="J196" s="648">
        <v>28000.98402</v>
      </c>
      <c r="K196" s="648">
        <v>28000.98402</v>
      </c>
      <c r="L196" s="648">
        <v>28000.98402</v>
      </c>
      <c r="M196" s="648">
        <v>28000.98402</v>
      </c>
      <c r="N196" s="648">
        <v>28000.98402</v>
      </c>
      <c r="O196" s="648">
        <v>28000.98402</v>
      </c>
      <c r="P196" s="129">
        <f t="shared" si="4"/>
        <v>27763.051826923071</v>
      </c>
      <c r="Q196" s="648">
        <v>28000.98402</v>
      </c>
      <c r="R196" s="648">
        <v>28000.98402</v>
      </c>
      <c r="S196" s="648">
        <v>28000.98402</v>
      </c>
      <c r="T196" s="648">
        <v>28000.98402</v>
      </c>
      <c r="U196" s="648">
        <v>28000.98402</v>
      </c>
      <c r="V196" s="648">
        <v>28000.98402</v>
      </c>
      <c r="W196" s="648">
        <v>28000.98402</v>
      </c>
      <c r="X196" s="648">
        <v>28000.98402</v>
      </c>
      <c r="Y196" s="648">
        <v>28000.98402</v>
      </c>
      <c r="Z196" s="648">
        <v>28000.98402</v>
      </c>
      <c r="AA196" s="648">
        <v>28000.98402</v>
      </c>
      <c r="AB196" s="648">
        <v>28000.98402</v>
      </c>
      <c r="AC196" s="648">
        <v>28000.98402</v>
      </c>
      <c r="AD196" s="648">
        <v>28000.98402</v>
      </c>
      <c r="AE196" s="648">
        <v>28000.98402</v>
      </c>
      <c r="AF196" s="648">
        <v>28000.98402</v>
      </c>
      <c r="AG196" s="505">
        <f t="shared" si="5"/>
        <v>28000.984019999993</v>
      </c>
    </row>
    <row r="197" spans="1:33">
      <c r="B197" s="649"/>
      <c r="C197" s="649"/>
      <c r="D197" s="649"/>
      <c r="E197" s="649"/>
      <c r="F197" s="649"/>
      <c r="G197" s="649"/>
      <c r="H197" s="649"/>
      <c r="I197" s="649"/>
      <c r="J197" s="649"/>
      <c r="K197" s="649"/>
      <c r="L197" s="649"/>
      <c r="M197" s="649"/>
      <c r="N197" s="649"/>
      <c r="O197" s="649"/>
      <c r="P197" s="129">
        <f t="shared" si="4"/>
        <v>0</v>
      </c>
      <c r="Q197" s="649"/>
      <c r="R197" s="649"/>
      <c r="S197" s="649"/>
      <c r="T197" s="649"/>
      <c r="U197" s="649"/>
      <c r="V197" s="649"/>
      <c r="W197" s="649"/>
      <c r="X197" s="649"/>
      <c r="Y197" s="649"/>
      <c r="Z197" s="649"/>
      <c r="AA197" s="649"/>
      <c r="AB197" s="649"/>
      <c r="AC197" s="649"/>
      <c r="AD197" s="649"/>
      <c r="AE197" s="649"/>
      <c r="AF197" s="649"/>
      <c r="AG197" s="505">
        <f t="shared" si="5"/>
        <v>0</v>
      </c>
    </row>
    <row r="198" spans="1:33">
      <c r="A198" s="506" t="s">
        <v>2028</v>
      </c>
      <c r="B198" s="648">
        <v>37004.6899999999</v>
      </c>
      <c r="C198" s="648">
        <v>50615.754159999997</v>
      </c>
      <c r="D198" s="648">
        <v>12040.879369999901</v>
      </c>
      <c r="E198" s="648">
        <v>14285.19844</v>
      </c>
      <c r="F198" s="648">
        <v>14356.770339999999</v>
      </c>
      <c r="G198" s="648">
        <v>16684.85557</v>
      </c>
      <c r="H198" s="648">
        <v>36603.994939999997</v>
      </c>
      <c r="I198" s="648">
        <v>59382.34143</v>
      </c>
      <c r="J198" s="648">
        <v>28444.674980810902</v>
      </c>
      <c r="K198" s="648">
        <v>26228.244945791499</v>
      </c>
      <c r="L198" s="648">
        <v>31138.972477978601</v>
      </c>
      <c r="M198" s="648">
        <v>6408.0341051053001</v>
      </c>
      <c r="N198" s="648">
        <v>28574.745760128601</v>
      </c>
      <c r="O198" s="648">
        <v>47866.839695712799</v>
      </c>
      <c r="P198" s="129">
        <f t="shared" si="4"/>
        <v>28663.946631963659</v>
      </c>
      <c r="Q198" s="648">
        <v>26979.0147652507</v>
      </c>
      <c r="R198" s="648">
        <v>20393.8970578382</v>
      </c>
      <c r="S198" s="648">
        <v>33086.3010822824</v>
      </c>
      <c r="T198" s="648">
        <v>15924.093150274301</v>
      </c>
      <c r="U198" s="648">
        <v>32469.200456307899</v>
      </c>
      <c r="V198" s="648">
        <v>49393.104715885798</v>
      </c>
      <c r="W198" s="648">
        <v>25654.372286805101</v>
      </c>
      <c r="X198" s="648">
        <v>18926.661699357101</v>
      </c>
      <c r="Y198" s="648">
        <v>22496.748968718999</v>
      </c>
      <c r="Z198" s="648">
        <v>6461.3526571954999</v>
      </c>
      <c r="AA198" s="648">
        <v>26512.701698930101</v>
      </c>
      <c r="AB198" s="648">
        <v>43411.642711219603</v>
      </c>
      <c r="AC198" s="648">
        <v>27027.656828184601</v>
      </c>
      <c r="AD198" s="648">
        <v>18413.520138572301</v>
      </c>
      <c r="AE198" s="648">
        <v>27789.795082336299</v>
      </c>
      <c r="AF198" s="648">
        <v>22685.710670623499</v>
      </c>
      <c r="AG198" s="505">
        <f t="shared" si="5"/>
        <v>25935.88931264701</v>
      </c>
    </row>
    <row r="199" spans="1:33">
      <c r="B199" s="649"/>
      <c r="C199" s="649"/>
      <c r="D199" s="649"/>
      <c r="E199" s="649"/>
      <c r="F199" s="649"/>
      <c r="G199" s="649"/>
      <c r="H199" s="649"/>
      <c r="I199" s="649"/>
      <c r="J199" s="649"/>
      <c r="K199" s="649"/>
      <c r="L199" s="649"/>
      <c r="M199" s="649"/>
      <c r="N199" s="649"/>
      <c r="O199" s="649"/>
      <c r="P199" s="129">
        <f t="shared" si="4"/>
        <v>0</v>
      </c>
      <c r="Q199" s="649"/>
      <c r="R199" s="649"/>
      <c r="S199" s="649"/>
      <c r="T199" s="649"/>
      <c r="U199" s="649"/>
      <c r="V199" s="649"/>
      <c r="W199" s="649"/>
      <c r="X199" s="649"/>
      <c r="Y199" s="649"/>
      <c r="Z199" s="649"/>
      <c r="AA199" s="649"/>
      <c r="AB199" s="649"/>
      <c r="AC199" s="649"/>
      <c r="AD199" s="649"/>
      <c r="AE199" s="649"/>
      <c r="AF199" s="649"/>
      <c r="AG199" s="505">
        <f t="shared" si="5"/>
        <v>0</v>
      </c>
    </row>
    <row r="200" spans="1:33">
      <c r="A200" s="506" t="s">
        <v>2029</v>
      </c>
      <c r="P200" s="129">
        <f t="shared" si="4"/>
        <v>0</v>
      </c>
      <c r="AG200" s="505">
        <f t="shared" si="5"/>
        <v>0</v>
      </c>
    </row>
    <row r="201" spans="1:33">
      <c r="A201" s="506" t="s">
        <v>2030</v>
      </c>
      <c r="B201" s="648">
        <v>22945.602989999999</v>
      </c>
      <c r="C201" s="648">
        <v>30274.05385</v>
      </c>
      <c r="D201" s="648">
        <v>37557.411079999998</v>
      </c>
      <c r="E201" s="648">
        <v>35104.80416</v>
      </c>
      <c r="F201" s="648">
        <v>9182.6702399999995</v>
      </c>
      <c r="G201" s="648">
        <v>15627.585429999999</v>
      </c>
      <c r="H201" s="648">
        <v>22872.743170000002</v>
      </c>
      <c r="I201" s="648">
        <v>30139.072189999999</v>
      </c>
      <c r="J201" s="648">
        <v>37492.937787577699</v>
      </c>
      <c r="K201" s="648">
        <v>35253.053385155501</v>
      </c>
      <c r="L201" s="648">
        <v>9406.9303149999996</v>
      </c>
      <c r="M201" s="648">
        <v>15979.0796625777</v>
      </c>
      <c r="N201" s="648">
        <v>23334.532619686099</v>
      </c>
      <c r="O201" s="648">
        <v>30643.072189999999</v>
      </c>
      <c r="P201" s="129">
        <f t="shared" si="4"/>
        <v>25605.22662153823</v>
      </c>
      <c r="Q201" s="648">
        <v>36048.760613774997</v>
      </c>
      <c r="R201" s="648">
        <v>33810.463570883301</v>
      </c>
      <c r="S201" s="648">
        <v>7961.1657816666602</v>
      </c>
      <c r="T201" s="648">
        <v>14534.9024887749</v>
      </c>
      <c r="U201" s="648">
        <v>21890.355445883299</v>
      </c>
      <c r="V201" s="648">
        <v>29197.307656666599</v>
      </c>
      <c r="W201" s="648">
        <v>36048.760613774997</v>
      </c>
      <c r="X201" s="648">
        <v>33810.463570883301</v>
      </c>
      <c r="Y201" s="648">
        <v>7961.1657816666602</v>
      </c>
      <c r="Z201" s="648">
        <v>14534.9024887749</v>
      </c>
      <c r="AA201" s="648">
        <v>21893.5362525819</v>
      </c>
      <c r="AB201" s="648">
        <v>29197.307656666599</v>
      </c>
      <c r="AC201" s="648">
        <v>36051.941420473602</v>
      </c>
      <c r="AD201" s="648">
        <v>33816.825184280497</v>
      </c>
      <c r="AE201" s="648">
        <v>7961.1657816666702</v>
      </c>
      <c r="AF201" s="648">
        <v>14538.0832954736</v>
      </c>
      <c r="AG201" s="505">
        <f t="shared" si="5"/>
        <v>23187.439818274426</v>
      </c>
    </row>
    <row r="202" spans="1:33" ht="15.75" thickBot="1">
      <c r="A202" s="506" t="s">
        <v>2031</v>
      </c>
      <c r="B202" s="650">
        <v>66.563000000000002</v>
      </c>
      <c r="C202" s="650">
        <v>66.563000000000002</v>
      </c>
      <c r="D202" s="650">
        <v>66.563000000000002</v>
      </c>
      <c r="E202" s="650">
        <v>66.563000000000002</v>
      </c>
      <c r="F202" s="650">
        <v>66.563000000000002</v>
      </c>
      <c r="G202" s="650">
        <v>0</v>
      </c>
      <c r="H202" s="650">
        <v>0</v>
      </c>
      <c r="I202" s="650">
        <v>0</v>
      </c>
      <c r="J202" s="650">
        <v>0</v>
      </c>
      <c r="K202" s="650">
        <v>0</v>
      </c>
      <c r="L202" s="650">
        <v>0</v>
      </c>
      <c r="M202" s="650">
        <v>0</v>
      </c>
      <c r="N202" s="650">
        <v>0</v>
      </c>
      <c r="O202" s="650">
        <v>0</v>
      </c>
      <c r="P202" s="129">
        <f t="shared" si="4"/>
        <v>20.480923076923077</v>
      </c>
      <c r="Q202" s="650">
        <v>0</v>
      </c>
      <c r="R202" s="650">
        <v>0</v>
      </c>
      <c r="S202" s="650">
        <v>0</v>
      </c>
      <c r="T202" s="650">
        <v>0</v>
      </c>
      <c r="U202" s="650">
        <v>0</v>
      </c>
      <c r="V202" s="650">
        <v>0</v>
      </c>
      <c r="W202" s="650">
        <v>0</v>
      </c>
      <c r="X202" s="650">
        <v>0</v>
      </c>
      <c r="Y202" s="650">
        <v>0</v>
      </c>
      <c r="Z202" s="650">
        <v>0</v>
      </c>
      <c r="AA202" s="650">
        <v>0</v>
      </c>
      <c r="AB202" s="650">
        <v>0</v>
      </c>
      <c r="AC202" s="650">
        <v>0</v>
      </c>
      <c r="AD202" s="650">
        <v>0</v>
      </c>
      <c r="AE202" s="650">
        <v>0</v>
      </c>
      <c r="AF202" s="650">
        <v>0</v>
      </c>
      <c r="AG202" s="505">
        <f t="shared" si="5"/>
        <v>0</v>
      </c>
    </row>
    <row r="203" spans="1:33">
      <c r="A203" s="506" t="s">
        <v>2029</v>
      </c>
      <c r="B203" s="648">
        <v>23012.165989999899</v>
      </c>
      <c r="C203" s="648">
        <v>30340.616849999999</v>
      </c>
      <c r="D203" s="648">
        <v>37623.97408</v>
      </c>
      <c r="E203" s="648">
        <v>35171.367160000002</v>
      </c>
      <c r="F203" s="648">
        <v>9249.2332399999996</v>
      </c>
      <c r="G203" s="648">
        <v>15627.585429999999</v>
      </c>
      <c r="H203" s="648">
        <v>22872.743170000002</v>
      </c>
      <c r="I203" s="648">
        <v>30139.072189999999</v>
      </c>
      <c r="J203" s="648">
        <v>37492.937787577699</v>
      </c>
      <c r="K203" s="648">
        <v>35253.053385155501</v>
      </c>
      <c r="L203" s="648">
        <v>9406.9303149999996</v>
      </c>
      <c r="M203" s="648">
        <v>15979.0796625777</v>
      </c>
      <c r="N203" s="648">
        <v>23334.532619686099</v>
      </c>
      <c r="O203" s="648">
        <v>30643.072189999999</v>
      </c>
      <c r="P203" s="129">
        <f t="shared" ref="P203:P266" si="6">SUM(C203:O203)/13</f>
        <v>25625.707544615158</v>
      </c>
      <c r="Q203" s="648">
        <v>36048.760613774997</v>
      </c>
      <c r="R203" s="648">
        <v>33810.463570883301</v>
      </c>
      <c r="S203" s="648">
        <v>7961.1657816666602</v>
      </c>
      <c r="T203" s="648">
        <v>14534.9024887749</v>
      </c>
      <c r="U203" s="648">
        <v>21890.355445883299</v>
      </c>
      <c r="V203" s="648">
        <v>29197.307656666599</v>
      </c>
      <c r="W203" s="648">
        <v>36048.760613774997</v>
      </c>
      <c r="X203" s="648">
        <v>33810.463570883301</v>
      </c>
      <c r="Y203" s="648">
        <v>7961.1657816666602</v>
      </c>
      <c r="Z203" s="648">
        <v>14534.9024887749</v>
      </c>
      <c r="AA203" s="648">
        <v>21893.5362525819</v>
      </c>
      <c r="AB203" s="648">
        <v>29197.307656666599</v>
      </c>
      <c r="AC203" s="648">
        <v>36051.941420473602</v>
      </c>
      <c r="AD203" s="648">
        <v>33816.825184280497</v>
      </c>
      <c r="AE203" s="648">
        <v>7961.1657816666702</v>
      </c>
      <c r="AF203" s="648">
        <v>14538.0832954736</v>
      </c>
      <c r="AG203" s="505">
        <f t="shared" ref="AG203:AG266" si="7">SUM(T203:AF203)/13</f>
        <v>23187.439818274426</v>
      </c>
    </row>
    <row r="204" spans="1:33">
      <c r="B204" s="649"/>
      <c r="C204" s="649"/>
      <c r="D204" s="649"/>
      <c r="E204" s="649"/>
      <c r="F204" s="649"/>
      <c r="G204" s="649"/>
      <c r="H204" s="649"/>
      <c r="I204" s="649"/>
      <c r="J204" s="649"/>
      <c r="K204" s="649"/>
      <c r="L204" s="649"/>
      <c r="M204" s="649"/>
      <c r="N204" s="649"/>
      <c r="O204" s="649"/>
      <c r="P204" s="129">
        <f t="shared" si="6"/>
        <v>0</v>
      </c>
      <c r="Q204" s="649"/>
      <c r="R204" s="649"/>
      <c r="S204" s="649"/>
      <c r="T204" s="649"/>
      <c r="U204" s="649"/>
      <c r="V204" s="649"/>
      <c r="W204" s="649"/>
      <c r="X204" s="649"/>
      <c r="Y204" s="649"/>
      <c r="Z204" s="649"/>
      <c r="AA204" s="649"/>
      <c r="AB204" s="649"/>
      <c r="AC204" s="649"/>
      <c r="AD204" s="649"/>
      <c r="AE204" s="649"/>
      <c r="AF204" s="649"/>
      <c r="AG204" s="505">
        <f t="shared" si="7"/>
        <v>0</v>
      </c>
    </row>
    <row r="205" spans="1:33">
      <c r="A205" s="506" t="s">
        <v>2032</v>
      </c>
      <c r="B205" s="648">
        <v>0</v>
      </c>
      <c r="C205" s="648">
        <v>64000</v>
      </c>
      <c r="D205" s="648">
        <v>0</v>
      </c>
      <c r="E205" s="648">
        <v>0</v>
      </c>
      <c r="F205" s="648">
        <v>49000</v>
      </c>
      <c r="G205" s="648">
        <v>0</v>
      </c>
      <c r="H205" s="648">
        <v>0</v>
      </c>
      <c r="I205" s="648">
        <v>84000</v>
      </c>
      <c r="J205" s="648">
        <v>0</v>
      </c>
      <c r="K205" s="648">
        <v>0</v>
      </c>
      <c r="L205" s="648">
        <v>49299.104652448899</v>
      </c>
      <c r="M205" s="648">
        <v>0</v>
      </c>
      <c r="N205" s="648">
        <v>0</v>
      </c>
      <c r="O205" s="648">
        <v>37467.375287340597</v>
      </c>
      <c r="P205" s="129">
        <f t="shared" si="6"/>
        <v>21828.190764599192</v>
      </c>
      <c r="Q205" s="648">
        <v>-7.2759576141834202E-12</v>
      </c>
      <c r="R205" s="648">
        <v>0</v>
      </c>
      <c r="S205" s="648">
        <v>51384.573235498203</v>
      </c>
      <c r="T205" s="648">
        <v>7.2759576141834202E-12</v>
      </c>
      <c r="U205" s="648">
        <v>0</v>
      </c>
      <c r="V205" s="648">
        <v>32177.685452383099</v>
      </c>
      <c r="W205" s="648">
        <v>2.18278728425502E-10</v>
      </c>
      <c r="X205" s="648">
        <v>0</v>
      </c>
      <c r="Y205" s="648">
        <v>40059.080301095302</v>
      </c>
      <c r="Z205" s="648">
        <v>3.4924596548080398E-10</v>
      </c>
      <c r="AA205" s="648">
        <v>0</v>
      </c>
      <c r="AB205" s="648">
        <v>31765.162584217</v>
      </c>
      <c r="AC205" s="648">
        <v>-2.54658516496419E-11</v>
      </c>
      <c r="AD205" s="648">
        <v>0</v>
      </c>
      <c r="AE205" s="648">
        <v>42963.527069783602</v>
      </c>
      <c r="AF205" s="648">
        <v>-1.7462298274040199E-10</v>
      </c>
      <c r="AG205" s="505">
        <f t="shared" si="7"/>
        <v>11305.035031344567</v>
      </c>
    </row>
    <row r="206" spans="1:33">
      <c r="B206" s="649"/>
      <c r="C206" s="649"/>
      <c r="D206" s="649"/>
      <c r="E206" s="649"/>
      <c r="F206" s="649"/>
      <c r="G206" s="649"/>
      <c r="H206" s="649"/>
      <c r="I206" s="649"/>
      <c r="J206" s="649"/>
      <c r="K206" s="649"/>
      <c r="L206" s="649"/>
      <c r="M206" s="649"/>
      <c r="N206" s="649"/>
      <c r="O206" s="649"/>
      <c r="P206" s="129">
        <f t="shared" si="6"/>
        <v>0</v>
      </c>
      <c r="Q206" s="649"/>
      <c r="R206" s="649"/>
      <c r="S206" s="649"/>
      <c r="T206" s="649"/>
      <c r="U206" s="649"/>
      <c r="V206" s="649"/>
      <c r="W206" s="649"/>
      <c r="X206" s="649"/>
      <c r="Y206" s="649"/>
      <c r="Z206" s="649"/>
      <c r="AA206" s="649"/>
      <c r="AB206" s="649"/>
      <c r="AC206" s="649"/>
      <c r="AD206" s="649"/>
      <c r="AE206" s="649"/>
      <c r="AF206" s="649"/>
      <c r="AG206" s="505">
        <f t="shared" si="7"/>
        <v>0</v>
      </c>
    </row>
    <row r="207" spans="1:33">
      <c r="A207" s="506" t="s">
        <v>2033</v>
      </c>
      <c r="B207" s="649"/>
      <c r="C207" s="649"/>
      <c r="D207" s="649"/>
      <c r="E207" s="649"/>
      <c r="F207" s="649"/>
      <c r="G207" s="649"/>
      <c r="H207" s="649"/>
      <c r="I207" s="649"/>
      <c r="J207" s="649"/>
      <c r="K207" s="649"/>
      <c r="L207" s="649"/>
      <c r="M207" s="649"/>
      <c r="N207" s="649"/>
      <c r="O207" s="649"/>
      <c r="P207" s="129">
        <f t="shared" si="6"/>
        <v>0</v>
      </c>
      <c r="Q207" s="649"/>
      <c r="R207" s="649"/>
      <c r="S207" s="649"/>
      <c r="T207" s="649"/>
      <c r="U207" s="649"/>
      <c r="V207" s="649"/>
      <c r="W207" s="649"/>
      <c r="X207" s="649"/>
      <c r="Y207" s="649"/>
      <c r="Z207" s="649"/>
      <c r="AA207" s="649"/>
      <c r="AB207" s="649"/>
      <c r="AC207" s="649"/>
      <c r="AD207" s="649"/>
      <c r="AE207" s="649"/>
      <c r="AF207" s="649"/>
      <c r="AG207" s="505">
        <f t="shared" si="7"/>
        <v>0</v>
      </c>
    </row>
    <row r="208" spans="1:33">
      <c r="A208" s="506" t="s">
        <v>2034</v>
      </c>
      <c r="B208" s="648">
        <v>4249.5326799999903</v>
      </c>
      <c r="C208" s="648">
        <v>5148.5512899999903</v>
      </c>
      <c r="D208" s="648">
        <v>4590.6472700000004</v>
      </c>
      <c r="E208" s="648">
        <v>3709.8126699999998</v>
      </c>
      <c r="F208" s="648">
        <v>3507.7435399999999</v>
      </c>
      <c r="G208" s="648">
        <v>4461.7193399999996</v>
      </c>
      <c r="H208" s="648">
        <v>5394.60671</v>
      </c>
      <c r="I208" s="648">
        <v>5074.32845</v>
      </c>
      <c r="J208" s="648">
        <v>5074.32845</v>
      </c>
      <c r="K208" s="648">
        <v>5074.32845</v>
      </c>
      <c r="L208" s="648">
        <v>5074.32845</v>
      </c>
      <c r="M208" s="648">
        <v>5074.32845</v>
      </c>
      <c r="N208" s="648">
        <v>5074.32845</v>
      </c>
      <c r="O208" s="648">
        <v>5074.32845</v>
      </c>
      <c r="P208" s="129">
        <f t="shared" si="6"/>
        <v>4794.8753823076922</v>
      </c>
      <c r="Q208" s="648">
        <v>5074.32845</v>
      </c>
      <c r="R208" s="648">
        <v>5074.32845</v>
      </c>
      <c r="S208" s="648">
        <v>5074.32845</v>
      </c>
      <c r="T208" s="648">
        <v>5074.32845</v>
      </c>
      <c r="U208" s="648">
        <v>5074.32845</v>
      </c>
      <c r="V208" s="648">
        <v>5074.32845</v>
      </c>
      <c r="W208" s="648">
        <v>5074.32845</v>
      </c>
      <c r="X208" s="648">
        <v>5074.32845</v>
      </c>
      <c r="Y208" s="648">
        <v>5074.32845</v>
      </c>
      <c r="Z208" s="648">
        <v>5074.32845</v>
      </c>
      <c r="AA208" s="648">
        <v>5074.32845</v>
      </c>
      <c r="AB208" s="648">
        <v>5074.32845</v>
      </c>
      <c r="AC208" s="648">
        <v>5074.32845</v>
      </c>
      <c r="AD208" s="648">
        <v>5074.32845</v>
      </c>
      <c r="AE208" s="648">
        <v>5074.32845</v>
      </c>
      <c r="AF208" s="648">
        <v>5074.32845</v>
      </c>
      <c r="AG208" s="505">
        <f t="shared" si="7"/>
        <v>5074.32845</v>
      </c>
    </row>
    <row r="209" spans="1:33">
      <c r="A209" s="506" t="s">
        <v>2035</v>
      </c>
      <c r="B209" s="648">
        <v>42.55782</v>
      </c>
      <c r="C209" s="648">
        <v>99.503029999999995</v>
      </c>
      <c r="D209" s="648">
        <v>238.77495999999999</v>
      </c>
      <c r="E209" s="648">
        <v>75.593299999999999</v>
      </c>
      <c r="F209" s="648">
        <v>114.32863999999999</v>
      </c>
      <c r="G209" s="648">
        <v>155.26119</v>
      </c>
      <c r="H209" s="648">
        <v>111.35171</v>
      </c>
      <c r="I209" s="648">
        <v>135.45099999999999</v>
      </c>
      <c r="J209" s="648">
        <v>135.45099999999999</v>
      </c>
      <c r="K209" s="648">
        <v>135.45099999999999</v>
      </c>
      <c r="L209" s="648">
        <v>135.45099999999999</v>
      </c>
      <c r="M209" s="648">
        <v>135.45099999999999</v>
      </c>
      <c r="N209" s="648">
        <v>135.45099999999999</v>
      </c>
      <c r="O209" s="648">
        <v>135.45099999999999</v>
      </c>
      <c r="P209" s="129">
        <f t="shared" si="6"/>
        <v>134.07460230769232</v>
      </c>
      <c r="Q209" s="648">
        <v>135.45099999999999</v>
      </c>
      <c r="R209" s="648">
        <v>135.45099999999999</v>
      </c>
      <c r="S209" s="648">
        <v>135.45099999999999</v>
      </c>
      <c r="T209" s="648">
        <v>135.45099999999999</v>
      </c>
      <c r="U209" s="648">
        <v>135.45099999999999</v>
      </c>
      <c r="V209" s="648">
        <v>135.45099999999999</v>
      </c>
      <c r="W209" s="648">
        <v>135.45099999999999</v>
      </c>
      <c r="X209" s="648">
        <v>135.45099999999999</v>
      </c>
      <c r="Y209" s="648">
        <v>135.45099999999999</v>
      </c>
      <c r="Z209" s="648">
        <v>135.45099999999999</v>
      </c>
      <c r="AA209" s="648">
        <v>135.45099999999999</v>
      </c>
      <c r="AB209" s="648">
        <v>135.45099999999999</v>
      </c>
      <c r="AC209" s="648">
        <v>135.45099999999999</v>
      </c>
      <c r="AD209" s="648">
        <v>135.45099999999999</v>
      </c>
      <c r="AE209" s="648">
        <v>135.45099999999999</v>
      </c>
      <c r="AF209" s="648">
        <v>135.45099999999999</v>
      </c>
      <c r="AG209" s="505">
        <f t="shared" si="7"/>
        <v>135.45099999999999</v>
      </c>
    </row>
    <row r="210" spans="1:33">
      <c r="A210" s="506" t="s">
        <v>2036</v>
      </c>
      <c r="B210" s="648">
        <v>8366.27304</v>
      </c>
      <c r="C210" s="648">
        <v>8696.5997700000007</v>
      </c>
      <c r="D210" s="648">
        <v>9434.6584700000003</v>
      </c>
      <c r="E210" s="648">
        <v>7485.2376599999998</v>
      </c>
      <c r="F210" s="648">
        <v>9242.9693499999994</v>
      </c>
      <c r="G210" s="648">
        <v>10523.40833</v>
      </c>
      <c r="H210" s="648">
        <v>7591.6339099999996</v>
      </c>
      <c r="I210" s="648">
        <v>8508.8256499999898</v>
      </c>
      <c r="J210" s="648">
        <v>8692.7509729999892</v>
      </c>
      <c r="K210" s="648">
        <v>8667.1562959999992</v>
      </c>
      <c r="L210" s="648">
        <v>8641.5616190000001</v>
      </c>
      <c r="M210" s="648">
        <v>8846.0366689999992</v>
      </c>
      <c r="N210" s="648">
        <v>8818.3117189999994</v>
      </c>
      <c r="O210" s="648">
        <v>8790.5867689999995</v>
      </c>
      <c r="P210" s="129">
        <f t="shared" si="6"/>
        <v>8764.5951680769213</v>
      </c>
      <c r="Q210" s="648">
        <v>9051.7108754000001</v>
      </c>
      <c r="R210" s="648">
        <v>9021.2349818000002</v>
      </c>
      <c r="S210" s="648">
        <v>8990.7590882000004</v>
      </c>
      <c r="T210" s="648">
        <v>9096.6463003999997</v>
      </c>
      <c r="U210" s="648">
        <v>9064.8335126000002</v>
      </c>
      <c r="V210" s="648">
        <v>9033.0207248000006</v>
      </c>
      <c r="W210" s="648">
        <v>9265.8349369999996</v>
      </c>
      <c r="X210" s="648">
        <v>9231.3491491999994</v>
      </c>
      <c r="Y210" s="648">
        <v>9196.8633613999991</v>
      </c>
      <c r="Z210" s="648">
        <v>9298.6579837999998</v>
      </c>
      <c r="AA210" s="648">
        <v>9262.7526061999997</v>
      </c>
      <c r="AB210" s="648">
        <v>9226.8472285999997</v>
      </c>
      <c r="AC210" s="648">
        <v>9233.8732928000009</v>
      </c>
      <c r="AD210" s="648">
        <v>9197.5062854000007</v>
      </c>
      <c r="AE210" s="648">
        <v>9161.1392780000006</v>
      </c>
      <c r="AF210" s="648">
        <v>9124.7722706000004</v>
      </c>
      <c r="AG210" s="505">
        <f t="shared" si="7"/>
        <v>9184.1613023692316</v>
      </c>
    </row>
    <row r="211" spans="1:33">
      <c r="A211" s="506" t="s">
        <v>2037</v>
      </c>
      <c r="B211" s="648">
        <v>55.825649999999897</v>
      </c>
      <c r="C211" s="648">
        <v>46.053989999999999</v>
      </c>
      <c r="D211" s="648">
        <v>44.142899999999997</v>
      </c>
      <c r="E211" s="648">
        <v>44.566209999999998</v>
      </c>
      <c r="F211" s="648">
        <v>58.184370000000001</v>
      </c>
      <c r="G211" s="648">
        <v>-78.927710000000005</v>
      </c>
      <c r="H211" s="648">
        <v>3.8579599999999998</v>
      </c>
      <c r="I211" s="648">
        <v>4.2912100000000004</v>
      </c>
      <c r="J211" s="648">
        <v>4.2912100000000004</v>
      </c>
      <c r="K211" s="648">
        <v>4.2912100000000004</v>
      </c>
      <c r="L211" s="648">
        <v>4.2912100000000004</v>
      </c>
      <c r="M211" s="648">
        <v>4.2912100000000004</v>
      </c>
      <c r="N211" s="648">
        <v>4.2912100000000004</v>
      </c>
      <c r="O211" s="648">
        <v>4.2912100000000004</v>
      </c>
      <c r="P211" s="129">
        <f t="shared" si="6"/>
        <v>11.378168461538467</v>
      </c>
      <c r="Q211" s="648">
        <v>4.2912100000000004</v>
      </c>
      <c r="R211" s="648">
        <v>4.2912100000000004</v>
      </c>
      <c r="S211" s="648">
        <v>4.2912100000000004</v>
      </c>
      <c r="T211" s="648">
        <v>4.2912100000000004</v>
      </c>
      <c r="U211" s="648">
        <v>4.2912100000000004</v>
      </c>
      <c r="V211" s="648">
        <v>4.2912100000000004</v>
      </c>
      <c r="W211" s="648">
        <v>4.2912100000000004</v>
      </c>
      <c r="X211" s="648">
        <v>4.2912100000000004</v>
      </c>
      <c r="Y211" s="648">
        <v>4.2912100000000004</v>
      </c>
      <c r="Z211" s="648">
        <v>4.2912100000000004</v>
      </c>
      <c r="AA211" s="648">
        <v>4.2912100000000004</v>
      </c>
      <c r="AB211" s="648">
        <v>4.2912100000000004</v>
      </c>
      <c r="AC211" s="648">
        <v>4.2912100000000004</v>
      </c>
      <c r="AD211" s="648">
        <v>4.2912100000000004</v>
      </c>
      <c r="AE211" s="648">
        <v>4.2912100000000004</v>
      </c>
      <c r="AF211" s="648">
        <v>4.2912100000000004</v>
      </c>
      <c r="AG211" s="505">
        <f t="shared" si="7"/>
        <v>4.2912100000000004</v>
      </c>
    </row>
    <row r="212" spans="1:33">
      <c r="A212" s="506" t="s">
        <v>2038</v>
      </c>
      <c r="B212" s="648">
        <v>680.72316000000001</v>
      </c>
      <c r="C212" s="648">
        <v>680.72316000000001</v>
      </c>
      <c r="D212" s="648">
        <v>186.6559</v>
      </c>
      <c r="E212" s="648">
        <v>186.6559</v>
      </c>
      <c r="F212" s="648">
        <v>186.6559</v>
      </c>
      <c r="G212" s="648">
        <v>369.16807</v>
      </c>
      <c r="H212" s="648">
        <v>369.16807</v>
      </c>
      <c r="I212" s="648">
        <v>369.16807</v>
      </c>
      <c r="J212" s="648">
        <v>369.16807</v>
      </c>
      <c r="K212" s="648">
        <v>369.16807</v>
      </c>
      <c r="L212" s="648">
        <v>369.16807</v>
      </c>
      <c r="M212" s="648">
        <v>369.16807</v>
      </c>
      <c r="N212" s="648">
        <v>369.16807</v>
      </c>
      <c r="O212" s="648">
        <v>369.16807</v>
      </c>
      <c r="P212" s="129">
        <f t="shared" si="6"/>
        <v>351.01565307692306</v>
      </c>
      <c r="Q212" s="648">
        <v>369.16807</v>
      </c>
      <c r="R212" s="648">
        <v>369.16807</v>
      </c>
      <c r="S212" s="648">
        <v>369.16807</v>
      </c>
      <c r="T212" s="648">
        <v>369.16807</v>
      </c>
      <c r="U212" s="648">
        <v>369.16807</v>
      </c>
      <c r="V212" s="648">
        <v>369.16807</v>
      </c>
      <c r="W212" s="648">
        <v>369.16807</v>
      </c>
      <c r="X212" s="648">
        <v>369.16807</v>
      </c>
      <c r="Y212" s="648">
        <v>369.16807</v>
      </c>
      <c r="Z212" s="648">
        <v>369.16807</v>
      </c>
      <c r="AA212" s="648">
        <v>369.16807</v>
      </c>
      <c r="AB212" s="648">
        <v>369.16807</v>
      </c>
      <c r="AC212" s="648">
        <v>369.16807</v>
      </c>
      <c r="AD212" s="648">
        <v>369.16807</v>
      </c>
      <c r="AE212" s="648">
        <v>369.16807</v>
      </c>
      <c r="AF212" s="648">
        <v>369.16807</v>
      </c>
      <c r="AG212" s="505">
        <f t="shared" si="7"/>
        <v>369.16807000000006</v>
      </c>
    </row>
    <row r="213" spans="1:33">
      <c r="A213" s="506" t="s">
        <v>2039</v>
      </c>
      <c r="B213" s="648">
        <v>5782.8117099999999</v>
      </c>
      <c r="C213" s="648">
        <v>5782.8117099999999</v>
      </c>
      <c r="D213" s="648">
        <v>6406.7049500000003</v>
      </c>
      <c r="E213" s="648">
        <v>6406.7049500000003</v>
      </c>
      <c r="F213" s="648">
        <v>6406.7049500000003</v>
      </c>
      <c r="G213" s="648">
        <v>6375.7564899999998</v>
      </c>
      <c r="H213" s="648">
        <v>6375.7564899999998</v>
      </c>
      <c r="I213" s="648">
        <v>6375.7564899999998</v>
      </c>
      <c r="J213" s="648">
        <v>6375.7564899999998</v>
      </c>
      <c r="K213" s="648">
        <v>6375.7564899999998</v>
      </c>
      <c r="L213" s="648">
        <v>6375.7564899999998</v>
      </c>
      <c r="M213" s="648">
        <v>6375.7564899999998</v>
      </c>
      <c r="N213" s="648">
        <v>6375.7564899999998</v>
      </c>
      <c r="O213" s="648">
        <v>6375.7564899999998</v>
      </c>
      <c r="P213" s="129">
        <f t="shared" si="6"/>
        <v>6337.2873053846142</v>
      </c>
      <c r="Q213" s="648">
        <v>6375.7564899999998</v>
      </c>
      <c r="R213" s="648">
        <v>6375.7564899999998</v>
      </c>
      <c r="S213" s="648">
        <v>6375.7564899999998</v>
      </c>
      <c r="T213" s="648">
        <v>6375.7564899999998</v>
      </c>
      <c r="U213" s="648">
        <v>6375.7564899999998</v>
      </c>
      <c r="V213" s="648">
        <v>6375.7564899999998</v>
      </c>
      <c r="W213" s="648">
        <v>6375.7564899999998</v>
      </c>
      <c r="X213" s="648">
        <v>6375.7564899999998</v>
      </c>
      <c r="Y213" s="648">
        <v>6375.7564899999998</v>
      </c>
      <c r="Z213" s="648">
        <v>6375.7564899999998</v>
      </c>
      <c r="AA213" s="648">
        <v>6375.7564899999998</v>
      </c>
      <c r="AB213" s="648">
        <v>6375.7564899999998</v>
      </c>
      <c r="AC213" s="648">
        <v>6375.7564899999998</v>
      </c>
      <c r="AD213" s="648">
        <v>6375.7564899999998</v>
      </c>
      <c r="AE213" s="648">
        <v>6375.7564899999998</v>
      </c>
      <c r="AF213" s="648">
        <v>6375.7564899999998</v>
      </c>
      <c r="AG213" s="505">
        <f t="shared" si="7"/>
        <v>6375.7564899999998</v>
      </c>
    </row>
    <row r="214" spans="1:33">
      <c r="A214" s="506" t="s">
        <v>2040</v>
      </c>
      <c r="B214" s="648">
        <v>1183.818</v>
      </c>
      <c r="C214" s="648">
        <v>1183.818</v>
      </c>
      <c r="D214" s="648">
        <v>1469.4859199999901</v>
      </c>
      <c r="E214" s="648">
        <v>1183.818</v>
      </c>
      <c r="F214" s="648">
        <v>1183.818</v>
      </c>
      <c r="G214" s="648">
        <v>1424.53954</v>
      </c>
      <c r="H214" s="648">
        <v>1183.818</v>
      </c>
      <c r="I214" s="648">
        <v>1183.818</v>
      </c>
      <c r="J214" s="648">
        <v>1183.818</v>
      </c>
      <c r="K214" s="648">
        <v>1183.818</v>
      </c>
      <c r="L214" s="648">
        <v>1183.818</v>
      </c>
      <c r="M214" s="648">
        <v>1183.818</v>
      </c>
      <c r="N214" s="648">
        <v>1183.818</v>
      </c>
      <c r="O214" s="648">
        <v>1183.818</v>
      </c>
      <c r="P214" s="129">
        <f t="shared" si="6"/>
        <v>1224.3094969230758</v>
      </c>
      <c r="Q214" s="648">
        <v>1183.818</v>
      </c>
      <c r="R214" s="648">
        <v>1183.818</v>
      </c>
      <c r="S214" s="648">
        <v>1183.818</v>
      </c>
      <c r="T214" s="648">
        <v>1183.818</v>
      </c>
      <c r="U214" s="648">
        <v>1183.818</v>
      </c>
      <c r="V214" s="648">
        <v>1183.818</v>
      </c>
      <c r="W214" s="648">
        <v>1183.818</v>
      </c>
      <c r="X214" s="648">
        <v>1183.818</v>
      </c>
      <c r="Y214" s="648">
        <v>1183.818</v>
      </c>
      <c r="Z214" s="648">
        <v>1183.818</v>
      </c>
      <c r="AA214" s="648">
        <v>1183.818</v>
      </c>
      <c r="AB214" s="648">
        <v>1183.818</v>
      </c>
      <c r="AC214" s="648">
        <v>1183.818</v>
      </c>
      <c r="AD214" s="648">
        <v>1183.818</v>
      </c>
      <c r="AE214" s="648">
        <v>1183.818</v>
      </c>
      <c r="AF214" s="648">
        <v>1183.818</v>
      </c>
      <c r="AG214" s="505">
        <f t="shared" si="7"/>
        <v>1183.8179999999998</v>
      </c>
    </row>
    <row r="215" spans="1:33">
      <c r="A215" s="506" t="s">
        <v>2403</v>
      </c>
      <c r="B215" s="648">
        <v>0</v>
      </c>
      <c r="C215" s="648">
        <v>0</v>
      </c>
      <c r="D215" s="648">
        <v>0</v>
      </c>
      <c r="E215" s="648">
        <v>0</v>
      </c>
      <c r="F215" s="648">
        <v>0</v>
      </c>
      <c r="G215" s="648">
        <v>0</v>
      </c>
      <c r="H215" s="648">
        <v>0</v>
      </c>
      <c r="I215" s="648">
        <v>0</v>
      </c>
      <c r="J215" s="648">
        <v>0</v>
      </c>
      <c r="K215" s="648">
        <v>0</v>
      </c>
      <c r="L215" s="648">
        <v>0</v>
      </c>
      <c r="M215" s="648">
        <v>0</v>
      </c>
      <c r="N215" s="648">
        <v>0</v>
      </c>
      <c r="O215" s="648">
        <v>0</v>
      </c>
      <c r="P215" s="129">
        <f t="shared" si="6"/>
        <v>0</v>
      </c>
      <c r="Q215" s="648">
        <v>0</v>
      </c>
      <c r="R215" s="648">
        <v>0</v>
      </c>
      <c r="S215" s="648">
        <v>0</v>
      </c>
      <c r="T215" s="648">
        <v>0</v>
      </c>
      <c r="U215" s="648">
        <v>0</v>
      </c>
      <c r="V215" s="648">
        <v>0</v>
      </c>
      <c r="W215" s="648">
        <v>0</v>
      </c>
      <c r="X215" s="648">
        <v>0</v>
      </c>
      <c r="Y215" s="648">
        <v>0</v>
      </c>
      <c r="Z215" s="648">
        <v>0</v>
      </c>
      <c r="AA215" s="648">
        <v>0</v>
      </c>
      <c r="AB215" s="648">
        <v>0</v>
      </c>
      <c r="AC215" s="648">
        <v>0</v>
      </c>
      <c r="AD215" s="648">
        <v>0</v>
      </c>
      <c r="AE215" s="648">
        <v>0</v>
      </c>
      <c r="AF215" s="648">
        <v>0</v>
      </c>
      <c r="AG215" s="505">
        <f t="shared" si="7"/>
        <v>0</v>
      </c>
    </row>
    <row r="216" spans="1:33">
      <c r="A216" s="506" t="s">
        <v>2041</v>
      </c>
      <c r="B216" s="648">
        <v>0</v>
      </c>
      <c r="C216" s="648">
        <v>0</v>
      </c>
      <c r="D216" s="648">
        <v>0</v>
      </c>
      <c r="E216" s="648">
        <v>0</v>
      </c>
      <c r="F216" s="648">
        <v>0</v>
      </c>
      <c r="G216" s="648">
        <v>0</v>
      </c>
      <c r="H216" s="648">
        <v>0</v>
      </c>
      <c r="I216" s="648">
        <v>0</v>
      </c>
      <c r="J216" s="648">
        <v>0</v>
      </c>
      <c r="K216" s="648">
        <v>0</v>
      </c>
      <c r="L216" s="648">
        <v>0</v>
      </c>
      <c r="M216" s="648">
        <v>0</v>
      </c>
      <c r="N216" s="648">
        <v>0</v>
      </c>
      <c r="O216" s="648">
        <v>0</v>
      </c>
      <c r="P216" s="129">
        <f t="shared" si="6"/>
        <v>0</v>
      </c>
      <c r="Q216" s="648">
        <v>0</v>
      </c>
      <c r="R216" s="648">
        <v>0</v>
      </c>
      <c r="S216" s="648">
        <v>0</v>
      </c>
      <c r="T216" s="648">
        <v>0</v>
      </c>
      <c r="U216" s="648">
        <v>0</v>
      </c>
      <c r="V216" s="648">
        <v>0</v>
      </c>
      <c r="W216" s="648">
        <v>0</v>
      </c>
      <c r="X216" s="648">
        <v>0</v>
      </c>
      <c r="Y216" s="648">
        <v>0</v>
      </c>
      <c r="Z216" s="648">
        <v>0</v>
      </c>
      <c r="AA216" s="648">
        <v>0</v>
      </c>
      <c r="AB216" s="648">
        <v>0</v>
      </c>
      <c r="AC216" s="648">
        <v>0</v>
      </c>
      <c r="AD216" s="648">
        <v>0</v>
      </c>
      <c r="AE216" s="648">
        <v>0</v>
      </c>
      <c r="AF216" s="648">
        <v>0</v>
      </c>
      <c r="AG216" s="505">
        <f t="shared" si="7"/>
        <v>0</v>
      </c>
    </row>
    <row r="217" spans="1:33">
      <c r="A217" s="506" t="s">
        <v>2042</v>
      </c>
      <c r="B217" s="648">
        <v>20361.54206</v>
      </c>
      <c r="C217" s="648">
        <v>21638.060949999999</v>
      </c>
      <c r="D217" s="648">
        <v>22371.070370000001</v>
      </c>
      <c r="E217" s="648">
        <v>19092.38869</v>
      </c>
      <c r="F217" s="648">
        <v>20700.4047499999</v>
      </c>
      <c r="G217" s="648">
        <v>23230.92525</v>
      </c>
      <c r="H217" s="648">
        <v>21030.192849999999</v>
      </c>
      <c r="I217" s="648">
        <v>21651.638869999999</v>
      </c>
      <c r="J217" s="648">
        <v>21835.564192999998</v>
      </c>
      <c r="K217" s="648">
        <v>21809.969515999899</v>
      </c>
      <c r="L217" s="648">
        <v>21784.374839</v>
      </c>
      <c r="M217" s="648">
        <v>21988.849888999899</v>
      </c>
      <c r="N217" s="648">
        <v>21961.124938999899</v>
      </c>
      <c r="O217" s="648">
        <v>21933.3999889999</v>
      </c>
      <c r="P217" s="129">
        <f t="shared" si="6"/>
        <v>21617.535776538421</v>
      </c>
      <c r="Q217" s="648">
        <v>22194.5240954</v>
      </c>
      <c r="R217" s="648">
        <v>22164.0482018</v>
      </c>
      <c r="S217" s="648">
        <v>22133.5723082</v>
      </c>
      <c r="T217" s="648">
        <v>22239.4595204</v>
      </c>
      <c r="U217" s="648">
        <v>22207.646732599998</v>
      </c>
      <c r="V217" s="648">
        <v>22175.833944800001</v>
      </c>
      <c r="W217" s="648">
        <v>22408.648157</v>
      </c>
      <c r="X217" s="648">
        <v>22374.162369199999</v>
      </c>
      <c r="Y217" s="648">
        <v>22339.676581399999</v>
      </c>
      <c r="Z217" s="648">
        <v>22441.4712038</v>
      </c>
      <c r="AA217" s="648">
        <v>22405.5658262</v>
      </c>
      <c r="AB217" s="648">
        <v>22369.6604486</v>
      </c>
      <c r="AC217" s="648">
        <v>22376.686512799999</v>
      </c>
      <c r="AD217" s="648">
        <v>22340.319505399999</v>
      </c>
      <c r="AE217" s="648">
        <v>22303.952497999999</v>
      </c>
      <c r="AF217" s="648">
        <v>22267.585490599999</v>
      </c>
      <c r="AG217" s="505">
        <f t="shared" si="7"/>
        <v>22326.974522369223</v>
      </c>
    </row>
    <row r="218" spans="1:33">
      <c r="B218" s="649"/>
      <c r="C218" s="649"/>
      <c r="D218" s="649"/>
      <c r="E218" s="649"/>
      <c r="F218" s="649"/>
      <c r="G218" s="649"/>
      <c r="H218" s="649"/>
      <c r="I218" s="649"/>
      <c r="J218" s="649"/>
      <c r="K218" s="649"/>
      <c r="L218" s="649"/>
      <c r="M218" s="649"/>
      <c r="N218" s="649"/>
      <c r="O218" s="649"/>
      <c r="P218" s="129">
        <f t="shared" si="6"/>
        <v>0</v>
      </c>
      <c r="Q218" s="649"/>
      <c r="R218" s="649"/>
      <c r="S218" s="649"/>
      <c r="T218" s="649"/>
      <c r="U218" s="649"/>
      <c r="V218" s="649"/>
      <c r="W218" s="649"/>
      <c r="X218" s="649"/>
      <c r="Y218" s="649"/>
      <c r="Z218" s="649"/>
      <c r="AA218" s="649"/>
      <c r="AB218" s="649"/>
      <c r="AC218" s="649"/>
      <c r="AD218" s="649"/>
      <c r="AE218" s="649"/>
      <c r="AF218" s="649"/>
      <c r="AG218" s="505">
        <f t="shared" si="7"/>
        <v>0</v>
      </c>
    </row>
    <row r="219" spans="1:33" ht="15.75" thickBot="1">
      <c r="A219" s="503" t="s">
        <v>1495</v>
      </c>
      <c r="B219" s="651">
        <v>287836.94300999999</v>
      </c>
      <c r="C219" s="651">
        <v>335781.00407999998</v>
      </c>
      <c r="D219" s="651">
        <v>259006.17357000001</v>
      </c>
      <c r="E219" s="651">
        <v>249786.01389999999</v>
      </c>
      <c r="F219" s="651">
        <v>270711.68808999902</v>
      </c>
      <c r="G219" s="651">
        <v>246115.85018000001</v>
      </c>
      <c r="H219" s="651">
        <v>255572.55838999999</v>
      </c>
      <c r="I219" s="651">
        <v>344735.86728000001</v>
      </c>
      <c r="J219" s="651">
        <v>318552.56196542998</v>
      </c>
      <c r="K219" s="651">
        <v>313574.084024927</v>
      </c>
      <c r="L219" s="651">
        <v>385992.314428207</v>
      </c>
      <c r="M219" s="651">
        <v>286250.41477233102</v>
      </c>
      <c r="N219" s="651">
        <v>284414.43769822299</v>
      </c>
      <c r="O219" s="651">
        <v>297751.73590068298</v>
      </c>
      <c r="P219" s="129">
        <f t="shared" si="6"/>
        <v>296018.82340613846</v>
      </c>
      <c r="Q219" s="651">
        <v>303900.61797515501</v>
      </c>
      <c r="R219" s="651">
        <v>315462.30392132897</v>
      </c>
      <c r="S219" s="651">
        <v>376446.83060271799</v>
      </c>
      <c r="T219" s="651">
        <v>309064.95372938702</v>
      </c>
      <c r="U219" s="651">
        <v>307717.15546241699</v>
      </c>
      <c r="V219" s="651">
        <v>333531.86798551597</v>
      </c>
      <c r="W219" s="651">
        <v>330814.81680138601</v>
      </c>
      <c r="X219" s="651">
        <v>350098.33574944601</v>
      </c>
      <c r="Y219" s="651">
        <v>403498.67230258702</v>
      </c>
      <c r="Z219" s="651">
        <v>343394.298455621</v>
      </c>
      <c r="AA219" s="651">
        <v>355177.31398458901</v>
      </c>
      <c r="AB219" s="651">
        <v>374369.941231668</v>
      </c>
      <c r="AC219" s="651">
        <v>384620.523321588</v>
      </c>
      <c r="AD219" s="651">
        <v>401258.25183649902</v>
      </c>
      <c r="AE219" s="651">
        <v>462794.06009969598</v>
      </c>
      <c r="AF219" s="651">
        <v>398319.22417802201</v>
      </c>
      <c r="AG219" s="505">
        <f t="shared" si="7"/>
        <v>365743.03193372482</v>
      </c>
    </row>
    <row r="220" spans="1:33">
      <c r="P220" s="129">
        <f t="shared" si="6"/>
        <v>0</v>
      </c>
      <c r="AG220" s="505">
        <f t="shared" si="7"/>
        <v>0</v>
      </c>
    </row>
    <row r="221" spans="1:33">
      <c r="A221" s="503" t="s">
        <v>1496</v>
      </c>
      <c r="B221" s="649"/>
      <c r="C221" s="649"/>
      <c r="D221" s="649"/>
      <c r="E221" s="649"/>
      <c r="F221" s="649"/>
      <c r="G221" s="649"/>
      <c r="H221" s="649"/>
      <c r="I221" s="649"/>
      <c r="J221" s="649"/>
      <c r="K221" s="649"/>
      <c r="L221" s="649"/>
      <c r="M221" s="649"/>
      <c r="N221" s="649"/>
      <c r="O221" s="649"/>
      <c r="P221" s="129">
        <f t="shared" si="6"/>
        <v>0</v>
      </c>
      <c r="Q221" s="649"/>
      <c r="R221" s="649"/>
      <c r="S221" s="649"/>
      <c r="T221" s="649"/>
      <c r="U221" s="649"/>
      <c r="V221" s="649"/>
      <c r="W221" s="649"/>
      <c r="X221" s="649"/>
      <c r="Y221" s="649"/>
      <c r="Z221" s="649"/>
      <c r="AA221" s="649"/>
      <c r="AB221" s="649"/>
      <c r="AC221" s="649"/>
      <c r="AD221" s="649"/>
      <c r="AE221" s="649"/>
      <c r="AF221" s="649"/>
      <c r="AG221" s="505">
        <f t="shared" si="7"/>
        <v>0</v>
      </c>
    </row>
    <row r="222" spans="1:33">
      <c r="A222" s="506" t="s">
        <v>2043</v>
      </c>
      <c r="B222" s="649"/>
      <c r="C222" s="649"/>
      <c r="D222" s="649"/>
      <c r="E222" s="649"/>
      <c r="F222" s="649"/>
      <c r="G222" s="649"/>
      <c r="H222" s="649"/>
      <c r="I222" s="649"/>
      <c r="J222" s="649"/>
      <c r="K222" s="649"/>
      <c r="L222" s="649"/>
      <c r="M222" s="649"/>
      <c r="N222" s="649"/>
      <c r="O222" s="649"/>
      <c r="P222" s="129">
        <f t="shared" si="6"/>
        <v>0</v>
      </c>
      <c r="Q222" s="649"/>
      <c r="R222" s="649"/>
      <c r="S222" s="649"/>
      <c r="T222" s="649"/>
      <c r="U222" s="649"/>
      <c r="V222" s="649"/>
      <c r="W222" s="649"/>
      <c r="X222" s="649"/>
      <c r="Y222" s="649"/>
      <c r="Z222" s="649"/>
      <c r="AA222" s="649"/>
      <c r="AB222" s="649"/>
      <c r="AC222" s="649"/>
      <c r="AD222" s="649"/>
      <c r="AE222" s="649"/>
      <c r="AF222" s="649"/>
      <c r="AG222" s="505">
        <f t="shared" si="7"/>
        <v>0</v>
      </c>
    </row>
    <row r="223" spans="1:33">
      <c r="A223" s="506" t="s">
        <v>2044</v>
      </c>
      <c r="B223" s="648">
        <v>1272308.38989</v>
      </c>
      <c r="C223" s="648">
        <v>1272308.38989</v>
      </c>
      <c r="D223" s="648">
        <v>1299932.9730499999</v>
      </c>
      <c r="E223" s="648">
        <v>1299932.9730499999</v>
      </c>
      <c r="F223" s="648">
        <v>1313952.1968799899</v>
      </c>
      <c r="G223" s="648">
        <v>1327959.3023999999</v>
      </c>
      <c r="H223" s="648">
        <v>1327959.3023999999</v>
      </c>
      <c r="I223" s="648">
        <v>1317810.1661100001</v>
      </c>
      <c r="J223" s="648">
        <v>1317810.1661100001</v>
      </c>
      <c r="K223" s="648">
        <v>1317810.1661100001</v>
      </c>
      <c r="L223" s="648">
        <v>1317810.1661100001</v>
      </c>
      <c r="M223" s="648">
        <v>1317810.1661100001</v>
      </c>
      <c r="N223" s="648">
        <v>1317810.1661100001</v>
      </c>
      <c r="O223" s="648">
        <v>1317810.1661100001</v>
      </c>
      <c r="P223" s="129">
        <f t="shared" si="6"/>
        <v>1312824.330803076</v>
      </c>
      <c r="Q223" s="648">
        <v>1317810.1661100001</v>
      </c>
      <c r="R223" s="648">
        <v>1317810.1661100001</v>
      </c>
      <c r="S223" s="648">
        <v>1317810.1661100001</v>
      </c>
      <c r="T223" s="648">
        <v>1317810.1661100001</v>
      </c>
      <c r="U223" s="648">
        <v>1317810.1661100001</v>
      </c>
      <c r="V223" s="648">
        <v>1317810.1661100001</v>
      </c>
      <c r="W223" s="648">
        <v>1317810.1661100001</v>
      </c>
      <c r="X223" s="648">
        <v>1317810.1661100001</v>
      </c>
      <c r="Y223" s="648">
        <v>1317810.1661100001</v>
      </c>
      <c r="Z223" s="648">
        <v>1317810.1661100001</v>
      </c>
      <c r="AA223" s="648">
        <v>1317810.1661100001</v>
      </c>
      <c r="AB223" s="648">
        <v>1317810.1661100001</v>
      </c>
      <c r="AC223" s="648">
        <v>1317810.1661100001</v>
      </c>
      <c r="AD223" s="648">
        <v>1317810.1661100001</v>
      </c>
      <c r="AE223" s="648">
        <v>1317810.1661100001</v>
      </c>
      <c r="AF223" s="648">
        <v>1317810.1661100001</v>
      </c>
      <c r="AG223" s="505">
        <f t="shared" si="7"/>
        <v>1317810.1661099999</v>
      </c>
    </row>
    <row r="224" spans="1:33">
      <c r="A224" s="506" t="s">
        <v>2045</v>
      </c>
      <c r="B224" s="648">
        <v>105102.98658</v>
      </c>
      <c r="C224" s="648">
        <v>105102.98658</v>
      </c>
      <c r="D224" s="648">
        <v>111930.42565999999</v>
      </c>
      <c r="E224" s="648">
        <v>111930.42565999999</v>
      </c>
      <c r="F224" s="648">
        <v>122636.27679</v>
      </c>
      <c r="G224" s="648">
        <v>124583.95022</v>
      </c>
      <c r="H224" s="648">
        <v>124583.95022</v>
      </c>
      <c r="I224" s="648">
        <v>124587.91841</v>
      </c>
      <c r="J224" s="648">
        <v>165453.881536064</v>
      </c>
      <c r="K224" s="648">
        <v>165514.53088856401</v>
      </c>
      <c r="L224" s="648">
        <v>165575.18024106399</v>
      </c>
      <c r="M224" s="648">
        <v>205240.79176712799</v>
      </c>
      <c r="N224" s="648">
        <v>205301.441119628</v>
      </c>
      <c r="O224" s="648">
        <v>204856.96141204701</v>
      </c>
      <c r="P224" s="129">
        <f t="shared" si="6"/>
        <v>149022.97850034578</v>
      </c>
      <c r="Q224" s="648">
        <v>240728.393402899</v>
      </c>
      <c r="R224" s="648">
        <v>240789.04275538999</v>
      </c>
      <c r="S224" s="648">
        <v>240849.69210789</v>
      </c>
      <c r="T224" s="648">
        <v>276215.99503865698</v>
      </c>
      <c r="U224" s="648">
        <v>276276.64439115499</v>
      </c>
      <c r="V224" s="648">
        <v>276337.29374365503</v>
      </c>
      <c r="W224" s="648">
        <v>311703.59667441697</v>
      </c>
      <c r="X224" s="648">
        <v>311764.246026924</v>
      </c>
      <c r="Y224" s="648">
        <v>311824.89537942398</v>
      </c>
      <c r="Z224" s="648">
        <v>347191.198310184</v>
      </c>
      <c r="AA224" s="648">
        <v>347251.84766269202</v>
      </c>
      <c r="AB224" s="648">
        <v>347312.497015192</v>
      </c>
      <c r="AC224" s="648">
        <v>375150.91248687799</v>
      </c>
      <c r="AD224" s="648">
        <v>375211.56183937797</v>
      </c>
      <c r="AE224" s="648">
        <v>375272.21119187801</v>
      </c>
      <c r="AF224" s="648">
        <v>403110.62666356401</v>
      </c>
      <c r="AG224" s="505">
        <f t="shared" si="7"/>
        <v>333432.57895569218</v>
      </c>
    </row>
    <row r="225" spans="1:33">
      <c r="A225" s="506" t="s">
        <v>2046</v>
      </c>
      <c r="B225" s="648">
        <v>27214.848829999999</v>
      </c>
      <c r="C225" s="648">
        <v>27214.848829999999</v>
      </c>
      <c r="D225" s="648">
        <v>27079.178540000001</v>
      </c>
      <c r="E225" s="648">
        <v>27079.178540000001</v>
      </c>
      <c r="F225" s="648">
        <v>27063.075219999999</v>
      </c>
      <c r="G225" s="648">
        <v>27439.26814</v>
      </c>
      <c r="H225" s="648">
        <v>27439.26814</v>
      </c>
      <c r="I225" s="648">
        <v>27434.442210000001</v>
      </c>
      <c r="J225" s="648">
        <v>27434.442210000001</v>
      </c>
      <c r="K225" s="648">
        <v>27434.442210000001</v>
      </c>
      <c r="L225" s="648">
        <v>27434.442210000001</v>
      </c>
      <c r="M225" s="648">
        <v>27434.442210000001</v>
      </c>
      <c r="N225" s="648">
        <v>27434.442210000001</v>
      </c>
      <c r="O225" s="648">
        <v>27434.442210000001</v>
      </c>
      <c r="P225" s="129">
        <f t="shared" si="6"/>
        <v>27335.070221538463</v>
      </c>
      <c r="Q225" s="648">
        <v>27434.442210000001</v>
      </c>
      <c r="R225" s="648">
        <v>27434.442210000001</v>
      </c>
      <c r="S225" s="648">
        <v>27434.442210000001</v>
      </c>
      <c r="T225" s="648">
        <v>27434.442210000001</v>
      </c>
      <c r="U225" s="648">
        <v>27434.442210000001</v>
      </c>
      <c r="V225" s="648">
        <v>27434.442210000001</v>
      </c>
      <c r="W225" s="648">
        <v>27434.442210000001</v>
      </c>
      <c r="X225" s="648">
        <v>27434.442210000001</v>
      </c>
      <c r="Y225" s="648">
        <v>27434.442210000001</v>
      </c>
      <c r="Z225" s="648">
        <v>27434.442210000001</v>
      </c>
      <c r="AA225" s="648">
        <v>27434.442210000001</v>
      </c>
      <c r="AB225" s="648">
        <v>27434.442210000001</v>
      </c>
      <c r="AC225" s="648">
        <v>27434.442210000001</v>
      </c>
      <c r="AD225" s="648">
        <v>27434.442210000001</v>
      </c>
      <c r="AE225" s="648">
        <v>27434.442210000001</v>
      </c>
      <c r="AF225" s="648">
        <v>27434.442210000001</v>
      </c>
      <c r="AG225" s="505">
        <f t="shared" si="7"/>
        <v>27434.442210000005</v>
      </c>
    </row>
    <row r="226" spans="1:33" ht="15.75" thickBot="1">
      <c r="A226" s="506" t="s">
        <v>2047</v>
      </c>
      <c r="B226" s="650">
        <v>0</v>
      </c>
      <c r="C226" s="650">
        <v>0</v>
      </c>
      <c r="D226" s="650">
        <v>0</v>
      </c>
      <c r="E226" s="650">
        <v>0</v>
      </c>
      <c r="F226" s="650">
        <v>0</v>
      </c>
      <c r="G226" s="650">
        <v>0</v>
      </c>
      <c r="H226" s="650">
        <v>0</v>
      </c>
      <c r="I226" s="650">
        <v>0</v>
      </c>
      <c r="J226" s="650">
        <v>0</v>
      </c>
      <c r="K226" s="650">
        <v>0</v>
      </c>
      <c r="L226" s="650">
        <v>0</v>
      </c>
      <c r="M226" s="650">
        <v>0</v>
      </c>
      <c r="N226" s="650">
        <v>0</v>
      </c>
      <c r="O226" s="650">
        <v>0</v>
      </c>
      <c r="P226" s="129">
        <f t="shared" si="6"/>
        <v>0</v>
      </c>
      <c r="Q226" s="650">
        <v>0</v>
      </c>
      <c r="R226" s="650">
        <v>0</v>
      </c>
      <c r="S226" s="650">
        <v>0</v>
      </c>
      <c r="T226" s="650">
        <v>0</v>
      </c>
      <c r="U226" s="650">
        <v>0</v>
      </c>
      <c r="V226" s="650">
        <v>0</v>
      </c>
      <c r="W226" s="650">
        <v>0</v>
      </c>
      <c r="X226" s="650">
        <v>0</v>
      </c>
      <c r="Y226" s="650">
        <v>0</v>
      </c>
      <c r="Z226" s="650">
        <v>0</v>
      </c>
      <c r="AA226" s="650">
        <v>0</v>
      </c>
      <c r="AB226" s="650">
        <v>0</v>
      </c>
      <c r="AC226" s="650">
        <v>0</v>
      </c>
      <c r="AD226" s="650">
        <v>0</v>
      </c>
      <c r="AE226" s="650">
        <v>0</v>
      </c>
      <c r="AF226" s="650">
        <v>0</v>
      </c>
      <c r="AG226" s="505">
        <f t="shared" si="7"/>
        <v>0</v>
      </c>
    </row>
    <row r="227" spans="1:33">
      <c r="A227" s="506" t="s">
        <v>2043</v>
      </c>
      <c r="B227" s="648">
        <v>1404626.2253</v>
      </c>
      <c r="C227" s="648">
        <v>1404626.2253</v>
      </c>
      <c r="D227" s="648">
        <v>1438942.5772499901</v>
      </c>
      <c r="E227" s="648">
        <v>1438942.5772499901</v>
      </c>
      <c r="F227" s="648">
        <v>1463651.54888999</v>
      </c>
      <c r="G227" s="648">
        <v>1479982.52076</v>
      </c>
      <c r="H227" s="648">
        <v>1479982.52076</v>
      </c>
      <c r="I227" s="648">
        <v>1469832.52673</v>
      </c>
      <c r="J227" s="648">
        <v>1510698.4898560599</v>
      </c>
      <c r="K227" s="648">
        <v>1510759.1392085601</v>
      </c>
      <c r="L227" s="648">
        <v>1510819.7885610601</v>
      </c>
      <c r="M227" s="648">
        <v>1550485.40008712</v>
      </c>
      <c r="N227" s="648">
        <v>1550546.04943962</v>
      </c>
      <c r="O227" s="648">
        <v>1550101.5697320399</v>
      </c>
      <c r="P227" s="129">
        <f t="shared" si="6"/>
        <v>1489182.379524956</v>
      </c>
      <c r="Q227" s="648">
        <v>1585973.00172289</v>
      </c>
      <c r="R227" s="648">
        <v>1586033.6510753899</v>
      </c>
      <c r="S227" s="648">
        <v>1586094.3004278899</v>
      </c>
      <c r="T227" s="648">
        <v>1621460.6033586501</v>
      </c>
      <c r="U227" s="648">
        <v>1621521.2527111501</v>
      </c>
      <c r="V227" s="648">
        <v>1621581.9020636501</v>
      </c>
      <c r="W227" s="648">
        <v>1656948.20499441</v>
      </c>
      <c r="X227" s="648">
        <v>1657008.85434692</v>
      </c>
      <c r="Y227" s="648">
        <v>1657069.50369942</v>
      </c>
      <c r="Z227" s="648">
        <v>1692435.80663018</v>
      </c>
      <c r="AA227" s="648">
        <v>1692496.45598269</v>
      </c>
      <c r="AB227" s="648">
        <v>1692557.10533519</v>
      </c>
      <c r="AC227" s="648">
        <v>1720395.52080687</v>
      </c>
      <c r="AD227" s="648">
        <v>1720456.1701593699</v>
      </c>
      <c r="AE227" s="648">
        <v>1720516.8195118699</v>
      </c>
      <c r="AF227" s="648">
        <v>1748355.2349835599</v>
      </c>
      <c r="AG227" s="505">
        <f t="shared" si="7"/>
        <v>1678677.1872756868</v>
      </c>
    </row>
    <row r="228" spans="1:33">
      <c r="B228" s="649"/>
      <c r="C228" s="649"/>
      <c r="D228" s="649"/>
      <c r="E228" s="649"/>
      <c r="F228" s="649"/>
      <c r="G228" s="649"/>
      <c r="H228" s="649"/>
      <c r="I228" s="649"/>
      <c r="J228" s="649"/>
      <c r="K228" s="649"/>
      <c r="L228" s="649"/>
      <c r="M228" s="649"/>
      <c r="N228" s="649"/>
      <c r="O228" s="649"/>
      <c r="P228" s="129">
        <f t="shared" si="6"/>
        <v>0</v>
      </c>
      <c r="Q228" s="649"/>
      <c r="R228" s="649"/>
      <c r="S228" s="649"/>
      <c r="T228" s="649"/>
      <c r="U228" s="649"/>
      <c r="V228" s="649"/>
      <c r="W228" s="649"/>
      <c r="X228" s="649"/>
      <c r="Y228" s="649"/>
      <c r="Z228" s="649"/>
      <c r="AA228" s="649"/>
      <c r="AB228" s="649"/>
      <c r="AC228" s="649"/>
      <c r="AD228" s="649"/>
      <c r="AE228" s="649"/>
      <c r="AF228" s="649"/>
      <c r="AG228" s="505">
        <f t="shared" si="7"/>
        <v>0</v>
      </c>
    </row>
    <row r="229" spans="1:33">
      <c r="A229" s="506" t="s">
        <v>2048</v>
      </c>
      <c r="B229" s="649"/>
      <c r="C229" s="649"/>
      <c r="D229" s="649"/>
      <c r="E229" s="649"/>
      <c r="F229" s="649"/>
      <c r="G229" s="649"/>
      <c r="H229" s="649"/>
      <c r="I229" s="649"/>
      <c r="J229" s="649"/>
      <c r="K229" s="649"/>
      <c r="L229" s="649"/>
      <c r="M229" s="649"/>
      <c r="N229" s="649"/>
      <c r="O229" s="649"/>
      <c r="P229" s="129">
        <f t="shared" si="6"/>
        <v>0</v>
      </c>
      <c r="Q229" s="649"/>
      <c r="R229" s="649"/>
      <c r="S229" s="649"/>
      <c r="T229" s="649"/>
      <c r="U229" s="649"/>
      <c r="V229" s="649"/>
      <c r="W229" s="649"/>
      <c r="X229" s="649"/>
      <c r="Y229" s="649"/>
      <c r="Z229" s="649"/>
      <c r="AA229" s="649"/>
      <c r="AB229" s="649"/>
      <c r="AC229" s="649"/>
      <c r="AD229" s="649"/>
      <c r="AE229" s="649"/>
      <c r="AF229" s="649"/>
      <c r="AG229" s="505">
        <f t="shared" si="7"/>
        <v>0</v>
      </c>
    </row>
    <row r="230" spans="1:33">
      <c r="A230" s="506" t="s">
        <v>2049</v>
      </c>
      <c r="B230" s="648">
        <v>90382.341249999998</v>
      </c>
      <c r="C230" s="648">
        <v>90234.416249999995</v>
      </c>
      <c r="D230" s="648">
        <v>90086.491250000006</v>
      </c>
      <c r="E230" s="648">
        <v>89938.566250000003</v>
      </c>
      <c r="F230" s="648">
        <v>89790.641250000001</v>
      </c>
      <c r="G230" s="648">
        <v>89642.716249999998</v>
      </c>
      <c r="H230" s="648">
        <v>89494.791249999995</v>
      </c>
      <c r="I230" s="648">
        <v>89346.866250000006</v>
      </c>
      <c r="J230" s="648">
        <v>89193.016000000003</v>
      </c>
      <c r="K230" s="648">
        <v>89039.16575</v>
      </c>
      <c r="L230" s="648">
        <v>88885.315499999997</v>
      </c>
      <c r="M230" s="648">
        <v>88731.465249999994</v>
      </c>
      <c r="N230" s="648">
        <v>88577.614999999903</v>
      </c>
      <c r="O230" s="648">
        <v>88423.7647499999</v>
      </c>
      <c r="P230" s="129">
        <f t="shared" si="6"/>
        <v>89337.294692307682</v>
      </c>
      <c r="Q230" s="648">
        <v>88269.914499999897</v>
      </c>
      <c r="R230" s="648">
        <v>88116.064249999894</v>
      </c>
      <c r="S230" s="648">
        <v>87962.213999999905</v>
      </c>
      <c r="T230" s="648">
        <v>87808.363749999902</v>
      </c>
      <c r="U230" s="648">
        <v>87654.513499999899</v>
      </c>
      <c r="V230" s="648">
        <v>87500.663249999896</v>
      </c>
      <c r="W230" s="648">
        <v>87346.812999999893</v>
      </c>
      <c r="X230" s="648">
        <v>87192.962749999904</v>
      </c>
      <c r="Y230" s="648">
        <v>87039.112499999901</v>
      </c>
      <c r="Z230" s="648">
        <v>86885.262249999898</v>
      </c>
      <c r="AA230" s="648">
        <v>86717.202416666594</v>
      </c>
      <c r="AB230" s="648">
        <v>86549.142583333203</v>
      </c>
      <c r="AC230" s="648">
        <v>86381.0827499999</v>
      </c>
      <c r="AD230" s="648">
        <v>86213.022916666596</v>
      </c>
      <c r="AE230" s="648">
        <v>86044.963083333205</v>
      </c>
      <c r="AF230" s="648">
        <v>85876.903249999901</v>
      </c>
      <c r="AG230" s="505">
        <f t="shared" si="7"/>
        <v>86862.308307692205</v>
      </c>
    </row>
    <row r="231" spans="1:33">
      <c r="A231" s="506" t="s">
        <v>2050</v>
      </c>
      <c r="B231" s="648">
        <v>2482.7463199999902</v>
      </c>
      <c r="C231" s="648">
        <v>2476.82132</v>
      </c>
      <c r="D231" s="648">
        <v>2470.8963199999998</v>
      </c>
      <c r="E231" s="648">
        <v>2464.9713200000001</v>
      </c>
      <c r="F231" s="648">
        <v>2459.0463199999999</v>
      </c>
      <c r="G231" s="648">
        <v>6453.1213200000002</v>
      </c>
      <c r="H231" s="648">
        <v>6447.19632</v>
      </c>
      <c r="I231" s="648">
        <v>6441.2713199999998</v>
      </c>
      <c r="J231" s="648">
        <v>6441.2713199999998</v>
      </c>
      <c r="K231" s="648">
        <v>6441.2713199999998</v>
      </c>
      <c r="L231" s="648">
        <v>6441.2713199999998</v>
      </c>
      <c r="M231" s="648">
        <v>6441.2713199999998</v>
      </c>
      <c r="N231" s="648">
        <v>6441.2713199999998</v>
      </c>
      <c r="O231" s="648">
        <v>6441.2713199999998</v>
      </c>
      <c r="P231" s="129">
        <f t="shared" si="6"/>
        <v>5220.0732430769231</v>
      </c>
      <c r="Q231" s="648">
        <v>6441.2713199999998</v>
      </c>
      <c r="R231" s="648">
        <v>6441.2713199999998</v>
      </c>
      <c r="S231" s="648">
        <v>6441.2713199999998</v>
      </c>
      <c r="T231" s="648">
        <v>6441.2713199999998</v>
      </c>
      <c r="U231" s="648">
        <v>6441.2713199999998</v>
      </c>
      <c r="V231" s="648">
        <v>6441.2713199999998</v>
      </c>
      <c r="W231" s="648">
        <v>6441.2713199999998</v>
      </c>
      <c r="X231" s="648">
        <v>6441.2713199999998</v>
      </c>
      <c r="Y231" s="648">
        <v>6441.2713199999998</v>
      </c>
      <c r="Z231" s="648">
        <v>6441.2713199999998</v>
      </c>
      <c r="AA231" s="648">
        <v>6441.2713199999998</v>
      </c>
      <c r="AB231" s="648">
        <v>6441.2713199999998</v>
      </c>
      <c r="AC231" s="648">
        <v>6441.2713199999998</v>
      </c>
      <c r="AD231" s="648">
        <v>6441.2713199999998</v>
      </c>
      <c r="AE231" s="648">
        <v>6441.2713199999998</v>
      </c>
      <c r="AF231" s="648">
        <v>6441.2713199999998</v>
      </c>
      <c r="AG231" s="505">
        <f t="shared" si="7"/>
        <v>6441.2713199999998</v>
      </c>
    </row>
    <row r="232" spans="1:33">
      <c r="A232" s="506" t="s">
        <v>2048</v>
      </c>
      <c r="B232" s="648">
        <v>92865.087570000003</v>
      </c>
      <c r="C232" s="648">
        <v>92711.237569999998</v>
      </c>
      <c r="D232" s="648">
        <v>92557.387570000006</v>
      </c>
      <c r="E232" s="648">
        <v>92403.53757</v>
      </c>
      <c r="F232" s="648">
        <v>92249.687569999995</v>
      </c>
      <c r="G232" s="648">
        <v>96095.837570000003</v>
      </c>
      <c r="H232" s="648">
        <v>95941.987569999998</v>
      </c>
      <c r="I232" s="648">
        <v>95788.137570000006</v>
      </c>
      <c r="J232" s="648">
        <v>95634.287320000003</v>
      </c>
      <c r="K232" s="648">
        <v>95480.43707</v>
      </c>
      <c r="L232" s="648">
        <v>95326.586819999997</v>
      </c>
      <c r="M232" s="648">
        <v>95172.736569999994</v>
      </c>
      <c r="N232" s="648">
        <v>95018.886319999903</v>
      </c>
      <c r="O232" s="648">
        <v>94865.0360699999</v>
      </c>
      <c r="P232" s="129">
        <f t="shared" si="6"/>
        <v>94557.367935384595</v>
      </c>
      <c r="Q232" s="648">
        <v>94711.185819999897</v>
      </c>
      <c r="R232" s="648">
        <v>94557.335569999894</v>
      </c>
      <c r="S232" s="648">
        <v>94403.485319999905</v>
      </c>
      <c r="T232" s="648">
        <v>94249.635069999902</v>
      </c>
      <c r="U232" s="648">
        <v>94095.784819999899</v>
      </c>
      <c r="V232" s="648">
        <v>93941.934569999896</v>
      </c>
      <c r="W232" s="648">
        <v>93788.084319999907</v>
      </c>
      <c r="X232" s="648">
        <v>93634.234069999904</v>
      </c>
      <c r="Y232" s="648">
        <v>93480.383819999901</v>
      </c>
      <c r="Z232" s="648">
        <v>93326.533569999898</v>
      </c>
      <c r="AA232" s="648">
        <v>93158.473736666594</v>
      </c>
      <c r="AB232" s="648">
        <v>92990.413903333203</v>
      </c>
      <c r="AC232" s="648">
        <v>92822.354069999899</v>
      </c>
      <c r="AD232" s="648">
        <v>92654.294236666596</v>
      </c>
      <c r="AE232" s="648">
        <v>92486.234403333205</v>
      </c>
      <c r="AF232" s="648">
        <v>92318.174569999901</v>
      </c>
      <c r="AG232" s="505">
        <f t="shared" si="7"/>
        <v>93303.579627692205</v>
      </c>
    </row>
    <row r="233" spans="1:33">
      <c r="B233" s="649"/>
      <c r="C233" s="649"/>
      <c r="D233" s="649"/>
      <c r="E233" s="649"/>
      <c r="F233" s="649"/>
      <c r="G233" s="649"/>
      <c r="H233" s="649"/>
      <c r="I233" s="649"/>
      <c r="J233" s="649"/>
      <c r="K233" s="649"/>
      <c r="L233" s="649"/>
      <c r="M233" s="649"/>
      <c r="N233" s="649"/>
      <c r="O233" s="649"/>
      <c r="P233" s="129">
        <f t="shared" si="6"/>
        <v>0</v>
      </c>
      <c r="Q233" s="649"/>
      <c r="R233" s="649"/>
      <c r="S233" s="649"/>
      <c r="T233" s="649"/>
      <c r="U233" s="649"/>
      <c r="V233" s="649"/>
      <c r="W233" s="649"/>
      <c r="X233" s="649"/>
      <c r="Y233" s="649"/>
      <c r="Z233" s="649"/>
      <c r="AA233" s="649"/>
      <c r="AB233" s="649"/>
      <c r="AC233" s="649"/>
      <c r="AD233" s="649"/>
      <c r="AE233" s="649"/>
      <c r="AF233" s="649"/>
      <c r="AG233" s="505">
        <f t="shared" si="7"/>
        <v>0</v>
      </c>
    </row>
    <row r="234" spans="1:33">
      <c r="A234" s="506" t="s">
        <v>2051</v>
      </c>
      <c r="B234" s="649"/>
      <c r="C234" s="649"/>
      <c r="D234" s="649"/>
      <c r="E234" s="649"/>
      <c r="F234" s="649"/>
      <c r="G234" s="649"/>
      <c r="H234" s="649"/>
      <c r="I234" s="649"/>
      <c r="J234" s="649"/>
      <c r="K234" s="649"/>
      <c r="L234" s="649"/>
      <c r="M234" s="649"/>
      <c r="N234" s="649"/>
      <c r="O234" s="649"/>
      <c r="P234" s="129">
        <f t="shared" si="6"/>
        <v>0</v>
      </c>
      <c r="Q234" s="649"/>
      <c r="R234" s="649"/>
      <c r="S234" s="649"/>
      <c r="T234" s="649"/>
      <c r="U234" s="649"/>
      <c r="V234" s="649"/>
      <c r="W234" s="649"/>
      <c r="X234" s="649"/>
      <c r="Y234" s="649"/>
      <c r="Z234" s="649"/>
      <c r="AA234" s="649"/>
      <c r="AB234" s="649"/>
      <c r="AC234" s="649"/>
      <c r="AD234" s="649"/>
      <c r="AE234" s="649"/>
      <c r="AF234" s="649"/>
      <c r="AG234" s="505">
        <f t="shared" si="7"/>
        <v>0</v>
      </c>
    </row>
    <row r="235" spans="1:33">
      <c r="A235" s="506" t="s">
        <v>2052</v>
      </c>
      <c r="B235" s="648">
        <v>2090</v>
      </c>
      <c r="C235" s="648">
        <v>2426</v>
      </c>
      <c r="D235" s="648">
        <v>2767</v>
      </c>
      <c r="E235" s="648">
        <v>2675</v>
      </c>
      <c r="F235" s="648">
        <v>2628</v>
      </c>
      <c r="G235" s="648">
        <v>2464</v>
      </c>
      <c r="H235" s="648">
        <v>2277</v>
      </c>
      <c r="I235" s="648">
        <v>2143</v>
      </c>
      <c r="J235" s="648">
        <v>2143</v>
      </c>
      <c r="K235" s="648">
        <v>2143</v>
      </c>
      <c r="L235" s="648">
        <v>2143</v>
      </c>
      <c r="M235" s="648">
        <v>2143</v>
      </c>
      <c r="N235" s="648">
        <v>2143</v>
      </c>
      <c r="O235" s="648">
        <v>2143</v>
      </c>
      <c r="P235" s="129">
        <f t="shared" si="6"/>
        <v>2326</v>
      </c>
      <c r="Q235" s="648">
        <v>2143</v>
      </c>
      <c r="R235" s="648">
        <v>2143</v>
      </c>
      <c r="S235" s="648">
        <v>2143</v>
      </c>
      <c r="T235" s="648">
        <v>2143</v>
      </c>
      <c r="U235" s="648">
        <v>2143</v>
      </c>
      <c r="V235" s="648">
        <v>2143</v>
      </c>
      <c r="W235" s="648">
        <v>2143</v>
      </c>
      <c r="X235" s="648">
        <v>2143</v>
      </c>
      <c r="Y235" s="648">
        <v>2143</v>
      </c>
      <c r="Z235" s="648">
        <v>2143</v>
      </c>
      <c r="AA235" s="648">
        <v>2143</v>
      </c>
      <c r="AB235" s="648">
        <v>2143</v>
      </c>
      <c r="AC235" s="648">
        <v>2143</v>
      </c>
      <c r="AD235" s="648">
        <v>2143</v>
      </c>
      <c r="AE235" s="648">
        <v>2143</v>
      </c>
      <c r="AF235" s="648">
        <v>2143</v>
      </c>
      <c r="AG235" s="505">
        <f t="shared" si="7"/>
        <v>2143</v>
      </c>
    </row>
    <row r="236" spans="1:33">
      <c r="A236" s="506" t="s">
        <v>2053</v>
      </c>
      <c r="B236" s="648">
        <v>40566.48704</v>
      </c>
      <c r="C236" s="648">
        <v>40424.857479999999</v>
      </c>
      <c r="D236" s="648">
        <v>40275.372020000003</v>
      </c>
      <c r="E236" s="648">
        <v>40149.659299999999</v>
      </c>
      <c r="F236" s="648">
        <v>40054.296829999999</v>
      </c>
      <c r="G236" s="648">
        <v>39962.862330000004</v>
      </c>
      <c r="H236" s="648">
        <v>39813.376859999997</v>
      </c>
      <c r="I236" s="648">
        <v>39719.765229999997</v>
      </c>
      <c r="J236" s="648">
        <v>39628.357779999998</v>
      </c>
      <c r="K236" s="648">
        <v>39533.023269999998</v>
      </c>
      <c r="L236" s="648">
        <v>39441.615819999999</v>
      </c>
      <c r="M236" s="648">
        <v>39608.64084</v>
      </c>
      <c r="N236" s="648">
        <v>39459.183210000003</v>
      </c>
      <c r="O236" s="648">
        <v>39321.50675</v>
      </c>
      <c r="P236" s="129">
        <f t="shared" si="6"/>
        <v>39799.424440000003</v>
      </c>
      <c r="Q236" s="648">
        <v>39172.049120000003</v>
      </c>
      <c r="R236" s="648">
        <v>39026.518550000001</v>
      </c>
      <c r="S236" s="648">
        <v>38877.060920000004</v>
      </c>
      <c r="T236" s="648">
        <v>38731.530350000001</v>
      </c>
      <c r="U236" s="648">
        <v>38585.851470000001</v>
      </c>
      <c r="V236" s="648">
        <v>38440.172590000002</v>
      </c>
      <c r="W236" s="648">
        <v>38298.420769999997</v>
      </c>
      <c r="X236" s="648">
        <v>38152.741889999998</v>
      </c>
      <c r="Y236" s="648">
        <v>38010.99007</v>
      </c>
      <c r="Z236" s="648">
        <v>37865.31119</v>
      </c>
      <c r="AA236" s="648">
        <v>37719.632310000001</v>
      </c>
      <c r="AB236" s="648">
        <v>37585.734600000003</v>
      </c>
      <c r="AC236" s="648">
        <v>37440.055719999997</v>
      </c>
      <c r="AD236" s="648">
        <v>37298.303899999999</v>
      </c>
      <c r="AE236" s="648">
        <v>37152.625019999999</v>
      </c>
      <c r="AF236" s="648">
        <v>37010.873200000002</v>
      </c>
      <c r="AG236" s="505">
        <f t="shared" si="7"/>
        <v>37868.634083076926</v>
      </c>
    </row>
    <row r="237" spans="1:33">
      <c r="A237" s="506" t="s">
        <v>2054</v>
      </c>
      <c r="B237" s="648">
        <v>12777.03534</v>
      </c>
      <c r="C237" s="648">
        <v>15023.42794</v>
      </c>
      <c r="D237" s="648">
        <v>19185.332020000002</v>
      </c>
      <c r="E237" s="648">
        <v>19216.955419999998</v>
      </c>
      <c r="F237" s="648">
        <v>17941.94311</v>
      </c>
      <c r="G237" s="648">
        <v>14645.976199999999</v>
      </c>
      <c r="H237" s="648">
        <v>13810.43109</v>
      </c>
      <c r="I237" s="648">
        <v>17253.30833</v>
      </c>
      <c r="J237" s="648">
        <v>16899.2015499999</v>
      </c>
      <c r="K237" s="648">
        <v>16545.09477</v>
      </c>
      <c r="L237" s="648">
        <v>16190.98799</v>
      </c>
      <c r="M237" s="648">
        <v>15836.88121</v>
      </c>
      <c r="N237" s="648">
        <v>15482.774429999999</v>
      </c>
      <c r="O237" s="648">
        <v>15128.667649999999</v>
      </c>
      <c r="P237" s="129">
        <f t="shared" si="6"/>
        <v>16396.998593076914</v>
      </c>
      <c r="Q237" s="648">
        <v>14774.560869999999</v>
      </c>
      <c r="R237" s="648">
        <v>14420.454089999999</v>
      </c>
      <c r="S237" s="648">
        <v>14066.347309999999</v>
      </c>
      <c r="T237" s="648">
        <v>13712.240529999999</v>
      </c>
      <c r="U237" s="648">
        <v>13358.133749999901</v>
      </c>
      <c r="V237" s="648">
        <v>13004.026969999901</v>
      </c>
      <c r="W237" s="648">
        <v>13004.026969999901</v>
      </c>
      <c r="X237" s="648">
        <v>13004.026969999901</v>
      </c>
      <c r="Y237" s="648">
        <v>13004.026969999901</v>
      </c>
      <c r="Z237" s="648">
        <v>13004.026969999901</v>
      </c>
      <c r="AA237" s="648">
        <v>13004.026969999901</v>
      </c>
      <c r="AB237" s="648">
        <v>13004.026969999901</v>
      </c>
      <c r="AC237" s="648">
        <v>13004.026969999901</v>
      </c>
      <c r="AD237" s="648">
        <v>13004.026969999901</v>
      </c>
      <c r="AE237" s="648">
        <v>13004.026969999901</v>
      </c>
      <c r="AF237" s="648">
        <v>13004.026969999901</v>
      </c>
      <c r="AG237" s="505">
        <f t="shared" si="7"/>
        <v>13085.743919230677</v>
      </c>
    </row>
    <row r="238" spans="1:33">
      <c r="A238" s="506" t="s">
        <v>2055</v>
      </c>
      <c r="B238" s="648">
        <v>24016.275000000001</v>
      </c>
      <c r="C238" s="648">
        <v>24016.275000000001</v>
      </c>
      <c r="D238" s="648">
        <v>24197.589</v>
      </c>
      <c r="E238" s="648">
        <v>24197.589</v>
      </c>
      <c r="F238" s="648">
        <v>24197.589</v>
      </c>
      <c r="G238" s="648">
        <v>26875.600999999999</v>
      </c>
      <c r="H238" s="648">
        <v>26875.600999999999</v>
      </c>
      <c r="I238" s="648">
        <v>26875.600999999999</v>
      </c>
      <c r="J238" s="648">
        <v>26875.600999999999</v>
      </c>
      <c r="K238" s="648">
        <v>26875.600999999999</v>
      </c>
      <c r="L238" s="648">
        <v>26875.600999999999</v>
      </c>
      <c r="M238" s="648">
        <v>19698.407999999999</v>
      </c>
      <c r="N238" s="648">
        <v>19698.407999999999</v>
      </c>
      <c r="O238" s="648">
        <v>19698.407999999999</v>
      </c>
      <c r="P238" s="129">
        <f t="shared" si="6"/>
        <v>24381.374769230766</v>
      </c>
      <c r="Q238" s="648">
        <v>19698.407999999999</v>
      </c>
      <c r="R238" s="648">
        <v>19698.407999999999</v>
      </c>
      <c r="S238" s="648">
        <v>19698.407999999999</v>
      </c>
      <c r="T238" s="648">
        <v>19698.407999999999</v>
      </c>
      <c r="U238" s="648">
        <v>19698.407999999999</v>
      </c>
      <c r="V238" s="648">
        <v>19698.407999999999</v>
      </c>
      <c r="W238" s="648">
        <v>19698.407999999999</v>
      </c>
      <c r="X238" s="648">
        <v>19698.407999999999</v>
      </c>
      <c r="Y238" s="648">
        <v>19698.407999999999</v>
      </c>
      <c r="Z238" s="648">
        <v>19698.407999999999</v>
      </c>
      <c r="AA238" s="648">
        <v>19698.407999999999</v>
      </c>
      <c r="AB238" s="648">
        <v>19698.407999999999</v>
      </c>
      <c r="AC238" s="648">
        <v>19698.407999999999</v>
      </c>
      <c r="AD238" s="648">
        <v>19698.407999999999</v>
      </c>
      <c r="AE238" s="648">
        <v>19698.407999999999</v>
      </c>
      <c r="AF238" s="648">
        <v>19698.407999999999</v>
      </c>
      <c r="AG238" s="505">
        <f t="shared" si="7"/>
        <v>19698.407999999999</v>
      </c>
    </row>
    <row r="239" spans="1:33">
      <c r="A239" s="506" t="s">
        <v>2056</v>
      </c>
      <c r="B239" s="648">
        <v>70364.690219999902</v>
      </c>
      <c r="C239" s="648">
        <v>70364.690219999902</v>
      </c>
      <c r="D239" s="648">
        <v>69620.757429999998</v>
      </c>
      <c r="E239" s="648">
        <v>69620.757429999998</v>
      </c>
      <c r="F239" s="648">
        <v>69620.757429999998</v>
      </c>
      <c r="G239" s="648">
        <v>71423.469459999993</v>
      </c>
      <c r="H239" s="648">
        <v>71423.469459999993</v>
      </c>
      <c r="I239" s="648">
        <v>71338.664220000006</v>
      </c>
      <c r="J239" s="648">
        <v>70985.860620000007</v>
      </c>
      <c r="K239" s="648">
        <v>70985.860620000007</v>
      </c>
      <c r="L239" s="648">
        <v>70985.860620000007</v>
      </c>
      <c r="M239" s="648">
        <v>70633.057019999993</v>
      </c>
      <c r="N239" s="648">
        <v>70633.057019999993</v>
      </c>
      <c r="O239" s="648">
        <v>70633.057019999993</v>
      </c>
      <c r="P239" s="129">
        <f t="shared" si="6"/>
        <v>70636.101428461523</v>
      </c>
      <c r="Q239" s="648">
        <v>70298.54436</v>
      </c>
      <c r="R239" s="648">
        <v>70298.54436</v>
      </c>
      <c r="S239" s="648">
        <v>70298.54436</v>
      </c>
      <c r="T239" s="648">
        <v>69964.031700000007</v>
      </c>
      <c r="U239" s="648">
        <v>69964.031700000007</v>
      </c>
      <c r="V239" s="648">
        <v>69964.031700000007</v>
      </c>
      <c r="W239" s="648">
        <v>69629.519039999999</v>
      </c>
      <c r="X239" s="648">
        <v>69629.519039999999</v>
      </c>
      <c r="Y239" s="648">
        <v>69629.519039999999</v>
      </c>
      <c r="Z239" s="648">
        <v>69295.006380000006</v>
      </c>
      <c r="AA239" s="648">
        <v>69295.006380000006</v>
      </c>
      <c r="AB239" s="648">
        <v>69295.006380000006</v>
      </c>
      <c r="AC239" s="648">
        <v>68930.716294483995</v>
      </c>
      <c r="AD239" s="648">
        <v>68930.716294483995</v>
      </c>
      <c r="AE239" s="648">
        <v>68930.716294483995</v>
      </c>
      <c r="AF239" s="648">
        <v>68566.426208967896</v>
      </c>
      <c r="AG239" s="505">
        <f t="shared" si="7"/>
        <v>69386.480496339995</v>
      </c>
    </row>
    <row r="240" spans="1:33">
      <c r="A240" s="506" t="s">
        <v>2051</v>
      </c>
      <c r="B240" s="648">
        <v>149814.48759999999</v>
      </c>
      <c r="C240" s="648">
        <v>152255.25063999899</v>
      </c>
      <c r="D240" s="648">
        <v>156046.05046999999</v>
      </c>
      <c r="E240" s="648">
        <v>155859.96114999999</v>
      </c>
      <c r="F240" s="648">
        <v>154442.58637</v>
      </c>
      <c r="G240" s="648">
        <v>155371.90899</v>
      </c>
      <c r="H240" s="648">
        <v>154199.87841</v>
      </c>
      <c r="I240" s="648">
        <v>157330.33877999999</v>
      </c>
      <c r="J240" s="648">
        <v>156532.02095000001</v>
      </c>
      <c r="K240" s="648">
        <v>156082.57965999999</v>
      </c>
      <c r="L240" s="648">
        <v>155637.06542999999</v>
      </c>
      <c r="M240" s="648">
        <v>147919.98707</v>
      </c>
      <c r="N240" s="648">
        <v>147416.42266000001</v>
      </c>
      <c r="O240" s="648">
        <v>146924.63941999999</v>
      </c>
      <c r="P240" s="129">
        <f t="shared" si="6"/>
        <v>153539.89923076917</v>
      </c>
      <c r="Q240" s="648">
        <v>146086.56234999999</v>
      </c>
      <c r="R240" s="648">
        <v>145586.92499999999</v>
      </c>
      <c r="S240" s="648">
        <v>145083.36059</v>
      </c>
      <c r="T240" s="648">
        <v>144249.21058000001</v>
      </c>
      <c r="U240" s="648">
        <v>143749.42491999999</v>
      </c>
      <c r="V240" s="648">
        <v>143249.63926</v>
      </c>
      <c r="W240" s="648">
        <v>142773.37478000001</v>
      </c>
      <c r="X240" s="648">
        <v>142627.69589999999</v>
      </c>
      <c r="Y240" s="648">
        <v>142485.94407999999</v>
      </c>
      <c r="Z240" s="648">
        <v>142005.75253999999</v>
      </c>
      <c r="AA240" s="648">
        <v>141860.07365999999</v>
      </c>
      <c r="AB240" s="648">
        <v>141726.17595</v>
      </c>
      <c r="AC240" s="648">
        <v>141216.20698448399</v>
      </c>
      <c r="AD240" s="648">
        <v>141074.45516448401</v>
      </c>
      <c r="AE240" s="648">
        <v>140928.77628448399</v>
      </c>
      <c r="AF240" s="648">
        <v>140422.73437896799</v>
      </c>
      <c r="AG240" s="505">
        <f t="shared" si="7"/>
        <v>142182.26649864766</v>
      </c>
    </row>
    <row r="241" spans="1:33">
      <c r="B241" s="649"/>
      <c r="C241" s="649"/>
      <c r="D241" s="649"/>
      <c r="E241" s="649"/>
      <c r="F241" s="649"/>
      <c r="G241" s="649"/>
      <c r="H241" s="649"/>
      <c r="I241" s="649"/>
      <c r="J241" s="649"/>
      <c r="K241" s="649"/>
      <c r="L241" s="649"/>
      <c r="M241" s="649"/>
      <c r="N241" s="649"/>
      <c r="O241" s="649"/>
      <c r="P241" s="129">
        <f t="shared" si="6"/>
        <v>0</v>
      </c>
      <c r="Q241" s="649"/>
      <c r="R241" s="649"/>
      <c r="S241" s="649"/>
      <c r="T241" s="649"/>
      <c r="U241" s="649"/>
      <c r="V241" s="649"/>
      <c r="W241" s="649"/>
      <c r="X241" s="649"/>
      <c r="Y241" s="649"/>
      <c r="Z241" s="649"/>
      <c r="AA241" s="649"/>
      <c r="AB241" s="649"/>
      <c r="AC241" s="649"/>
      <c r="AD241" s="649"/>
      <c r="AE241" s="649"/>
      <c r="AF241" s="649"/>
      <c r="AG241" s="505">
        <f t="shared" si="7"/>
        <v>0</v>
      </c>
    </row>
    <row r="242" spans="1:33">
      <c r="A242" s="506" t="s">
        <v>2057</v>
      </c>
      <c r="B242" s="649"/>
      <c r="C242" s="649"/>
      <c r="D242" s="649"/>
      <c r="E242" s="649"/>
      <c r="F242" s="649"/>
      <c r="G242" s="649"/>
      <c r="H242" s="649"/>
      <c r="I242" s="649"/>
      <c r="J242" s="649"/>
      <c r="K242" s="649"/>
      <c r="L242" s="649"/>
      <c r="M242" s="649"/>
      <c r="N242" s="649"/>
      <c r="O242" s="649"/>
      <c r="P242" s="129">
        <f t="shared" si="6"/>
        <v>0</v>
      </c>
      <c r="Q242" s="649"/>
      <c r="R242" s="649"/>
      <c r="S242" s="649"/>
      <c r="T242" s="649"/>
      <c r="U242" s="649"/>
      <c r="V242" s="649"/>
      <c r="W242" s="649"/>
      <c r="X242" s="649"/>
      <c r="Y242" s="649"/>
      <c r="Z242" s="649"/>
      <c r="AA242" s="649"/>
      <c r="AB242" s="649"/>
      <c r="AC242" s="649"/>
      <c r="AD242" s="649"/>
      <c r="AE242" s="649"/>
      <c r="AF242" s="649"/>
      <c r="AG242" s="505">
        <f t="shared" si="7"/>
        <v>0</v>
      </c>
    </row>
    <row r="243" spans="1:33">
      <c r="A243" s="506" t="s">
        <v>2058</v>
      </c>
      <c r="B243" s="648">
        <v>1962.2282700000001</v>
      </c>
      <c r="C243" s="648">
        <v>1906.2225799999901</v>
      </c>
      <c r="D243" s="648">
        <v>1597.0308</v>
      </c>
      <c r="E243" s="648">
        <v>1871.4046799999901</v>
      </c>
      <c r="F243" s="648">
        <v>1819.3931</v>
      </c>
      <c r="G243" s="648">
        <v>1486.4898699999901</v>
      </c>
      <c r="H243" s="648">
        <v>1599.1344999999999</v>
      </c>
      <c r="I243" s="648">
        <v>1576.4060400000001</v>
      </c>
      <c r="J243" s="648">
        <v>1576.4060400000001</v>
      </c>
      <c r="K243" s="648">
        <v>1576.4060400000001</v>
      </c>
      <c r="L243" s="648">
        <v>1576.4060400000001</v>
      </c>
      <c r="M243" s="648">
        <v>1576.4060400000001</v>
      </c>
      <c r="N243" s="648">
        <v>1576.4060400000001</v>
      </c>
      <c r="O243" s="648">
        <v>1576.4060400000001</v>
      </c>
      <c r="P243" s="129">
        <f t="shared" si="6"/>
        <v>1639.5782930769212</v>
      </c>
      <c r="Q243" s="648">
        <v>1576.4060400000001</v>
      </c>
      <c r="R243" s="648">
        <v>1576.4060400000001</v>
      </c>
      <c r="S243" s="648">
        <v>1576.4060400000001</v>
      </c>
      <c r="T243" s="648">
        <v>1576.4060400000001</v>
      </c>
      <c r="U243" s="648">
        <v>1576.4060400000001</v>
      </c>
      <c r="V243" s="648">
        <v>1576.4060400000001</v>
      </c>
      <c r="W243" s="648">
        <v>1576.4060400000001</v>
      </c>
      <c r="X243" s="648">
        <v>1576.4060400000001</v>
      </c>
      <c r="Y243" s="648">
        <v>1576.4060400000001</v>
      </c>
      <c r="Z243" s="648">
        <v>1576.4060400000001</v>
      </c>
      <c r="AA243" s="648">
        <v>1576.4060400000001</v>
      </c>
      <c r="AB243" s="648">
        <v>1576.4060400000001</v>
      </c>
      <c r="AC243" s="648">
        <v>1576.4060400000001</v>
      </c>
      <c r="AD243" s="648">
        <v>1576.4060400000001</v>
      </c>
      <c r="AE243" s="648">
        <v>1576.4060400000001</v>
      </c>
      <c r="AF243" s="648">
        <v>1576.4060400000001</v>
      </c>
      <c r="AG243" s="505">
        <f t="shared" si="7"/>
        <v>1576.4060400000003</v>
      </c>
    </row>
    <row r="244" spans="1:33">
      <c r="A244" s="506" t="s">
        <v>2059</v>
      </c>
      <c r="B244" s="648">
        <v>0</v>
      </c>
      <c r="C244" s="648">
        <v>0</v>
      </c>
      <c r="D244" s="648">
        <v>298.92478999999997</v>
      </c>
      <c r="E244" s="648">
        <v>0</v>
      </c>
      <c r="F244" s="648">
        <v>0</v>
      </c>
      <c r="G244" s="648">
        <v>88.882229999999893</v>
      </c>
      <c r="H244" s="648">
        <v>0</v>
      </c>
      <c r="I244" s="648">
        <v>0</v>
      </c>
      <c r="J244" s="648">
        <v>0</v>
      </c>
      <c r="K244" s="648">
        <v>0</v>
      </c>
      <c r="L244" s="648">
        <v>0</v>
      </c>
      <c r="M244" s="648">
        <v>0</v>
      </c>
      <c r="N244" s="648">
        <v>0</v>
      </c>
      <c r="O244" s="648">
        <v>0</v>
      </c>
      <c r="P244" s="129">
        <f t="shared" si="6"/>
        <v>29.831309230769218</v>
      </c>
      <c r="Q244" s="648">
        <v>0</v>
      </c>
      <c r="R244" s="648">
        <v>0</v>
      </c>
      <c r="S244" s="648">
        <v>0</v>
      </c>
      <c r="T244" s="648">
        <v>0</v>
      </c>
      <c r="U244" s="648">
        <v>0</v>
      </c>
      <c r="V244" s="648">
        <v>0</v>
      </c>
      <c r="W244" s="648">
        <v>0</v>
      </c>
      <c r="X244" s="648">
        <v>0</v>
      </c>
      <c r="Y244" s="648">
        <v>0</v>
      </c>
      <c r="Z244" s="648">
        <v>0</v>
      </c>
      <c r="AA244" s="648">
        <v>0</v>
      </c>
      <c r="AB244" s="648">
        <v>0</v>
      </c>
      <c r="AC244" s="648">
        <v>0</v>
      </c>
      <c r="AD244" s="648">
        <v>0</v>
      </c>
      <c r="AE244" s="648">
        <v>0</v>
      </c>
      <c r="AF244" s="648">
        <v>0</v>
      </c>
      <c r="AG244" s="505">
        <f t="shared" si="7"/>
        <v>0</v>
      </c>
    </row>
    <row r="245" spans="1:33">
      <c r="A245" s="506" t="s">
        <v>2057</v>
      </c>
      <c r="B245" s="648">
        <v>1962.2282700000001</v>
      </c>
      <c r="C245" s="648">
        <v>1906.2225799999901</v>
      </c>
      <c r="D245" s="648">
        <v>1895.95559</v>
      </c>
      <c r="E245" s="648">
        <v>1871.4046799999901</v>
      </c>
      <c r="F245" s="648">
        <v>1819.3931</v>
      </c>
      <c r="G245" s="648">
        <v>1575.37209999999</v>
      </c>
      <c r="H245" s="648">
        <v>1599.1344999999999</v>
      </c>
      <c r="I245" s="648">
        <v>1576.4060400000001</v>
      </c>
      <c r="J245" s="648">
        <v>1576.4060400000001</v>
      </c>
      <c r="K245" s="648">
        <v>1576.4060400000001</v>
      </c>
      <c r="L245" s="648">
        <v>1576.4060400000001</v>
      </c>
      <c r="M245" s="648">
        <v>1576.4060400000001</v>
      </c>
      <c r="N245" s="648">
        <v>1576.4060400000001</v>
      </c>
      <c r="O245" s="648">
        <v>1576.4060400000001</v>
      </c>
      <c r="P245" s="129">
        <f t="shared" si="6"/>
        <v>1669.4096023076904</v>
      </c>
      <c r="Q245" s="648">
        <v>1576.4060400000001</v>
      </c>
      <c r="R245" s="648">
        <v>1576.4060400000001</v>
      </c>
      <c r="S245" s="648">
        <v>1576.4060400000001</v>
      </c>
      <c r="T245" s="648">
        <v>1576.4060400000001</v>
      </c>
      <c r="U245" s="648">
        <v>1576.4060400000001</v>
      </c>
      <c r="V245" s="648">
        <v>1576.4060400000001</v>
      </c>
      <c r="W245" s="648">
        <v>1576.4060400000001</v>
      </c>
      <c r="X245" s="648">
        <v>1576.4060400000001</v>
      </c>
      <c r="Y245" s="648">
        <v>1576.4060400000001</v>
      </c>
      <c r="Z245" s="648">
        <v>1576.4060400000001</v>
      </c>
      <c r="AA245" s="648">
        <v>1576.4060400000001</v>
      </c>
      <c r="AB245" s="648">
        <v>1576.4060400000001</v>
      </c>
      <c r="AC245" s="648">
        <v>1576.4060400000001</v>
      </c>
      <c r="AD245" s="648">
        <v>1576.4060400000001</v>
      </c>
      <c r="AE245" s="648">
        <v>1576.4060400000001</v>
      </c>
      <c r="AF245" s="648">
        <v>1576.4060400000001</v>
      </c>
      <c r="AG245" s="505">
        <f t="shared" si="7"/>
        <v>1576.4060400000003</v>
      </c>
    </row>
    <row r="246" spans="1:33">
      <c r="A246" s="506" t="s">
        <v>2060</v>
      </c>
      <c r="B246" s="649"/>
      <c r="C246" s="649"/>
      <c r="D246" s="649"/>
      <c r="E246" s="649"/>
      <c r="F246" s="649"/>
      <c r="G246" s="649"/>
      <c r="H246" s="649"/>
      <c r="I246" s="649"/>
      <c r="J246" s="649"/>
      <c r="K246" s="649"/>
      <c r="L246" s="649"/>
      <c r="M246" s="649"/>
      <c r="N246" s="649"/>
      <c r="O246" s="649"/>
      <c r="P246" s="129">
        <f t="shared" si="6"/>
        <v>0</v>
      </c>
      <c r="Q246" s="649"/>
      <c r="R246" s="649"/>
      <c r="S246" s="649"/>
      <c r="T246" s="649"/>
      <c r="U246" s="649"/>
      <c r="V246" s="649"/>
      <c r="W246" s="649"/>
      <c r="X246" s="649"/>
      <c r="Y246" s="649"/>
      <c r="Z246" s="649"/>
      <c r="AA246" s="649"/>
      <c r="AB246" s="649"/>
      <c r="AC246" s="649"/>
      <c r="AD246" s="649"/>
      <c r="AE246" s="649"/>
      <c r="AF246" s="649"/>
      <c r="AG246" s="505">
        <f t="shared" si="7"/>
        <v>0</v>
      </c>
    </row>
    <row r="247" spans="1:33">
      <c r="A247" s="506" t="s">
        <v>2061</v>
      </c>
      <c r="B247" s="649"/>
      <c r="C247" s="649"/>
      <c r="D247" s="649"/>
      <c r="E247" s="649"/>
      <c r="F247" s="649"/>
      <c r="G247" s="649"/>
      <c r="H247" s="649"/>
      <c r="I247" s="649"/>
      <c r="J247" s="649"/>
      <c r="K247" s="649"/>
      <c r="L247" s="649"/>
      <c r="M247" s="649"/>
      <c r="N247" s="649"/>
      <c r="O247" s="649"/>
      <c r="P247" s="129">
        <f t="shared" si="6"/>
        <v>0</v>
      </c>
      <c r="Q247" s="649"/>
      <c r="R247" s="649"/>
      <c r="S247" s="649"/>
      <c r="T247" s="649"/>
      <c r="U247" s="649"/>
      <c r="V247" s="649"/>
      <c r="W247" s="649"/>
      <c r="X247" s="649"/>
      <c r="Y247" s="649"/>
      <c r="Z247" s="649"/>
      <c r="AA247" s="649"/>
      <c r="AB247" s="649"/>
      <c r="AC247" s="649"/>
      <c r="AD247" s="649"/>
      <c r="AE247" s="649"/>
      <c r="AF247" s="649"/>
      <c r="AG247" s="505">
        <f t="shared" si="7"/>
        <v>0</v>
      </c>
    </row>
    <row r="248" spans="1:33">
      <c r="A248" s="506" t="s">
        <v>2062</v>
      </c>
      <c r="B248" s="648">
        <v>338669.7023</v>
      </c>
      <c r="C248" s="648">
        <v>340031.08601000003</v>
      </c>
      <c r="D248" s="648">
        <v>336737.80206000002</v>
      </c>
      <c r="E248" s="648">
        <v>338110.34823</v>
      </c>
      <c r="F248" s="648">
        <v>339488.51133000001</v>
      </c>
      <c r="G248" s="648">
        <v>331487.634209999</v>
      </c>
      <c r="H248" s="648">
        <v>334658.09606000001</v>
      </c>
      <c r="I248" s="648">
        <v>331087.9448</v>
      </c>
      <c r="J248" s="648">
        <v>330605.93793000001</v>
      </c>
      <c r="K248" s="648">
        <v>330467.47619999998</v>
      </c>
      <c r="L248" s="648">
        <v>330334.79306</v>
      </c>
      <c r="M248" s="648">
        <v>329832.30413</v>
      </c>
      <c r="N248" s="648">
        <v>330683.30949999997</v>
      </c>
      <c r="O248" s="648">
        <v>331539.74189999897</v>
      </c>
      <c r="P248" s="129">
        <f t="shared" si="6"/>
        <v>333466.53733999986</v>
      </c>
      <c r="Q248" s="648">
        <v>332401.62437999999</v>
      </c>
      <c r="R248" s="648">
        <v>332791.41608999902</v>
      </c>
      <c r="S248" s="648">
        <v>333186.70416999998</v>
      </c>
      <c r="T248" s="648">
        <v>333587.51207999903</v>
      </c>
      <c r="U248" s="648">
        <v>332988.79913</v>
      </c>
      <c r="V248" s="648">
        <v>332395.65296999901</v>
      </c>
      <c r="W248" s="648">
        <v>331808.09716999898</v>
      </c>
      <c r="X248" s="648">
        <v>330748.59148</v>
      </c>
      <c r="Y248" s="648">
        <v>329694.72376999998</v>
      </c>
      <c r="Z248" s="648">
        <v>328646.51792000001</v>
      </c>
      <c r="AA248" s="648">
        <v>328123.65601999999</v>
      </c>
      <c r="AB248" s="648">
        <v>327605.69962000003</v>
      </c>
      <c r="AC248" s="648">
        <v>327092.66963000002</v>
      </c>
      <c r="AD248" s="648">
        <v>324870.61891000002</v>
      </c>
      <c r="AE248" s="648">
        <v>322653.53655000002</v>
      </c>
      <c r="AF248" s="648">
        <v>320441.44362999999</v>
      </c>
      <c r="AG248" s="505">
        <f t="shared" si="7"/>
        <v>328512.11683692283</v>
      </c>
    </row>
    <row r="249" spans="1:33">
      <c r="A249" s="506" t="s">
        <v>2063</v>
      </c>
      <c r="B249" s="648">
        <v>24829.56</v>
      </c>
      <c r="C249" s="648">
        <v>24829.56</v>
      </c>
      <c r="D249" s="648">
        <v>29489.796999999999</v>
      </c>
      <c r="E249" s="648">
        <v>29489.796999999999</v>
      </c>
      <c r="F249" s="648">
        <v>29489.796999999999</v>
      </c>
      <c r="G249" s="648">
        <v>38874.478000000003</v>
      </c>
      <c r="H249" s="648">
        <v>38874.478000000003</v>
      </c>
      <c r="I249" s="648">
        <v>38874.478080000001</v>
      </c>
      <c r="J249" s="648">
        <v>38874.478080000001</v>
      </c>
      <c r="K249" s="648">
        <v>38874.478080000001</v>
      </c>
      <c r="L249" s="648">
        <v>38874.478080000001</v>
      </c>
      <c r="M249" s="648">
        <v>38874.478080000001</v>
      </c>
      <c r="N249" s="648">
        <v>38874.478080000001</v>
      </c>
      <c r="O249" s="648">
        <v>38874.478080000001</v>
      </c>
      <c r="P249" s="129">
        <f t="shared" si="6"/>
        <v>35628.404120000007</v>
      </c>
      <c r="Q249" s="648">
        <v>38874.478080000001</v>
      </c>
      <c r="R249" s="648">
        <v>38874.478080000001</v>
      </c>
      <c r="S249" s="648">
        <v>38874.478080000001</v>
      </c>
      <c r="T249" s="648">
        <v>38874.478080000001</v>
      </c>
      <c r="U249" s="648">
        <v>38874.478080000001</v>
      </c>
      <c r="V249" s="648">
        <v>38874.478080000001</v>
      </c>
      <c r="W249" s="648">
        <v>38874.478080000001</v>
      </c>
      <c r="X249" s="648">
        <v>38874.478080000001</v>
      </c>
      <c r="Y249" s="648">
        <v>38874.478080000001</v>
      </c>
      <c r="Z249" s="648">
        <v>38874.478080000001</v>
      </c>
      <c r="AA249" s="648">
        <v>38874.478080000001</v>
      </c>
      <c r="AB249" s="648">
        <v>38874.478080000001</v>
      </c>
      <c r="AC249" s="648">
        <v>38874.478080000001</v>
      </c>
      <c r="AD249" s="648">
        <v>38874.478080000001</v>
      </c>
      <c r="AE249" s="648">
        <v>38874.478080000001</v>
      </c>
      <c r="AF249" s="648">
        <v>38874.478080000001</v>
      </c>
      <c r="AG249" s="505">
        <f t="shared" si="7"/>
        <v>38874.478080000015</v>
      </c>
    </row>
    <row r="250" spans="1:33">
      <c r="A250" s="506" t="s">
        <v>2061</v>
      </c>
      <c r="B250" s="648">
        <v>363499.2623</v>
      </c>
      <c r="C250" s="648">
        <v>364860.64601000003</v>
      </c>
      <c r="D250" s="648">
        <v>366227.59905999998</v>
      </c>
      <c r="E250" s="648">
        <v>367600.14523000002</v>
      </c>
      <c r="F250" s="648">
        <v>368978.30833000003</v>
      </c>
      <c r="G250" s="648">
        <v>370362.112209999</v>
      </c>
      <c r="H250" s="648">
        <v>373532.57406000001</v>
      </c>
      <c r="I250" s="648">
        <v>369962.42287999898</v>
      </c>
      <c r="J250" s="648">
        <v>369480.41600999999</v>
      </c>
      <c r="K250" s="648">
        <v>369341.95427999902</v>
      </c>
      <c r="L250" s="648">
        <v>369209.27113999898</v>
      </c>
      <c r="M250" s="648">
        <v>368706.78220999998</v>
      </c>
      <c r="N250" s="648">
        <v>369557.78758</v>
      </c>
      <c r="O250" s="648">
        <v>370414.219979999</v>
      </c>
      <c r="P250" s="129">
        <f t="shared" si="6"/>
        <v>369094.94145999954</v>
      </c>
      <c r="Q250" s="648">
        <v>371276.10245999898</v>
      </c>
      <c r="R250" s="648">
        <v>371665.89416999999</v>
      </c>
      <c r="S250" s="648">
        <v>372061.18224999902</v>
      </c>
      <c r="T250" s="648">
        <v>372461.990159999</v>
      </c>
      <c r="U250" s="648">
        <v>371863.27720999997</v>
      </c>
      <c r="V250" s="648">
        <v>371270.13104999898</v>
      </c>
      <c r="W250" s="648">
        <v>370682.57524999999</v>
      </c>
      <c r="X250" s="648">
        <v>369623.06955999997</v>
      </c>
      <c r="Y250" s="648">
        <v>368569.20185000001</v>
      </c>
      <c r="Z250" s="648">
        <v>367520.99599999998</v>
      </c>
      <c r="AA250" s="648">
        <v>366998.13410000002</v>
      </c>
      <c r="AB250" s="648">
        <v>366480.1777</v>
      </c>
      <c r="AC250" s="648">
        <v>365967.14770999999</v>
      </c>
      <c r="AD250" s="648">
        <v>363745.09698999999</v>
      </c>
      <c r="AE250" s="648">
        <v>361528.01462999999</v>
      </c>
      <c r="AF250" s="648">
        <v>359315.92171000002</v>
      </c>
      <c r="AG250" s="505">
        <f t="shared" si="7"/>
        <v>367386.59491692291</v>
      </c>
    </row>
    <row r="251" spans="1:33">
      <c r="B251" s="649"/>
      <c r="C251" s="649"/>
      <c r="D251" s="649"/>
      <c r="E251" s="649"/>
      <c r="F251" s="649"/>
      <c r="G251" s="649"/>
      <c r="H251" s="649"/>
      <c r="I251" s="649"/>
      <c r="J251" s="649"/>
      <c r="K251" s="649"/>
      <c r="L251" s="649"/>
      <c r="M251" s="649"/>
      <c r="N251" s="649"/>
      <c r="O251" s="649"/>
      <c r="P251" s="129">
        <f t="shared" si="6"/>
        <v>0</v>
      </c>
      <c r="Q251" s="649"/>
      <c r="R251" s="649"/>
      <c r="S251" s="649"/>
      <c r="T251" s="649"/>
      <c r="U251" s="649"/>
      <c r="V251" s="649"/>
      <c r="W251" s="649"/>
      <c r="X251" s="649"/>
      <c r="Y251" s="649"/>
      <c r="Z251" s="649"/>
      <c r="AA251" s="649"/>
      <c r="AB251" s="649"/>
      <c r="AC251" s="649"/>
      <c r="AD251" s="649"/>
      <c r="AE251" s="649"/>
      <c r="AF251" s="649"/>
      <c r="AG251" s="505">
        <f t="shared" si="7"/>
        <v>0</v>
      </c>
    </row>
    <row r="252" spans="1:33">
      <c r="A252" s="506" t="s">
        <v>2064</v>
      </c>
      <c r="B252" s="649"/>
      <c r="C252" s="649"/>
      <c r="D252" s="649"/>
      <c r="E252" s="649"/>
      <c r="F252" s="649"/>
      <c r="G252" s="649"/>
      <c r="H252" s="649"/>
      <c r="I252" s="649"/>
      <c r="J252" s="649"/>
      <c r="K252" s="649"/>
      <c r="L252" s="649"/>
      <c r="M252" s="649"/>
      <c r="N252" s="649"/>
      <c r="O252" s="649"/>
      <c r="P252" s="129">
        <f t="shared" si="6"/>
        <v>0</v>
      </c>
      <c r="Q252" s="649"/>
      <c r="R252" s="649"/>
      <c r="S252" s="649"/>
      <c r="T252" s="649"/>
      <c r="U252" s="649"/>
      <c r="V252" s="649"/>
      <c r="W252" s="649"/>
      <c r="X252" s="649"/>
      <c r="Y252" s="649"/>
      <c r="Z252" s="649"/>
      <c r="AA252" s="649"/>
      <c r="AB252" s="649"/>
      <c r="AC252" s="649"/>
      <c r="AD252" s="649"/>
      <c r="AE252" s="649"/>
      <c r="AF252" s="649"/>
      <c r="AG252" s="505">
        <f t="shared" si="7"/>
        <v>0</v>
      </c>
    </row>
    <row r="253" spans="1:33">
      <c r="A253" s="506" t="s">
        <v>2065</v>
      </c>
      <c r="B253" s="648">
        <v>3523.4142400000001</v>
      </c>
      <c r="C253" s="648">
        <v>4772.8511699999999</v>
      </c>
      <c r="D253" s="648">
        <v>1560.2995699999999</v>
      </c>
      <c r="E253" s="648">
        <v>3131.4995099999901</v>
      </c>
      <c r="F253" s="648">
        <v>4467.7319600000001</v>
      </c>
      <c r="G253" s="648">
        <v>1858.5988</v>
      </c>
      <c r="H253" s="648">
        <v>3370.8789000000002</v>
      </c>
      <c r="I253" s="648">
        <v>4629.87799</v>
      </c>
      <c r="J253" s="648">
        <v>4629.87799</v>
      </c>
      <c r="K253" s="648">
        <v>4629.87799</v>
      </c>
      <c r="L253" s="648">
        <v>4629.87799</v>
      </c>
      <c r="M253" s="648">
        <v>4629.87799</v>
      </c>
      <c r="N253" s="648">
        <v>4629.87799</v>
      </c>
      <c r="O253" s="648">
        <v>4629.87799</v>
      </c>
      <c r="P253" s="129">
        <f t="shared" si="6"/>
        <v>3967.0004492307685</v>
      </c>
      <c r="Q253" s="648">
        <v>4629.87799</v>
      </c>
      <c r="R253" s="648">
        <v>4629.87799</v>
      </c>
      <c r="S253" s="648">
        <v>4629.87799</v>
      </c>
      <c r="T253" s="648">
        <v>4629.87799</v>
      </c>
      <c r="U253" s="648">
        <v>4629.87799</v>
      </c>
      <c r="V253" s="648">
        <v>4629.87799</v>
      </c>
      <c r="W253" s="648">
        <v>4629.87799</v>
      </c>
      <c r="X253" s="648">
        <v>4629.87799</v>
      </c>
      <c r="Y253" s="648">
        <v>4629.87799</v>
      </c>
      <c r="Z253" s="648">
        <v>4629.87799</v>
      </c>
      <c r="AA253" s="648">
        <v>4629.87799</v>
      </c>
      <c r="AB253" s="648">
        <v>4629.87799</v>
      </c>
      <c r="AC253" s="648">
        <v>4629.87799</v>
      </c>
      <c r="AD253" s="648">
        <v>4629.87799</v>
      </c>
      <c r="AE253" s="648">
        <v>4629.87799</v>
      </c>
      <c r="AF253" s="648">
        <v>4629.87799</v>
      </c>
      <c r="AG253" s="505">
        <f t="shared" si="7"/>
        <v>4629.87799</v>
      </c>
    </row>
    <row r="254" spans="1:33">
      <c r="A254" s="506" t="s">
        <v>2066</v>
      </c>
      <c r="B254" s="648">
        <v>8368.7443600000006</v>
      </c>
      <c r="C254" s="648">
        <v>8369.87824</v>
      </c>
      <c r="D254" s="648">
        <v>8371.0182800000002</v>
      </c>
      <c r="E254" s="648">
        <v>8372.1883400000006</v>
      </c>
      <c r="F254" s="648">
        <v>8373.3584800000008</v>
      </c>
      <c r="G254" s="648">
        <v>1373.38840999999</v>
      </c>
      <c r="H254" s="648">
        <v>1374.5614399999999</v>
      </c>
      <c r="I254" s="648">
        <v>1375.7345700000001</v>
      </c>
      <c r="J254" s="648">
        <v>1375.7345700000001</v>
      </c>
      <c r="K254" s="648">
        <v>1375.7345700000001</v>
      </c>
      <c r="L254" s="648">
        <v>1375.7345700000001</v>
      </c>
      <c r="M254" s="648">
        <v>1375.7345700000001</v>
      </c>
      <c r="N254" s="648">
        <v>1375.7345700000001</v>
      </c>
      <c r="O254" s="648">
        <v>1375.7345700000001</v>
      </c>
      <c r="P254" s="129">
        <f t="shared" si="6"/>
        <v>3528.0411676923077</v>
      </c>
      <c r="Q254" s="648">
        <v>1375.7345700000001</v>
      </c>
      <c r="R254" s="648">
        <v>1375.7345700000001</v>
      </c>
      <c r="S254" s="648">
        <v>1375.7345700000001</v>
      </c>
      <c r="T254" s="648">
        <v>1375.7345700000001</v>
      </c>
      <c r="U254" s="648">
        <v>1375.7345700000001</v>
      </c>
      <c r="V254" s="648">
        <v>1375.7345700000001</v>
      </c>
      <c r="W254" s="648">
        <v>1375.7345700000001</v>
      </c>
      <c r="X254" s="648">
        <v>1375.7345700000001</v>
      </c>
      <c r="Y254" s="648">
        <v>1375.7345700000001</v>
      </c>
      <c r="Z254" s="648">
        <v>1375.7345700000001</v>
      </c>
      <c r="AA254" s="648">
        <v>1375.7345700000001</v>
      </c>
      <c r="AB254" s="648">
        <v>1375.7345700000001</v>
      </c>
      <c r="AC254" s="648">
        <v>1375.7345700000001</v>
      </c>
      <c r="AD254" s="648">
        <v>1375.7345700000001</v>
      </c>
      <c r="AE254" s="648">
        <v>1375.7345700000001</v>
      </c>
      <c r="AF254" s="648">
        <v>1375.7345700000001</v>
      </c>
      <c r="AG254" s="505">
        <f t="shared" si="7"/>
        <v>1375.7345700000003</v>
      </c>
    </row>
    <row r="255" spans="1:33">
      <c r="A255" s="506" t="s">
        <v>2067</v>
      </c>
      <c r="B255" s="648">
        <v>304.92899999999997</v>
      </c>
      <c r="C255" s="648">
        <v>304.92899999999997</v>
      </c>
      <c r="D255" s="648">
        <v>304.92899999999997</v>
      </c>
      <c r="E255" s="648">
        <v>304.92899999999997</v>
      </c>
      <c r="F255" s="648">
        <v>304.92899999999997</v>
      </c>
      <c r="G255" s="648">
        <v>304.92899999999997</v>
      </c>
      <c r="H255" s="648">
        <v>304.92899999999997</v>
      </c>
      <c r="I255" s="648">
        <v>304.92899999999997</v>
      </c>
      <c r="J255" s="648">
        <v>304.92899999999997</v>
      </c>
      <c r="K255" s="648">
        <v>304.92899999999997</v>
      </c>
      <c r="L255" s="648">
        <v>304.92899999999997</v>
      </c>
      <c r="M255" s="648">
        <v>304.92899999999997</v>
      </c>
      <c r="N255" s="648">
        <v>304.92899999999997</v>
      </c>
      <c r="O255" s="648">
        <v>304.92899999999997</v>
      </c>
      <c r="P255" s="129">
        <f t="shared" si="6"/>
        <v>304.92900000000003</v>
      </c>
      <c r="Q255" s="648">
        <v>304.92899999999997</v>
      </c>
      <c r="R255" s="648">
        <v>304.92899999999997</v>
      </c>
      <c r="S255" s="648">
        <v>304.92899999999997</v>
      </c>
      <c r="T255" s="648">
        <v>304.92899999999997</v>
      </c>
      <c r="U255" s="648">
        <v>304.92899999999997</v>
      </c>
      <c r="V255" s="648">
        <v>304.92899999999997</v>
      </c>
      <c r="W255" s="648">
        <v>304.92899999999997</v>
      </c>
      <c r="X255" s="648">
        <v>304.92899999999997</v>
      </c>
      <c r="Y255" s="648">
        <v>304.92899999999997</v>
      </c>
      <c r="Z255" s="648">
        <v>304.92899999999997</v>
      </c>
      <c r="AA255" s="648">
        <v>304.92899999999997</v>
      </c>
      <c r="AB255" s="648">
        <v>304.92899999999997</v>
      </c>
      <c r="AC255" s="648">
        <v>304.92899999999997</v>
      </c>
      <c r="AD255" s="648">
        <v>304.92899999999997</v>
      </c>
      <c r="AE255" s="648">
        <v>304.92899999999997</v>
      </c>
      <c r="AF255" s="648">
        <v>304.92899999999997</v>
      </c>
      <c r="AG255" s="505">
        <f t="shared" si="7"/>
        <v>304.92900000000003</v>
      </c>
    </row>
    <row r="256" spans="1:33">
      <c r="A256" s="506" t="s">
        <v>2064</v>
      </c>
      <c r="B256" s="648">
        <v>12197.087600000001</v>
      </c>
      <c r="C256" s="648">
        <v>13447.65841</v>
      </c>
      <c r="D256" s="648">
        <v>10236.24685</v>
      </c>
      <c r="E256" s="648">
        <v>11808.61685</v>
      </c>
      <c r="F256" s="648">
        <v>13146.01944</v>
      </c>
      <c r="G256" s="648">
        <v>3536.9162099999999</v>
      </c>
      <c r="H256" s="648">
        <v>5050.3693400000002</v>
      </c>
      <c r="I256" s="648">
        <v>6310.5415599999997</v>
      </c>
      <c r="J256" s="648">
        <v>6310.5415599999997</v>
      </c>
      <c r="K256" s="648">
        <v>6310.5415599999997</v>
      </c>
      <c r="L256" s="648">
        <v>6310.5415599999997</v>
      </c>
      <c r="M256" s="648">
        <v>6310.5415599999997</v>
      </c>
      <c r="N256" s="648">
        <v>6310.5415599999997</v>
      </c>
      <c r="O256" s="648">
        <v>6310.5415599999997</v>
      </c>
      <c r="P256" s="129">
        <f t="shared" si="6"/>
        <v>7799.9706169230758</v>
      </c>
      <c r="Q256" s="648">
        <v>6310.5415599999997</v>
      </c>
      <c r="R256" s="648">
        <v>6310.5415599999997</v>
      </c>
      <c r="S256" s="648">
        <v>6310.5415599999997</v>
      </c>
      <c r="T256" s="648">
        <v>6310.5415599999997</v>
      </c>
      <c r="U256" s="648">
        <v>6310.5415599999997</v>
      </c>
      <c r="V256" s="648">
        <v>6310.5415599999997</v>
      </c>
      <c r="W256" s="648">
        <v>6310.5415599999997</v>
      </c>
      <c r="X256" s="648">
        <v>6310.5415599999997</v>
      </c>
      <c r="Y256" s="648">
        <v>6310.5415599999997</v>
      </c>
      <c r="Z256" s="648">
        <v>6310.5415599999997</v>
      </c>
      <c r="AA256" s="648">
        <v>6310.5415599999997</v>
      </c>
      <c r="AB256" s="648">
        <v>6310.5415599999997</v>
      </c>
      <c r="AC256" s="648">
        <v>6310.5415599999997</v>
      </c>
      <c r="AD256" s="648">
        <v>6310.5415599999997</v>
      </c>
      <c r="AE256" s="648">
        <v>6310.5415599999997</v>
      </c>
      <c r="AF256" s="648">
        <v>6310.5415599999997</v>
      </c>
      <c r="AG256" s="505">
        <f t="shared" si="7"/>
        <v>6310.5415599999988</v>
      </c>
    </row>
    <row r="257" spans="1:33">
      <c r="B257" s="649"/>
      <c r="C257" s="649"/>
      <c r="D257" s="649"/>
      <c r="E257" s="649"/>
      <c r="F257" s="649"/>
      <c r="G257" s="649"/>
      <c r="H257" s="649"/>
      <c r="I257" s="649"/>
      <c r="J257" s="649"/>
      <c r="K257" s="649"/>
      <c r="L257" s="649"/>
      <c r="M257" s="649"/>
      <c r="N257" s="649"/>
      <c r="O257" s="649"/>
      <c r="P257" s="129">
        <f t="shared" si="6"/>
        <v>0</v>
      </c>
      <c r="Q257" s="649"/>
      <c r="R257" s="649"/>
      <c r="S257" s="649"/>
      <c r="T257" s="649"/>
      <c r="U257" s="649"/>
      <c r="V257" s="649"/>
      <c r="W257" s="649"/>
      <c r="X257" s="649"/>
      <c r="Y257" s="649"/>
      <c r="Z257" s="649"/>
      <c r="AA257" s="649"/>
      <c r="AB257" s="649"/>
      <c r="AC257" s="649"/>
      <c r="AD257" s="649"/>
      <c r="AE257" s="649"/>
      <c r="AF257" s="649"/>
      <c r="AG257" s="505">
        <f t="shared" si="7"/>
        <v>0</v>
      </c>
    </row>
    <row r="258" spans="1:33">
      <c r="A258" s="506" t="s">
        <v>2068</v>
      </c>
      <c r="B258" s="649"/>
      <c r="C258" s="649"/>
      <c r="D258" s="649"/>
      <c r="E258" s="649"/>
      <c r="F258" s="649"/>
      <c r="G258" s="649"/>
      <c r="H258" s="649"/>
      <c r="I258" s="649"/>
      <c r="J258" s="649"/>
      <c r="K258" s="649"/>
      <c r="L258" s="649"/>
      <c r="M258" s="649"/>
      <c r="N258" s="649"/>
      <c r="O258" s="649"/>
      <c r="P258" s="129">
        <f t="shared" si="6"/>
        <v>0</v>
      </c>
      <c r="Q258" s="649"/>
      <c r="R258" s="649"/>
      <c r="S258" s="649"/>
      <c r="T258" s="649"/>
      <c r="U258" s="649"/>
      <c r="V258" s="649"/>
      <c r="W258" s="649"/>
      <c r="X258" s="649"/>
      <c r="Y258" s="649"/>
      <c r="Z258" s="649"/>
      <c r="AA258" s="649"/>
      <c r="AB258" s="649"/>
      <c r="AC258" s="649"/>
      <c r="AD258" s="649"/>
      <c r="AE258" s="649"/>
      <c r="AF258" s="649"/>
      <c r="AG258" s="505">
        <f t="shared" si="7"/>
        <v>0</v>
      </c>
    </row>
    <row r="259" spans="1:33">
      <c r="A259" s="506" t="s">
        <v>2069</v>
      </c>
      <c r="B259" s="648">
        <v>377.76299</v>
      </c>
      <c r="C259" s="648">
        <v>377.76299</v>
      </c>
      <c r="D259" s="648">
        <v>401.83945</v>
      </c>
      <c r="E259" s="648">
        <v>377.76299</v>
      </c>
      <c r="F259" s="648">
        <v>377.76299</v>
      </c>
      <c r="G259" s="648">
        <v>431.76140999999899</v>
      </c>
      <c r="H259" s="648">
        <v>377.76299</v>
      </c>
      <c r="I259" s="648">
        <v>377.76299</v>
      </c>
      <c r="J259" s="648">
        <v>377.76299</v>
      </c>
      <c r="K259" s="648">
        <v>377.76299</v>
      </c>
      <c r="L259" s="648">
        <v>377.76299</v>
      </c>
      <c r="M259" s="648">
        <v>377.76299</v>
      </c>
      <c r="N259" s="648">
        <v>377.76299</v>
      </c>
      <c r="O259" s="648">
        <v>377.76299</v>
      </c>
      <c r="P259" s="129">
        <f t="shared" si="6"/>
        <v>383.76874999999995</v>
      </c>
      <c r="Q259" s="648">
        <v>377.76299</v>
      </c>
      <c r="R259" s="648">
        <v>377.76299</v>
      </c>
      <c r="S259" s="648">
        <v>377.76299</v>
      </c>
      <c r="T259" s="648">
        <v>377.76299</v>
      </c>
      <c r="U259" s="648">
        <v>377.76299</v>
      </c>
      <c r="V259" s="648">
        <v>377.76299</v>
      </c>
      <c r="W259" s="648">
        <v>377.76299</v>
      </c>
      <c r="X259" s="648">
        <v>377.76299</v>
      </c>
      <c r="Y259" s="648">
        <v>377.76299</v>
      </c>
      <c r="Z259" s="648">
        <v>377.76299</v>
      </c>
      <c r="AA259" s="648">
        <v>377.76299</v>
      </c>
      <c r="AB259" s="648">
        <v>377.76299</v>
      </c>
      <c r="AC259" s="648">
        <v>377.76299</v>
      </c>
      <c r="AD259" s="648">
        <v>377.76299</v>
      </c>
      <c r="AE259" s="648">
        <v>377.76299</v>
      </c>
      <c r="AF259" s="648">
        <v>377.76299</v>
      </c>
      <c r="AG259" s="505">
        <f t="shared" si="7"/>
        <v>377.76299000000012</v>
      </c>
    </row>
    <row r="260" spans="1:33">
      <c r="A260" s="506" t="s">
        <v>2070</v>
      </c>
      <c r="B260" s="648">
        <v>1965.2766200000001</v>
      </c>
      <c r="C260" s="648">
        <v>1965.2766200000001</v>
      </c>
      <c r="D260" s="648">
        <v>1862.7782999999999</v>
      </c>
      <c r="E260" s="648">
        <v>1965.2766200000001</v>
      </c>
      <c r="F260" s="648">
        <v>1965.2766200000001</v>
      </c>
      <c r="G260" s="648">
        <v>1715.7820200000001</v>
      </c>
      <c r="H260" s="648">
        <v>1965.2766200000001</v>
      </c>
      <c r="I260" s="648">
        <v>1965.2766200000001</v>
      </c>
      <c r="J260" s="648">
        <v>1965.2766200000001</v>
      </c>
      <c r="K260" s="648">
        <v>1965.2766200000001</v>
      </c>
      <c r="L260" s="648">
        <v>1965.2766200000001</v>
      </c>
      <c r="M260" s="648">
        <v>1965.2766200000001</v>
      </c>
      <c r="N260" s="648">
        <v>1965.2766200000001</v>
      </c>
      <c r="O260" s="648">
        <v>1965.2766200000001</v>
      </c>
      <c r="P260" s="129">
        <f t="shared" si="6"/>
        <v>1938.2002415384618</v>
      </c>
      <c r="Q260" s="648">
        <v>1965.2766200000001</v>
      </c>
      <c r="R260" s="648">
        <v>1965.2766200000001</v>
      </c>
      <c r="S260" s="648">
        <v>1965.2766200000001</v>
      </c>
      <c r="T260" s="648">
        <v>1965.2766200000001</v>
      </c>
      <c r="U260" s="648">
        <v>1965.2766200000001</v>
      </c>
      <c r="V260" s="648">
        <v>1965.2766200000001</v>
      </c>
      <c r="W260" s="648">
        <v>1965.2766200000001</v>
      </c>
      <c r="X260" s="648">
        <v>1965.2766200000001</v>
      </c>
      <c r="Y260" s="648">
        <v>1965.2766200000001</v>
      </c>
      <c r="Z260" s="648">
        <v>1965.2766200000001</v>
      </c>
      <c r="AA260" s="648">
        <v>1965.2766200000001</v>
      </c>
      <c r="AB260" s="648">
        <v>1965.2766200000001</v>
      </c>
      <c r="AC260" s="648">
        <v>1965.2766200000001</v>
      </c>
      <c r="AD260" s="648">
        <v>1965.2766200000001</v>
      </c>
      <c r="AE260" s="648">
        <v>1965.2766200000001</v>
      </c>
      <c r="AF260" s="648">
        <v>1965.2766200000001</v>
      </c>
      <c r="AG260" s="505">
        <f t="shared" si="7"/>
        <v>1965.2766200000003</v>
      </c>
    </row>
    <row r="261" spans="1:33">
      <c r="A261" s="506" t="s">
        <v>2068</v>
      </c>
      <c r="B261" s="648">
        <v>2343.0396099999998</v>
      </c>
      <c r="C261" s="648">
        <v>2343.0396099999998</v>
      </c>
      <c r="D261" s="648">
        <v>2264.6177499999999</v>
      </c>
      <c r="E261" s="648">
        <v>2343.0396099999998</v>
      </c>
      <c r="F261" s="648">
        <v>2343.0396099999998</v>
      </c>
      <c r="G261" s="648">
        <v>2147.5434300000002</v>
      </c>
      <c r="H261" s="648">
        <v>2343.0396099999998</v>
      </c>
      <c r="I261" s="648">
        <v>2343.0396099999998</v>
      </c>
      <c r="J261" s="648">
        <v>2343.0396099999998</v>
      </c>
      <c r="K261" s="648">
        <v>2343.0396099999998</v>
      </c>
      <c r="L261" s="648">
        <v>2343.0396099999998</v>
      </c>
      <c r="M261" s="648">
        <v>2343.0396099999998</v>
      </c>
      <c r="N261" s="648">
        <v>2343.0396099999998</v>
      </c>
      <c r="O261" s="648">
        <v>2343.0396099999998</v>
      </c>
      <c r="P261" s="129">
        <f t="shared" si="6"/>
        <v>2321.9689915384615</v>
      </c>
      <c r="Q261" s="648">
        <v>2343.0396099999998</v>
      </c>
      <c r="R261" s="648">
        <v>2343.0396099999998</v>
      </c>
      <c r="S261" s="648">
        <v>2343.0396099999998</v>
      </c>
      <c r="T261" s="648">
        <v>2343.0396099999998</v>
      </c>
      <c r="U261" s="648">
        <v>2343.0396099999998</v>
      </c>
      <c r="V261" s="648">
        <v>2343.0396099999998</v>
      </c>
      <c r="W261" s="648">
        <v>2343.0396099999998</v>
      </c>
      <c r="X261" s="648">
        <v>2343.0396099999998</v>
      </c>
      <c r="Y261" s="648">
        <v>2343.0396099999998</v>
      </c>
      <c r="Z261" s="648">
        <v>2343.0396099999998</v>
      </c>
      <c r="AA261" s="648">
        <v>2343.0396099999998</v>
      </c>
      <c r="AB261" s="648">
        <v>2343.0396099999998</v>
      </c>
      <c r="AC261" s="648">
        <v>2343.0396099999998</v>
      </c>
      <c r="AD261" s="648">
        <v>2343.0396099999998</v>
      </c>
      <c r="AE261" s="648">
        <v>2343.0396099999998</v>
      </c>
      <c r="AF261" s="648">
        <v>2343.0396099999998</v>
      </c>
      <c r="AG261" s="505">
        <f t="shared" si="7"/>
        <v>2343.0396099999998</v>
      </c>
    </row>
    <row r="262" spans="1:33">
      <c r="B262" s="649"/>
      <c r="C262" s="649"/>
      <c r="D262" s="649"/>
      <c r="E262" s="649"/>
      <c r="F262" s="649"/>
      <c r="G262" s="649"/>
      <c r="H262" s="649"/>
      <c r="I262" s="649"/>
      <c r="J262" s="649"/>
      <c r="K262" s="649"/>
      <c r="L262" s="649"/>
      <c r="M262" s="649"/>
      <c r="N262" s="649"/>
      <c r="O262" s="649"/>
      <c r="P262" s="129">
        <f t="shared" si="6"/>
        <v>0</v>
      </c>
      <c r="Q262" s="649"/>
      <c r="R262" s="649"/>
      <c r="S262" s="649"/>
      <c r="T262" s="649"/>
      <c r="U262" s="649"/>
      <c r="V262" s="649"/>
      <c r="W262" s="649"/>
      <c r="X262" s="649"/>
      <c r="Y262" s="649"/>
      <c r="Z262" s="649"/>
      <c r="AA262" s="649"/>
      <c r="AB262" s="649"/>
      <c r="AC262" s="649"/>
      <c r="AD262" s="649"/>
      <c r="AE262" s="649"/>
      <c r="AF262" s="649"/>
      <c r="AG262" s="505">
        <f t="shared" si="7"/>
        <v>0</v>
      </c>
    </row>
    <row r="263" spans="1:33">
      <c r="A263" s="506" t="s">
        <v>2071</v>
      </c>
      <c r="P263" s="129">
        <f t="shared" si="6"/>
        <v>0</v>
      </c>
      <c r="AG263" s="505">
        <f t="shared" si="7"/>
        <v>0</v>
      </c>
    </row>
    <row r="264" spans="1:33">
      <c r="B264" s="649"/>
      <c r="C264" s="649"/>
      <c r="D264" s="649"/>
      <c r="E264" s="649"/>
      <c r="F264" s="649"/>
      <c r="G264" s="649"/>
      <c r="H264" s="649"/>
      <c r="I264" s="649"/>
      <c r="J264" s="649"/>
      <c r="K264" s="649"/>
      <c r="L264" s="649"/>
      <c r="M264" s="649"/>
      <c r="N264" s="649"/>
      <c r="O264" s="649"/>
      <c r="P264" s="129">
        <f t="shared" si="6"/>
        <v>0</v>
      </c>
      <c r="Q264" s="649"/>
      <c r="R264" s="649"/>
      <c r="S264" s="649"/>
      <c r="T264" s="649"/>
      <c r="U264" s="649"/>
      <c r="V264" s="649"/>
      <c r="W264" s="649"/>
      <c r="X264" s="649"/>
      <c r="Y264" s="649"/>
      <c r="Z264" s="649"/>
      <c r="AA264" s="649"/>
      <c r="AB264" s="649"/>
      <c r="AC264" s="649"/>
      <c r="AD264" s="649"/>
      <c r="AE264" s="649"/>
      <c r="AF264" s="649"/>
      <c r="AG264" s="505">
        <f t="shared" si="7"/>
        <v>0</v>
      </c>
    </row>
    <row r="265" spans="1:33">
      <c r="A265" s="506" t="s">
        <v>2072</v>
      </c>
      <c r="B265" s="649"/>
      <c r="C265" s="649"/>
      <c r="D265" s="649"/>
      <c r="E265" s="649"/>
      <c r="F265" s="649"/>
      <c r="G265" s="649"/>
      <c r="H265" s="649"/>
      <c r="I265" s="649"/>
      <c r="J265" s="649"/>
      <c r="K265" s="649"/>
      <c r="L265" s="649"/>
      <c r="M265" s="649"/>
      <c r="N265" s="649"/>
      <c r="O265" s="649"/>
      <c r="P265" s="129">
        <f t="shared" si="6"/>
        <v>0</v>
      </c>
      <c r="Q265" s="649"/>
      <c r="R265" s="649"/>
      <c r="S265" s="649"/>
      <c r="T265" s="649"/>
      <c r="U265" s="649"/>
      <c r="V265" s="649"/>
      <c r="W265" s="649"/>
      <c r="X265" s="649"/>
      <c r="Y265" s="649"/>
      <c r="Z265" s="649"/>
      <c r="AA265" s="649"/>
      <c r="AB265" s="649"/>
      <c r="AC265" s="649"/>
      <c r="AD265" s="649"/>
      <c r="AE265" s="649"/>
      <c r="AF265" s="649"/>
      <c r="AG265" s="505">
        <f t="shared" si="7"/>
        <v>0</v>
      </c>
    </row>
    <row r="266" spans="1:33">
      <c r="A266" s="506" t="s">
        <v>2073</v>
      </c>
      <c r="B266" s="648">
        <v>5684.1849999999904</v>
      </c>
      <c r="C266" s="648">
        <v>5684.1849999999904</v>
      </c>
      <c r="D266" s="648">
        <v>5684.1849999999904</v>
      </c>
      <c r="E266" s="648">
        <v>5684.1849999999904</v>
      </c>
      <c r="F266" s="648">
        <v>5684.1849999999904</v>
      </c>
      <c r="G266" s="648">
        <v>5727.44</v>
      </c>
      <c r="H266" s="648">
        <v>5727.44</v>
      </c>
      <c r="I266" s="648">
        <v>5727.44</v>
      </c>
      <c r="J266" s="648">
        <v>5727.44</v>
      </c>
      <c r="K266" s="648">
        <v>5727.44</v>
      </c>
      <c r="L266" s="648">
        <v>5727.44</v>
      </c>
      <c r="M266" s="648">
        <v>5727.44</v>
      </c>
      <c r="N266" s="648">
        <v>5727.44</v>
      </c>
      <c r="O266" s="648">
        <v>5727.44</v>
      </c>
      <c r="P266" s="129">
        <f t="shared" si="6"/>
        <v>5714.1307692307664</v>
      </c>
      <c r="Q266" s="648">
        <v>5727.44</v>
      </c>
      <c r="R266" s="648">
        <v>5727.44</v>
      </c>
      <c r="S266" s="648">
        <v>5727.44</v>
      </c>
      <c r="T266" s="648">
        <v>5727.44</v>
      </c>
      <c r="U266" s="648">
        <v>5727.44</v>
      </c>
      <c r="V266" s="648">
        <v>5727.44</v>
      </c>
      <c r="W266" s="648">
        <v>5727.44</v>
      </c>
      <c r="X266" s="648">
        <v>5727.44</v>
      </c>
      <c r="Y266" s="648">
        <v>5727.44</v>
      </c>
      <c r="Z266" s="648">
        <v>5727.44</v>
      </c>
      <c r="AA266" s="648">
        <v>5727.44</v>
      </c>
      <c r="AB266" s="648">
        <v>5727.44</v>
      </c>
      <c r="AC266" s="648">
        <v>5727.44</v>
      </c>
      <c r="AD266" s="648">
        <v>5727.44</v>
      </c>
      <c r="AE266" s="648">
        <v>5727.44</v>
      </c>
      <c r="AF266" s="648">
        <v>5727.44</v>
      </c>
      <c r="AG266" s="505">
        <f t="shared" si="7"/>
        <v>5727.4400000000014</v>
      </c>
    </row>
    <row r="267" spans="1:33">
      <c r="A267" s="506" t="s">
        <v>2074</v>
      </c>
      <c r="B267" s="648">
        <v>37218.89488</v>
      </c>
      <c r="C267" s="648">
        <v>37218.89488</v>
      </c>
      <c r="D267" s="648">
        <v>37218.89488</v>
      </c>
      <c r="E267" s="648">
        <v>37218.89488</v>
      </c>
      <c r="F267" s="648">
        <v>37218.89488</v>
      </c>
      <c r="G267" s="648">
        <v>39065.613879999997</v>
      </c>
      <c r="H267" s="648">
        <v>39065.613879999997</v>
      </c>
      <c r="I267" s="648">
        <v>39065.613879999997</v>
      </c>
      <c r="J267" s="648">
        <v>33829.485463333302</v>
      </c>
      <c r="K267" s="648">
        <v>33793.357046666599</v>
      </c>
      <c r="L267" s="648">
        <v>33757.228629999998</v>
      </c>
      <c r="M267" s="648">
        <v>84671.059213333298</v>
      </c>
      <c r="N267" s="648">
        <v>66922.053629999995</v>
      </c>
      <c r="O267" s="648">
        <v>66883.905046666594</v>
      </c>
      <c r="P267" s="129">
        <f t="shared" ref="P267:P274" si="8">SUM(C267:O267)/13</f>
        <v>45071.500783846139</v>
      </c>
      <c r="Q267" s="648">
        <v>66845.756463333295</v>
      </c>
      <c r="R267" s="648">
        <v>66807.607879999996</v>
      </c>
      <c r="S267" s="648">
        <v>66769.459296666697</v>
      </c>
      <c r="T267" s="648">
        <v>66731.310713333296</v>
      </c>
      <c r="U267" s="648">
        <v>66693.162129999997</v>
      </c>
      <c r="V267" s="648">
        <v>66655.013546666698</v>
      </c>
      <c r="W267" s="648">
        <v>66616.864963333297</v>
      </c>
      <c r="X267" s="648">
        <v>66578.716379999998</v>
      </c>
      <c r="Y267" s="648">
        <v>66540.567796666699</v>
      </c>
      <c r="Z267" s="648">
        <v>66502.4192133334</v>
      </c>
      <c r="AA267" s="648">
        <v>54529.251463333399</v>
      </c>
      <c r="AB267" s="648">
        <v>54424.8757133334</v>
      </c>
      <c r="AC267" s="648">
        <v>54320.499963333401</v>
      </c>
      <c r="AD267" s="648">
        <v>54216.124213333402</v>
      </c>
      <c r="AE267" s="648">
        <v>54111.748463333402</v>
      </c>
      <c r="AF267" s="648">
        <v>54007.372713333403</v>
      </c>
      <c r="AG267" s="505">
        <f t="shared" ref="AG267:AG274" si="9">SUM(T267:AF267)/13</f>
        <v>60917.5328671795</v>
      </c>
    </row>
    <row r="268" spans="1:33">
      <c r="A268" s="506" t="s">
        <v>2075</v>
      </c>
      <c r="B268" s="648">
        <v>41679.415099999998</v>
      </c>
      <c r="C268" s="648">
        <v>41659.712659999997</v>
      </c>
      <c r="D268" s="648">
        <v>41121.762430000002</v>
      </c>
      <c r="E268" s="648">
        <v>41101.520909999999</v>
      </c>
      <c r="F268" s="648">
        <v>41081.059609999997</v>
      </c>
      <c r="G268" s="648">
        <v>35154.062010000001</v>
      </c>
      <c r="H268" s="648">
        <v>35133.469259999998</v>
      </c>
      <c r="I268" s="648">
        <v>34132.564890000001</v>
      </c>
      <c r="J268" s="648">
        <v>33060.678763750002</v>
      </c>
      <c r="K268" s="648">
        <v>33252.583763750001</v>
      </c>
      <c r="L268" s="648">
        <v>33444.48876375</v>
      </c>
      <c r="M268" s="648">
        <v>39549.795637499999</v>
      </c>
      <c r="N268" s="648">
        <v>39725.761387500002</v>
      </c>
      <c r="O268" s="648">
        <v>39901.727137499998</v>
      </c>
      <c r="P268" s="129">
        <f t="shared" si="8"/>
        <v>37563.01440182692</v>
      </c>
      <c r="Q268" s="648">
        <v>38785.929637499998</v>
      </c>
      <c r="R268" s="648">
        <v>38961.895387500001</v>
      </c>
      <c r="S268" s="648">
        <v>39137.861137499996</v>
      </c>
      <c r="T268" s="648">
        <v>35102.063637500003</v>
      </c>
      <c r="U268" s="648">
        <v>35278.029387499999</v>
      </c>
      <c r="V268" s="648">
        <v>35453.995137500002</v>
      </c>
      <c r="W268" s="648">
        <v>34338.197637500001</v>
      </c>
      <c r="X268" s="648">
        <v>34514.163387499997</v>
      </c>
      <c r="Y268" s="648">
        <v>34690.1291375</v>
      </c>
      <c r="Z268" s="648">
        <v>33574.331637499999</v>
      </c>
      <c r="AA268" s="648">
        <v>33749.079470833298</v>
      </c>
      <c r="AB268" s="648">
        <v>33923.827304166603</v>
      </c>
      <c r="AC268" s="648">
        <v>32760.971137500001</v>
      </c>
      <c r="AD268" s="648">
        <v>32935.718970833303</v>
      </c>
      <c r="AE268" s="648">
        <v>33110.466804166601</v>
      </c>
      <c r="AF268" s="648">
        <v>28903.610637500002</v>
      </c>
      <c r="AG268" s="505">
        <f t="shared" si="9"/>
        <v>33718.044945192298</v>
      </c>
    </row>
    <row r="269" spans="1:33">
      <c r="A269" s="506" t="s">
        <v>2072</v>
      </c>
      <c r="B269" s="648">
        <v>84582.494979999901</v>
      </c>
      <c r="C269" s="648">
        <v>84562.792539999995</v>
      </c>
      <c r="D269" s="648">
        <v>84024.842310000007</v>
      </c>
      <c r="E269" s="648">
        <v>84004.600789999997</v>
      </c>
      <c r="F269" s="648">
        <v>83984.139490000001</v>
      </c>
      <c r="G269" s="648">
        <v>79947.115890000001</v>
      </c>
      <c r="H269" s="648">
        <v>79926.523140000005</v>
      </c>
      <c r="I269" s="648">
        <v>78925.618770000001</v>
      </c>
      <c r="J269" s="648">
        <v>72617.604227083299</v>
      </c>
      <c r="K269" s="648">
        <v>72773.380810416595</v>
      </c>
      <c r="L269" s="648">
        <v>72929.157393750007</v>
      </c>
      <c r="M269" s="648">
        <v>129948.294850833</v>
      </c>
      <c r="N269" s="648">
        <v>112375.25501750001</v>
      </c>
      <c r="O269" s="648">
        <v>112513.072184166</v>
      </c>
      <c r="P269" s="129">
        <f t="shared" si="8"/>
        <v>88348.645954903768</v>
      </c>
      <c r="Q269" s="648">
        <v>111359.126100833</v>
      </c>
      <c r="R269" s="648">
        <v>111496.9432675</v>
      </c>
      <c r="S269" s="648">
        <v>111634.760434166</v>
      </c>
      <c r="T269" s="648">
        <v>107560.814350833</v>
      </c>
      <c r="U269" s="648">
        <v>107698.63151750001</v>
      </c>
      <c r="V269" s="648">
        <v>107836.448684166</v>
      </c>
      <c r="W269" s="648">
        <v>106682.502600833</v>
      </c>
      <c r="X269" s="648">
        <v>106820.3197675</v>
      </c>
      <c r="Y269" s="648">
        <v>106958.136934166</v>
      </c>
      <c r="Z269" s="648">
        <v>105804.19085083299</v>
      </c>
      <c r="AA269" s="648">
        <v>94005.770934166707</v>
      </c>
      <c r="AB269" s="648">
        <v>94076.143017499999</v>
      </c>
      <c r="AC269" s="648">
        <v>92808.9111008334</v>
      </c>
      <c r="AD269" s="648">
        <v>92879.283184166707</v>
      </c>
      <c r="AE269" s="648">
        <v>92949.655267499998</v>
      </c>
      <c r="AF269" s="648">
        <v>88638.4233508334</v>
      </c>
      <c r="AG269" s="505">
        <f t="shared" si="9"/>
        <v>100363.01781237165</v>
      </c>
    </row>
    <row r="270" spans="1:33">
      <c r="B270" s="649"/>
      <c r="C270" s="649"/>
      <c r="D270" s="649"/>
      <c r="E270" s="649"/>
      <c r="F270" s="649"/>
      <c r="G270" s="649"/>
      <c r="H270" s="649"/>
      <c r="I270" s="649"/>
      <c r="J270" s="649"/>
      <c r="K270" s="649"/>
      <c r="L270" s="649"/>
      <c r="M270" s="649"/>
      <c r="N270" s="649"/>
      <c r="O270" s="649"/>
      <c r="P270" s="129">
        <f t="shared" si="8"/>
        <v>0</v>
      </c>
      <c r="Q270" s="649"/>
      <c r="R270" s="649"/>
      <c r="S270" s="649"/>
      <c r="T270" s="649"/>
      <c r="U270" s="649"/>
      <c r="V270" s="649"/>
      <c r="W270" s="649"/>
      <c r="X270" s="649"/>
      <c r="Y270" s="649"/>
      <c r="Z270" s="649"/>
      <c r="AA270" s="649"/>
      <c r="AB270" s="649"/>
      <c r="AC270" s="649"/>
      <c r="AD270" s="649"/>
      <c r="AE270" s="649"/>
      <c r="AF270" s="649"/>
      <c r="AG270" s="505">
        <f t="shared" si="9"/>
        <v>0</v>
      </c>
    </row>
    <row r="271" spans="1:33">
      <c r="A271" s="506" t="s">
        <v>2060</v>
      </c>
      <c r="B271" s="649"/>
      <c r="C271" s="649"/>
      <c r="D271" s="649"/>
      <c r="E271" s="649"/>
      <c r="F271" s="649"/>
      <c r="G271" s="649"/>
      <c r="H271" s="649"/>
      <c r="I271" s="649"/>
      <c r="J271" s="649"/>
      <c r="K271" s="649"/>
      <c r="L271" s="649"/>
      <c r="M271" s="649"/>
      <c r="N271" s="649"/>
      <c r="O271" s="649"/>
      <c r="P271" s="129">
        <f t="shared" si="8"/>
        <v>0</v>
      </c>
      <c r="Q271" s="649"/>
      <c r="R271" s="649"/>
      <c r="S271" s="649"/>
      <c r="T271" s="649"/>
      <c r="U271" s="649"/>
      <c r="V271" s="649"/>
      <c r="W271" s="649"/>
      <c r="X271" s="649"/>
      <c r="Y271" s="649"/>
      <c r="Z271" s="649"/>
      <c r="AA271" s="649"/>
      <c r="AB271" s="649"/>
      <c r="AC271" s="649"/>
      <c r="AD271" s="649"/>
      <c r="AE271" s="649"/>
      <c r="AF271" s="649"/>
      <c r="AG271" s="505">
        <f t="shared" si="9"/>
        <v>0</v>
      </c>
    </row>
    <row r="272" spans="1:33" ht="15.75" thickBot="1">
      <c r="A272" s="503" t="s">
        <v>1497</v>
      </c>
      <c r="B272" s="651">
        <v>2111889.9132300001</v>
      </c>
      <c r="C272" s="651">
        <v>2116713.0726600001</v>
      </c>
      <c r="D272" s="651">
        <v>2152195.27685</v>
      </c>
      <c r="E272" s="651">
        <v>2154833.88313</v>
      </c>
      <c r="F272" s="651">
        <v>2180614.7228000001</v>
      </c>
      <c r="G272" s="651">
        <v>2189019.3271599999</v>
      </c>
      <c r="H272" s="651">
        <v>2192576.0273899999</v>
      </c>
      <c r="I272" s="651">
        <v>2182069.0319400001</v>
      </c>
      <c r="J272" s="651">
        <v>2215192.8055731398</v>
      </c>
      <c r="K272" s="651">
        <v>2214667.4782389798</v>
      </c>
      <c r="L272" s="651">
        <v>2214151.85655481</v>
      </c>
      <c r="M272" s="651">
        <v>2302463.18799796</v>
      </c>
      <c r="N272" s="651">
        <v>2285144.38822712</v>
      </c>
      <c r="O272" s="651">
        <v>2285048.5245962101</v>
      </c>
      <c r="P272" s="129">
        <f t="shared" si="8"/>
        <v>2206514.5833167862</v>
      </c>
      <c r="Q272" s="651">
        <v>2319635.9656637302</v>
      </c>
      <c r="R272" s="651">
        <v>2319570.7362928898</v>
      </c>
      <c r="S272" s="651">
        <v>2319507.0762320501</v>
      </c>
      <c r="T272" s="651">
        <v>2350212.2407294898</v>
      </c>
      <c r="U272" s="651">
        <v>2349158.3583886502</v>
      </c>
      <c r="V272" s="651">
        <v>2348110.04283782</v>
      </c>
      <c r="W272" s="651">
        <v>2381104.7291552499</v>
      </c>
      <c r="X272" s="651">
        <v>2379944.1608544202</v>
      </c>
      <c r="Y272" s="651">
        <v>2378793.1575935902</v>
      </c>
      <c r="Z272" s="651">
        <v>2411323.2668010099</v>
      </c>
      <c r="AA272" s="651">
        <v>2398748.89562352</v>
      </c>
      <c r="AB272" s="651">
        <v>2398060.00311602</v>
      </c>
      <c r="AC272" s="651">
        <v>2423440.12788219</v>
      </c>
      <c r="AD272" s="651">
        <v>2421039.2869446902</v>
      </c>
      <c r="AE272" s="651">
        <v>2418639.48730719</v>
      </c>
      <c r="AF272" s="651">
        <v>2439280.4762033601</v>
      </c>
      <c r="AG272" s="505">
        <f t="shared" si="9"/>
        <v>2392142.6333413231</v>
      </c>
    </row>
    <row r="273" spans="1:33">
      <c r="P273" s="129">
        <f t="shared" si="8"/>
        <v>0</v>
      </c>
      <c r="AG273" s="505">
        <f t="shared" si="9"/>
        <v>0</v>
      </c>
    </row>
    <row r="274" spans="1:33" ht="15.75" thickBot="1">
      <c r="A274" s="503" t="s">
        <v>2404</v>
      </c>
      <c r="B274" s="651">
        <v>7454178.6578599997</v>
      </c>
      <c r="C274" s="651">
        <v>7468706.3374100002</v>
      </c>
      <c r="D274" s="651">
        <v>7442620.8210000005</v>
      </c>
      <c r="E274" s="651">
        <v>7448067.8162200004</v>
      </c>
      <c r="F274" s="651">
        <v>7463018.4578799997</v>
      </c>
      <c r="G274" s="651">
        <v>7492463.4368599998</v>
      </c>
      <c r="H274" s="651">
        <v>7533208.19527</v>
      </c>
      <c r="I274" s="651">
        <v>7556771.1722499998</v>
      </c>
      <c r="J274" s="651">
        <v>7534644.0042177597</v>
      </c>
      <c r="K274" s="651">
        <v>7543138.2915451201</v>
      </c>
      <c r="L274" s="651">
        <v>7583644.6535726497</v>
      </c>
      <c r="M274" s="651">
        <v>7667987.67353471</v>
      </c>
      <c r="N274" s="651">
        <v>7681155.9838793399</v>
      </c>
      <c r="O274" s="651">
        <v>7683513.4024033304</v>
      </c>
      <c r="P274" s="129">
        <f t="shared" si="8"/>
        <v>7546072.3266186854</v>
      </c>
      <c r="Q274" s="651">
        <v>7680131.3979555201</v>
      </c>
      <c r="R274" s="651">
        <v>7703797.0614027297</v>
      </c>
      <c r="S274" s="651">
        <v>7729913.1336394101</v>
      </c>
      <c r="T274" s="651">
        <v>7764325.0034352001</v>
      </c>
      <c r="U274" s="651">
        <v>7784558.72294393</v>
      </c>
      <c r="V274" s="651">
        <v>7800371.7007155698</v>
      </c>
      <c r="W274" s="651">
        <v>7802264.4890873302</v>
      </c>
      <c r="X274" s="651">
        <v>7828390.7901913701</v>
      </c>
      <c r="Y274" s="651">
        <v>7856993.6508583101</v>
      </c>
      <c r="Z274" s="651">
        <v>7895238.5040722396</v>
      </c>
      <c r="AA274" s="651">
        <v>7923151.0848936196</v>
      </c>
      <c r="AB274" s="651">
        <v>7933185.8224882204</v>
      </c>
      <c r="AC274" s="651">
        <v>7953861.6340808198</v>
      </c>
      <c r="AD274" s="651">
        <v>7974759.8281278796</v>
      </c>
      <c r="AE274" s="651">
        <v>8001953.0826020502</v>
      </c>
      <c r="AF274" s="651">
        <v>8033617.3033172097</v>
      </c>
      <c r="AG274" s="505">
        <f t="shared" si="9"/>
        <v>7888667.0474472111</v>
      </c>
    </row>
  </sheetData>
  <pageMargins left="0.75" right="0.75" top="1" bottom="1" header="0.5" footer="0.5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>
    <pageSetUpPr fitToPage="1"/>
  </sheetPr>
  <dimension ref="A1:BF26"/>
  <sheetViews>
    <sheetView zoomScaleNormal="100" workbookViewId="0"/>
  </sheetViews>
  <sheetFormatPr defaultColWidth="9" defaultRowHeight="15" outlineLevelCol="1"/>
  <cols>
    <col min="1" max="1" width="38.21875" style="369" bestFit="1" customWidth="1"/>
    <col min="2" max="2" width="13.33203125" style="369" bestFit="1" customWidth="1"/>
    <col min="3" max="3" width="3.6640625" style="369" customWidth="1"/>
    <col min="4" max="4" width="18" style="369" customWidth="1"/>
    <col min="5" max="6" width="19.33203125" style="369" bestFit="1" customWidth="1"/>
    <col min="7" max="7" width="13.33203125" style="369" customWidth="1"/>
    <col min="8" max="8" width="10.109375" style="369" bestFit="1" customWidth="1"/>
    <col min="9" max="9" width="9" style="369"/>
    <col min="10" max="10" width="9.109375" style="369" bestFit="1" customWidth="1"/>
    <col min="11" max="11" width="22.77734375" style="369" customWidth="1"/>
    <col min="12" max="40" width="10.109375" style="369" hidden="1" customWidth="1" outlineLevel="1"/>
    <col min="41" max="41" width="10.109375" style="369" bestFit="1" customWidth="1" collapsed="1"/>
    <col min="42" max="56" width="10.109375" style="369" hidden="1" customWidth="1" outlineLevel="1"/>
    <col min="57" max="57" width="11.44140625" style="369" customWidth="1" collapsed="1"/>
    <col min="58" max="58" width="10" style="369" customWidth="1"/>
    <col min="59" max="16384" width="9" style="369"/>
  </cols>
  <sheetData>
    <row r="1" spans="1:58">
      <c r="A1" s="369" t="s">
        <v>2160</v>
      </c>
    </row>
    <row r="2" spans="1:58">
      <c r="A2" s="369" t="s">
        <v>145</v>
      </c>
      <c r="B2" s="433" t="s">
        <v>2161</v>
      </c>
      <c r="E2" s="375" t="s">
        <v>2162</v>
      </c>
      <c r="F2" s="375" t="s">
        <v>2163</v>
      </c>
      <c r="G2" s="369" t="s">
        <v>2164</v>
      </c>
    </row>
    <row r="3" spans="1:58">
      <c r="A3" s="447" t="s">
        <v>1775</v>
      </c>
      <c r="B3" s="376"/>
      <c r="G3" s="434">
        <v>41882</v>
      </c>
    </row>
    <row r="4" spans="1:58">
      <c r="A4" s="448" t="s">
        <v>1781</v>
      </c>
      <c r="B4" s="376">
        <v>10406297.27</v>
      </c>
      <c r="D4" s="369">
        <v>2009</v>
      </c>
      <c r="E4" s="435">
        <f>SUM(B4,B6,B7,B11)</f>
        <v>189011612.11999899</v>
      </c>
      <c r="F4" s="435">
        <v>180102328</v>
      </c>
      <c r="G4" s="436">
        <f>E4-F4</f>
        <v>8909284.1199989915</v>
      </c>
      <c r="H4" s="437" t="s">
        <v>1787</v>
      </c>
      <c r="I4" s="438"/>
      <c r="J4" s="438"/>
    </row>
    <row r="5" spans="1:58">
      <c r="A5" s="448" t="s">
        <v>1782</v>
      </c>
      <c r="B5" s="376">
        <v>846666.62</v>
      </c>
      <c r="D5" s="369">
        <v>2011</v>
      </c>
      <c r="E5" s="435">
        <f>SUM(B5,B8,B10)</f>
        <v>166282247.66000003</v>
      </c>
      <c r="F5" s="435">
        <v>166282247.66</v>
      </c>
      <c r="G5" s="436">
        <f>E5-F5</f>
        <v>0</v>
      </c>
      <c r="H5" s="438"/>
      <c r="I5" s="438"/>
      <c r="J5" s="438"/>
    </row>
    <row r="6" spans="1:58" ht="15.75">
      <c r="A6" s="448" t="s">
        <v>1784</v>
      </c>
      <c r="B6" s="376">
        <v>2584305.42</v>
      </c>
      <c r="E6" s="439">
        <f>SUM(E4:E5)</f>
        <v>355293859.77999902</v>
      </c>
      <c r="F6" s="439">
        <f t="shared" ref="F6:G6" si="0">SUM(F4:F5)</f>
        <v>346384575.65999997</v>
      </c>
      <c r="G6" s="440">
        <f t="shared" si="0"/>
        <v>8909284.1199989915</v>
      </c>
      <c r="H6" s="441"/>
      <c r="I6" s="438"/>
      <c r="J6" s="438"/>
      <c r="K6" s="378" t="s">
        <v>2174</v>
      </c>
      <c r="L6" s="374">
        <v>41912</v>
      </c>
      <c r="M6" s="374">
        <f>EOMONTH(L6,1)</f>
        <v>41943</v>
      </c>
      <c r="N6" s="374">
        <f t="shared" ref="N6:AF6" si="1">EOMONTH(M6,1)</f>
        <v>41973</v>
      </c>
      <c r="O6" s="374">
        <f t="shared" si="1"/>
        <v>42004</v>
      </c>
      <c r="P6" s="374">
        <f t="shared" si="1"/>
        <v>42035</v>
      </c>
      <c r="Q6" s="374">
        <f t="shared" si="1"/>
        <v>42063</v>
      </c>
      <c r="R6" s="374">
        <f t="shared" si="1"/>
        <v>42094</v>
      </c>
      <c r="S6" s="374">
        <f t="shared" si="1"/>
        <v>42124</v>
      </c>
      <c r="T6" s="374">
        <f t="shared" si="1"/>
        <v>42155</v>
      </c>
      <c r="U6" s="374">
        <f t="shared" si="1"/>
        <v>42185</v>
      </c>
      <c r="V6" s="374">
        <f t="shared" si="1"/>
        <v>42216</v>
      </c>
      <c r="W6" s="374">
        <f t="shared" si="1"/>
        <v>42247</v>
      </c>
      <c r="X6" s="374">
        <f t="shared" si="1"/>
        <v>42277</v>
      </c>
      <c r="Y6" s="374">
        <f t="shared" si="1"/>
        <v>42308</v>
      </c>
      <c r="Z6" s="374">
        <f t="shared" si="1"/>
        <v>42338</v>
      </c>
      <c r="AA6" s="374">
        <f t="shared" si="1"/>
        <v>42369</v>
      </c>
      <c r="AB6" s="374">
        <f t="shared" si="1"/>
        <v>42400</v>
      </c>
      <c r="AC6" s="374">
        <f t="shared" si="1"/>
        <v>42429</v>
      </c>
      <c r="AD6" s="374">
        <f t="shared" si="1"/>
        <v>42460</v>
      </c>
      <c r="AE6" s="374">
        <f t="shared" si="1"/>
        <v>42490</v>
      </c>
      <c r="AF6" s="374">
        <f t="shared" si="1"/>
        <v>42521</v>
      </c>
      <c r="AG6" s="374">
        <f>EOMONTH(AF6,1)</f>
        <v>42551</v>
      </c>
      <c r="AH6" s="374">
        <f>EOMONTH(AG6,1)</f>
        <v>42582</v>
      </c>
      <c r="AI6" s="374">
        <f t="shared" ref="AI6:AJ6" si="2">EOMONTH(AH6,1)</f>
        <v>42613</v>
      </c>
      <c r="AJ6" s="374">
        <f t="shared" si="2"/>
        <v>42643</v>
      </c>
      <c r="AK6" s="374">
        <f t="shared" ref="AK6:AO6" si="3">EOMONTH(AJ6,1)</f>
        <v>42674</v>
      </c>
      <c r="AL6" s="374">
        <f t="shared" si="3"/>
        <v>42704</v>
      </c>
      <c r="AM6" s="374">
        <f t="shared" si="3"/>
        <v>42735</v>
      </c>
      <c r="AN6" s="374">
        <f t="shared" si="3"/>
        <v>42766</v>
      </c>
      <c r="AO6" s="374">
        <f t="shared" si="3"/>
        <v>42794</v>
      </c>
      <c r="AP6" s="374">
        <f t="shared" ref="AP6:BE6" si="4">EOMONTH(AO6,1)</f>
        <v>42825</v>
      </c>
      <c r="AQ6" s="374">
        <f t="shared" si="4"/>
        <v>42855</v>
      </c>
      <c r="AR6" s="374">
        <f t="shared" si="4"/>
        <v>42886</v>
      </c>
      <c r="AS6" s="374">
        <f t="shared" si="4"/>
        <v>42916</v>
      </c>
      <c r="AT6" s="374">
        <f t="shared" si="4"/>
        <v>42947</v>
      </c>
      <c r="AU6" s="374">
        <f t="shared" si="4"/>
        <v>42978</v>
      </c>
      <c r="AV6" s="374">
        <f t="shared" si="4"/>
        <v>43008</v>
      </c>
      <c r="AW6" s="374">
        <f t="shared" si="4"/>
        <v>43039</v>
      </c>
      <c r="AX6" s="374">
        <f t="shared" si="4"/>
        <v>43069</v>
      </c>
      <c r="AY6" s="374">
        <f t="shared" si="4"/>
        <v>43100</v>
      </c>
      <c r="AZ6" s="374">
        <f t="shared" si="4"/>
        <v>43131</v>
      </c>
      <c r="BA6" s="374">
        <f t="shared" si="4"/>
        <v>43159</v>
      </c>
      <c r="BB6" s="374">
        <f t="shared" si="4"/>
        <v>43190</v>
      </c>
      <c r="BC6" s="374">
        <f t="shared" si="4"/>
        <v>43220</v>
      </c>
      <c r="BD6" s="374">
        <f t="shared" si="4"/>
        <v>43251</v>
      </c>
      <c r="BE6" s="374">
        <f t="shared" si="4"/>
        <v>43281</v>
      </c>
      <c r="BF6" s="449" t="s">
        <v>2086</v>
      </c>
    </row>
    <row r="7" spans="1:58" ht="15.75">
      <c r="A7" s="448" t="s">
        <v>1787</v>
      </c>
      <c r="B7" s="376">
        <v>175986872.06999898</v>
      </c>
      <c r="D7" s="442" t="s">
        <v>2165</v>
      </c>
      <c r="E7" s="438"/>
      <c r="F7" s="438"/>
      <c r="G7" s="438"/>
      <c r="H7" s="441"/>
      <c r="I7" s="438"/>
      <c r="J7" s="438" t="s">
        <v>2175</v>
      </c>
      <c r="K7" s="369" t="s">
        <v>2176</v>
      </c>
      <c r="L7" s="375" t="s">
        <v>2177</v>
      </c>
      <c r="M7" s="375" t="s">
        <v>2177</v>
      </c>
      <c r="N7" s="375" t="s">
        <v>2177</v>
      </c>
      <c r="O7" s="375" t="s">
        <v>2177</v>
      </c>
      <c r="P7" s="375" t="s">
        <v>2177</v>
      </c>
      <c r="Q7" s="375" t="s">
        <v>2177</v>
      </c>
      <c r="R7" s="375" t="s">
        <v>2177</v>
      </c>
      <c r="S7" s="375" t="s">
        <v>2177</v>
      </c>
      <c r="T7" s="375" t="s">
        <v>2177</v>
      </c>
      <c r="U7" s="375" t="s">
        <v>2177</v>
      </c>
      <c r="V7" s="375" t="s">
        <v>2177</v>
      </c>
      <c r="W7" s="375" t="s">
        <v>2177</v>
      </c>
      <c r="X7" s="375" t="s">
        <v>2177</v>
      </c>
      <c r="Y7" s="375" t="s">
        <v>2177</v>
      </c>
      <c r="Z7" s="375" t="s">
        <v>2177</v>
      </c>
      <c r="AA7" s="375" t="s">
        <v>2177</v>
      </c>
      <c r="AB7" s="375" t="s">
        <v>2177</v>
      </c>
      <c r="AC7" s="375" t="s">
        <v>2177</v>
      </c>
      <c r="AD7" s="375" t="s">
        <v>2177</v>
      </c>
      <c r="AE7" s="375" t="s">
        <v>2177</v>
      </c>
      <c r="AF7" s="375" t="s">
        <v>2177</v>
      </c>
      <c r="AG7" s="375" t="s">
        <v>2177</v>
      </c>
      <c r="AH7" s="375" t="s">
        <v>2177</v>
      </c>
      <c r="AI7" s="375" t="s">
        <v>2177</v>
      </c>
      <c r="AJ7" s="375" t="s">
        <v>2177</v>
      </c>
      <c r="AK7" s="375" t="s">
        <v>2177</v>
      </c>
      <c r="AL7" s="375" t="s">
        <v>2177</v>
      </c>
      <c r="AM7" s="375" t="s">
        <v>2177</v>
      </c>
      <c r="AN7" s="375" t="s">
        <v>2177</v>
      </c>
      <c r="AO7" s="375" t="s">
        <v>2177</v>
      </c>
      <c r="AP7" s="375" t="s">
        <v>2177</v>
      </c>
      <c r="AQ7" s="375" t="s">
        <v>2177</v>
      </c>
      <c r="AR7" s="375" t="s">
        <v>2177</v>
      </c>
      <c r="AS7" s="375" t="s">
        <v>2177</v>
      </c>
      <c r="AT7" s="375" t="s">
        <v>2177</v>
      </c>
      <c r="AU7" s="375" t="s">
        <v>2177</v>
      </c>
      <c r="AV7" s="375" t="s">
        <v>2177</v>
      </c>
      <c r="AW7" s="375" t="s">
        <v>2177</v>
      </c>
      <c r="AX7" s="375" t="s">
        <v>2177</v>
      </c>
      <c r="AY7" s="375" t="s">
        <v>2177</v>
      </c>
      <c r="AZ7" s="375" t="s">
        <v>2177</v>
      </c>
      <c r="BA7" s="375" t="s">
        <v>2177</v>
      </c>
      <c r="BB7" s="375" t="s">
        <v>2177</v>
      </c>
      <c r="BC7" s="375" t="s">
        <v>2177</v>
      </c>
      <c r="BD7" s="375" t="s">
        <v>2177</v>
      </c>
      <c r="BE7" s="375" t="s">
        <v>2177</v>
      </c>
    </row>
    <row r="8" spans="1:58">
      <c r="A8" s="448" t="s">
        <v>1788</v>
      </c>
      <c r="B8" s="376">
        <v>163180101.67000002</v>
      </c>
      <c r="D8" s="369" t="s">
        <v>2178</v>
      </c>
      <c r="E8" s="436">
        <f>95757252.91</f>
        <v>95757252.909999996</v>
      </c>
      <c r="F8" s="436">
        <v>94427917</v>
      </c>
      <c r="G8" s="436">
        <f>E8-F8</f>
        <v>1329335.9099999964</v>
      </c>
      <c r="H8" s="436" t="s">
        <v>2166</v>
      </c>
      <c r="I8" s="438"/>
      <c r="J8" s="443">
        <v>2.4299999999999999E-2</v>
      </c>
      <c r="K8" s="376">
        <f>G8*J8/12</f>
        <v>2691.9052177499925</v>
      </c>
      <c r="L8" s="376">
        <f>K8</f>
        <v>2691.9052177499925</v>
      </c>
      <c r="M8" s="376">
        <f>L8</f>
        <v>2691.9052177499925</v>
      </c>
      <c r="N8" s="376">
        <f t="shared" ref="N8:AF12" si="5">M8</f>
        <v>2691.9052177499925</v>
      </c>
      <c r="O8" s="376">
        <f t="shared" si="5"/>
        <v>2691.9052177499925</v>
      </c>
      <c r="P8" s="376">
        <f t="shared" si="5"/>
        <v>2691.9052177499925</v>
      </c>
      <c r="Q8" s="376">
        <f t="shared" si="5"/>
        <v>2691.9052177499925</v>
      </c>
      <c r="R8" s="376">
        <f t="shared" si="5"/>
        <v>2691.9052177499925</v>
      </c>
      <c r="S8" s="376">
        <f t="shared" si="5"/>
        <v>2691.9052177499925</v>
      </c>
      <c r="T8" s="376">
        <f t="shared" si="5"/>
        <v>2691.9052177499925</v>
      </c>
      <c r="U8" s="376">
        <f t="shared" si="5"/>
        <v>2691.9052177499925</v>
      </c>
      <c r="V8" s="376">
        <f t="shared" si="5"/>
        <v>2691.9052177499925</v>
      </c>
      <c r="W8" s="376">
        <f t="shared" si="5"/>
        <v>2691.9052177499925</v>
      </c>
      <c r="X8" s="376">
        <f t="shared" si="5"/>
        <v>2691.9052177499925</v>
      </c>
      <c r="Y8" s="376">
        <f t="shared" si="5"/>
        <v>2691.9052177499925</v>
      </c>
      <c r="Z8" s="376">
        <f t="shared" si="5"/>
        <v>2691.9052177499925</v>
      </c>
      <c r="AA8" s="376">
        <f t="shared" si="5"/>
        <v>2691.9052177499925</v>
      </c>
      <c r="AB8" s="376">
        <f t="shared" si="5"/>
        <v>2691.9052177499925</v>
      </c>
      <c r="AC8" s="376">
        <f t="shared" si="5"/>
        <v>2691.9052177499925</v>
      </c>
      <c r="AD8" s="376">
        <f t="shared" si="5"/>
        <v>2691.9052177499925</v>
      </c>
      <c r="AE8" s="376">
        <f t="shared" si="5"/>
        <v>2691.9052177499925</v>
      </c>
      <c r="AF8" s="376">
        <f t="shared" si="5"/>
        <v>2691.9052177499925</v>
      </c>
      <c r="AG8" s="376">
        <f t="shared" ref="AG8:AH12" si="6">AF8</f>
        <v>2691.9052177499925</v>
      </c>
      <c r="AH8" s="376">
        <f t="shared" si="6"/>
        <v>2691.9052177499925</v>
      </c>
      <c r="AI8" s="376">
        <f t="shared" ref="AI8:AJ8" si="7">AH8</f>
        <v>2691.9052177499925</v>
      </c>
      <c r="AJ8" s="376">
        <f t="shared" si="7"/>
        <v>2691.9052177499925</v>
      </c>
      <c r="AK8" s="376">
        <f t="shared" ref="AK8:AO8" si="8">AJ8</f>
        <v>2691.9052177499925</v>
      </c>
      <c r="AL8" s="376">
        <f t="shared" si="8"/>
        <v>2691.9052177499925</v>
      </c>
      <c r="AM8" s="376">
        <f t="shared" si="8"/>
        <v>2691.9052177499925</v>
      </c>
      <c r="AN8" s="376">
        <f t="shared" si="8"/>
        <v>2691.9052177499925</v>
      </c>
      <c r="AO8" s="376">
        <f t="shared" si="8"/>
        <v>2691.9052177499925</v>
      </c>
      <c r="AP8" s="376">
        <f t="shared" ref="AP8:BE8" si="9">AO8</f>
        <v>2691.9052177499925</v>
      </c>
      <c r="AQ8" s="376">
        <f t="shared" si="9"/>
        <v>2691.9052177499925</v>
      </c>
      <c r="AR8" s="376">
        <f t="shared" si="9"/>
        <v>2691.9052177499925</v>
      </c>
      <c r="AS8" s="376">
        <f t="shared" si="9"/>
        <v>2691.9052177499925</v>
      </c>
      <c r="AT8" s="376">
        <f t="shared" si="9"/>
        <v>2691.9052177499925</v>
      </c>
      <c r="AU8" s="376">
        <f t="shared" si="9"/>
        <v>2691.9052177499925</v>
      </c>
      <c r="AV8" s="376">
        <f t="shared" si="9"/>
        <v>2691.9052177499925</v>
      </c>
      <c r="AW8" s="376">
        <f t="shared" si="9"/>
        <v>2691.9052177499925</v>
      </c>
      <c r="AX8" s="376">
        <f t="shared" si="9"/>
        <v>2691.9052177499925</v>
      </c>
      <c r="AY8" s="376">
        <f t="shared" si="9"/>
        <v>2691.9052177499925</v>
      </c>
      <c r="AZ8" s="376">
        <f t="shared" si="9"/>
        <v>2691.9052177499925</v>
      </c>
      <c r="BA8" s="376">
        <f t="shared" si="9"/>
        <v>2691.9052177499925</v>
      </c>
      <c r="BB8" s="376">
        <f t="shared" si="9"/>
        <v>2691.9052177499925</v>
      </c>
      <c r="BC8" s="376">
        <f t="shared" si="9"/>
        <v>2691.9052177499925</v>
      </c>
      <c r="BD8" s="376">
        <f t="shared" si="9"/>
        <v>2691.9052177499925</v>
      </c>
      <c r="BE8" s="376">
        <f t="shared" si="9"/>
        <v>2691.9052177499925</v>
      </c>
    </row>
    <row r="9" spans="1:58">
      <c r="A9" s="448" t="s">
        <v>1789</v>
      </c>
      <c r="B9" s="376"/>
      <c r="D9" s="369" t="s">
        <v>2179</v>
      </c>
      <c r="E9" s="436">
        <v>16710059.9</v>
      </c>
      <c r="F9" s="436">
        <v>16622587</v>
      </c>
      <c r="G9" s="436">
        <f t="shared" ref="G9:G12" si="10">E9-F9</f>
        <v>87472.900000000373</v>
      </c>
      <c r="H9" s="436" t="s">
        <v>2167</v>
      </c>
      <c r="I9" s="438"/>
      <c r="J9" s="443">
        <v>2.4299999999999999E-2</v>
      </c>
      <c r="K9" s="376">
        <f t="shared" ref="K9:K12" si="11">G9*J9/12</f>
        <v>177.13262250000074</v>
      </c>
      <c r="L9" s="376">
        <f t="shared" ref="L9:AA12" si="12">K9</f>
        <v>177.13262250000074</v>
      </c>
      <c r="M9" s="376">
        <f t="shared" si="12"/>
        <v>177.13262250000074</v>
      </c>
      <c r="N9" s="376">
        <f t="shared" si="12"/>
        <v>177.13262250000074</v>
      </c>
      <c r="O9" s="376">
        <f t="shared" si="12"/>
        <v>177.13262250000074</v>
      </c>
      <c r="P9" s="376">
        <f t="shared" si="12"/>
        <v>177.13262250000074</v>
      </c>
      <c r="Q9" s="376">
        <f t="shared" si="12"/>
        <v>177.13262250000074</v>
      </c>
      <c r="R9" s="376">
        <f t="shared" si="12"/>
        <v>177.13262250000074</v>
      </c>
      <c r="S9" s="376">
        <f t="shared" si="12"/>
        <v>177.13262250000074</v>
      </c>
      <c r="T9" s="376">
        <f t="shared" si="12"/>
        <v>177.13262250000074</v>
      </c>
      <c r="U9" s="376">
        <f t="shared" si="12"/>
        <v>177.13262250000074</v>
      </c>
      <c r="V9" s="376">
        <f t="shared" si="12"/>
        <v>177.13262250000074</v>
      </c>
      <c r="W9" s="376">
        <f t="shared" si="12"/>
        <v>177.13262250000074</v>
      </c>
      <c r="X9" s="376">
        <f t="shared" si="12"/>
        <v>177.13262250000074</v>
      </c>
      <c r="Y9" s="376">
        <f t="shared" si="12"/>
        <v>177.13262250000074</v>
      </c>
      <c r="Z9" s="376">
        <f t="shared" si="12"/>
        <v>177.13262250000074</v>
      </c>
      <c r="AA9" s="376">
        <f t="shared" si="12"/>
        <v>177.13262250000074</v>
      </c>
      <c r="AB9" s="376">
        <f t="shared" si="5"/>
        <v>177.13262250000074</v>
      </c>
      <c r="AC9" s="376">
        <f t="shared" si="5"/>
        <v>177.13262250000074</v>
      </c>
      <c r="AD9" s="376">
        <f t="shared" si="5"/>
        <v>177.13262250000074</v>
      </c>
      <c r="AE9" s="376">
        <f t="shared" si="5"/>
        <v>177.13262250000074</v>
      </c>
      <c r="AF9" s="376">
        <f t="shared" si="5"/>
        <v>177.13262250000074</v>
      </c>
      <c r="AG9" s="376">
        <f t="shared" si="6"/>
        <v>177.13262250000074</v>
      </c>
      <c r="AH9" s="376">
        <f t="shared" si="6"/>
        <v>177.13262250000074</v>
      </c>
      <c r="AI9" s="376">
        <f t="shared" ref="AI9:AJ9" si="13">AH9</f>
        <v>177.13262250000074</v>
      </c>
      <c r="AJ9" s="376">
        <f t="shared" si="13"/>
        <v>177.13262250000074</v>
      </c>
      <c r="AK9" s="376">
        <f t="shared" ref="AK9:AO9" si="14">AJ9</f>
        <v>177.13262250000074</v>
      </c>
      <c r="AL9" s="376">
        <f t="shared" si="14"/>
        <v>177.13262250000074</v>
      </c>
      <c r="AM9" s="376">
        <f t="shared" si="14"/>
        <v>177.13262250000074</v>
      </c>
      <c r="AN9" s="376">
        <f t="shared" si="14"/>
        <v>177.13262250000074</v>
      </c>
      <c r="AO9" s="376">
        <f t="shared" si="14"/>
        <v>177.13262250000074</v>
      </c>
      <c r="AP9" s="376">
        <f t="shared" ref="AP9:BE9" si="15">AO9</f>
        <v>177.13262250000074</v>
      </c>
      <c r="AQ9" s="376">
        <f t="shared" si="15"/>
        <v>177.13262250000074</v>
      </c>
      <c r="AR9" s="376">
        <f t="shared" si="15"/>
        <v>177.13262250000074</v>
      </c>
      <c r="AS9" s="376">
        <f t="shared" si="15"/>
        <v>177.13262250000074</v>
      </c>
      <c r="AT9" s="376">
        <f t="shared" si="15"/>
        <v>177.13262250000074</v>
      </c>
      <c r="AU9" s="376">
        <f t="shared" si="15"/>
        <v>177.13262250000074</v>
      </c>
      <c r="AV9" s="376">
        <f t="shared" si="15"/>
        <v>177.13262250000074</v>
      </c>
      <c r="AW9" s="376">
        <f t="shared" si="15"/>
        <v>177.13262250000074</v>
      </c>
      <c r="AX9" s="376">
        <f t="shared" si="15"/>
        <v>177.13262250000074</v>
      </c>
      <c r="AY9" s="376">
        <f t="shared" si="15"/>
        <v>177.13262250000074</v>
      </c>
      <c r="AZ9" s="376">
        <f t="shared" si="15"/>
        <v>177.13262250000074</v>
      </c>
      <c r="BA9" s="376">
        <f t="shared" si="15"/>
        <v>177.13262250000074</v>
      </c>
      <c r="BB9" s="376">
        <f t="shared" si="15"/>
        <v>177.13262250000074</v>
      </c>
      <c r="BC9" s="376">
        <f t="shared" si="15"/>
        <v>177.13262250000074</v>
      </c>
      <c r="BD9" s="376">
        <f t="shared" si="15"/>
        <v>177.13262250000074</v>
      </c>
      <c r="BE9" s="376">
        <f t="shared" si="15"/>
        <v>177.13262250000074</v>
      </c>
    </row>
    <row r="10" spans="1:58">
      <c r="A10" s="448" t="s">
        <v>1792</v>
      </c>
      <c r="B10" s="376">
        <v>2255479.37</v>
      </c>
      <c r="D10" s="369" t="s">
        <v>2168</v>
      </c>
      <c r="E10" s="436">
        <f>58863047.67+34137.36</f>
        <v>58897185.030000001</v>
      </c>
      <c r="F10" s="436">
        <v>55740733</v>
      </c>
      <c r="G10" s="436">
        <f t="shared" si="10"/>
        <v>3156452.0300000012</v>
      </c>
      <c r="H10" s="436" t="s">
        <v>2169</v>
      </c>
      <c r="I10" s="438"/>
      <c r="J10" s="443">
        <v>2.3099999999999999E-2</v>
      </c>
      <c r="K10" s="376">
        <f t="shared" si="11"/>
        <v>6076.1701577500025</v>
      </c>
      <c r="L10" s="376">
        <f t="shared" si="12"/>
        <v>6076.1701577500025</v>
      </c>
      <c r="M10" s="376">
        <f t="shared" si="12"/>
        <v>6076.1701577500025</v>
      </c>
      <c r="N10" s="376">
        <f t="shared" si="12"/>
        <v>6076.1701577500025</v>
      </c>
      <c r="O10" s="376">
        <f t="shared" si="12"/>
        <v>6076.1701577500025</v>
      </c>
      <c r="P10" s="376">
        <f t="shared" si="12"/>
        <v>6076.1701577500025</v>
      </c>
      <c r="Q10" s="376">
        <f t="shared" si="12"/>
        <v>6076.1701577500025</v>
      </c>
      <c r="R10" s="376">
        <f t="shared" si="12"/>
        <v>6076.1701577500025</v>
      </c>
      <c r="S10" s="376">
        <f t="shared" si="12"/>
        <v>6076.1701577500025</v>
      </c>
      <c r="T10" s="376">
        <f t="shared" si="12"/>
        <v>6076.1701577500025</v>
      </c>
      <c r="U10" s="376">
        <f t="shared" si="12"/>
        <v>6076.1701577500025</v>
      </c>
      <c r="V10" s="376">
        <f t="shared" si="12"/>
        <v>6076.1701577500025</v>
      </c>
      <c r="W10" s="376">
        <f t="shared" si="12"/>
        <v>6076.1701577500025</v>
      </c>
      <c r="X10" s="376">
        <f t="shared" si="12"/>
        <v>6076.1701577500025</v>
      </c>
      <c r="Y10" s="376">
        <f t="shared" si="12"/>
        <v>6076.1701577500025</v>
      </c>
      <c r="Z10" s="376">
        <f t="shared" si="12"/>
        <v>6076.1701577500025</v>
      </c>
      <c r="AA10" s="376">
        <f t="shared" si="12"/>
        <v>6076.1701577500025</v>
      </c>
      <c r="AB10" s="376">
        <f t="shared" si="5"/>
        <v>6076.1701577500025</v>
      </c>
      <c r="AC10" s="376">
        <f t="shared" si="5"/>
        <v>6076.1701577500025</v>
      </c>
      <c r="AD10" s="376">
        <f t="shared" si="5"/>
        <v>6076.1701577500025</v>
      </c>
      <c r="AE10" s="376">
        <f t="shared" si="5"/>
        <v>6076.1701577500025</v>
      </c>
      <c r="AF10" s="376">
        <f t="shared" si="5"/>
        <v>6076.1701577500025</v>
      </c>
      <c r="AG10" s="376">
        <f t="shared" si="6"/>
        <v>6076.1701577500025</v>
      </c>
      <c r="AH10" s="376">
        <f t="shared" si="6"/>
        <v>6076.1701577500025</v>
      </c>
      <c r="AI10" s="376">
        <f t="shared" ref="AI10:AJ10" si="16">AH10</f>
        <v>6076.1701577500025</v>
      </c>
      <c r="AJ10" s="376">
        <f t="shared" si="16"/>
        <v>6076.1701577500025</v>
      </c>
      <c r="AK10" s="376">
        <f t="shared" ref="AK10:AO10" si="17">AJ10</f>
        <v>6076.1701577500025</v>
      </c>
      <c r="AL10" s="376">
        <f t="shared" si="17"/>
        <v>6076.1701577500025</v>
      </c>
      <c r="AM10" s="376">
        <f t="shared" si="17"/>
        <v>6076.1701577500025</v>
      </c>
      <c r="AN10" s="376">
        <f t="shared" si="17"/>
        <v>6076.1701577500025</v>
      </c>
      <c r="AO10" s="376">
        <f t="shared" si="17"/>
        <v>6076.1701577500025</v>
      </c>
      <c r="AP10" s="376">
        <f t="shared" ref="AP10:BE10" si="18">AO10</f>
        <v>6076.1701577500025</v>
      </c>
      <c r="AQ10" s="376">
        <f t="shared" si="18"/>
        <v>6076.1701577500025</v>
      </c>
      <c r="AR10" s="376">
        <f t="shared" si="18"/>
        <v>6076.1701577500025</v>
      </c>
      <c r="AS10" s="376">
        <f t="shared" si="18"/>
        <v>6076.1701577500025</v>
      </c>
      <c r="AT10" s="376">
        <f t="shared" si="18"/>
        <v>6076.1701577500025</v>
      </c>
      <c r="AU10" s="376">
        <f t="shared" si="18"/>
        <v>6076.1701577500025</v>
      </c>
      <c r="AV10" s="376">
        <f t="shared" si="18"/>
        <v>6076.1701577500025</v>
      </c>
      <c r="AW10" s="376">
        <f t="shared" si="18"/>
        <v>6076.1701577500025</v>
      </c>
      <c r="AX10" s="376">
        <f t="shared" si="18"/>
        <v>6076.1701577500025</v>
      </c>
      <c r="AY10" s="376">
        <f t="shared" si="18"/>
        <v>6076.1701577500025</v>
      </c>
      <c r="AZ10" s="376">
        <f t="shared" si="18"/>
        <v>6076.1701577500025</v>
      </c>
      <c r="BA10" s="376">
        <f t="shared" si="18"/>
        <v>6076.1701577500025</v>
      </c>
      <c r="BB10" s="376">
        <f t="shared" si="18"/>
        <v>6076.1701577500025</v>
      </c>
      <c r="BC10" s="376">
        <f t="shared" si="18"/>
        <v>6076.1701577500025</v>
      </c>
      <c r="BD10" s="376">
        <f t="shared" si="18"/>
        <v>6076.1701577500025</v>
      </c>
      <c r="BE10" s="376">
        <f t="shared" si="18"/>
        <v>6076.1701577500025</v>
      </c>
    </row>
    <row r="11" spans="1:58">
      <c r="A11" s="448" t="s">
        <v>1871</v>
      </c>
      <c r="B11" s="376">
        <v>34137.360000000001</v>
      </c>
      <c r="D11" s="369" t="s">
        <v>2170</v>
      </c>
      <c r="E11" s="436">
        <v>13367694.26</v>
      </c>
      <c r="F11" s="436">
        <v>9031671</v>
      </c>
      <c r="G11" s="436">
        <f t="shared" si="10"/>
        <v>4336023.26</v>
      </c>
      <c r="H11" s="436" t="s">
        <v>2171</v>
      </c>
      <c r="I11" s="438"/>
      <c r="J11" s="443">
        <v>2.1000000000000001E-2</v>
      </c>
      <c r="K11" s="376">
        <f t="shared" si="11"/>
        <v>7588.0407050000003</v>
      </c>
      <c r="L11" s="376">
        <f t="shared" si="12"/>
        <v>7588.0407050000003</v>
      </c>
      <c r="M11" s="376">
        <f t="shared" si="12"/>
        <v>7588.0407050000003</v>
      </c>
      <c r="N11" s="376">
        <f t="shared" si="12"/>
        <v>7588.0407050000003</v>
      </c>
      <c r="O11" s="376">
        <f t="shared" si="12"/>
        <v>7588.0407050000003</v>
      </c>
      <c r="P11" s="376">
        <f t="shared" si="12"/>
        <v>7588.0407050000003</v>
      </c>
      <c r="Q11" s="376">
        <f t="shared" si="12"/>
        <v>7588.0407050000003</v>
      </c>
      <c r="R11" s="376">
        <f t="shared" si="12"/>
        <v>7588.0407050000003</v>
      </c>
      <c r="S11" s="376">
        <f t="shared" si="12"/>
        <v>7588.0407050000003</v>
      </c>
      <c r="T11" s="376">
        <f t="shared" si="12"/>
        <v>7588.0407050000003</v>
      </c>
      <c r="U11" s="376">
        <f t="shared" si="12"/>
        <v>7588.0407050000003</v>
      </c>
      <c r="V11" s="376">
        <f t="shared" si="12"/>
        <v>7588.0407050000003</v>
      </c>
      <c r="W11" s="376">
        <f t="shared" si="12"/>
        <v>7588.0407050000003</v>
      </c>
      <c r="X11" s="376">
        <f t="shared" si="12"/>
        <v>7588.0407050000003</v>
      </c>
      <c r="Y11" s="376">
        <f t="shared" si="12"/>
        <v>7588.0407050000003</v>
      </c>
      <c r="Z11" s="376">
        <f t="shared" si="12"/>
        <v>7588.0407050000003</v>
      </c>
      <c r="AA11" s="376">
        <f t="shared" si="12"/>
        <v>7588.0407050000003</v>
      </c>
      <c r="AB11" s="376">
        <f t="shared" si="5"/>
        <v>7588.0407050000003</v>
      </c>
      <c r="AC11" s="376">
        <f t="shared" si="5"/>
        <v>7588.0407050000003</v>
      </c>
      <c r="AD11" s="376">
        <f t="shared" si="5"/>
        <v>7588.0407050000003</v>
      </c>
      <c r="AE11" s="376">
        <f t="shared" si="5"/>
        <v>7588.0407050000003</v>
      </c>
      <c r="AF11" s="376">
        <f t="shared" si="5"/>
        <v>7588.0407050000003</v>
      </c>
      <c r="AG11" s="376">
        <f t="shared" si="6"/>
        <v>7588.0407050000003</v>
      </c>
      <c r="AH11" s="376">
        <f t="shared" si="6"/>
        <v>7588.0407050000003</v>
      </c>
      <c r="AI11" s="376">
        <f t="shared" ref="AI11:AJ11" si="19">AH11</f>
        <v>7588.0407050000003</v>
      </c>
      <c r="AJ11" s="376">
        <f t="shared" si="19"/>
        <v>7588.0407050000003</v>
      </c>
      <c r="AK11" s="376">
        <f t="shared" ref="AK11:AO11" si="20">AJ11</f>
        <v>7588.0407050000003</v>
      </c>
      <c r="AL11" s="376">
        <f t="shared" si="20"/>
        <v>7588.0407050000003</v>
      </c>
      <c r="AM11" s="376">
        <f t="shared" si="20"/>
        <v>7588.0407050000003</v>
      </c>
      <c r="AN11" s="376">
        <f t="shared" si="20"/>
        <v>7588.0407050000003</v>
      </c>
      <c r="AO11" s="376">
        <f t="shared" si="20"/>
        <v>7588.0407050000003</v>
      </c>
      <c r="AP11" s="376">
        <f t="shared" ref="AP11:BE11" si="21">AO11</f>
        <v>7588.0407050000003</v>
      </c>
      <c r="AQ11" s="376">
        <f t="shared" si="21"/>
        <v>7588.0407050000003</v>
      </c>
      <c r="AR11" s="376">
        <f t="shared" si="21"/>
        <v>7588.0407050000003</v>
      </c>
      <c r="AS11" s="376">
        <f t="shared" si="21"/>
        <v>7588.0407050000003</v>
      </c>
      <c r="AT11" s="376">
        <f t="shared" si="21"/>
        <v>7588.0407050000003</v>
      </c>
      <c r="AU11" s="376">
        <f t="shared" si="21"/>
        <v>7588.0407050000003</v>
      </c>
      <c r="AV11" s="376">
        <f t="shared" si="21"/>
        <v>7588.0407050000003</v>
      </c>
      <c r="AW11" s="376">
        <f t="shared" si="21"/>
        <v>7588.0407050000003</v>
      </c>
      <c r="AX11" s="376">
        <f t="shared" si="21"/>
        <v>7588.0407050000003</v>
      </c>
      <c r="AY11" s="376">
        <f t="shared" si="21"/>
        <v>7588.0407050000003</v>
      </c>
      <c r="AZ11" s="376">
        <f t="shared" si="21"/>
        <v>7588.0407050000003</v>
      </c>
      <c r="BA11" s="376">
        <f t="shared" si="21"/>
        <v>7588.0407050000003</v>
      </c>
      <c r="BB11" s="376">
        <f t="shared" si="21"/>
        <v>7588.0407050000003</v>
      </c>
      <c r="BC11" s="376">
        <f t="shared" si="21"/>
        <v>7588.0407050000003</v>
      </c>
      <c r="BD11" s="376">
        <f t="shared" si="21"/>
        <v>7588.0407050000003</v>
      </c>
      <c r="BE11" s="376">
        <f t="shared" si="21"/>
        <v>7588.0407050000003</v>
      </c>
    </row>
    <row r="12" spans="1:58">
      <c r="B12" s="444">
        <f>SUM(B4:B11)</f>
        <v>355293859.77999902</v>
      </c>
      <c r="D12" s="369" t="s">
        <v>2180</v>
      </c>
      <c r="E12" s="436">
        <v>4279420.0199999996</v>
      </c>
      <c r="F12" s="436">
        <v>4279420</v>
      </c>
      <c r="G12" s="436">
        <f t="shared" si="10"/>
        <v>1.9999999552965164E-2</v>
      </c>
      <c r="H12" s="436" t="s">
        <v>2172</v>
      </c>
      <c r="I12" s="438"/>
      <c r="J12" s="443">
        <v>2.1000000000000001E-2</v>
      </c>
      <c r="K12" s="376">
        <f t="shared" si="11"/>
        <v>3.499999921768904E-5</v>
      </c>
      <c r="L12" s="376">
        <f t="shared" si="12"/>
        <v>3.499999921768904E-5</v>
      </c>
      <c r="M12" s="376">
        <f t="shared" si="12"/>
        <v>3.499999921768904E-5</v>
      </c>
      <c r="N12" s="376">
        <f t="shared" si="12"/>
        <v>3.499999921768904E-5</v>
      </c>
      <c r="O12" s="376">
        <f t="shared" si="12"/>
        <v>3.499999921768904E-5</v>
      </c>
      <c r="P12" s="376">
        <f t="shared" si="12"/>
        <v>3.499999921768904E-5</v>
      </c>
      <c r="Q12" s="376">
        <f t="shared" si="12"/>
        <v>3.499999921768904E-5</v>
      </c>
      <c r="R12" s="376">
        <f t="shared" si="12"/>
        <v>3.499999921768904E-5</v>
      </c>
      <c r="S12" s="376">
        <f t="shared" si="12"/>
        <v>3.499999921768904E-5</v>
      </c>
      <c r="T12" s="376">
        <f t="shared" si="12"/>
        <v>3.499999921768904E-5</v>
      </c>
      <c r="U12" s="376">
        <f t="shared" si="12"/>
        <v>3.499999921768904E-5</v>
      </c>
      <c r="V12" s="376">
        <f t="shared" si="12"/>
        <v>3.499999921768904E-5</v>
      </c>
      <c r="W12" s="376">
        <f t="shared" si="12"/>
        <v>3.499999921768904E-5</v>
      </c>
      <c r="X12" s="376">
        <f t="shared" si="12"/>
        <v>3.499999921768904E-5</v>
      </c>
      <c r="Y12" s="376">
        <f t="shared" si="12"/>
        <v>3.499999921768904E-5</v>
      </c>
      <c r="Z12" s="376">
        <f t="shared" si="12"/>
        <v>3.499999921768904E-5</v>
      </c>
      <c r="AA12" s="376">
        <f t="shared" si="12"/>
        <v>3.499999921768904E-5</v>
      </c>
      <c r="AB12" s="376">
        <f t="shared" si="5"/>
        <v>3.499999921768904E-5</v>
      </c>
      <c r="AC12" s="376">
        <f t="shared" si="5"/>
        <v>3.499999921768904E-5</v>
      </c>
      <c r="AD12" s="376">
        <f t="shared" si="5"/>
        <v>3.499999921768904E-5</v>
      </c>
      <c r="AE12" s="376">
        <f t="shared" si="5"/>
        <v>3.499999921768904E-5</v>
      </c>
      <c r="AF12" s="376">
        <f t="shared" si="5"/>
        <v>3.499999921768904E-5</v>
      </c>
      <c r="AG12" s="376">
        <f t="shared" si="6"/>
        <v>3.499999921768904E-5</v>
      </c>
      <c r="AH12" s="376">
        <f t="shared" si="6"/>
        <v>3.499999921768904E-5</v>
      </c>
      <c r="AI12" s="376">
        <f t="shared" ref="AI12:AJ12" si="22">AH12</f>
        <v>3.499999921768904E-5</v>
      </c>
      <c r="AJ12" s="376">
        <f t="shared" si="22"/>
        <v>3.499999921768904E-5</v>
      </c>
      <c r="AK12" s="376">
        <f t="shared" ref="AK12:AO12" si="23">AJ12</f>
        <v>3.499999921768904E-5</v>
      </c>
      <c r="AL12" s="376">
        <f t="shared" si="23"/>
        <v>3.499999921768904E-5</v>
      </c>
      <c r="AM12" s="376">
        <f t="shared" si="23"/>
        <v>3.499999921768904E-5</v>
      </c>
      <c r="AN12" s="376">
        <f t="shared" si="23"/>
        <v>3.499999921768904E-5</v>
      </c>
      <c r="AO12" s="376">
        <f t="shared" si="23"/>
        <v>3.499999921768904E-5</v>
      </c>
      <c r="AP12" s="376">
        <f t="shared" ref="AP12:BE12" si="24">AO12</f>
        <v>3.499999921768904E-5</v>
      </c>
      <c r="AQ12" s="376">
        <f t="shared" si="24"/>
        <v>3.499999921768904E-5</v>
      </c>
      <c r="AR12" s="376">
        <f t="shared" si="24"/>
        <v>3.499999921768904E-5</v>
      </c>
      <c r="AS12" s="376">
        <f t="shared" si="24"/>
        <v>3.499999921768904E-5</v>
      </c>
      <c r="AT12" s="376">
        <f t="shared" si="24"/>
        <v>3.499999921768904E-5</v>
      </c>
      <c r="AU12" s="376">
        <f t="shared" si="24"/>
        <v>3.499999921768904E-5</v>
      </c>
      <c r="AV12" s="376">
        <f t="shared" si="24"/>
        <v>3.499999921768904E-5</v>
      </c>
      <c r="AW12" s="376">
        <f t="shared" si="24"/>
        <v>3.499999921768904E-5</v>
      </c>
      <c r="AX12" s="376">
        <f t="shared" si="24"/>
        <v>3.499999921768904E-5</v>
      </c>
      <c r="AY12" s="376">
        <f t="shared" si="24"/>
        <v>3.499999921768904E-5</v>
      </c>
      <c r="AZ12" s="376">
        <f t="shared" si="24"/>
        <v>3.499999921768904E-5</v>
      </c>
      <c r="BA12" s="376">
        <f t="shared" si="24"/>
        <v>3.499999921768904E-5</v>
      </c>
      <c r="BB12" s="376">
        <f t="shared" si="24"/>
        <v>3.499999921768904E-5</v>
      </c>
      <c r="BC12" s="376">
        <f t="shared" si="24"/>
        <v>3.499999921768904E-5</v>
      </c>
      <c r="BD12" s="376">
        <f t="shared" si="24"/>
        <v>3.499999921768904E-5</v>
      </c>
      <c r="BE12" s="376">
        <f t="shared" si="24"/>
        <v>3.499999921768904E-5</v>
      </c>
    </row>
    <row r="13" spans="1:58">
      <c r="B13" s="376"/>
      <c r="E13" s="445">
        <f>SUM(E8:E12)</f>
        <v>189011612.12</v>
      </c>
      <c r="F13" s="445">
        <f>SUM(F8:F12)</f>
        <v>180102328</v>
      </c>
      <c r="G13" s="445">
        <f>SUM(G8:G12)</f>
        <v>8909284.1199999973</v>
      </c>
      <c r="H13" s="436"/>
      <c r="I13" s="438"/>
      <c r="J13" s="437" t="s">
        <v>1787</v>
      </c>
    </row>
    <row r="14" spans="1:58" ht="15.75">
      <c r="A14" s="447" t="s">
        <v>1886</v>
      </c>
      <c r="E14" s="438"/>
      <c r="F14" s="441"/>
      <c r="G14" s="441"/>
      <c r="H14" s="441"/>
      <c r="I14" s="438"/>
      <c r="J14" s="438"/>
    </row>
    <row r="15" spans="1:58" ht="15.75">
      <c r="A15" s="448" t="s">
        <v>1784</v>
      </c>
      <c r="B15" s="376">
        <v>27267.75</v>
      </c>
      <c r="E15" s="438"/>
      <c r="F15" s="441"/>
      <c r="G15" s="441"/>
      <c r="H15" s="441"/>
      <c r="I15" s="438"/>
      <c r="J15" s="438"/>
    </row>
    <row r="16" spans="1:58" ht="15.75">
      <c r="A16" s="448" t="s">
        <v>1787</v>
      </c>
      <c r="B16" s="376">
        <v>5566618.1600000001</v>
      </c>
      <c r="E16" s="438"/>
      <c r="F16" s="441"/>
      <c r="G16" s="441"/>
      <c r="H16" s="441"/>
      <c r="I16" s="438"/>
      <c r="J16" s="438"/>
      <c r="K16" s="378" t="s">
        <v>2174</v>
      </c>
    </row>
    <row r="17" spans="1:58">
      <c r="A17" s="448" t="s">
        <v>1788</v>
      </c>
      <c r="B17" s="376">
        <v>1005645.77</v>
      </c>
      <c r="E17" s="377" t="s">
        <v>2162</v>
      </c>
      <c r="F17" s="377" t="s">
        <v>2163</v>
      </c>
      <c r="G17" s="438" t="s">
        <v>2164</v>
      </c>
      <c r="H17" s="438"/>
      <c r="I17" s="438"/>
      <c r="J17" s="438"/>
      <c r="L17" s="377" t="s">
        <v>2181</v>
      </c>
      <c r="M17" s="377" t="s">
        <v>2181</v>
      </c>
      <c r="N17" s="377" t="s">
        <v>2181</v>
      </c>
      <c r="O17" s="377" t="s">
        <v>2181</v>
      </c>
      <c r="P17" s="377" t="s">
        <v>2181</v>
      </c>
      <c r="Q17" s="377" t="s">
        <v>2181</v>
      </c>
      <c r="R17" s="377" t="s">
        <v>2181</v>
      </c>
      <c r="S17" s="377" t="s">
        <v>2181</v>
      </c>
      <c r="T17" s="377" t="s">
        <v>2181</v>
      </c>
      <c r="U17" s="377" t="s">
        <v>2181</v>
      </c>
      <c r="V17" s="377" t="s">
        <v>2181</v>
      </c>
      <c r="W17" s="377" t="s">
        <v>2181</v>
      </c>
      <c r="X17" s="377" t="s">
        <v>2181</v>
      </c>
      <c r="Y17" s="377" t="s">
        <v>2181</v>
      </c>
      <c r="Z17" s="377" t="s">
        <v>2181</v>
      </c>
      <c r="AA17" s="377" t="s">
        <v>2181</v>
      </c>
      <c r="AB17" s="377" t="s">
        <v>2181</v>
      </c>
      <c r="AC17" s="377" t="s">
        <v>2181</v>
      </c>
      <c r="AD17" s="377" t="s">
        <v>2181</v>
      </c>
      <c r="AE17" s="377" t="s">
        <v>2181</v>
      </c>
      <c r="AF17" s="377" t="s">
        <v>2181</v>
      </c>
      <c r="AG17" s="378" t="s">
        <v>2181</v>
      </c>
      <c r="AH17" s="378" t="s">
        <v>2181</v>
      </c>
      <c r="AI17" s="378" t="s">
        <v>2181</v>
      </c>
      <c r="AJ17" s="378" t="s">
        <v>2181</v>
      </c>
      <c r="AK17" s="378" t="s">
        <v>2181</v>
      </c>
      <c r="AL17" s="378" t="s">
        <v>2181</v>
      </c>
      <c r="AM17" s="378" t="s">
        <v>2181</v>
      </c>
      <c r="AN17" s="378" t="s">
        <v>2181</v>
      </c>
      <c r="AO17" s="378" t="s">
        <v>2181</v>
      </c>
      <c r="AP17" s="378" t="s">
        <v>2181</v>
      </c>
      <c r="AQ17" s="378" t="s">
        <v>2181</v>
      </c>
      <c r="AR17" s="378" t="s">
        <v>2181</v>
      </c>
      <c r="AS17" s="378" t="s">
        <v>2181</v>
      </c>
      <c r="AT17" s="378" t="s">
        <v>2181</v>
      </c>
      <c r="AU17" s="378" t="s">
        <v>2181</v>
      </c>
      <c r="AV17" s="378" t="s">
        <v>2181</v>
      </c>
      <c r="AW17" s="378" t="s">
        <v>2181</v>
      </c>
      <c r="AX17" s="378" t="s">
        <v>2181</v>
      </c>
      <c r="AY17" s="378" t="s">
        <v>2181</v>
      </c>
      <c r="AZ17" s="378" t="s">
        <v>2181</v>
      </c>
      <c r="BA17" s="378" t="s">
        <v>2181</v>
      </c>
      <c r="BB17" s="378" t="s">
        <v>2181</v>
      </c>
      <c r="BC17" s="378" t="s">
        <v>2181</v>
      </c>
      <c r="BD17" s="378" t="s">
        <v>2181</v>
      </c>
      <c r="BE17" s="378" t="s">
        <v>2181</v>
      </c>
      <c r="BF17" s="378" t="s">
        <v>2181</v>
      </c>
    </row>
    <row r="18" spans="1:58" ht="15.75">
      <c r="A18" s="448" t="s">
        <v>1789</v>
      </c>
      <c r="B18" s="376">
        <v>0</v>
      </c>
      <c r="E18" s="438"/>
      <c r="F18" s="441"/>
      <c r="G18" s="441"/>
      <c r="H18" s="441"/>
      <c r="I18" s="438"/>
      <c r="J18" s="438"/>
      <c r="Q18" s="377"/>
      <c r="R18" s="437"/>
      <c r="S18" s="437"/>
      <c r="T18" s="437"/>
      <c r="U18" s="437"/>
      <c r="V18" s="437"/>
      <c r="W18" s="437"/>
      <c r="X18" s="437"/>
      <c r="Y18" s="437"/>
      <c r="Z18" s="437"/>
      <c r="AA18" s="437"/>
      <c r="AB18" s="437"/>
      <c r="AC18" s="437"/>
      <c r="AD18" s="437"/>
      <c r="AE18" s="437"/>
      <c r="AF18" s="437"/>
      <c r="AG18" s="378"/>
      <c r="AH18" s="378"/>
      <c r="AI18" s="378"/>
      <c r="AJ18" s="378"/>
      <c r="AK18" s="378"/>
      <c r="AL18" s="378"/>
      <c r="AM18" s="378"/>
      <c r="AN18" s="378"/>
      <c r="AO18" s="378" t="s">
        <v>2174</v>
      </c>
      <c r="AP18" s="378"/>
      <c r="AQ18" s="378"/>
      <c r="AR18" s="378"/>
      <c r="AS18" s="378"/>
      <c r="AT18" s="378"/>
      <c r="AU18" s="378"/>
      <c r="AV18" s="378"/>
      <c r="AW18" s="378"/>
      <c r="AX18" s="378"/>
      <c r="AY18" s="378"/>
      <c r="AZ18" s="378"/>
      <c r="BA18" s="378"/>
      <c r="BB18" s="378"/>
      <c r="BC18" s="378"/>
      <c r="BD18" s="378"/>
      <c r="BE18" s="378" t="s">
        <v>2174</v>
      </c>
      <c r="BF18" s="378" t="s">
        <v>2174</v>
      </c>
    </row>
    <row r="19" spans="1:58" ht="15.75">
      <c r="A19" s="448" t="s">
        <v>1792</v>
      </c>
      <c r="B19" s="376">
        <v>6061.59</v>
      </c>
      <c r="D19" s="369">
        <v>2009</v>
      </c>
      <c r="E19" s="435">
        <f>SUM(B15,B16,B20)</f>
        <v>5604411.6699999999</v>
      </c>
      <c r="F19" s="436">
        <v>5277511</v>
      </c>
      <c r="G19" s="436">
        <f>E19-F19</f>
        <v>326900.66999999993</v>
      </c>
      <c r="H19" s="441"/>
      <c r="I19" s="438"/>
      <c r="J19" s="438" t="s">
        <v>2182</v>
      </c>
      <c r="L19" s="376">
        <f>G19+SUM(L8:L12)</f>
        <v>343433.91873799992</v>
      </c>
      <c r="M19" s="376">
        <f>L19+SUM(M8:M12)</f>
        <v>359967.16747599992</v>
      </c>
      <c r="N19" s="376">
        <f>M19+SUM(N8:N12)</f>
        <v>376500.41621399991</v>
      </c>
      <c r="O19" s="376">
        <f>N19+SUM(O8:O12)</f>
        <v>393033.6649519999</v>
      </c>
      <c r="P19" s="376">
        <f>O19+SUM(P8:P12)</f>
        <v>409566.9136899999</v>
      </c>
      <c r="Q19" s="435">
        <f>P19+SUM(Q8:Q12)</f>
        <v>426100.16242799989</v>
      </c>
      <c r="R19" s="376">
        <f t="shared" ref="R19:AF19" si="25">Q19+SUM(R8:R12)</f>
        <v>442633.41116599989</v>
      </c>
      <c r="S19" s="376">
        <f t="shared" si="25"/>
        <v>459166.65990399988</v>
      </c>
      <c r="T19" s="376">
        <f t="shared" si="25"/>
        <v>475699.90864199988</v>
      </c>
      <c r="U19" s="376">
        <f t="shared" si="25"/>
        <v>492233.15737999987</v>
      </c>
      <c r="V19" s="376">
        <f t="shared" si="25"/>
        <v>508766.40611799987</v>
      </c>
      <c r="W19" s="376">
        <f t="shared" si="25"/>
        <v>525299.65485599986</v>
      </c>
      <c r="X19" s="376">
        <f t="shared" si="25"/>
        <v>541832.90359399992</v>
      </c>
      <c r="Y19" s="376">
        <f t="shared" si="25"/>
        <v>558366.15233199997</v>
      </c>
      <c r="Z19" s="376">
        <f t="shared" si="25"/>
        <v>574899.40107000002</v>
      </c>
      <c r="AA19" s="376">
        <f t="shared" si="25"/>
        <v>591432.64980800007</v>
      </c>
      <c r="AB19" s="376">
        <f t="shared" si="25"/>
        <v>607965.89854600013</v>
      </c>
      <c r="AC19" s="376">
        <f t="shared" si="25"/>
        <v>624499.14728400018</v>
      </c>
      <c r="AD19" s="376">
        <f t="shared" si="25"/>
        <v>641032.39602200023</v>
      </c>
      <c r="AE19" s="376">
        <f t="shared" si="25"/>
        <v>657565.64476000029</v>
      </c>
      <c r="AF19" s="376">
        <f t="shared" si="25"/>
        <v>674098.89349800034</v>
      </c>
      <c r="AG19" s="379">
        <f>AF19+SUM(AG8:AG12)</f>
        <v>690632.14223600039</v>
      </c>
      <c r="AH19" s="379">
        <f>AG19+SUM(AH8:AH12)</f>
        <v>707165.39097400045</v>
      </c>
      <c r="AI19" s="379">
        <f t="shared" ref="AI19:AJ19" si="26">AH19+SUM(AI8:AI12)</f>
        <v>723698.6397120005</v>
      </c>
      <c r="AJ19" s="379">
        <f t="shared" si="26"/>
        <v>740231.88845000055</v>
      </c>
      <c r="AK19" s="379">
        <f t="shared" ref="AK19:AO19" si="27">AJ19+SUM(AK8:AK12)</f>
        <v>756765.1371880006</v>
      </c>
      <c r="AL19" s="379">
        <f t="shared" si="27"/>
        <v>773298.38592600066</v>
      </c>
      <c r="AM19" s="379">
        <f t="shared" si="27"/>
        <v>789831.63466400071</v>
      </c>
      <c r="AN19" s="379">
        <f t="shared" si="27"/>
        <v>806364.88340200076</v>
      </c>
      <c r="AO19" s="379">
        <f t="shared" si="27"/>
        <v>822898.13214000082</v>
      </c>
      <c r="AP19" s="379">
        <f t="shared" ref="AP19:BE19" si="28">AO19+SUM(AP8:AP12)</f>
        <v>839431.38087800087</v>
      </c>
      <c r="AQ19" s="379">
        <f t="shared" si="28"/>
        <v>855964.62961600092</v>
      </c>
      <c r="AR19" s="379">
        <f t="shared" si="28"/>
        <v>872497.87835400098</v>
      </c>
      <c r="AS19" s="379">
        <f t="shared" si="28"/>
        <v>889031.12709200103</v>
      </c>
      <c r="AT19" s="379">
        <f t="shared" si="28"/>
        <v>905564.37583000108</v>
      </c>
      <c r="AU19" s="379">
        <f t="shared" si="28"/>
        <v>922097.62456800113</v>
      </c>
      <c r="AV19" s="379">
        <f t="shared" si="28"/>
        <v>938630.87330600119</v>
      </c>
      <c r="AW19" s="379">
        <f t="shared" si="28"/>
        <v>955164.12204400124</v>
      </c>
      <c r="AX19" s="379">
        <f t="shared" si="28"/>
        <v>971697.37078200129</v>
      </c>
      <c r="AY19" s="379">
        <f t="shared" si="28"/>
        <v>988230.61952000135</v>
      </c>
      <c r="AZ19" s="379">
        <f t="shared" si="28"/>
        <v>1004763.8682580014</v>
      </c>
      <c r="BA19" s="379">
        <f t="shared" si="28"/>
        <v>1021297.1169960015</v>
      </c>
      <c r="BB19" s="379">
        <f t="shared" si="28"/>
        <v>1037830.3657340015</v>
      </c>
      <c r="BC19" s="379">
        <f t="shared" si="28"/>
        <v>1054363.6144720016</v>
      </c>
      <c r="BD19" s="379">
        <f t="shared" si="28"/>
        <v>1070896.8632100015</v>
      </c>
      <c r="BE19" s="379">
        <f t="shared" si="28"/>
        <v>1087430.1119480014</v>
      </c>
      <c r="BF19" s="379">
        <f>SUM(AS19:BE19)/13</f>
        <v>988230.61952000135</v>
      </c>
    </row>
    <row r="20" spans="1:58" ht="15.75">
      <c r="A20" s="448" t="s">
        <v>1871</v>
      </c>
      <c r="B20" s="376">
        <v>10525.76</v>
      </c>
      <c r="D20" s="369">
        <v>2011</v>
      </c>
      <c r="E20" s="435">
        <f>SUM(B17,B19)</f>
        <v>1011707.36</v>
      </c>
      <c r="F20" s="436">
        <v>1008226.26</v>
      </c>
      <c r="G20" s="436">
        <f>E20-F20</f>
        <v>3481.0999999999767</v>
      </c>
      <c r="H20" s="441"/>
      <c r="I20" s="438"/>
      <c r="J20" s="437" t="s">
        <v>1787</v>
      </c>
      <c r="Q20" s="374"/>
      <c r="AG20" s="374"/>
      <c r="AH20" s="374"/>
      <c r="AI20" s="374"/>
      <c r="AJ20" s="374"/>
      <c r="AK20" s="374"/>
      <c r="AL20" s="374"/>
      <c r="AM20" s="374"/>
      <c r="AN20" s="374"/>
      <c r="AO20" s="374">
        <f>AO6</f>
        <v>42794</v>
      </c>
      <c r="AP20" s="374"/>
      <c r="AQ20" s="374"/>
      <c r="AR20" s="374"/>
      <c r="AS20" s="374"/>
      <c r="AT20" s="374"/>
      <c r="AU20" s="374"/>
      <c r="AV20" s="374"/>
      <c r="AW20" s="374"/>
      <c r="AX20" s="374"/>
      <c r="AY20" s="374"/>
      <c r="AZ20" s="374"/>
      <c r="BA20" s="374"/>
      <c r="BB20" s="374"/>
      <c r="BC20" s="374"/>
      <c r="BD20" s="374"/>
      <c r="BE20" s="374">
        <f t="shared" ref="BE20" si="29">BE6</f>
        <v>43281</v>
      </c>
      <c r="BF20" s="449" t="s">
        <v>2086</v>
      </c>
    </row>
    <row r="21" spans="1:58" ht="15.75">
      <c r="B21" s="444">
        <f>SUM(B15:B20)</f>
        <v>6616119.0299999993</v>
      </c>
      <c r="E21" s="439">
        <f>SUM(E19:E20)</f>
        <v>6616119.0300000003</v>
      </c>
      <c r="F21" s="439">
        <f t="shared" ref="F21:G21" si="30">SUM(F19:F20)</f>
        <v>6285737.2599999998</v>
      </c>
      <c r="G21" s="439">
        <f t="shared" si="30"/>
        <v>330381.7699999999</v>
      </c>
      <c r="H21" s="441"/>
      <c r="I21" s="438"/>
      <c r="J21" s="438"/>
    </row>
    <row r="22" spans="1:58" ht="15.75">
      <c r="B22" s="376"/>
      <c r="F22" s="446"/>
      <c r="G22" s="446"/>
      <c r="H22" s="446"/>
    </row>
    <row r="23" spans="1:58">
      <c r="A23" s="450" t="s">
        <v>2173</v>
      </c>
      <c r="B23" s="376"/>
    </row>
    <row r="24" spans="1:58">
      <c r="A24" s="451" t="s">
        <v>1538</v>
      </c>
      <c r="B24" s="376">
        <v>266359366.59999999</v>
      </c>
    </row>
    <row r="25" spans="1:58">
      <c r="A25" s="451" t="s">
        <v>1539</v>
      </c>
      <c r="B25" s="376">
        <v>359690383.24000001</v>
      </c>
    </row>
    <row r="26" spans="1:58">
      <c r="A26" s="451" t="s">
        <v>1540</v>
      </c>
      <c r="B26" s="376">
        <v>34723.19</v>
      </c>
    </row>
  </sheetData>
  <pageMargins left="0.7" right="0.7" top="0.75" bottom="0.75" header="0.3" footer="0.3"/>
  <pageSetup scale="55"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AK134"/>
  <sheetViews>
    <sheetView workbookViewId="0">
      <selection activeCell="A7" sqref="A7"/>
    </sheetView>
  </sheetViews>
  <sheetFormatPr defaultColWidth="9" defaultRowHeight="15"/>
  <cols>
    <col min="1" max="1" width="38" style="623" bestFit="1" customWidth="1"/>
    <col min="2" max="16384" width="9" style="623"/>
  </cols>
  <sheetData>
    <row r="1" spans="1:37" s="622" customFormat="1">
      <c r="A1" s="621" t="s">
        <v>3275</v>
      </c>
      <c r="B1" s="622" t="s">
        <v>2326</v>
      </c>
      <c r="C1" s="622" t="s">
        <v>2327</v>
      </c>
      <c r="D1" s="622" t="s">
        <v>2328</v>
      </c>
      <c r="E1" s="622" t="s">
        <v>2329</v>
      </c>
      <c r="F1" s="622" t="s">
        <v>2330</v>
      </c>
      <c r="G1" s="622" t="s">
        <v>2331</v>
      </c>
      <c r="H1" s="622" t="s">
        <v>2332</v>
      </c>
      <c r="I1" s="622" t="s">
        <v>2333</v>
      </c>
      <c r="J1" s="622" t="s">
        <v>2334</v>
      </c>
      <c r="K1" s="622" t="s">
        <v>2335</v>
      </c>
      <c r="L1" s="622" t="s">
        <v>2336</v>
      </c>
      <c r="M1" s="622" t="s">
        <v>2337</v>
      </c>
      <c r="N1" s="622" t="s">
        <v>2338</v>
      </c>
      <c r="O1" s="622" t="s">
        <v>2339</v>
      </c>
      <c r="P1" s="622" t="s">
        <v>2391</v>
      </c>
      <c r="Q1" s="622" t="s">
        <v>2392</v>
      </c>
      <c r="R1" s="622" t="s">
        <v>2393</v>
      </c>
      <c r="S1" s="622" t="s">
        <v>2365</v>
      </c>
      <c r="T1" s="622" t="s">
        <v>2366</v>
      </c>
      <c r="U1" s="622" t="s">
        <v>2367</v>
      </c>
      <c r="V1" s="622" t="s">
        <v>2368</v>
      </c>
      <c r="W1" s="622" t="s">
        <v>2369</v>
      </c>
      <c r="X1" s="622" t="s">
        <v>2370</v>
      </c>
      <c r="Y1" s="622" t="s">
        <v>2371</v>
      </c>
      <c r="Z1" s="622" t="s">
        <v>2372</v>
      </c>
      <c r="AA1" s="622" t="s">
        <v>2373</v>
      </c>
      <c r="AB1" s="622" t="s">
        <v>2374</v>
      </c>
      <c r="AC1" s="622" t="s">
        <v>2375</v>
      </c>
      <c r="AD1" s="622" t="s">
        <v>2376</v>
      </c>
      <c r="AE1" s="622" t="s">
        <v>2377</v>
      </c>
      <c r="AF1" s="622" t="s">
        <v>3276</v>
      </c>
      <c r="AG1" s="622" t="s">
        <v>3277</v>
      </c>
      <c r="AH1" s="622" t="s">
        <v>3278</v>
      </c>
      <c r="AI1" s="622" t="s">
        <v>3279</v>
      </c>
      <c r="AJ1" s="622" t="s">
        <v>3280</v>
      </c>
      <c r="AK1" s="622" t="s">
        <v>3281</v>
      </c>
    </row>
    <row r="2" spans="1:37">
      <c r="A2" s="621"/>
      <c r="B2" s="622"/>
      <c r="C2" s="622"/>
      <c r="D2" s="622"/>
      <c r="E2" s="622"/>
      <c r="F2" s="622"/>
      <c r="G2" s="622"/>
      <c r="H2" s="622"/>
      <c r="I2" s="622"/>
      <c r="J2" s="622"/>
      <c r="K2" s="622"/>
      <c r="L2" s="622"/>
      <c r="M2" s="622"/>
      <c r="N2" s="622"/>
      <c r="O2" s="622"/>
      <c r="P2" s="622"/>
      <c r="Q2" s="622"/>
      <c r="R2" s="622"/>
      <c r="S2" s="622"/>
      <c r="T2" s="622"/>
      <c r="U2" s="622"/>
      <c r="V2" s="622"/>
      <c r="W2" s="622"/>
      <c r="X2" s="622"/>
      <c r="Y2" s="622"/>
      <c r="Z2" s="622"/>
      <c r="AA2" s="622"/>
      <c r="AB2" s="622"/>
      <c r="AC2" s="622"/>
      <c r="AD2" s="622"/>
      <c r="AE2" s="622"/>
      <c r="AF2" s="622"/>
      <c r="AG2" s="622"/>
      <c r="AH2" s="622"/>
      <c r="AI2" s="622"/>
      <c r="AJ2" s="622"/>
      <c r="AK2" s="622"/>
    </row>
    <row r="3" spans="1:37">
      <c r="A3" s="624" t="s">
        <v>3282</v>
      </c>
    </row>
    <row r="4" spans="1:37">
      <c r="A4" s="625" t="s">
        <v>3283</v>
      </c>
      <c r="B4" s="626"/>
      <c r="C4" s="626"/>
      <c r="D4" s="626"/>
      <c r="E4" s="626"/>
      <c r="F4" s="626"/>
      <c r="G4" s="626"/>
      <c r="H4" s="626"/>
      <c r="I4" s="626"/>
      <c r="J4" s="626">
        <v>150.97481999999999</v>
      </c>
      <c r="K4" s="626">
        <v>156.3653419437</v>
      </c>
      <c r="L4" s="626">
        <v>161.75586388740001</v>
      </c>
      <c r="M4" s="626">
        <v>167.14638583110002</v>
      </c>
      <c r="N4" s="626">
        <v>172.53690777480003</v>
      </c>
      <c r="O4" s="626">
        <v>177.92742971850004</v>
      </c>
      <c r="P4" s="626">
        <v>183.31795166220004</v>
      </c>
      <c r="Q4" s="626">
        <v>188.70847360590005</v>
      </c>
      <c r="R4" s="626">
        <v>194.09899554960006</v>
      </c>
      <c r="S4" s="626">
        <v>199.48951749330007</v>
      </c>
      <c r="T4" s="626">
        <v>204.88003943700008</v>
      </c>
      <c r="U4" s="626">
        <v>211.34997030695007</v>
      </c>
      <c r="V4" s="626">
        <v>217.81990117690006</v>
      </c>
      <c r="W4" s="626">
        <v>224.28983204685005</v>
      </c>
      <c r="X4" s="626">
        <v>230.75976291680004</v>
      </c>
      <c r="Y4" s="626">
        <v>237.22969378675003</v>
      </c>
      <c r="Z4" s="626">
        <v>243.69962465670002</v>
      </c>
      <c r="AA4" s="626">
        <v>250.16955552665002</v>
      </c>
      <c r="AB4" s="626">
        <v>256.63948639659998</v>
      </c>
      <c r="AC4" s="626">
        <v>263.10941726654994</v>
      </c>
      <c r="AD4" s="626">
        <v>269.5793481364999</v>
      </c>
      <c r="AE4" s="626">
        <v>276.04927900644986</v>
      </c>
      <c r="AF4" s="626">
        <v>282.51920987639983</v>
      </c>
      <c r="AG4" s="626">
        <v>288.98914074634979</v>
      </c>
      <c r="AH4" s="626">
        <v>295.45907161629975</v>
      </c>
      <c r="AI4" s="626">
        <v>301.92900248624971</v>
      </c>
      <c r="AJ4" s="626">
        <v>308.39893335619968</v>
      </c>
      <c r="AK4" s="626">
        <v>314.86886422614964</v>
      </c>
    </row>
    <row r="5" spans="1:37">
      <c r="A5" s="625" t="s">
        <v>3284</v>
      </c>
      <c r="B5" s="626"/>
      <c r="C5" s="626"/>
      <c r="D5" s="626"/>
      <c r="E5" s="626"/>
      <c r="F5" s="626"/>
      <c r="G5" s="626"/>
      <c r="H5" s="626"/>
      <c r="I5" s="626"/>
      <c r="J5" s="626">
        <v>5.3905219437000005</v>
      </c>
      <c r="K5" s="626">
        <v>5.3905219437000005</v>
      </c>
      <c r="L5" s="626">
        <v>5.3905219437000005</v>
      </c>
      <c r="M5" s="626">
        <v>5.3905219437000005</v>
      </c>
      <c r="N5" s="626">
        <v>5.3905219437000005</v>
      </c>
      <c r="O5" s="626">
        <v>5.3905219437000005</v>
      </c>
      <c r="P5" s="626">
        <v>5.3905219437000005</v>
      </c>
      <c r="Q5" s="626">
        <v>5.3905219437000005</v>
      </c>
      <c r="R5" s="626">
        <v>5.3905219437000005</v>
      </c>
      <c r="S5" s="626">
        <v>5.3905219437000005</v>
      </c>
      <c r="T5" s="626">
        <v>6.46993086994999</v>
      </c>
      <c r="U5" s="626">
        <v>6.46993086994999</v>
      </c>
      <c r="V5" s="626">
        <v>6.46993086994999</v>
      </c>
      <c r="W5" s="626">
        <v>6.46993086994999</v>
      </c>
      <c r="X5" s="626">
        <v>6.46993086994999</v>
      </c>
      <c r="Y5" s="626">
        <v>6.46993086994999</v>
      </c>
      <c r="Z5" s="626">
        <v>6.46993086994999</v>
      </c>
      <c r="AA5" s="626">
        <v>6.46993086994999</v>
      </c>
      <c r="AB5" s="626">
        <v>6.46993086994999</v>
      </c>
      <c r="AC5" s="626">
        <v>6.46993086994999</v>
      </c>
      <c r="AD5" s="626">
        <v>6.46993086994999</v>
      </c>
      <c r="AE5" s="626">
        <v>6.46993086994999</v>
      </c>
      <c r="AF5" s="626">
        <v>6.46993086994999</v>
      </c>
      <c r="AG5" s="626">
        <v>6.46993086994999</v>
      </c>
      <c r="AH5" s="626">
        <v>6.46993086994999</v>
      </c>
      <c r="AI5" s="626">
        <v>6.46993086994999</v>
      </c>
      <c r="AJ5" s="626">
        <v>6.46993086994999</v>
      </c>
      <c r="AK5" s="626">
        <v>6.46993086994999</v>
      </c>
    </row>
    <row r="6" spans="1:37">
      <c r="A6" s="625" t="s">
        <v>1886</v>
      </c>
      <c r="B6" s="626"/>
      <c r="C6" s="626"/>
      <c r="D6" s="626"/>
      <c r="E6" s="626"/>
      <c r="F6" s="626"/>
      <c r="G6" s="626"/>
      <c r="H6" s="626"/>
      <c r="I6" s="626"/>
      <c r="J6" s="626">
        <v>156.3653419437</v>
      </c>
      <c r="K6" s="626">
        <v>161.75586388740001</v>
      </c>
      <c r="L6" s="626">
        <v>167.14638583110002</v>
      </c>
      <c r="M6" s="626">
        <v>172.53690777480003</v>
      </c>
      <c r="N6" s="626">
        <v>177.92742971850004</v>
      </c>
      <c r="O6" s="626">
        <v>183.31795166220004</v>
      </c>
      <c r="P6" s="626">
        <v>188.70847360590005</v>
      </c>
      <c r="Q6" s="626">
        <v>194.09899554960006</v>
      </c>
      <c r="R6" s="626">
        <v>199.48951749330007</v>
      </c>
      <c r="S6" s="626">
        <v>204.88003943700008</v>
      </c>
      <c r="T6" s="626">
        <v>211.34997030695007</v>
      </c>
      <c r="U6" s="626">
        <v>217.81990117690006</v>
      </c>
      <c r="V6" s="626">
        <v>224.28983204685005</v>
      </c>
      <c r="W6" s="626">
        <v>230.75976291680004</v>
      </c>
      <c r="X6" s="626">
        <v>237.22969378675003</v>
      </c>
      <c r="Y6" s="626">
        <v>243.69962465670002</v>
      </c>
      <c r="Z6" s="626">
        <v>250.16955552665002</v>
      </c>
      <c r="AA6" s="626">
        <v>256.63948639659998</v>
      </c>
      <c r="AB6" s="626">
        <v>263.10941726654994</v>
      </c>
      <c r="AC6" s="626">
        <v>269.5793481364999</v>
      </c>
      <c r="AD6" s="626">
        <v>276.04927900644986</v>
      </c>
      <c r="AE6" s="626">
        <v>282.51920987639983</v>
      </c>
      <c r="AF6" s="626">
        <v>288.98914074634979</v>
      </c>
      <c r="AG6" s="626">
        <v>295.45907161629975</v>
      </c>
      <c r="AH6" s="626">
        <v>301.92900248624971</v>
      </c>
      <c r="AI6" s="626">
        <v>308.39893335619968</v>
      </c>
      <c r="AJ6" s="626">
        <v>314.86886422614964</v>
      </c>
      <c r="AK6" s="626">
        <v>321.3387950960996</v>
      </c>
    </row>
    <row r="7" spans="1:37">
      <c r="A7" s="625" t="s">
        <v>3285</v>
      </c>
      <c r="B7" s="626"/>
      <c r="C7" s="626"/>
      <c r="D7" s="626"/>
      <c r="E7" s="626"/>
      <c r="F7" s="626"/>
      <c r="G7" s="626"/>
      <c r="H7" s="626"/>
      <c r="I7" s="626"/>
      <c r="J7" s="626">
        <v>0</v>
      </c>
      <c r="K7" s="626">
        <v>0</v>
      </c>
      <c r="L7" s="626">
        <v>0</v>
      </c>
      <c r="M7" s="626">
        <v>0</v>
      </c>
      <c r="N7" s="626">
        <v>0</v>
      </c>
      <c r="O7" s="626">
        <v>0</v>
      </c>
      <c r="P7" s="626">
        <v>0</v>
      </c>
      <c r="Q7" s="626">
        <v>0</v>
      </c>
      <c r="R7" s="626">
        <v>0</v>
      </c>
      <c r="S7" s="626">
        <v>0</v>
      </c>
      <c r="T7" s="626">
        <v>0</v>
      </c>
      <c r="U7" s="626">
        <v>0</v>
      </c>
      <c r="V7" s="626">
        <v>0</v>
      </c>
      <c r="W7" s="626">
        <v>0</v>
      </c>
      <c r="X7" s="626">
        <v>0</v>
      </c>
      <c r="Y7" s="626">
        <v>0</v>
      </c>
      <c r="Z7" s="626">
        <v>0</v>
      </c>
      <c r="AA7" s="626">
        <v>0</v>
      </c>
      <c r="AB7" s="626">
        <v>0</v>
      </c>
      <c r="AC7" s="626">
        <v>0</v>
      </c>
      <c r="AD7" s="626">
        <v>0</v>
      </c>
      <c r="AE7" s="626">
        <v>0</v>
      </c>
      <c r="AF7" s="626">
        <v>0</v>
      </c>
      <c r="AG7" s="626">
        <v>0</v>
      </c>
      <c r="AH7" s="626">
        <v>0</v>
      </c>
      <c r="AI7" s="626">
        <v>0</v>
      </c>
      <c r="AJ7" s="626">
        <v>0</v>
      </c>
      <c r="AK7" s="626">
        <v>0</v>
      </c>
    </row>
    <row r="8" spans="1:37">
      <c r="A8" s="625" t="s">
        <v>3286</v>
      </c>
      <c r="B8" s="626"/>
      <c r="C8" s="626"/>
      <c r="D8" s="626"/>
      <c r="E8" s="626"/>
      <c r="F8" s="626"/>
      <c r="G8" s="626"/>
      <c r="H8" s="626"/>
      <c r="I8" s="626"/>
      <c r="J8" s="626">
        <v>156.3653419437</v>
      </c>
      <c r="K8" s="626">
        <v>161.75586388740001</v>
      </c>
      <c r="L8" s="626">
        <v>167.14638583110002</v>
      </c>
      <c r="M8" s="626">
        <v>172.53690777480003</v>
      </c>
      <c r="N8" s="626">
        <v>177.92742971850004</v>
      </c>
      <c r="O8" s="626">
        <v>183.31795166220004</v>
      </c>
      <c r="P8" s="626">
        <v>188.70847360590005</v>
      </c>
      <c r="Q8" s="626">
        <v>194.09899554960006</v>
      </c>
      <c r="R8" s="626">
        <v>199.48951749330007</v>
      </c>
      <c r="S8" s="626">
        <v>204.88003943700008</v>
      </c>
      <c r="T8" s="626">
        <v>211.34997030695007</v>
      </c>
      <c r="U8" s="626">
        <v>217.81990117690006</v>
      </c>
      <c r="V8" s="626">
        <v>224.28983204685005</v>
      </c>
      <c r="W8" s="626">
        <v>230.75976291680004</v>
      </c>
      <c r="X8" s="626">
        <v>237.22969378675003</v>
      </c>
      <c r="Y8" s="626">
        <v>243.69962465670002</v>
      </c>
      <c r="Z8" s="626">
        <v>250.16955552665002</v>
      </c>
      <c r="AA8" s="626">
        <v>256.63948639659998</v>
      </c>
      <c r="AB8" s="626">
        <v>263.10941726654994</v>
      </c>
      <c r="AC8" s="626">
        <v>269.5793481364999</v>
      </c>
      <c r="AD8" s="626">
        <v>276.04927900644986</v>
      </c>
      <c r="AE8" s="626">
        <v>282.51920987639983</v>
      </c>
      <c r="AF8" s="626">
        <v>288.98914074634979</v>
      </c>
      <c r="AG8" s="626">
        <v>295.45907161629975</v>
      </c>
      <c r="AH8" s="626">
        <v>301.92900248624971</v>
      </c>
      <c r="AI8" s="626">
        <v>308.39893335619968</v>
      </c>
      <c r="AJ8" s="626">
        <v>314.86886422614964</v>
      </c>
      <c r="AK8" s="626">
        <v>321.3387950960996</v>
      </c>
    </row>
    <row r="9" spans="1:37">
      <c r="A9" s="624" t="s">
        <v>3287</v>
      </c>
    </row>
    <row r="10" spans="1:37">
      <c r="A10" s="625" t="s">
        <v>3283</v>
      </c>
      <c r="B10" s="626"/>
      <c r="C10" s="626"/>
      <c r="D10" s="626"/>
      <c r="E10" s="626"/>
      <c r="F10" s="626"/>
      <c r="G10" s="626"/>
      <c r="H10" s="626"/>
      <c r="I10" s="626"/>
      <c r="J10" s="626">
        <v>173.10785999999999</v>
      </c>
      <c r="K10" s="626">
        <v>182.85764834949998</v>
      </c>
      <c r="L10" s="626">
        <v>192.60743669899998</v>
      </c>
      <c r="M10" s="626">
        <v>202.35722504849997</v>
      </c>
      <c r="N10" s="626">
        <v>212.10701339799996</v>
      </c>
      <c r="O10" s="626">
        <v>221.85680174749996</v>
      </c>
      <c r="P10" s="626">
        <v>231.60659009699995</v>
      </c>
      <c r="Q10" s="626">
        <v>241.35637844649995</v>
      </c>
      <c r="R10" s="626">
        <v>251.10616679599994</v>
      </c>
      <c r="S10" s="626">
        <v>260.85595514549993</v>
      </c>
      <c r="T10" s="626">
        <v>270.60574349499996</v>
      </c>
      <c r="U10" s="626">
        <v>285.68041624989996</v>
      </c>
      <c r="V10" s="626">
        <v>300.75508900479997</v>
      </c>
      <c r="W10" s="626">
        <v>315.82976175969998</v>
      </c>
      <c r="X10" s="626">
        <v>330.90443451459998</v>
      </c>
      <c r="Y10" s="626">
        <v>345.97910726949999</v>
      </c>
      <c r="Z10" s="626">
        <v>361.0537800244</v>
      </c>
      <c r="AA10" s="626">
        <v>376.12845277930001</v>
      </c>
      <c r="AB10" s="626">
        <v>391.20312553420001</v>
      </c>
      <c r="AC10" s="626">
        <v>406.27779828910002</v>
      </c>
      <c r="AD10" s="626">
        <v>421.35247104400003</v>
      </c>
      <c r="AE10" s="626">
        <v>436.42714379890003</v>
      </c>
      <c r="AF10" s="626">
        <v>451.50181655380004</v>
      </c>
      <c r="AG10" s="626">
        <v>466.57648930870005</v>
      </c>
      <c r="AH10" s="626">
        <v>481.65116206360005</v>
      </c>
      <c r="AI10" s="626">
        <v>496.72583481850006</v>
      </c>
      <c r="AJ10" s="626">
        <v>511.80050757340007</v>
      </c>
      <c r="AK10" s="626">
        <v>526.87518032830008</v>
      </c>
    </row>
    <row r="11" spans="1:37">
      <c r="A11" s="625" t="s">
        <v>3284</v>
      </c>
      <c r="B11" s="626"/>
      <c r="C11" s="626"/>
      <c r="D11" s="626"/>
      <c r="E11" s="626"/>
      <c r="F11" s="626"/>
      <c r="G11" s="626"/>
      <c r="H11" s="626"/>
      <c r="I11" s="626"/>
      <c r="J11" s="626">
        <v>9.7497883494999993</v>
      </c>
      <c r="K11" s="626">
        <v>9.7497883494999993</v>
      </c>
      <c r="L11" s="626">
        <v>9.7497883494999993</v>
      </c>
      <c r="M11" s="626">
        <v>9.7497883494999993</v>
      </c>
      <c r="N11" s="626">
        <v>9.7497883494999993</v>
      </c>
      <c r="O11" s="626">
        <v>9.7497883494999993</v>
      </c>
      <c r="P11" s="626">
        <v>9.7497883494999993</v>
      </c>
      <c r="Q11" s="626">
        <v>9.7497883494999993</v>
      </c>
      <c r="R11" s="626">
        <v>9.7497883494999993</v>
      </c>
      <c r="S11" s="626">
        <v>9.7497883494999993</v>
      </c>
      <c r="T11" s="626">
        <v>15.0746727549</v>
      </c>
      <c r="U11" s="626">
        <v>15.0746727549</v>
      </c>
      <c r="V11" s="626">
        <v>15.0746727549</v>
      </c>
      <c r="W11" s="626">
        <v>15.0746727549</v>
      </c>
      <c r="X11" s="626">
        <v>15.0746727549</v>
      </c>
      <c r="Y11" s="626">
        <v>15.0746727549</v>
      </c>
      <c r="Z11" s="626">
        <v>15.0746727549</v>
      </c>
      <c r="AA11" s="626">
        <v>15.0746727549</v>
      </c>
      <c r="AB11" s="626">
        <v>15.0746727549</v>
      </c>
      <c r="AC11" s="626">
        <v>15.0746727549</v>
      </c>
      <c r="AD11" s="626">
        <v>15.0746727549</v>
      </c>
      <c r="AE11" s="626">
        <v>15.0746727549</v>
      </c>
      <c r="AF11" s="626">
        <v>15.0746727549</v>
      </c>
      <c r="AG11" s="626">
        <v>15.0746727549</v>
      </c>
      <c r="AH11" s="626">
        <v>15.0746727549</v>
      </c>
      <c r="AI11" s="626">
        <v>15.0746727549</v>
      </c>
      <c r="AJ11" s="626">
        <v>15.0746727549</v>
      </c>
      <c r="AK11" s="626">
        <v>15.0746727549</v>
      </c>
    </row>
    <row r="12" spans="1:37">
      <c r="A12" s="625" t="s">
        <v>1886</v>
      </c>
      <c r="B12" s="626"/>
      <c r="C12" s="626"/>
      <c r="D12" s="626"/>
      <c r="E12" s="626"/>
      <c r="F12" s="626"/>
      <c r="G12" s="626"/>
      <c r="H12" s="626"/>
      <c r="I12" s="626"/>
      <c r="J12" s="626">
        <v>182.85764834949998</v>
      </c>
      <c r="K12" s="626">
        <v>192.60743669899998</v>
      </c>
      <c r="L12" s="626">
        <v>202.35722504849997</v>
      </c>
      <c r="M12" s="626">
        <v>212.10701339799996</v>
      </c>
      <c r="N12" s="626">
        <v>221.85680174749996</v>
      </c>
      <c r="O12" s="626">
        <v>231.60659009699995</v>
      </c>
      <c r="P12" s="626">
        <v>241.35637844649995</v>
      </c>
      <c r="Q12" s="626">
        <v>251.10616679599994</v>
      </c>
      <c r="R12" s="626">
        <v>260.85595514549993</v>
      </c>
      <c r="S12" s="626">
        <v>270.60574349499996</v>
      </c>
      <c r="T12" s="626">
        <v>285.68041624989996</v>
      </c>
      <c r="U12" s="626">
        <v>300.75508900479997</v>
      </c>
      <c r="V12" s="626">
        <v>315.82976175969998</v>
      </c>
      <c r="W12" s="626">
        <v>330.90443451459998</v>
      </c>
      <c r="X12" s="626">
        <v>345.97910726949999</v>
      </c>
      <c r="Y12" s="626">
        <v>361.0537800244</v>
      </c>
      <c r="Z12" s="626">
        <v>376.12845277930001</v>
      </c>
      <c r="AA12" s="626">
        <v>391.20312553420001</v>
      </c>
      <c r="AB12" s="626">
        <v>406.27779828910002</v>
      </c>
      <c r="AC12" s="626">
        <v>421.35247104400003</v>
      </c>
      <c r="AD12" s="626">
        <v>436.42714379890003</v>
      </c>
      <c r="AE12" s="626">
        <v>451.50181655380004</v>
      </c>
      <c r="AF12" s="626">
        <v>466.57648930870005</v>
      </c>
      <c r="AG12" s="626">
        <v>481.65116206360005</v>
      </c>
      <c r="AH12" s="626">
        <v>496.72583481850006</v>
      </c>
      <c r="AI12" s="626">
        <v>511.80050757340007</v>
      </c>
      <c r="AJ12" s="626">
        <v>526.87518032830008</v>
      </c>
      <c r="AK12" s="626">
        <v>541.94985308320008</v>
      </c>
    </row>
    <row r="13" spans="1:37">
      <c r="A13" s="625" t="s">
        <v>3285</v>
      </c>
      <c r="B13" s="626"/>
      <c r="C13" s="626"/>
      <c r="D13" s="626"/>
      <c r="E13" s="626"/>
      <c r="F13" s="626"/>
      <c r="G13" s="626"/>
      <c r="H13" s="626"/>
      <c r="I13" s="626"/>
      <c r="J13" s="626">
        <v>0</v>
      </c>
      <c r="K13" s="626">
        <v>0</v>
      </c>
      <c r="L13" s="626">
        <v>0</v>
      </c>
      <c r="M13" s="626">
        <v>0</v>
      </c>
      <c r="N13" s="626">
        <v>0</v>
      </c>
      <c r="O13" s="626">
        <v>0</v>
      </c>
      <c r="P13" s="626">
        <v>0</v>
      </c>
      <c r="Q13" s="626">
        <v>0</v>
      </c>
      <c r="R13" s="626">
        <v>0</v>
      </c>
      <c r="S13" s="626">
        <v>0</v>
      </c>
      <c r="T13" s="626">
        <v>0</v>
      </c>
      <c r="U13" s="626">
        <v>0</v>
      </c>
      <c r="V13" s="626">
        <v>0</v>
      </c>
      <c r="W13" s="626">
        <v>0</v>
      </c>
      <c r="X13" s="626">
        <v>0</v>
      </c>
      <c r="Y13" s="626">
        <v>0</v>
      </c>
      <c r="Z13" s="626">
        <v>0</v>
      </c>
      <c r="AA13" s="626">
        <v>0</v>
      </c>
      <c r="AB13" s="626">
        <v>0</v>
      </c>
      <c r="AC13" s="626">
        <v>0</v>
      </c>
      <c r="AD13" s="626">
        <v>0</v>
      </c>
      <c r="AE13" s="626">
        <v>0</v>
      </c>
      <c r="AF13" s="626">
        <v>0</v>
      </c>
      <c r="AG13" s="626">
        <v>0</v>
      </c>
      <c r="AH13" s="626">
        <v>0</v>
      </c>
      <c r="AI13" s="626">
        <v>0</v>
      </c>
      <c r="AJ13" s="626">
        <v>0</v>
      </c>
      <c r="AK13" s="626">
        <v>0</v>
      </c>
    </row>
    <row r="14" spans="1:37">
      <c r="A14" s="625" t="s">
        <v>3286</v>
      </c>
      <c r="B14" s="626"/>
      <c r="C14" s="626"/>
      <c r="D14" s="626"/>
      <c r="E14" s="626"/>
      <c r="F14" s="626"/>
      <c r="G14" s="626"/>
      <c r="H14" s="626"/>
      <c r="I14" s="626"/>
      <c r="J14" s="626">
        <v>182.85764834949998</v>
      </c>
      <c r="K14" s="626">
        <v>192.60743669899998</v>
      </c>
      <c r="L14" s="626">
        <v>202.35722504849997</v>
      </c>
      <c r="M14" s="626">
        <v>212.10701339799996</v>
      </c>
      <c r="N14" s="626">
        <v>221.85680174749996</v>
      </c>
      <c r="O14" s="626">
        <v>231.60659009699995</v>
      </c>
      <c r="P14" s="626">
        <v>241.35637844649995</v>
      </c>
      <c r="Q14" s="626">
        <v>251.10616679599994</v>
      </c>
      <c r="R14" s="626">
        <v>260.85595514549993</v>
      </c>
      <c r="S14" s="626">
        <v>270.60574349499996</v>
      </c>
      <c r="T14" s="626">
        <v>285.68041624989996</v>
      </c>
      <c r="U14" s="626">
        <v>300.75508900479997</v>
      </c>
      <c r="V14" s="626">
        <v>315.82976175969998</v>
      </c>
      <c r="W14" s="626">
        <v>330.90443451459998</v>
      </c>
      <c r="X14" s="626">
        <v>345.97910726949999</v>
      </c>
      <c r="Y14" s="626">
        <v>361.0537800244</v>
      </c>
      <c r="Z14" s="626">
        <v>376.12845277930001</v>
      </c>
      <c r="AA14" s="626">
        <v>391.20312553420001</v>
      </c>
      <c r="AB14" s="626">
        <v>406.27779828910002</v>
      </c>
      <c r="AC14" s="626">
        <v>421.35247104400003</v>
      </c>
      <c r="AD14" s="626">
        <v>436.42714379890003</v>
      </c>
      <c r="AE14" s="626">
        <v>451.50181655380004</v>
      </c>
      <c r="AF14" s="626">
        <v>466.57648930870005</v>
      </c>
      <c r="AG14" s="626">
        <v>481.65116206360005</v>
      </c>
      <c r="AH14" s="626">
        <v>496.72583481850006</v>
      </c>
      <c r="AI14" s="626">
        <v>511.80050757340007</v>
      </c>
      <c r="AJ14" s="626">
        <v>526.87518032830008</v>
      </c>
      <c r="AK14" s="626">
        <v>541.94985308320008</v>
      </c>
    </row>
    <row r="15" spans="1:37">
      <c r="A15" s="624" t="s">
        <v>3288</v>
      </c>
    </row>
    <row r="16" spans="1:37">
      <c r="A16" s="625" t="s">
        <v>3283</v>
      </c>
      <c r="B16" s="626"/>
      <c r="C16" s="626"/>
      <c r="D16" s="626"/>
      <c r="E16" s="626"/>
      <c r="F16" s="626"/>
      <c r="G16" s="626"/>
      <c r="H16" s="626"/>
      <c r="I16" s="626"/>
      <c r="J16" s="626">
        <v>24930.751219999998</v>
      </c>
      <c r="K16" s="626">
        <v>25823.717065275698</v>
      </c>
      <c r="L16" s="626">
        <v>26734.948119810397</v>
      </c>
      <c r="M16" s="626">
        <v>27650.961130445095</v>
      </c>
      <c r="N16" s="626">
        <v>28571.312193079797</v>
      </c>
      <c r="O16" s="626">
        <v>29493.808732684498</v>
      </c>
      <c r="P16" s="626">
        <v>30417.027147289198</v>
      </c>
      <c r="Q16" s="626">
        <v>31341.208061923899</v>
      </c>
      <c r="R16" s="626">
        <v>32268.130372331598</v>
      </c>
      <c r="S16" s="626">
        <v>33198.130953572298</v>
      </c>
      <c r="T16" s="626">
        <v>34129.767784782998</v>
      </c>
      <c r="U16" s="626">
        <v>35779.604881063497</v>
      </c>
      <c r="V16" s="626">
        <v>37429.951977343997</v>
      </c>
      <c r="W16" s="626">
        <v>39080.299073624497</v>
      </c>
      <c r="X16" s="626">
        <v>40730.646169904998</v>
      </c>
      <c r="Y16" s="626">
        <v>42380.993266185498</v>
      </c>
      <c r="Z16" s="626">
        <v>44031.340362465999</v>
      </c>
      <c r="AA16" s="626">
        <v>45681.687458746499</v>
      </c>
      <c r="AB16" s="626">
        <v>47332.034555026999</v>
      </c>
      <c r="AC16" s="626">
        <v>48982.3816513075</v>
      </c>
      <c r="AD16" s="626">
        <v>50629.003674062697</v>
      </c>
      <c r="AE16" s="626">
        <v>52271.900623292699</v>
      </c>
      <c r="AF16" s="626">
        <v>53914.797572522701</v>
      </c>
      <c r="AG16" s="626">
        <v>55683.747667256699</v>
      </c>
      <c r="AH16" s="626">
        <v>57587.4019510547</v>
      </c>
      <c r="AI16" s="626">
        <v>59502.4144863537</v>
      </c>
      <c r="AJ16" s="626">
        <v>61421.236437336702</v>
      </c>
      <c r="AK16" s="626">
        <v>63341.402941203705</v>
      </c>
    </row>
    <row r="17" spans="1:37">
      <c r="A17" s="625" t="s">
        <v>3284</v>
      </c>
      <c r="B17" s="626"/>
      <c r="C17" s="626"/>
      <c r="D17" s="626"/>
      <c r="E17" s="626"/>
      <c r="F17" s="626"/>
      <c r="G17" s="626"/>
      <c r="H17" s="626"/>
      <c r="I17" s="626"/>
      <c r="J17" s="626">
        <v>892.96584527569996</v>
      </c>
      <c r="K17" s="626">
        <v>911.23105453469998</v>
      </c>
      <c r="L17" s="626">
        <v>916.01301063469998</v>
      </c>
      <c r="M17" s="626">
        <v>920.35106263469993</v>
      </c>
      <c r="N17" s="626">
        <v>922.49653960469993</v>
      </c>
      <c r="O17" s="626">
        <v>923.2184146047</v>
      </c>
      <c r="P17" s="626">
        <v>924.18091463469898</v>
      </c>
      <c r="Q17" s="626">
        <v>926.92231040770002</v>
      </c>
      <c r="R17" s="626">
        <v>930.00058124069892</v>
      </c>
      <c r="S17" s="626">
        <v>931.63683121069994</v>
      </c>
      <c r="T17" s="626">
        <v>1649.8370962805</v>
      </c>
      <c r="U17" s="626">
        <v>1650.3470962805</v>
      </c>
      <c r="V17" s="626">
        <v>1650.3470962805</v>
      </c>
      <c r="W17" s="626">
        <v>1650.3470962805</v>
      </c>
      <c r="X17" s="626">
        <v>1650.3470962805</v>
      </c>
      <c r="Y17" s="626">
        <v>1650.3470962805</v>
      </c>
      <c r="Z17" s="626">
        <v>1650.3470962805</v>
      </c>
      <c r="AA17" s="626">
        <v>1650.3470962805</v>
      </c>
      <c r="AB17" s="626">
        <v>1650.3470962805</v>
      </c>
      <c r="AC17" s="626">
        <v>1646.6220227552001</v>
      </c>
      <c r="AD17" s="626">
        <v>1642.8969492300002</v>
      </c>
      <c r="AE17" s="626">
        <v>1642.8969492300002</v>
      </c>
      <c r="AF17" s="626">
        <v>1768.950094734</v>
      </c>
      <c r="AG17" s="626">
        <v>1903.6542837980001</v>
      </c>
      <c r="AH17" s="626">
        <v>1915.0125352989999</v>
      </c>
      <c r="AI17" s="626">
        <v>1918.8219509830001</v>
      </c>
      <c r="AJ17" s="626">
        <v>1920.1665038669998</v>
      </c>
      <c r="AK17" s="626">
        <v>1920.7084669709998</v>
      </c>
    </row>
    <row r="18" spans="1:37">
      <c r="A18" s="625" t="s">
        <v>1886</v>
      </c>
      <c r="B18" s="626"/>
      <c r="C18" s="626"/>
      <c r="D18" s="626"/>
      <c r="E18" s="626"/>
      <c r="F18" s="626"/>
      <c r="G18" s="626"/>
      <c r="H18" s="626"/>
      <c r="I18" s="626"/>
      <c r="J18" s="626">
        <v>25823.717065275698</v>
      </c>
      <c r="K18" s="626">
        <v>26734.948119810397</v>
      </c>
      <c r="L18" s="626">
        <v>27650.961130445095</v>
      </c>
      <c r="M18" s="626">
        <v>28571.312193079797</v>
      </c>
      <c r="N18" s="626">
        <v>29493.808732684498</v>
      </c>
      <c r="O18" s="626">
        <v>30417.027147289198</v>
      </c>
      <c r="P18" s="626">
        <v>31341.208061923899</v>
      </c>
      <c r="Q18" s="626">
        <v>32268.130372331598</v>
      </c>
      <c r="R18" s="626">
        <v>33198.130953572298</v>
      </c>
      <c r="S18" s="626">
        <v>34129.767784782998</v>
      </c>
      <c r="T18" s="626">
        <v>35779.604881063497</v>
      </c>
      <c r="U18" s="626">
        <v>37429.951977343997</v>
      </c>
      <c r="V18" s="626">
        <v>39080.299073624497</v>
      </c>
      <c r="W18" s="626">
        <v>40730.646169904998</v>
      </c>
      <c r="X18" s="626">
        <v>42380.993266185498</v>
      </c>
      <c r="Y18" s="626">
        <v>44031.340362465999</v>
      </c>
      <c r="Z18" s="626">
        <v>45681.687458746499</v>
      </c>
      <c r="AA18" s="626">
        <v>47332.034555026999</v>
      </c>
      <c r="AB18" s="626">
        <v>48982.3816513075</v>
      </c>
      <c r="AC18" s="626">
        <v>50629.003674062697</v>
      </c>
      <c r="AD18" s="626">
        <v>52271.900623292699</v>
      </c>
      <c r="AE18" s="626">
        <v>53914.797572522701</v>
      </c>
      <c r="AF18" s="626">
        <v>55683.747667256699</v>
      </c>
      <c r="AG18" s="626">
        <v>57587.4019510547</v>
      </c>
      <c r="AH18" s="626">
        <v>59502.4144863537</v>
      </c>
      <c r="AI18" s="626">
        <v>61421.236437336702</v>
      </c>
      <c r="AJ18" s="626">
        <v>63341.402941203705</v>
      </c>
      <c r="AK18" s="626">
        <v>65262.111408174707</v>
      </c>
    </row>
    <row r="19" spans="1:37">
      <c r="A19" s="625" t="s">
        <v>3285</v>
      </c>
      <c r="B19" s="626"/>
      <c r="C19" s="626"/>
      <c r="D19" s="626"/>
      <c r="E19" s="626"/>
      <c r="F19" s="626"/>
      <c r="G19" s="626"/>
      <c r="H19" s="626"/>
      <c r="I19" s="626"/>
      <c r="J19" s="626">
        <v>-650.02203999999995</v>
      </c>
      <c r="K19" s="626">
        <v>-650.02203999999995</v>
      </c>
      <c r="L19" s="626">
        <v>-650.02203999999995</v>
      </c>
      <c r="M19" s="626">
        <v>-650.02203999999995</v>
      </c>
      <c r="N19" s="626">
        <v>-650.02203999999995</v>
      </c>
      <c r="O19" s="626">
        <v>-650.02203999999995</v>
      </c>
      <c r="P19" s="626">
        <v>-650.02203999999995</v>
      </c>
      <c r="Q19" s="626">
        <v>-710.02203999999995</v>
      </c>
      <c r="R19" s="626">
        <v>-710.02203999999995</v>
      </c>
      <c r="S19" s="626">
        <v>-710.02203999999995</v>
      </c>
      <c r="T19" s="626">
        <v>-710.02203999999995</v>
      </c>
      <c r="U19" s="626">
        <v>-710.02203999999995</v>
      </c>
      <c r="V19" s="626">
        <v>-710.02203999999995</v>
      </c>
      <c r="W19" s="626">
        <v>-710.02203999999995</v>
      </c>
      <c r="X19" s="626">
        <v>-710.02203999999995</v>
      </c>
      <c r="Y19" s="626">
        <v>-710.02203999999995</v>
      </c>
      <c r="Z19" s="626">
        <v>-710.02203999999995</v>
      </c>
      <c r="AA19" s="626">
        <v>-710.02203999999995</v>
      </c>
      <c r="AB19" s="626">
        <v>-710.02203999999995</v>
      </c>
      <c r="AC19" s="626">
        <v>-710.02203999999995</v>
      </c>
      <c r="AD19" s="626">
        <v>-710.02203999999995</v>
      </c>
      <c r="AE19" s="626">
        <v>-710.02203999999995</v>
      </c>
      <c r="AF19" s="626">
        <v>-710.02203999999995</v>
      </c>
      <c r="AG19" s="626">
        <v>-710.02203999999995</v>
      </c>
      <c r="AH19" s="626">
        <v>-710.02203999999995</v>
      </c>
      <c r="AI19" s="626">
        <v>-710.02203999999995</v>
      </c>
      <c r="AJ19" s="626">
        <v>-710.02203999999995</v>
      </c>
      <c r="AK19" s="626">
        <v>-710.02203999999995</v>
      </c>
    </row>
    <row r="20" spans="1:37">
      <c r="A20" s="625" t="s">
        <v>3286</v>
      </c>
      <c r="B20" s="626"/>
      <c r="C20" s="626"/>
      <c r="D20" s="626"/>
      <c r="E20" s="626"/>
      <c r="F20" s="626"/>
      <c r="G20" s="626"/>
      <c r="H20" s="626"/>
      <c r="I20" s="626"/>
      <c r="J20" s="626">
        <v>25173.695025275698</v>
      </c>
      <c r="K20" s="626">
        <v>26084.926079810397</v>
      </c>
      <c r="L20" s="626">
        <v>27000.939090445096</v>
      </c>
      <c r="M20" s="626">
        <v>27921.290153079797</v>
      </c>
      <c r="N20" s="626">
        <v>28843.786692684498</v>
      </c>
      <c r="O20" s="626">
        <v>29767.005107289198</v>
      </c>
      <c r="P20" s="626">
        <v>30691.186021923899</v>
      </c>
      <c r="Q20" s="626">
        <v>31558.108332331598</v>
      </c>
      <c r="R20" s="626">
        <v>32488.108913572298</v>
      </c>
      <c r="S20" s="626">
        <v>33419.745744782995</v>
      </c>
      <c r="T20" s="626">
        <v>35069.582841063493</v>
      </c>
      <c r="U20" s="626">
        <v>36719.929937343994</v>
      </c>
      <c r="V20" s="626">
        <v>38370.277033624494</v>
      </c>
      <c r="W20" s="626">
        <v>40020.624129904994</v>
      </c>
      <c r="X20" s="626">
        <v>41670.971226185495</v>
      </c>
      <c r="Y20" s="626">
        <v>43321.318322465995</v>
      </c>
      <c r="Z20" s="626">
        <v>44971.665418746496</v>
      </c>
      <c r="AA20" s="626">
        <v>46622.012515026996</v>
      </c>
      <c r="AB20" s="626">
        <v>48272.359611307496</v>
      </c>
      <c r="AC20" s="626">
        <v>49918.981634062693</v>
      </c>
      <c r="AD20" s="626">
        <v>51561.878583292695</v>
      </c>
      <c r="AE20" s="626">
        <v>53204.775532522697</v>
      </c>
      <c r="AF20" s="626">
        <v>54973.725627256696</v>
      </c>
      <c r="AG20" s="626">
        <v>56877.379911054697</v>
      </c>
      <c r="AH20" s="626">
        <v>58792.392446353697</v>
      </c>
      <c r="AI20" s="626">
        <v>60711.214397336698</v>
      </c>
      <c r="AJ20" s="626">
        <v>62631.380901203702</v>
      </c>
      <c r="AK20" s="626">
        <v>64552.089368174704</v>
      </c>
    </row>
    <row r="21" spans="1:37">
      <c r="A21" s="624" t="s">
        <v>3289</v>
      </c>
    </row>
    <row r="22" spans="1:37">
      <c r="A22" s="625" t="s">
        <v>3283</v>
      </c>
      <c r="B22" s="626"/>
      <c r="C22" s="626"/>
      <c r="D22" s="626"/>
      <c r="E22" s="626"/>
      <c r="F22" s="626"/>
      <c r="G22" s="626"/>
      <c r="H22" s="626"/>
      <c r="I22" s="626"/>
      <c r="J22" s="626">
        <v>21579.858929999999</v>
      </c>
      <c r="K22" s="626">
        <v>22943.52734547</v>
      </c>
      <c r="L22" s="626">
        <v>24418.945811923</v>
      </c>
      <c r="M22" s="626">
        <v>25914.861566785999</v>
      </c>
      <c r="N22" s="626">
        <v>27421.786081561</v>
      </c>
      <c r="O22" s="626">
        <v>28934.643657688001</v>
      </c>
      <c r="P22" s="626">
        <v>30448.728733815002</v>
      </c>
      <c r="Q22" s="626">
        <v>31963.427559942003</v>
      </c>
      <c r="R22" s="626">
        <v>33478.126386069001</v>
      </c>
      <c r="S22" s="626">
        <v>34992.825212196003</v>
      </c>
      <c r="T22" s="626">
        <v>36507.524038323005</v>
      </c>
      <c r="U22" s="626">
        <v>39400.448860933007</v>
      </c>
      <c r="V22" s="626">
        <v>42293.37368354301</v>
      </c>
      <c r="W22" s="626">
        <v>45186.298506153013</v>
      </c>
      <c r="X22" s="626">
        <v>48079.223328763015</v>
      </c>
      <c r="Y22" s="626">
        <v>50972.148151373018</v>
      </c>
      <c r="Z22" s="626">
        <v>53865.07297398302</v>
      </c>
      <c r="AA22" s="626">
        <v>56757.997796593023</v>
      </c>
      <c r="AB22" s="626">
        <v>59650.922619203026</v>
      </c>
      <c r="AC22" s="626">
        <v>62543.847441813028</v>
      </c>
      <c r="AD22" s="626">
        <v>65436.772264423031</v>
      </c>
      <c r="AE22" s="626">
        <v>68329.697087033026</v>
      </c>
      <c r="AF22" s="626">
        <v>71222.621909643029</v>
      </c>
      <c r="AG22" s="626">
        <v>74115.546732253031</v>
      </c>
      <c r="AH22" s="626">
        <v>77008.471554863034</v>
      </c>
      <c r="AI22" s="626">
        <v>79901.396377473036</v>
      </c>
      <c r="AJ22" s="626">
        <v>82794.321200083039</v>
      </c>
      <c r="AK22" s="626">
        <v>85687.246022693042</v>
      </c>
    </row>
    <row r="23" spans="1:37">
      <c r="A23" s="625" t="s">
        <v>3284</v>
      </c>
      <c r="B23" s="626"/>
      <c r="C23" s="626"/>
      <c r="D23" s="626"/>
      <c r="E23" s="626"/>
      <c r="F23" s="626"/>
      <c r="G23" s="626"/>
      <c r="H23" s="626"/>
      <c r="I23" s="626"/>
      <c r="J23" s="626">
        <v>1363.6684154700001</v>
      </c>
      <c r="K23" s="626">
        <v>1475.4184664530001</v>
      </c>
      <c r="L23" s="626">
        <v>1495.9157548630001</v>
      </c>
      <c r="M23" s="626">
        <v>1506.924514775</v>
      </c>
      <c r="N23" s="626">
        <v>1512.8575761269999</v>
      </c>
      <c r="O23" s="626">
        <v>1514.0850761270001</v>
      </c>
      <c r="P23" s="626">
        <v>1514.6988261270001</v>
      </c>
      <c r="Q23" s="626">
        <v>1514.6988261270001</v>
      </c>
      <c r="R23" s="626">
        <v>1514.6988261270001</v>
      </c>
      <c r="S23" s="626">
        <v>1514.6988261270001</v>
      </c>
      <c r="T23" s="626">
        <v>2892.9248226100003</v>
      </c>
      <c r="U23" s="626">
        <v>2892.9248226100003</v>
      </c>
      <c r="V23" s="626">
        <v>2892.9248226100003</v>
      </c>
      <c r="W23" s="626">
        <v>2892.9248226100003</v>
      </c>
      <c r="X23" s="626">
        <v>2892.9248226100003</v>
      </c>
      <c r="Y23" s="626">
        <v>2892.9248226100003</v>
      </c>
      <c r="Z23" s="626">
        <v>2892.9248226100003</v>
      </c>
      <c r="AA23" s="626">
        <v>2892.9248226100003</v>
      </c>
      <c r="AB23" s="626">
        <v>2892.9248226100003</v>
      </c>
      <c r="AC23" s="626">
        <v>2892.9248226100003</v>
      </c>
      <c r="AD23" s="626">
        <v>2892.9248226100003</v>
      </c>
      <c r="AE23" s="626">
        <v>2892.9248226100003</v>
      </c>
      <c r="AF23" s="626">
        <v>2892.9248226100003</v>
      </c>
      <c r="AG23" s="626">
        <v>2892.9248226100003</v>
      </c>
      <c r="AH23" s="626">
        <v>2892.9248226100003</v>
      </c>
      <c r="AI23" s="626">
        <v>2892.9248226100003</v>
      </c>
      <c r="AJ23" s="626">
        <v>2892.9248226100003</v>
      </c>
      <c r="AK23" s="626">
        <v>2892.9248226100003</v>
      </c>
    </row>
    <row r="24" spans="1:37">
      <c r="A24" s="625" t="s">
        <v>1886</v>
      </c>
      <c r="B24" s="626"/>
      <c r="C24" s="626"/>
      <c r="D24" s="626"/>
      <c r="E24" s="626"/>
      <c r="F24" s="626"/>
      <c r="G24" s="626"/>
      <c r="H24" s="626"/>
      <c r="I24" s="626"/>
      <c r="J24" s="626">
        <v>22943.52734547</v>
      </c>
      <c r="K24" s="626">
        <v>24418.945811923</v>
      </c>
      <c r="L24" s="626">
        <v>25914.861566785999</v>
      </c>
      <c r="M24" s="626">
        <v>27421.786081561</v>
      </c>
      <c r="N24" s="626">
        <v>28934.643657688001</v>
      </c>
      <c r="O24" s="626">
        <v>30448.728733815002</v>
      </c>
      <c r="P24" s="626">
        <v>31963.427559942003</v>
      </c>
      <c r="Q24" s="626">
        <v>33478.126386069001</v>
      </c>
      <c r="R24" s="626">
        <v>34992.825212196003</v>
      </c>
      <c r="S24" s="626">
        <v>36507.524038323005</v>
      </c>
      <c r="T24" s="626">
        <v>39400.448860933007</v>
      </c>
      <c r="U24" s="626">
        <v>42293.37368354301</v>
      </c>
      <c r="V24" s="626">
        <v>45186.298506153013</v>
      </c>
      <c r="W24" s="626">
        <v>48079.223328763015</v>
      </c>
      <c r="X24" s="626">
        <v>50972.148151373018</v>
      </c>
      <c r="Y24" s="626">
        <v>53865.07297398302</v>
      </c>
      <c r="Z24" s="626">
        <v>56757.997796593023</v>
      </c>
      <c r="AA24" s="626">
        <v>59650.922619203026</v>
      </c>
      <c r="AB24" s="626">
        <v>62543.847441813028</v>
      </c>
      <c r="AC24" s="626">
        <v>65436.772264423031</v>
      </c>
      <c r="AD24" s="626">
        <v>68329.697087033026</v>
      </c>
      <c r="AE24" s="626">
        <v>71222.621909643029</v>
      </c>
      <c r="AF24" s="626">
        <v>74115.546732253031</v>
      </c>
      <c r="AG24" s="626">
        <v>77008.471554863034</v>
      </c>
      <c r="AH24" s="626">
        <v>79901.396377473036</v>
      </c>
      <c r="AI24" s="626">
        <v>82794.321200083039</v>
      </c>
      <c r="AJ24" s="626">
        <v>85687.246022693042</v>
      </c>
      <c r="AK24" s="626">
        <v>88580.170845303044</v>
      </c>
    </row>
    <row r="25" spans="1:37">
      <c r="A25" s="625" t="s">
        <v>3285</v>
      </c>
      <c r="B25" s="626"/>
      <c r="C25" s="626"/>
      <c r="D25" s="626"/>
      <c r="E25" s="626"/>
      <c r="F25" s="626"/>
      <c r="G25" s="626"/>
      <c r="H25" s="626"/>
      <c r="I25" s="626"/>
      <c r="J25" s="626">
        <v>-23244.243939999898</v>
      </c>
      <c r="K25" s="626">
        <v>-23274.878339999897</v>
      </c>
      <c r="L25" s="626">
        <v>-23274.878339999897</v>
      </c>
      <c r="M25" s="626">
        <v>-23274.878339999897</v>
      </c>
      <c r="N25" s="626">
        <v>-24274.877339999897</v>
      </c>
      <c r="O25" s="626">
        <v>-25274.878339999897</v>
      </c>
      <c r="P25" s="626">
        <v>-26274.878339999897</v>
      </c>
      <c r="Q25" s="626">
        <v>-26274.878339999897</v>
      </c>
      <c r="R25" s="626">
        <v>-26274.878339999897</v>
      </c>
      <c r="S25" s="626">
        <v>-26274.878339999897</v>
      </c>
      <c r="T25" s="626">
        <v>-26274.878339999897</v>
      </c>
      <c r="U25" s="626">
        <v>-26274.878339999897</v>
      </c>
      <c r="V25" s="626">
        <v>-26274.878339999897</v>
      </c>
      <c r="W25" s="626">
        <v>-26274.878339999897</v>
      </c>
      <c r="X25" s="626">
        <v>-26274.878339999897</v>
      </c>
      <c r="Y25" s="626">
        <v>-26274.878339999897</v>
      </c>
      <c r="Z25" s="626">
        <v>-26274.878339999897</v>
      </c>
      <c r="AA25" s="626">
        <v>-26274.878339999897</v>
      </c>
      <c r="AB25" s="626">
        <v>-26274.878339999897</v>
      </c>
      <c r="AC25" s="626">
        <v>-26274.878339999897</v>
      </c>
      <c r="AD25" s="626">
        <v>-26274.878339999897</v>
      </c>
      <c r="AE25" s="626">
        <v>-26274.878339999897</v>
      </c>
      <c r="AF25" s="626">
        <v>-26274.878339999897</v>
      </c>
      <c r="AG25" s="626">
        <v>-26274.878339999897</v>
      </c>
      <c r="AH25" s="626">
        <v>-26274.878339999897</v>
      </c>
      <c r="AI25" s="626">
        <v>-26274.878339999897</v>
      </c>
      <c r="AJ25" s="626">
        <v>-26274.878339999897</v>
      </c>
      <c r="AK25" s="626">
        <v>-26274.878339999897</v>
      </c>
    </row>
    <row r="26" spans="1:37">
      <c r="A26" s="625" t="s">
        <v>3286</v>
      </c>
      <c r="B26" s="626"/>
      <c r="C26" s="626"/>
      <c r="D26" s="626"/>
      <c r="E26" s="626"/>
      <c r="F26" s="626"/>
      <c r="G26" s="626"/>
      <c r="H26" s="626"/>
      <c r="I26" s="626"/>
      <c r="J26" s="626">
        <v>-300.71659452989843</v>
      </c>
      <c r="K26" s="626">
        <v>1144.0674719231029</v>
      </c>
      <c r="L26" s="626">
        <v>2639.983226786102</v>
      </c>
      <c r="M26" s="626">
        <v>4146.9077415611027</v>
      </c>
      <c r="N26" s="626">
        <v>4659.7663176881033</v>
      </c>
      <c r="O26" s="626">
        <v>5173.8503938151043</v>
      </c>
      <c r="P26" s="626">
        <v>5688.549219942106</v>
      </c>
      <c r="Q26" s="626">
        <v>7203.248046069104</v>
      </c>
      <c r="R26" s="626">
        <v>8717.9468721961057</v>
      </c>
      <c r="S26" s="626">
        <v>10232.645698323107</v>
      </c>
      <c r="T26" s="626">
        <v>13125.57052093311</v>
      </c>
      <c r="U26" s="626">
        <v>16018.495343543113</v>
      </c>
      <c r="V26" s="626">
        <v>18911.420166153115</v>
      </c>
      <c r="W26" s="626">
        <v>21804.344988763118</v>
      </c>
      <c r="X26" s="626">
        <v>24697.26981137312</v>
      </c>
      <c r="Y26" s="626">
        <v>27590.194633983123</v>
      </c>
      <c r="Z26" s="626">
        <v>30483.119456593126</v>
      </c>
      <c r="AA26" s="626">
        <v>33376.044279203124</v>
      </c>
      <c r="AB26" s="626">
        <v>36268.969101813127</v>
      </c>
      <c r="AC26" s="626">
        <v>39161.89392442313</v>
      </c>
      <c r="AD26" s="626">
        <v>42054.818747033132</v>
      </c>
      <c r="AE26" s="626">
        <v>44947.743569643135</v>
      </c>
      <c r="AF26" s="626">
        <v>47840.668392253137</v>
      </c>
      <c r="AG26" s="626">
        <v>50733.59321486314</v>
      </c>
      <c r="AH26" s="626">
        <v>53626.518037473143</v>
      </c>
      <c r="AI26" s="626">
        <v>56519.442860083145</v>
      </c>
      <c r="AJ26" s="626">
        <v>59412.367682693148</v>
      </c>
      <c r="AK26" s="626">
        <v>62305.29250530315</v>
      </c>
    </row>
    <row r="27" spans="1:37">
      <c r="A27" s="624" t="s">
        <v>3290</v>
      </c>
    </row>
    <row r="28" spans="1:37">
      <c r="A28" s="625" t="s">
        <v>3283</v>
      </c>
      <c r="B28" s="626"/>
      <c r="C28" s="626"/>
      <c r="D28" s="626"/>
      <c r="E28" s="626"/>
      <c r="F28" s="626"/>
      <c r="G28" s="626"/>
      <c r="H28" s="626"/>
      <c r="I28" s="626"/>
      <c r="J28" s="626">
        <v>0</v>
      </c>
      <c r="K28" s="626">
        <v>0</v>
      </c>
      <c r="L28" s="626">
        <v>0</v>
      </c>
      <c r="M28" s="626">
        <v>0</v>
      </c>
      <c r="N28" s="626">
        <v>2.5019438516299997</v>
      </c>
      <c r="O28" s="626">
        <v>7.7476023882600007</v>
      </c>
      <c r="P28" s="626">
        <v>13.991115091660001</v>
      </c>
      <c r="Q28" s="626">
        <v>21.316002795060001</v>
      </c>
      <c r="R28" s="626">
        <v>28.966182165060001</v>
      </c>
      <c r="S28" s="626">
        <v>47.837639360259992</v>
      </c>
      <c r="T28" s="626">
        <v>77.930374384759986</v>
      </c>
      <c r="U28" s="626">
        <v>102.85620325075999</v>
      </c>
      <c r="V28" s="626">
        <v>127.78203211675999</v>
      </c>
      <c r="W28" s="626">
        <v>152.70786098276</v>
      </c>
      <c r="X28" s="626">
        <v>177.63368984875999</v>
      </c>
      <c r="Y28" s="626">
        <v>202.55951871475997</v>
      </c>
      <c r="Z28" s="626">
        <v>251.69718395428998</v>
      </c>
      <c r="AA28" s="626">
        <v>325.04668556828994</v>
      </c>
      <c r="AB28" s="626">
        <v>398.39618718228996</v>
      </c>
      <c r="AC28" s="626">
        <v>471.74568879628998</v>
      </c>
      <c r="AD28" s="626">
        <v>545.09519041029</v>
      </c>
      <c r="AE28" s="626">
        <v>618.44469202429002</v>
      </c>
      <c r="AF28" s="626">
        <v>691.79419363829004</v>
      </c>
      <c r="AG28" s="626">
        <v>765.14369525229006</v>
      </c>
      <c r="AH28" s="626">
        <v>838.49319686629008</v>
      </c>
      <c r="AI28" s="626">
        <v>911.8426984802901</v>
      </c>
      <c r="AJ28" s="626">
        <v>985.19220009429011</v>
      </c>
      <c r="AK28" s="626">
        <v>1058.54170170829</v>
      </c>
    </row>
    <row r="29" spans="1:37">
      <c r="A29" s="625" t="s">
        <v>3284</v>
      </c>
      <c r="B29" s="626"/>
      <c r="C29" s="626"/>
      <c r="D29" s="626"/>
      <c r="E29" s="626"/>
      <c r="F29" s="626"/>
      <c r="G29" s="626"/>
      <c r="H29" s="626"/>
      <c r="I29" s="626"/>
      <c r="J29" s="626">
        <v>0</v>
      </c>
      <c r="K29" s="626">
        <v>0</v>
      </c>
      <c r="L29" s="626">
        <v>0</v>
      </c>
      <c r="M29" s="626">
        <v>2.5019438516299997</v>
      </c>
      <c r="N29" s="626">
        <v>5.2456585366300006</v>
      </c>
      <c r="O29" s="626">
        <v>6.2435127034000004</v>
      </c>
      <c r="P29" s="626">
        <v>7.3248877033999991</v>
      </c>
      <c r="Q29" s="626">
        <v>7.6501793699999991</v>
      </c>
      <c r="R29" s="626">
        <v>18.871457195199991</v>
      </c>
      <c r="S29" s="626">
        <v>30.092735024499998</v>
      </c>
      <c r="T29" s="626">
        <v>24.925828866</v>
      </c>
      <c r="U29" s="626">
        <v>24.925828866</v>
      </c>
      <c r="V29" s="626">
        <v>24.925828866</v>
      </c>
      <c r="W29" s="626">
        <v>24.925828866</v>
      </c>
      <c r="X29" s="626">
        <v>24.925828866</v>
      </c>
      <c r="Y29" s="626">
        <v>49.137665239530016</v>
      </c>
      <c r="Z29" s="626">
        <v>73.34950161399999</v>
      </c>
      <c r="AA29" s="626">
        <v>73.34950161399999</v>
      </c>
      <c r="AB29" s="626">
        <v>73.34950161399999</v>
      </c>
      <c r="AC29" s="626">
        <v>73.34950161399999</v>
      </c>
      <c r="AD29" s="626">
        <v>73.34950161399999</v>
      </c>
      <c r="AE29" s="626">
        <v>73.34950161399999</v>
      </c>
      <c r="AF29" s="626">
        <v>73.34950161399999</v>
      </c>
      <c r="AG29" s="626">
        <v>73.34950161399999</v>
      </c>
      <c r="AH29" s="626">
        <v>73.34950161399999</v>
      </c>
      <c r="AI29" s="626">
        <v>73.34950161399999</v>
      </c>
      <c r="AJ29" s="626">
        <v>73.34950161399999</v>
      </c>
      <c r="AK29" s="626">
        <v>394.14735766050012</v>
      </c>
    </row>
    <row r="30" spans="1:37">
      <c r="A30" s="625" t="s">
        <v>1886</v>
      </c>
      <c r="B30" s="626"/>
      <c r="C30" s="626"/>
      <c r="D30" s="626"/>
      <c r="E30" s="626"/>
      <c r="F30" s="626"/>
      <c r="G30" s="626"/>
      <c r="H30" s="626"/>
      <c r="I30" s="626"/>
      <c r="J30" s="626">
        <v>0</v>
      </c>
      <c r="K30" s="626">
        <v>0</v>
      </c>
      <c r="L30" s="626">
        <v>0</v>
      </c>
      <c r="M30" s="626">
        <v>2.5019438516299997</v>
      </c>
      <c r="N30" s="626">
        <v>7.7476023882600007</v>
      </c>
      <c r="O30" s="626">
        <v>13.991115091660001</v>
      </c>
      <c r="P30" s="626">
        <v>21.316002795060001</v>
      </c>
      <c r="Q30" s="626">
        <v>28.966182165060001</v>
      </c>
      <c r="R30" s="626">
        <v>47.837639360259992</v>
      </c>
      <c r="S30" s="626">
        <v>77.930374384759986</v>
      </c>
      <c r="T30" s="626">
        <v>102.85620325075999</v>
      </c>
      <c r="U30" s="626">
        <v>127.78203211675999</v>
      </c>
      <c r="V30" s="626">
        <v>152.70786098276</v>
      </c>
      <c r="W30" s="626">
        <v>177.63368984875999</v>
      </c>
      <c r="X30" s="626">
        <v>202.55951871475997</v>
      </c>
      <c r="Y30" s="626">
        <v>251.69718395428998</v>
      </c>
      <c r="Z30" s="626">
        <v>325.04668556828994</v>
      </c>
      <c r="AA30" s="626">
        <v>398.39618718228996</v>
      </c>
      <c r="AB30" s="626">
        <v>471.74568879628998</v>
      </c>
      <c r="AC30" s="626">
        <v>545.09519041029</v>
      </c>
      <c r="AD30" s="626">
        <v>618.44469202429002</v>
      </c>
      <c r="AE30" s="626">
        <v>691.79419363829004</v>
      </c>
      <c r="AF30" s="626">
        <v>765.14369525229006</v>
      </c>
      <c r="AG30" s="626">
        <v>838.49319686629008</v>
      </c>
      <c r="AH30" s="626">
        <v>911.8426984802901</v>
      </c>
      <c r="AI30" s="626">
        <v>985.19220009429011</v>
      </c>
      <c r="AJ30" s="626">
        <v>1058.54170170829</v>
      </c>
      <c r="AK30" s="626">
        <v>1452.6890593687901</v>
      </c>
    </row>
    <row r="31" spans="1:37">
      <c r="A31" s="625" t="s">
        <v>3285</v>
      </c>
      <c r="B31" s="626"/>
      <c r="C31" s="626"/>
      <c r="D31" s="626"/>
      <c r="E31" s="626"/>
      <c r="F31" s="626"/>
      <c r="G31" s="626"/>
      <c r="H31" s="626"/>
      <c r="I31" s="626"/>
      <c r="J31" s="626">
        <v>0</v>
      </c>
      <c r="K31" s="626">
        <v>0</v>
      </c>
      <c r="L31" s="626">
        <v>0</v>
      </c>
      <c r="M31" s="626">
        <v>0</v>
      </c>
      <c r="N31" s="626">
        <v>0</v>
      </c>
      <c r="O31" s="626">
        <v>0</v>
      </c>
      <c r="P31" s="626">
        <v>0</v>
      </c>
      <c r="Q31" s="626">
        <v>0</v>
      </c>
      <c r="R31" s="626">
        <v>0</v>
      </c>
      <c r="S31" s="626">
        <v>0</v>
      </c>
      <c r="T31" s="626">
        <v>0</v>
      </c>
      <c r="U31" s="626">
        <v>0</v>
      </c>
      <c r="V31" s="626">
        <v>0</v>
      </c>
      <c r="W31" s="626">
        <v>0</v>
      </c>
      <c r="X31" s="626">
        <v>0</v>
      </c>
      <c r="Y31" s="626">
        <v>0</v>
      </c>
      <c r="Z31" s="626">
        <v>0</v>
      </c>
      <c r="AA31" s="626">
        <v>0</v>
      </c>
      <c r="AB31" s="626">
        <v>0</v>
      </c>
      <c r="AC31" s="626">
        <v>0</v>
      </c>
      <c r="AD31" s="626">
        <v>0</v>
      </c>
      <c r="AE31" s="626">
        <v>0</v>
      </c>
      <c r="AF31" s="626">
        <v>0</v>
      </c>
      <c r="AG31" s="626">
        <v>0</v>
      </c>
      <c r="AH31" s="626">
        <v>0</v>
      </c>
      <c r="AI31" s="626">
        <v>0</v>
      </c>
      <c r="AJ31" s="626">
        <v>0</v>
      </c>
      <c r="AK31" s="626">
        <v>-2163.1999799999999</v>
      </c>
    </row>
    <row r="32" spans="1:37">
      <c r="A32" s="625" t="s">
        <v>3286</v>
      </c>
      <c r="B32" s="626"/>
      <c r="C32" s="626"/>
      <c r="D32" s="626"/>
      <c r="E32" s="626"/>
      <c r="F32" s="626"/>
      <c r="G32" s="626"/>
      <c r="H32" s="626"/>
      <c r="I32" s="626"/>
      <c r="J32" s="626">
        <v>0</v>
      </c>
      <c r="K32" s="626">
        <v>0</v>
      </c>
      <c r="L32" s="626">
        <v>0</v>
      </c>
      <c r="M32" s="626">
        <v>2.5019438516299997</v>
      </c>
      <c r="N32" s="626">
        <v>7.7476023882600007</v>
      </c>
      <c r="O32" s="626">
        <v>13.991115091660001</v>
      </c>
      <c r="P32" s="626">
        <v>21.316002795060001</v>
      </c>
      <c r="Q32" s="626">
        <v>28.966182165060001</v>
      </c>
      <c r="R32" s="626">
        <v>47.837639360259992</v>
      </c>
      <c r="S32" s="626">
        <v>77.930374384759986</v>
      </c>
      <c r="T32" s="626">
        <v>102.85620325075999</v>
      </c>
      <c r="U32" s="626">
        <v>127.78203211675999</v>
      </c>
      <c r="V32" s="626">
        <v>152.70786098276</v>
      </c>
      <c r="W32" s="626">
        <v>177.63368984875999</v>
      </c>
      <c r="X32" s="626">
        <v>202.55951871475997</v>
      </c>
      <c r="Y32" s="626">
        <v>251.69718395428998</v>
      </c>
      <c r="Z32" s="626">
        <v>325.04668556828994</v>
      </c>
      <c r="AA32" s="626">
        <v>398.39618718228996</v>
      </c>
      <c r="AB32" s="626">
        <v>471.74568879628998</v>
      </c>
      <c r="AC32" s="626">
        <v>545.09519041029</v>
      </c>
      <c r="AD32" s="626">
        <v>618.44469202429002</v>
      </c>
      <c r="AE32" s="626">
        <v>691.79419363829004</v>
      </c>
      <c r="AF32" s="626">
        <v>765.14369525229006</v>
      </c>
      <c r="AG32" s="626">
        <v>838.49319686629008</v>
      </c>
      <c r="AH32" s="626">
        <v>911.8426984802901</v>
      </c>
      <c r="AI32" s="626">
        <v>985.19220009429011</v>
      </c>
      <c r="AJ32" s="626">
        <v>1058.54170170829</v>
      </c>
      <c r="AK32" s="626">
        <v>-710.51092063120973</v>
      </c>
    </row>
    <row r="33" spans="1:37">
      <c r="A33" s="624" t="s">
        <v>3291</v>
      </c>
    </row>
    <row r="34" spans="1:37">
      <c r="A34" s="625" t="s">
        <v>3283</v>
      </c>
      <c r="B34" s="626"/>
      <c r="C34" s="626"/>
      <c r="D34" s="626"/>
      <c r="E34" s="626"/>
      <c r="F34" s="626"/>
      <c r="G34" s="626"/>
      <c r="H34" s="626"/>
      <c r="I34" s="626"/>
      <c r="J34" s="626">
        <v>37.734999999999999</v>
      </c>
      <c r="K34" s="626">
        <v>39.817109822669998</v>
      </c>
      <c r="L34" s="626">
        <v>41.899219645339997</v>
      </c>
      <c r="M34" s="626">
        <v>43.981329468009996</v>
      </c>
      <c r="N34" s="626">
        <v>46.063439290679995</v>
      </c>
      <c r="O34" s="626">
        <v>48.145549113349993</v>
      </c>
      <c r="P34" s="626">
        <v>50.227658936019992</v>
      </c>
      <c r="Q34" s="626">
        <v>52.309768758689991</v>
      </c>
      <c r="R34" s="626">
        <v>54.39187858135999</v>
      </c>
      <c r="S34" s="626">
        <v>56.473988404029988</v>
      </c>
      <c r="T34" s="626">
        <v>58.556098226699987</v>
      </c>
      <c r="U34" s="626">
        <v>60.789600577669987</v>
      </c>
      <c r="V34" s="626">
        <v>63.023102928639986</v>
      </c>
      <c r="W34" s="626">
        <v>65.256605279609985</v>
      </c>
      <c r="X34" s="626">
        <v>67.490107630579985</v>
      </c>
      <c r="Y34" s="626">
        <v>69.723609981549984</v>
      </c>
      <c r="Z34" s="626">
        <v>71.957112332519984</v>
      </c>
      <c r="AA34" s="626">
        <v>74.190614683489983</v>
      </c>
      <c r="AB34" s="626">
        <v>76.424117034459982</v>
      </c>
      <c r="AC34" s="626">
        <v>78.657619385429982</v>
      </c>
      <c r="AD34" s="626">
        <v>80.891121736399981</v>
      </c>
      <c r="AE34" s="626">
        <v>83.12462408736998</v>
      </c>
      <c r="AF34" s="626">
        <v>85.35812643833998</v>
      </c>
      <c r="AG34" s="626">
        <v>87.591628789309979</v>
      </c>
      <c r="AH34" s="626">
        <v>89.825131140279979</v>
      </c>
      <c r="AI34" s="626">
        <v>92.058633491249978</v>
      </c>
      <c r="AJ34" s="626">
        <v>94.292135842219977</v>
      </c>
      <c r="AK34" s="626">
        <v>96.525638193189977</v>
      </c>
    </row>
    <row r="35" spans="1:37">
      <c r="A35" s="625" t="s">
        <v>3284</v>
      </c>
      <c r="B35" s="626"/>
      <c r="C35" s="626"/>
      <c r="D35" s="626"/>
      <c r="E35" s="626"/>
      <c r="F35" s="626"/>
      <c r="G35" s="626"/>
      <c r="H35" s="626"/>
      <c r="I35" s="626"/>
      <c r="J35" s="626">
        <v>2.0821098226700001</v>
      </c>
      <c r="K35" s="626">
        <v>2.0821098226700001</v>
      </c>
      <c r="L35" s="626">
        <v>2.0821098226700001</v>
      </c>
      <c r="M35" s="626">
        <v>2.0821098226700001</v>
      </c>
      <c r="N35" s="626">
        <v>2.0821098226700001</v>
      </c>
      <c r="O35" s="626">
        <v>2.0821098226700001</v>
      </c>
      <c r="P35" s="626">
        <v>2.0821098226700001</v>
      </c>
      <c r="Q35" s="626">
        <v>2.0821098226700001</v>
      </c>
      <c r="R35" s="626">
        <v>2.0821098226700001</v>
      </c>
      <c r="S35" s="626">
        <v>2.0821098226700001</v>
      </c>
      <c r="T35" s="626">
        <v>2.2335023509699998</v>
      </c>
      <c r="U35" s="626">
        <v>2.2335023509699998</v>
      </c>
      <c r="V35" s="626">
        <v>2.2335023509699998</v>
      </c>
      <c r="W35" s="626">
        <v>2.2335023509699998</v>
      </c>
      <c r="X35" s="626">
        <v>2.2335023509699998</v>
      </c>
      <c r="Y35" s="626">
        <v>2.2335023509699998</v>
      </c>
      <c r="Z35" s="626">
        <v>2.2335023509699998</v>
      </c>
      <c r="AA35" s="626">
        <v>2.2335023509699998</v>
      </c>
      <c r="AB35" s="626">
        <v>2.2335023509699998</v>
      </c>
      <c r="AC35" s="626">
        <v>2.2335023509699998</v>
      </c>
      <c r="AD35" s="626">
        <v>2.2335023509699998</v>
      </c>
      <c r="AE35" s="626">
        <v>2.2335023509699998</v>
      </c>
      <c r="AF35" s="626">
        <v>2.2335023509699998</v>
      </c>
      <c r="AG35" s="626">
        <v>2.2335023509699998</v>
      </c>
      <c r="AH35" s="626">
        <v>2.2335023509699998</v>
      </c>
      <c r="AI35" s="626">
        <v>2.2335023509699998</v>
      </c>
      <c r="AJ35" s="626">
        <v>2.2335023509699998</v>
      </c>
      <c r="AK35" s="626">
        <v>2.2335023509699998</v>
      </c>
    </row>
    <row r="36" spans="1:37">
      <c r="A36" s="625" t="s">
        <v>1886</v>
      </c>
      <c r="B36" s="626"/>
      <c r="C36" s="626"/>
      <c r="D36" s="626"/>
      <c r="E36" s="626"/>
      <c r="F36" s="626"/>
      <c r="G36" s="626"/>
      <c r="H36" s="626"/>
      <c r="I36" s="626"/>
      <c r="J36" s="626">
        <v>39.817109822669998</v>
      </c>
      <c r="K36" s="626">
        <v>41.899219645339997</v>
      </c>
      <c r="L36" s="626">
        <v>43.981329468009996</v>
      </c>
      <c r="M36" s="626">
        <v>46.063439290679995</v>
      </c>
      <c r="N36" s="626">
        <v>48.145549113349993</v>
      </c>
      <c r="O36" s="626">
        <v>50.227658936019992</v>
      </c>
      <c r="P36" s="626">
        <v>52.309768758689991</v>
      </c>
      <c r="Q36" s="626">
        <v>54.39187858135999</v>
      </c>
      <c r="R36" s="626">
        <v>56.473988404029988</v>
      </c>
      <c r="S36" s="626">
        <v>58.556098226699987</v>
      </c>
      <c r="T36" s="626">
        <v>60.789600577669987</v>
      </c>
      <c r="U36" s="626">
        <v>63.023102928639986</v>
      </c>
      <c r="V36" s="626">
        <v>65.256605279609985</v>
      </c>
      <c r="W36" s="626">
        <v>67.490107630579985</v>
      </c>
      <c r="X36" s="626">
        <v>69.723609981549984</v>
      </c>
      <c r="Y36" s="626">
        <v>71.957112332519984</v>
      </c>
      <c r="Z36" s="626">
        <v>74.190614683489983</v>
      </c>
      <c r="AA36" s="626">
        <v>76.424117034459982</v>
      </c>
      <c r="AB36" s="626">
        <v>78.657619385429982</v>
      </c>
      <c r="AC36" s="626">
        <v>80.891121736399981</v>
      </c>
      <c r="AD36" s="626">
        <v>83.12462408736998</v>
      </c>
      <c r="AE36" s="626">
        <v>85.35812643833998</v>
      </c>
      <c r="AF36" s="626">
        <v>87.591628789309979</v>
      </c>
      <c r="AG36" s="626">
        <v>89.825131140279979</v>
      </c>
      <c r="AH36" s="626">
        <v>92.058633491249978</v>
      </c>
      <c r="AI36" s="626">
        <v>94.292135842219977</v>
      </c>
      <c r="AJ36" s="626">
        <v>96.525638193189977</v>
      </c>
      <c r="AK36" s="626">
        <v>98.759140544159976</v>
      </c>
    </row>
    <row r="37" spans="1:37">
      <c r="A37" s="625" t="s">
        <v>3285</v>
      </c>
      <c r="B37" s="626"/>
      <c r="C37" s="626"/>
      <c r="D37" s="626"/>
      <c r="E37" s="626"/>
      <c r="F37" s="626"/>
      <c r="G37" s="626"/>
      <c r="H37" s="626"/>
      <c r="I37" s="626"/>
      <c r="J37" s="626">
        <v>0</v>
      </c>
      <c r="K37" s="626">
        <v>0</v>
      </c>
      <c r="L37" s="626">
        <v>0</v>
      </c>
      <c r="M37" s="626">
        <v>0</v>
      </c>
      <c r="N37" s="626">
        <v>0</v>
      </c>
      <c r="O37" s="626">
        <v>0</v>
      </c>
      <c r="P37" s="626">
        <v>0</v>
      </c>
      <c r="Q37" s="626">
        <v>0</v>
      </c>
      <c r="R37" s="626">
        <v>0</v>
      </c>
      <c r="S37" s="626">
        <v>0</v>
      </c>
      <c r="T37" s="626">
        <v>0</v>
      </c>
      <c r="U37" s="626">
        <v>0</v>
      </c>
      <c r="V37" s="626">
        <v>0</v>
      </c>
      <c r="W37" s="626">
        <v>0</v>
      </c>
      <c r="X37" s="626">
        <v>0</v>
      </c>
      <c r="Y37" s="626">
        <v>0</v>
      </c>
      <c r="Z37" s="626">
        <v>0</v>
      </c>
      <c r="AA37" s="626">
        <v>0</v>
      </c>
      <c r="AB37" s="626">
        <v>0</v>
      </c>
      <c r="AC37" s="626">
        <v>0</v>
      </c>
      <c r="AD37" s="626">
        <v>0</v>
      </c>
      <c r="AE37" s="626">
        <v>0</v>
      </c>
      <c r="AF37" s="626">
        <v>0</v>
      </c>
      <c r="AG37" s="626">
        <v>0</v>
      </c>
      <c r="AH37" s="626">
        <v>0</v>
      </c>
      <c r="AI37" s="626">
        <v>0</v>
      </c>
      <c r="AJ37" s="626">
        <v>0</v>
      </c>
      <c r="AK37" s="626">
        <v>0</v>
      </c>
    </row>
    <row r="38" spans="1:37">
      <c r="A38" s="625" t="s">
        <v>3286</v>
      </c>
      <c r="B38" s="626"/>
      <c r="C38" s="626"/>
      <c r="D38" s="626"/>
      <c r="E38" s="626"/>
      <c r="F38" s="626"/>
      <c r="G38" s="626"/>
      <c r="H38" s="626"/>
      <c r="I38" s="626"/>
      <c r="J38" s="626">
        <v>39.817109822669998</v>
      </c>
      <c r="K38" s="626">
        <v>41.899219645339997</v>
      </c>
      <c r="L38" s="626">
        <v>43.981329468009996</v>
      </c>
      <c r="M38" s="626">
        <v>46.063439290679995</v>
      </c>
      <c r="N38" s="626">
        <v>48.145549113349993</v>
      </c>
      <c r="O38" s="626">
        <v>50.227658936019992</v>
      </c>
      <c r="P38" s="626">
        <v>52.309768758689991</v>
      </c>
      <c r="Q38" s="626">
        <v>54.39187858135999</v>
      </c>
      <c r="R38" s="626">
        <v>56.473988404029988</v>
      </c>
      <c r="S38" s="626">
        <v>58.556098226699987</v>
      </c>
      <c r="T38" s="626">
        <v>60.789600577669987</v>
      </c>
      <c r="U38" s="626">
        <v>63.023102928639986</v>
      </c>
      <c r="V38" s="626">
        <v>65.256605279609985</v>
      </c>
      <c r="W38" s="626">
        <v>67.490107630579985</v>
      </c>
      <c r="X38" s="626">
        <v>69.723609981549984</v>
      </c>
      <c r="Y38" s="626">
        <v>71.957112332519984</v>
      </c>
      <c r="Z38" s="626">
        <v>74.190614683489983</v>
      </c>
      <c r="AA38" s="626">
        <v>76.424117034459982</v>
      </c>
      <c r="AB38" s="626">
        <v>78.657619385429982</v>
      </c>
      <c r="AC38" s="626">
        <v>80.891121736399981</v>
      </c>
      <c r="AD38" s="626">
        <v>83.12462408736998</v>
      </c>
      <c r="AE38" s="626">
        <v>85.35812643833998</v>
      </c>
      <c r="AF38" s="626">
        <v>87.591628789309979</v>
      </c>
      <c r="AG38" s="626">
        <v>89.825131140279979</v>
      </c>
      <c r="AH38" s="626">
        <v>92.058633491249978</v>
      </c>
      <c r="AI38" s="626">
        <v>94.292135842219977</v>
      </c>
      <c r="AJ38" s="626">
        <v>96.525638193189977</v>
      </c>
      <c r="AK38" s="626">
        <v>98.759140544159976</v>
      </c>
    </row>
    <row r="39" spans="1:37">
      <c r="A39" s="624" t="s">
        <v>3292</v>
      </c>
    </row>
    <row r="40" spans="1:37">
      <c r="A40" s="625" t="s">
        <v>3283</v>
      </c>
      <c r="B40" s="626"/>
      <c r="C40" s="626"/>
      <c r="D40" s="626"/>
      <c r="E40" s="626"/>
      <c r="F40" s="626"/>
      <c r="G40" s="626"/>
      <c r="H40" s="626"/>
      <c r="I40" s="626"/>
      <c r="J40" s="626">
        <v>157.07529</v>
      </c>
      <c r="K40" s="626">
        <v>164.71904096050699</v>
      </c>
      <c r="L40" s="626">
        <v>172.36279192101398</v>
      </c>
      <c r="M40" s="626">
        <v>180.00654288152097</v>
      </c>
      <c r="N40" s="626">
        <v>187.65029384202796</v>
      </c>
      <c r="O40" s="626">
        <v>195.29404480253496</v>
      </c>
      <c r="P40" s="626">
        <v>202.93779576304195</v>
      </c>
      <c r="Q40" s="626">
        <v>210.58154672354894</v>
      </c>
      <c r="R40" s="626">
        <v>218.22529768405593</v>
      </c>
      <c r="S40" s="626">
        <v>225.86904864456292</v>
      </c>
      <c r="T40" s="626">
        <v>233.51279960506992</v>
      </c>
      <c r="U40" s="626">
        <v>246.00703455056691</v>
      </c>
      <c r="V40" s="626">
        <v>258.50126949606391</v>
      </c>
      <c r="W40" s="626">
        <v>270.99550444156091</v>
      </c>
      <c r="X40" s="626">
        <v>283.48973938705791</v>
      </c>
      <c r="Y40" s="626">
        <v>295.98397433255491</v>
      </c>
      <c r="Z40" s="626">
        <v>308.47820927805191</v>
      </c>
      <c r="AA40" s="626">
        <v>320.97244422354891</v>
      </c>
      <c r="AB40" s="626">
        <v>333.4666791690459</v>
      </c>
      <c r="AC40" s="626">
        <v>345.9609141145429</v>
      </c>
      <c r="AD40" s="626">
        <v>358.4551490600399</v>
      </c>
      <c r="AE40" s="626">
        <v>370.9493840055369</v>
      </c>
      <c r="AF40" s="626">
        <v>383.4436189510339</v>
      </c>
      <c r="AG40" s="626">
        <v>395.9378538965309</v>
      </c>
      <c r="AH40" s="626">
        <v>408.43208884202789</v>
      </c>
      <c r="AI40" s="626">
        <v>420.92632378752489</v>
      </c>
      <c r="AJ40" s="626">
        <v>433.42055873302189</v>
      </c>
      <c r="AK40" s="626">
        <v>445.91479367851889</v>
      </c>
    </row>
    <row r="41" spans="1:37">
      <c r="A41" s="625" t="s">
        <v>3284</v>
      </c>
      <c r="B41" s="626"/>
      <c r="C41" s="626"/>
      <c r="D41" s="626"/>
      <c r="E41" s="626"/>
      <c r="F41" s="626"/>
      <c r="G41" s="626"/>
      <c r="H41" s="626"/>
      <c r="I41" s="626"/>
      <c r="J41" s="626">
        <v>7.6437509605070009</v>
      </c>
      <c r="K41" s="626">
        <v>7.6437509605070009</v>
      </c>
      <c r="L41" s="626">
        <v>7.6437509605070009</v>
      </c>
      <c r="M41" s="626">
        <v>7.6437509605070009</v>
      </c>
      <c r="N41" s="626">
        <v>7.6437509605070009</v>
      </c>
      <c r="O41" s="626">
        <v>7.6437509605070009</v>
      </c>
      <c r="P41" s="626">
        <v>7.6437509605070009</v>
      </c>
      <c r="Q41" s="626">
        <v>7.6437509605070009</v>
      </c>
      <c r="R41" s="626">
        <v>7.6437509605070009</v>
      </c>
      <c r="S41" s="626">
        <v>7.6437509605070009</v>
      </c>
      <c r="T41" s="626">
        <v>12.494234945496999</v>
      </c>
      <c r="U41" s="626">
        <v>12.494234945496999</v>
      </c>
      <c r="V41" s="626">
        <v>12.494234945496999</v>
      </c>
      <c r="W41" s="626">
        <v>12.494234945496999</v>
      </c>
      <c r="X41" s="626">
        <v>12.494234945496999</v>
      </c>
      <c r="Y41" s="626">
        <v>12.494234945496999</v>
      </c>
      <c r="Z41" s="626">
        <v>12.494234945496999</v>
      </c>
      <c r="AA41" s="626">
        <v>12.494234945496999</v>
      </c>
      <c r="AB41" s="626">
        <v>12.494234945496999</v>
      </c>
      <c r="AC41" s="626">
        <v>12.494234945496999</v>
      </c>
      <c r="AD41" s="626">
        <v>12.494234945496999</v>
      </c>
      <c r="AE41" s="626">
        <v>12.494234945496999</v>
      </c>
      <c r="AF41" s="626">
        <v>12.494234945496999</v>
      </c>
      <c r="AG41" s="626">
        <v>12.494234945496999</v>
      </c>
      <c r="AH41" s="626">
        <v>12.494234945496999</v>
      </c>
      <c r="AI41" s="626">
        <v>12.494234945496999</v>
      </c>
      <c r="AJ41" s="626">
        <v>12.494234945496999</v>
      </c>
      <c r="AK41" s="626">
        <v>12.494234945496999</v>
      </c>
    </row>
    <row r="42" spans="1:37">
      <c r="A42" s="625" t="s">
        <v>1886</v>
      </c>
      <c r="B42" s="626"/>
      <c r="C42" s="626"/>
      <c r="D42" s="626"/>
      <c r="E42" s="626"/>
      <c r="F42" s="626"/>
      <c r="G42" s="626"/>
      <c r="H42" s="626"/>
      <c r="I42" s="626"/>
      <c r="J42" s="626">
        <v>164.71904096050699</v>
      </c>
      <c r="K42" s="626">
        <v>172.36279192101398</v>
      </c>
      <c r="L42" s="626">
        <v>180.00654288152097</v>
      </c>
      <c r="M42" s="626">
        <v>187.65029384202796</v>
      </c>
      <c r="N42" s="626">
        <v>195.29404480253496</v>
      </c>
      <c r="O42" s="626">
        <v>202.93779576304195</v>
      </c>
      <c r="P42" s="626">
        <v>210.58154672354894</v>
      </c>
      <c r="Q42" s="626">
        <v>218.22529768405593</v>
      </c>
      <c r="R42" s="626">
        <v>225.86904864456292</v>
      </c>
      <c r="S42" s="626">
        <v>233.51279960506992</v>
      </c>
      <c r="T42" s="626">
        <v>246.00703455056691</v>
      </c>
      <c r="U42" s="626">
        <v>258.50126949606391</v>
      </c>
      <c r="V42" s="626">
        <v>270.99550444156091</v>
      </c>
      <c r="W42" s="626">
        <v>283.48973938705791</v>
      </c>
      <c r="X42" s="626">
        <v>295.98397433255491</v>
      </c>
      <c r="Y42" s="626">
        <v>308.47820927805191</v>
      </c>
      <c r="Z42" s="626">
        <v>320.97244422354891</v>
      </c>
      <c r="AA42" s="626">
        <v>333.4666791690459</v>
      </c>
      <c r="AB42" s="626">
        <v>345.9609141145429</v>
      </c>
      <c r="AC42" s="626">
        <v>358.4551490600399</v>
      </c>
      <c r="AD42" s="626">
        <v>370.9493840055369</v>
      </c>
      <c r="AE42" s="626">
        <v>383.4436189510339</v>
      </c>
      <c r="AF42" s="626">
        <v>395.9378538965309</v>
      </c>
      <c r="AG42" s="626">
        <v>408.43208884202789</v>
      </c>
      <c r="AH42" s="626">
        <v>420.92632378752489</v>
      </c>
      <c r="AI42" s="626">
        <v>433.42055873302189</v>
      </c>
      <c r="AJ42" s="626">
        <v>445.91479367851889</v>
      </c>
      <c r="AK42" s="626">
        <v>458.40902862401589</v>
      </c>
    </row>
    <row r="43" spans="1:37">
      <c r="A43" s="625" t="s">
        <v>3285</v>
      </c>
      <c r="B43" s="626"/>
      <c r="C43" s="626"/>
      <c r="D43" s="626"/>
      <c r="E43" s="626"/>
      <c r="F43" s="626"/>
      <c r="G43" s="626"/>
      <c r="H43" s="626"/>
      <c r="I43" s="626"/>
      <c r="J43" s="626">
        <v>0</v>
      </c>
      <c r="K43" s="626">
        <v>0</v>
      </c>
      <c r="L43" s="626">
        <v>0</v>
      </c>
      <c r="M43" s="626">
        <v>0</v>
      </c>
      <c r="N43" s="626">
        <v>0</v>
      </c>
      <c r="O43" s="626">
        <v>0</v>
      </c>
      <c r="P43" s="626">
        <v>0</v>
      </c>
      <c r="Q43" s="626">
        <v>0</v>
      </c>
      <c r="R43" s="626">
        <v>0</v>
      </c>
      <c r="S43" s="626">
        <v>0</v>
      </c>
      <c r="T43" s="626">
        <v>0</v>
      </c>
      <c r="U43" s="626">
        <v>0</v>
      </c>
      <c r="V43" s="626">
        <v>0</v>
      </c>
      <c r="W43" s="626">
        <v>0</v>
      </c>
      <c r="X43" s="626">
        <v>0</v>
      </c>
      <c r="Y43" s="626">
        <v>0</v>
      </c>
      <c r="Z43" s="626">
        <v>0</v>
      </c>
      <c r="AA43" s="626">
        <v>0</v>
      </c>
      <c r="AB43" s="626">
        <v>0</v>
      </c>
      <c r="AC43" s="626">
        <v>0</v>
      </c>
      <c r="AD43" s="626">
        <v>0</v>
      </c>
      <c r="AE43" s="626">
        <v>0</v>
      </c>
      <c r="AF43" s="626">
        <v>0</v>
      </c>
      <c r="AG43" s="626">
        <v>0</v>
      </c>
      <c r="AH43" s="626">
        <v>0</v>
      </c>
      <c r="AI43" s="626">
        <v>0</v>
      </c>
      <c r="AJ43" s="626">
        <v>0</v>
      </c>
      <c r="AK43" s="626">
        <v>0</v>
      </c>
    </row>
    <row r="44" spans="1:37">
      <c r="A44" s="625" t="s">
        <v>3286</v>
      </c>
      <c r="B44" s="626"/>
      <c r="C44" s="626"/>
      <c r="D44" s="626"/>
      <c r="E44" s="626"/>
      <c r="F44" s="626"/>
      <c r="G44" s="626"/>
      <c r="H44" s="626"/>
      <c r="I44" s="626"/>
      <c r="J44" s="626">
        <v>164.71904096050699</v>
      </c>
      <c r="K44" s="626">
        <v>172.36279192101398</v>
      </c>
      <c r="L44" s="626">
        <v>180.00654288152097</v>
      </c>
      <c r="M44" s="626">
        <v>187.65029384202796</v>
      </c>
      <c r="N44" s="626">
        <v>195.29404480253496</v>
      </c>
      <c r="O44" s="626">
        <v>202.93779576304195</v>
      </c>
      <c r="P44" s="626">
        <v>210.58154672354894</v>
      </c>
      <c r="Q44" s="626">
        <v>218.22529768405593</v>
      </c>
      <c r="R44" s="626">
        <v>225.86904864456292</v>
      </c>
      <c r="S44" s="626">
        <v>233.51279960506992</v>
      </c>
      <c r="T44" s="626">
        <v>246.00703455056691</v>
      </c>
      <c r="U44" s="626">
        <v>258.50126949606391</v>
      </c>
      <c r="V44" s="626">
        <v>270.99550444156091</v>
      </c>
      <c r="W44" s="626">
        <v>283.48973938705791</v>
      </c>
      <c r="X44" s="626">
        <v>295.98397433255491</v>
      </c>
      <c r="Y44" s="626">
        <v>308.47820927805191</v>
      </c>
      <c r="Z44" s="626">
        <v>320.97244422354891</v>
      </c>
      <c r="AA44" s="626">
        <v>333.4666791690459</v>
      </c>
      <c r="AB44" s="626">
        <v>345.9609141145429</v>
      </c>
      <c r="AC44" s="626">
        <v>358.4551490600399</v>
      </c>
      <c r="AD44" s="626">
        <v>370.9493840055369</v>
      </c>
      <c r="AE44" s="626">
        <v>383.4436189510339</v>
      </c>
      <c r="AF44" s="626">
        <v>395.9378538965309</v>
      </c>
      <c r="AG44" s="626">
        <v>408.43208884202789</v>
      </c>
      <c r="AH44" s="626">
        <v>420.92632378752489</v>
      </c>
      <c r="AI44" s="626">
        <v>433.42055873302189</v>
      </c>
      <c r="AJ44" s="626">
        <v>445.91479367851889</v>
      </c>
      <c r="AK44" s="626">
        <v>458.40902862401589</v>
      </c>
    </row>
    <row r="45" spans="1:37">
      <c r="A45" s="624" t="s">
        <v>3293</v>
      </c>
    </row>
    <row r="46" spans="1:37">
      <c r="A46" s="625" t="s">
        <v>3283</v>
      </c>
      <c r="B46" s="626"/>
      <c r="C46" s="626"/>
      <c r="D46" s="626"/>
      <c r="E46" s="626"/>
      <c r="F46" s="626"/>
      <c r="G46" s="626"/>
      <c r="H46" s="626"/>
      <c r="I46" s="626"/>
      <c r="J46" s="626">
        <v>12.93788</v>
      </c>
      <c r="K46" s="626">
        <v>13.666562319000001</v>
      </c>
      <c r="L46" s="626">
        <v>14.395244638000001</v>
      </c>
      <c r="M46" s="626">
        <v>15.123926957000002</v>
      </c>
      <c r="N46" s="626">
        <v>15.852609276000003</v>
      </c>
      <c r="O46" s="626">
        <v>16.581291595000003</v>
      </c>
      <c r="P46" s="626">
        <v>17.309973914000004</v>
      </c>
      <c r="Q46" s="626">
        <v>18.038656233000005</v>
      </c>
      <c r="R46" s="626">
        <v>18.767338552000005</v>
      </c>
      <c r="S46" s="626">
        <v>19.496020871000006</v>
      </c>
      <c r="T46" s="626">
        <v>20.224703190000007</v>
      </c>
      <c r="U46" s="626">
        <v>21.572078044500007</v>
      </c>
      <c r="V46" s="626">
        <v>22.919452899000007</v>
      </c>
      <c r="W46" s="626">
        <v>24.266827753500007</v>
      </c>
      <c r="X46" s="626">
        <v>25.614202608000006</v>
      </c>
      <c r="Y46" s="626">
        <v>26.961577462500006</v>
      </c>
      <c r="Z46" s="626">
        <v>28.308952317000006</v>
      </c>
      <c r="AA46" s="626">
        <v>29.656327171500006</v>
      </c>
      <c r="AB46" s="626">
        <v>31.003702026000006</v>
      </c>
      <c r="AC46" s="626">
        <v>32.351076880500003</v>
      </c>
      <c r="AD46" s="626">
        <v>33.698451735000006</v>
      </c>
      <c r="AE46" s="626">
        <v>35.04582658950001</v>
      </c>
      <c r="AF46" s="626">
        <v>36.393201444000013</v>
      </c>
      <c r="AG46" s="626">
        <v>37.740576298500017</v>
      </c>
      <c r="AH46" s="626">
        <v>39.08795115300002</v>
      </c>
      <c r="AI46" s="626">
        <v>40.435326007500024</v>
      </c>
      <c r="AJ46" s="626">
        <v>41.782700862000027</v>
      </c>
      <c r="AK46" s="626">
        <v>43.130075716500031</v>
      </c>
    </row>
    <row r="47" spans="1:37">
      <c r="A47" s="625" t="s">
        <v>3284</v>
      </c>
      <c r="B47" s="626"/>
      <c r="C47" s="626"/>
      <c r="D47" s="626"/>
      <c r="E47" s="626"/>
      <c r="F47" s="626"/>
      <c r="G47" s="626"/>
      <c r="H47" s="626"/>
      <c r="I47" s="626"/>
      <c r="J47" s="626">
        <v>0.72868231900000002</v>
      </c>
      <c r="K47" s="626">
        <v>0.72868231900000002</v>
      </c>
      <c r="L47" s="626">
        <v>0.72868231900000002</v>
      </c>
      <c r="M47" s="626">
        <v>0.72868231900000002</v>
      </c>
      <c r="N47" s="626">
        <v>0.72868231900000002</v>
      </c>
      <c r="O47" s="626">
        <v>0.72868231900000002</v>
      </c>
      <c r="P47" s="626">
        <v>0.72868231900000002</v>
      </c>
      <c r="Q47" s="626">
        <v>0.72868231900000002</v>
      </c>
      <c r="R47" s="626">
        <v>0.72868231900000002</v>
      </c>
      <c r="S47" s="626">
        <v>0.72868231900000002</v>
      </c>
      <c r="T47" s="626">
        <v>1.3473748544999999</v>
      </c>
      <c r="U47" s="626">
        <v>1.3473748544999999</v>
      </c>
      <c r="V47" s="626">
        <v>1.3473748544999999</v>
      </c>
      <c r="W47" s="626">
        <v>1.3473748544999999</v>
      </c>
      <c r="X47" s="626">
        <v>1.3473748544999999</v>
      </c>
      <c r="Y47" s="626">
        <v>1.3473748544999999</v>
      </c>
      <c r="Z47" s="626">
        <v>1.3473748544999999</v>
      </c>
      <c r="AA47" s="626">
        <v>1.3473748544999999</v>
      </c>
      <c r="AB47" s="626">
        <v>1.3473748544999999</v>
      </c>
      <c r="AC47" s="626">
        <v>1.3473748544999999</v>
      </c>
      <c r="AD47" s="626">
        <v>1.3473748544999999</v>
      </c>
      <c r="AE47" s="626">
        <v>1.3473748544999999</v>
      </c>
      <c r="AF47" s="626">
        <v>1.3473748544999999</v>
      </c>
      <c r="AG47" s="626">
        <v>1.3473748544999999</v>
      </c>
      <c r="AH47" s="626">
        <v>1.3473748544999999</v>
      </c>
      <c r="AI47" s="626">
        <v>1.3473748544999999</v>
      </c>
      <c r="AJ47" s="626">
        <v>1.3473748544999999</v>
      </c>
      <c r="AK47" s="626">
        <v>1.3473748544999999</v>
      </c>
    </row>
    <row r="48" spans="1:37">
      <c r="A48" s="625" t="s">
        <v>1886</v>
      </c>
      <c r="B48" s="626"/>
      <c r="C48" s="626"/>
      <c r="D48" s="626"/>
      <c r="E48" s="626"/>
      <c r="F48" s="626"/>
      <c r="G48" s="626"/>
      <c r="H48" s="626"/>
      <c r="I48" s="626"/>
      <c r="J48" s="626">
        <v>13.666562319000001</v>
      </c>
      <c r="K48" s="626">
        <v>14.395244638000001</v>
      </c>
      <c r="L48" s="626">
        <v>15.123926957000002</v>
      </c>
      <c r="M48" s="626">
        <v>15.852609276000003</v>
      </c>
      <c r="N48" s="626">
        <v>16.581291595000003</v>
      </c>
      <c r="O48" s="626">
        <v>17.309973914000004</v>
      </c>
      <c r="P48" s="626">
        <v>18.038656233000005</v>
      </c>
      <c r="Q48" s="626">
        <v>18.767338552000005</v>
      </c>
      <c r="R48" s="626">
        <v>19.496020871000006</v>
      </c>
      <c r="S48" s="626">
        <v>20.224703190000007</v>
      </c>
      <c r="T48" s="626">
        <v>21.572078044500007</v>
      </c>
      <c r="U48" s="626">
        <v>22.919452899000007</v>
      </c>
      <c r="V48" s="626">
        <v>24.266827753500007</v>
      </c>
      <c r="W48" s="626">
        <v>25.614202608000006</v>
      </c>
      <c r="X48" s="626">
        <v>26.961577462500006</v>
      </c>
      <c r="Y48" s="626">
        <v>28.308952317000006</v>
      </c>
      <c r="Z48" s="626">
        <v>29.656327171500006</v>
      </c>
      <c r="AA48" s="626">
        <v>31.003702026000006</v>
      </c>
      <c r="AB48" s="626">
        <v>32.351076880500003</v>
      </c>
      <c r="AC48" s="626">
        <v>33.698451735000006</v>
      </c>
      <c r="AD48" s="626">
        <v>35.04582658950001</v>
      </c>
      <c r="AE48" s="626">
        <v>36.393201444000013</v>
      </c>
      <c r="AF48" s="626">
        <v>37.740576298500017</v>
      </c>
      <c r="AG48" s="626">
        <v>39.08795115300002</v>
      </c>
      <c r="AH48" s="626">
        <v>40.435326007500024</v>
      </c>
      <c r="AI48" s="626">
        <v>41.782700862000027</v>
      </c>
      <c r="AJ48" s="626">
        <v>43.130075716500031</v>
      </c>
      <c r="AK48" s="626">
        <v>44.477450571000034</v>
      </c>
    </row>
    <row r="49" spans="1:37">
      <c r="A49" s="625" t="s">
        <v>3285</v>
      </c>
      <c r="B49" s="626"/>
      <c r="C49" s="626"/>
      <c r="D49" s="626"/>
      <c r="E49" s="626"/>
      <c r="F49" s="626"/>
      <c r="G49" s="626"/>
      <c r="H49" s="626"/>
      <c r="I49" s="626"/>
      <c r="J49" s="626">
        <v>0</v>
      </c>
      <c r="K49" s="626">
        <v>0</v>
      </c>
      <c r="L49" s="626">
        <v>0</v>
      </c>
      <c r="M49" s="626">
        <v>0</v>
      </c>
      <c r="N49" s="626">
        <v>0</v>
      </c>
      <c r="O49" s="626">
        <v>0</v>
      </c>
      <c r="P49" s="626">
        <v>0</v>
      </c>
      <c r="Q49" s="626">
        <v>0</v>
      </c>
      <c r="R49" s="626">
        <v>0</v>
      </c>
      <c r="S49" s="626">
        <v>0</v>
      </c>
      <c r="T49" s="626">
        <v>0</v>
      </c>
      <c r="U49" s="626">
        <v>0</v>
      </c>
      <c r="V49" s="626">
        <v>0</v>
      </c>
      <c r="W49" s="626">
        <v>0</v>
      </c>
      <c r="X49" s="626">
        <v>0</v>
      </c>
      <c r="Y49" s="626">
        <v>0</v>
      </c>
      <c r="Z49" s="626">
        <v>0</v>
      </c>
      <c r="AA49" s="626">
        <v>0</v>
      </c>
      <c r="AB49" s="626">
        <v>0</v>
      </c>
      <c r="AC49" s="626">
        <v>0</v>
      </c>
      <c r="AD49" s="626">
        <v>0</v>
      </c>
      <c r="AE49" s="626">
        <v>0</v>
      </c>
      <c r="AF49" s="626">
        <v>0</v>
      </c>
      <c r="AG49" s="626">
        <v>0</v>
      </c>
      <c r="AH49" s="626">
        <v>0</v>
      </c>
      <c r="AI49" s="626">
        <v>0</v>
      </c>
      <c r="AJ49" s="626">
        <v>0</v>
      </c>
      <c r="AK49" s="626">
        <v>0</v>
      </c>
    </row>
    <row r="50" spans="1:37">
      <c r="A50" s="625" t="s">
        <v>3286</v>
      </c>
      <c r="B50" s="626"/>
      <c r="C50" s="626"/>
      <c r="D50" s="626"/>
      <c r="E50" s="626"/>
      <c r="F50" s="626"/>
      <c r="G50" s="626"/>
      <c r="H50" s="626"/>
      <c r="I50" s="626"/>
      <c r="J50" s="626">
        <v>13.666562319000001</v>
      </c>
      <c r="K50" s="626">
        <v>14.395244638000001</v>
      </c>
      <c r="L50" s="626">
        <v>15.123926957000002</v>
      </c>
      <c r="M50" s="626">
        <v>15.852609276000003</v>
      </c>
      <c r="N50" s="626">
        <v>16.581291595000003</v>
      </c>
      <c r="O50" s="626">
        <v>17.309973914000004</v>
      </c>
      <c r="P50" s="626">
        <v>18.038656233000005</v>
      </c>
      <c r="Q50" s="626">
        <v>18.767338552000005</v>
      </c>
      <c r="R50" s="626">
        <v>19.496020871000006</v>
      </c>
      <c r="S50" s="626">
        <v>20.224703190000007</v>
      </c>
      <c r="T50" s="626">
        <v>21.572078044500007</v>
      </c>
      <c r="U50" s="626">
        <v>22.919452899000007</v>
      </c>
      <c r="V50" s="626">
        <v>24.266827753500007</v>
      </c>
      <c r="W50" s="626">
        <v>25.614202608000006</v>
      </c>
      <c r="X50" s="626">
        <v>26.961577462500006</v>
      </c>
      <c r="Y50" s="626">
        <v>28.308952317000006</v>
      </c>
      <c r="Z50" s="626">
        <v>29.656327171500006</v>
      </c>
      <c r="AA50" s="626">
        <v>31.003702026000006</v>
      </c>
      <c r="AB50" s="626">
        <v>32.351076880500003</v>
      </c>
      <c r="AC50" s="626">
        <v>33.698451735000006</v>
      </c>
      <c r="AD50" s="626">
        <v>35.04582658950001</v>
      </c>
      <c r="AE50" s="626">
        <v>36.393201444000013</v>
      </c>
      <c r="AF50" s="626">
        <v>37.740576298500017</v>
      </c>
      <c r="AG50" s="626">
        <v>39.08795115300002</v>
      </c>
      <c r="AH50" s="626">
        <v>40.435326007500024</v>
      </c>
      <c r="AI50" s="626">
        <v>41.782700862000027</v>
      </c>
      <c r="AJ50" s="626">
        <v>43.130075716500031</v>
      </c>
      <c r="AK50" s="626">
        <v>44.477450571000034</v>
      </c>
    </row>
    <row r="51" spans="1:37">
      <c r="A51" s="624" t="s">
        <v>3294</v>
      </c>
    </row>
    <row r="52" spans="1:37">
      <c r="A52" s="625" t="s">
        <v>3283</v>
      </c>
      <c r="B52" s="626"/>
      <c r="C52" s="626"/>
      <c r="D52" s="626"/>
      <c r="E52" s="626"/>
      <c r="F52" s="626"/>
      <c r="G52" s="626"/>
      <c r="H52" s="626"/>
      <c r="I52" s="626"/>
      <c r="J52" s="626">
        <v>1.21072</v>
      </c>
      <c r="K52" s="626">
        <v>1.262234746673</v>
      </c>
      <c r="L52" s="626">
        <v>1.3137494933459999</v>
      </c>
      <c r="M52" s="626">
        <v>1.3652642400189998</v>
      </c>
      <c r="N52" s="626">
        <v>1.4167789866919998</v>
      </c>
      <c r="O52" s="626">
        <v>1.4682937333649997</v>
      </c>
      <c r="P52" s="626">
        <v>1.5198084800379996</v>
      </c>
      <c r="Q52" s="626">
        <v>1.5713232267109996</v>
      </c>
      <c r="R52" s="626">
        <v>1.6228379733839995</v>
      </c>
      <c r="S52" s="626">
        <v>1.6743527200569994</v>
      </c>
      <c r="T52" s="626">
        <v>1.7258674667299994</v>
      </c>
      <c r="U52" s="626">
        <v>1.7848993867299994</v>
      </c>
      <c r="V52" s="626">
        <v>1.8439313067299992</v>
      </c>
      <c r="W52" s="626">
        <v>1.902963226729999</v>
      </c>
      <c r="X52" s="626">
        <v>1.9619951467299988</v>
      </c>
      <c r="Y52" s="626">
        <v>2.0210270667299985</v>
      </c>
      <c r="Z52" s="626">
        <v>2.0800589867299983</v>
      </c>
      <c r="AA52" s="626">
        <v>2.1390909067299981</v>
      </c>
      <c r="AB52" s="626">
        <v>2.1981228267299979</v>
      </c>
      <c r="AC52" s="626">
        <v>2.2571547467299977</v>
      </c>
      <c r="AD52" s="626">
        <v>2.3161866667299975</v>
      </c>
      <c r="AE52" s="626">
        <v>2.3752185867299973</v>
      </c>
      <c r="AF52" s="626">
        <v>2.4342505067299971</v>
      </c>
      <c r="AG52" s="626">
        <v>2.4932824267299969</v>
      </c>
      <c r="AH52" s="626">
        <v>2.5523143467299967</v>
      </c>
      <c r="AI52" s="626">
        <v>2.6113462667299965</v>
      </c>
      <c r="AJ52" s="626">
        <v>2.6703781867299963</v>
      </c>
      <c r="AK52" s="626">
        <v>2.7294101067299961</v>
      </c>
    </row>
    <row r="53" spans="1:37">
      <c r="A53" s="625" t="s">
        <v>3284</v>
      </c>
      <c r="B53" s="626"/>
      <c r="C53" s="626"/>
      <c r="D53" s="626"/>
      <c r="E53" s="626"/>
      <c r="F53" s="626"/>
      <c r="G53" s="626"/>
      <c r="H53" s="626"/>
      <c r="I53" s="626"/>
      <c r="J53" s="626">
        <v>5.1514746673000003E-2</v>
      </c>
      <c r="K53" s="626">
        <v>5.1514746673000003E-2</v>
      </c>
      <c r="L53" s="626">
        <v>5.1514746673000003E-2</v>
      </c>
      <c r="M53" s="626">
        <v>5.1514746673000003E-2</v>
      </c>
      <c r="N53" s="626">
        <v>5.1514746673000003E-2</v>
      </c>
      <c r="O53" s="626">
        <v>5.1514746673000003E-2</v>
      </c>
      <c r="P53" s="626">
        <v>5.1514746673000003E-2</v>
      </c>
      <c r="Q53" s="626">
        <v>5.1514746673000003E-2</v>
      </c>
      <c r="R53" s="626">
        <v>5.1514746673000003E-2</v>
      </c>
      <c r="S53" s="626">
        <v>5.1514746673000003E-2</v>
      </c>
      <c r="T53" s="626">
        <v>5.9031919999999904E-2</v>
      </c>
      <c r="U53" s="626">
        <v>5.9031919999999904E-2</v>
      </c>
      <c r="V53" s="626">
        <v>5.9031919999999904E-2</v>
      </c>
      <c r="W53" s="626">
        <v>5.9031919999999904E-2</v>
      </c>
      <c r="X53" s="626">
        <v>5.9031919999999904E-2</v>
      </c>
      <c r="Y53" s="626">
        <v>5.9031919999999904E-2</v>
      </c>
      <c r="Z53" s="626">
        <v>5.9031919999999904E-2</v>
      </c>
      <c r="AA53" s="626">
        <v>5.9031919999999904E-2</v>
      </c>
      <c r="AB53" s="626">
        <v>5.9031919999999904E-2</v>
      </c>
      <c r="AC53" s="626">
        <v>5.9031919999999904E-2</v>
      </c>
      <c r="AD53" s="626">
        <v>5.9031919999999904E-2</v>
      </c>
      <c r="AE53" s="626">
        <v>5.9031919999999904E-2</v>
      </c>
      <c r="AF53" s="626">
        <v>5.9031919999999904E-2</v>
      </c>
      <c r="AG53" s="626">
        <v>5.9031919999999904E-2</v>
      </c>
      <c r="AH53" s="626">
        <v>5.9031919999999904E-2</v>
      </c>
      <c r="AI53" s="626">
        <v>5.9031919999999904E-2</v>
      </c>
      <c r="AJ53" s="626">
        <v>5.9031919999999904E-2</v>
      </c>
      <c r="AK53" s="626">
        <v>5.9031919999999904E-2</v>
      </c>
    </row>
    <row r="54" spans="1:37">
      <c r="A54" s="625" t="s">
        <v>1886</v>
      </c>
      <c r="B54" s="626"/>
      <c r="C54" s="626"/>
      <c r="D54" s="626"/>
      <c r="E54" s="626"/>
      <c r="F54" s="626"/>
      <c r="G54" s="626"/>
      <c r="H54" s="626"/>
      <c r="I54" s="626"/>
      <c r="J54" s="626">
        <v>1.262234746673</v>
      </c>
      <c r="K54" s="626">
        <v>1.3137494933459999</v>
      </c>
      <c r="L54" s="626">
        <v>1.3652642400189998</v>
      </c>
      <c r="M54" s="626">
        <v>1.4167789866919998</v>
      </c>
      <c r="N54" s="626">
        <v>1.4682937333649997</v>
      </c>
      <c r="O54" s="626">
        <v>1.5198084800379996</v>
      </c>
      <c r="P54" s="626">
        <v>1.5713232267109996</v>
      </c>
      <c r="Q54" s="626">
        <v>1.6228379733839995</v>
      </c>
      <c r="R54" s="626">
        <v>1.6743527200569994</v>
      </c>
      <c r="S54" s="626">
        <v>1.7258674667299994</v>
      </c>
      <c r="T54" s="626">
        <v>1.7848993867299994</v>
      </c>
      <c r="U54" s="626">
        <v>1.8439313067299992</v>
      </c>
      <c r="V54" s="626">
        <v>1.902963226729999</v>
      </c>
      <c r="W54" s="626">
        <v>1.9619951467299988</v>
      </c>
      <c r="X54" s="626">
        <v>2.0210270667299985</v>
      </c>
      <c r="Y54" s="626">
        <v>2.0800589867299983</v>
      </c>
      <c r="Z54" s="626">
        <v>2.1390909067299981</v>
      </c>
      <c r="AA54" s="626">
        <v>2.1981228267299979</v>
      </c>
      <c r="AB54" s="626">
        <v>2.2571547467299977</v>
      </c>
      <c r="AC54" s="626">
        <v>2.3161866667299975</v>
      </c>
      <c r="AD54" s="626">
        <v>2.3752185867299973</v>
      </c>
      <c r="AE54" s="626">
        <v>2.4342505067299971</v>
      </c>
      <c r="AF54" s="626">
        <v>2.4932824267299969</v>
      </c>
      <c r="AG54" s="626">
        <v>2.5523143467299967</v>
      </c>
      <c r="AH54" s="626">
        <v>2.6113462667299965</v>
      </c>
      <c r="AI54" s="626">
        <v>2.6703781867299963</v>
      </c>
      <c r="AJ54" s="626">
        <v>2.7294101067299961</v>
      </c>
      <c r="AK54" s="626">
        <v>2.7884420267299959</v>
      </c>
    </row>
    <row r="55" spans="1:37">
      <c r="A55" s="625" t="s">
        <v>3285</v>
      </c>
      <c r="B55" s="626"/>
      <c r="C55" s="626"/>
      <c r="D55" s="626"/>
      <c r="E55" s="626"/>
      <c r="F55" s="626"/>
      <c r="G55" s="626"/>
      <c r="H55" s="626"/>
      <c r="I55" s="626"/>
      <c r="J55" s="626">
        <v>0</v>
      </c>
      <c r="K55" s="626">
        <v>0</v>
      </c>
      <c r="L55" s="626">
        <v>0</v>
      </c>
      <c r="M55" s="626">
        <v>0</v>
      </c>
      <c r="N55" s="626">
        <v>0</v>
      </c>
      <c r="O55" s="626">
        <v>0</v>
      </c>
      <c r="P55" s="626">
        <v>0</v>
      </c>
      <c r="Q55" s="626">
        <v>0</v>
      </c>
      <c r="R55" s="626">
        <v>0</v>
      </c>
      <c r="S55" s="626">
        <v>0</v>
      </c>
      <c r="T55" s="626">
        <v>0</v>
      </c>
      <c r="U55" s="626">
        <v>0</v>
      </c>
      <c r="V55" s="626">
        <v>0</v>
      </c>
      <c r="W55" s="626">
        <v>0</v>
      </c>
      <c r="X55" s="626">
        <v>0</v>
      </c>
      <c r="Y55" s="626">
        <v>0</v>
      </c>
      <c r="Z55" s="626">
        <v>0</v>
      </c>
      <c r="AA55" s="626">
        <v>0</v>
      </c>
      <c r="AB55" s="626">
        <v>0</v>
      </c>
      <c r="AC55" s="626">
        <v>0</v>
      </c>
      <c r="AD55" s="626">
        <v>0</v>
      </c>
      <c r="AE55" s="626">
        <v>0</v>
      </c>
      <c r="AF55" s="626">
        <v>0</v>
      </c>
      <c r="AG55" s="626">
        <v>0</v>
      </c>
      <c r="AH55" s="626">
        <v>0</v>
      </c>
      <c r="AI55" s="626">
        <v>0</v>
      </c>
      <c r="AJ55" s="626">
        <v>0</v>
      </c>
      <c r="AK55" s="626">
        <v>0</v>
      </c>
    </row>
    <row r="56" spans="1:37">
      <c r="A56" s="625" t="s">
        <v>3286</v>
      </c>
      <c r="B56" s="626"/>
      <c r="C56" s="626"/>
      <c r="D56" s="626"/>
      <c r="E56" s="626"/>
      <c r="F56" s="626"/>
      <c r="G56" s="626"/>
      <c r="H56" s="626"/>
      <c r="I56" s="626"/>
      <c r="J56" s="626">
        <v>1.262234746673</v>
      </c>
      <c r="K56" s="626">
        <v>1.3137494933459999</v>
      </c>
      <c r="L56" s="626">
        <v>1.3652642400189998</v>
      </c>
      <c r="M56" s="626">
        <v>1.4167789866919998</v>
      </c>
      <c r="N56" s="626">
        <v>1.4682937333649997</v>
      </c>
      <c r="O56" s="626">
        <v>1.5198084800379996</v>
      </c>
      <c r="P56" s="626">
        <v>1.5713232267109996</v>
      </c>
      <c r="Q56" s="626">
        <v>1.6228379733839995</v>
      </c>
      <c r="R56" s="626">
        <v>1.6743527200569994</v>
      </c>
      <c r="S56" s="626">
        <v>1.7258674667299994</v>
      </c>
      <c r="T56" s="626">
        <v>1.7848993867299994</v>
      </c>
      <c r="U56" s="626">
        <v>1.8439313067299992</v>
      </c>
      <c r="V56" s="626">
        <v>1.902963226729999</v>
      </c>
      <c r="W56" s="626">
        <v>1.9619951467299988</v>
      </c>
      <c r="X56" s="626">
        <v>2.0210270667299985</v>
      </c>
      <c r="Y56" s="626">
        <v>2.0800589867299983</v>
      </c>
      <c r="Z56" s="626">
        <v>2.1390909067299981</v>
      </c>
      <c r="AA56" s="626">
        <v>2.1981228267299979</v>
      </c>
      <c r="AB56" s="626">
        <v>2.2571547467299977</v>
      </c>
      <c r="AC56" s="626">
        <v>2.3161866667299975</v>
      </c>
      <c r="AD56" s="626">
        <v>2.3752185867299973</v>
      </c>
      <c r="AE56" s="626">
        <v>2.4342505067299971</v>
      </c>
      <c r="AF56" s="626">
        <v>2.4932824267299969</v>
      </c>
      <c r="AG56" s="626">
        <v>2.5523143467299967</v>
      </c>
      <c r="AH56" s="626">
        <v>2.6113462667299965</v>
      </c>
      <c r="AI56" s="626">
        <v>2.6703781867299963</v>
      </c>
      <c r="AJ56" s="626">
        <v>2.7294101067299961</v>
      </c>
      <c r="AK56" s="626">
        <v>2.7884420267299959</v>
      </c>
    </row>
    <row r="57" spans="1:37">
      <c r="A57" s="624" t="s">
        <v>3295</v>
      </c>
    </row>
    <row r="58" spans="1:37">
      <c r="A58" s="625" t="s">
        <v>3283</v>
      </c>
      <c r="B58" s="626"/>
      <c r="C58" s="626"/>
      <c r="D58" s="626"/>
      <c r="E58" s="626"/>
      <c r="F58" s="626"/>
      <c r="G58" s="626"/>
      <c r="H58" s="626"/>
      <c r="I58" s="626"/>
      <c r="J58" s="626">
        <v>1.49295</v>
      </c>
      <c r="K58" s="626">
        <v>1.5564717452500001</v>
      </c>
      <c r="L58" s="626">
        <v>1.6199934905000002</v>
      </c>
      <c r="M58" s="626">
        <v>1.6835152357500003</v>
      </c>
      <c r="N58" s="626">
        <v>1.7470369810000004</v>
      </c>
      <c r="O58" s="626">
        <v>1.8105587262500005</v>
      </c>
      <c r="P58" s="626">
        <v>1.8740804715000006</v>
      </c>
      <c r="Q58" s="626">
        <v>1.9376022167500007</v>
      </c>
      <c r="R58" s="626">
        <v>2.0011239620000008</v>
      </c>
      <c r="S58" s="626">
        <v>2.0646457072500009</v>
      </c>
      <c r="T58" s="626">
        <v>2.1281674525000009</v>
      </c>
      <c r="U58" s="626">
        <v>2.1767429047500007</v>
      </c>
      <c r="V58" s="626">
        <v>2.2253183570000004</v>
      </c>
      <c r="W58" s="626">
        <v>2.2738938092500001</v>
      </c>
      <c r="X58" s="626">
        <v>2.3224692614999998</v>
      </c>
      <c r="Y58" s="626">
        <v>2.3710447137499995</v>
      </c>
      <c r="Z58" s="626">
        <v>2.4196201659999992</v>
      </c>
      <c r="AA58" s="626">
        <v>2.4681956182499989</v>
      </c>
      <c r="AB58" s="626">
        <v>2.5167710704999986</v>
      </c>
      <c r="AC58" s="626">
        <v>2.5653465227499983</v>
      </c>
      <c r="AD58" s="626">
        <v>2.613921974999998</v>
      </c>
      <c r="AE58" s="626">
        <v>2.6624974272499977</v>
      </c>
      <c r="AF58" s="626">
        <v>2.7110728794999974</v>
      </c>
      <c r="AG58" s="626">
        <v>2.7596483317499971</v>
      </c>
      <c r="AH58" s="626">
        <v>2.8082237839999968</v>
      </c>
      <c r="AI58" s="626">
        <v>2.8567992362499965</v>
      </c>
      <c r="AJ58" s="626">
        <v>2.9053746884999962</v>
      </c>
      <c r="AK58" s="626">
        <v>2.953950140749996</v>
      </c>
    </row>
    <row r="59" spans="1:37">
      <c r="A59" s="625" t="s">
        <v>3284</v>
      </c>
      <c r="B59" s="626"/>
      <c r="C59" s="626"/>
      <c r="D59" s="626"/>
      <c r="E59" s="626"/>
      <c r="F59" s="626"/>
      <c r="G59" s="626"/>
      <c r="H59" s="626"/>
      <c r="I59" s="626"/>
      <c r="J59" s="626">
        <v>6.3521745249999997E-2</v>
      </c>
      <c r="K59" s="626">
        <v>6.3521745249999997E-2</v>
      </c>
      <c r="L59" s="626">
        <v>6.3521745249999997E-2</v>
      </c>
      <c r="M59" s="626">
        <v>6.3521745249999997E-2</v>
      </c>
      <c r="N59" s="626">
        <v>6.3521745249999997E-2</v>
      </c>
      <c r="O59" s="626">
        <v>6.3521745249999997E-2</v>
      </c>
      <c r="P59" s="626">
        <v>6.3521745249999997E-2</v>
      </c>
      <c r="Q59" s="626">
        <v>6.3521745249999997E-2</v>
      </c>
      <c r="R59" s="626">
        <v>6.3521745249999997E-2</v>
      </c>
      <c r="S59" s="626">
        <v>6.3521745249999997E-2</v>
      </c>
      <c r="T59" s="626">
        <v>4.8575452249999901E-2</v>
      </c>
      <c r="U59" s="626">
        <v>4.8575452249999901E-2</v>
      </c>
      <c r="V59" s="626">
        <v>4.8575452249999901E-2</v>
      </c>
      <c r="W59" s="626">
        <v>4.8575452249999901E-2</v>
      </c>
      <c r="X59" s="626">
        <v>4.8575452249999901E-2</v>
      </c>
      <c r="Y59" s="626">
        <v>4.8575452249999901E-2</v>
      </c>
      <c r="Z59" s="626">
        <v>4.8575452249999901E-2</v>
      </c>
      <c r="AA59" s="626">
        <v>4.8575452249999901E-2</v>
      </c>
      <c r="AB59" s="626">
        <v>4.8575452249999901E-2</v>
      </c>
      <c r="AC59" s="626">
        <v>4.8575452249999901E-2</v>
      </c>
      <c r="AD59" s="626">
        <v>4.8575452249999901E-2</v>
      </c>
      <c r="AE59" s="626">
        <v>4.8575452249999901E-2</v>
      </c>
      <c r="AF59" s="626">
        <v>4.8575452249999901E-2</v>
      </c>
      <c r="AG59" s="626">
        <v>4.8575452249999901E-2</v>
      </c>
      <c r="AH59" s="626">
        <v>4.8575452249999901E-2</v>
      </c>
      <c r="AI59" s="626">
        <v>4.8575452249999901E-2</v>
      </c>
      <c r="AJ59" s="626">
        <v>4.8575452249999901E-2</v>
      </c>
      <c r="AK59" s="626">
        <v>4.8575452249999901E-2</v>
      </c>
    </row>
    <row r="60" spans="1:37">
      <c r="A60" s="625" t="s">
        <v>1886</v>
      </c>
      <c r="B60" s="626"/>
      <c r="C60" s="626"/>
      <c r="D60" s="626"/>
      <c r="E60" s="626"/>
      <c r="F60" s="626"/>
      <c r="G60" s="626"/>
      <c r="H60" s="626"/>
      <c r="I60" s="626"/>
      <c r="J60" s="626">
        <v>1.5564717452500001</v>
      </c>
      <c r="K60" s="626">
        <v>1.6199934905000002</v>
      </c>
      <c r="L60" s="626">
        <v>1.6835152357500003</v>
      </c>
      <c r="M60" s="626">
        <v>1.7470369810000004</v>
      </c>
      <c r="N60" s="626">
        <v>1.8105587262500005</v>
      </c>
      <c r="O60" s="626">
        <v>1.8740804715000006</v>
      </c>
      <c r="P60" s="626">
        <v>1.9376022167500007</v>
      </c>
      <c r="Q60" s="626">
        <v>2.0011239620000008</v>
      </c>
      <c r="R60" s="626">
        <v>2.0646457072500009</v>
      </c>
      <c r="S60" s="626">
        <v>2.1281674525000009</v>
      </c>
      <c r="T60" s="626">
        <v>2.1767429047500007</v>
      </c>
      <c r="U60" s="626">
        <v>2.2253183570000004</v>
      </c>
      <c r="V60" s="626">
        <v>2.2738938092500001</v>
      </c>
      <c r="W60" s="626">
        <v>2.3224692614999998</v>
      </c>
      <c r="X60" s="626">
        <v>2.3710447137499995</v>
      </c>
      <c r="Y60" s="626">
        <v>2.4196201659999992</v>
      </c>
      <c r="Z60" s="626">
        <v>2.4681956182499989</v>
      </c>
      <c r="AA60" s="626">
        <v>2.5167710704999986</v>
      </c>
      <c r="AB60" s="626">
        <v>2.5653465227499983</v>
      </c>
      <c r="AC60" s="626">
        <v>2.613921974999998</v>
      </c>
      <c r="AD60" s="626">
        <v>2.6624974272499977</v>
      </c>
      <c r="AE60" s="626">
        <v>2.7110728794999974</v>
      </c>
      <c r="AF60" s="626">
        <v>2.7596483317499971</v>
      </c>
      <c r="AG60" s="626">
        <v>2.8082237839999968</v>
      </c>
      <c r="AH60" s="626">
        <v>2.8567992362499965</v>
      </c>
      <c r="AI60" s="626">
        <v>2.9053746884999962</v>
      </c>
      <c r="AJ60" s="626">
        <v>2.953950140749996</v>
      </c>
      <c r="AK60" s="626">
        <v>3.0025255929999957</v>
      </c>
    </row>
    <row r="61" spans="1:37">
      <c r="A61" s="625" t="s">
        <v>3285</v>
      </c>
      <c r="B61" s="626"/>
      <c r="C61" s="626"/>
      <c r="D61" s="626"/>
      <c r="E61" s="626"/>
      <c r="F61" s="626"/>
      <c r="G61" s="626"/>
      <c r="H61" s="626"/>
      <c r="I61" s="626"/>
      <c r="J61" s="626">
        <v>0</v>
      </c>
      <c r="K61" s="626">
        <v>0</v>
      </c>
      <c r="L61" s="626">
        <v>0</v>
      </c>
      <c r="M61" s="626">
        <v>0</v>
      </c>
      <c r="N61" s="626">
        <v>0</v>
      </c>
      <c r="O61" s="626">
        <v>0</v>
      </c>
      <c r="P61" s="626">
        <v>0</v>
      </c>
      <c r="Q61" s="626">
        <v>0</v>
      </c>
      <c r="R61" s="626">
        <v>0</v>
      </c>
      <c r="S61" s="626">
        <v>0</v>
      </c>
      <c r="T61" s="626">
        <v>0</v>
      </c>
      <c r="U61" s="626">
        <v>0</v>
      </c>
      <c r="V61" s="626">
        <v>0</v>
      </c>
      <c r="W61" s="626">
        <v>0</v>
      </c>
      <c r="X61" s="626">
        <v>0</v>
      </c>
      <c r="Y61" s="626">
        <v>0</v>
      </c>
      <c r="Z61" s="626">
        <v>0</v>
      </c>
      <c r="AA61" s="626">
        <v>0</v>
      </c>
      <c r="AB61" s="626">
        <v>0</v>
      </c>
      <c r="AC61" s="626">
        <v>0</v>
      </c>
      <c r="AD61" s="626">
        <v>0</v>
      </c>
      <c r="AE61" s="626">
        <v>0</v>
      </c>
      <c r="AF61" s="626">
        <v>0</v>
      </c>
      <c r="AG61" s="626">
        <v>0</v>
      </c>
      <c r="AH61" s="626">
        <v>0</v>
      </c>
      <c r="AI61" s="626">
        <v>0</v>
      </c>
      <c r="AJ61" s="626">
        <v>0</v>
      </c>
      <c r="AK61" s="626">
        <v>0</v>
      </c>
    </row>
    <row r="62" spans="1:37">
      <c r="A62" s="625" t="s">
        <v>3286</v>
      </c>
      <c r="B62" s="626"/>
      <c r="C62" s="626"/>
      <c r="D62" s="626"/>
      <c r="E62" s="626"/>
      <c r="F62" s="626"/>
      <c r="G62" s="626"/>
      <c r="H62" s="626"/>
      <c r="I62" s="626"/>
      <c r="J62" s="626">
        <v>1.5564717452500001</v>
      </c>
      <c r="K62" s="626">
        <v>1.6199934905000002</v>
      </c>
      <c r="L62" s="626">
        <v>1.6835152357500003</v>
      </c>
      <c r="M62" s="626">
        <v>1.7470369810000004</v>
      </c>
      <c r="N62" s="626">
        <v>1.8105587262500005</v>
      </c>
      <c r="O62" s="626">
        <v>1.8740804715000006</v>
      </c>
      <c r="P62" s="626">
        <v>1.9376022167500007</v>
      </c>
      <c r="Q62" s="626">
        <v>2.0011239620000008</v>
      </c>
      <c r="R62" s="626">
        <v>2.0646457072500009</v>
      </c>
      <c r="S62" s="626">
        <v>2.1281674525000009</v>
      </c>
      <c r="T62" s="626">
        <v>2.1767429047500007</v>
      </c>
      <c r="U62" s="626">
        <v>2.2253183570000004</v>
      </c>
      <c r="V62" s="626">
        <v>2.2738938092500001</v>
      </c>
      <c r="W62" s="626">
        <v>2.3224692614999998</v>
      </c>
      <c r="X62" s="626">
        <v>2.3710447137499995</v>
      </c>
      <c r="Y62" s="626">
        <v>2.4196201659999992</v>
      </c>
      <c r="Z62" s="626">
        <v>2.4681956182499989</v>
      </c>
      <c r="AA62" s="626">
        <v>2.5167710704999986</v>
      </c>
      <c r="AB62" s="626">
        <v>2.5653465227499983</v>
      </c>
      <c r="AC62" s="626">
        <v>2.613921974999998</v>
      </c>
      <c r="AD62" s="626">
        <v>2.6624974272499977</v>
      </c>
      <c r="AE62" s="626">
        <v>2.7110728794999974</v>
      </c>
      <c r="AF62" s="626">
        <v>2.7596483317499971</v>
      </c>
      <c r="AG62" s="626">
        <v>2.8082237839999968</v>
      </c>
      <c r="AH62" s="626">
        <v>2.8567992362499965</v>
      </c>
      <c r="AI62" s="626">
        <v>2.9053746884999962</v>
      </c>
      <c r="AJ62" s="626">
        <v>2.953950140749996</v>
      </c>
      <c r="AK62" s="626">
        <v>3.0025255929999957</v>
      </c>
    </row>
    <row r="63" spans="1:37">
      <c r="A63" s="624" t="s">
        <v>3296</v>
      </c>
    </row>
    <row r="64" spans="1:37">
      <c r="A64" s="625" t="s">
        <v>3283</v>
      </c>
      <c r="B64" s="626"/>
      <c r="C64" s="626"/>
      <c r="D64" s="626"/>
      <c r="E64" s="626"/>
      <c r="F64" s="626"/>
      <c r="G64" s="626"/>
      <c r="H64" s="626"/>
      <c r="I64" s="626"/>
      <c r="J64" s="626">
        <v>9.0418599999999998</v>
      </c>
      <c r="K64" s="626">
        <v>9.4266156700000003</v>
      </c>
      <c r="L64" s="626">
        <v>9.8113713400000009</v>
      </c>
      <c r="M64" s="626">
        <v>10.196127010000001</v>
      </c>
      <c r="N64" s="626">
        <v>10.580882680000002</v>
      </c>
      <c r="O64" s="626">
        <v>10.965638350000003</v>
      </c>
      <c r="P64" s="626">
        <v>11.350394020000003</v>
      </c>
      <c r="Q64" s="626">
        <v>11.735149690000004</v>
      </c>
      <c r="R64" s="626">
        <v>12.119905360000004</v>
      </c>
      <c r="S64" s="626">
        <v>12.504661030000005</v>
      </c>
      <c r="T64" s="626">
        <v>12.889416700000005</v>
      </c>
      <c r="U64" s="626">
        <v>13.220021572000006</v>
      </c>
      <c r="V64" s="626">
        <v>13.550626444000006</v>
      </c>
      <c r="W64" s="626">
        <v>13.881231316000006</v>
      </c>
      <c r="X64" s="626">
        <v>14.211836188000007</v>
      </c>
      <c r="Y64" s="626">
        <v>14.542441060000007</v>
      </c>
      <c r="Z64" s="626">
        <v>14.873045932000007</v>
      </c>
      <c r="AA64" s="626">
        <v>15.203650804000008</v>
      </c>
      <c r="AB64" s="626">
        <v>15.534255676000008</v>
      </c>
      <c r="AC64" s="626">
        <v>15.864860548000008</v>
      </c>
      <c r="AD64" s="626">
        <v>16.195465420000009</v>
      </c>
      <c r="AE64" s="626">
        <v>16.526070292000007</v>
      </c>
      <c r="AF64" s="626">
        <v>16.856675164000006</v>
      </c>
      <c r="AG64" s="626">
        <v>17.187280036000004</v>
      </c>
      <c r="AH64" s="626">
        <v>17.517884908000003</v>
      </c>
      <c r="AI64" s="626">
        <v>17.848489780000001</v>
      </c>
      <c r="AJ64" s="626">
        <v>18.179094652</v>
      </c>
      <c r="AK64" s="626">
        <v>18.509699523999998</v>
      </c>
    </row>
    <row r="65" spans="1:37">
      <c r="A65" s="625" t="s">
        <v>3284</v>
      </c>
      <c r="B65" s="626"/>
      <c r="C65" s="626"/>
      <c r="D65" s="626"/>
      <c r="E65" s="626"/>
      <c r="F65" s="626"/>
      <c r="G65" s="626"/>
      <c r="H65" s="626"/>
      <c r="I65" s="626"/>
      <c r="J65" s="626">
        <v>0.38475566999999999</v>
      </c>
      <c r="K65" s="626">
        <v>0.38475566999999999</v>
      </c>
      <c r="L65" s="626">
        <v>0.38475566999999999</v>
      </c>
      <c r="M65" s="626">
        <v>0.38475566999999999</v>
      </c>
      <c r="N65" s="626">
        <v>0.38475566999999999</v>
      </c>
      <c r="O65" s="626">
        <v>0.38475566999999999</v>
      </c>
      <c r="P65" s="626">
        <v>0.38475566999999999</v>
      </c>
      <c r="Q65" s="626">
        <v>0.38475566999999999</v>
      </c>
      <c r="R65" s="626">
        <v>0.38475566999999999</v>
      </c>
      <c r="S65" s="626">
        <v>0.38475566999999999</v>
      </c>
      <c r="T65" s="626">
        <v>0.33060487199999999</v>
      </c>
      <c r="U65" s="626">
        <v>0.33060487199999999</v>
      </c>
      <c r="V65" s="626">
        <v>0.33060487199999999</v>
      </c>
      <c r="W65" s="626">
        <v>0.33060487199999999</v>
      </c>
      <c r="X65" s="626">
        <v>0.33060487199999999</v>
      </c>
      <c r="Y65" s="626">
        <v>0.33060487199999999</v>
      </c>
      <c r="Z65" s="626">
        <v>0.33060487199999999</v>
      </c>
      <c r="AA65" s="626">
        <v>0.33060487199999999</v>
      </c>
      <c r="AB65" s="626">
        <v>0.33060487199999999</v>
      </c>
      <c r="AC65" s="626">
        <v>0.33060487199999999</v>
      </c>
      <c r="AD65" s="626">
        <v>0.33060487199999999</v>
      </c>
      <c r="AE65" s="626">
        <v>0.33060487199999999</v>
      </c>
      <c r="AF65" s="626">
        <v>0.33060487199999999</v>
      </c>
      <c r="AG65" s="626">
        <v>0.33060487199999999</v>
      </c>
      <c r="AH65" s="626">
        <v>0.33060487199999999</v>
      </c>
      <c r="AI65" s="626">
        <v>0.33060487199999999</v>
      </c>
      <c r="AJ65" s="626">
        <v>0.33060487199999999</v>
      </c>
      <c r="AK65" s="626">
        <v>0.33060487199999999</v>
      </c>
    </row>
    <row r="66" spans="1:37">
      <c r="A66" s="625" t="s">
        <v>1886</v>
      </c>
      <c r="B66" s="626"/>
      <c r="C66" s="626"/>
      <c r="D66" s="626"/>
      <c r="E66" s="626"/>
      <c r="F66" s="626"/>
      <c r="G66" s="626"/>
      <c r="H66" s="626"/>
      <c r="I66" s="626"/>
      <c r="J66" s="626">
        <v>9.4266156700000003</v>
      </c>
      <c r="K66" s="626">
        <v>9.8113713400000009</v>
      </c>
      <c r="L66" s="626">
        <v>10.196127010000001</v>
      </c>
      <c r="M66" s="626">
        <v>10.580882680000002</v>
      </c>
      <c r="N66" s="626">
        <v>10.965638350000003</v>
      </c>
      <c r="O66" s="626">
        <v>11.350394020000003</v>
      </c>
      <c r="P66" s="626">
        <v>11.735149690000004</v>
      </c>
      <c r="Q66" s="626">
        <v>12.119905360000004</v>
      </c>
      <c r="R66" s="626">
        <v>12.504661030000005</v>
      </c>
      <c r="S66" s="626">
        <v>12.889416700000005</v>
      </c>
      <c r="T66" s="626">
        <v>13.220021572000006</v>
      </c>
      <c r="U66" s="626">
        <v>13.550626444000006</v>
      </c>
      <c r="V66" s="626">
        <v>13.881231316000006</v>
      </c>
      <c r="W66" s="626">
        <v>14.211836188000007</v>
      </c>
      <c r="X66" s="626">
        <v>14.542441060000007</v>
      </c>
      <c r="Y66" s="626">
        <v>14.873045932000007</v>
      </c>
      <c r="Z66" s="626">
        <v>15.203650804000008</v>
      </c>
      <c r="AA66" s="626">
        <v>15.534255676000008</v>
      </c>
      <c r="AB66" s="626">
        <v>15.864860548000008</v>
      </c>
      <c r="AC66" s="626">
        <v>16.195465420000009</v>
      </c>
      <c r="AD66" s="626">
        <v>16.526070292000007</v>
      </c>
      <c r="AE66" s="626">
        <v>16.856675164000006</v>
      </c>
      <c r="AF66" s="626">
        <v>17.187280036000004</v>
      </c>
      <c r="AG66" s="626">
        <v>17.517884908000003</v>
      </c>
      <c r="AH66" s="626">
        <v>17.848489780000001</v>
      </c>
      <c r="AI66" s="626">
        <v>18.179094652</v>
      </c>
      <c r="AJ66" s="626">
        <v>18.509699523999998</v>
      </c>
      <c r="AK66" s="626">
        <v>18.840304395999997</v>
      </c>
    </row>
    <row r="67" spans="1:37">
      <c r="A67" s="625" t="s">
        <v>3285</v>
      </c>
      <c r="B67" s="626"/>
      <c r="C67" s="626"/>
      <c r="D67" s="626"/>
      <c r="E67" s="626"/>
      <c r="F67" s="626"/>
      <c r="G67" s="626"/>
      <c r="H67" s="626"/>
      <c r="I67" s="626"/>
      <c r="J67" s="626">
        <v>0</v>
      </c>
      <c r="K67" s="626">
        <v>0</v>
      </c>
      <c r="L67" s="626">
        <v>0</v>
      </c>
      <c r="M67" s="626">
        <v>0</v>
      </c>
      <c r="N67" s="626">
        <v>0</v>
      </c>
      <c r="O67" s="626">
        <v>0</v>
      </c>
      <c r="P67" s="626">
        <v>0</v>
      </c>
      <c r="Q67" s="626">
        <v>0</v>
      </c>
      <c r="R67" s="626">
        <v>0</v>
      </c>
      <c r="S67" s="626">
        <v>0</v>
      </c>
      <c r="T67" s="626">
        <v>0</v>
      </c>
      <c r="U67" s="626">
        <v>0</v>
      </c>
      <c r="V67" s="626">
        <v>0</v>
      </c>
      <c r="W67" s="626">
        <v>0</v>
      </c>
      <c r="X67" s="626">
        <v>0</v>
      </c>
      <c r="Y67" s="626">
        <v>0</v>
      </c>
      <c r="Z67" s="626">
        <v>0</v>
      </c>
      <c r="AA67" s="626">
        <v>0</v>
      </c>
      <c r="AB67" s="626">
        <v>0</v>
      </c>
      <c r="AC67" s="626">
        <v>0</v>
      </c>
      <c r="AD67" s="626">
        <v>0</v>
      </c>
      <c r="AE67" s="626">
        <v>0</v>
      </c>
      <c r="AF67" s="626">
        <v>0</v>
      </c>
      <c r="AG67" s="626">
        <v>0</v>
      </c>
      <c r="AH67" s="626">
        <v>0</v>
      </c>
      <c r="AI67" s="626">
        <v>0</v>
      </c>
      <c r="AJ67" s="626">
        <v>0</v>
      </c>
      <c r="AK67" s="626">
        <v>0</v>
      </c>
    </row>
    <row r="68" spans="1:37">
      <c r="A68" s="625" t="s">
        <v>3286</v>
      </c>
      <c r="B68" s="626"/>
      <c r="C68" s="626"/>
      <c r="D68" s="626"/>
      <c r="E68" s="626"/>
      <c r="F68" s="626"/>
      <c r="G68" s="626"/>
      <c r="H68" s="626"/>
      <c r="I68" s="626"/>
      <c r="J68" s="626">
        <v>9.4266156700000003</v>
      </c>
      <c r="K68" s="626">
        <v>9.8113713400000009</v>
      </c>
      <c r="L68" s="626">
        <v>10.196127010000001</v>
      </c>
      <c r="M68" s="626">
        <v>10.580882680000002</v>
      </c>
      <c r="N68" s="626">
        <v>10.965638350000003</v>
      </c>
      <c r="O68" s="626">
        <v>11.350394020000003</v>
      </c>
      <c r="P68" s="626">
        <v>11.735149690000004</v>
      </c>
      <c r="Q68" s="626">
        <v>12.119905360000004</v>
      </c>
      <c r="R68" s="626">
        <v>12.504661030000005</v>
      </c>
      <c r="S68" s="626">
        <v>12.889416700000005</v>
      </c>
      <c r="T68" s="626">
        <v>13.220021572000006</v>
      </c>
      <c r="U68" s="626">
        <v>13.550626444000006</v>
      </c>
      <c r="V68" s="626">
        <v>13.881231316000006</v>
      </c>
      <c r="W68" s="626">
        <v>14.211836188000007</v>
      </c>
      <c r="X68" s="626">
        <v>14.542441060000007</v>
      </c>
      <c r="Y68" s="626">
        <v>14.873045932000007</v>
      </c>
      <c r="Z68" s="626">
        <v>15.203650804000008</v>
      </c>
      <c r="AA68" s="626">
        <v>15.534255676000008</v>
      </c>
      <c r="AB68" s="626">
        <v>15.864860548000008</v>
      </c>
      <c r="AC68" s="626">
        <v>16.195465420000009</v>
      </c>
      <c r="AD68" s="626">
        <v>16.526070292000007</v>
      </c>
      <c r="AE68" s="626">
        <v>16.856675164000006</v>
      </c>
      <c r="AF68" s="626">
        <v>17.187280036000004</v>
      </c>
      <c r="AG68" s="626">
        <v>17.517884908000003</v>
      </c>
      <c r="AH68" s="626">
        <v>17.848489780000001</v>
      </c>
      <c r="AI68" s="626">
        <v>18.179094652</v>
      </c>
      <c r="AJ68" s="626">
        <v>18.509699523999998</v>
      </c>
      <c r="AK68" s="626">
        <v>18.840304395999997</v>
      </c>
    </row>
    <row r="69" spans="1:37">
      <c r="A69" s="624" t="s">
        <v>3297</v>
      </c>
    </row>
    <row r="70" spans="1:37">
      <c r="A70" s="625" t="s">
        <v>3283</v>
      </c>
      <c r="B70" s="626"/>
      <c r="C70" s="626"/>
      <c r="D70" s="626"/>
      <c r="E70" s="626"/>
      <c r="F70" s="626"/>
      <c r="G70" s="626"/>
      <c r="H70" s="626"/>
      <c r="I70" s="626"/>
      <c r="J70" s="626">
        <v>61.548380000000002</v>
      </c>
      <c r="K70" s="626">
        <v>64.167457856200002</v>
      </c>
      <c r="L70" s="626">
        <v>66.786535712399996</v>
      </c>
      <c r="M70" s="626">
        <v>69.405613568599989</v>
      </c>
      <c r="N70" s="626">
        <v>72.024691424799983</v>
      </c>
      <c r="O70" s="626">
        <v>74.643769280999976</v>
      </c>
      <c r="P70" s="626">
        <v>77.262847137199969</v>
      </c>
      <c r="Q70" s="626">
        <v>79.881924993399963</v>
      </c>
      <c r="R70" s="626">
        <v>82.501002849599956</v>
      </c>
      <c r="S70" s="626">
        <v>85.12008070579995</v>
      </c>
      <c r="T70" s="626">
        <v>87.739158561999943</v>
      </c>
      <c r="U70" s="626">
        <v>90.424542186099941</v>
      </c>
      <c r="V70" s="626">
        <v>93.10992581019994</v>
      </c>
      <c r="W70" s="626">
        <v>95.795309434299938</v>
      </c>
      <c r="X70" s="626">
        <v>98.480693058399936</v>
      </c>
      <c r="Y70" s="626">
        <v>101.16607668249993</v>
      </c>
      <c r="Z70" s="626">
        <v>103.85146030659993</v>
      </c>
      <c r="AA70" s="626">
        <v>106.53684393069993</v>
      </c>
      <c r="AB70" s="626">
        <v>109.22222755479993</v>
      </c>
      <c r="AC70" s="626">
        <v>111.90761117889993</v>
      </c>
      <c r="AD70" s="626">
        <v>114.59299480299993</v>
      </c>
      <c r="AE70" s="626">
        <v>117.27837842709992</v>
      </c>
      <c r="AF70" s="626">
        <v>119.96376205119992</v>
      </c>
      <c r="AG70" s="626">
        <v>122.64914567529992</v>
      </c>
      <c r="AH70" s="626">
        <v>125.33452929939992</v>
      </c>
      <c r="AI70" s="626">
        <v>128.01991292349993</v>
      </c>
      <c r="AJ70" s="626">
        <v>130.70529654759994</v>
      </c>
      <c r="AK70" s="626">
        <v>133.39068017169996</v>
      </c>
    </row>
    <row r="71" spans="1:37">
      <c r="A71" s="625" t="s">
        <v>3284</v>
      </c>
      <c r="B71" s="626"/>
      <c r="C71" s="626"/>
      <c r="D71" s="626"/>
      <c r="E71" s="626"/>
      <c r="F71" s="626"/>
      <c r="G71" s="626"/>
      <c r="H71" s="626"/>
      <c r="I71" s="626"/>
      <c r="J71" s="626">
        <v>2.6190778562000001</v>
      </c>
      <c r="K71" s="626">
        <v>2.6190778562000001</v>
      </c>
      <c r="L71" s="626">
        <v>2.6190778562000001</v>
      </c>
      <c r="M71" s="626">
        <v>2.6190778562000001</v>
      </c>
      <c r="N71" s="626">
        <v>2.6190778562000001</v>
      </c>
      <c r="O71" s="626">
        <v>2.6190778562000001</v>
      </c>
      <c r="P71" s="626">
        <v>2.6190778562000001</v>
      </c>
      <c r="Q71" s="626">
        <v>2.6190778562000001</v>
      </c>
      <c r="R71" s="626">
        <v>2.6190778562000001</v>
      </c>
      <c r="S71" s="626">
        <v>2.6190778562000001</v>
      </c>
      <c r="T71" s="626">
        <v>2.6853836241</v>
      </c>
      <c r="U71" s="626">
        <v>2.6853836241</v>
      </c>
      <c r="V71" s="626">
        <v>2.6853836241</v>
      </c>
      <c r="W71" s="626">
        <v>2.6853836241</v>
      </c>
      <c r="X71" s="626">
        <v>2.6853836241</v>
      </c>
      <c r="Y71" s="626">
        <v>2.6853836241</v>
      </c>
      <c r="Z71" s="626">
        <v>2.6853836241</v>
      </c>
      <c r="AA71" s="626">
        <v>2.6853836241</v>
      </c>
      <c r="AB71" s="626">
        <v>2.6853836241</v>
      </c>
      <c r="AC71" s="626">
        <v>2.6853836241</v>
      </c>
      <c r="AD71" s="626">
        <v>2.6853836241</v>
      </c>
      <c r="AE71" s="626">
        <v>2.6853836241</v>
      </c>
      <c r="AF71" s="626">
        <v>2.6853836241</v>
      </c>
      <c r="AG71" s="626">
        <v>2.6853836241</v>
      </c>
      <c r="AH71" s="626">
        <v>2.6853836241</v>
      </c>
      <c r="AI71" s="626">
        <v>2.6853836241</v>
      </c>
      <c r="AJ71" s="626">
        <v>2.6853836241</v>
      </c>
      <c r="AK71" s="626">
        <v>2.6853836241</v>
      </c>
    </row>
    <row r="72" spans="1:37">
      <c r="A72" s="625" t="s">
        <v>1886</v>
      </c>
      <c r="B72" s="626"/>
      <c r="C72" s="626"/>
      <c r="D72" s="626"/>
      <c r="E72" s="626"/>
      <c r="F72" s="626"/>
      <c r="G72" s="626"/>
      <c r="H72" s="626"/>
      <c r="I72" s="626"/>
      <c r="J72" s="626">
        <v>64.167457856200002</v>
      </c>
      <c r="K72" s="626">
        <v>66.786535712399996</v>
      </c>
      <c r="L72" s="626">
        <v>69.405613568599989</v>
      </c>
      <c r="M72" s="626">
        <v>72.024691424799983</v>
      </c>
      <c r="N72" s="626">
        <v>74.643769280999976</v>
      </c>
      <c r="O72" s="626">
        <v>77.262847137199969</v>
      </c>
      <c r="P72" s="626">
        <v>79.881924993399963</v>
      </c>
      <c r="Q72" s="626">
        <v>82.501002849599956</v>
      </c>
      <c r="R72" s="626">
        <v>85.12008070579995</v>
      </c>
      <c r="S72" s="626">
        <v>87.739158561999943</v>
      </c>
      <c r="T72" s="626">
        <v>90.424542186099941</v>
      </c>
      <c r="U72" s="626">
        <v>93.10992581019994</v>
      </c>
      <c r="V72" s="626">
        <v>95.795309434299938</v>
      </c>
      <c r="W72" s="626">
        <v>98.480693058399936</v>
      </c>
      <c r="X72" s="626">
        <v>101.16607668249993</v>
      </c>
      <c r="Y72" s="626">
        <v>103.85146030659993</v>
      </c>
      <c r="Z72" s="626">
        <v>106.53684393069993</v>
      </c>
      <c r="AA72" s="626">
        <v>109.22222755479993</v>
      </c>
      <c r="AB72" s="626">
        <v>111.90761117889993</v>
      </c>
      <c r="AC72" s="626">
        <v>114.59299480299993</v>
      </c>
      <c r="AD72" s="626">
        <v>117.27837842709992</v>
      </c>
      <c r="AE72" s="626">
        <v>119.96376205119992</v>
      </c>
      <c r="AF72" s="626">
        <v>122.64914567529992</v>
      </c>
      <c r="AG72" s="626">
        <v>125.33452929939992</v>
      </c>
      <c r="AH72" s="626">
        <v>128.01991292349993</v>
      </c>
      <c r="AI72" s="626">
        <v>130.70529654759994</v>
      </c>
      <c r="AJ72" s="626">
        <v>133.39068017169996</v>
      </c>
      <c r="AK72" s="626">
        <v>136.07606379579997</v>
      </c>
    </row>
    <row r="73" spans="1:37">
      <c r="A73" s="625" t="s">
        <v>3285</v>
      </c>
      <c r="B73" s="626"/>
      <c r="C73" s="626"/>
      <c r="D73" s="626"/>
      <c r="E73" s="626"/>
      <c r="F73" s="626"/>
      <c r="G73" s="626"/>
      <c r="H73" s="626"/>
      <c r="I73" s="626"/>
      <c r="J73" s="626">
        <v>0</v>
      </c>
      <c r="K73" s="626">
        <v>0</v>
      </c>
      <c r="L73" s="626">
        <v>0</v>
      </c>
      <c r="M73" s="626">
        <v>0</v>
      </c>
      <c r="N73" s="626">
        <v>0</v>
      </c>
      <c r="O73" s="626">
        <v>0</v>
      </c>
      <c r="P73" s="626">
        <v>0</v>
      </c>
      <c r="Q73" s="626">
        <v>0</v>
      </c>
      <c r="R73" s="626">
        <v>0</v>
      </c>
      <c r="S73" s="626">
        <v>0</v>
      </c>
      <c r="T73" s="626">
        <v>0</v>
      </c>
      <c r="U73" s="626">
        <v>0</v>
      </c>
      <c r="V73" s="626">
        <v>0</v>
      </c>
      <c r="W73" s="626">
        <v>0</v>
      </c>
      <c r="X73" s="626">
        <v>0</v>
      </c>
      <c r="Y73" s="626">
        <v>0</v>
      </c>
      <c r="Z73" s="626">
        <v>0</v>
      </c>
      <c r="AA73" s="626">
        <v>0</v>
      </c>
      <c r="AB73" s="626">
        <v>0</v>
      </c>
      <c r="AC73" s="626">
        <v>0</v>
      </c>
      <c r="AD73" s="626">
        <v>0</v>
      </c>
      <c r="AE73" s="626">
        <v>0</v>
      </c>
      <c r="AF73" s="626">
        <v>0</v>
      </c>
      <c r="AG73" s="626">
        <v>0</v>
      </c>
      <c r="AH73" s="626">
        <v>0</v>
      </c>
      <c r="AI73" s="626">
        <v>0</v>
      </c>
      <c r="AJ73" s="626">
        <v>0</v>
      </c>
      <c r="AK73" s="626">
        <v>0</v>
      </c>
    </row>
    <row r="74" spans="1:37">
      <c r="A74" s="625" t="s">
        <v>3286</v>
      </c>
      <c r="B74" s="626"/>
      <c r="C74" s="626"/>
      <c r="D74" s="626"/>
      <c r="E74" s="626"/>
      <c r="F74" s="626"/>
      <c r="G74" s="626"/>
      <c r="H74" s="626"/>
      <c r="I74" s="626"/>
      <c r="J74" s="626">
        <v>64.167457856200002</v>
      </c>
      <c r="K74" s="626">
        <v>66.786535712399996</v>
      </c>
      <c r="L74" s="626">
        <v>69.405613568599989</v>
      </c>
      <c r="M74" s="626">
        <v>72.024691424799983</v>
      </c>
      <c r="N74" s="626">
        <v>74.643769280999976</v>
      </c>
      <c r="O74" s="626">
        <v>77.262847137199969</v>
      </c>
      <c r="P74" s="626">
        <v>79.881924993399963</v>
      </c>
      <c r="Q74" s="626">
        <v>82.501002849599956</v>
      </c>
      <c r="R74" s="626">
        <v>85.12008070579995</v>
      </c>
      <c r="S74" s="626">
        <v>87.739158561999943</v>
      </c>
      <c r="T74" s="626">
        <v>90.424542186099941</v>
      </c>
      <c r="U74" s="626">
        <v>93.10992581019994</v>
      </c>
      <c r="V74" s="626">
        <v>95.795309434299938</v>
      </c>
      <c r="W74" s="626">
        <v>98.480693058399936</v>
      </c>
      <c r="X74" s="626">
        <v>101.16607668249993</v>
      </c>
      <c r="Y74" s="626">
        <v>103.85146030659993</v>
      </c>
      <c r="Z74" s="626">
        <v>106.53684393069993</v>
      </c>
      <c r="AA74" s="626">
        <v>109.22222755479993</v>
      </c>
      <c r="AB74" s="626">
        <v>111.90761117889993</v>
      </c>
      <c r="AC74" s="626">
        <v>114.59299480299993</v>
      </c>
      <c r="AD74" s="626">
        <v>117.27837842709992</v>
      </c>
      <c r="AE74" s="626">
        <v>119.96376205119992</v>
      </c>
      <c r="AF74" s="626">
        <v>122.64914567529992</v>
      </c>
      <c r="AG74" s="626">
        <v>125.33452929939992</v>
      </c>
      <c r="AH74" s="626">
        <v>128.01991292349993</v>
      </c>
      <c r="AI74" s="626">
        <v>130.70529654759994</v>
      </c>
      <c r="AJ74" s="626">
        <v>133.39068017169996</v>
      </c>
      <c r="AK74" s="626">
        <v>136.07606379579997</v>
      </c>
    </row>
    <row r="75" spans="1:37">
      <c r="A75" s="624" t="s">
        <v>3298</v>
      </c>
    </row>
    <row r="76" spans="1:37">
      <c r="A76" s="625" t="s">
        <v>3283</v>
      </c>
      <c r="B76" s="626"/>
      <c r="C76" s="626"/>
      <c r="D76" s="626"/>
      <c r="E76" s="626"/>
      <c r="F76" s="626"/>
      <c r="G76" s="626"/>
      <c r="H76" s="626"/>
      <c r="I76" s="626"/>
      <c r="J76" s="626">
        <v>23.816559999999999</v>
      </c>
      <c r="K76" s="626">
        <v>24.824386499999999</v>
      </c>
      <c r="L76" s="626">
        <v>26.758263666999998</v>
      </c>
      <c r="M76" s="626">
        <v>29.179320999999998</v>
      </c>
      <c r="N76" s="626">
        <v>31.600378332999998</v>
      </c>
      <c r="O76" s="626">
        <v>34.021435665999995</v>
      </c>
      <c r="P76" s="626">
        <v>36.442492998999995</v>
      </c>
      <c r="Q76" s="626">
        <v>38.863550331999996</v>
      </c>
      <c r="R76" s="626">
        <v>41.284607664999996</v>
      </c>
      <c r="S76" s="626">
        <v>43.705664997999996</v>
      </c>
      <c r="T76" s="626">
        <v>46.126722330999996</v>
      </c>
      <c r="U76" s="626">
        <v>46.3651964783</v>
      </c>
      <c r="V76" s="626">
        <v>46.603670625600003</v>
      </c>
      <c r="W76" s="626">
        <v>46.842144772900006</v>
      </c>
      <c r="X76" s="626">
        <v>47.08061892020001</v>
      </c>
      <c r="Y76" s="626">
        <v>47.727401834200009</v>
      </c>
      <c r="Z76" s="626">
        <v>48.782493515200009</v>
      </c>
      <c r="AA76" s="626">
        <v>49.83758519620001</v>
      </c>
      <c r="AB76" s="626">
        <v>50.89267687720001</v>
      </c>
      <c r="AC76" s="626">
        <v>51.947768558200011</v>
      </c>
      <c r="AD76" s="626">
        <v>53.002860239200011</v>
      </c>
      <c r="AE76" s="626">
        <v>54.057951920200011</v>
      </c>
      <c r="AF76" s="626">
        <v>55.113043601200012</v>
      </c>
      <c r="AG76" s="626">
        <v>56.168135282200012</v>
      </c>
      <c r="AH76" s="626">
        <v>57.223226963200013</v>
      </c>
      <c r="AI76" s="626">
        <v>58.278318644200013</v>
      </c>
      <c r="AJ76" s="626">
        <v>59.333410325200013</v>
      </c>
      <c r="AK76" s="626">
        <v>60.388502006200014</v>
      </c>
    </row>
    <row r="77" spans="1:37">
      <c r="A77" s="625" t="s">
        <v>3284</v>
      </c>
      <c r="B77" s="626"/>
      <c r="C77" s="626"/>
      <c r="D77" s="626"/>
      <c r="E77" s="626"/>
      <c r="F77" s="626"/>
      <c r="G77" s="626"/>
      <c r="H77" s="626"/>
      <c r="I77" s="626"/>
      <c r="J77" s="626">
        <v>1.0078265</v>
      </c>
      <c r="K77" s="626">
        <v>1.9338771669999999</v>
      </c>
      <c r="L77" s="626">
        <v>2.4210573329999998</v>
      </c>
      <c r="M77" s="626">
        <v>2.4210573329999998</v>
      </c>
      <c r="N77" s="626">
        <v>2.4210573329999998</v>
      </c>
      <c r="O77" s="626">
        <v>2.4210573329999998</v>
      </c>
      <c r="P77" s="626">
        <v>2.4210573329999998</v>
      </c>
      <c r="Q77" s="626">
        <v>2.4210573329999998</v>
      </c>
      <c r="R77" s="626">
        <v>2.4210573329999998</v>
      </c>
      <c r="S77" s="626">
        <v>2.4210573329999998</v>
      </c>
      <c r="T77" s="626">
        <v>0.23847414729999999</v>
      </c>
      <c r="U77" s="626">
        <v>0.23847414729999999</v>
      </c>
      <c r="V77" s="626">
        <v>0.23847414729999999</v>
      </c>
      <c r="W77" s="626">
        <v>0.23847414729999999</v>
      </c>
      <c r="X77" s="626">
        <v>0.64678291399999999</v>
      </c>
      <c r="Y77" s="626">
        <v>1.0550916809999999</v>
      </c>
      <c r="Z77" s="626">
        <v>1.0550916809999999</v>
      </c>
      <c r="AA77" s="626">
        <v>1.0550916809999999</v>
      </c>
      <c r="AB77" s="626">
        <v>1.0550916809999999</v>
      </c>
      <c r="AC77" s="626">
        <v>1.0550916809999999</v>
      </c>
      <c r="AD77" s="626">
        <v>1.0550916809999999</v>
      </c>
      <c r="AE77" s="626">
        <v>1.0550916809999999</v>
      </c>
      <c r="AF77" s="626">
        <v>1.0550916809999999</v>
      </c>
      <c r="AG77" s="626">
        <v>1.0550916809999999</v>
      </c>
      <c r="AH77" s="626">
        <v>1.0550916809999999</v>
      </c>
      <c r="AI77" s="626">
        <v>1.0550916809999999</v>
      </c>
      <c r="AJ77" s="626">
        <v>1.0550916809999999</v>
      </c>
      <c r="AK77" s="626">
        <v>1.0550916809999999</v>
      </c>
    </row>
    <row r="78" spans="1:37">
      <c r="A78" s="625" t="s">
        <v>1886</v>
      </c>
      <c r="B78" s="626"/>
      <c r="C78" s="626"/>
      <c r="D78" s="626"/>
      <c r="E78" s="626"/>
      <c r="F78" s="626"/>
      <c r="G78" s="626"/>
      <c r="H78" s="626"/>
      <c r="I78" s="626"/>
      <c r="J78" s="626">
        <v>24.824386499999999</v>
      </c>
      <c r="K78" s="626">
        <v>26.758263666999998</v>
      </c>
      <c r="L78" s="626">
        <v>29.179320999999998</v>
      </c>
      <c r="M78" s="626">
        <v>31.600378332999998</v>
      </c>
      <c r="N78" s="626">
        <v>34.021435665999995</v>
      </c>
      <c r="O78" s="626">
        <v>36.442492998999995</v>
      </c>
      <c r="P78" s="626">
        <v>38.863550331999996</v>
      </c>
      <c r="Q78" s="626">
        <v>41.284607664999996</v>
      </c>
      <c r="R78" s="626">
        <v>43.705664997999996</v>
      </c>
      <c r="S78" s="626">
        <v>46.126722330999996</v>
      </c>
      <c r="T78" s="626">
        <v>46.3651964783</v>
      </c>
      <c r="U78" s="626">
        <v>46.603670625600003</v>
      </c>
      <c r="V78" s="626">
        <v>46.842144772900006</v>
      </c>
      <c r="W78" s="626">
        <v>47.08061892020001</v>
      </c>
      <c r="X78" s="626">
        <v>47.727401834200009</v>
      </c>
      <c r="Y78" s="626">
        <v>48.782493515200009</v>
      </c>
      <c r="Z78" s="626">
        <v>49.83758519620001</v>
      </c>
      <c r="AA78" s="626">
        <v>50.89267687720001</v>
      </c>
      <c r="AB78" s="626">
        <v>51.947768558200011</v>
      </c>
      <c r="AC78" s="626">
        <v>53.002860239200011</v>
      </c>
      <c r="AD78" s="626">
        <v>54.057951920200011</v>
      </c>
      <c r="AE78" s="626">
        <v>55.113043601200012</v>
      </c>
      <c r="AF78" s="626">
        <v>56.168135282200012</v>
      </c>
      <c r="AG78" s="626">
        <v>57.223226963200013</v>
      </c>
      <c r="AH78" s="626">
        <v>58.278318644200013</v>
      </c>
      <c r="AI78" s="626">
        <v>59.333410325200013</v>
      </c>
      <c r="AJ78" s="626">
        <v>60.388502006200014</v>
      </c>
      <c r="AK78" s="626">
        <v>61.443593687200014</v>
      </c>
    </row>
    <row r="79" spans="1:37">
      <c r="A79" s="625" t="s">
        <v>3285</v>
      </c>
      <c r="B79" s="626"/>
      <c r="C79" s="626"/>
      <c r="D79" s="626"/>
      <c r="E79" s="626"/>
      <c r="F79" s="626"/>
      <c r="G79" s="626"/>
      <c r="H79" s="626"/>
      <c r="I79" s="626"/>
      <c r="J79" s="626">
        <v>-4.37113</v>
      </c>
      <c r="K79" s="626">
        <v>-7.8985899999999898</v>
      </c>
      <c r="L79" s="626">
        <v>-9.2766099999999891</v>
      </c>
      <c r="M79" s="626">
        <v>-9.2766099999999891</v>
      </c>
      <c r="N79" s="626">
        <v>-9.2766099999999891</v>
      </c>
      <c r="O79" s="626">
        <v>-9.2766099999999891</v>
      </c>
      <c r="P79" s="626">
        <v>-9.2766099999999891</v>
      </c>
      <c r="Q79" s="626">
        <v>-9.2766099999999891</v>
      </c>
      <c r="R79" s="626">
        <v>-9.2766099999999891</v>
      </c>
      <c r="S79" s="626">
        <v>-9.2766099999999891</v>
      </c>
      <c r="T79" s="626">
        <v>-9.2766099999999891</v>
      </c>
      <c r="U79" s="626">
        <v>-9.2766099999999891</v>
      </c>
      <c r="V79" s="626">
        <v>-9.2766099999999891</v>
      </c>
      <c r="W79" s="626">
        <v>-9.2766099999999891</v>
      </c>
      <c r="X79" s="626">
        <v>-9.2766099999999891</v>
      </c>
      <c r="Y79" s="626">
        <v>-9.2766099999999891</v>
      </c>
      <c r="Z79" s="626">
        <v>-9.2766099999999891</v>
      </c>
      <c r="AA79" s="626">
        <v>-9.2766099999999891</v>
      </c>
      <c r="AB79" s="626">
        <v>-9.2766099999999891</v>
      </c>
      <c r="AC79" s="626">
        <v>-9.2766099999999891</v>
      </c>
      <c r="AD79" s="626">
        <v>-9.2766099999999891</v>
      </c>
      <c r="AE79" s="626">
        <v>-9.2766099999999891</v>
      </c>
      <c r="AF79" s="626">
        <v>-9.2766099999999891</v>
      </c>
      <c r="AG79" s="626">
        <v>-9.2766099999999891</v>
      </c>
      <c r="AH79" s="626">
        <v>-9.2766099999999891</v>
      </c>
      <c r="AI79" s="626">
        <v>-9.2766099999999891</v>
      </c>
      <c r="AJ79" s="626">
        <v>-9.2766099999999891</v>
      </c>
      <c r="AK79" s="626">
        <v>-9.2766099999999891</v>
      </c>
    </row>
    <row r="80" spans="1:37">
      <c r="A80" s="625" t="s">
        <v>3286</v>
      </c>
      <c r="B80" s="626"/>
      <c r="C80" s="626"/>
      <c r="D80" s="626"/>
      <c r="E80" s="626"/>
      <c r="F80" s="626"/>
      <c r="G80" s="626"/>
      <c r="H80" s="626"/>
      <c r="I80" s="626"/>
      <c r="J80" s="626">
        <v>20.453256499999998</v>
      </c>
      <c r="K80" s="626">
        <v>18.85967366700001</v>
      </c>
      <c r="L80" s="626">
        <v>19.902711000000011</v>
      </c>
      <c r="M80" s="626">
        <v>22.323768333000011</v>
      </c>
      <c r="N80" s="626">
        <v>24.744825666000004</v>
      </c>
      <c r="O80" s="626">
        <v>27.165882999000004</v>
      </c>
      <c r="P80" s="626">
        <v>29.586940332000005</v>
      </c>
      <c r="Q80" s="626">
        <v>32.007997665000005</v>
      </c>
      <c r="R80" s="626">
        <v>34.429054998000005</v>
      </c>
      <c r="S80" s="626">
        <v>36.850112331000005</v>
      </c>
      <c r="T80" s="626">
        <v>37.088586478300009</v>
      </c>
      <c r="U80" s="626">
        <v>37.327060625600012</v>
      </c>
      <c r="V80" s="626">
        <v>37.565534772900016</v>
      </c>
      <c r="W80" s="626">
        <v>37.804008920200019</v>
      </c>
      <c r="X80" s="626">
        <v>38.450791834200018</v>
      </c>
      <c r="Y80" s="626">
        <v>39.505883515200019</v>
      </c>
      <c r="Z80" s="626">
        <v>40.560975196200019</v>
      </c>
      <c r="AA80" s="626">
        <v>41.616066877200019</v>
      </c>
      <c r="AB80" s="626">
        <v>42.67115855820002</v>
      </c>
      <c r="AC80" s="626">
        <v>43.72625023920002</v>
      </c>
      <c r="AD80" s="626">
        <v>44.78134192020002</v>
      </c>
      <c r="AE80" s="626">
        <v>45.836433601200021</v>
      </c>
      <c r="AF80" s="626">
        <v>46.891525282200021</v>
      </c>
      <c r="AG80" s="626">
        <v>47.946616963200022</v>
      </c>
      <c r="AH80" s="626">
        <v>49.001708644200022</v>
      </c>
      <c r="AI80" s="626">
        <v>50.056800325200022</v>
      </c>
      <c r="AJ80" s="626">
        <v>51.111892006200023</v>
      </c>
      <c r="AK80" s="626">
        <v>52.166983687200023</v>
      </c>
    </row>
    <row r="81" spans="1:37">
      <c r="A81" s="624" t="s">
        <v>3299</v>
      </c>
    </row>
    <row r="82" spans="1:37">
      <c r="A82" s="625" t="s">
        <v>3283</v>
      </c>
      <c r="B82" s="626"/>
      <c r="C82" s="626"/>
      <c r="D82" s="626"/>
      <c r="E82" s="626"/>
      <c r="F82" s="626"/>
      <c r="G82" s="626"/>
      <c r="H82" s="626"/>
      <c r="I82" s="626"/>
      <c r="J82" s="626">
        <v>35.207449999999902</v>
      </c>
      <c r="K82" s="626">
        <v>36.101385052549901</v>
      </c>
      <c r="L82" s="626">
        <v>36.9953201050999</v>
      </c>
      <c r="M82" s="626">
        <v>37.889255157649899</v>
      </c>
      <c r="N82" s="626">
        <v>38.783190210199898</v>
      </c>
      <c r="O82" s="626">
        <v>39.677125262749897</v>
      </c>
      <c r="P82" s="626">
        <v>40.571060315299896</v>
      </c>
      <c r="Q82" s="626">
        <v>41.464995367849895</v>
      </c>
      <c r="R82" s="626">
        <v>42.358930420399894</v>
      </c>
      <c r="S82" s="626">
        <v>43.252865472949892</v>
      </c>
      <c r="T82" s="626">
        <v>44.146800525499891</v>
      </c>
      <c r="U82" s="626">
        <v>45.076448669999891</v>
      </c>
      <c r="V82" s="626">
        <v>46.006096814499891</v>
      </c>
      <c r="W82" s="626">
        <v>46.935744958999891</v>
      </c>
      <c r="X82" s="626">
        <v>47.865393103499891</v>
      </c>
      <c r="Y82" s="626">
        <v>48.79504124799989</v>
      </c>
      <c r="Z82" s="626">
        <v>49.72468939249989</v>
      </c>
      <c r="AA82" s="626">
        <v>50.65433753699989</v>
      </c>
      <c r="AB82" s="626">
        <v>51.58398568149989</v>
      </c>
      <c r="AC82" s="626">
        <v>52.513633825999889</v>
      </c>
      <c r="AD82" s="626">
        <v>53.443281970499889</v>
      </c>
      <c r="AE82" s="626">
        <v>54.372930114999889</v>
      </c>
      <c r="AF82" s="626">
        <v>55.302578259499889</v>
      </c>
      <c r="AG82" s="626">
        <v>56.232226403999888</v>
      </c>
      <c r="AH82" s="626">
        <v>57.161874548499888</v>
      </c>
      <c r="AI82" s="626">
        <v>58.091522692999888</v>
      </c>
      <c r="AJ82" s="626">
        <v>59.021170837499888</v>
      </c>
      <c r="AK82" s="626">
        <v>59.950818981999888</v>
      </c>
    </row>
    <row r="83" spans="1:37">
      <c r="A83" s="625" t="s">
        <v>3284</v>
      </c>
      <c r="B83" s="626"/>
      <c r="C83" s="626"/>
      <c r="D83" s="626"/>
      <c r="E83" s="626"/>
      <c r="F83" s="626"/>
      <c r="G83" s="626"/>
      <c r="H83" s="626"/>
      <c r="I83" s="626"/>
      <c r="J83" s="626">
        <v>0.89393505255000005</v>
      </c>
      <c r="K83" s="626">
        <v>0.89393505255000005</v>
      </c>
      <c r="L83" s="626">
        <v>0.89393505255000005</v>
      </c>
      <c r="M83" s="626">
        <v>0.89393505255000005</v>
      </c>
      <c r="N83" s="626">
        <v>0.89393505255000005</v>
      </c>
      <c r="O83" s="626">
        <v>0.89393505255000005</v>
      </c>
      <c r="P83" s="626">
        <v>0.89393505255000005</v>
      </c>
      <c r="Q83" s="626">
        <v>0.89393505255000005</v>
      </c>
      <c r="R83" s="626">
        <v>0.89393505255000005</v>
      </c>
      <c r="S83" s="626">
        <v>0.89393505255000005</v>
      </c>
      <c r="T83" s="626">
        <v>0.9296481445</v>
      </c>
      <c r="U83" s="626">
        <v>0.9296481445</v>
      </c>
      <c r="V83" s="626">
        <v>0.9296481445</v>
      </c>
      <c r="W83" s="626">
        <v>0.9296481445</v>
      </c>
      <c r="X83" s="626">
        <v>0.9296481445</v>
      </c>
      <c r="Y83" s="626">
        <v>0.9296481445</v>
      </c>
      <c r="Z83" s="626">
        <v>0.9296481445</v>
      </c>
      <c r="AA83" s="626">
        <v>0.9296481445</v>
      </c>
      <c r="AB83" s="626">
        <v>0.9296481445</v>
      </c>
      <c r="AC83" s="626">
        <v>0.9296481445</v>
      </c>
      <c r="AD83" s="626">
        <v>0.9296481445</v>
      </c>
      <c r="AE83" s="626">
        <v>0.9296481445</v>
      </c>
      <c r="AF83" s="626">
        <v>0.9296481445</v>
      </c>
      <c r="AG83" s="626">
        <v>0.9296481445</v>
      </c>
      <c r="AH83" s="626">
        <v>0.9296481445</v>
      </c>
      <c r="AI83" s="626">
        <v>0.9296481445</v>
      </c>
      <c r="AJ83" s="626">
        <v>0.9296481445</v>
      </c>
      <c r="AK83" s="626">
        <v>0.9296481445</v>
      </c>
    </row>
    <row r="84" spans="1:37">
      <c r="A84" s="625" t="s">
        <v>1886</v>
      </c>
      <c r="B84" s="626"/>
      <c r="C84" s="626"/>
      <c r="D84" s="626"/>
      <c r="E84" s="626"/>
      <c r="F84" s="626"/>
      <c r="G84" s="626"/>
      <c r="H84" s="626"/>
      <c r="I84" s="626"/>
      <c r="J84" s="626">
        <v>36.101385052549901</v>
      </c>
      <c r="K84" s="626">
        <v>36.9953201050999</v>
      </c>
      <c r="L84" s="626">
        <v>37.889255157649899</v>
      </c>
      <c r="M84" s="626">
        <v>38.783190210199898</v>
      </c>
      <c r="N84" s="626">
        <v>39.677125262749897</v>
      </c>
      <c r="O84" s="626">
        <v>40.571060315299896</v>
      </c>
      <c r="P84" s="626">
        <v>41.464995367849895</v>
      </c>
      <c r="Q84" s="626">
        <v>42.358930420399894</v>
      </c>
      <c r="R84" s="626">
        <v>43.252865472949892</v>
      </c>
      <c r="S84" s="626">
        <v>44.146800525499891</v>
      </c>
      <c r="T84" s="626">
        <v>45.076448669999891</v>
      </c>
      <c r="U84" s="626">
        <v>46.006096814499891</v>
      </c>
      <c r="V84" s="626">
        <v>46.935744958999891</v>
      </c>
      <c r="W84" s="626">
        <v>47.865393103499891</v>
      </c>
      <c r="X84" s="626">
        <v>48.79504124799989</v>
      </c>
      <c r="Y84" s="626">
        <v>49.72468939249989</v>
      </c>
      <c r="Z84" s="626">
        <v>50.65433753699989</v>
      </c>
      <c r="AA84" s="626">
        <v>51.58398568149989</v>
      </c>
      <c r="AB84" s="626">
        <v>52.513633825999889</v>
      </c>
      <c r="AC84" s="626">
        <v>53.443281970499889</v>
      </c>
      <c r="AD84" s="626">
        <v>54.372930114999889</v>
      </c>
      <c r="AE84" s="626">
        <v>55.302578259499889</v>
      </c>
      <c r="AF84" s="626">
        <v>56.232226403999888</v>
      </c>
      <c r="AG84" s="626">
        <v>57.161874548499888</v>
      </c>
      <c r="AH84" s="626">
        <v>58.091522692999888</v>
      </c>
      <c r="AI84" s="626">
        <v>59.021170837499888</v>
      </c>
      <c r="AJ84" s="626">
        <v>59.950818981999888</v>
      </c>
      <c r="AK84" s="626">
        <v>60.880467126499887</v>
      </c>
    </row>
    <row r="85" spans="1:37">
      <c r="A85" s="625" t="s">
        <v>3285</v>
      </c>
      <c r="B85" s="626"/>
      <c r="C85" s="626"/>
      <c r="D85" s="626"/>
      <c r="E85" s="626"/>
      <c r="F85" s="626"/>
      <c r="G85" s="626"/>
      <c r="H85" s="626"/>
      <c r="I85" s="626"/>
      <c r="J85" s="626">
        <v>0</v>
      </c>
      <c r="K85" s="626">
        <v>0</v>
      </c>
      <c r="L85" s="626">
        <v>0</v>
      </c>
      <c r="M85" s="626">
        <v>0</v>
      </c>
      <c r="N85" s="626">
        <v>0</v>
      </c>
      <c r="O85" s="626">
        <v>0</v>
      </c>
      <c r="P85" s="626">
        <v>0</v>
      </c>
      <c r="Q85" s="626">
        <v>0</v>
      </c>
      <c r="R85" s="626">
        <v>0</v>
      </c>
      <c r="S85" s="626">
        <v>0</v>
      </c>
      <c r="T85" s="626">
        <v>0</v>
      </c>
      <c r="U85" s="626">
        <v>0</v>
      </c>
      <c r="V85" s="626">
        <v>0</v>
      </c>
      <c r="W85" s="626">
        <v>0</v>
      </c>
      <c r="X85" s="626">
        <v>0</v>
      </c>
      <c r="Y85" s="626">
        <v>0</v>
      </c>
      <c r="Z85" s="626">
        <v>0</v>
      </c>
      <c r="AA85" s="626">
        <v>0</v>
      </c>
      <c r="AB85" s="626">
        <v>0</v>
      </c>
      <c r="AC85" s="626">
        <v>0</v>
      </c>
      <c r="AD85" s="626">
        <v>0</v>
      </c>
      <c r="AE85" s="626">
        <v>0</v>
      </c>
      <c r="AF85" s="626">
        <v>0</v>
      </c>
      <c r="AG85" s="626">
        <v>0</v>
      </c>
      <c r="AH85" s="626">
        <v>0</v>
      </c>
      <c r="AI85" s="626">
        <v>0</v>
      </c>
      <c r="AJ85" s="626">
        <v>0</v>
      </c>
      <c r="AK85" s="626">
        <v>0</v>
      </c>
    </row>
    <row r="86" spans="1:37">
      <c r="A86" s="625" t="s">
        <v>3286</v>
      </c>
      <c r="B86" s="626"/>
      <c r="C86" s="626"/>
      <c r="D86" s="626"/>
      <c r="E86" s="626"/>
      <c r="F86" s="626"/>
      <c r="G86" s="626"/>
      <c r="H86" s="626"/>
      <c r="I86" s="626"/>
      <c r="J86" s="626">
        <v>36.101385052549901</v>
      </c>
      <c r="K86" s="626">
        <v>36.9953201050999</v>
      </c>
      <c r="L86" s="626">
        <v>37.889255157649899</v>
      </c>
      <c r="M86" s="626">
        <v>38.783190210199898</v>
      </c>
      <c r="N86" s="626">
        <v>39.677125262749897</v>
      </c>
      <c r="O86" s="626">
        <v>40.571060315299896</v>
      </c>
      <c r="P86" s="626">
        <v>41.464995367849895</v>
      </c>
      <c r="Q86" s="626">
        <v>42.358930420399894</v>
      </c>
      <c r="R86" s="626">
        <v>43.252865472949892</v>
      </c>
      <c r="S86" s="626">
        <v>44.146800525499891</v>
      </c>
      <c r="T86" s="626">
        <v>45.076448669999891</v>
      </c>
      <c r="U86" s="626">
        <v>46.006096814499891</v>
      </c>
      <c r="V86" s="626">
        <v>46.935744958999891</v>
      </c>
      <c r="W86" s="626">
        <v>47.865393103499891</v>
      </c>
      <c r="X86" s="626">
        <v>48.79504124799989</v>
      </c>
      <c r="Y86" s="626">
        <v>49.72468939249989</v>
      </c>
      <c r="Z86" s="626">
        <v>50.65433753699989</v>
      </c>
      <c r="AA86" s="626">
        <v>51.58398568149989</v>
      </c>
      <c r="AB86" s="626">
        <v>52.513633825999889</v>
      </c>
      <c r="AC86" s="626">
        <v>53.443281970499889</v>
      </c>
      <c r="AD86" s="626">
        <v>54.372930114999889</v>
      </c>
      <c r="AE86" s="626">
        <v>55.302578259499889</v>
      </c>
      <c r="AF86" s="626">
        <v>56.232226403999888</v>
      </c>
      <c r="AG86" s="626">
        <v>57.161874548499888</v>
      </c>
      <c r="AH86" s="626">
        <v>58.091522692999888</v>
      </c>
      <c r="AI86" s="626">
        <v>59.021170837499888</v>
      </c>
      <c r="AJ86" s="626">
        <v>59.950818981999888</v>
      </c>
      <c r="AK86" s="626">
        <v>60.880467126499887</v>
      </c>
    </row>
    <row r="87" spans="1:37">
      <c r="A87" s="624" t="s">
        <v>3300</v>
      </c>
    </row>
    <row r="88" spans="1:37">
      <c r="A88" s="625" t="s">
        <v>3283</v>
      </c>
      <c r="B88" s="626"/>
      <c r="C88" s="626"/>
      <c r="D88" s="626"/>
      <c r="E88" s="626"/>
      <c r="F88" s="626"/>
      <c r="G88" s="626"/>
      <c r="H88" s="626"/>
      <c r="I88" s="626"/>
      <c r="J88" s="626">
        <v>376.52487000000002</v>
      </c>
      <c r="K88" s="626">
        <v>400.84815372269992</v>
      </c>
      <c r="L88" s="626">
        <v>425.17143744539982</v>
      </c>
      <c r="M88" s="626">
        <v>449.49472116809972</v>
      </c>
      <c r="N88" s="626">
        <v>473.81800489079961</v>
      </c>
      <c r="O88" s="626">
        <v>498.14128861349951</v>
      </c>
      <c r="P88" s="626">
        <v>522.46457233619947</v>
      </c>
      <c r="Q88" s="626">
        <v>546.78785605889937</v>
      </c>
      <c r="R88" s="626">
        <v>571.11113978159926</v>
      </c>
      <c r="S88" s="626">
        <v>595.43442350429916</v>
      </c>
      <c r="T88" s="626">
        <v>619.75770722699906</v>
      </c>
      <c r="U88" s="626">
        <v>671.14883740112907</v>
      </c>
      <c r="V88" s="626">
        <v>722.53996757525908</v>
      </c>
      <c r="W88" s="626">
        <v>773.9310977493891</v>
      </c>
      <c r="X88" s="626">
        <v>825.32222792351911</v>
      </c>
      <c r="Y88" s="626">
        <v>876.71335809764912</v>
      </c>
      <c r="Z88" s="626">
        <v>928.10448827177913</v>
      </c>
      <c r="AA88" s="626">
        <v>979.49561844590914</v>
      </c>
      <c r="AB88" s="626">
        <v>1030.886748620039</v>
      </c>
      <c r="AC88" s="626">
        <v>1082.2778787941691</v>
      </c>
      <c r="AD88" s="626">
        <v>1133.6690089682991</v>
      </c>
      <c r="AE88" s="626">
        <v>1185.0601391424291</v>
      </c>
      <c r="AF88" s="626">
        <v>1236.4512693165591</v>
      </c>
      <c r="AG88" s="626">
        <v>1287.8423994906891</v>
      </c>
      <c r="AH88" s="626">
        <v>1339.2335296648191</v>
      </c>
      <c r="AI88" s="626">
        <v>1390.6246598389491</v>
      </c>
      <c r="AJ88" s="626">
        <v>1442.0157900130791</v>
      </c>
      <c r="AK88" s="626">
        <v>1493.4069201872092</v>
      </c>
    </row>
    <row r="89" spans="1:37">
      <c r="A89" s="625" t="s">
        <v>3284</v>
      </c>
      <c r="B89" s="626"/>
      <c r="C89" s="626"/>
      <c r="D89" s="626"/>
      <c r="E89" s="626"/>
      <c r="F89" s="626"/>
      <c r="G89" s="626"/>
      <c r="H89" s="626"/>
      <c r="I89" s="626"/>
      <c r="J89" s="626">
        <v>24.323283722699902</v>
      </c>
      <c r="K89" s="626">
        <v>24.323283722699902</v>
      </c>
      <c r="L89" s="626">
        <v>24.323283722699902</v>
      </c>
      <c r="M89" s="626">
        <v>24.323283722699902</v>
      </c>
      <c r="N89" s="626">
        <v>24.323283722699902</v>
      </c>
      <c r="O89" s="626">
        <v>24.323283722699902</v>
      </c>
      <c r="P89" s="626">
        <v>24.323283722699902</v>
      </c>
      <c r="Q89" s="626">
        <v>24.323283722699902</v>
      </c>
      <c r="R89" s="626">
        <v>24.323283722699902</v>
      </c>
      <c r="S89" s="626">
        <v>24.323283722699902</v>
      </c>
      <c r="T89" s="626">
        <v>51.391130174130005</v>
      </c>
      <c r="U89" s="626">
        <v>51.391130174130005</v>
      </c>
      <c r="V89" s="626">
        <v>51.391130174130005</v>
      </c>
      <c r="W89" s="626">
        <v>51.391130174130005</v>
      </c>
      <c r="X89" s="626">
        <v>51.391130174130005</v>
      </c>
      <c r="Y89" s="626">
        <v>51.391130174130005</v>
      </c>
      <c r="Z89" s="626">
        <v>51.391130174130005</v>
      </c>
      <c r="AA89" s="626">
        <v>51.391130174130005</v>
      </c>
      <c r="AB89" s="626">
        <v>51.391130174130005</v>
      </c>
      <c r="AC89" s="626">
        <v>51.391130174130005</v>
      </c>
      <c r="AD89" s="626">
        <v>51.391130174130005</v>
      </c>
      <c r="AE89" s="626">
        <v>51.391130174130005</v>
      </c>
      <c r="AF89" s="626">
        <v>51.391130174130005</v>
      </c>
      <c r="AG89" s="626">
        <v>51.391130174130005</v>
      </c>
      <c r="AH89" s="626">
        <v>51.391130174130005</v>
      </c>
      <c r="AI89" s="626">
        <v>51.391130174130005</v>
      </c>
      <c r="AJ89" s="626">
        <v>51.391130174130005</v>
      </c>
      <c r="AK89" s="626">
        <v>51.391130174130005</v>
      </c>
    </row>
    <row r="90" spans="1:37">
      <c r="A90" s="625" t="s">
        <v>1886</v>
      </c>
      <c r="B90" s="626"/>
      <c r="C90" s="626"/>
      <c r="D90" s="626"/>
      <c r="E90" s="626"/>
      <c r="F90" s="626"/>
      <c r="G90" s="626"/>
      <c r="H90" s="626"/>
      <c r="I90" s="626"/>
      <c r="J90" s="626">
        <v>400.84815372269992</v>
      </c>
      <c r="K90" s="626">
        <v>425.17143744539982</v>
      </c>
      <c r="L90" s="626">
        <v>449.49472116809972</v>
      </c>
      <c r="M90" s="626">
        <v>473.81800489079961</v>
      </c>
      <c r="N90" s="626">
        <v>498.14128861349951</v>
      </c>
      <c r="O90" s="626">
        <v>522.46457233619947</v>
      </c>
      <c r="P90" s="626">
        <v>546.78785605889937</v>
      </c>
      <c r="Q90" s="626">
        <v>571.11113978159926</v>
      </c>
      <c r="R90" s="626">
        <v>595.43442350429916</v>
      </c>
      <c r="S90" s="626">
        <v>619.75770722699906</v>
      </c>
      <c r="T90" s="626">
        <v>671.14883740112907</v>
      </c>
      <c r="U90" s="626">
        <v>722.53996757525908</v>
      </c>
      <c r="V90" s="626">
        <v>773.9310977493891</v>
      </c>
      <c r="W90" s="626">
        <v>825.32222792351911</v>
      </c>
      <c r="X90" s="626">
        <v>876.71335809764912</v>
      </c>
      <c r="Y90" s="626">
        <v>928.10448827177913</v>
      </c>
      <c r="Z90" s="626">
        <v>979.49561844590914</v>
      </c>
      <c r="AA90" s="626">
        <v>1030.886748620039</v>
      </c>
      <c r="AB90" s="626">
        <v>1082.2778787941691</v>
      </c>
      <c r="AC90" s="626">
        <v>1133.6690089682991</v>
      </c>
      <c r="AD90" s="626">
        <v>1185.0601391424291</v>
      </c>
      <c r="AE90" s="626">
        <v>1236.4512693165591</v>
      </c>
      <c r="AF90" s="626">
        <v>1287.8423994906891</v>
      </c>
      <c r="AG90" s="626">
        <v>1339.2335296648191</v>
      </c>
      <c r="AH90" s="626">
        <v>1390.6246598389491</v>
      </c>
      <c r="AI90" s="626">
        <v>1442.0157900130791</v>
      </c>
      <c r="AJ90" s="626">
        <v>1493.4069201872092</v>
      </c>
      <c r="AK90" s="626">
        <v>1544.7980503613392</v>
      </c>
    </row>
    <row r="91" spans="1:37">
      <c r="A91" s="625" t="s">
        <v>3285</v>
      </c>
      <c r="B91" s="626"/>
      <c r="C91" s="626"/>
      <c r="D91" s="626"/>
      <c r="E91" s="626"/>
      <c r="F91" s="626"/>
      <c r="G91" s="626"/>
      <c r="H91" s="626"/>
      <c r="I91" s="626"/>
      <c r="J91" s="626">
        <v>0</v>
      </c>
      <c r="K91" s="626">
        <v>0</v>
      </c>
      <c r="L91" s="626">
        <v>0</v>
      </c>
      <c r="M91" s="626">
        <v>0</v>
      </c>
      <c r="N91" s="626">
        <v>0</v>
      </c>
      <c r="O91" s="626">
        <v>0</v>
      </c>
      <c r="P91" s="626">
        <v>0</v>
      </c>
      <c r="Q91" s="626">
        <v>0</v>
      </c>
      <c r="R91" s="626">
        <v>0</v>
      </c>
      <c r="S91" s="626">
        <v>0</v>
      </c>
      <c r="T91" s="626">
        <v>0</v>
      </c>
      <c r="U91" s="626">
        <v>0</v>
      </c>
      <c r="V91" s="626">
        <v>0</v>
      </c>
      <c r="W91" s="626">
        <v>0</v>
      </c>
      <c r="X91" s="626">
        <v>0</v>
      </c>
      <c r="Y91" s="626">
        <v>0</v>
      </c>
      <c r="Z91" s="626">
        <v>0</v>
      </c>
      <c r="AA91" s="626">
        <v>0</v>
      </c>
      <c r="AB91" s="626">
        <v>0</v>
      </c>
      <c r="AC91" s="626">
        <v>0</v>
      </c>
      <c r="AD91" s="626">
        <v>0</v>
      </c>
      <c r="AE91" s="626">
        <v>0</v>
      </c>
      <c r="AF91" s="626">
        <v>0</v>
      </c>
      <c r="AG91" s="626">
        <v>0</v>
      </c>
      <c r="AH91" s="626">
        <v>0</v>
      </c>
      <c r="AI91" s="626">
        <v>0</v>
      </c>
      <c r="AJ91" s="626">
        <v>0</v>
      </c>
      <c r="AK91" s="626">
        <v>0</v>
      </c>
    </row>
    <row r="92" spans="1:37">
      <c r="A92" s="625" t="s">
        <v>3286</v>
      </c>
      <c r="B92" s="626"/>
      <c r="C92" s="626"/>
      <c r="D92" s="626"/>
      <c r="E92" s="626"/>
      <c r="F92" s="626"/>
      <c r="G92" s="626"/>
      <c r="H92" s="626"/>
      <c r="I92" s="626"/>
      <c r="J92" s="626">
        <v>400.84815372269992</v>
      </c>
      <c r="K92" s="626">
        <v>425.17143744539982</v>
      </c>
      <c r="L92" s="626">
        <v>449.49472116809972</v>
      </c>
      <c r="M92" s="626">
        <v>473.81800489079961</v>
      </c>
      <c r="N92" s="626">
        <v>498.14128861349951</v>
      </c>
      <c r="O92" s="626">
        <v>522.46457233619947</v>
      </c>
      <c r="P92" s="626">
        <v>546.78785605889937</v>
      </c>
      <c r="Q92" s="626">
        <v>571.11113978159926</v>
      </c>
      <c r="R92" s="626">
        <v>595.43442350429916</v>
      </c>
      <c r="S92" s="626">
        <v>619.75770722699906</v>
      </c>
      <c r="T92" s="626">
        <v>671.14883740112907</v>
      </c>
      <c r="U92" s="626">
        <v>722.53996757525908</v>
      </c>
      <c r="V92" s="626">
        <v>773.9310977493891</v>
      </c>
      <c r="W92" s="626">
        <v>825.32222792351911</v>
      </c>
      <c r="X92" s="626">
        <v>876.71335809764912</v>
      </c>
      <c r="Y92" s="626">
        <v>928.10448827177913</v>
      </c>
      <c r="Z92" s="626">
        <v>979.49561844590914</v>
      </c>
      <c r="AA92" s="626">
        <v>1030.886748620039</v>
      </c>
      <c r="AB92" s="626">
        <v>1082.2778787941691</v>
      </c>
      <c r="AC92" s="626">
        <v>1133.6690089682991</v>
      </c>
      <c r="AD92" s="626">
        <v>1185.0601391424291</v>
      </c>
      <c r="AE92" s="626">
        <v>1236.4512693165591</v>
      </c>
      <c r="AF92" s="626">
        <v>1287.8423994906891</v>
      </c>
      <c r="AG92" s="626">
        <v>1339.2335296648191</v>
      </c>
      <c r="AH92" s="626">
        <v>1390.6246598389491</v>
      </c>
      <c r="AI92" s="626">
        <v>1442.0157900130791</v>
      </c>
      <c r="AJ92" s="626">
        <v>1493.4069201872092</v>
      </c>
      <c r="AK92" s="626">
        <v>1544.7980503613392</v>
      </c>
    </row>
    <row r="93" spans="1:37">
      <c r="A93" s="624" t="s">
        <v>3301</v>
      </c>
    </row>
    <row r="94" spans="1:37">
      <c r="A94" s="625" t="s">
        <v>3283</v>
      </c>
      <c r="B94" s="626"/>
      <c r="C94" s="626"/>
      <c r="D94" s="626"/>
      <c r="E94" s="626"/>
      <c r="F94" s="626"/>
      <c r="G94" s="626"/>
      <c r="H94" s="626"/>
      <c r="I94" s="626"/>
      <c r="J94" s="626">
        <v>2160.91696</v>
      </c>
      <c r="K94" s="626">
        <v>2204.7937517959999</v>
      </c>
      <c r="L94" s="626">
        <v>2248.6705435919998</v>
      </c>
      <c r="M94" s="626">
        <v>2292.5473353879997</v>
      </c>
      <c r="N94" s="626">
        <v>2336.4241271839996</v>
      </c>
      <c r="O94" s="626">
        <v>2380.3009189799996</v>
      </c>
      <c r="P94" s="626">
        <v>2424.1777107759995</v>
      </c>
      <c r="Q94" s="626">
        <v>2468.0545025719994</v>
      </c>
      <c r="R94" s="626">
        <v>2511.9312943679993</v>
      </c>
      <c r="S94" s="626">
        <v>2555.8080861639992</v>
      </c>
      <c r="T94" s="626">
        <v>2599.6848779599991</v>
      </c>
      <c r="U94" s="626">
        <v>2643.4630266259992</v>
      </c>
      <c r="V94" s="626">
        <v>2687.2411752919993</v>
      </c>
      <c r="W94" s="626">
        <v>2731.0193239579994</v>
      </c>
      <c r="X94" s="626">
        <v>2774.7974726239995</v>
      </c>
      <c r="Y94" s="626">
        <v>2826.9905119669993</v>
      </c>
      <c r="Z94" s="626">
        <v>2887.6418170659995</v>
      </c>
      <c r="AA94" s="626">
        <v>2948.3508788999993</v>
      </c>
      <c r="AB94" s="626">
        <v>3009.4584085089991</v>
      </c>
      <c r="AC94" s="626">
        <v>3071.3341103659991</v>
      </c>
      <c r="AD94" s="626">
        <v>3128.7215165559992</v>
      </c>
      <c r="AE94" s="626">
        <v>3181.2509226339994</v>
      </c>
      <c r="AF94" s="626">
        <v>3233.8090920269992</v>
      </c>
      <c r="AG94" s="626">
        <v>3443.7910944129994</v>
      </c>
      <c r="AH94" s="626">
        <v>3821.9461265279992</v>
      </c>
      <c r="AI94" s="626">
        <v>4214.242895078999</v>
      </c>
      <c r="AJ94" s="626">
        <v>4611.3017237529994</v>
      </c>
      <c r="AK94" s="626">
        <v>5010.0597229009991</v>
      </c>
    </row>
    <row r="95" spans="1:37">
      <c r="A95" s="625" t="s">
        <v>3284</v>
      </c>
      <c r="B95" s="626"/>
      <c r="C95" s="626"/>
      <c r="D95" s="626"/>
      <c r="E95" s="626"/>
      <c r="F95" s="626"/>
      <c r="G95" s="626"/>
      <c r="H95" s="626"/>
      <c r="I95" s="626"/>
      <c r="J95" s="626">
        <v>43.876791795999992</v>
      </c>
      <c r="K95" s="626">
        <v>43.876791795999992</v>
      </c>
      <c r="L95" s="626">
        <v>43.876791795999992</v>
      </c>
      <c r="M95" s="626">
        <v>43.876791795999992</v>
      </c>
      <c r="N95" s="626">
        <v>43.876791795999992</v>
      </c>
      <c r="O95" s="626">
        <v>43.876791795999992</v>
      </c>
      <c r="P95" s="626">
        <v>43.876791795999992</v>
      </c>
      <c r="Q95" s="626">
        <v>43.876791795999992</v>
      </c>
      <c r="R95" s="626">
        <v>43.876791795999992</v>
      </c>
      <c r="S95" s="626">
        <v>43.876791795999992</v>
      </c>
      <c r="T95" s="626">
        <v>43.778148665999993</v>
      </c>
      <c r="U95" s="626">
        <v>43.778148665999993</v>
      </c>
      <c r="V95" s="626">
        <v>43.778148665999993</v>
      </c>
      <c r="W95" s="626">
        <v>43.778148665999993</v>
      </c>
      <c r="X95" s="626">
        <v>52.193039343000002</v>
      </c>
      <c r="Y95" s="626">
        <v>60.651305098999998</v>
      </c>
      <c r="Z95" s="626">
        <v>60.709061833999897</v>
      </c>
      <c r="AA95" s="626">
        <v>61.107529609000004</v>
      </c>
      <c r="AB95" s="626">
        <v>61.875701857000003</v>
      </c>
      <c r="AC95" s="626">
        <v>57.387406189999993</v>
      </c>
      <c r="AD95" s="626">
        <v>52.529406078000001</v>
      </c>
      <c r="AE95" s="626">
        <v>52.558169393</v>
      </c>
      <c r="AF95" s="626">
        <v>209.98200238600003</v>
      </c>
      <c r="AG95" s="626">
        <v>378.15503211499998</v>
      </c>
      <c r="AH95" s="626">
        <v>392.29676855100001</v>
      </c>
      <c r="AI95" s="626">
        <v>397.05882867399998</v>
      </c>
      <c r="AJ95" s="626">
        <v>398.75799914799995</v>
      </c>
      <c r="AK95" s="626">
        <v>399.46015993599997</v>
      </c>
    </row>
    <row r="96" spans="1:37">
      <c r="A96" s="625" t="s">
        <v>1886</v>
      </c>
      <c r="B96" s="626"/>
      <c r="C96" s="626"/>
      <c r="D96" s="626"/>
      <c r="E96" s="626"/>
      <c r="F96" s="626"/>
      <c r="G96" s="626"/>
      <c r="H96" s="626"/>
      <c r="I96" s="626"/>
      <c r="J96" s="626">
        <v>2204.7937517959999</v>
      </c>
      <c r="K96" s="626">
        <v>2248.6705435919998</v>
      </c>
      <c r="L96" s="626">
        <v>2292.5473353879997</v>
      </c>
      <c r="M96" s="626">
        <v>2336.4241271839996</v>
      </c>
      <c r="N96" s="626">
        <v>2380.3009189799996</v>
      </c>
      <c r="O96" s="626">
        <v>2424.1777107759995</v>
      </c>
      <c r="P96" s="626">
        <v>2468.0545025719994</v>
      </c>
      <c r="Q96" s="626">
        <v>2511.9312943679993</v>
      </c>
      <c r="R96" s="626">
        <v>2555.8080861639992</v>
      </c>
      <c r="S96" s="626">
        <v>2599.6848779599991</v>
      </c>
      <c r="T96" s="626">
        <v>2643.4630266259992</v>
      </c>
      <c r="U96" s="626">
        <v>2687.2411752919993</v>
      </c>
      <c r="V96" s="626">
        <v>2731.0193239579994</v>
      </c>
      <c r="W96" s="626">
        <v>2774.7974726239995</v>
      </c>
      <c r="X96" s="626">
        <v>2826.9905119669993</v>
      </c>
      <c r="Y96" s="626">
        <v>2887.6418170659995</v>
      </c>
      <c r="Z96" s="626">
        <v>2948.3508788999993</v>
      </c>
      <c r="AA96" s="626">
        <v>3009.4584085089991</v>
      </c>
      <c r="AB96" s="626">
        <v>3071.3341103659991</v>
      </c>
      <c r="AC96" s="626">
        <v>3128.7215165559992</v>
      </c>
      <c r="AD96" s="626">
        <v>3181.2509226339994</v>
      </c>
      <c r="AE96" s="626">
        <v>3233.8090920269992</v>
      </c>
      <c r="AF96" s="626">
        <v>3443.7910944129994</v>
      </c>
      <c r="AG96" s="626">
        <v>3821.9461265279992</v>
      </c>
      <c r="AH96" s="626">
        <v>4214.242895078999</v>
      </c>
      <c r="AI96" s="626">
        <v>4611.3017237529994</v>
      </c>
      <c r="AJ96" s="626">
        <v>5010.0597229009991</v>
      </c>
      <c r="AK96" s="626">
        <v>5409.5198828369994</v>
      </c>
    </row>
    <row r="97" spans="1:37">
      <c r="A97" s="625" t="s">
        <v>3285</v>
      </c>
      <c r="B97" s="626"/>
      <c r="C97" s="626"/>
      <c r="D97" s="626"/>
      <c r="E97" s="626"/>
      <c r="F97" s="626"/>
      <c r="G97" s="626"/>
      <c r="H97" s="626"/>
      <c r="I97" s="626"/>
      <c r="J97" s="626">
        <v>0</v>
      </c>
      <c r="K97" s="626">
        <v>0</v>
      </c>
      <c r="L97" s="626">
        <v>0</v>
      </c>
      <c r="M97" s="626">
        <v>0</v>
      </c>
      <c r="N97" s="626">
        <v>0</v>
      </c>
      <c r="O97" s="626">
        <v>0</v>
      </c>
      <c r="P97" s="626">
        <v>0</v>
      </c>
      <c r="Q97" s="626">
        <v>0</v>
      </c>
      <c r="R97" s="626">
        <v>0</v>
      </c>
      <c r="S97" s="626">
        <v>0</v>
      </c>
      <c r="T97" s="626">
        <v>0</v>
      </c>
      <c r="U97" s="626">
        <v>0</v>
      </c>
      <c r="V97" s="626">
        <v>0</v>
      </c>
      <c r="W97" s="626">
        <v>0</v>
      </c>
      <c r="X97" s="626">
        <v>0</v>
      </c>
      <c r="Y97" s="626">
        <v>0</v>
      </c>
      <c r="Z97" s="626">
        <v>0</v>
      </c>
      <c r="AA97" s="626">
        <v>0</v>
      </c>
      <c r="AB97" s="626">
        <v>0</v>
      </c>
      <c r="AC97" s="626">
        <v>0</v>
      </c>
      <c r="AD97" s="626">
        <v>0</v>
      </c>
      <c r="AE97" s="626">
        <v>0</v>
      </c>
      <c r="AF97" s="626">
        <v>0</v>
      </c>
      <c r="AG97" s="626">
        <v>0</v>
      </c>
      <c r="AH97" s="626">
        <v>0</v>
      </c>
      <c r="AI97" s="626">
        <v>0</v>
      </c>
      <c r="AJ97" s="626">
        <v>0</v>
      </c>
      <c r="AK97" s="626">
        <v>0</v>
      </c>
    </row>
    <row r="98" spans="1:37">
      <c r="A98" s="625" t="s">
        <v>3286</v>
      </c>
      <c r="B98" s="626"/>
      <c r="C98" s="626"/>
      <c r="D98" s="626"/>
      <c r="E98" s="626"/>
      <c r="F98" s="626"/>
      <c r="G98" s="626"/>
      <c r="H98" s="626"/>
      <c r="I98" s="626"/>
      <c r="J98" s="626">
        <v>2204.7937517959999</v>
      </c>
      <c r="K98" s="626">
        <v>2248.6705435919998</v>
      </c>
      <c r="L98" s="626">
        <v>2292.5473353879997</v>
      </c>
      <c r="M98" s="626">
        <v>2336.4241271839996</v>
      </c>
      <c r="N98" s="626">
        <v>2380.3009189799996</v>
      </c>
      <c r="O98" s="626">
        <v>2424.1777107759995</v>
      </c>
      <c r="P98" s="626">
        <v>2468.0545025719994</v>
      </c>
      <c r="Q98" s="626">
        <v>2511.9312943679993</v>
      </c>
      <c r="R98" s="626">
        <v>2555.8080861639992</v>
      </c>
      <c r="S98" s="626">
        <v>2599.6848779599991</v>
      </c>
      <c r="T98" s="626">
        <v>2643.4630266259992</v>
      </c>
      <c r="U98" s="626">
        <v>2687.2411752919993</v>
      </c>
      <c r="V98" s="626">
        <v>2731.0193239579994</v>
      </c>
      <c r="W98" s="626">
        <v>2774.7974726239995</v>
      </c>
      <c r="X98" s="626">
        <v>2826.9905119669993</v>
      </c>
      <c r="Y98" s="626">
        <v>2887.6418170659995</v>
      </c>
      <c r="Z98" s="626">
        <v>2948.3508788999993</v>
      </c>
      <c r="AA98" s="626">
        <v>3009.4584085089991</v>
      </c>
      <c r="AB98" s="626">
        <v>3071.3341103659991</v>
      </c>
      <c r="AC98" s="626">
        <v>3128.7215165559992</v>
      </c>
      <c r="AD98" s="626">
        <v>3181.2509226339994</v>
      </c>
      <c r="AE98" s="626">
        <v>3233.8090920269992</v>
      </c>
      <c r="AF98" s="626">
        <v>3443.7910944129994</v>
      </c>
      <c r="AG98" s="626">
        <v>3821.9461265279992</v>
      </c>
      <c r="AH98" s="626">
        <v>4214.242895078999</v>
      </c>
      <c r="AI98" s="626">
        <v>4611.3017237529994</v>
      </c>
      <c r="AJ98" s="626">
        <v>5010.0597229009991</v>
      </c>
      <c r="AK98" s="626">
        <v>5409.5198828369994</v>
      </c>
    </row>
    <row r="99" spans="1:37">
      <c r="A99" s="624" t="s">
        <v>3302</v>
      </c>
    </row>
    <row r="100" spans="1:37">
      <c r="A100" s="625" t="s">
        <v>3283</v>
      </c>
      <c r="B100" s="626"/>
      <c r="C100" s="626"/>
      <c r="D100" s="626"/>
      <c r="E100" s="626"/>
      <c r="F100" s="626"/>
      <c r="G100" s="626"/>
      <c r="H100" s="626"/>
      <c r="I100" s="626"/>
      <c r="J100" s="626">
        <v>25723.743920000001</v>
      </c>
      <c r="K100" s="626">
        <v>27738.603950980993</v>
      </c>
      <c r="L100" s="626">
        <v>29761.379715046991</v>
      </c>
      <c r="M100" s="626">
        <v>31794.21152983699</v>
      </c>
      <c r="N100" s="626">
        <v>33843.226196438976</v>
      </c>
      <c r="O100" s="626">
        <v>35903.286236440974</v>
      </c>
      <c r="P100" s="626">
        <v>37967.811478429976</v>
      </c>
      <c r="Q100" s="626">
        <v>40037.223974655979</v>
      </c>
      <c r="R100" s="626">
        <v>42111.587747928977</v>
      </c>
      <c r="S100" s="626">
        <v>44189.11828786198</v>
      </c>
      <c r="T100" s="626">
        <v>46269.080852817977</v>
      </c>
      <c r="U100" s="626">
        <v>50075.149003306979</v>
      </c>
      <c r="V100" s="626">
        <v>53881.21715379598</v>
      </c>
      <c r="W100" s="626">
        <v>57687.285304284982</v>
      </c>
      <c r="X100" s="626">
        <v>61493.353454773984</v>
      </c>
      <c r="Y100" s="626">
        <v>65299.421605262985</v>
      </c>
      <c r="Z100" s="626">
        <v>69105.489755751987</v>
      </c>
      <c r="AA100" s="626">
        <v>72911.557906240982</v>
      </c>
      <c r="AB100" s="626">
        <v>76717.626056729976</v>
      </c>
      <c r="AC100" s="626">
        <v>80523.69420721897</v>
      </c>
      <c r="AD100" s="626">
        <v>84329.762357707965</v>
      </c>
      <c r="AE100" s="626">
        <v>88135.830508196959</v>
      </c>
      <c r="AF100" s="626">
        <v>91941.898658685954</v>
      </c>
      <c r="AG100" s="626">
        <v>95747.966809174948</v>
      </c>
      <c r="AH100" s="626">
        <v>99554.034959663943</v>
      </c>
      <c r="AI100" s="626">
        <v>103360.10311015294</v>
      </c>
      <c r="AJ100" s="626">
        <v>107166.17126064193</v>
      </c>
      <c r="AK100" s="626">
        <v>110972.23941113093</v>
      </c>
    </row>
    <row r="101" spans="1:37">
      <c r="A101" s="625" t="s">
        <v>3284</v>
      </c>
      <c r="B101" s="626"/>
      <c r="C101" s="626"/>
      <c r="D101" s="626"/>
      <c r="E101" s="626"/>
      <c r="F101" s="626"/>
      <c r="G101" s="626"/>
      <c r="H101" s="626"/>
      <c r="I101" s="626"/>
      <c r="J101" s="626">
        <v>2014.8600309809899</v>
      </c>
      <c r="K101" s="626">
        <v>2022.7757640659997</v>
      </c>
      <c r="L101" s="626">
        <v>2032.83181479</v>
      </c>
      <c r="M101" s="626">
        <v>2049.01466660199</v>
      </c>
      <c r="N101" s="626">
        <v>2060.0600400020003</v>
      </c>
      <c r="O101" s="626">
        <v>2064.5252419889989</v>
      </c>
      <c r="P101" s="626">
        <v>2069.4124962259998</v>
      </c>
      <c r="Q101" s="626">
        <v>2074.363773272999</v>
      </c>
      <c r="R101" s="626">
        <v>2077.530539933</v>
      </c>
      <c r="S101" s="626">
        <v>2079.9625649559998</v>
      </c>
      <c r="T101" s="626">
        <v>3806.0681504889999</v>
      </c>
      <c r="U101" s="626">
        <v>3806.0681504889999</v>
      </c>
      <c r="V101" s="626">
        <v>3806.0681504889999</v>
      </c>
      <c r="W101" s="626">
        <v>3806.0681504889999</v>
      </c>
      <c r="X101" s="626">
        <v>3806.0681504889999</v>
      </c>
      <c r="Y101" s="626">
        <v>3806.0681504889999</v>
      </c>
      <c r="Z101" s="626">
        <v>3806.0681504889999</v>
      </c>
      <c r="AA101" s="626">
        <v>3806.0681504889999</v>
      </c>
      <c r="AB101" s="626">
        <v>3806.0681504889999</v>
      </c>
      <c r="AC101" s="626">
        <v>3806.0681504889999</v>
      </c>
      <c r="AD101" s="626">
        <v>3806.0681504889999</v>
      </c>
      <c r="AE101" s="626">
        <v>3806.0681504889999</v>
      </c>
      <c r="AF101" s="626">
        <v>3806.0681504889999</v>
      </c>
      <c r="AG101" s="626">
        <v>3806.0681504889999</v>
      </c>
      <c r="AH101" s="626">
        <v>3806.0681504889999</v>
      </c>
      <c r="AI101" s="626">
        <v>3806.0681504889999</v>
      </c>
      <c r="AJ101" s="626">
        <v>3806.0681504889999</v>
      </c>
      <c r="AK101" s="626">
        <v>3806.0681504889999</v>
      </c>
    </row>
    <row r="102" spans="1:37">
      <c r="A102" s="625" t="s">
        <v>1886</v>
      </c>
      <c r="B102" s="626"/>
      <c r="C102" s="626"/>
      <c r="D102" s="626"/>
      <c r="E102" s="626"/>
      <c r="F102" s="626"/>
      <c r="G102" s="626"/>
      <c r="H102" s="626"/>
      <c r="I102" s="626"/>
      <c r="J102" s="626">
        <v>27738.603950980993</v>
      </c>
      <c r="K102" s="626">
        <v>29761.379715046991</v>
      </c>
      <c r="L102" s="626">
        <v>31794.21152983699</v>
      </c>
      <c r="M102" s="626">
        <v>33843.226196438976</v>
      </c>
      <c r="N102" s="626">
        <v>35903.286236440974</v>
      </c>
      <c r="O102" s="626">
        <v>37967.811478429976</v>
      </c>
      <c r="P102" s="626">
        <v>40037.223974655979</v>
      </c>
      <c r="Q102" s="626">
        <v>42111.587747928977</v>
      </c>
      <c r="R102" s="626">
        <v>44189.11828786198</v>
      </c>
      <c r="S102" s="626">
        <v>46269.080852817977</v>
      </c>
      <c r="T102" s="626">
        <v>50075.149003306979</v>
      </c>
      <c r="U102" s="626">
        <v>53881.21715379598</v>
      </c>
      <c r="V102" s="626">
        <v>57687.285304284982</v>
      </c>
      <c r="W102" s="626">
        <v>61493.353454773984</v>
      </c>
      <c r="X102" s="626">
        <v>65299.421605262985</v>
      </c>
      <c r="Y102" s="626">
        <v>69105.489755751987</v>
      </c>
      <c r="Z102" s="626">
        <v>72911.557906240982</v>
      </c>
      <c r="AA102" s="626">
        <v>76717.626056729976</v>
      </c>
      <c r="AB102" s="626">
        <v>80523.69420721897</v>
      </c>
      <c r="AC102" s="626">
        <v>84329.762357707965</v>
      </c>
      <c r="AD102" s="626">
        <v>88135.830508196959</v>
      </c>
      <c r="AE102" s="626">
        <v>91941.898658685954</v>
      </c>
      <c r="AF102" s="626">
        <v>95747.966809174948</v>
      </c>
      <c r="AG102" s="626">
        <v>99554.034959663943</v>
      </c>
      <c r="AH102" s="626">
        <v>103360.10311015294</v>
      </c>
      <c r="AI102" s="626">
        <v>107166.17126064193</v>
      </c>
      <c r="AJ102" s="626">
        <v>110972.23941113093</v>
      </c>
      <c r="AK102" s="626">
        <v>114778.30756161992</v>
      </c>
    </row>
    <row r="103" spans="1:37">
      <c r="A103" s="625" t="s">
        <v>3285</v>
      </c>
      <c r="B103" s="626"/>
      <c r="C103" s="626"/>
      <c r="D103" s="626"/>
      <c r="E103" s="626"/>
      <c r="F103" s="626"/>
      <c r="G103" s="626"/>
      <c r="H103" s="626"/>
      <c r="I103" s="626"/>
      <c r="J103" s="626">
        <v>-11278.55668</v>
      </c>
      <c r="K103" s="626">
        <v>-11293.55668</v>
      </c>
      <c r="L103" s="626">
        <v>-11308.55668</v>
      </c>
      <c r="M103" s="626">
        <v>-11308.55668</v>
      </c>
      <c r="N103" s="626">
        <v>-11308.55668</v>
      </c>
      <c r="O103" s="626">
        <v>-11308.55668</v>
      </c>
      <c r="P103" s="626">
        <v>-11308.55668</v>
      </c>
      <c r="Q103" s="626">
        <v>-11308.55668</v>
      </c>
      <c r="R103" s="626">
        <v>-11308.55668</v>
      </c>
      <c r="S103" s="626">
        <v>-11308.55668</v>
      </c>
      <c r="T103" s="626">
        <v>-11308.55668</v>
      </c>
      <c r="U103" s="626">
        <v>-11308.55668</v>
      </c>
      <c r="V103" s="626">
        <v>-11308.55668</v>
      </c>
      <c r="W103" s="626">
        <v>-11308.55668</v>
      </c>
      <c r="X103" s="626">
        <v>-11308.55668</v>
      </c>
      <c r="Y103" s="626">
        <v>-11308.55668</v>
      </c>
      <c r="Z103" s="626">
        <v>-11308.55668</v>
      </c>
      <c r="AA103" s="626">
        <v>-11308.55668</v>
      </c>
      <c r="AB103" s="626">
        <v>-11308.55668</v>
      </c>
      <c r="AC103" s="626">
        <v>-11308.55668</v>
      </c>
      <c r="AD103" s="626">
        <v>-11308.55668</v>
      </c>
      <c r="AE103" s="626">
        <v>-11308.55668</v>
      </c>
      <c r="AF103" s="626">
        <v>-11308.55668</v>
      </c>
      <c r="AG103" s="626">
        <v>-11308.55668</v>
      </c>
      <c r="AH103" s="626">
        <v>-11308.55668</v>
      </c>
      <c r="AI103" s="626">
        <v>-11308.55668</v>
      </c>
      <c r="AJ103" s="626">
        <v>-11308.55668</v>
      </c>
      <c r="AK103" s="626">
        <v>-11308.55668</v>
      </c>
    </row>
    <row r="104" spans="1:37">
      <c r="A104" s="625" t="s">
        <v>3286</v>
      </c>
      <c r="B104" s="626"/>
      <c r="C104" s="626"/>
      <c r="D104" s="626"/>
      <c r="E104" s="626"/>
      <c r="F104" s="626"/>
      <c r="G104" s="626"/>
      <c r="H104" s="626"/>
      <c r="I104" s="626"/>
      <c r="J104" s="626">
        <v>16460.047270980991</v>
      </c>
      <c r="K104" s="626">
        <v>18467.823035046989</v>
      </c>
      <c r="L104" s="626">
        <v>20485.654849836988</v>
      </c>
      <c r="M104" s="626">
        <v>22534.669516438975</v>
      </c>
      <c r="N104" s="626">
        <v>24594.729556440972</v>
      </c>
      <c r="O104" s="626">
        <v>26659.254798429974</v>
      </c>
      <c r="P104" s="626">
        <v>28728.667294655977</v>
      </c>
      <c r="Q104" s="626">
        <v>30803.031067928976</v>
      </c>
      <c r="R104" s="626">
        <v>32880.561607861979</v>
      </c>
      <c r="S104" s="626">
        <v>34960.524172817975</v>
      </c>
      <c r="T104" s="626">
        <v>38766.592323306977</v>
      </c>
      <c r="U104" s="626">
        <v>42572.660473795979</v>
      </c>
      <c r="V104" s="626">
        <v>46378.72862428498</v>
      </c>
      <c r="W104" s="626">
        <v>50184.796774773982</v>
      </c>
      <c r="X104" s="626">
        <v>53990.864925262984</v>
      </c>
      <c r="Y104" s="626">
        <v>57796.933075751986</v>
      </c>
      <c r="Z104" s="626">
        <v>61603.00122624098</v>
      </c>
      <c r="AA104" s="626">
        <v>65409.069376729974</v>
      </c>
      <c r="AB104" s="626">
        <v>69215.137527218976</v>
      </c>
      <c r="AC104" s="626">
        <v>73021.205677707971</v>
      </c>
      <c r="AD104" s="626">
        <v>76827.273828196965</v>
      </c>
      <c r="AE104" s="626">
        <v>80633.341978685959</v>
      </c>
      <c r="AF104" s="626">
        <v>84439.410129174954</v>
      </c>
      <c r="AG104" s="626">
        <v>88245.478279663948</v>
      </c>
      <c r="AH104" s="626">
        <v>92051.546430152943</v>
      </c>
      <c r="AI104" s="626">
        <v>95857.614580641937</v>
      </c>
      <c r="AJ104" s="626">
        <v>99663.682731130932</v>
      </c>
      <c r="AK104" s="626">
        <v>103469.75088161993</v>
      </c>
    </row>
    <row r="105" spans="1:37">
      <c r="A105" s="624" t="s">
        <v>3303</v>
      </c>
    </row>
    <row r="106" spans="1:37">
      <c r="A106" s="625" t="s">
        <v>3283</v>
      </c>
      <c r="B106" s="626"/>
      <c r="C106" s="626"/>
      <c r="D106" s="626"/>
      <c r="E106" s="626"/>
      <c r="F106" s="626"/>
      <c r="G106" s="626"/>
      <c r="H106" s="626"/>
      <c r="I106" s="626"/>
      <c r="J106" s="626">
        <v>0</v>
      </c>
      <c r="K106" s="626">
        <v>0</v>
      </c>
      <c r="L106" s="626">
        <v>0</v>
      </c>
      <c r="M106" s="626">
        <v>0</v>
      </c>
      <c r="N106" s="626">
        <v>15.714842035479901</v>
      </c>
      <c r="O106" s="626">
        <v>47.144526116549898</v>
      </c>
      <c r="P106" s="626">
        <v>79.652485590869901</v>
      </c>
      <c r="Q106" s="626">
        <v>114.1821502606099</v>
      </c>
      <c r="R106" s="626">
        <v>149.65524473200989</v>
      </c>
      <c r="S106" s="626">
        <v>185.12833920340989</v>
      </c>
      <c r="T106" s="626">
        <v>220.6014336748099</v>
      </c>
      <c r="U106" s="626">
        <v>271.27877903210981</v>
      </c>
      <c r="V106" s="626">
        <v>321.95612438940969</v>
      </c>
      <c r="W106" s="626">
        <v>372.63346974670958</v>
      </c>
      <c r="X106" s="626">
        <v>423.31081510400946</v>
      </c>
      <c r="Y106" s="626">
        <v>473.98816046130935</v>
      </c>
      <c r="Z106" s="626">
        <v>530.20512315380927</v>
      </c>
      <c r="AA106" s="626">
        <v>591.96170318360919</v>
      </c>
      <c r="AB106" s="626">
        <v>653.71828321340911</v>
      </c>
      <c r="AC106" s="626">
        <v>715.47486324320903</v>
      </c>
      <c r="AD106" s="626">
        <v>777.23144327300895</v>
      </c>
      <c r="AE106" s="626">
        <v>838.98802330280887</v>
      </c>
      <c r="AF106" s="626">
        <v>900.74460333260879</v>
      </c>
      <c r="AG106" s="626">
        <v>962.50118336240871</v>
      </c>
      <c r="AH106" s="626">
        <v>1024.2577633922085</v>
      </c>
      <c r="AI106" s="626">
        <v>1086.0143434220083</v>
      </c>
      <c r="AJ106" s="626">
        <v>1147.7709234518081</v>
      </c>
      <c r="AK106" s="626">
        <v>1209.5275034816079</v>
      </c>
    </row>
    <row r="107" spans="1:37">
      <c r="A107" s="625" t="s">
        <v>3284</v>
      </c>
      <c r="B107" s="626"/>
      <c r="C107" s="626"/>
      <c r="D107" s="626"/>
      <c r="E107" s="626"/>
      <c r="F107" s="626"/>
      <c r="G107" s="626"/>
      <c r="H107" s="626"/>
      <c r="I107" s="626"/>
      <c r="J107" s="626">
        <v>0</v>
      </c>
      <c r="K107" s="626">
        <v>0</v>
      </c>
      <c r="L107" s="626">
        <v>0</v>
      </c>
      <c r="M107" s="626">
        <v>15.714842035479901</v>
      </c>
      <c r="N107" s="626">
        <v>31.42968408107</v>
      </c>
      <c r="O107" s="626">
        <v>32.507959474319996</v>
      </c>
      <c r="P107" s="626">
        <v>34.529664669740001</v>
      </c>
      <c r="Q107" s="626">
        <v>35.473094471399996</v>
      </c>
      <c r="R107" s="626">
        <v>35.473094471399996</v>
      </c>
      <c r="S107" s="626">
        <v>35.473094471399996</v>
      </c>
      <c r="T107" s="626">
        <v>50.677345357299906</v>
      </c>
      <c r="U107" s="626">
        <v>50.677345357299906</v>
      </c>
      <c r="V107" s="626">
        <v>50.677345357299906</v>
      </c>
      <c r="W107" s="626">
        <v>50.677345357299906</v>
      </c>
      <c r="X107" s="626">
        <v>50.677345357299906</v>
      </c>
      <c r="Y107" s="626">
        <v>56.216962692499905</v>
      </c>
      <c r="Z107" s="626">
        <v>61.756580029799906</v>
      </c>
      <c r="AA107" s="626">
        <v>61.756580029799906</v>
      </c>
      <c r="AB107" s="626">
        <v>61.756580029799906</v>
      </c>
      <c r="AC107" s="626">
        <v>61.756580029799906</v>
      </c>
      <c r="AD107" s="626">
        <v>61.756580029799906</v>
      </c>
      <c r="AE107" s="626">
        <v>61.756580029799906</v>
      </c>
      <c r="AF107" s="626">
        <v>61.756580029799906</v>
      </c>
      <c r="AG107" s="626">
        <v>61.756580029799906</v>
      </c>
      <c r="AH107" s="626">
        <v>61.756580029799906</v>
      </c>
      <c r="AI107" s="626">
        <v>61.756580029799906</v>
      </c>
      <c r="AJ107" s="626">
        <v>61.756580029799906</v>
      </c>
      <c r="AK107" s="626">
        <v>274.04001156399903</v>
      </c>
    </row>
    <row r="108" spans="1:37">
      <c r="A108" s="625" t="s">
        <v>1886</v>
      </c>
      <c r="B108" s="626"/>
      <c r="C108" s="626"/>
      <c r="D108" s="626"/>
      <c r="E108" s="626"/>
      <c r="F108" s="626"/>
      <c r="G108" s="626"/>
      <c r="H108" s="626"/>
      <c r="I108" s="626"/>
      <c r="J108" s="626">
        <v>0</v>
      </c>
      <c r="K108" s="626">
        <v>0</v>
      </c>
      <c r="L108" s="626">
        <v>0</v>
      </c>
      <c r="M108" s="626">
        <v>15.714842035479901</v>
      </c>
      <c r="N108" s="626">
        <v>47.144526116549898</v>
      </c>
      <c r="O108" s="626">
        <v>79.652485590869901</v>
      </c>
      <c r="P108" s="626">
        <v>114.1821502606099</v>
      </c>
      <c r="Q108" s="626">
        <v>149.65524473200989</v>
      </c>
      <c r="R108" s="626">
        <v>185.12833920340989</v>
      </c>
      <c r="S108" s="626">
        <v>220.6014336748099</v>
      </c>
      <c r="T108" s="626">
        <v>271.27877903210981</v>
      </c>
      <c r="U108" s="626">
        <v>321.95612438940969</v>
      </c>
      <c r="V108" s="626">
        <v>372.63346974670958</v>
      </c>
      <c r="W108" s="626">
        <v>423.31081510400946</v>
      </c>
      <c r="X108" s="626">
        <v>473.98816046130935</v>
      </c>
      <c r="Y108" s="626">
        <v>530.20512315380927</v>
      </c>
      <c r="Z108" s="626">
        <v>591.96170318360919</v>
      </c>
      <c r="AA108" s="626">
        <v>653.71828321340911</v>
      </c>
      <c r="AB108" s="626">
        <v>715.47486324320903</v>
      </c>
      <c r="AC108" s="626">
        <v>777.23144327300895</v>
      </c>
      <c r="AD108" s="626">
        <v>838.98802330280887</v>
      </c>
      <c r="AE108" s="626">
        <v>900.74460333260879</v>
      </c>
      <c r="AF108" s="626">
        <v>962.50118336240871</v>
      </c>
      <c r="AG108" s="626">
        <v>1024.2577633922085</v>
      </c>
      <c r="AH108" s="626">
        <v>1086.0143434220083</v>
      </c>
      <c r="AI108" s="626">
        <v>1147.7709234518081</v>
      </c>
      <c r="AJ108" s="626">
        <v>1209.5275034816079</v>
      </c>
      <c r="AK108" s="626">
        <v>1483.567515045607</v>
      </c>
    </row>
    <row r="109" spans="1:37">
      <c r="A109" s="625" t="s">
        <v>3285</v>
      </c>
      <c r="B109" s="626"/>
      <c r="C109" s="626"/>
      <c r="D109" s="626"/>
      <c r="E109" s="626"/>
      <c r="F109" s="626"/>
      <c r="G109" s="626"/>
      <c r="H109" s="626"/>
      <c r="I109" s="626"/>
      <c r="J109" s="626">
        <v>0</v>
      </c>
      <c r="K109" s="626">
        <v>0</v>
      </c>
      <c r="L109" s="626">
        <v>0</v>
      </c>
      <c r="M109" s="626">
        <v>0</v>
      </c>
      <c r="N109" s="626">
        <v>0</v>
      </c>
      <c r="O109" s="626">
        <v>0</v>
      </c>
      <c r="P109" s="626">
        <v>0</v>
      </c>
      <c r="Q109" s="626">
        <v>0</v>
      </c>
      <c r="R109" s="626">
        <v>0</v>
      </c>
      <c r="S109" s="626">
        <v>0</v>
      </c>
      <c r="T109" s="626">
        <v>0</v>
      </c>
      <c r="U109" s="626">
        <v>0</v>
      </c>
      <c r="V109" s="626">
        <v>0</v>
      </c>
      <c r="W109" s="626">
        <v>0</v>
      </c>
      <c r="X109" s="626">
        <v>0</v>
      </c>
      <c r="Y109" s="626">
        <v>0</v>
      </c>
      <c r="Z109" s="626">
        <v>0</v>
      </c>
      <c r="AA109" s="626">
        <v>0</v>
      </c>
      <c r="AB109" s="626">
        <v>0</v>
      </c>
      <c r="AC109" s="626">
        <v>0</v>
      </c>
      <c r="AD109" s="626">
        <v>0</v>
      </c>
      <c r="AE109" s="626">
        <v>0</v>
      </c>
      <c r="AF109" s="626">
        <v>0</v>
      </c>
      <c r="AG109" s="626">
        <v>0</v>
      </c>
      <c r="AH109" s="626">
        <v>0</v>
      </c>
      <c r="AI109" s="626">
        <v>0</v>
      </c>
      <c r="AJ109" s="626">
        <v>0</v>
      </c>
      <c r="AK109" s="626">
        <v>0</v>
      </c>
    </row>
    <row r="110" spans="1:37">
      <c r="A110" s="625" t="s">
        <v>3286</v>
      </c>
      <c r="B110" s="626"/>
      <c r="C110" s="626"/>
      <c r="D110" s="626"/>
      <c r="E110" s="626"/>
      <c r="F110" s="626"/>
      <c r="G110" s="626"/>
      <c r="H110" s="626"/>
      <c r="I110" s="626"/>
      <c r="J110" s="626">
        <v>0</v>
      </c>
      <c r="K110" s="626">
        <v>0</v>
      </c>
      <c r="L110" s="626">
        <v>0</v>
      </c>
      <c r="M110" s="626">
        <v>15.714842035479901</v>
      </c>
      <c r="N110" s="626">
        <v>47.144526116549898</v>
      </c>
      <c r="O110" s="626">
        <v>79.652485590869901</v>
      </c>
      <c r="P110" s="626">
        <v>114.1821502606099</v>
      </c>
      <c r="Q110" s="626">
        <v>149.65524473200989</v>
      </c>
      <c r="R110" s="626">
        <v>185.12833920340989</v>
      </c>
      <c r="S110" s="626">
        <v>220.6014336748099</v>
      </c>
      <c r="T110" s="626">
        <v>271.27877903210981</v>
      </c>
      <c r="U110" s="626">
        <v>321.95612438940969</v>
      </c>
      <c r="V110" s="626">
        <v>372.63346974670958</v>
      </c>
      <c r="W110" s="626">
        <v>423.31081510400946</v>
      </c>
      <c r="X110" s="626">
        <v>473.98816046130935</v>
      </c>
      <c r="Y110" s="626">
        <v>530.20512315380927</v>
      </c>
      <c r="Z110" s="626">
        <v>591.96170318360919</v>
      </c>
      <c r="AA110" s="626">
        <v>653.71828321340911</v>
      </c>
      <c r="AB110" s="626">
        <v>715.47486324320903</v>
      </c>
      <c r="AC110" s="626">
        <v>777.23144327300895</v>
      </c>
      <c r="AD110" s="626">
        <v>838.98802330280887</v>
      </c>
      <c r="AE110" s="626">
        <v>900.74460333260879</v>
      </c>
      <c r="AF110" s="626">
        <v>962.50118336240871</v>
      </c>
      <c r="AG110" s="626">
        <v>1024.2577633922085</v>
      </c>
      <c r="AH110" s="626">
        <v>1086.0143434220083</v>
      </c>
      <c r="AI110" s="626">
        <v>1147.7709234518081</v>
      </c>
      <c r="AJ110" s="626">
        <v>1209.5275034816079</v>
      </c>
      <c r="AK110" s="626">
        <v>1483.567515045607</v>
      </c>
    </row>
    <row r="111" spans="1:37">
      <c r="A111" s="624" t="s">
        <v>3304</v>
      </c>
    </row>
    <row r="112" spans="1:37">
      <c r="A112" s="625" t="s">
        <v>3283</v>
      </c>
      <c r="B112" s="626"/>
      <c r="C112" s="626"/>
      <c r="D112" s="626"/>
      <c r="E112" s="626"/>
      <c r="F112" s="626"/>
      <c r="G112" s="626"/>
      <c r="H112" s="626"/>
      <c r="I112" s="626"/>
      <c r="J112" s="626">
        <v>47.154600000000002</v>
      </c>
      <c r="K112" s="626">
        <v>49.774300803500005</v>
      </c>
      <c r="L112" s="626">
        <v>52.394001607000007</v>
      </c>
      <c r="M112" s="626">
        <v>55.013702410500009</v>
      </c>
      <c r="N112" s="626">
        <v>57.633403214000012</v>
      </c>
      <c r="O112" s="626">
        <v>60.253104017500014</v>
      </c>
      <c r="P112" s="626">
        <v>62.872804821000017</v>
      </c>
      <c r="Q112" s="626">
        <v>65.492505624500012</v>
      </c>
      <c r="R112" s="626">
        <v>68.112206428000007</v>
      </c>
      <c r="S112" s="626">
        <v>70.731907231500003</v>
      </c>
      <c r="T112" s="626">
        <v>73.351608034999998</v>
      </c>
      <c r="U112" s="626">
        <v>75.993764017999993</v>
      </c>
      <c r="V112" s="626">
        <v>78.635920000999988</v>
      </c>
      <c r="W112" s="626">
        <v>81.278075983999983</v>
      </c>
      <c r="X112" s="626">
        <v>83.920231966999978</v>
      </c>
      <c r="Y112" s="626">
        <v>86.562387949999973</v>
      </c>
      <c r="Z112" s="626">
        <v>89.204543932999968</v>
      </c>
      <c r="AA112" s="626">
        <v>91.846699915999963</v>
      </c>
      <c r="AB112" s="626">
        <v>94.488855898999958</v>
      </c>
      <c r="AC112" s="626">
        <v>97.131011881999953</v>
      </c>
      <c r="AD112" s="626">
        <v>99.773167864999948</v>
      </c>
      <c r="AE112" s="626">
        <v>102.41532384799994</v>
      </c>
      <c r="AF112" s="626">
        <v>105.05747983099994</v>
      </c>
      <c r="AG112" s="626">
        <v>107.69963581399993</v>
      </c>
      <c r="AH112" s="626">
        <v>110.34179179699993</v>
      </c>
      <c r="AI112" s="626">
        <v>112.98394777999992</v>
      </c>
      <c r="AJ112" s="626">
        <v>115.62610376299992</v>
      </c>
      <c r="AK112" s="626">
        <v>118.26825974599991</v>
      </c>
    </row>
    <row r="113" spans="1:37">
      <c r="A113" s="625" t="s">
        <v>3284</v>
      </c>
      <c r="B113" s="626"/>
      <c r="C113" s="626"/>
      <c r="D113" s="626"/>
      <c r="E113" s="626"/>
      <c r="F113" s="626"/>
      <c r="G113" s="626"/>
      <c r="H113" s="626"/>
      <c r="I113" s="626"/>
      <c r="J113" s="626">
        <v>2.6197008034999998</v>
      </c>
      <c r="K113" s="626">
        <v>2.6197008034999998</v>
      </c>
      <c r="L113" s="626">
        <v>2.6197008034999998</v>
      </c>
      <c r="M113" s="626">
        <v>2.6197008034999998</v>
      </c>
      <c r="N113" s="626">
        <v>2.6197008034999998</v>
      </c>
      <c r="O113" s="626">
        <v>2.6197008034999998</v>
      </c>
      <c r="P113" s="626">
        <v>2.6197008034999998</v>
      </c>
      <c r="Q113" s="626">
        <v>2.6197008034999998</v>
      </c>
      <c r="R113" s="626">
        <v>2.6197008034999998</v>
      </c>
      <c r="S113" s="626">
        <v>2.6197008034999998</v>
      </c>
      <c r="T113" s="626">
        <v>2.6421559829999999</v>
      </c>
      <c r="U113" s="626">
        <v>2.6421559829999999</v>
      </c>
      <c r="V113" s="626">
        <v>2.6421559829999999</v>
      </c>
      <c r="W113" s="626">
        <v>2.6421559829999999</v>
      </c>
      <c r="X113" s="626">
        <v>2.6421559829999999</v>
      </c>
      <c r="Y113" s="626">
        <v>2.6421559829999999</v>
      </c>
      <c r="Z113" s="626">
        <v>2.6421559829999999</v>
      </c>
      <c r="AA113" s="626">
        <v>2.6421559829999999</v>
      </c>
      <c r="AB113" s="626">
        <v>2.6421559829999999</v>
      </c>
      <c r="AC113" s="626">
        <v>2.6421559829999999</v>
      </c>
      <c r="AD113" s="626">
        <v>2.6421559829999999</v>
      </c>
      <c r="AE113" s="626">
        <v>2.6421559829999999</v>
      </c>
      <c r="AF113" s="626">
        <v>2.6421559829999999</v>
      </c>
      <c r="AG113" s="626">
        <v>2.6421559829999999</v>
      </c>
      <c r="AH113" s="626">
        <v>2.6421559829999999</v>
      </c>
      <c r="AI113" s="626">
        <v>2.6421559829999999</v>
      </c>
      <c r="AJ113" s="626">
        <v>2.6421559829999999</v>
      </c>
      <c r="AK113" s="626">
        <v>2.6421559829999999</v>
      </c>
    </row>
    <row r="114" spans="1:37">
      <c r="A114" s="625" t="s">
        <v>1886</v>
      </c>
      <c r="B114" s="626"/>
      <c r="C114" s="626"/>
      <c r="D114" s="626"/>
      <c r="E114" s="626"/>
      <c r="F114" s="626"/>
      <c r="G114" s="626"/>
      <c r="H114" s="626"/>
      <c r="I114" s="626"/>
      <c r="J114" s="626">
        <v>49.774300803500005</v>
      </c>
      <c r="K114" s="626">
        <v>52.394001607000007</v>
      </c>
      <c r="L114" s="626">
        <v>55.013702410500009</v>
      </c>
      <c r="M114" s="626">
        <v>57.633403214000012</v>
      </c>
      <c r="N114" s="626">
        <v>60.253104017500014</v>
      </c>
      <c r="O114" s="626">
        <v>62.872804821000017</v>
      </c>
      <c r="P114" s="626">
        <v>65.492505624500012</v>
      </c>
      <c r="Q114" s="626">
        <v>68.112206428000007</v>
      </c>
      <c r="R114" s="626">
        <v>70.731907231500003</v>
      </c>
      <c r="S114" s="626">
        <v>73.351608034999998</v>
      </c>
      <c r="T114" s="626">
        <v>75.993764017999993</v>
      </c>
      <c r="U114" s="626">
        <v>78.635920000999988</v>
      </c>
      <c r="V114" s="626">
        <v>81.278075983999983</v>
      </c>
      <c r="W114" s="626">
        <v>83.920231966999978</v>
      </c>
      <c r="X114" s="626">
        <v>86.562387949999973</v>
      </c>
      <c r="Y114" s="626">
        <v>89.204543932999968</v>
      </c>
      <c r="Z114" s="626">
        <v>91.846699915999963</v>
      </c>
      <c r="AA114" s="626">
        <v>94.488855898999958</v>
      </c>
      <c r="AB114" s="626">
        <v>97.131011881999953</v>
      </c>
      <c r="AC114" s="626">
        <v>99.773167864999948</v>
      </c>
      <c r="AD114" s="626">
        <v>102.41532384799994</v>
      </c>
      <c r="AE114" s="626">
        <v>105.05747983099994</v>
      </c>
      <c r="AF114" s="626">
        <v>107.69963581399993</v>
      </c>
      <c r="AG114" s="626">
        <v>110.34179179699993</v>
      </c>
      <c r="AH114" s="626">
        <v>112.98394777999992</v>
      </c>
      <c r="AI114" s="626">
        <v>115.62610376299992</v>
      </c>
      <c r="AJ114" s="626">
        <v>118.26825974599991</v>
      </c>
      <c r="AK114" s="626">
        <v>120.91041572899991</v>
      </c>
    </row>
    <row r="115" spans="1:37">
      <c r="A115" s="625" t="s">
        <v>3285</v>
      </c>
      <c r="B115" s="626"/>
      <c r="C115" s="626"/>
      <c r="D115" s="626"/>
      <c r="E115" s="626"/>
      <c r="F115" s="626"/>
      <c r="G115" s="626"/>
      <c r="H115" s="626"/>
      <c r="I115" s="626"/>
      <c r="J115" s="626">
        <v>0</v>
      </c>
      <c r="K115" s="626">
        <v>0</v>
      </c>
      <c r="L115" s="626">
        <v>0</v>
      </c>
      <c r="M115" s="626">
        <v>0</v>
      </c>
      <c r="N115" s="626">
        <v>0</v>
      </c>
      <c r="O115" s="626">
        <v>0</v>
      </c>
      <c r="P115" s="626">
        <v>0</v>
      </c>
      <c r="Q115" s="626">
        <v>0</v>
      </c>
      <c r="R115" s="626">
        <v>0</v>
      </c>
      <c r="S115" s="626">
        <v>0</v>
      </c>
      <c r="T115" s="626">
        <v>0</v>
      </c>
      <c r="U115" s="626">
        <v>0</v>
      </c>
      <c r="V115" s="626">
        <v>0</v>
      </c>
      <c r="W115" s="626">
        <v>0</v>
      </c>
      <c r="X115" s="626">
        <v>0</v>
      </c>
      <c r="Y115" s="626">
        <v>0</v>
      </c>
      <c r="Z115" s="626">
        <v>0</v>
      </c>
      <c r="AA115" s="626">
        <v>0</v>
      </c>
      <c r="AB115" s="626">
        <v>0</v>
      </c>
      <c r="AC115" s="626">
        <v>0</v>
      </c>
      <c r="AD115" s="626">
        <v>0</v>
      </c>
      <c r="AE115" s="626">
        <v>0</v>
      </c>
      <c r="AF115" s="626">
        <v>0</v>
      </c>
      <c r="AG115" s="626">
        <v>0</v>
      </c>
      <c r="AH115" s="626">
        <v>0</v>
      </c>
      <c r="AI115" s="626">
        <v>0</v>
      </c>
      <c r="AJ115" s="626">
        <v>0</v>
      </c>
      <c r="AK115" s="626">
        <v>0</v>
      </c>
    </row>
    <row r="116" spans="1:37">
      <c r="A116" s="625" t="s">
        <v>3286</v>
      </c>
      <c r="B116" s="626"/>
      <c r="C116" s="626"/>
      <c r="D116" s="626"/>
      <c r="E116" s="626"/>
      <c r="F116" s="626"/>
      <c r="G116" s="626"/>
      <c r="H116" s="626"/>
      <c r="I116" s="626"/>
      <c r="J116" s="626">
        <v>49.774300803500005</v>
      </c>
      <c r="K116" s="626">
        <v>52.394001607000007</v>
      </c>
      <c r="L116" s="626">
        <v>55.013702410500009</v>
      </c>
      <c r="M116" s="626">
        <v>57.633403214000012</v>
      </c>
      <c r="N116" s="626">
        <v>60.253104017500014</v>
      </c>
      <c r="O116" s="626">
        <v>62.872804821000017</v>
      </c>
      <c r="P116" s="626">
        <v>65.492505624500012</v>
      </c>
      <c r="Q116" s="626">
        <v>68.112206428000007</v>
      </c>
      <c r="R116" s="626">
        <v>70.731907231500003</v>
      </c>
      <c r="S116" s="626">
        <v>73.351608034999998</v>
      </c>
      <c r="T116" s="626">
        <v>75.993764017999993</v>
      </c>
      <c r="U116" s="626">
        <v>78.635920000999988</v>
      </c>
      <c r="V116" s="626">
        <v>81.278075983999983</v>
      </c>
      <c r="W116" s="626">
        <v>83.920231966999978</v>
      </c>
      <c r="X116" s="626">
        <v>86.562387949999973</v>
      </c>
      <c r="Y116" s="626">
        <v>89.204543932999968</v>
      </c>
      <c r="Z116" s="626">
        <v>91.846699915999963</v>
      </c>
      <c r="AA116" s="626">
        <v>94.488855898999958</v>
      </c>
      <c r="AB116" s="626">
        <v>97.131011881999953</v>
      </c>
      <c r="AC116" s="626">
        <v>99.773167864999948</v>
      </c>
      <c r="AD116" s="626">
        <v>102.41532384799994</v>
      </c>
      <c r="AE116" s="626">
        <v>105.05747983099994</v>
      </c>
      <c r="AF116" s="626">
        <v>107.69963581399993</v>
      </c>
      <c r="AG116" s="626">
        <v>110.34179179699993</v>
      </c>
      <c r="AH116" s="626">
        <v>112.98394777999992</v>
      </c>
      <c r="AI116" s="626">
        <v>115.62610376299992</v>
      </c>
      <c r="AJ116" s="626">
        <v>118.26825974599991</v>
      </c>
      <c r="AK116" s="626">
        <v>120.91041572899991</v>
      </c>
    </row>
    <row r="117" spans="1:37">
      <c r="A117" s="624" t="s">
        <v>3305</v>
      </c>
    </row>
    <row r="118" spans="1:37">
      <c r="A118" s="625" t="s">
        <v>3283</v>
      </c>
      <c r="B118" s="626"/>
      <c r="C118" s="626"/>
      <c r="D118" s="626"/>
      <c r="E118" s="626"/>
      <c r="F118" s="626"/>
      <c r="G118" s="626"/>
      <c r="H118" s="626"/>
      <c r="I118" s="626"/>
      <c r="J118" s="626">
        <v>197.67429000000001</v>
      </c>
      <c r="K118" s="626">
        <v>216.890470431126</v>
      </c>
      <c r="L118" s="626">
        <v>236.106650862252</v>
      </c>
      <c r="M118" s="626">
        <v>255.32283129337799</v>
      </c>
      <c r="N118" s="626">
        <v>274.53901172450401</v>
      </c>
      <c r="O118" s="626">
        <v>293.75519215563003</v>
      </c>
      <c r="P118" s="626">
        <v>312.97137258675605</v>
      </c>
      <c r="Q118" s="626">
        <v>332.18755301788207</v>
      </c>
      <c r="R118" s="626">
        <v>351.40373344900809</v>
      </c>
      <c r="S118" s="626">
        <v>370.61991388013411</v>
      </c>
      <c r="T118" s="626">
        <v>389.83609431126013</v>
      </c>
      <c r="U118" s="626">
        <v>416.30402761919612</v>
      </c>
      <c r="V118" s="626">
        <v>442.77196092713211</v>
      </c>
      <c r="W118" s="626">
        <v>469.23989423506811</v>
      </c>
      <c r="X118" s="626">
        <v>495.7078275430041</v>
      </c>
      <c r="Y118" s="626">
        <v>522.17576085094015</v>
      </c>
      <c r="Z118" s="626">
        <v>548.6436941588762</v>
      </c>
      <c r="AA118" s="626">
        <v>575.11162746681225</v>
      </c>
      <c r="AB118" s="626">
        <v>601.5795607747483</v>
      </c>
      <c r="AC118" s="626">
        <v>628.04749408268435</v>
      </c>
      <c r="AD118" s="626">
        <v>654.5154273906204</v>
      </c>
      <c r="AE118" s="626">
        <v>680.98336069855645</v>
      </c>
      <c r="AF118" s="626">
        <v>707.4512940064925</v>
      </c>
      <c r="AG118" s="626">
        <v>733.91922731442855</v>
      </c>
      <c r="AH118" s="626">
        <v>760.3871606223646</v>
      </c>
      <c r="AI118" s="626">
        <v>786.85509393030065</v>
      </c>
      <c r="AJ118" s="626">
        <v>813.3230272382367</v>
      </c>
      <c r="AK118" s="626">
        <v>839.79096054617276</v>
      </c>
    </row>
    <row r="119" spans="1:37">
      <c r="A119" s="625" t="s">
        <v>3284</v>
      </c>
      <c r="B119" s="626"/>
      <c r="C119" s="626"/>
      <c r="D119" s="626"/>
      <c r="E119" s="626"/>
      <c r="F119" s="626"/>
      <c r="G119" s="626"/>
      <c r="H119" s="626"/>
      <c r="I119" s="626"/>
      <c r="J119" s="626">
        <v>19.216180431125998</v>
      </c>
      <c r="K119" s="626">
        <v>19.216180431125998</v>
      </c>
      <c r="L119" s="626">
        <v>19.216180431125998</v>
      </c>
      <c r="M119" s="626">
        <v>19.216180431125998</v>
      </c>
      <c r="N119" s="626">
        <v>19.216180431125998</v>
      </c>
      <c r="O119" s="626">
        <v>19.216180431125998</v>
      </c>
      <c r="P119" s="626">
        <v>19.216180431125998</v>
      </c>
      <c r="Q119" s="626">
        <v>19.216180431125998</v>
      </c>
      <c r="R119" s="626">
        <v>19.216180431125998</v>
      </c>
      <c r="S119" s="626">
        <v>19.216180431125998</v>
      </c>
      <c r="T119" s="626">
        <v>26.467933307936001</v>
      </c>
      <c r="U119" s="626">
        <v>26.467933307936001</v>
      </c>
      <c r="V119" s="626">
        <v>26.467933307936001</v>
      </c>
      <c r="W119" s="626">
        <v>26.467933307936001</v>
      </c>
      <c r="X119" s="626">
        <v>26.467933307936001</v>
      </c>
      <c r="Y119" s="626">
        <v>26.467933307936001</v>
      </c>
      <c r="Z119" s="626">
        <v>26.467933307936001</v>
      </c>
      <c r="AA119" s="626">
        <v>26.467933307936001</v>
      </c>
      <c r="AB119" s="626">
        <v>26.467933307936001</v>
      </c>
      <c r="AC119" s="626">
        <v>26.467933307936001</v>
      </c>
      <c r="AD119" s="626">
        <v>26.467933307936001</v>
      </c>
      <c r="AE119" s="626">
        <v>26.467933307936001</v>
      </c>
      <c r="AF119" s="626">
        <v>26.467933307936001</v>
      </c>
      <c r="AG119" s="626">
        <v>26.467933307936001</v>
      </c>
      <c r="AH119" s="626">
        <v>26.467933307936001</v>
      </c>
      <c r="AI119" s="626">
        <v>26.467933307936001</v>
      </c>
      <c r="AJ119" s="626">
        <v>26.467933307936001</v>
      </c>
      <c r="AK119" s="626">
        <v>26.467933307936001</v>
      </c>
    </row>
    <row r="120" spans="1:37">
      <c r="A120" s="625" t="s">
        <v>1886</v>
      </c>
      <c r="B120" s="626"/>
      <c r="C120" s="626"/>
      <c r="D120" s="626"/>
      <c r="E120" s="626"/>
      <c r="F120" s="626"/>
      <c r="G120" s="626"/>
      <c r="H120" s="626"/>
      <c r="I120" s="626"/>
      <c r="J120" s="626">
        <v>216.890470431126</v>
      </c>
      <c r="K120" s="626">
        <v>236.106650862252</v>
      </c>
      <c r="L120" s="626">
        <v>255.32283129337799</v>
      </c>
      <c r="M120" s="626">
        <v>274.53901172450401</v>
      </c>
      <c r="N120" s="626">
        <v>293.75519215563003</v>
      </c>
      <c r="O120" s="626">
        <v>312.97137258675605</v>
      </c>
      <c r="P120" s="626">
        <v>332.18755301788207</v>
      </c>
      <c r="Q120" s="626">
        <v>351.40373344900809</v>
      </c>
      <c r="R120" s="626">
        <v>370.61991388013411</v>
      </c>
      <c r="S120" s="626">
        <v>389.83609431126013</v>
      </c>
      <c r="T120" s="626">
        <v>416.30402761919612</v>
      </c>
      <c r="U120" s="626">
        <v>442.77196092713211</v>
      </c>
      <c r="V120" s="626">
        <v>469.23989423506811</v>
      </c>
      <c r="W120" s="626">
        <v>495.7078275430041</v>
      </c>
      <c r="X120" s="626">
        <v>522.17576085094015</v>
      </c>
      <c r="Y120" s="626">
        <v>548.6436941588762</v>
      </c>
      <c r="Z120" s="626">
        <v>575.11162746681225</v>
      </c>
      <c r="AA120" s="626">
        <v>601.5795607747483</v>
      </c>
      <c r="AB120" s="626">
        <v>628.04749408268435</v>
      </c>
      <c r="AC120" s="626">
        <v>654.5154273906204</v>
      </c>
      <c r="AD120" s="626">
        <v>680.98336069855645</v>
      </c>
      <c r="AE120" s="626">
        <v>707.4512940064925</v>
      </c>
      <c r="AF120" s="626">
        <v>733.91922731442855</v>
      </c>
      <c r="AG120" s="626">
        <v>760.3871606223646</v>
      </c>
      <c r="AH120" s="626">
        <v>786.85509393030065</v>
      </c>
      <c r="AI120" s="626">
        <v>813.3230272382367</v>
      </c>
      <c r="AJ120" s="626">
        <v>839.79096054617276</v>
      </c>
      <c r="AK120" s="626">
        <v>866.25889385410881</v>
      </c>
    </row>
    <row r="121" spans="1:37">
      <c r="A121" s="625" t="s">
        <v>3285</v>
      </c>
      <c r="B121" s="626"/>
      <c r="C121" s="626"/>
      <c r="D121" s="626"/>
      <c r="E121" s="626"/>
      <c r="F121" s="626"/>
      <c r="G121" s="626"/>
      <c r="H121" s="626"/>
      <c r="I121" s="626"/>
      <c r="J121" s="626">
        <v>0</v>
      </c>
      <c r="K121" s="626">
        <v>0</v>
      </c>
      <c r="L121" s="626">
        <v>0</v>
      </c>
      <c r="M121" s="626">
        <v>0</v>
      </c>
      <c r="N121" s="626">
        <v>0</v>
      </c>
      <c r="O121" s="626">
        <v>0</v>
      </c>
      <c r="P121" s="626">
        <v>0</v>
      </c>
      <c r="Q121" s="626">
        <v>0</v>
      </c>
      <c r="R121" s="626">
        <v>0</v>
      </c>
      <c r="S121" s="626">
        <v>0</v>
      </c>
      <c r="T121" s="626">
        <v>0</v>
      </c>
      <c r="U121" s="626">
        <v>0</v>
      </c>
      <c r="V121" s="626">
        <v>0</v>
      </c>
      <c r="W121" s="626">
        <v>0</v>
      </c>
      <c r="X121" s="626">
        <v>0</v>
      </c>
      <c r="Y121" s="626">
        <v>0</v>
      </c>
      <c r="Z121" s="626">
        <v>0</v>
      </c>
      <c r="AA121" s="626">
        <v>0</v>
      </c>
      <c r="AB121" s="626">
        <v>0</v>
      </c>
      <c r="AC121" s="626">
        <v>0</v>
      </c>
      <c r="AD121" s="626">
        <v>0</v>
      </c>
      <c r="AE121" s="626">
        <v>0</v>
      </c>
      <c r="AF121" s="626">
        <v>0</v>
      </c>
      <c r="AG121" s="626">
        <v>0</v>
      </c>
      <c r="AH121" s="626">
        <v>0</v>
      </c>
      <c r="AI121" s="626">
        <v>0</v>
      </c>
      <c r="AJ121" s="626">
        <v>0</v>
      </c>
      <c r="AK121" s="626">
        <v>0</v>
      </c>
    </row>
    <row r="122" spans="1:37">
      <c r="A122" s="625" t="s">
        <v>3286</v>
      </c>
      <c r="B122" s="626"/>
      <c r="C122" s="626"/>
      <c r="D122" s="626"/>
      <c r="E122" s="626"/>
      <c r="F122" s="626"/>
      <c r="G122" s="626"/>
      <c r="H122" s="626"/>
      <c r="I122" s="626"/>
      <c r="J122" s="626">
        <v>216.890470431126</v>
      </c>
      <c r="K122" s="626">
        <v>236.106650862252</v>
      </c>
      <c r="L122" s="626">
        <v>255.32283129337799</v>
      </c>
      <c r="M122" s="626">
        <v>274.53901172450401</v>
      </c>
      <c r="N122" s="626">
        <v>293.75519215563003</v>
      </c>
      <c r="O122" s="626">
        <v>312.97137258675605</v>
      </c>
      <c r="P122" s="626">
        <v>332.18755301788207</v>
      </c>
      <c r="Q122" s="626">
        <v>351.40373344900809</v>
      </c>
      <c r="R122" s="626">
        <v>370.61991388013411</v>
      </c>
      <c r="S122" s="626">
        <v>389.83609431126013</v>
      </c>
      <c r="T122" s="626">
        <v>416.30402761919612</v>
      </c>
      <c r="U122" s="626">
        <v>442.77196092713211</v>
      </c>
      <c r="V122" s="626">
        <v>469.23989423506811</v>
      </c>
      <c r="W122" s="626">
        <v>495.7078275430041</v>
      </c>
      <c r="X122" s="626">
        <v>522.17576085094015</v>
      </c>
      <c r="Y122" s="626">
        <v>548.6436941588762</v>
      </c>
      <c r="Z122" s="626">
        <v>575.11162746681225</v>
      </c>
      <c r="AA122" s="626">
        <v>601.5795607747483</v>
      </c>
      <c r="AB122" s="626">
        <v>628.04749408268435</v>
      </c>
      <c r="AC122" s="626">
        <v>654.5154273906204</v>
      </c>
      <c r="AD122" s="626">
        <v>680.98336069855645</v>
      </c>
      <c r="AE122" s="626">
        <v>707.4512940064925</v>
      </c>
      <c r="AF122" s="626">
        <v>733.91922731442855</v>
      </c>
      <c r="AG122" s="626">
        <v>760.3871606223646</v>
      </c>
      <c r="AH122" s="626">
        <v>786.85509393030065</v>
      </c>
      <c r="AI122" s="626">
        <v>813.3230272382367</v>
      </c>
      <c r="AJ122" s="626">
        <v>839.79096054617276</v>
      </c>
      <c r="AK122" s="626">
        <v>866.25889385410881</v>
      </c>
    </row>
    <row r="123" spans="1:37">
      <c r="A123" s="624" t="s">
        <v>3306</v>
      </c>
    </row>
    <row r="124" spans="1:37">
      <c r="A124" s="625" t="s">
        <v>3283</v>
      </c>
      <c r="B124" s="626"/>
      <c r="C124" s="626"/>
      <c r="D124" s="626"/>
      <c r="E124" s="626"/>
      <c r="F124" s="626"/>
      <c r="G124" s="626"/>
      <c r="H124" s="626"/>
      <c r="I124" s="626"/>
      <c r="J124" s="626">
        <v>0</v>
      </c>
      <c r="K124" s="626">
        <v>0</v>
      </c>
      <c r="L124" s="626">
        <v>3.0927874999999996</v>
      </c>
      <c r="M124" s="626">
        <v>9.2783624999999983</v>
      </c>
      <c r="N124" s="626">
        <v>15.463937499999997</v>
      </c>
      <c r="O124" s="626">
        <v>21.649512499999997</v>
      </c>
      <c r="P124" s="626">
        <v>27.835087499999997</v>
      </c>
      <c r="Q124" s="626">
        <v>34.020662499999993</v>
      </c>
      <c r="R124" s="626">
        <v>40.206237499999993</v>
      </c>
      <c r="S124" s="626">
        <v>46.391812499999993</v>
      </c>
      <c r="T124" s="626">
        <v>52.577387499999993</v>
      </c>
      <c r="U124" s="626">
        <v>59.720541621999985</v>
      </c>
      <c r="V124" s="626">
        <v>66.863695743999969</v>
      </c>
      <c r="W124" s="626">
        <v>74.006849865999953</v>
      </c>
      <c r="X124" s="626">
        <v>81.150003987999938</v>
      </c>
      <c r="Y124" s="626">
        <v>88.293158109999922</v>
      </c>
      <c r="Z124" s="626">
        <v>95.436312231999906</v>
      </c>
      <c r="AA124" s="626">
        <v>102.57946635399989</v>
      </c>
      <c r="AB124" s="626">
        <v>109.72262047599988</v>
      </c>
      <c r="AC124" s="626">
        <v>116.86577459799986</v>
      </c>
      <c r="AD124" s="626">
        <v>124.00892871999984</v>
      </c>
      <c r="AE124" s="626">
        <v>131.15208284199983</v>
      </c>
      <c r="AF124" s="626">
        <v>138.29523696399983</v>
      </c>
      <c r="AG124" s="626">
        <v>145.43839108599983</v>
      </c>
      <c r="AH124" s="626">
        <v>152.58154520799982</v>
      </c>
      <c r="AI124" s="626">
        <v>159.72469932999982</v>
      </c>
      <c r="AJ124" s="626">
        <v>166.86785345199982</v>
      </c>
      <c r="AK124" s="626">
        <v>174.01100757399982</v>
      </c>
    </row>
    <row r="125" spans="1:37">
      <c r="A125" s="625" t="s">
        <v>3284</v>
      </c>
      <c r="B125" s="626"/>
      <c r="C125" s="626"/>
      <c r="D125" s="626"/>
      <c r="E125" s="626"/>
      <c r="F125" s="626"/>
      <c r="G125" s="626"/>
      <c r="H125" s="626"/>
      <c r="I125" s="626"/>
      <c r="J125" s="626">
        <v>0</v>
      </c>
      <c r="K125" s="626">
        <v>3.0927874999999996</v>
      </c>
      <c r="L125" s="626">
        <v>6.1855749999999992</v>
      </c>
      <c r="M125" s="626">
        <v>6.1855749999999992</v>
      </c>
      <c r="N125" s="626">
        <v>6.1855749999999992</v>
      </c>
      <c r="O125" s="626">
        <v>6.1855749999999992</v>
      </c>
      <c r="P125" s="626">
        <v>6.1855749999999992</v>
      </c>
      <c r="Q125" s="626">
        <v>6.1855749999999992</v>
      </c>
      <c r="R125" s="626">
        <v>6.1855749999999992</v>
      </c>
      <c r="S125" s="626">
        <v>6.1855749999999992</v>
      </c>
      <c r="T125" s="626">
        <v>7.1431541219999897</v>
      </c>
      <c r="U125" s="626">
        <v>7.1431541219999897</v>
      </c>
      <c r="V125" s="626">
        <v>7.1431541219999897</v>
      </c>
      <c r="W125" s="626">
        <v>7.1431541219999897</v>
      </c>
      <c r="X125" s="626">
        <v>7.1431541219999897</v>
      </c>
      <c r="Y125" s="626">
        <v>7.1431541219999897</v>
      </c>
      <c r="Z125" s="626">
        <v>7.1431541219999897</v>
      </c>
      <c r="AA125" s="626">
        <v>7.1431541219999897</v>
      </c>
      <c r="AB125" s="626">
        <v>7.1431541219999897</v>
      </c>
      <c r="AC125" s="626">
        <v>7.1431541219999897</v>
      </c>
      <c r="AD125" s="626">
        <v>7.1431541219999897</v>
      </c>
      <c r="AE125" s="626">
        <v>7.1431541219999897</v>
      </c>
      <c r="AF125" s="626">
        <v>7.1431541219999897</v>
      </c>
      <c r="AG125" s="626">
        <v>7.1431541219999897</v>
      </c>
      <c r="AH125" s="626">
        <v>7.1431541219999897</v>
      </c>
      <c r="AI125" s="626">
        <v>7.1431541219999897</v>
      </c>
      <c r="AJ125" s="626">
        <v>7.1431541219999897</v>
      </c>
      <c r="AK125" s="626">
        <v>7.1431541219999897</v>
      </c>
    </row>
    <row r="126" spans="1:37">
      <c r="A126" s="625" t="s">
        <v>1886</v>
      </c>
      <c r="B126" s="626"/>
      <c r="C126" s="626"/>
      <c r="D126" s="626"/>
      <c r="E126" s="626"/>
      <c r="F126" s="626"/>
      <c r="G126" s="626"/>
      <c r="H126" s="626"/>
      <c r="I126" s="626"/>
      <c r="J126" s="626">
        <v>0</v>
      </c>
      <c r="K126" s="626">
        <v>3.0927874999999996</v>
      </c>
      <c r="L126" s="626">
        <v>9.2783624999999983</v>
      </c>
      <c r="M126" s="626">
        <v>15.463937499999997</v>
      </c>
      <c r="N126" s="626">
        <v>21.649512499999997</v>
      </c>
      <c r="O126" s="626">
        <v>27.835087499999997</v>
      </c>
      <c r="P126" s="626">
        <v>34.020662499999993</v>
      </c>
      <c r="Q126" s="626">
        <v>40.206237499999993</v>
      </c>
      <c r="R126" s="626">
        <v>46.391812499999993</v>
      </c>
      <c r="S126" s="626">
        <v>52.577387499999993</v>
      </c>
      <c r="T126" s="626">
        <v>59.720541621999985</v>
      </c>
      <c r="U126" s="626">
        <v>66.863695743999969</v>
      </c>
      <c r="V126" s="626">
        <v>74.006849865999953</v>
      </c>
      <c r="W126" s="626">
        <v>81.150003987999938</v>
      </c>
      <c r="X126" s="626">
        <v>88.293158109999922</v>
      </c>
      <c r="Y126" s="626">
        <v>95.436312231999906</v>
      </c>
      <c r="Z126" s="626">
        <v>102.57946635399989</v>
      </c>
      <c r="AA126" s="626">
        <v>109.72262047599988</v>
      </c>
      <c r="AB126" s="626">
        <v>116.86577459799986</v>
      </c>
      <c r="AC126" s="626">
        <v>124.00892871999984</v>
      </c>
      <c r="AD126" s="626">
        <v>131.15208284199983</v>
      </c>
      <c r="AE126" s="626">
        <v>138.29523696399983</v>
      </c>
      <c r="AF126" s="626">
        <v>145.43839108599983</v>
      </c>
      <c r="AG126" s="626">
        <v>152.58154520799982</v>
      </c>
      <c r="AH126" s="626">
        <v>159.72469932999982</v>
      </c>
      <c r="AI126" s="626">
        <v>166.86785345199982</v>
      </c>
      <c r="AJ126" s="626">
        <v>174.01100757399982</v>
      </c>
      <c r="AK126" s="626">
        <v>181.15416169599982</v>
      </c>
    </row>
    <row r="127" spans="1:37">
      <c r="A127" s="625" t="s">
        <v>3285</v>
      </c>
      <c r="B127" s="626"/>
      <c r="C127" s="626"/>
      <c r="D127" s="626"/>
      <c r="E127" s="626"/>
      <c r="F127" s="626"/>
      <c r="G127" s="626"/>
      <c r="H127" s="626"/>
      <c r="I127" s="626"/>
      <c r="J127" s="626">
        <v>0</v>
      </c>
      <c r="K127" s="626">
        <v>0</v>
      </c>
      <c r="L127" s="626">
        <v>0</v>
      </c>
      <c r="M127" s="626">
        <v>0</v>
      </c>
      <c r="N127" s="626">
        <v>0</v>
      </c>
      <c r="O127" s="626">
        <v>0</v>
      </c>
      <c r="P127" s="626">
        <v>0</v>
      </c>
      <c r="Q127" s="626">
        <v>0</v>
      </c>
      <c r="R127" s="626">
        <v>0</v>
      </c>
      <c r="S127" s="626">
        <v>0</v>
      </c>
      <c r="T127" s="626">
        <v>0</v>
      </c>
      <c r="U127" s="626">
        <v>0</v>
      </c>
      <c r="V127" s="626">
        <v>0</v>
      </c>
      <c r="W127" s="626">
        <v>0</v>
      </c>
      <c r="X127" s="626">
        <v>0</v>
      </c>
      <c r="Y127" s="626">
        <v>0</v>
      </c>
      <c r="Z127" s="626">
        <v>0</v>
      </c>
      <c r="AA127" s="626">
        <v>0</v>
      </c>
      <c r="AB127" s="626">
        <v>0</v>
      </c>
      <c r="AC127" s="626">
        <v>0</v>
      </c>
      <c r="AD127" s="626">
        <v>0</v>
      </c>
      <c r="AE127" s="626">
        <v>0</v>
      </c>
      <c r="AF127" s="626">
        <v>0</v>
      </c>
      <c r="AG127" s="626">
        <v>0</v>
      </c>
      <c r="AH127" s="626">
        <v>0</v>
      </c>
      <c r="AI127" s="626">
        <v>0</v>
      </c>
      <c r="AJ127" s="626">
        <v>0</v>
      </c>
      <c r="AK127" s="626">
        <v>0</v>
      </c>
    </row>
    <row r="128" spans="1:37">
      <c r="A128" s="625" t="s">
        <v>3286</v>
      </c>
      <c r="B128" s="626"/>
      <c r="C128" s="626"/>
      <c r="D128" s="626"/>
      <c r="E128" s="626"/>
      <c r="F128" s="626"/>
      <c r="G128" s="626"/>
      <c r="H128" s="626"/>
      <c r="I128" s="626"/>
      <c r="J128" s="626">
        <v>0</v>
      </c>
      <c r="K128" s="626">
        <v>3.0927874999999996</v>
      </c>
      <c r="L128" s="626">
        <v>9.2783624999999983</v>
      </c>
      <c r="M128" s="626">
        <v>15.463937499999997</v>
      </c>
      <c r="N128" s="626">
        <v>21.649512499999997</v>
      </c>
      <c r="O128" s="626">
        <v>27.835087499999997</v>
      </c>
      <c r="P128" s="626">
        <v>34.020662499999993</v>
      </c>
      <c r="Q128" s="626">
        <v>40.206237499999993</v>
      </c>
      <c r="R128" s="626">
        <v>46.391812499999993</v>
      </c>
      <c r="S128" s="626">
        <v>52.577387499999993</v>
      </c>
      <c r="T128" s="626">
        <v>59.720541621999985</v>
      </c>
      <c r="U128" s="626">
        <v>66.863695743999969</v>
      </c>
      <c r="V128" s="626">
        <v>74.006849865999953</v>
      </c>
      <c r="W128" s="626">
        <v>81.150003987999938</v>
      </c>
      <c r="X128" s="626">
        <v>88.293158109999922</v>
      </c>
      <c r="Y128" s="626">
        <v>95.436312231999906</v>
      </c>
      <c r="Z128" s="626">
        <v>102.57946635399989</v>
      </c>
      <c r="AA128" s="626">
        <v>109.72262047599988</v>
      </c>
      <c r="AB128" s="626">
        <v>116.86577459799986</v>
      </c>
      <c r="AC128" s="626">
        <v>124.00892871999984</v>
      </c>
      <c r="AD128" s="626">
        <v>131.15208284199983</v>
      </c>
      <c r="AE128" s="626">
        <v>138.29523696399983</v>
      </c>
      <c r="AF128" s="626">
        <v>145.43839108599983</v>
      </c>
      <c r="AG128" s="626">
        <v>152.58154520799982</v>
      </c>
      <c r="AH128" s="626">
        <v>159.72469932999982</v>
      </c>
      <c r="AI128" s="626">
        <v>166.86785345199982</v>
      </c>
      <c r="AJ128" s="626">
        <v>174.01100757399982</v>
      </c>
      <c r="AK128" s="626">
        <v>181.15416169599982</v>
      </c>
    </row>
    <row r="129" spans="1:37">
      <c r="A129" s="624" t="s">
        <v>3307</v>
      </c>
    </row>
    <row r="130" spans="1:37">
      <c r="A130" s="625" t="s">
        <v>3283</v>
      </c>
      <c r="B130" s="626"/>
      <c r="C130" s="626"/>
      <c r="D130" s="626"/>
      <c r="E130" s="626"/>
      <c r="F130" s="626"/>
      <c r="G130" s="626"/>
      <c r="H130" s="626"/>
      <c r="I130" s="626"/>
      <c r="J130" s="626">
        <v>65.898849999999996</v>
      </c>
      <c r="K130" s="626">
        <v>67.948192076436996</v>
      </c>
      <c r="L130" s="626">
        <v>69.997534152873996</v>
      </c>
      <c r="M130" s="626">
        <v>72.046876229310996</v>
      </c>
      <c r="N130" s="626">
        <v>74.096218305747996</v>
      </c>
      <c r="O130" s="626">
        <v>76.145560382184996</v>
      </c>
      <c r="P130" s="626">
        <v>78.194902458621996</v>
      </c>
      <c r="Q130" s="626">
        <v>80.244244535058996</v>
      </c>
      <c r="R130" s="626">
        <v>82.293586611495996</v>
      </c>
      <c r="S130" s="626">
        <v>84.342928687932996</v>
      </c>
      <c r="T130" s="626">
        <v>86.392270764369997</v>
      </c>
      <c r="U130" s="626">
        <v>88.448731405743999</v>
      </c>
      <c r="V130" s="626">
        <v>90.505192047118001</v>
      </c>
      <c r="W130" s="626">
        <v>92.561652688492003</v>
      </c>
      <c r="X130" s="626">
        <v>94.618113329866006</v>
      </c>
      <c r="Y130" s="626">
        <v>96.674573971240008</v>
      </c>
      <c r="Z130" s="626">
        <v>98.73103461261401</v>
      </c>
      <c r="AA130" s="626">
        <v>100.78749525398801</v>
      </c>
      <c r="AB130" s="626">
        <v>102.84395589536201</v>
      </c>
      <c r="AC130" s="626">
        <v>104.90041653673602</v>
      </c>
      <c r="AD130" s="626">
        <v>106.95687717811002</v>
      </c>
      <c r="AE130" s="626">
        <v>109.01333781948402</v>
      </c>
      <c r="AF130" s="626">
        <v>111.06979846085802</v>
      </c>
      <c r="AG130" s="626">
        <v>113.12625910223203</v>
      </c>
      <c r="AH130" s="626">
        <v>115.18271974360603</v>
      </c>
      <c r="AI130" s="626">
        <v>117.23918038498003</v>
      </c>
      <c r="AJ130" s="626">
        <v>119.29564102635403</v>
      </c>
      <c r="AK130" s="626">
        <v>121.35210166772804</v>
      </c>
    </row>
    <row r="131" spans="1:37">
      <c r="A131" s="625" t="s">
        <v>3284</v>
      </c>
      <c r="B131" s="626"/>
      <c r="C131" s="626"/>
      <c r="D131" s="626"/>
      <c r="E131" s="626"/>
      <c r="F131" s="626"/>
      <c r="G131" s="626"/>
      <c r="H131" s="626"/>
      <c r="I131" s="626"/>
      <c r="J131" s="626">
        <v>2.0493420764370001</v>
      </c>
      <c r="K131" s="626">
        <v>2.0493420764370001</v>
      </c>
      <c r="L131" s="626">
        <v>2.0493420764370001</v>
      </c>
      <c r="M131" s="626">
        <v>2.0493420764370001</v>
      </c>
      <c r="N131" s="626">
        <v>2.0493420764370001</v>
      </c>
      <c r="O131" s="626">
        <v>2.0493420764370001</v>
      </c>
      <c r="P131" s="626">
        <v>2.0493420764370001</v>
      </c>
      <c r="Q131" s="626">
        <v>2.0493420764370001</v>
      </c>
      <c r="R131" s="626">
        <v>2.0493420764370001</v>
      </c>
      <c r="S131" s="626">
        <v>2.0493420764370001</v>
      </c>
      <c r="T131" s="626">
        <v>2.0564606413740001</v>
      </c>
      <c r="U131" s="626">
        <v>2.0564606413740001</v>
      </c>
      <c r="V131" s="626">
        <v>2.0564606413740001</v>
      </c>
      <c r="W131" s="626">
        <v>2.0564606413740001</v>
      </c>
      <c r="X131" s="626">
        <v>2.0564606413740001</v>
      </c>
      <c r="Y131" s="626">
        <v>2.0564606413740001</v>
      </c>
      <c r="Z131" s="626">
        <v>2.0564606413740001</v>
      </c>
      <c r="AA131" s="626">
        <v>2.0564606413740001</v>
      </c>
      <c r="AB131" s="626">
        <v>2.0564606413740001</v>
      </c>
      <c r="AC131" s="626">
        <v>2.0564606413740001</v>
      </c>
      <c r="AD131" s="626">
        <v>2.0564606413740001</v>
      </c>
      <c r="AE131" s="626">
        <v>2.0564606413740001</v>
      </c>
      <c r="AF131" s="626">
        <v>2.0564606413740001</v>
      </c>
      <c r="AG131" s="626">
        <v>2.0564606413740001</v>
      </c>
      <c r="AH131" s="626">
        <v>2.0564606413740001</v>
      </c>
      <c r="AI131" s="626">
        <v>2.0564606413740001</v>
      </c>
      <c r="AJ131" s="626">
        <v>2.0564606413740001</v>
      </c>
      <c r="AK131" s="626">
        <v>2.0564606413740001</v>
      </c>
    </row>
    <row r="132" spans="1:37">
      <c r="A132" s="625" t="s">
        <v>1886</v>
      </c>
      <c r="B132" s="626"/>
      <c r="C132" s="626"/>
      <c r="D132" s="626"/>
      <c r="E132" s="626"/>
      <c r="F132" s="626"/>
      <c r="G132" s="626"/>
      <c r="H132" s="626"/>
      <c r="I132" s="626"/>
      <c r="J132" s="626">
        <v>67.948192076436996</v>
      </c>
      <c r="K132" s="626">
        <v>69.997534152873996</v>
      </c>
      <c r="L132" s="626">
        <v>72.046876229310996</v>
      </c>
      <c r="M132" s="626">
        <v>74.096218305747996</v>
      </c>
      <c r="N132" s="626">
        <v>76.145560382184996</v>
      </c>
      <c r="O132" s="626">
        <v>78.194902458621996</v>
      </c>
      <c r="P132" s="626">
        <v>80.244244535058996</v>
      </c>
      <c r="Q132" s="626">
        <v>82.293586611495996</v>
      </c>
      <c r="R132" s="626">
        <v>84.342928687932996</v>
      </c>
      <c r="S132" s="626">
        <v>86.392270764369997</v>
      </c>
      <c r="T132" s="626">
        <v>88.448731405743999</v>
      </c>
      <c r="U132" s="626">
        <v>90.505192047118001</v>
      </c>
      <c r="V132" s="626">
        <v>92.561652688492003</v>
      </c>
      <c r="W132" s="626">
        <v>94.618113329866006</v>
      </c>
      <c r="X132" s="626">
        <v>96.674573971240008</v>
      </c>
      <c r="Y132" s="626">
        <v>98.73103461261401</v>
      </c>
      <c r="Z132" s="626">
        <v>100.78749525398801</v>
      </c>
      <c r="AA132" s="626">
        <v>102.84395589536201</v>
      </c>
      <c r="AB132" s="626">
        <v>104.90041653673602</v>
      </c>
      <c r="AC132" s="626">
        <v>106.95687717811002</v>
      </c>
      <c r="AD132" s="626">
        <v>109.01333781948402</v>
      </c>
      <c r="AE132" s="626">
        <v>111.06979846085802</v>
      </c>
      <c r="AF132" s="626">
        <v>113.12625910223203</v>
      </c>
      <c r="AG132" s="626">
        <v>115.18271974360603</v>
      </c>
      <c r="AH132" s="626">
        <v>117.23918038498003</v>
      </c>
      <c r="AI132" s="626">
        <v>119.29564102635403</v>
      </c>
      <c r="AJ132" s="626">
        <v>121.35210166772804</v>
      </c>
      <c r="AK132" s="626">
        <v>123.40856230910204</v>
      </c>
    </row>
    <row r="133" spans="1:37">
      <c r="A133" s="625" t="s">
        <v>3285</v>
      </c>
      <c r="B133" s="626"/>
      <c r="C133" s="626"/>
      <c r="D133" s="626"/>
      <c r="E133" s="626"/>
      <c r="F133" s="626"/>
      <c r="G133" s="626"/>
      <c r="H133" s="626"/>
      <c r="I133" s="626"/>
      <c r="J133" s="626">
        <v>0</v>
      </c>
      <c r="K133" s="626">
        <v>0</v>
      </c>
      <c r="L133" s="626">
        <v>0</v>
      </c>
      <c r="M133" s="626">
        <v>0</v>
      </c>
      <c r="N133" s="626">
        <v>0</v>
      </c>
      <c r="O133" s="626">
        <v>0</v>
      </c>
      <c r="P133" s="626">
        <v>0</v>
      </c>
      <c r="Q133" s="626">
        <v>0</v>
      </c>
      <c r="R133" s="626">
        <v>0</v>
      </c>
      <c r="S133" s="626">
        <v>0</v>
      </c>
      <c r="T133" s="626">
        <v>0</v>
      </c>
      <c r="U133" s="626">
        <v>0</v>
      </c>
      <c r="V133" s="626">
        <v>0</v>
      </c>
      <c r="W133" s="626">
        <v>0</v>
      </c>
      <c r="X133" s="626">
        <v>0</v>
      </c>
      <c r="Y133" s="626">
        <v>0</v>
      </c>
      <c r="Z133" s="626">
        <v>0</v>
      </c>
      <c r="AA133" s="626">
        <v>0</v>
      </c>
      <c r="AB133" s="626">
        <v>0</v>
      </c>
      <c r="AC133" s="626">
        <v>0</v>
      </c>
      <c r="AD133" s="626">
        <v>0</v>
      </c>
      <c r="AE133" s="626">
        <v>0</v>
      </c>
      <c r="AF133" s="626">
        <v>0</v>
      </c>
      <c r="AG133" s="626">
        <v>0</v>
      </c>
      <c r="AH133" s="626">
        <v>0</v>
      </c>
      <c r="AI133" s="626">
        <v>0</v>
      </c>
      <c r="AJ133" s="626">
        <v>0</v>
      </c>
      <c r="AK133" s="626">
        <v>0</v>
      </c>
    </row>
    <row r="134" spans="1:37">
      <c r="A134" s="625" t="s">
        <v>3286</v>
      </c>
      <c r="B134" s="626"/>
      <c r="C134" s="626"/>
      <c r="D134" s="626"/>
      <c r="E134" s="626"/>
      <c r="F134" s="626"/>
      <c r="G134" s="626"/>
      <c r="H134" s="626"/>
      <c r="I134" s="626"/>
      <c r="J134" s="626">
        <v>67.948192076436996</v>
      </c>
      <c r="K134" s="626">
        <v>69.997534152873996</v>
      </c>
      <c r="L134" s="626">
        <v>72.046876229310996</v>
      </c>
      <c r="M134" s="626">
        <v>74.096218305747996</v>
      </c>
      <c r="N134" s="626">
        <v>76.145560382184996</v>
      </c>
      <c r="O134" s="626">
        <v>78.194902458621996</v>
      </c>
      <c r="P134" s="626">
        <v>80.244244535058996</v>
      </c>
      <c r="Q134" s="626">
        <v>82.293586611495996</v>
      </c>
      <c r="R134" s="626">
        <v>84.342928687932996</v>
      </c>
      <c r="S134" s="626">
        <v>86.392270764369997</v>
      </c>
      <c r="T134" s="626">
        <v>88.448731405743999</v>
      </c>
      <c r="U134" s="626">
        <v>90.505192047118001</v>
      </c>
      <c r="V134" s="626">
        <v>92.561652688492003</v>
      </c>
      <c r="W134" s="626">
        <v>94.618113329866006</v>
      </c>
      <c r="X134" s="626">
        <v>96.674573971240008</v>
      </c>
      <c r="Y134" s="626">
        <v>98.73103461261401</v>
      </c>
      <c r="Z134" s="626">
        <v>100.78749525398801</v>
      </c>
      <c r="AA134" s="626">
        <v>102.84395589536201</v>
      </c>
      <c r="AB134" s="626">
        <v>104.90041653673602</v>
      </c>
      <c r="AC134" s="626">
        <v>106.95687717811002</v>
      </c>
      <c r="AD134" s="626">
        <v>109.01333781948402</v>
      </c>
      <c r="AE134" s="626">
        <v>111.06979846085802</v>
      </c>
      <c r="AF134" s="626">
        <v>113.12625910223203</v>
      </c>
      <c r="AG134" s="626">
        <v>115.18271974360603</v>
      </c>
      <c r="AH134" s="626">
        <v>117.23918038498003</v>
      </c>
      <c r="AI134" s="626">
        <v>119.29564102635403</v>
      </c>
      <c r="AJ134" s="626">
        <v>121.35210166772804</v>
      </c>
      <c r="AK134" s="626">
        <v>123.40856230910204</v>
      </c>
    </row>
  </sheetData>
  <conditionalFormatting sqref="A1">
    <cfRule type="containsText" dxfId="0" priority="1" operator="containsText" text="Cost of">
      <formula>NOT(ISERROR(SEARCH("Cost of",A1)))</formula>
    </cfRule>
  </conditionalFormatting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AK28"/>
  <sheetViews>
    <sheetView workbookViewId="0"/>
  </sheetViews>
  <sheetFormatPr defaultColWidth="9" defaultRowHeight="15"/>
  <cols>
    <col min="1" max="1" width="52" style="515" bestFit="1" customWidth="1"/>
    <col min="2" max="8" width="9" style="515"/>
    <col min="9" max="9" width="8.44140625" style="515" bestFit="1" customWidth="1"/>
    <col min="10" max="10" width="9" style="515"/>
    <col min="11" max="12" width="8" style="515" customWidth="1"/>
    <col min="13" max="14" width="9" style="515"/>
    <col min="15" max="15" width="10.77734375" style="515" customWidth="1"/>
    <col min="16" max="31" width="9" style="515"/>
    <col min="32" max="32" width="13.109375" style="533" customWidth="1"/>
    <col min="33" max="36" width="9" style="533"/>
    <col min="37" max="37" width="9.88671875" style="533" bestFit="1" customWidth="1"/>
    <col min="38" max="16384" width="9" style="515"/>
  </cols>
  <sheetData>
    <row r="1" spans="1:37">
      <c r="A1" s="514" t="s">
        <v>2465</v>
      </c>
    </row>
    <row r="3" spans="1:37">
      <c r="A3" s="515" t="s">
        <v>2160</v>
      </c>
    </row>
    <row r="4" spans="1:37">
      <c r="A4" s="516"/>
      <c r="B4" s="516" t="s">
        <v>2326</v>
      </c>
      <c r="C4" s="516" t="s">
        <v>2327</v>
      </c>
      <c r="D4" s="516" t="s">
        <v>2328</v>
      </c>
      <c r="E4" s="516" t="s">
        <v>2329</v>
      </c>
      <c r="F4" s="516" t="s">
        <v>2330</v>
      </c>
      <c r="G4" s="516" t="s">
        <v>2331</v>
      </c>
      <c r="H4" s="516" t="s">
        <v>2332</v>
      </c>
      <c r="I4" s="516" t="s">
        <v>2333</v>
      </c>
      <c r="J4" s="516" t="s">
        <v>2334</v>
      </c>
      <c r="K4" s="516" t="s">
        <v>2335</v>
      </c>
      <c r="L4" s="516" t="s">
        <v>2336</v>
      </c>
      <c r="M4" s="516" t="s">
        <v>2337</v>
      </c>
      <c r="N4" s="516" t="s">
        <v>2338</v>
      </c>
      <c r="O4" s="516" t="s">
        <v>2339</v>
      </c>
      <c r="P4" s="516" t="s">
        <v>2391</v>
      </c>
      <c r="Q4" s="516" t="s">
        <v>2392</v>
      </c>
      <c r="R4" s="516" t="s">
        <v>2393</v>
      </c>
      <c r="S4" s="516" t="s">
        <v>2365</v>
      </c>
      <c r="T4" s="516" t="s">
        <v>2366</v>
      </c>
      <c r="U4" s="516" t="s">
        <v>2367</v>
      </c>
      <c r="V4" s="516" t="s">
        <v>2368</v>
      </c>
      <c r="W4" s="516" t="s">
        <v>2369</v>
      </c>
      <c r="X4" s="516" t="s">
        <v>2370</v>
      </c>
      <c r="Y4" s="516" t="s">
        <v>2371</v>
      </c>
      <c r="Z4" s="516" t="s">
        <v>2372</v>
      </c>
      <c r="AA4" s="516" t="s">
        <v>2373</v>
      </c>
      <c r="AB4" s="516" t="s">
        <v>2374</v>
      </c>
      <c r="AC4" s="516" t="s">
        <v>2375</v>
      </c>
      <c r="AD4" s="516" t="s">
        <v>2376</v>
      </c>
      <c r="AE4" s="516" t="s">
        <v>2377</v>
      </c>
      <c r="AF4" s="539" t="s">
        <v>2480</v>
      </c>
      <c r="AG4" s="534"/>
      <c r="AH4" s="534"/>
      <c r="AI4" s="534"/>
      <c r="AJ4" s="534"/>
      <c r="AK4" s="534"/>
    </row>
    <row r="5" spans="1:37" s="517" customFormat="1">
      <c r="A5" s="514" t="s">
        <v>2466</v>
      </c>
      <c r="B5" s="515"/>
      <c r="C5" s="515"/>
      <c r="D5" s="515"/>
      <c r="E5" s="515"/>
      <c r="F5" s="515"/>
      <c r="G5" s="515"/>
      <c r="H5" s="515"/>
      <c r="I5" s="515"/>
      <c r="J5" s="515"/>
      <c r="K5" s="515"/>
      <c r="L5" s="515"/>
      <c r="M5" s="515"/>
      <c r="N5" s="515"/>
      <c r="O5" s="515"/>
      <c r="P5" s="515"/>
      <c r="Q5" s="515"/>
      <c r="R5" s="515"/>
      <c r="S5" s="515"/>
      <c r="T5" s="515"/>
      <c r="U5" s="515"/>
      <c r="V5" s="515"/>
      <c r="W5" s="515"/>
      <c r="X5" s="515"/>
      <c r="Y5" s="515"/>
      <c r="Z5" s="515"/>
      <c r="AA5" s="515"/>
      <c r="AB5" s="515"/>
      <c r="AC5" s="515"/>
      <c r="AD5" s="515"/>
      <c r="AE5" s="515"/>
      <c r="AF5" s="540"/>
      <c r="AG5" s="533"/>
      <c r="AH5" s="533"/>
      <c r="AI5" s="533"/>
      <c r="AJ5" s="533"/>
      <c r="AK5" s="533"/>
    </row>
    <row r="6" spans="1:37" s="517" customFormat="1">
      <c r="A6" s="518" t="s">
        <v>2467</v>
      </c>
      <c r="B6" s="519">
        <v>0</v>
      </c>
      <c r="C6" s="519">
        <v>0</v>
      </c>
      <c r="D6" s="519">
        <v>0</v>
      </c>
      <c r="E6" s="519">
        <v>0</v>
      </c>
      <c r="F6" s="519">
        <v>0</v>
      </c>
      <c r="G6" s="519">
        <v>0</v>
      </c>
      <c r="H6" s="640">
        <v>748.32456999999999</v>
      </c>
      <c r="I6" s="640">
        <v>12.12091</v>
      </c>
      <c r="J6" s="640">
        <v>457.54597000000001</v>
      </c>
      <c r="K6" s="640">
        <v>427.63333</v>
      </c>
      <c r="L6" s="640">
        <v>427.63333</v>
      </c>
      <c r="M6" s="640">
        <v>604.74189000000001</v>
      </c>
      <c r="N6" s="640">
        <v>58.233330000000002</v>
      </c>
      <c r="O6" s="640">
        <v>58.233330000000002</v>
      </c>
      <c r="P6" s="640">
        <v>58.233330000000002</v>
      </c>
      <c r="Q6" s="640">
        <v>116.46666999999999</v>
      </c>
      <c r="R6" s="640">
        <v>116.46666999999999</v>
      </c>
      <c r="S6" s="640">
        <v>116.46666999999999</v>
      </c>
      <c r="T6" s="640">
        <v>618.53333999999995</v>
      </c>
      <c r="U6" s="640">
        <v>618.53333999999995</v>
      </c>
      <c r="V6" s="640">
        <v>618.53333999999995</v>
      </c>
      <c r="W6" s="640">
        <v>676.76666999999998</v>
      </c>
      <c r="X6" s="640">
        <v>676.76666999999998</v>
      </c>
      <c r="Y6" s="640">
        <v>676.76666999999998</v>
      </c>
      <c r="Z6" s="640">
        <v>921.83333000000005</v>
      </c>
      <c r="AA6" s="640">
        <v>921.83333000000005</v>
      </c>
      <c r="AB6" s="640">
        <v>921.83333000000005</v>
      </c>
      <c r="AC6" s="640">
        <v>1843.6666700000001</v>
      </c>
      <c r="AD6" s="640">
        <v>1843.6666700000001</v>
      </c>
      <c r="AE6" s="640">
        <v>1843.6666700000001</v>
      </c>
      <c r="AF6" s="540"/>
      <c r="AG6" s="535"/>
      <c r="AH6" s="535"/>
      <c r="AI6" s="535"/>
      <c r="AJ6" s="535"/>
      <c r="AK6" s="535"/>
    </row>
    <row r="7" spans="1:37" s="517" customFormat="1">
      <c r="A7" s="518" t="s">
        <v>2468</v>
      </c>
      <c r="B7" s="519">
        <v>0</v>
      </c>
      <c r="C7" s="519">
        <v>0</v>
      </c>
      <c r="D7" s="519">
        <v>0</v>
      </c>
      <c r="E7" s="519">
        <v>0</v>
      </c>
      <c r="F7" s="519">
        <v>0</v>
      </c>
      <c r="G7" s="519">
        <v>0</v>
      </c>
      <c r="H7" s="640">
        <v>3478.2575150600001</v>
      </c>
      <c r="I7" s="640">
        <v>712.15343494000001</v>
      </c>
      <c r="J7" s="640">
        <v>1430.89597</v>
      </c>
      <c r="K7" s="640">
        <v>1123.0176799999999</v>
      </c>
      <c r="L7" s="640">
        <v>1123.0176799999999</v>
      </c>
      <c r="M7" s="640">
        <v>1321.5180800000001</v>
      </c>
      <c r="N7" s="640">
        <v>419.33069999999998</v>
      </c>
      <c r="O7" s="640">
        <v>419.33069999999998</v>
      </c>
      <c r="P7" s="640">
        <v>419.33071000000001</v>
      </c>
      <c r="Q7" s="640">
        <v>838.66135999999995</v>
      </c>
      <c r="R7" s="640">
        <v>838.66137000000003</v>
      </c>
      <c r="S7" s="640">
        <v>838.66137000000003</v>
      </c>
      <c r="T7" s="640">
        <v>1341.6587099999999</v>
      </c>
      <c r="U7" s="640">
        <v>1341.6587</v>
      </c>
      <c r="V7" s="640">
        <v>1341.6587</v>
      </c>
      <c r="W7" s="640">
        <v>1760.98938</v>
      </c>
      <c r="X7" s="640">
        <v>1760.98939</v>
      </c>
      <c r="Y7" s="640">
        <v>1760.98937</v>
      </c>
      <c r="Z7" s="640">
        <v>792.13453000000004</v>
      </c>
      <c r="AA7" s="640">
        <v>792.13455999999996</v>
      </c>
      <c r="AB7" s="640">
        <v>792.13454000000002</v>
      </c>
      <c r="AC7" s="640">
        <v>1584.2692199999999</v>
      </c>
      <c r="AD7" s="640">
        <v>1584.26919</v>
      </c>
      <c r="AE7" s="640">
        <v>1584.2692</v>
      </c>
      <c r="AF7" s="540"/>
      <c r="AG7" s="535"/>
      <c r="AH7" s="535"/>
      <c r="AI7" s="535"/>
      <c r="AJ7" s="535"/>
      <c r="AK7" s="535"/>
    </row>
    <row r="8" spans="1:37" s="517" customFormat="1" ht="15.75" thickBot="1">
      <c r="A8" s="518" t="s">
        <v>2469</v>
      </c>
      <c r="B8" s="520">
        <f>SUM(B6:B7)</f>
        <v>0</v>
      </c>
      <c r="C8" s="520">
        <f t="shared" ref="C8:G8" si="0">SUM(C6:C7)</f>
        <v>0</v>
      </c>
      <c r="D8" s="520">
        <f t="shared" si="0"/>
        <v>0</v>
      </c>
      <c r="E8" s="520">
        <f t="shared" si="0"/>
        <v>0</v>
      </c>
      <c r="F8" s="520">
        <f t="shared" si="0"/>
        <v>0</v>
      </c>
      <c r="G8" s="520">
        <f t="shared" si="0"/>
        <v>0</v>
      </c>
      <c r="H8" s="641">
        <f t="shared" ref="H8:AE8" si="1">SUM(H6:H7)</f>
        <v>4226.5820850600003</v>
      </c>
      <c r="I8" s="641">
        <f t="shared" si="1"/>
        <v>724.27434493999999</v>
      </c>
      <c r="J8" s="641">
        <f t="shared" si="1"/>
        <v>1888.4419400000002</v>
      </c>
      <c r="K8" s="641">
        <f t="shared" si="1"/>
        <v>1550.65101</v>
      </c>
      <c r="L8" s="641">
        <f t="shared" si="1"/>
        <v>1550.65101</v>
      </c>
      <c r="M8" s="641">
        <f t="shared" si="1"/>
        <v>1926.2599700000001</v>
      </c>
      <c r="N8" s="641">
        <f t="shared" si="1"/>
        <v>477.56403</v>
      </c>
      <c r="O8" s="641">
        <f t="shared" si="1"/>
        <v>477.56403</v>
      </c>
      <c r="P8" s="641">
        <f t="shared" si="1"/>
        <v>477.56404000000003</v>
      </c>
      <c r="Q8" s="641">
        <f t="shared" si="1"/>
        <v>955.12802999999997</v>
      </c>
      <c r="R8" s="641">
        <f t="shared" si="1"/>
        <v>955.12804000000006</v>
      </c>
      <c r="S8" s="641">
        <f t="shared" si="1"/>
        <v>955.12804000000006</v>
      </c>
      <c r="T8" s="641">
        <f t="shared" si="1"/>
        <v>1960.1920499999999</v>
      </c>
      <c r="U8" s="641">
        <f t="shared" si="1"/>
        <v>1960.1920399999999</v>
      </c>
      <c r="V8" s="641">
        <f t="shared" si="1"/>
        <v>1960.1920399999999</v>
      </c>
      <c r="W8" s="641">
        <f t="shared" si="1"/>
        <v>2437.75605</v>
      </c>
      <c r="X8" s="641">
        <f t="shared" si="1"/>
        <v>2437.7560599999997</v>
      </c>
      <c r="Y8" s="641">
        <f t="shared" si="1"/>
        <v>2437.7560400000002</v>
      </c>
      <c r="Z8" s="641">
        <f t="shared" si="1"/>
        <v>1713.9678600000002</v>
      </c>
      <c r="AA8" s="641">
        <f t="shared" si="1"/>
        <v>1713.9678899999999</v>
      </c>
      <c r="AB8" s="641">
        <f t="shared" si="1"/>
        <v>1713.9678699999999</v>
      </c>
      <c r="AC8" s="641">
        <f t="shared" si="1"/>
        <v>3427.9358899999997</v>
      </c>
      <c r="AD8" s="641">
        <f t="shared" si="1"/>
        <v>3427.93586</v>
      </c>
      <c r="AE8" s="641">
        <f t="shared" si="1"/>
        <v>3427.9358700000003</v>
      </c>
      <c r="AF8" s="540"/>
      <c r="AG8" s="535"/>
      <c r="AH8" s="535"/>
      <c r="AI8" s="535"/>
      <c r="AJ8" s="535"/>
      <c r="AK8" s="535"/>
    </row>
    <row r="9" spans="1:37" ht="15.75" thickTop="1">
      <c r="A9" s="518"/>
      <c r="B9" s="519"/>
      <c r="C9" s="519"/>
      <c r="D9" s="519"/>
      <c r="E9" s="519"/>
      <c r="F9" s="519"/>
      <c r="G9" s="519"/>
      <c r="H9" s="640"/>
      <c r="I9" s="640"/>
      <c r="J9" s="640"/>
      <c r="K9" s="640"/>
      <c r="L9" s="640"/>
      <c r="M9" s="640"/>
      <c r="N9" s="640"/>
      <c r="O9" s="640"/>
      <c r="P9" s="640"/>
      <c r="Q9" s="640"/>
      <c r="R9" s="640"/>
      <c r="S9" s="640"/>
      <c r="T9" s="640"/>
      <c r="U9" s="640"/>
      <c r="V9" s="640"/>
      <c r="W9" s="640"/>
      <c r="X9" s="640"/>
      <c r="Y9" s="640"/>
      <c r="Z9" s="640"/>
      <c r="AA9" s="640"/>
      <c r="AB9" s="640"/>
      <c r="AC9" s="640"/>
      <c r="AD9" s="640"/>
      <c r="AE9" s="640"/>
      <c r="AF9" s="539"/>
      <c r="AG9" s="535"/>
      <c r="AH9" s="535"/>
      <c r="AI9" s="535"/>
      <c r="AJ9" s="535"/>
      <c r="AK9" s="535"/>
    </row>
    <row r="10" spans="1:37">
      <c r="A10" s="518" t="s">
        <v>2470</v>
      </c>
      <c r="B10" s="519">
        <v>0</v>
      </c>
      <c r="C10" s="519">
        <f>B10+C17</f>
        <v>0</v>
      </c>
      <c r="D10" s="519">
        <f t="shared" ref="D10:AE10" si="2">C10+D17</f>
        <v>0</v>
      </c>
      <c r="E10" s="519">
        <f t="shared" si="2"/>
        <v>0</v>
      </c>
      <c r="F10" s="519">
        <f t="shared" si="2"/>
        <v>0</v>
      </c>
      <c r="G10" s="519">
        <f t="shared" si="2"/>
        <v>0</v>
      </c>
      <c r="H10" s="640">
        <f t="shared" si="2"/>
        <v>-17.830229800200001</v>
      </c>
      <c r="I10" s="640">
        <f t="shared" si="2"/>
        <v>-38.144100050299102</v>
      </c>
      <c r="J10" s="640">
        <f t="shared" si="2"/>
        <v>-67.137142849596202</v>
      </c>
      <c r="K10" s="640">
        <f t="shared" si="2"/>
        <v>-103.5663756851533</v>
      </c>
      <c r="L10" s="640">
        <f t="shared" si="2"/>
        <v>-147.476081393497</v>
      </c>
      <c r="M10" s="640">
        <f t="shared" si="2"/>
        <v>-201.12413453736019</v>
      </c>
      <c r="N10" s="640">
        <f t="shared" si="2"/>
        <v>-256.70930126339317</v>
      </c>
      <c r="O10" s="640">
        <f t="shared" si="2"/>
        <v>-314.24096999160076</v>
      </c>
      <c r="P10" s="640">
        <f t="shared" si="2"/>
        <v>-373.72864324157933</v>
      </c>
      <c r="Q10" s="640">
        <f t="shared" si="2"/>
        <v>-437.14756357152453</v>
      </c>
      <c r="R10" s="640">
        <f t="shared" si="2"/>
        <v>-504.51720756918132</v>
      </c>
      <c r="S10" s="640">
        <f t="shared" si="2"/>
        <v>-575.8572955832185</v>
      </c>
      <c r="T10" s="640">
        <f t="shared" si="2"/>
        <v>-657.58308134031131</v>
      </c>
      <c r="U10" s="640">
        <f t="shared" si="2"/>
        <v>-749.76432150751191</v>
      </c>
      <c r="V10" s="640">
        <f t="shared" si="2"/>
        <v>-852.47189619905589</v>
      </c>
      <c r="W10" s="640">
        <f t="shared" si="2"/>
        <v>-967.80377785300584</v>
      </c>
      <c r="X10" s="640">
        <f t="shared" si="2"/>
        <v>-1095.8436982000758</v>
      </c>
      <c r="Y10" s="640">
        <f t="shared" si="2"/>
        <v>-1236.6767460204728</v>
      </c>
      <c r="Z10" s="640">
        <f t="shared" si="2"/>
        <v>-1389.3563632025719</v>
      </c>
      <c r="AA10" s="640">
        <f t="shared" si="2"/>
        <v>-1553.9820272572258</v>
      </c>
      <c r="AB10" s="640">
        <f t="shared" si="2"/>
        <v>-1730.6550765404518</v>
      </c>
      <c r="AC10" s="640">
        <f t="shared" si="2"/>
        <v>-1931.6294057813188</v>
      </c>
      <c r="AD10" s="640">
        <f t="shared" si="2"/>
        <v>-2157.1154702622389</v>
      </c>
      <c r="AE10" s="640">
        <f t="shared" si="2"/>
        <v>-2407.3277910232578</v>
      </c>
      <c r="AF10" s="539"/>
      <c r="AG10" s="535"/>
      <c r="AH10" s="535"/>
      <c r="AI10" s="535"/>
      <c r="AJ10" s="535"/>
      <c r="AK10" s="535"/>
    </row>
    <row r="11" spans="1:37">
      <c r="A11" s="518"/>
      <c r="B11" s="519"/>
      <c r="C11" s="519"/>
      <c r="D11" s="519"/>
      <c r="E11" s="519"/>
      <c r="F11" s="519"/>
      <c r="G11" s="519"/>
      <c r="H11" s="640"/>
      <c r="I11" s="640"/>
      <c r="J11" s="640"/>
      <c r="K11" s="640"/>
      <c r="L11" s="640"/>
      <c r="M11" s="640"/>
      <c r="N11" s="640"/>
      <c r="O11" s="640"/>
      <c r="P11" s="640"/>
      <c r="Q11" s="640"/>
      <c r="R11" s="640"/>
      <c r="S11" s="640"/>
      <c r="T11" s="640"/>
      <c r="U11" s="640"/>
      <c r="V11" s="640"/>
      <c r="W11" s="640"/>
      <c r="X11" s="640"/>
      <c r="Y11" s="640"/>
      <c r="Z11" s="640"/>
      <c r="AA11" s="640"/>
      <c r="AB11" s="640"/>
      <c r="AC11" s="640"/>
      <c r="AD11" s="640"/>
      <c r="AE11" s="640"/>
      <c r="AF11" s="539"/>
      <c r="AG11" s="535"/>
      <c r="AH11" s="535"/>
      <c r="AI11" s="535"/>
      <c r="AJ11" s="535"/>
      <c r="AK11" s="535"/>
    </row>
    <row r="12" spans="1:37">
      <c r="A12" s="521" t="s">
        <v>2471</v>
      </c>
      <c r="B12" s="522"/>
      <c r="C12" s="522"/>
      <c r="D12" s="522"/>
      <c r="E12" s="522"/>
      <c r="F12" s="522"/>
      <c r="G12" s="522"/>
      <c r="H12" s="642">
        <f>-SUM(H16:H18)*0.389</f>
        <v>0</v>
      </c>
      <c r="I12" s="642">
        <f>-SUM(I16:I18)*0.389</f>
        <v>0</v>
      </c>
      <c r="J12" s="642">
        <f>-SUM(J16:J18)*0.389</f>
        <v>0</v>
      </c>
      <c r="K12" s="642">
        <v>-52.047421495429298</v>
      </c>
      <c r="L12" s="642">
        <f>-SUM(L16:L18)*0.389</f>
        <v>-586.12236736945442</v>
      </c>
      <c r="M12" s="642">
        <f t="shared" ref="M12:AE12" si="3">-SUM(M16:M18)*0.389</f>
        <v>-728.44603565703721</v>
      </c>
      <c r="N12" s="642">
        <f t="shared" si="3"/>
        <v>-164.14977781357317</v>
      </c>
      <c r="O12" s="642">
        <f t="shared" si="3"/>
        <v>-163.39258853472725</v>
      </c>
      <c r="P12" s="642">
        <f t="shared" si="3"/>
        <v>-162.63170666575834</v>
      </c>
      <c r="Q12" s="642">
        <f t="shared" si="3"/>
        <v>-346.87484366165131</v>
      </c>
      <c r="R12" s="642">
        <f t="shared" si="3"/>
        <v>-345.33801604491151</v>
      </c>
      <c r="S12" s="642">
        <f t="shared" si="3"/>
        <v>-343.79351332253958</v>
      </c>
      <c r="T12" s="642">
        <f t="shared" si="3"/>
        <v>-3928.1952925420301</v>
      </c>
      <c r="U12" s="642">
        <f t="shared" si="3"/>
        <v>-726.65620113495902</v>
      </c>
      <c r="V12" s="642">
        <f t="shared" si="3"/>
        <v>-722.56145700498928</v>
      </c>
      <c r="W12" s="642">
        <f t="shared" si="3"/>
        <v>-903.42300148661343</v>
      </c>
      <c r="X12" s="642">
        <f t="shared" si="3"/>
        <v>-898.47957832498957</v>
      </c>
      <c r="Y12" s="642">
        <f t="shared" si="3"/>
        <v>-893.50304395786566</v>
      </c>
      <c r="Z12" s="642">
        <f t="shared" si="3"/>
        <v>-607.34112645616358</v>
      </c>
      <c r="AA12" s="642">
        <f t="shared" si="3"/>
        <v>-602.69412589273963</v>
      </c>
      <c r="AB12" s="642">
        <f t="shared" si="3"/>
        <v>-598.00768525882506</v>
      </c>
      <c r="AC12" s="642">
        <f t="shared" si="3"/>
        <v>-1255.2880471353026</v>
      </c>
      <c r="AD12" s="642">
        <f t="shared" si="3"/>
        <v>-1245.7529704569222</v>
      </c>
      <c r="AE12" s="642">
        <f t="shared" si="3"/>
        <v>-1236.1344606539637</v>
      </c>
      <c r="AF12" s="539"/>
      <c r="AG12" s="527"/>
      <c r="AH12" s="527"/>
      <c r="AI12" s="527"/>
      <c r="AJ12" s="527"/>
      <c r="AK12" s="527"/>
    </row>
    <row r="13" spans="1:37">
      <c r="A13" s="521"/>
      <c r="B13" s="522"/>
      <c r="C13" s="522"/>
      <c r="D13" s="522"/>
      <c r="E13" s="522"/>
      <c r="F13" s="522"/>
      <c r="G13" s="522"/>
      <c r="H13" s="642"/>
      <c r="I13" s="642"/>
      <c r="J13" s="642"/>
      <c r="K13" s="642"/>
      <c r="L13" s="642"/>
      <c r="M13" s="642"/>
      <c r="N13" s="642"/>
      <c r="O13" s="642"/>
      <c r="P13" s="642"/>
      <c r="Q13" s="642"/>
      <c r="R13" s="642"/>
      <c r="S13" s="642"/>
      <c r="T13" s="642"/>
      <c r="U13" s="642"/>
      <c r="V13" s="642"/>
      <c r="W13" s="642"/>
      <c r="X13" s="642"/>
      <c r="Y13" s="642"/>
      <c r="Z13" s="642"/>
      <c r="AA13" s="642"/>
      <c r="AB13" s="642"/>
      <c r="AC13" s="642"/>
      <c r="AD13" s="642"/>
      <c r="AE13" s="642"/>
      <c r="AF13" s="539"/>
      <c r="AG13" s="527"/>
      <c r="AH13" s="527"/>
      <c r="AI13" s="527"/>
      <c r="AJ13" s="527"/>
      <c r="AK13" s="527"/>
    </row>
    <row r="14" spans="1:37">
      <c r="A14" s="523" t="s">
        <v>2472</v>
      </c>
      <c r="B14" s="519"/>
      <c r="C14" s="519"/>
      <c r="D14" s="519"/>
      <c r="E14" s="519"/>
      <c r="F14" s="519"/>
      <c r="G14" s="519"/>
      <c r="H14" s="640"/>
      <c r="I14" s="640"/>
      <c r="J14" s="640"/>
      <c r="K14" s="640"/>
      <c r="L14" s="640"/>
      <c r="M14" s="640"/>
      <c r="N14" s="640"/>
      <c r="O14" s="640"/>
      <c r="P14" s="640"/>
      <c r="Q14" s="640"/>
      <c r="R14" s="640"/>
      <c r="S14" s="640"/>
      <c r="T14" s="640"/>
      <c r="U14" s="640"/>
      <c r="V14" s="640"/>
      <c r="W14" s="640"/>
      <c r="X14" s="640"/>
      <c r="Y14" s="640"/>
      <c r="Z14" s="640"/>
      <c r="AA14" s="640"/>
      <c r="AB14" s="640"/>
      <c r="AC14" s="640"/>
      <c r="AD14" s="640"/>
      <c r="AE14" s="640"/>
      <c r="AF14" s="539"/>
      <c r="AG14" s="535"/>
      <c r="AH14" s="535"/>
      <c r="AI14" s="535"/>
      <c r="AJ14" s="535"/>
      <c r="AK14" s="535"/>
    </row>
    <row r="15" spans="1:37">
      <c r="A15" s="518" t="s">
        <v>2473</v>
      </c>
      <c r="B15" s="519">
        <v>0</v>
      </c>
      <c r="C15" s="522">
        <f t="shared" ref="C15:G15" si="4">B19</f>
        <v>0</v>
      </c>
      <c r="D15" s="522">
        <f t="shared" si="4"/>
        <v>0</v>
      </c>
      <c r="E15" s="522">
        <f t="shared" si="4"/>
        <v>0</v>
      </c>
      <c r="F15" s="522">
        <f t="shared" si="4"/>
        <v>0</v>
      </c>
      <c r="G15" s="522">
        <f t="shared" si="4"/>
        <v>0</v>
      </c>
      <c r="H15" s="642">
        <f>G19</f>
        <v>0</v>
      </c>
      <c r="I15" s="642">
        <f t="shared" ref="I15:AE15" si="5">H19</f>
        <v>0</v>
      </c>
      <c r="J15" s="642">
        <f t="shared" si="5"/>
        <v>0</v>
      </c>
      <c r="K15" s="642">
        <f t="shared" si="5"/>
        <v>0</v>
      </c>
      <c r="L15" s="642">
        <f t="shared" si="5"/>
        <v>66.660855853307339</v>
      </c>
      <c r="M15" s="642">
        <f t="shared" si="5"/>
        <v>1573.4021601449638</v>
      </c>
      <c r="N15" s="642">
        <f t="shared" si="5"/>
        <v>3446.0140770011008</v>
      </c>
      <c r="O15" s="642">
        <f t="shared" si="5"/>
        <v>3867.9929402750677</v>
      </c>
      <c r="P15" s="642">
        <f t="shared" si="5"/>
        <v>4288.0253015468597</v>
      </c>
      <c r="Q15" s="642">
        <f t="shared" si="5"/>
        <v>4706.1016682968811</v>
      </c>
      <c r="R15" s="642">
        <f t="shared" si="5"/>
        <v>5597.8107779669353</v>
      </c>
      <c r="S15" s="642">
        <f t="shared" si="5"/>
        <v>6485.5691739692784</v>
      </c>
      <c r="T15" s="642">
        <f t="shared" si="5"/>
        <v>7369.3571259552418</v>
      </c>
      <c r="U15" s="642">
        <f t="shared" si="5"/>
        <v>17467.545538659688</v>
      </c>
      <c r="V15" s="642">
        <f t="shared" si="5"/>
        <v>19335.55633849249</v>
      </c>
      <c r="W15" s="642">
        <f t="shared" si="5"/>
        <v>21193.040803800948</v>
      </c>
      <c r="X15" s="642">
        <f t="shared" si="5"/>
        <v>23515.464972146998</v>
      </c>
      <c r="Y15" s="642">
        <f t="shared" si="5"/>
        <v>25825.181111799928</v>
      </c>
      <c r="Z15" s="642">
        <f t="shared" si="5"/>
        <v>28122.104103979531</v>
      </c>
      <c r="AA15" s="642">
        <f t="shared" si="5"/>
        <v>29683.392346797431</v>
      </c>
      <c r="AB15" s="642">
        <f t="shared" si="5"/>
        <v>31232.734572742778</v>
      </c>
      <c r="AC15" s="642">
        <f t="shared" si="5"/>
        <v>32770.029393459547</v>
      </c>
      <c r="AD15" s="642">
        <f t="shared" si="5"/>
        <v>35996.99095421868</v>
      </c>
      <c r="AE15" s="642">
        <f t="shared" si="5"/>
        <v>39199.440749737754</v>
      </c>
      <c r="AF15" s="539"/>
      <c r="AG15" s="527"/>
      <c r="AH15" s="527"/>
      <c r="AI15" s="527"/>
      <c r="AJ15" s="527"/>
      <c r="AK15" s="527"/>
    </row>
    <row r="16" spans="1:37">
      <c r="A16" s="524" t="s">
        <v>2474</v>
      </c>
      <c r="B16" s="522"/>
      <c r="C16" s="522"/>
      <c r="D16" s="522"/>
      <c r="E16" s="522"/>
      <c r="F16" s="522"/>
      <c r="G16" s="522"/>
      <c r="H16" s="642">
        <f t="shared" ref="H16:AE16" si="6">H8</f>
        <v>4226.5820850600003</v>
      </c>
      <c r="I16" s="642">
        <f t="shared" si="6"/>
        <v>724.27434493999999</v>
      </c>
      <c r="J16" s="642">
        <f t="shared" si="6"/>
        <v>1888.4419400000002</v>
      </c>
      <c r="K16" s="642">
        <f t="shared" si="6"/>
        <v>1550.65101</v>
      </c>
      <c r="L16" s="642">
        <f t="shared" si="6"/>
        <v>1550.65101</v>
      </c>
      <c r="M16" s="642">
        <f t="shared" si="6"/>
        <v>1926.2599700000001</v>
      </c>
      <c r="N16" s="642">
        <f t="shared" si="6"/>
        <v>477.56403</v>
      </c>
      <c r="O16" s="642">
        <f t="shared" si="6"/>
        <v>477.56403</v>
      </c>
      <c r="P16" s="642">
        <f t="shared" si="6"/>
        <v>477.56404000000003</v>
      </c>
      <c r="Q16" s="642">
        <f t="shared" si="6"/>
        <v>955.12802999999997</v>
      </c>
      <c r="R16" s="642">
        <f t="shared" si="6"/>
        <v>955.12804000000006</v>
      </c>
      <c r="S16" s="642">
        <f t="shared" si="6"/>
        <v>955.12804000000006</v>
      </c>
      <c r="T16" s="642">
        <f t="shared" si="6"/>
        <v>1960.1920499999999</v>
      </c>
      <c r="U16" s="642">
        <f t="shared" si="6"/>
        <v>1960.1920399999999</v>
      </c>
      <c r="V16" s="642">
        <f t="shared" si="6"/>
        <v>1960.1920399999999</v>
      </c>
      <c r="W16" s="642">
        <f t="shared" si="6"/>
        <v>2437.75605</v>
      </c>
      <c r="X16" s="642">
        <f t="shared" si="6"/>
        <v>2437.7560599999997</v>
      </c>
      <c r="Y16" s="642">
        <f t="shared" si="6"/>
        <v>2437.7560400000002</v>
      </c>
      <c r="Z16" s="642">
        <f t="shared" si="6"/>
        <v>1713.9678600000002</v>
      </c>
      <c r="AA16" s="642">
        <f t="shared" si="6"/>
        <v>1713.9678899999999</v>
      </c>
      <c r="AB16" s="642">
        <f t="shared" si="6"/>
        <v>1713.9678699999999</v>
      </c>
      <c r="AC16" s="642">
        <f t="shared" si="6"/>
        <v>3427.9358899999997</v>
      </c>
      <c r="AD16" s="642">
        <f t="shared" si="6"/>
        <v>3427.93586</v>
      </c>
      <c r="AE16" s="642">
        <f t="shared" si="6"/>
        <v>3427.9358700000003</v>
      </c>
      <c r="AF16" s="539"/>
      <c r="AG16" s="527"/>
      <c r="AH16" s="527"/>
      <c r="AI16" s="527"/>
      <c r="AJ16" s="527"/>
      <c r="AK16" s="527"/>
    </row>
    <row r="17" spans="1:37">
      <c r="A17" s="524" t="s">
        <v>2475</v>
      </c>
      <c r="B17" s="522"/>
      <c r="C17" s="522"/>
      <c r="D17" s="522"/>
      <c r="E17" s="522"/>
      <c r="F17" s="522"/>
      <c r="G17" s="522"/>
      <c r="H17" s="640">
        <v>-17.830229800200001</v>
      </c>
      <c r="I17" s="640">
        <v>-20.3138702500991</v>
      </c>
      <c r="J17" s="640">
        <v>-28.9930427992971</v>
      </c>
      <c r="K17" s="640">
        <v>-36.429232835557102</v>
      </c>
      <c r="L17" s="640">
        <v>-43.909705708343701</v>
      </c>
      <c r="M17" s="640">
        <v>-53.648053143863201</v>
      </c>
      <c r="N17" s="640">
        <v>-55.585166726033002</v>
      </c>
      <c r="O17" s="640">
        <v>-57.531668728207599</v>
      </c>
      <c r="P17" s="640">
        <v>-59.487673249978599</v>
      </c>
      <c r="Q17" s="640">
        <v>-63.418920329945202</v>
      </c>
      <c r="R17" s="640">
        <v>-67.369643997656794</v>
      </c>
      <c r="S17" s="640">
        <v>-71.340088014037207</v>
      </c>
      <c r="T17" s="640">
        <v>-81.725785757092794</v>
      </c>
      <c r="U17" s="640">
        <v>-92.181240167200599</v>
      </c>
      <c r="V17" s="640">
        <v>-102.707574691544</v>
      </c>
      <c r="W17" s="640">
        <v>-115.33188165395001</v>
      </c>
      <c r="X17" s="640">
        <v>-128.03992034706999</v>
      </c>
      <c r="Y17" s="640">
        <v>-140.83304782039701</v>
      </c>
      <c r="Z17" s="640">
        <v>-152.67961718209901</v>
      </c>
      <c r="AA17" s="640">
        <v>-164.62566405465401</v>
      </c>
      <c r="AB17" s="640">
        <v>-176.67304928322599</v>
      </c>
      <c r="AC17" s="640">
        <v>-200.97432924086701</v>
      </c>
      <c r="AD17" s="640">
        <v>-225.48606448091999</v>
      </c>
      <c r="AE17" s="640">
        <v>-250.21232076101899</v>
      </c>
      <c r="AF17" s="539"/>
      <c r="AG17" s="535"/>
      <c r="AH17" s="535"/>
      <c r="AI17" s="535"/>
      <c r="AJ17" s="535"/>
      <c r="AK17" s="535"/>
    </row>
    <row r="18" spans="1:37">
      <c r="A18" s="525" t="s">
        <v>2476</v>
      </c>
      <c r="B18" s="526"/>
      <c r="C18" s="526"/>
      <c r="D18" s="526"/>
      <c r="E18" s="526"/>
      <c r="F18" s="526"/>
      <c r="G18" s="526"/>
      <c r="H18" s="643">
        <v>-4208.7518552598003</v>
      </c>
      <c r="I18" s="643">
        <v>-703.96047468990093</v>
      </c>
      <c r="J18" s="643">
        <v>-1859.4488972007027</v>
      </c>
      <c r="K18" s="639">
        <v>-1447.5609213111356</v>
      </c>
      <c r="L18" s="643"/>
      <c r="M18" s="643"/>
      <c r="N18" s="643"/>
      <c r="O18" s="643"/>
      <c r="P18" s="643"/>
      <c r="Q18" s="643"/>
      <c r="R18" s="643"/>
      <c r="S18" s="643"/>
      <c r="T18" s="643">
        <f>-SUM(H18:K18)</f>
        <v>8219.7221484615402</v>
      </c>
      <c r="U18" s="643"/>
      <c r="V18" s="643"/>
      <c r="W18" s="643"/>
      <c r="X18" s="643"/>
      <c r="Y18" s="643"/>
      <c r="Z18" s="643"/>
      <c r="AA18" s="643"/>
      <c r="AB18" s="643"/>
      <c r="AC18" s="643"/>
      <c r="AD18" s="643"/>
      <c r="AE18" s="643"/>
      <c r="AF18" s="539"/>
      <c r="AG18" s="527"/>
      <c r="AH18" s="527"/>
      <c r="AI18" s="527"/>
      <c r="AJ18" s="527"/>
      <c r="AK18" s="527"/>
    </row>
    <row r="19" spans="1:37">
      <c r="A19" s="525" t="s">
        <v>2477</v>
      </c>
      <c r="B19" s="527">
        <f t="shared" ref="B19:AE19" si="7">SUM(B15:B18)</f>
        <v>0</v>
      </c>
      <c r="C19" s="527">
        <f t="shared" si="7"/>
        <v>0</v>
      </c>
      <c r="D19" s="527">
        <f t="shared" si="7"/>
        <v>0</v>
      </c>
      <c r="E19" s="527">
        <f t="shared" si="7"/>
        <v>0</v>
      </c>
      <c r="F19" s="527">
        <f t="shared" si="7"/>
        <v>0</v>
      </c>
      <c r="G19" s="527">
        <f t="shared" si="7"/>
        <v>0</v>
      </c>
      <c r="H19" s="644">
        <f t="shared" si="7"/>
        <v>0</v>
      </c>
      <c r="I19" s="644">
        <f t="shared" si="7"/>
        <v>0</v>
      </c>
      <c r="J19" s="644">
        <f t="shared" si="7"/>
        <v>0</v>
      </c>
      <c r="K19" s="644">
        <f t="shared" si="7"/>
        <v>66.660855853307339</v>
      </c>
      <c r="L19" s="644">
        <f t="shared" si="7"/>
        <v>1573.4021601449638</v>
      </c>
      <c r="M19" s="644">
        <f t="shared" si="7"/>
        <v>3446.0140770011008</v>
      </c>
      <c r="N19" s="644">
        <f t="shared" si="7"/>
        <v>3867.9929402750677</v>
      </c>
      <c r="O19" s="646">
        <f t="shared" si="7"/>
        <v>4288.0253015468597</v>
      </c>
      <c r="P19" s="644">
        <f t="shared" si="7"/>
        <v>4706.1016682968811</v>
      </c>
      <c r="Q19" s="644">
        <f t="shared" si="7"/>
        <v>5597.8107779669353</v>
      </c>
      <c r="R19" s="644">
        <f t="shared" si="7"/>
        <v>6485.5691739692784</v>
      </c>
      <c r="S19" s="644">
        <f t="shared" si="7"/>
        <v>7369.3571259552418</v>
      </c>
      <c r="T19" s="644">
        <f t="shared" si="7"/>
        <v>17467.545538659688</v>
      </c>
      <c r="U19" s="644">
        <f t="shared" si="7"/>
        <v>19335.55633849249</v>
      </c>
      <c r="V19" s="644">
        <f t="shared" si="7"/>
        <v>21193.040803800948</v>
      </c>
      <c r="W19" s="644">
        <f t="shared" si="7"/>
        <v>23515.464972146998</v>
      </c>
      <c r="X19" s="644">
        <f t="shared" si="7"/>
        <v>25825.181111799928</v>
      </c>
      <c r="Y19" s="644">
        <f t="shared" si="7"/>
        <v>28122.104103979531</v>
      </c>
      <c r="Z19" s="644">
        <f t="shared" si="7"/>
        <v>29683.392346797431</v>
      </c>
      <c r="AA19" s="644">
        <f t="shared" si="7"/>
        <v>31232.734572742778</v>
      </c>
      <c r="AB19" s="644">
        <f t="shared" si="7"/>
        <v>32770.029393459547</v>
      </c>
      <c r="AC19" s="644">
        <f t="shared" si="7"/>
        <v>35996.99095421868</v>
      </c>
      <c r="AD19" s="644">
        <f t="shared" si="7"/>
        <v>39199.440749737754</v>
      </c>
      <c r="AE19" s="644">
        <f t="shared" si="7"/>
        <v>42377.164298976735</v>
      </c>
      <c r="AF19" s="541">
        <f>SUM(S19:AE19)/13</f>
        <v>27237.538639289825</v>
      </c>
      <c r="AG19" s="527"/>
      <c r="AH19" s="527"/>
      <c r="AI19" s="527"/>
      <c r="AJ19" s="527"/>
      <c r="AK19" s="527"/>
    </row>
    <row r="20" spans="1:37">
      <c r="A20" s="515" t="s">
        <v>2478</v>
      </c>
      <c r="B20" s="526">
        <v>0</v>
      </c>
      <c r="C20" s="526">
        <f t="shared" ref="C20:AE20" si="8">B20+C12</f>
        <v>0</v>
      </c>
      <c r="D20" s="526">
        <f t="shared" si="8"/>
        <v>0</v>
      </c>
      <c r="E20" s="526">
        <f t="shared" si="8"/>
        <v>0</v>
      </c>
      <c r="F20" s="526">
        <f t="shared" si="8"/>
        <v>0</v>
      </c>
      <c r="G20" s="526">
        <f t="shared" si="8"/>
        <v>0</v>
      </c>
      <c r="H20" s="643">
        <f t="shared" si="8"/>
        <v>0</v>
      </c>
      <c r="I20" s="643">
        <f t="shared" si="8"/>
        <v>0</v>
      </c>
      <c r="J20" s="643">
        <f t="shared" si="8"/>
        <v>0</v>
      </c>
      <c r="K20" s="643">
        <f t="shared" si="8"/>
        <v>-52.047421495429298</v>
      </c>
      <c r="L20" s="643">
        <f t="shared" si="8"/>
        <v>-638.16978886488369</v>
      </c>
      <c r="M20" s="643">
        <f t="shared" si="8"/>
        <v>-1366.6158245219208</v>
      </c>
      <c r="N20" s="643">
        <f t="shared" si="8"/>
        <v>-1530.7656023354939</v>
      </c>
      <c r="O20" s="643">
        <f t="shared" si="8"/>
        <v>-1694.1581908702212</v>
      </c>
      <c r="P20" s="643">
        <f t="shared" si="8"/>
        <v>-1856.7898975359797</v>
      </c>
      <c r="Q20" s="643">
        <f t="shared" si="8"/>
        <v>-2203.664741197631</v>
      </c>
      <c r="R20" s="643">
        <f t="shared" si="8"/>
        <v>-2549.0027572425424</v>
      </c>
      <c r="S20" s="643">
        <f t="shared" si="8"/>
        <v>-2892.7962705650821</v>
      </c>
      <c r="T20" s="643">
        <f t="shared" si="8"/>
        <v>-6820.9915631071126</v>
      </c>
      <c r="U20" s="643">
        <f t="shared" si="8"/>
        <v>-7547.6477642420714</v>
      </c>
      <c r="V20" s="643">
        <f t="shared" si="8"/>
        <v>-8270.2092212470598</v>
      </c>
      <c r="W20" s="643">
        <f t="shared" si="8"/>
        <v>-9173.6322227336732</v>
      </c>
      <c r="X20" s="643">
        <f t="shared" si="8"/>
        <v>-10072.111801058663</v>
      </c>
      <c r="Y20" s="643">
        <f t="shared" si="8"/>
        <v>-10965.614845016529</v>
      </c>
      <c r="Z20" s="643">
        <f t="shared" si="8"/>
        <v>-11572.955971472693</v>
      </c>
      <c r="AA20" s="643">
        <f t="shared" si="8"/>
        <v>-12175.650097365433</v>
      </c>
      <c r="AB20" s="643">
        <f t="shared" si="8"/>
        <v>-12773.657782624257</v>
      </c>
      <c r="AC20" s="643">
        <f t="shared" si="8"/>
        <v>-14028.945829759559</v>
      </c>
      <c r="AD20" s="643">
        <f t="shared" si="8"/>
        <v>-15274.698800216482</v>
      </c>
      <c r="AE20" s="643">
        <f t="shared" si="8"/>
        <v>-16510.833260870444</v>
      </c>
      <c r="AF20" s="527"/>
      <c r="AG20" s="527"/>
      <c r="AH20" s="527"/>
      <c r="AI20" s="527"/>
      <c r="AJ20" s="527"/>
      <c r="AK20" s="527"/>
    </row>
    <row r="21" spans="1:37" ht="15.75" thickBot="1">
      <c r="A21" s="521" t="s">
        <v>2479</v>
      </c>
      <c r="B21" s="528">
        <f>SUM(B19:B20)</f>
        <v>0</v>
      </c>
      <c r="C21" s="528">
        <f t="shared" ref="C21:G21" si="9">SUM(C19:C20)</f>
        <v>0</v>
      </c>
      <c r="D21" s="528">
        <f t="shared" si="9"/>
        <v>0</v>
      </c>
      <c r="E21" s="528">
        <f t="shared" si="9"/>
        <v>0</v>
      </c>
      <c r="F21" s="528">
        <f t="shared" si="9"/>
        <v>0</v>
      </c>
      <c r="G21" s="528">
        <f t="shared" si="9"/>
        <v>0</v>
      </c>
      <c r="H21" s="645">
        <f t="shared" ref="H21:AE21" si="10">SUM(H19:H20)</f>
        <v>0</v>
      </c>
      <c r="I21" s="645">
        <f t="shared" si="10"/>
        <v>0</v>
      </c>
      <c r="J21" s="645">
        <f t="shared" si="10"/>
        <v>0</v>
      </c>
      <c r="K21" s="645">
        <f t="shared" si="10"/>
        <v>14.613434357878042</v>
      </c>
      <c r="L21" s="645">
        <f t="shared" si="10"/>
        <v>935.23237128008009</v>
      </c>
      <c r="M21" s="645">
        <f t="shared" si="10"/>
        <v>2079.39825247918</v>
      </c>
      <c r="N21" s="645">
        <f t="shared" si="10"/>
        <v>2337.2273379395738</v>
      </c>
      <c r="O21" s="645">
        <f t="shared" si="10"/>
        <v>2593.8671106766387</v>
      </c>
      <c r="P21" s="645">
        <f t="shared" si="10"/>
        <v>2849.3117707609017</v>
      </c>
      <c r="Q21" s="645">
        <f t="shared" si="10"/>
        <v>3394.1460367693044</v>
      </c>
      <c r="R21" s="645">
        <f t="shared" si="10"/>
        <v>3936.566416726736</v>
      </c>
      <c r="S21" s="645">
        <f t="shared" si="10"/>
        <v>4476.5608553901602</v>
      </c>
      <c r="T21" s="645">
        <f t="shared" si="10"/>
        <v>10646.553975552575</v>
      </c>
      <c r="U21" s="645">
        <f t="shared" si="10"/>
        <v>11787.908574250418</v>
      </c>
      <c r="V21" s="645">
        <f t="shared" si="10"/>
        <v>12922.831582553888</v>
      </c>
      <c r="W21" s="645">
        <f t="shared" si="10"/>
        <v>14341.832749413325</v>
      </c>
      <c r="X21" s="645">
        <f t="shared" si="10"/>
        <v>15753.069310741264</v>
      </c>
      <c r="Y21" s="645">
        <f t="shared" si="10"/>
        <v>17156.489258963004</v>
      </c>
      <c r="Z21" s="645">
        <f t="shared" si="10"/>
        <v>18110.436375324738</v>
      </c>
      <c r="AA21" s="645">
        <f t="shared" si="10"/>
        <v>19057.084475377345</v>
      </c>
      <c r="AB21" s="645">
        <f t="shared" si="10"/>
        <v>19996.371610835289</v>
      </c>
      <c r="AC21" s="645">
        <f t="shared" si="10"/>
        <v>21968.04512445912</v>
      </c>
      <c r="AD21" s="645">
        <f t="shared" si="10"/>
        <v>23924.741949521274</v>
      </c>
      <c r="AE21" s="645">
        <f t="shared" si="10"/>
        <v>25866.331038106291</v>
      </c>
      <c r="AF21" s="527"/>
      <c r="AG21" s="527"/>
      <c r="AH21" s="527"/>
      <c r="AI21" s="527"/>
      <c r="AJ21" s="527"/>
      <c r="AK21" s="527"/>
    </row>
    <row r="22" spans="1:37" ht="15.75" thickTop="1">
      <c r="B22" s="522"/>
      <c r="C22" s="522"/>
      <c r="D22" s="522"/>
      <c r="E22" s="522"/>
      <c r="F22" s="522"/>
      <c r="G22" s="522"/>
      <c r="H22" s="522"/>
      <c r="I22" s="522"/>
      <c r="J22" s="522"/>
      <c r="K22" s="522"/>
      <c r="L22" s="522"/>
      <c r="M22" s="522"/>
      <c r="N22" s="522"/>
      <c r="O22" s="522"/>
      <c r="P22" s="522"/>
      <c r="Q22" s="522"/>
      <c r="R22" s="522"/>
      <c r="S22" s="522"/>
      <c r="T22" s="522"/>
      <c r="U22" s="522"/>
      <c r="V22" s="522"/>
      <c r="W22" s="522"/>
      <c r="X22" s="522"/>
      <c r="Y22" s="522"/>
      <c r="Z22" s="522"/>
      <c r="AA22" s="522"/>
      <c r="AB22" s="522"/>
      <c r="AC22" s="522"/>
      <c r="AD22" s="522"/>
      <c r="AE22" s="522"/>
      <c r="AF22" s="527"/>
      <c r="AG22" s="527"/>
      <c r="AH22" s="527"/>
      <c r="AI22" s="527"/>
      <c r="AJ22" s="527"/>
      <c r="AK22" s="527"/>
    </row>
    <row r="23" spans="1:37">
      <c r="B23" s="529"/>
      <c r="C23" s="529"/>
      <c r="D23" s="529"/>
      <c r="E23" s="529"/>
      <c r="F23" s="529"/>
      <c r="G23" s="529"/>
      <c r="H23" s="529"/>
      <c r="I23" s="529"/>
      <c r="J23" s="529"/>
      <c r="K23" s="529"/>
      <c r="L23" s="529"/>
      <c r="M23" s="529"/>
      <c r="N23" s="529"/>
      <c r="O23" s="529"/>
      <c r="P23" s="529"/>
      <c r="Q23" s="529"/>
      <c r="R23" s="529"/>
      <c r="S23" s="529"/>
      <c r="T23" s="529"/>
      <c r="U23" s="529"/>
      <c r="V23" s="529"/>
      <c r="W23" s="529"/>
      <c r="X23" s="529"/>
      <c r="Y23" s="529"/>
      <c r="Z23" s="529"/>
      <c r="AA23" s="529"/>
      <c r="AB23" s="529"/>
      <c r="AC23" s="529"/>
      <c r="AD23" s="529"/>
      <c r="AE23" s="529"/>
      <c r="AF23" s="536"/>
      <c r="AG23" s="536"/>
      <c r="AH23" s="536"/>
      <c r="AI23" s="536"/>
      <c r="AJ23" s="536"/>
      <c r="AK23" s="536"/>
    </row>
    <row r="24" spans="1:37">
      <c r="B24" s="522"/>
      <c r="C24" s="522"/>
      <c r="D24" s="522"/>
      <c r="E24" s="522"/>
      <c r="F24" s="522"/>
      <c r="G24" s="522"/>
      <c r="H24" s="522"/>
      <c r="I24" s="522"/>
      <c r="J24" s="522"/>
      <c r="K24" s="530"/>
      <c r="L24" s="522"/>
      <c r="M24" s="522"/>
      <c r="N24" s="522"/>
      <c r="O24" s="522"/>
      <c r="P24" s="522"/>
      <c r="Q24" s="522"/>
      <c r="R24" s="522"/>
      <c r="S24" s="522"/>
      <c r="T24" s="522"/>
      <c r="U24" s="522"/>
      <c r="V24" s="522"/>
      <c r="W24" s="522"/>
      <c r="X24" s="522"/>
      <c r="Y24" s="522"/>
      <c r="Z24" s="522"/>
      <c r="AA24" s="522"/>
      <c r="AB24" s="522"/>
      <c r="AC24" s="522"/>
      <c r="AD24" s="522"/>
      <c r="AE24" s="522"/>
      <c r="AF24" s="527"/>
      <c r="AG24" s="527"/>
      <c r="AH24" s="527"/>
      <c r="AI24" s="527"/>
      <c r="AJ24" s="527"/>
      <c r="AK24" s="527"/>
    </row>
    <row r="25" spans="1:37">
      <c r="H25" s="519"/>
      <c r="I25" s="519"/>
      <c r="J25" s="519"/>
      <c r="K25" s="519"/>
      <c r="L25" s="519"/>
      <c r="M25" s="519"/>
      <c r="N25" s="519"/>
      <c r="O25" s="519"/>
      <c r="P25" s="519"/>
      <c r="Q25" s="519"/>
      <c r="R25" s="519"/>
      <c r="S25" s="519"/>
      <c r="T25" s="519"/>
      <c r="U25" s="519"/>
      <c r="V25" s="519"/>
      <c r="W25" s="519"/>
      <c r="X25" s="519"/>
      <c r="Y25" s="519"/>
      <c r="Z25" s="519"/>
      <c r="AA25" s="519"/>
      <c r="AB25" s="519"/>
      <c r="AC25" s="519"/>
      <c r="AD25" s="519"/>
      <c r="AE25" s="519"/>
      <c r="AF25" s="535"/>
      <c r="AG25" s="535"/>
      <c r="AH25" s="535"/>
      <c r="AI25" s="535"/>
      <c r="AJ25" s="535"/>
      <c r="AK25" s="535"/>
    </row>
    <row r="26" spans="1:37">
      <c r="H26" s="522"/>
      <c r="I26" s="522"/>
      <c r="J26" s="522"/>
      <c r="K26" s="522"/>
      <c r="L26" s="522"/>
      <c r="M26" s="522"/>
      <c r="N26" s="522"/>
      <c r="O26" s="531"/>
      <c r="P26" s="522"/>
      <c r="Q26" s="522"/>
      <c r="R26" s="522"/>
      <c r="S26" s="522"/>
      <c r="T26" s="522"/>
      <c r="U26" s="522"/>
      <c r="V26" s="522"/>
      <c r="W26" s="522"/>
      <c r="X26" s="522"/>
      <c r="Y26" s="522"/>
      <c r="Z26" s="522"/>
      <c r="AA26" s="522"/>
      <c r="AB26" s="522"/>
      <c r="AC26" s="522"/>
      <c r="AD26" s="522"/>
      <c r="AE26" s="522"/>
      <c r="AF26" s="527"/>
      <c r="AG26" s="527"/>
      <c r="AH26" s="527"/>
      <c r="AI26" s="527"/>
      <c r="AJ26" s="527"/>
      <c r="AK26" s="537"/>
    </row>
    <row r="28" spans="1:37">
      <c r="H28" s="532"/>
      <c r="I28" s="284"/>
      <c r="J28" s="284"/>
      <c r="K28" s="284"/>
      <c r="L28" s="284"/>
      <c r="M28" s="284"/>
      <c r="N28" s="284"/>
      <c r="O28" s="284"/>
      <c r="P28" s="284"/>
      <c r="Q28" s="284"/>
      <c r="R28" s="284"/>
      <c r="S28" s="284"/>
      <c r="T28" s="284"/>
      <c r="U28" s="284"/>
      <c r="V28" s="284"/>
      <c r="W28" s="284"/>
      <c r="X28" s="284"/>
      <c r="Y28" s="284"/>
      <c r="Z28" s="284"/>
      <c r="AA28" s="284"/>
      <c r="AB28" s="284"/>
      <c r="AC28" s="284"/>
      <c r="AD28" s="284"/>
      <c r="AE28" s="284"/>
      <c r="AF28" s="286"/>
      <c r="AG28" s="286"/>
      <c r="AH28" s="286"/>
      <c r="AI28" s="286"/>
      <c r="AJ28" s="286"/>
      <c r="AK28" s="538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Sheet2">
    <pageSetUpPr fitToPage="1"/>
  </sheetPr>
  <dimension ref="A1:I52"/>
  <sheetViews>
    <sheetView tabSelected="1" zoomScaleNormal="100" workbookViewId="0">
      <selection activeCell="C21" sqref="C21"/>
    </sheetView>
  </sheetViews>
  <sheetFormatPr defaultColWidth="7.33203125" defaultRowHeight="12.75"/>
  <cols>
    <col min="1" max="1" width="23.44140625" style="179" customWidth="1"/>
    <col min="2" max="2" width="1.44140625" style="179" customWidth="1"/>
    <col min="3" max="3" width="69.6640625" style="179" customWidth="1"/>
    <col min="4" max="9" width="7.33203125" style="179"/>
    <col min="10" max="10" width="7.33203125" style="179" customWidth="1"/>
    <col min="11" max="11" width="7.33203125" style="179"/>
    <col min="12" max="12" width="1.33203125" style="179" customWidth="1"/>
    <col min="13" max="13" width="5.88671875" style="179" customWidth="1"/>
    <col min="14" max="14" width="5.109375" style="179" customWidth="1"/>
    <col min="15" max="256" width="7.33203125" style="179"/>
    <col min="257" max="257" width="23.44140625" style="179" customWidth="1"/>
    <col min="258" max="258" width="1.44140625" style="179" customWidth="1"/>
    <col min="259" max="259" width="61.21875" style="179" customWidth="1"/>
    <col min="260" max="265" width="7.33203125" style="179"/>
    <col min="266" max="266" width="7.33203125" style="179" customWidth="1"/>
    <col min="267" max="267" width="7.33203125" style="179"/>
    <col min="268" max="268" width="1.33203125" style="179" customWidth="1"/>
    <col min="269" max="269" width="5.88671875" style="179" customWidth="1"/>
    <col min="270" max="270" width="5.109375" style="179" customWidth="1"/>
    <col min="271" max="512" width="7.33203125" style="179"/>
    <col min="513" max="513" width="23.44140625" style="179" customWidth="1"/>
    <col min="514" max="514" width="1.44140625" style="179" customWidth="1"/>
    <col min="515" max="515" width="61.21875" style="179" customWidth="1"/>
    <col min="516" max="521" width="7.33203125" style="179"/>
    <col min="522" max="522" width="7.33203125" style="179" customWidth="1"/>
    <col min="523" max="523" width="7.33203125" style="179"/>
    <col min="524" max="524" width="1.33203125" style="179" customWidth="1"/>
    <col min="525" max="525" width="5.88671875" style="179" customWidth="1"/>
    <col min="526" max="526" width="5.109375" style="179" customWidth="1"/>
    <col min="527" max="768" width="7.33203125" style="179"/>
    <col min="769" max="769" width="23.44140625" style="179" customWidth="1"/>
    <col min="770" max="770" width="1.44140625" style="179" customWidth="1"/>
    <col min="771" max="771" width="61.21875" style="179" customWidth="1"/>
    <col min="772" max="777" width="7.33203125" style="179"/>
    <col min="778" max="778" width="7.33203125" style="179" customWidth="1"/>
    <col min="779" max="779" width="7.33203125" style="179"/>
    <col min="780" max="780" width="1.33203125" style="179" customWidth="1"/>
    <col min="781" max="781" width="5.88671875" style="179" customWidth="1"/>
    <col min="782" max="782" width="5.109375" style="179" customWidth="1"/>
    <col min="783" max="1024" width="7.33203125" style="179"/>
    <col min="1025" max="1025" width="23.44140625" style="179" customWidth="1"/>
    <col min="1026" max="1026" width="1.44140625" style="179" customWidth="1"/>
    <col min="1027" max="1027" width="61.21875" style="179" customWidth="1"/>
    <col min="1028" max="1033" width="7.33203125" style="179"/>
    <col min="1034" max="1034" width="7.33203125" style="179" customWidth="1"/>
    <col min="1035" max="1035" width="7.33203125" style="179"/>
    <col min="1036" max="1036" width="1.33203125" style="179" customWidth="1"/>
    <col min="1037" max="1037" width="5.88671875" style="179" customWidth="1"/>
    <col min="1038" max="1038" width="5.109375" style="179" customWidth="1"/>
    <col min="1039" max="1280" width="7.33203125" style="179"/>
    <col min="1281" max="1281" width="23.44140625" style="179" customWidth="1"/>
    <col min="1282" max="1282" width="1.44140625" style="179" customWidth="1"/>
    <col min="1283" max="1283" width="61.21875" style="179" customWidth="1"/>
    <col min="1284" max="1289" width="7.33203125" style="179"/>
    <col min="1290" max="1290" width="7.33203125" style="179" customWidth="1"/>
    <col min="1291" max="1291" width="7.33203125" style="179"/>
    <col min="1292" max="1292" width="1.33203125" style="179" customWidth="1"/>
    <col min="1293" max="1293" width="5.88671875" style="179" customWidth="1"/>
    <col min="1294" max="1294" width="5.109375" style="179" customWidth="1"/>
    <col min="1295" max="1536" width="7.33203125" style="179"/>
    <col min="1537" max="1537" width="23.44140625" style="179" customWidth="1"/>
    <col min="1538" max="1538" width="1.44140625" style="179" customWidth="1"/>
    <col min="1539" max="1539" width="61.21875" style="179" customWidth="1"/>
    <col min="1540" max="1545" width="7.33203125" style="179"/>
    <col min="1546" max="1546" width="7.33203125" style="179" customWidth="1"/>
    <col min="1547" max="1547" width="7.33203125" style="179"/>
    <col min="1548" max="1548" width="1.33203125" style="179" customWidth="1"/>
    <col min="1549" max="1549" width="5.88671875" style="179" customWidth="1"/>
    <col min="1550" max="1550" width="5.109375" style="179" customWidth="1"/>
    <col min="1551" max="1792" width="7.33203125" style="179"/>
    <col min="1793" max="1793" width="23.44140625" style="179" customWidth="1"/>
    <col min="1794" max="1794" width="1.44140625" style="179" customWidth="1"/>
    <col min="1795" max="1795" width="61.21875" style="179" customWidth="1"/>
    <col min="1796" max="1801" width="7.33203125" style="179"/>
    <col min="1802" max="1802" width="7.33203125" style="179" customWidth="1"/>
    <col min="1803" max="1803" width="7.33203125" style="179"/>
    <col min="1804" max="1804" width="1.33203125" style="179" customWidth="1"/>
    <col min="1805" max="1805" width="5.88671875" style="179" customWidth="1"/>
    <col min="1806" max="1806" width="5.109375" style="179" customWidth="1"/>
    <col min="1807" max="2048" width="7.33203125" style="179"/>
    <col min="2049" max="2049" width="23.44140625" style="179" customWidth="1"/>
    <col min="2050" max="2050" width="1.44140625" style="179" customWidth="1"/>
    <col min="2051" max="2051" width="61.21875" style="179" customWidth="1"/>
    <col min="2052" max="2057" width="7.33203125" style="179"/>
    <col min="2058" max="2058" width="7.33203125" style="179" customWidth="1"/>
    <col min="2059" max="2059" width="7.33203125" style="179"/>
    <col min="2060" max="2060" width="1.33203125" style="179" customWidth="1"/>
    <col min="2061" max="2061" width="5.88671875" style="179" customWidth="1"/>
    <col min="2062" max="2062" width="5.109375" style="179" customWidth="1"/>
    <col min="2063" max="2304" width="7.33203125" style="179"/>
    <col min="2305" max="2305" width="23.44140625" style="179" customWidth="1"/>
    <col min="2306" max="2306" width="1.44140625" style="179" customWidth="1"/>
    <col min="2307" max="2307" width="61.21875" style="179" customWidth="1"/>
    <col min="2308" max="2313" width="7.33203125" style="179"/>
    <col min="2314" max="2314" width="7.33203125" style="179" customWidth="1"/>
    <col min="2315" max="2315" width="7.33203125" style="179"/>
    <col min="2316" max="2316" width="1.33203125" style="179" customWidth="1"/>
    <col min="2317" max="2317" width="5.88671875" style="179" customWidth="1"/>
    <col min="2318" max="2318" width="5.109375" style="179" customWidth="1"/>
    <col min="2319" max="2560" width="7.33203125" style="179"/>
    <col min="2561" max="2561" width="23.44140625" style="179" customWidth="1"/>
    <col min="2562" max="2562" width="1.44140625" style="179" customWidth="1"/>
    <col min="2563" max="2563" width="61.21875" style="179" customWidth="1"/>
    <col min="2564" max="2569" width="7.33203125" style="179"/>
    <col min="2570" max="2570" width="7.33203125" style="179" customWidth="1"/>
    <col min="2571" max="2571" width="7.33203125" style="179"/>
    <col min="2572" max="2572" width="1.33203125" style="179" customWidth="1"/>
    <col min="2573" max="2573" width="5.88671875" style="179" customWidth="1"/>
    <col min="2574" max="2574" width="5.109375" style="179" customWidth="1"/>
    <col min="2575" max="2816" width="7.33203125" style="179"/>
    <col min="2817" max="2817" width="23.44140625" style="179" customWidth="1"/>
    <col min="2818" max="2818" width="1.44140625" style="179" customWidth="1"/>
    <col min="2819" max="2819" width="61.21875" style="179" customWidth="1"/>
    <col min="2820" max="2825" width="7.33203125" style="179"/>
    <col min="2826" max="2826" width="7.33203125" style="179" customWidth="1"/>
    <col min="2827" max="2827" width="7.33203125" style="179"/>
    <col min="2828" max="2828" width="1.33203125" style="179" customWidth="1"/>
    <col min="2829" max="2829" width="5.88671875" style="179" customWidth="1"/>
    <col min="2830" max="2830" width="5.109375" style="179" customWidth="1"/>
    <col min="2831" max="3072" width="7.33203125" style="179"/>
    <col min="3073" max="3073" width="23.44140625" style="179" customWidth="1"/>
    <col min="3074" max="3074" width="1.44140625" style="179" customWidth="1"/>
    <col min="3075" max="3075" width="61.21875" style="179" customWidth="1"/>
    <col min="3076" max="3081" width="7.33203125" style="179"/>
    <col min="3082" max="3082" width="7.33203125" style="179" customWidth="1"/>
    <col min="3083" max="3083" width="7.33203125" style="179"/>
    <col min="3084" max="3084" width="1.33203125" style="179" customWidth="1"/>
    <col min="3085" max="3085" width="5.88671875" style="179" customWidth="1"/>
    <col min="3086" max="3086" width="5.109375" style="179" customWidth="1"/>
    <col min="3087" max="3328" width="7.33203125" style="179"/>
    <col min="3329" max="3329" width="23.44140625" style="179" customWidth="1"/>
    <col min="3330" max="3330" width="1.44140625" style="179" customWidth="1"/>
    <col min="3331" max="3331" width="61.21875" style="179" customWidth="1"/>
    <col min="3332" max="3337" width="7.33203125" style="179"/>
    <col min="3338" max="3338" width="7.33203125" style="179" customWidth="1"/>
    <col min="3339" max="3339" width="7.33203125" style="179"/>
    <col min="3340" max="3340" width="1.33203125" style="179" customWidth="1"/>
    <col min="3341" max="3341" width="5.88671875" style="179" customWidth="1"/>
    <col min="3342" max="3342" width="5.109375" style="179" customWidth="1"/>
    <col min="3343" max="3584" width="7.33203125" style="179"/>
    <col min="3585" max="3585" width="23.44140625" style="179" customWidth="1"/>
    <col min="3586" max="3586" width="1.44140625" style="179" customWidth="1"/>
    <col min="3587" max="3587" width="61.21875" style="179" customWidth="1"/>
    <col min="3588" max="3593" width="7.33203125" style="179"/>
    <col min="3594" max="3594" width="7.33203125" style="179" customWidth="1"/>
    <col min="3595" max="3595" width="7.33203125" style="179"/>
    <col min="3596" max="3596" width="1.33203125" style="179" customWidth="1"/>
    <col min="3597" max="3597" width="5.88671875" style="179" customWidth="1"/>
    <col min="3598" max="3598" width="5.109375" style="179" customWidth="1"/>
    <col min="3599" max="3840" width="7.33203125" style="179"/>
    <col min="3841" max="3841" width="23.44140625" style="179" customWidth="1"/>
    <col min="3842" max="3842" width="1.44140625" style="179" customWidth="1"/>
    <col min="3843" max="3843" width="61.21875" style="179" customWidth="1"/>
    <col min="3844" max="3849" width="7.33203125" style="179"/>
    <col min="3850" max="3850" width="7.33203125" style="179" customWidth="1"/>
    <col min="3851" max="3851" width="7.33203125" style="179"/>
    <col min="3852" max="3852" width="1.33203125" style="179" customWidth="1"/>
    <col min="3853" max="3853" width="5.88671875" style="179" customWidth="1"/>
    <col min="3854" max="3854" width="5.109375" style="179" customWidth="1"/>
    <col min="3855" max="4096" width="7.33203125" style="179"/>
    <col min="4097" max="4097" width="23.44140625" style="179" customWidth="1"/>
    <col min="4098" max="4098" width="1.44140625" style="179" customWidth="1"/>
    <col min="4099" max="4099" width="61.21875" style="179" customWidth="1"/>
    <col min="4100" max="4105" width="7.33203125" style="179"/>
    <col min="4106" max="4106" width="7.33203125" style="179" customWidth="1"/>
    <col min="4107" max="4107" width="7.33203125" style="179"/>
    <col min="4108" max="4108" width="1.33203125" style="179" customWidth="1"/>
    <col min="4109" max="4109" width="5.88671875" style="179" customWidth="1"/>
    <col min="4110" max="4110" width="5.109375" style="179" customWidth="1"/>
    <col min="4111" max="4352" width="7.33203125" style="179"/>
    <col min="4353" max="4353" width="23.44140625" style="179" customWidth="1"/>
    <col min="4354" max="4354" width="1.44140625" style="179" customWidth="1"/>
    <col min="4355" max="4355" width="61.21875" style="179" customWidth="1"/>
    <col min="4356" max="4361" width="7.33203125" style="179"/>
    <col min="4362" max="4362" width="7.33203125" style="179" customWidth="1"/>
    <col min="4363" max="4363" width="7.33203125" style="179"/>
    <col min="4364" max="4364" width="1.33203125" style="179" customWidth="1"/>
    <col min="4365" max="4365" width="5.88671875" style="179" customWidth="1"/>
    <col min="4366" max="4366" width="5.109375" style="179" customWidth="1"/>
    <col min="4367" max="4608" width="7.33203125" style="179"/>
    <col min="4609" max="4609" width="23.44140625" style="179" customWidth="1"/>
    <col min="4610" max="4610" width="1.44140625" style="179" customWidth="1"/>
    <col min="4611" max="4611" width="61.21875" style="179" customWidth="1"/>
    <col min="4612" max="4617" width="7.33203125" style="179"/>
    <col min="4618" max="4618" width="7.33203125" style="179" customWidth="1"/>
    <col min="4619" max="4619" width="7.33203125" style="179"/>
    <col min="4620" max="4620" width="1.33203125" style="179" customWidth="1"/>
    <col min="4621" max="4621" width="5.88671875" style="179" customWidth="1"/>
    <col min="4622" max="4622" width="5.109375" style="179" customWidth="1"/>
    <col min="4623" max="4864" width="7.33203125" style="179"/>
    <col min="4865" max="4865" width="23.44140625" style="179" customWidth="1"/>
    <col min="4866" max="4866" width="1.44140625" style="179" customWidth="1"/>
    <col min="4867" max="4867" width="61.21875" style="179" customWidth="1"/>
    <col min="4868" max="4873" width="7.33203125" style="179"/>
    <col min="4874" max="4874" width="7.33203125" style="179" customWidth="1"/>
    <col min="4875" max="4875" width="7.33203125" style="179"/>
    <col min="4876" max="4876" width="1.33203125" style="179" customWidth="1"/>
    <col min="4877" max="4877" width="5.88671875" style="179" customWidth="1"/>
    <col min="4878" max="4878" width="5.109375" style="179" customWidth="1"/>
    <col min="4879" max="5120" width="7.33203125" style="179"/>
    <col min="5121" max="5121" width="23.44140625" style="179" customWidth="1"/>
    <col min="5122" max="5122" width="1.44140625" style="179" customWidth="1"/>
    <col min="5123" max="5123" width="61.21875" style="179" customWidth="1"/>
    <col min="5124" max="5129" width="7.33203125" style="179"/>
    <col min="5130" max="5130" width="7.33203125" style="179" customWidth="1"/>
    <col min="5131" max="5131" width="7.33203125" style="179"/>
    <col min="5132" max="5132" width="1.33203125" style="179" customWidth="1"/>
    <col min="5133" max="5133" width="5.88671875" style="179" customWidth="1"/>
    <col min="5134" max="5134" width="5.109375" style="179" customWidth="1"/>
    <col min="5135" max="5376" width="7.33203125" style="179"/>
    <col min="5377" max="5377" width="23.44140625" style="179" customWidth="1"/>
    <col min="5378" max="5378" width="1.44140625" style="179" customWidth="1"/>
    <col min="5379" max="5379" width="61.21875" style="179" customWidth="1"/>
    <col min="5380" max="5385" width="7.33203125" style="179"/>
    <col min="5386" max="5386" width="7.33203125" style="179" customWidth="1"/>
    <col min="5387" max="5387" width="7.33203125" style="179"/>
    <col min="5388" max="5388" width="1.33203125" style="179" customWidth="1"/>
    <col min="5389" max="5389" width="5.88671875" style="179" customWidth="1"/>
    <col min="5390" max="5390" width="5.109375" style="179" customWidth="1"/>
    <col min="5391" max="5632" width="7.33203125" style="179"/>
    <col min="5633" max="5633" width="23.44140625" style="179" customWidth="1"/>
    <col min="5634" max="5634" width="1.44140625" style="179" customWidth="1"/>
    <col min="5635" max="5635" width="61.21875" style="179" customWidth="1"/>
    <col min="5636" max="5641" width="7.33203125" style="179"/>
    <col min="5642" max="5642" width="7.33203125" style="179" customWidth="1"/>
    <col min="5643" max="5643" width="7.33203125" style="179"/>
    <col min="5644" max="5644" width="1.33203125" style="179" customWidth="1"/>
    <col min="5645" max="5645" width="5.88671875" style="179" customWidth="1"/>
    <col min="5646" max="5646" width="5.109375" style="179" customWidth="1"/>
    <col min="5647" max="5888" width="7.33203125" style="179"/>
    <col min="5889" max="5889" width="23.44140625" style="179" customWidth="1"/>
    <col min="5890" max="5890" width="1.44140625" style="179" customWidth="1"/>
    <col min="5891" max="5891" width="61.21875" style="179" customWidth="1"/>
    <col min="5892" max="5897" width="7.33203125" style="179"/>
    <col min="5898" max="5898" width="7.33203125" style="179" customWidth="1"/>
    <col min="5899" max="5899" width="7.33203125" style="179"/>
    <col min="5900" max="5900" width="1.33203125" style="179" customWidth="1"/>
    <col min="5901" max="5901" width="5.88671875" style="179" customWidth="1"/>
    <col min="5902" max="5902" width="5.109375" style="179" customWidth="1"/>
    <col min="5903" max="6144" width="7.33203125" style="179"/>
    <col min="6145" max="6145" width="23.44140625" style="179" customWidth="1"/>
    <col min="6146" max="6146" width="1.44140625" style="179" customWidth="1"/>
    <col min="6147" max="6147" width="61.21875" style="179" customWidth="1"/>
    <col min="6148" max="6153" width="7.33203125" style="179"/>
    <col min="6154" max="6154" width="7.33203125" style="179" customWidth="1"/>
    <col min="6155" max="6155" width="7.33203125" style="179"/>
    <col min="6156" max="6156" width="1.33203125" style="179" customWidth="1"/>
    <col min="6157" max="6157" width="5.88671875" style="179" customWidth="1"/>
    <col min="6158" max="6158" width="5.109375" style="179" customWidth="1"/>
    <col min="6159" max="6400" width="7.33203125" style="179"/>
    <col min="6401" max="6401" width="23.44140625" style="179" customWidth="1"/>
    <col min="6402" max="6402" width="1.44140625" style="179" customWidth="1"/>
    <col min="6403" max="6403" width="61.21875" style="179" customWidth="1"/>
    <col min="6404" max="6409" width="7.33203125" style="179"/>
    <col min="6410" max="6410" width="7.33203125" style="179" customWidth="1"/>
    <col min="6411" max="6411" width="7.33203125" style="179"/>
    <col min="6412" max="6412" width="1.33203125" style="179" customWidth="1"/>
    <col min="6413" max="6413" width="5.88671875" style="179" customWidth="1"/>
    <col min="6414" max="6414" width="5.109375" style="179" customWidth="1"/>
    <col min="6415" max="6656" width="7.33203125" style="179"/>
    <col min="6657" max="6657" width="23.44140625" style="179" customWidth="1"/>
    <col min="6658" max="6658" width="1.44140625" style="179" customWidth="1"/>
    <col min="6659" max="6659" width="61.21875" style="179" customWidth="1"/>
    <col min="6660" max="6665" width="7.33203125" style="179"/>
    <col min="6666" max="6666" width="7.33203125" style="179" customWidth="1"/>
    <col min="6667" max="6667" width="7.33203125" style="179"/>
    <col min="6668" max="6668" width="1.33203125" style="179" customWidth="1"/>
    <col min="6669" max="6669" width="5.88671875" style="179" customWidth="1"/>
    <col min="6670" max="6670" width="5.109375" style="179" customWidth="1"/>
    <col min="6671" max="6912" width="7.33203125" style="179"/>
    <col min="6913" max="6913" width="23.44140625" style="179" customWidth="1"/>
    <col min="6914" max="6914" width="1.44140625" style="179" customWidth="1"/>
    <col min="6915" max="6915" width="61.21875" style="179" customWidth="1"/>
    <col min="6916" max="6921" width="7.33203125" style="179"/>
    <col min="6922" max="6922" width="7.33203125" style="179" customWidth="1"/>
    <col min="6923" max="6923" width="7.33203125" style="179"/>
    <col min="6924" max="6924" width="1.33203125" style="179" customWidth="1"/>
    <col min="6925" max="6925" width="5.88671875" style="179" customWidth="1"/>
    <col min="6926" max="6926" width="5.109375" style="179" customWidth="1"/>
    <col min="6927" max="7168" width="7.33203125" style="179"/>
    <col min="7169" max="7169" width="23.44140625" style="179" customWidth="1"/>
    <col min="7170" max="7170" width="1.44140625" style="179" customWidth="1"/>
    <col min="7171" max="7171" width="61.21875" style="179" customWidth="1"/>
    <col min="7172" max="7177" width="7.33203125" style="179"/>
    <col min="7178" max="7178" width="7.33203125" style="179" customWidth="1"/>
    <col min="7179" max="7179" width="7.33203125" style="179"/>
    <col min="7180" max="7180" width="1.33203125" style="179" customWidth="1"/>
    <col min="7181" max="7181" width="5.88671875" style="179" customWidth="1"/>
    <col min="7182" max="7182" width="5.109375" style="179" customWidth="1"/>
    <col min="7183" max="7424" width="7.33203125" style="179"/>
    <col min="7425" max="7425" width="23.44140625" style="179" customWidth="1"/>
    <col min="7426" max="7426" width="1.44140625" style="179" customWidth="1"/>
    <col min="7427" max="7427" width="61.21875" style="179" customWidth="1"/>
    <col min="7428" max="7433" width="7.33203125" style="179"/>
    <col min="7434" max="7434" width="7.33203125" style="179" customWidth="1"/>
    <col min="7435" max="7435" width="7.33203125" style="179"/>
    <col min="7436" max="7436" width="1.33203125" style="179" customWidth="1"/>
    <col min="7437" max="7437" width="5.88671875" style="179" customWidth="1"/>
    <col min="7438" max="7438" width="5.109375" style="179" customWidth="1"/>
    <col min="7439" max="7680" width="7.33203125" style="179"/>
    <col min="7681" max="7681" width="23.44140625" style="179" customWidth="1"/>
    <col min="7682" max="7682" width="1.44140625" style="179" customWidth="1"/>
    <col min="7683" max="7683" width="61.21875" style="179" customWidth="1"/>
    <col min="7684" max="7689" width="7.33203125" style="179"/>
    <col min="7690" max="7690" width="7.33203125" style="179" customWidth="1"/>
    <col min="7691" max="7691" width="7.33203125" style="179"/>
    <col min="7692" max="7692" width="1.33203125" style="179" customWidth="1"/>
    <col min="7693" max="7693" width="5.88671875" style="179" customWidth="1"/>
    <col min="7694" max="7694" width="5.109375" style="179" customWidth="1"/>
    <col min="7695" max="7936" width="7.33203125" style="179"/>
    <col min="7937" max="7937" width="23.44140625" style="179" customWidth="1"/>
    <col min="7938" max="7938" width="1.44140625" style="179" customWidth="1"/>
    <col min="7939" max="7939" width="61.21875" style="179" customWidth="1"/>
    <col min="7940" max="7945" width="7.33203125" style="179"/>
    <col min="7946" max="7946" width="7.33203125" style="179" customWidth="1"/>
    <col min="7947" max="7947" width="7.33203125" style="179"/>
    <col min="7948" max="7948" width="1.33203125" style="179" customWidth="1"/>
    <col min="7949" max="7949" width="5.88671875" style="179" customWidth="1"/>
    <col min="7950" max="7950" width="5.109375" style="179" customWidth="1"/>
    <col min="7951" max="8192" width="7.33203125" style="179"/>
    <col min="8193" max="8193" width="23.44140625" style="179" customWidth="1"/>
    <col min="8194" max="8194" width="1.44140625" style="179" customWidth="1"/>
    <col min="8195" max="8195" width="61.21875" style="179" customWidth="1"/>
    <col min="8196" max="8201" width="7.33203125" style="179"/>
    <col min="8202" max="8202" width="7.33203125" style="179" customWidth="1"/>
    <col min="8203" max="8203" width="7.33203125" style="179"/>
    <col min="8204" max="8204" width="1.33203125" style="179" customWidth="1"/>
    <col min="8205" max="8205" width="5.88671875" style="179" customWidth="1"/>
    <col min="8206" max="8206" width="5.109375" style="179" customWidth="1"/>
    <col min="8207" max="8448" width="7.33203125" style="179"/>
    <col min="8449" max="8449" width="23.44140625" style="179" customWidth="1"/>
    <col min="8450" max="8450" width="1.44140625" style="179" customWidth="1"/>
    <col min="8451" max="8451" width="61.21875" style="179" customWidth="1"/>
    <col min="8452" max="8457" width="7.33203125" style="179"/>
    <col min="8458" max="8458" width="7.33203125" style="179" customWidth="1"/>
    <col min="8459" max="8459" width="7.33203125" style="179"/>
    <col min="8460" max="8460" width="1.33203125" style="179" customWidth="1"/>
    <col min="8461" max="8461" width="5.88671875" style="179" customWidth="1"/>
    <col min="8462" max="8462" width="5.109375" style="179" customWidth="1"/>
    <col min="8463" max="8704" width="7.33203125" style="179"/>
    <col min="8705" max="8705" width="23.44140625" style="179" customWidth="1"/>
    <col min="8706" max="8706" width="1.44140625" style="179" customWidth="1"/>
    <col min="8707" max="8707" width="61.21875" style="179" customWidth="1"/>
    <col min="8708" max="8713" width="7.33203125" style="179"/>
    <col min="8714" max="8714" width="7.33203125" style="179" customWidth="1"/>
    <col min="8715" max="8715" width="7.33203125" style="179"/>
    <col min="8716" max="8716" width="1.33203125" style="179" customWidth="1"/>
    <col min="8717" max="8717" width="5.88671875" style="179" customWidth="1"/>
    <col min="8718" max="8718" width="5.109375" style="179" customWidth="1"/>
    <col min="8719" max="8960" width="7.33203125" style="179"/>
    <col min="8961" max="8961" width="23.44140625" style="179" customWidth="1"/>
    <col min="8962" max="8962" width="1.44140625" style="179" customWidth="1"/>
    <col min="8963" max="8963" width="61.21875" style="179" customWidth="1"/>
    <col min="8964" max="8969" width="7.33203125" style="179"/>
    <col min="8970" max="8970" width="7.33203125" style="179" customWidth="1"/>
    <col min="8971" max="8971" width="7.33203125" style="179"/>
    <col min="8972" max="8972" width="1.33203125" style="179" customWidth="1"/>
    <col min="8973" max="8973" width="5.88671875" style="179" customWidth="1"/>
    <col min="8974" max="8974" width="5.109375" style="179" customWidth="1"/>
    <col min="8975" max="9216" width="7.33203125" style="179"/>
    <col min="9217" max="9217" width="23.44140625" style="179" customWidth="1"/>
    <col min="9218" max="9218" width="1.44140625" style="179" customWidth="1"/>
    <col min="9219" max="9219" width="61.21875" style="179" customWidth="1"/>
    <col min="9220" max="9225" width="7.33203125" style="179"/>
    <col min="9226" max="9226" width="7.33203125" style="179" customWidth="1"/>
    <col min="9227" max="9227" width="7.33203125" style="179"/>
    <col min="9228" max="9228" width="1.33203125" style="179" customWidth="1"/>
    <col min="9229" max="9229" width="5.88671875" style="179" customWidth="1"/>
    <col min="9230" max="9230" width="5.109375" style="179" customWidth="1"/>
    <col min="9231" max="9472" width="7.33203125" style="179"/>
    <col min="9473" max="9473" width="23.44140625" style="179" customWidth="1"/>
    <col min="9474" max="9474" width="1.44140625" style="179" customWidth="1"/>
    <col min="9475" max="9475" width="61.21875" style="179" customWidth="1"/>
    <col min="9476" max="9481" width="7.33203125" style="179"/>
    <col min="9482" max="9482" width="7.33203125" style="179" customWidth="1"/>
    <col min="9483" max="9483" width="7.33203125" style="179"/>
    <col min="9484" max="9484" width="1.33203125" style="179" customWidth="1"/>
    <col min="9485" max="9485" width="5.88671875" style="179" customWidth="1"/>
    <col min="9486" max="9486" width="5.109375" style="179" customWidth="1"/>
    <col min="9487" max="9728" width="7.33203125" style="179"/>
    <col min="9729" max="9729" width="23.44140625" style="179" customWidth="1"/>
    <col min="9730" max="9730" width="1.44140625" style="179" customWidth="1"/>
    <col min="9731" max="9731" width="61.21875" style="179" customWidth="1"/>
    <col min="9732" max="9737" width="7.33203125" style="179"/>
    <col min="9738" max="9738" width="7.33203125" style="179" customWidth="1"/>
    <col min="9739" max="9739" width="7.33203125" style="179"/>
    <col min="9740" max="9740" width="1.33203125" style="179" customWidth="1"/>
    <col min="9741" max="9741" width="5.88671875" style="179" customWidth="1"/>
    <col min="9742" max="9742" width="5.109375" style="179" customWidth="1"/>
    <col min="9743" max="9984" width="7.33203125" style="179"/>
    <col min="9985" max="9985" width="23.44140625" style="179" customWidth="1"/>
    <col min="9986" max="9986" width="1.44140625" style="179" customWidth="1"/>
    <col min="9987" max="9987" width="61.21875" style="179" customWidth="1"/>
    <col min="9988" max="9993" width="7.33203125" style="179"/>
    <col min="9994" max="9994" width="7.33203125" style="179" customWidth="1"/>
    <col min="9995" max="9995" width="7.33203125" style="179"/>
    <col min="9996" max="9996" width="1.33203125" style="179" customWidth="1"/>
    <col min="9997" max="9997" width="5.88671875" style="179" customWidth="1"/>
    <col min="9998" max="9998" width="5.109375" style="179" customWidth="1"/>
    <col min="9999" max="10240" width="7.33203125" style="179"/>
    <col min="10241" max="10241" width="23.44140625" style="179" customWidth="1"/>
    <col min="10242" max="10242" width="1.44140625" style="179" customWidth="1"/>
    <col min="10243" max="10243" width="61.21875" style="179" customWidth="1"/>
    <col min="10244" max="10249" width="7.33203125" style="179"/>
    <col min="10250" max="10250" width="7.33203125" style="179" customWidth="1"/>
    <col min="10251" max="10251" width="7.33203125" style="179"/>
    <col min="10252" max="10252" width="1.33203125" style="179" customWidth="1"/>
    <col min="10253" max="10253" width="5.88671875" style="179" customWidth="1"/>
    <col min="10254" max="10254" width="5.109375" style="179" customWidth="1"/>
    <col min="10255" max="10496" width="7.33203125" style="179"/>
    <col min="10497" max="10497" width="23.44140625" style="179" customWidth="1"/>
    <col min="10498" max="10498" width="1.44140625" style="179" customWidth="1"/>
    <col min="10499" max="10499" width="61.21875" style="179" customWidth="1"/>
    <col min="10500" max="10505" width="7.33203125" style="179"/>
    <col min="10506" max="10506" width="7.33203125" style="179" customWidth="1"/>
    <col min="10507" max="10507" width="7.33203125" style="179"/>
    <col min="10508" max="10508" width="1.33203125" style="179" customWidth="1"/>
    <col min="10509" max="10509" width="5.88671875" style="179" customWidth="1"/>
    <col min="10510" max="10510" width="5.109375" style="179" customWidth="1"/>
    <col min="10511" max="10752" width="7.33203125" style="179"/>
    <col min="10753" max="10753" width="23.44140625" style="179" customWidth="1"/>
    <col min="10754" max="10754" width="1.44140625" style="179" customWidth="1"/>
    <col min="10755" max="10755" width="61.21875" style="179" customWidth="1"/>
    <col min="10756" max="10761" width="7.33203125" style="179"/>
    <col min="10762" max="10762" width="7.33203125" style="179" customWidth="1"/>
    <col min="10763" max="10763" width="7.33203125" style="179"/>
    <col min="10764" max="10764" width="1.33203125" style="179" customWidth="1"/>
    <col min="10765" max="10765" width="5.88671875" style="179" customWidth="1"/>
    <col min="10766" max="10766" width="5.109375" style="179" customWidth="1"/>
    <col min="10767" max="11008" width="7.33203125" style="179"/>
    <col min="11009" max="11009" width="23.44140625" style="179" customWidth="1"/>
    <col min="11010" max="11010" width="1.44140625" style="179" customWidth="1"/>
    <col min="11011" max="11011" width="61.21875" style="179" customWidth="1"/>
    <col min="11012" max="11017" width="7.33203125" style="179"/>
    <col min="11018" max="11018" width="7.33203125" style="179" customWidth="1"/>
    <col min="11019" max="11019" width="7.33203125" style="179"/>
    <col min="11020" max="11020" width="1.33203125" style="179" customWidth="1"/>
    <col min="11021" max="11021" width="5.88671875" style="179" customWidth="1"/>
    <col min="11022" max="11022" width="5.109375" style="179" customWidth="1"/>
    <col min="11023" max="11264" width="7.33203125" style="179"/>
    <col min="11265" max="11265" width="23.44140625" style="179" customWidth="1"/>
    <col min="11266" max="11266" width="1.44140625" style="179" customWidth="1"/>
    <col min="11267" max="11267" width="61.21875" style="179" customWidth="1"/>
    <col min="11268" max="11273" width="7.33203125" style="179"/>
    <col min="11274" max="11274" width="7.33203125" style="179" customWidth="1"/>
    <col min="11275" max="11275" width="7.33203125" style="179"/>
    <col min="11276" max="11276" width="1.33203125" style="179" customWidth="1"/>
    <col min="11277" max="11277" width="5.88671875" style="179" customWidth="1"/>
    <col min="11278" max="11278" width="5.109375" style="179" customWidth="1"/>
    <col min="11279" max="11520" width="7.33203125" style="179"/>
    <col min="11521" max="11521" width="23.44140625" style="179" customWidth="1"/>
    <col min="11522" max="11522" width="1.44140625" style="179" customWidth="1"/>
    <col min="11523" max="11523" width="61.21875" style="179" customWidth="1"/>
    <col min="11524" max="11529" width="7.33203125" style="179"/>
    <col min="11530" max="11530" width="7.33203125" style="179" customWidth="1"/>
    <col min="11531" max="11531" width="7.33203125" style="179"/>
    <col min="11532" max="11532" width="1.33203125" style="179" customWidth="1"/>
    <col min="11533" max="11533" width="5.88671875" style="179" customWidth="1"/>
    <col min="11534" max="11534" width="5.109375" style="179" customWidth="1"/>
    <col min="11535" max="11776" width="7.33203125" style="179"/>
    <col min="11777" max="11777" width="23.44140625" style="179" customWidth="1"/>
    <col min="11778" max="11778" width="1.44140625" style="179" customWidth="1"/>
    <col min="11779" max="11779" width="61.21875" style="179" customWidth="1"/>
    <col min="11780" max="11785" width="7.33203125" style="179"/>
    <col min="11786" max="11786" width="7.33203125" style="179" customWidth="1"/>
    <col min="11787" max="11787" width="7.33203125" style="179"/>
    <col min="11788" max="11788" width="1.33203125" style="179" customWidth="1"/>
    <col min="11789" max="11789" width="5.88671875" style="179" customWidth="1"/>
    <col min="11790" max="11790" width="5.109375" style="179" customWidth="1"/>
    <col min="11791" max="12032" width="7.33203125" style="179"/>
    <col min="12033" max="12033" width="23.44140625" style="179" customWidth="1"/>
    <col min="12034" max="12034" width="1.44140625" style="179" customWidth="1"/>
    <col min="12035" max="12035" width="61.21875" style="179" customWidth="1"/>
    <col min="12036" max="12041" width="7.33203125" style="179"/>
    <col min="12042" max="12042" width="7.33203125" style="179" customWidth="1"/>
    <col min="12043" max="12043" width="7.33203125" style="179"/>
    <col min="12044" max="12044" width="1.33203125" style="179" customWidth="1"/>
    <col min="12045" max="12045" width="5.88671875" style="179" customWidth="1"/>
    <col min="12046" max="12046" width="5.109375" style="179" customWidth="1"/>
    <col min="12047" max="12288" width="7.33203125" style="179"/>
    <col min="12289" max="12289" width="23.44140625" style="179" customWidth="1"/>
    <col min="12290" max="12290" width="1.44140625" style="179" customWidth="1"/>
    <col min="12291" max="12291" width="61.21875" style="179" customWidth="1"/>
    <col min="12292" max="12297" width="7.33203125" style="179"/>
    <col min="12298" max="12298" width="7.33203125" style="179" customWidth="1"/>
    <col min="12299" max="12299" width="7.33203125" style="179"/>
    <col min="12300" max="12300" width="1.33203125" style="179" customWidth="1"/>
    <col min="12301" max="12301" width="5.88671875" style="179" customWidth="1"/>
    <col min="12302" max="12302" width="5.109375" style="179" customWidth="1"/>
    <col min="12303" max="12544" width="7.33203125" style="179"/>
    <col min="12545" max="12545" width="23.44140625" style="179" customWidth="1"/>
    <col min="12546" max="12546" width="1.44140625" style="179" customWidth="1"/>
    <col min="12547" max="12547" width="61.21875" style="179" customWidth="1"/>
    <col min="12548" max="12553" width="7.33203125" style="179"/>
    <col min="12554" max="12554" width="7.33203125" style="179" customWidth="1"/>
    <col min="12555" max="12555" width="7.33203125" style="179"/>
    <col min="12556" max="12556" width="1.33203125" style="179" customWidth="1"/>
    <col min="12557" max="12557" width="5.88671875" style="179" customWidth="1"/>
    <col min="12558" max="12558" width="5.109375" style="179" customWidth="1"/>
    <col min="12559" max="12800" width="7.33203125" style="179"/>
    <col min="12801" max="12801" width="23.44140625" style="179" customWidth="1"/>
    <col min="12802" max="12802" width="1.44140625" style="179" customWidth="1"/>
    <col min="12803" max="12803" width="61.21875" style="179" customWidth="1"/>
    <col min="12804" max="12809" width="7.33203125" style="179"/>
    <col min="12810" max="12810" width="7.33203125" style="179" customWidth="1"/>
    <col min="12811" max="12811" width="7.33203125" style="179"/>
    <col min="12812" max="12812" width="1.33203125" style="179" customWidth="1"/>
    <col min="12813" max="12813" width="5.88671875" style="179" customWidth="1"/>
    <col min="12814" max="12814" width="5.109375" style="179" customWidth="1"/>
    <col min="12815" max="13056" width="7.33203125" style="179"/>
    <col min="13057" max="13057" width="23.44140625" style="179" customWidth="1"/>
    <col min="13058" max="13058" width="1.44140625" style="179" customWidth="1"/>
    <col min="13059" max="13059" width="61.21875" style="179" customWidth="1"/>
    <col min="13060" max="13065" width="7.33203125" style="179"/>
    <col min="13066" max="13066" width="7.33203125" style="179" customWidth="1"/>
    <col min="13067" max="13067" width="7.33203125" style="179"/>
    <col min="13068" max="13068" width="1.33203125" style="179" customWidth="1"/>
    <col min="13069" max="13069" width="5.88671875" style="179" customWidth="1"/>
    <col min="13070" max="13070" width="5.109375" style="179" customWidth="1"/>
    <col min="13071" max="13312" width="7.33203125" style="179"/>
    <col min="13313" max="13313" width="23.44140625" style="179" customWidth="1"/>
    <col min="13314" max="13314" width="1.44140625" style="179" customWidth="1"/>
    <col min="13315" max="13315" width="61.21875" style="179" customWidth="1"/>
    <col min="13316" max="13321" width="7.33203125" style="179"/>
    <col min="13322" max="13322" width="7.33203125" style="179" customWidth="1"/>
    <col min="13323" max="13323" width="7.33203125" style="179"/>
    <col min="13324" max="13324" width="1.33203125" style="179" customWidth="1"/>
    <col min="13325" max="13325" width="5.88671875" style="179" customWidth="1"/>
    <col min="13326" max="13326" width="5.109375" style="179" customWidth="1"/>
    <col min="13327" max="13568" width="7.33203125" style="179"/>
    <col min="13569" max="13569" width="23.44140625" style="179" customWidth="1"/>
    <col min="13570" max="13570" width="1.44140625" style="179" customWidth="1"/>
    <col min="13571" max="13571" width="61.21875" style="179" customWidth="1"/>
    <col min="13572" max="13577" width="7.33203125" style="179"/>
    <col min="13578" max="13578" width="7.33203125" style="179" customWidth="1"/>
    <col min="13579" max="13579" width="7.33203125" style="179"/>
    <col min="13580" max="13580" width="1.33203125" style="179" customWidth="1"/>
    <col min="13581" max="13581" width="5.88671875" style="179" customWidth="1"/>
    <col min="13582" max="13582" width="5.109375" style="179" customWidth="1"/>
    <col min="13583" max="13824" width="7.33203125" style="179"/>
    <col min="13825" max="13825" width="23.44140625" style="179" customWidth="1"/>
    <col min="13826" max="13826" width="1.44140625" style="179" customWidth="1"/>
    <col min="13827" max="13827" width="61.21875" style="179" customWidth="1"/>
    <col min="13828" max="13833" width="7.33203125" style="179"/>
    <col min="13834" max="13834" width="7.33203125" style="179" customWidth="1"/>
    <col min="13835" max="13835" width="7.33203125" style="179"/>
    <col min="13836" max="13836" width="1.33203125" style="179" customWidth="1"/>
    <col min="13837" max="13837" width="5.88671875" style="179" customWidth="1"/>
    <col min="13838" max="13838" width="5.109375" style="179" customWidth="1"/>
    <col min="13839" max="14080" width="7.33203125" style="179"/>
    <col min="14081" max="14081" width="23.44140625" style="179" customWidth="1"/>
    <col min="14082" max="14082" width="1.44140625" style="179" customWidth="1"/>
    <col min="14083" max="14083" width="61.21875" style="179" customWidth="1"/>
    <col min="14084" max="14089" width="7.33203125" style="179"/>
    <col min="14090" max="14090" width="7.33203125" style="179" customWidth="1"/>
    <col min="14091" max="14091" width="7.33203125" style="179"/>
    <col min="14092" max="14092" width="1.33203125" style="179" customWidth="1"/>
    <col min="14093" max="14093" width="5.88671875" style="179" customWidth="1"/>
    <col min="14094" max="14094" width="5.109375" style="179" customWidth="1"/>
    <col min="14095" max="14336" width="7.33203125" style="179"/>
    <col min="14337" max="14337" width="23.44140625" style="179" customWidth="1"/>
    <col min="14338" max="14338" width="1.44140625" style="179" customWidth="1"/>
    <col min="14339" max="14339" width="61.21875" style="179" customWidth="1"/>
    <col min="14340" max="14345" width="7.33203125" style="179"/>
    <col min="14346" max="14346" width="7.33203125" style="179" customWidth="1"/>
    <col min="14347" max="14347" width="7.33203125" style="179"/>
    <col min="14348" max="14348" width="1.33203125" style="179" customWidth="1"/>
    <col min="14349" max="14349" width="5.88671875" style="179" customWidth="1"/>
    <col min="14350" max="14350" width="5.109375" style="179" customWidth="1"/>
    <col min="14351" max="14592" width="7.33203125" style="179"/>
    <col min="14593" max="14593" width="23.44140625" style="179" customWidth="1"/>
    <col min="14594" max="14594" width="1.44140625" style="179" customWidth="1"/>
    <col min="14595" max="14595" width="61.21875" style="179" customWidth="1"/>
    <col min="14596" max="14601" width="7.33203125" style="179"/>
    <col min="14602" max="14602" width="7.33203125" style="179" customWidth="1"/>
    <col min="14603" max="14603" width="7.33203125" style="179"/>
    <col min="14604" max="14604" width="1.33203125" style="179" customWidth="1"/>
    <col min="14605" max="14605" width="5.88671875" style="179" customWidth="1"/>
    <col min="14606" max="14606" width="5.109375" style="179" customWidth="1"/>
    <col min="14607" max="14848" width="7.33203125" style="179"/>
    <col min="14849" max="14849" width="23.44140625" style="179" customWidth="1"/>
    <col min="14850" max="14850" width="1.44140625" style="179" customWidth="1"/>
    <col min="14851" max="14851" width="61.21875" style="179" customWidth="1"/>
    <col min="14852" max="14857" width="7.33203125" style="179"/>
    <col min="14858" max="14858" width="7.33203125" style="179" customWidth="1"/>
    <col min="14859" max="14859" width="7.33203125" style="179"/>
    <col min="14860" max="14860" width="1.33203125" style="179" customWidth="1"/>
    <col min="14861" max="14861" width="5.88671875" style="179" customWidth="1"/>
    <col min="14862" max="14862" width="5.109375" style="179" customWidth="1"/>
    <col min="14863" max="15104" width="7.33203125" style="179"/>
    <col min="15105" max="15105" width="23.44140625" style="179" customWidth="1"/>
    <col min="15106" max="15106" width="1.44140625" style="179" customWidth="1"/>
    <col min="15107" max="15107" width="61.21875" style="179" customWidth="1"/>
    <col min="15108" max="15113" width="7.33203125" style="179"/>
    <col min="15114" max="15114" width="7.33203125" style="179" customWidth="1"/>
    <col min="15115" max="15115" width="7.33203125" style="179"/>
    <col min="15116" max="15116" width="1.33203125" style="179" customWidth="1"/>
    <col min="15117" max="15117" width="5.88671875" style="179" customWidth="1"/>
    <col min="15118" max="15118" width="5.109375" style="179" customWidth="1"/>
    <col min="15119" max="15360" width="7.33203125" style="179"/>
    <col min="15361" max="15361" width="23.44140625" style="179" customWidth="1"/>
    <col min="15362" max="15362" width="1.44140625" style="179" customWidth="1"/>
    <col min="15363" max="15363" width="61.21875" style="179" customWidth="1"/>
    <col min="15364" max="15369" width="7.33203125" style="179"/>
    <col min="15370" max="15370" width="7.33203125" style="179" customWidth="1"/>
    <col min="15371" max="15371" width="7.33203125" style="179"/>
    <col min="15372" max="15372" width="1.33203125" style="179" customWidth="1"/>
    <col min="15373" max="15373" width="5.88671875" style="179" customWidth="1"/>
    <col min="15374" max="15374" width="5.109375" style="179" customWidth="1"/>
    <col min="15375" max="15616" width="7.33203125" style="179"/>
    <col min="15617" max="15617" width="23.44140625" style="179" customWidth="1"/>
    <col min="15618" max="15618" width="1.44140625" style="179" customWidth="1"/>
    <col min="15619" max="15619" width="61.21875" style="179" customWidth="1"/>
    <col min="15620" max="15625" width="7.33203125" style="179"/>
    <col min="15626" max="15626" width="7.33203125" style="179" customWidth="1"/>
    <col min="15627" max="15627" width="7.33203125" style="179"/>
    <col min="15628" max="15628" width="1.33203125" style="179" customWidth="1"/>
    <col min="15629" max="15629" width="5.88671875" style="179" customWidth="1"/>
    <col min="15630" max="15630" width="5.109375" style="179" customWidth="1"/>
    <col min="15631" max="15872" width="7.33203125" style="179"/>
    <col min="15873" max="15873" width="23.44140625" style="179" customWidth="1"/>
    <col min="15874" max="15874" width="1.44140625" style="179" customWidth="1"/>
    <col min="15875" max="15875" width="61.21875" style="179" customWidth="1"/>
    <col min="15876" max="15881" width="7.33203125" style="179"/>
    <col min="15882" max="15882" width="7.33203125" style="179" customWidth="1"/>
    <col min="15883" max="15883" width="7.33203125" style="179"/>
    <col min="15884" max="15884" width="1.33203125" style="179" customWidth="1"/>
    <col min="15885" max="15885" width="5.88671875" style="179" customWidth="1"/>
    <col min="15886" max="15886" width="5.109375" style="179" customWidth="1"/>
    <col min="15887" max="16128" width="7.33203125" style="179"/>
    <col min="16129" max="16129" width="23.44140625" style="179" customWidth="1"/>
    <col min="16130" max="16130" width="1.44140625" style="179" customWidth="1"/>
    <col min="16131" max="16131" width="61.21875" style="179" customWidth="1"/>
    <col min="16132" max="16137" width="7.33203125" style="179"/>
    <col min="16138" max="16138" width="7.33203125" style="179" customWidth="1"/>
    <col min="16139" max="16139" width="7.33203125" style="179"/>
    <col min="16140" max="16140" width="1.33203125" style="179" customWidth="1"/>
    <col min="16141" max="16141" width="5.88671875" style="179" customWidth="1"/>
    <col min="16142" max="16142" width="5.109375" style="179" customWidth="1"/>
    <col min="16143" max="16384" width="7.33203125" style="179"/>
  </cols>
  <sheetData>
    <row r="1" spans="1:3" ht="15" customHeight="1">
      <c r="A1" s="178"/>
    </row>
    <row r="2" spans="1:3" ht="15" customHeight="1"/>
    <row r="3" spans="1:3" ht="15" customHeight="1">
      <c r="A3" s="704" t="s">
        <v>1635</v>
      </c>
      <c r="B3" s="704"/>
      <c r="C3" s="704"/>
    </row>
    <row r="4" spans="1:3" ht="15" customHeight="1"/>
    <row r="5" spans="1:3" ht="15" customHeight="1">
      <c r="A5" s="704" t="s">
        <v>1636</v>
      </c>
      <c r="B5" s="704"/>
      <c r="C5" s="704"/>
    </row>
    <row r="6" spans="1:3" ht="15" customHeight="1"/>
    <row r="7" spans="1:3" ht="15" customHeight="1">
      <c r="A7" s="704" t="str">
        <f>'Rate Case Constants'!C9</f>
        <v>KENTUCKY UTILITIES COMPANY</v>
      </c>
      <c r="B7" s="704"/>
      <c r="C7" s="704"/>
    </row>
    <row r="8" spans="1:3" ht="15" customHeight="1">
      <c r="A8"/>
      <c r="B8"/>
      <c r="C8"/>
    </row>
    <row r="9" spans="1:3" ht="15" customHeight="1">
      <c r="A9" s="704" t="str">
        <f>'Rate Case Constants'!C10</f>
        <v>CASE NO. 2016-00370</v>
      </c>
      <c r="B9" s="704"/>
      <c r="C9" s="704"/>
    </row>
    <row r="10" spans="1:3" ht="15" customHeight="1"/>
    <row r="11" spans="1:3" ht="15" customHeight="1">
      <c r="A11" s="180" t="s">
        <v>1637</v>
      </c>
      <c r="C11" s="180" t="str">
        <f>'Rate Case Constants'!C16</f>
        <v>FOR THE 12 MONTHS ENDED FEBRUARY 28, 2017</v>
      </c>
    </row>
    <row r="12" spans="1:3" ht="15" customHeight="1">
      <c r="C12"/>
    </row>
    <row r="13" spans="1:3" ht="15" customHeight="1">
      <c r="A13" s="180" t="s">
        <v>1638</v>
      </c>
      <c r="C13" s="180" t="str">
        <f>'Rate Case Constants'!C22</f>
        <v>FOR THE 12 MONTHS ENDED JUNE 30, 2018</v>
      </c>
    </row>
    <row r="14" spans="1:3" ht="15" customHeight="1"/>
    <row r="15" spans="1:3" ht="15" customHeight="1"/>
    <row r="16" spans="1:3" ht="15" customHeight="1"/>
    <row r="17" spans="1:9" ht="15" customHeight="1">
      <c r="A17" s="181" t="s">
        <v>1623</v>
      </c>
      <c r="B17" s="182"/>
      <c r="C17" s="181" t="s">
        <v>208</v>
      </c>
      <c r="D17" s="183"/>
      <c r="E17" s="183"/>
      <c r="F17" s="183"/>
      <c r="G17" s="183"/>
      <c r="H17" s="183"/>
      <c r="I17" s="183"/>
    </row>
    <row r="18" spans="1:9" ht="15" customHeight="1"/>
    <row r="19" spans="1:9" ht="15" customHeight="1"/>
    <row r="20" spans="1:9" ht="15" customHeight="1">
      <c r="A20" s="184" t="s">
        <v>1612</v>
      </c>
      <c r="B20" s="185"/>
      <c r="C20" s="184" t="s">
        <v>1639</v>
      </c>
    </row>
    <row r="21" spans="1:9" ht="15" customHeight="1">
      <c r="A21" s="184" t="s">
        <v>1191</v>
      </c>
      <c r="B21" s="185"/>
      <c r="C21" s="184" t="s">
        <v>1640</v>
      </c>
    </row>
    <row r="22" spans="1:9" ht="15" customHeight="1">
      <c r="A22" s="184" t="s">
        <v>1613</v>
      </c>
      <c r="B22" s="185"/>
      <c r="C22" s="184" t="s">
        <v>224</v>
      </c>
    </row>
    <row r="23" spans="1:9" ht="15" customHeight="1">
      <c r="A23" s="184" t="s">
        <v>1614</v>
      </c>
      <c r="B23" s="185"/>
      <c r="C23" s="184" t="s">
        <v>218</v>
      </c>
    </row>
    <row r="24" spans="1:9" ht="15" customHeight="1">
      <c r="A24" s="179" t="s">
        <v>1615</v>
      </c>
      <c r="C24" s="179" t="s">
        <v>1641</v>
      </c>
    </row>
    <row r="25" spans="1:9" ht="15" customHeight="1">
      <c r="A25" s="179" t="s">
        <v>1616</v>
      </c>
      <c r="C25" s="179" t="s">
        <v>182</v>
      </c>
    </row>
    <row r="26" spans="1:9" ht="15" customHeight="1">
      <c r="A26" s="179" t="s">
        <v>1617</v>
      </c>
      <c r="C26" s="179" t="s">
        <v>189</v>
      </c>
    </row>
    <row r="27" spans="1:9" ht="15" customHeight="1">
      <c r="A27" s="179" t="s">
        <v>1192</v>
      </c>
      <c r="C27" s="179" t="s">
        <v>198</v>
      </c>
    </row>
    <row r="28" spans="1:9" ht="15" customHeight="1">
      <c r="A28" s="179" t="s">
        <v>1624</v>
      </c>
      <c r="C28" s="179" t="s">
        <v>211</v>
      </c>
    </row>
    <row r="29" spans="1:9" ht="15" customHeight="1">
      <c r="A29" s="179" t="s">
        <v>1193</v>
      </c>
      <c r="C29" s="179" t="s">
        <v>1206</v>
      </c>
    </row>
    <row r="30" spans="1:9" ht="15" customHeight="1">
      <c r="A30" s="179" t="s">
        <v>1618</v>
      </c>
      <c r="C30" s="179" t="s">
        <v>1213</v>
      </c>
    </row>
    <row r="31" spans="1:9" ht="15" customHeight="1">
      <c r="A31" s="179" t="s">
        <v>2097</v>
      </c>
      <c r="C31" s="179" t="s">
        <v>1249</v>
      </c>
    </row>
    <row r="32" spans="1:9" ht="15" customHeight="1">
      <c r="A32" s="179" t="s">
        <v>1195</v>
      </c>
      <c r="C32" s="179" t="s">
        <v>479</v>
      </c>
    </row>
    <row r="33" spans="1:5" ht="15" customHeight="1">
      <c r="A33" s="179" t="s">
        <v>1619</v>
      </c>
      <c r="C33" s="179" t="s">
        <v>1766</v>
      </c>
    </row>
    <row r="34" spans="1:5" ht="15" customHeight="1">
      <c r="A34" s="179" t="s">
        <v>2098</v>
      </c>
      <c r="C34" s="179" t="s">
        <v>1225</v>
      </c>
    </row>
    <row r="35" spans="1:5" ht="15" customHeight="1">
      <c r="A35" s="179" t="s">
        <v>1194</v>
      </c>
      <c r="C35" s="179" t="s">
        <v>1462</v>
      </c>
    </row>
    <row r="36" spans="1:5" ht="15" customHeight="1">
      <c r="A36" s="179" t="s">
        <v>1474</v>
      </c>
      <c r="C36" s="179" t="s">
        <v>1480</v>
      </c>
    </row>
    <row r="37" spans="1:5" ht="15" customHeight="1">
      <c r="A37" s="179" t="s">
        <v>1475</v>
      </c>
      <c r="C37" s="179" t="s">
        <v>1481</v>
      </c>
    </row>
    <row r="38" spans="1:5" ht="15" customHeight="1">
      <c r="A38" s="179" t="s">
        <v>1198</v>
      </c>
      <c r="C38" s="179" t="s">
        <v>1642</v>
      </c>
    </row>
    <row r="39" spans="1:5" ht="15" customHeight="1">
      <c r="A39" s="179" t="s">
        <v>1620</v>
      </c>
      <c r="C39" s="179" t="s">
        <v>1643</v>
      </c>
    </row>
    <row r="40" spans="1:5" ht="15" customHeight="1">
      <c r="A40" s="179" t="s">
        <v>1621</v>
      </c>
      <c r="C40" s="179" t="s">
        <v>1516</v>
      </c>
    </row>
    <row r="41" spans="1:5" ht="15" customHeight="1">
      <c r="A41" s="179" t="s">
        <v>1622</v>
      </c>
      <c r="C41" s="179" t="s">
        <v>1644</v>
      </c>
    </row>
    <row r="42" spans="1:5" ht="15" customHeight="1">
      <c r="A42" s="179" t="s">
        <v>1625</v>
      </c>
      <c r="C42" s="179" t="s">
        <v>1503</v>
      </c>
    </row>
    <row r="43" spans="1:5">
      <c r="D43" s="186"/>
      <c r="E43" s="186"/>
    </row>
    <row r="44" spans="1:5">
      <c r="D44" s="186"/>
      <c r="E44" s="186"/>
    </row>
    <row r="45" spans="1:5">
      <c r="D45" s="186"/>
      <c r="E45" s="186"/>
    </row>
    <row r="46" spans="1:5">
      <c r="D46" s="186"/>
      <c r="E46" s="186"/>
    </row>
    <row r="47" spans="1:5">
      <c r="D47" s="186"/>
      <c r="E47" s="186"/>
    </row>
    <row r="48" spans="1:5">
      <c r="D48" s="186"/>
      <c r="E48" s="186"/>
    </row>
    <row r="49" spans="4:5">
      <c r="D49" s="186"/>
      <c r="E49" s="186"/>
    </row>
    <row r="50" spans="4:5">
      <c r="D50" s="186"/>
      <c r="E50" s="186"/>
    </row>
    <row r="51" spans="4:5">
      <c r="D51" s="186"/>
      <c r="E51" s="186"/>
    </row>
    <row r="52" spans="4:5">
      <c r="D52" s="186"/>
      <c r="E52" s="186"/>
    </row>
  </sheetData>
  <mergeCells count="4">
    <mergeCell ref="A3:C3"/>
    <mergeCell ref="A5:C5"/>
    <mergeCell ref="A7:C7"/>
    <mergeCell ref="A9:C9"/>
  </mergeCells>
  <printOptions horizontalCentered="1"/>
  <pageMargins left="1" right="0.75" top="1" bottom="0.75" header="0.3" footer="0.3"/>
  <pageSetup scale="85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pageSetUpPr fitToPage="1"/>
  </sheetPr>
  <dimension ref="A1:Q75"/>
  <sheetViews>
    <sheetView zoomScale="85" zoomScaleNormal="85" workbookViewId="0">
      <pane xSplit="2" ySplit="3" topLeftCell="C4" activePane="bottomRight" state="frozen"/>
      <selection activeCell="H27" sqref="H27"/>
      <selection pane="topRight" activeCell="H27" sqref="H27"/>
      <selection pane="bottomLeft" activeCell="H27" sqref="H27"/>
      <selection pane="bottomRight" activeCell="F28" sqref="F28"/>
    </sheetView>
  </sheetViews>
  <sheetFormatPr defaultColWidth="9" defaultRowHeight="15"/>
  <cols>
    <col min="1" max="1" width="9" style="661"/>
    <col min="2" max="2" width="38.88671875" style="667" customWidth="1"/>
    <col min="3" max="4" width="9.33203125" style="661" customWidth="1"/>
    <col min="5" max="5" width="10.33203125" style="661" customWidth="1"/>
    <col min="6" max="15" width="9.33203125" style="661" customWidth="1"/>
    <col min="16" max="16384" width="9" style="661"/>
  </cols>
  <sheetData>
    <row r="1" spans="2:17" s="658" customFormat="1">
      <c r="B1" s="657"/>
    </row>
    <row r="2" spans="2:17" s="658" customFormat="1">
      <c r="B2" s="659" t="s">
        <v>1908</v>
      </c>
      <c r="C2" s="429" t="s">
        <v>2328</v>
      </c>
      <c r="D2" s="429" t="s">
        <v>2329</v>
      </c>
      <c r="E2" s="429" t="s">
        <v>2330</v>
      </c>
      <c r="F2" s="429" t="s">
        <v>2331</v>
      </c>
      <c r="G2" s="429" t="s">
        <v>2332</v>
      </c>
      <c r="H2" s="429" t="s">
        <v>2333</v>
      </c>
      <c r="I2" s="429" t="s">
        <v>2334</v>
      </c>
      <c r="J2" s="429" t="s">
        <v>2335</v>
      </c>
      <c r="K2" s="429" t="s">
        <v>2336</v>
      </c>
      <c r="L2" s="429" t="s">
        <v>2337</v>
      </c>
      <c r="M2" s="429" t="s">
        <v>2338</v>
      </c>
      <c r="N2" s="429" t="s">
        <v>2339</v>
      </c>
      <c r="O2" s="429" t="s">
        <v>3323</v>
      </c>
    </row>
    <row r="3" spans="2:17" s="658" customFormat="1">
      <c r="B3" s="660" t="s">
        <v>1907</v>
      </c>
    </row>
    <row r="4" spans="2:17">
      <c r="B4" s="659"/>
    </row>
    <row r="5" spans="2:17">
      <c r="B5" s="200" t="s">
        <v>3312</v>
      </c>
      <c r="C5" s="432">
        <f>C64/1000</f>
        <v>2103.5529999999999</v>
      </c>
      <c r="D5" s="432">
        <f t="shared" ref="D5:H5" si="0">D64/1000</f>
        <v>2104.3490000000002</v>
      </c>
      <c r="E5" s="432">
        <f t="shared" si="0"/>
        <v>2105.1460000000002</v>
      </c>
      <c r="F5" s="432">
        <f t="shared" si="0"/>
        <v>2105.1460000000002</v>
      </c>
      <c r="G5" s="432">
        <f t="shared" si="0"/>
        <v>2114.7800000000002</v>
      </c>
      <c r="H5" s="432">
        <f t="shared" si="0"/>
        <v>2135.127</v>
      </c>
      <c r="I5" s="662">
        <v>2286.3558106592</v>
      </c>
      <c r="J5" s="662">
        <v>2417.2971215681901</v>
      </c>
      <c r="K5" s="662">
        <v>2443.0635462441901</v>
      </c>
      <c r="L5" s="662">
        <v>2460.91230200783</v>
      </c>
      <c r="M5" s="662">
        <v>2471.7345550148202</v>
      </c>
      <c r="N5" s="662">
        <v>2474.6817841816001</v>
      </c>
      <c r="O5" s="432">
        <f t="shared" ref="O5:O6" si="1">SUM(C5:N5)</f>
        <v>27222.146119675832</v>
      </c>
    </row>
    <row r="6" spans="2:17">
      <c r="B6" s="200" t="s">
        <v>3313</v>
      </c>
      <c r="C6" s="432">
        <f t="shared" ref="C6:H13" ca="1" si="2">C65/1000</f>
        <v>0</v>
      </c>
      <c r="D6" s="432">
        <f t="shared" ca="1" si="2"/>
        <v>0</v>
      </c>
      <c r="E6" s="432">
        <f t="shared" ca="1" si="2"/>
        <v>0</v>
      </c>
      <c r="F6" s="432">
        <f t="shared" ca="1" si="2"/>
        <v>0</v>
      </c>
      <c r="G6" s="432">
        <f t="shared" ca="1" si="2"/>
        <v>0</v>
      </c>
      <c r="H6" s="432">
        <f t="shared" ca="1" si="2"/>
        <v>33.928719999999991</v>
      </c>
      <c r="I6" s="662">
        <v>25.733381811605501</v>
      </c>
      <c r="J6" s="662">
        <v>32.392492137570699</v>
      </c>
      <c r="K6" s="662">
        <v>39.047813073743399</v>
      </c>
      <c r="L6" s="662">
        <v>47.714060874725</v>
      </c>
      <c r="M6" s="662">
        <v>49.421382950541101</v>
      </c>
      <c r="N6" s="662">
        <v>51.127480332635102</v>
      </c>
      <c r="O6" s="432">
        <f t="shared" ca="1" si="1"/>
        <v>279.36533118082076</v>
      </c>
      <c r="P6" s="662"/>
      <c r="Q6" s="662"/>
    </row>
    <row r="7" spans="2:17">
      <c r="B7" s="200" t="s">
        <v>3314</v>
      </c>
      <c r="C7" s="432">
        <f t="shared" ca="1" si="2"/>
        <v>145.85</v>
      </c>
      <c r="D7" s="432">
        <f t="shared" ca="1" si="2"/>
        <v>144.624</v>
      </c>
      <c r="E7" s="432">
        <f t="shared" ca="1" si="2"/>
        <v>144.624</v>
      </c>
      <c r="F7" s="432">
        <f t="shared" ca="1" si="2"/>
        <v>144.624</v>
      </c>
      <c r="G7" s="432">
        <f t="shared" ca="1" si="2"/>
        <v>144.624</v>
      </c>
      <c r="H7" s="432">
        <f t="shared" ca="1" si="2"/>
        <v>144.624</v>
      </c>
      <c r="I7" s="662">
        <v>155.87370000000001</v>
      </c>
      <c r="J7" s="662">
        <v>155.87370000000001</v>
      </c>
      <c r="K7" s="662">
        <v>155.87370000000001</v>
      </c>
      <c r="L7" s="662">
        <v>155.87370000000001</v>
      </c>
      <c r="M7" s="662">
        <v>164.42022793493999</v>
      </c>
      <c r="N7" s="662">
        <v>164.42022793493999</v>
      </c>
      <c r="O7" s="432">
        <f ca="1">SUM(C7:N7)</f>
        <v>1821.3052558698803</v>
      </c>
    </row>
    <row r="8" spans="2:17">
      <c r="B8" s="200" t="s">
        <v>3315</v>
      </c>
      <c r="C8" s="432">
        <f t="shared" ca="1" si="2"/>
        <v>-0.08</v>
      </c>
      <c r="D8" s="432">
        <f t="shared" ca="1" si="2"/>
        <v>0</v>
      </c>
      <c r="E8" s="432">
        <f t="shared" ca="1" si="2"/>
        <v>0</v>
      </c>
      <c r="F8" s="432">
        <f t="shared" ca="1" si="2"/>
        <v>0</v>
      </c>
      <c r="G8" s="432">
        <f t="shared" ca="1" si="2"/>
        <v>0</v>
      </c>
      <c r="H8" s="432">
        <f t="shared" ca="1" si="2"/>
        <v>0</v>
      </c>
      <c r="I8" s="662">
        <v>0</v>
      </c>
      <c r="J8" s="662">
        <v>0</v>
      </c>
      <c r="K8" s="662">
        <v>0</v>
      </c>
      <c r="L8" s="662">
        <v>0</v>
      </c>
      <c r="M8" s="662">
        <v>0</v>
      </c>
      <c r="N8" s="662">
        <v>0</v>
      </c>
      <c r="O8" s="432">
        <f t="shared" ref="O8:O15" ca="1" si="3">SUM(C8:N8)</f>
        <v>-0.08</v>
      </c>
    </row>
    <row r="9" spans="2:17">
      <c r="B9" s="200" t="s">
        <v>3316</v>
      </c>
      <c r="C9" s="432">
        <f t="shared" ca="1" si="2"/>
        <v>7.5947100000000001</v>
      </c>
      <c r="D9" s="432">
        <f t="shared" ca="1" si="2"/>
        <v>18.29016</v>
      </c>
      <c r="E9" s="432">
        <f t="shared" ca="1" si="2"/>
        <v>-3.8938899999999994</v>
      </c>
      <c r="F9" s="432">
        <f t="shared" ca="1" si="2"/>
        <v>28.010159999999999</v>
      </c>
      <c r="G9" s="432">
        <f t="shared" ca="1" si="2"/>
        <v>22.765560000000001</v>
      </c>
      <c r="H9" s="432">
        <f t="shared" ca="1" si="2"/>
        <v>25.445799999999995</v>
      </c>
      <c r="I9" s="662">
        <v>-0.92600000000000005</v>
      </c>
      <c r="J9" s="662">
        <v>-12.426</v>
      </c>
      <c r="K9" s="662">
        <v>-12.426</v>
      </c>
      <c r="L9" s="662">
        <v>-12.426</v>
      </c>
      <c r="M9" s="662">
        <v>9.6639999999999997</v>
      </c>
      <c r="N9" s="662">
        <v>9.6639999999999997</v>
      </c>
      <c r="O9" s="432">
        <f t="shared" ca="1" si="3"/>
        <v>79.336499999999987</v>
      </c>
    </row>
    <row r="10" spans="2:17">
      <c r="B10" s="200" t="s">
        <v>3317</v>
      </c>
      <c r="C10" s="432">
        <f t="shared" ca="1" si="2"/>
        <v>320.14117666666664</v>
      </c>
      <c r="D10" s="432">
        <f t="shared" ca="1" si="2"/>
        <v>319.16152666666665</v>
      </c>
      <c r="E10" s="432">
        <f t="shared" ca="1" si="2"/>
        <v>323.22558666666669</v>
      </c>
      <c r="F10" s="432">
        <f t="shared" ca="1" si="2"/>
        <v>326.00787666666668</v>
      </c>
      <c r="G10" s="432">
        <f t="shared" ca="1" si="2"/>
        <v>327.67643666666663</v>
      </c>
      <c r="H10" s="432">
        <f t="shared" ca="1" si="2"/>
        <v>322.05076666666673</v>
      </c>
      <c r="I10" s="662">
        <v>299.43700000000001</v>
      </c>
      <c r="J10" s="662">
        <v>360.096</v>
      </c>
      <c r="K10" s="662">
        <v>351.81700000000001</v>
      </c>
      <c r="L10" s="662">
        <v>362.55399999999997</v>
      </c>
      <c r="M10" s="662">
        <v>446.90800000000002</v>
      </c>
      <c r="N10" s="662">
        <v>441.861999999999</v>
      </c>
      <c r="O10" s="432">
        <f t="shared" ca="1" si="3"/>
        <v>4200.9373699999987</v>
      </c>
    </row>
    <row r="11" spans="2:17">
      <c r="B11" s="200" t="s">
        <v>3318</v>
      </c>
      <c r="C11" s="432">
        <f t="shared" ca="1" si="2"/>
        <v>1180.7662600000001</v>
      </c>
      <c r="D11" s="432">
        <f t="shared" ca="1" si="2"/>
        <v>1031.35058</v>
      </c>
      <c r="E11" s="432">
        <f t="shared" ca="1" si="2"/>
        <v>1147.4330400000001</v>
      </c>
      <c r="F11" s="432">
        <f t="shared" ca="1" si="2"/>
        <v>1263.68722</v>
      </c>
      <c r="G11" s="432">
        <f t="shared" ca="1" si="2"/>
        <v>1647.2498500000002</v>
      </c>
      <c r="H11" s="432">
        <f t="shared" ca="1" si="2"/>
        <v>1817.2011800000002</v>
      </c>
      <c r="I11" s="662">
        <v>1376.644</v>
      </c>
      <c r="J11" s="662">
        <v>1312.6369999999999</v>
      </c>
      <c r="K11" s="662">
        <v>1381.761</v>
      </c>
      <c r="L11" s="662">
        <v>1532.759</v>
      </c>
      <c r="M11" s="662">
        <v>1352.3239999999901</v>
      </c>
      <c r="N11" s="662">
        <v>1204.5539999999901</v>
      </c>
      <c r="O11" s="432">
        <f t="shared" ca="1" si="3"/>
        <v>16248.367129999981</v>
      </c>
    </row>
    <row r="12" spans="2:17">
      <c r="B12" s="200" t="s">
        <v>3319</v>
      </c>
      <c r="C12" s="635">
        <f t="shared" ca="1" si="2"/>
        <v>0.48399999999999999</v>
      </c>
      <c r="D12" s="635">
        <f t="shared" ca="1" si="2"/>
        <v>0.41399999999999998</v>
      </c>
      <c r="E12" s="635">
        <f t="shared" ca="1" si="2"/>
        <v>0.48899999999999999</v>
      </c>
      <c r="F12" s="635">
        <f t="shared" ca="1" si="2"/>
        <v>0.51200000000000001</v>
      </c>
      <c r="G12" s="635">
        <f t="shared" ca="1" si="2"/>
        <v>0.498</v>
      </c>
      <c r="H12" s="635">
        <f t="shared" ca="1" si="2"/>
        <v>0.57299999999999995</v>
      </c>
      <c r="I12" s="662">
        <v>1</v>
      </c>
      <c r="J12" s="662">
        <v>1</v>
      </c>
      <c r="K12" s="662">
        <v>1</v>
      </c>
      <c r="L12" s="662">
        <v>1</v>
      </c>
      <c r="M12" s="662">
        <v>0.25</v>
      </c>
      <c r="N12" s="662">
        <v>0.25</v>
      </c>
      <c r="O12" s="635">
        <f t="shared" ca="1" si="3"/>
        <v>7.4700000000000006</v>
      </c>
    </row>
    <row r="13" spans="2:17">
      <c r="B13" s="200" t="s">
        <v>3320</v>
      </c>
      <c r="C13" s="635">
        <f t="shared" ca="1" si="2"/>
        <v>377.16462000000001</v>
      </c>
      <c r="D13" s="635">
        <f t="shared" ca="1" si="2"/>
        <v>252.77137999999999</v>
      </c>
      <c r="E13" s="635">
        <f t="shared" ca="1" si="2"/>
        <v>232.56038000000001</v>
      </c>
      <c r="F13" s="635">
        <f t="shared" ca="1" si="2"/>
        <v>203.25441000000001</v>
      </c>
      <c r="G13" s="635">
        <f t="shared" ca="1" si="2"/>
        <v>267.77153000000004</v>
      </c>
      <c r="H13" s="635">
        <f t="shared" ca="1" si="2"/>
        <v>296.30457000000001</v>
      </c>
      <c r="I13" s="663">
        <v>601.63099999999997</v>
      </c>
      <c r="J13" s="663">
        <v>453.69799999999998</v>
      </c>
      <c r="K13" s="663">
        <v>472.51600000000002</v>
      </c>
      <c r="L13" s="663">
        <v>591.44399999999996</v>
      </c>
      <c r="M13" s="663">
        <v>293.45599999999899</v>
      </c>
      <c r="N13" s="663">
        <v>302.82900000000001</v>
      </c>
      <c r="O13" s="635">
        <f t="shared" ca="1" si="3"/>
        <v>4345.400889999999</v>
      </c>
    </row>
    <row r="14" spans="2:17">
      <c r="B14" s="200" t="s">
        <v>3321</v>
      </c>
      <c r="C14" s="199">
        <v>0</v>
      </c>
      <c r="D14" s="199">
        <v>0</v>
      </c>
      <c r="E14" s="199">
        <v>0</v>
      </c>
      <c r="F14" s="199">
        <v>0</v>
      </c>
      <c r="G14" s="199">
        <v>0</v>
      </c>
      <c r="H14" s="199">
        <v>0</v>
      </c>
      <c r="I14" s="663"/>
      <c r="J14" s="663"/>
      <c r="K14" s="663"/>
      <c r="L14" s="663"/>
      <c r="M14" s="663"/>
      <c r="N14" s="663"/>
      <c r="O14" s="432">
        <f t="shared" si="3"/>
        <v>0</v>
      </c>
    </row>
    <row r="15" spans="2:17">
      <c r="B15" s="200" t="s">
        <v>3322</v>
      </c>
      <c r="C15" s="199">
        <f ca="1">C73/1000</f>
        <v>0</v>
      </c>
      <c r="D15" s="199">
        <f t="shared" ref="D15:H15" ca="1" si="4">D73/1000</f>
        <v>0</v>
      </c>
      <c r="E15" s="432">
        <f t="shared" ca="1" si="4"/>
        <v>3.6675999999999997</v>
      </c>
      <c r="F15" s="199">
        <f t="shared" ca="1" si="4"/>
        <v>0</v>
      </c>
      <c r="G15" s="199">
        <f t="shared" ca="1" si="4"/>
        <v>0</v>
      </c>
      <c r="H15" s="199">
        <f t="shared" ca="1" si="4"/>
        <v>0</v>
      </c>
      <c r="I15" s="662"/>
      <c r="J15" s="662"/>
      <c r="K15" s="662"/>
      <c r="L15" s="662"/>
      <c r="M15" s="662"/>
      <c r="N15" s="662"/>
      <c r="O15" s="432">
        <f t="shared" ca="1" si="3"/>
        <v>3.6675999999999997</v>
      </c>
    </row>
    <row r="16" spans="2:17">
      <c r="B16" s="659" t="s">
        <v>2081</v>
      </c>
      <c r="C16" s="636">
        <f t="shared" ref="C16:H16" ca="1" si="5">SUM(C4:C15)</f>
        <v>4135.4737666666661</v>
      </c>
      <c r="D16" s="636">
        <f t="shared" ca="1" si="5"/>
        <v>3870.9606466666669</v>
      </c>
      <c r="E16" s="636">
        <f t="shared" ca="1" si="5"/>
        <v>3953.2517166666667</v>
      </c>
      <c r="F16" s="636">
        <f t="shared" ca="1" si="5"/>
        <v>4071.2416666666668</v>
      </c>
      <c r="G16" s="636">
        <f t="shared" ca="1" si="5"/>
        <v>4525.3653766666666</v>
      </c>
      <c r="H16" s="636">
        <f t="shared" ca="1" si="5"/>
        <v>4775.2550366666674</v>
      </c>
      <c r="I16" s="664">
        <f t="shared" ref="I16:N16" si="6">SUM(I5:I15)</f>
        <v>4745.7488924708059</v>
      </c>
      <c r="J16" s="664">
        <f t="shared" si="6"/>
        <v>4720.5683137057613</v>
      </c>
      <c r="K16" s="664">
        <f t="shared" si="6"/>
        <v>4832.6530593179332</v>
      </c>
      <c r="L16" s="664">
        <f t="shared" si="6"/>
        <v>5139.8310628825548</v>
      </c>
      <c r="M16" s="664">
        <f t="shared" si="6"/>
        <v>4788.1781659002909</v>
      </c>
      <c r="N16" s="664">
        <f t="shared" si="6"/>
        <v>4649.3884924491649</v>
      </c>
      <c r="O16" s="636">
        <f t="shared" ref="O16" ca="1" si="7">SUM(O4:O15)</f>
        <v>54207.916196726503</v>
      </c>
    </row>
    <row r="17" spans="1:15">
      <c r="B17" s="659"/>
    </row>
    <row r="18" spans="1:15" s="199" customFormat="1">
      <c r="B18" s="665" t="s">
        <v>2082</v>
      </c>
    </row>
    <row r="19" spans="1:15">
      <c r="B19" s="200" t="s">
        <v>3316</v>
      </c>
      <c r="C19" s="432">
        <f ca="1">C9</f>
        <v>7.5947100000000001</v>
      </c>
      <c r="D19" s="432">
        <f t="shared" ref="D19:N21" ca="1" si="8">D9</f>
        <v>18.29016</v>
      </c>
      <c r="E19" s="432">
        <f t="shared" ca="1" si="8"/>
        <v>-3.8938899999999994</v>
      </c>
      <c r="F19" s="432">
        <f t="shared" ca="1" si="8"/>
        <v>28.010159999999999</v>
      </c>
      <c r="G19" s="432">
        <f t="shared" ca="1" si="8"/>
        <v>22.765560000000001</v>
      </c>
      <c r="H19" s="432">
        <f t="shared" ca="1" si="8"/>
        <v>25.445799999999995</v>
      </c>
      <c r="I19" s="432">
        <f t="shared" si="8"/>
        <v>-0.92600000000000005</v>
      </c>
      <c r="J19" s="432">
        <f t="shared" si="8"/>
        <v>-12.426</v>
      </c>
      <c r="K19" s="432">
        <f t="shared" si="8"/>
        <v>-12.426</v>
      </c>
      <c r="L19" s="432">
        <f t="shared" si="8"/>
        <v>-12.426</v>
      </c>
      <c r="M19" s="432">
        <f t="shared" si="8"/>
        <v>9.6639999999999997</v>
      </c>
      <c r="N19" s="432">
        <f t="shared" si="8"/>
        <v>9.6639999999999997</v>
      </c>
      <c r="O19" s="432">
        <f t="shared" ref="O19:O22" ca="1" si="9">SUM(C19:N19)</f>
        <v>79.336499999999987</v>
      </c>
    </row>
    <row r="20" spans="1:15">
      <c r="B20" s="200" t="s">
        <v>3317</v>
      </c>
      <c r="C20" s="432">
        <f ca="1">C10</f>
        <v>320.14117666666664</v>
      </c>
      <c r="D20" s="432">
        <f t="shared" ca="1" si="8"/>
        <v>319.16152666666665</v>
      </c>
      <c r="E20" s="432">
        <f t="shared" ca="1" si="8"/>
        <v>323.22558666666669</v>
      </c>
      <c r="F20" s="432">
        <f t="shared" ca="1" si="8"/>
        <v>326.00787666666668</v>
      </c>
      <c r="G20" s="432">
        <f t="shared" ca="1" si="8"/>
        <v>327.67643666666663</v>
      </c>
      <c r="H20" s="432">
        <f t="shared" ca="1" si="8"/>
        <v>322.05076666666673</v>
      </c>
      <c r="I20" s="432">
        <f t="shared" si="8"/>
        <v>299.43700000000001</v>
      </c>
      <c r="J20" s="432">
        <f t="shared" si="8"/>
        <v>360.096</v>
      </c>
      <c r="K20" s="432">
        <f t="shared" si="8"/>
        <v>351.81700000000001</v>
      </c>
      <c r="L20" s="432">
        <f t="shared" si="8"/>
        <v>362.55399999999997</v>
      </c>
      <c r="M20" s="432">
        <f t="shared" si="8"/>
        <v>446.90800000000002</v>
      </c>
      <c r="N20" s="432">
        <f t="shared" si="8"/>
        <v>441.861999999999</v>
      </c>
      <c r="O20" s="432">
        <f t="shared" ca="1" si="9"/>
        <v>4200.9373699999987</v>
      </c>
    </row>
    <row r="21" spans="1:15">
      <c r="B21" s="200" t="s">
        <v>3318</v>
      </c>
      <c r="C21" s="432">
        <f ca="1">C11</f>
        <v>1180.7662600000001</v>
      </c>
      <c r="D21" s="432">
        <f t="shared" ca="1" si="8"/>
        <v>1031.35058</v>
      </c>
      <c r="E21" s="432">
        <f t="shared" ca="1" si="8"/>
        <v>1147.4330400000001</v>
      </c>
      <c r="F21" s="432">
        <f t="shared" ca="1" si="8"/>
        <v>1263.68722</v>
      </c>
      <c r="G21" s="432">
        <f t="shared" ca="1" si="8"/>
        <v>1647.2498500000002</v>
      </c>
      <c r="H21" s="432">
        <f t="shared" ca="1" si="8"/>
        <v>1817.2011800000002</v>
      </c>
      <c r="I21" s="432">
        <f t="shared" si="8"/>
        <v>1376.644</v>
      </c>
      <c r="J21" s="432">
        <f t="shared" si="8"/>
        <v>1312.6369999999999</v>
      </c>
      <c r="K21" s="432">
        <f t="shared" si="8"/>
        <v>1381.761</v>
      </c>
      <c r="L21" s="432">
        <f t="shared" si="8"/>
        <v>1532.759</v>
      </c>
      <c r="M21" s="432">
        <f t="shared" si="8"/>
        <v>1352.3239999999901</v>
      </c>
      <c r="N21" s="432">
        <f t="shared" si="8"/>
        <v>1204.5539999999901</v>
      </c>
      <c r="O21" s="432">
        <f t="shared" ca="1" si="9"/>
        <v>16248.367129999981</v>
      </c>
    </row>
    <row r="22" spans="1:15">
      <c r="B22" s="200" t="s">
        <v>3320</v>
      </c>
      <c r="C22" s="635">
        <f ca="1">C13</f>
        <v>377.16462000000001</v>
      </c>
      <c r="D22" s="635">
        <f t="shared" ref="D22:N22" ca="1" si="10">D13</f>
        <v>252.77137999999999</v>
      </c>
      <c r="E22" s="635">
        <f t="shared" ca="1" si="10"/>
        <v>232.56038000000001</v>
      </c>
      <c r="F22" s="635">
        <f t="shared" ca="1" si="10"/>
        <v>203.25441000000001</v>
      </c>
      <c r="G22" s="635">
        <f t="shared" ca="1" si="10"/>
        <v>267.77153000000004</v>
      </c>
      <c r="H22" s="635">
        <f t="shared" ca="1" si="10"/>
        <v>296.30457000000001</v>
      </c>
      <c r="I22" s="635">
        <f t="shared" si="10"/>
        <v>601.63099999999997</v>
      </c>
      <c r="J22" s="635">
        <f t="shared" si="10"/>
        <v>453.69799999999998</v>
      </c>
      <c r="K22" s="635">
        <f t="shared" si="10"/>
        <v>472.51600000000002</v>
      </c>
      <c r="L22" s="635">
        <f t="shared" si="10"/>
        <v>591.44399999999996</v>
      </c>
      <c r="M22" s="635">
        <f t="shared" si="10"/>
        <v>293.45599999999899</v>
      </c>
      <c r="N22" s="635">
        <f t="shared" si="10"/>
        <v>302.82900000000001</v>
      </c>
      <c r="O22" s="432">
        <f t="shared" ca="1" si="9"/>
        <v>4345.400889999999</v>
      </c>
    </row>
    <row r="23" spans="1:15" s="199" customFormat="1">
      <c r="B23" s="200"/>
      <c r="H23" s="432"/>
    </row>
    <row r="24" spans="1:15" s="199" customFormat="1">
      <c r="B24" s="200" t="s">
        <v>2083</v>
      </c>
      <c r="C24" s="664">
        <f t="shared" ref="C24:N24" ca="1" si="11">SUM(C19:C23)</f>
        <v>1885.6667666666667</v>
      </c>
      <c r="D24" s="664">
        <f t="shared" ca="1" si="11"/>
        <v>1621.5736466666665</v>
      </c>
      <c r="E24" s="664">
        <f t="shared" ca="1" si="11"/>
        <v>1699.3251166666669</v>
      </c>
      <c r="F24" s="664">
        <f t="shared" ca="1" si="11"/>
        <v>1820.9596666666666</v>
      </c>
      <c r="G24" s="664">
        <f t="shared" ca="1" si="11"/>
        <v>2265.463376666667</v>
      </c>
      <c r="H24" s="664">
        <f t="shared" ca="1" si="11"/>
        <v>2461.002316666667</v>
      </c>
      <c r="I24" s="664">
        <f t="shared" si="11"/>
        <v>2276.7860000000001</v>
      </c>
      <c r="J24" s="664">
        <f t="shared" si="11"/>
        <v>2114.0050000000001</v>
      </c>
      <c r="K24" s="664">
        <f t="shared" si="11"/>
        <v>2193.6680000000001</v>
      </c>
      <c r="L24" s="664">
        <f t="shared" si="11"/>
        <v>2474.3310000000001</v>
      </c>
      <c r="M24" s="664">
        <f t="shared" si="11"/>
        <v>2102.3519999999889</v>
      </c>
      <c r="N24" s="664">
        <f t="shared" si="11"/>
        <v>1958.908999999989</v>
      </c>
      <c r="O24" s="636">
        <f ca="1">SUM(C24:N24)</f>
        <v>24874.041889999979</v>
      </c>
    </row>
    <row r="25" spans="1:15" s="199" customFormat="1">
      <c r="B25" s="200" t="s">
        <v>2082</v>
      </c>
      <c r="C25" s="199">
        <v>1885093.7666666668</v>
      </c>
      <c r="D25" s="199">
        <v>1621573.6466666667</v>
      </c>
      <c r="E25" s="199">
        <v>1699325.1166666669</v>
      </c>
      <c r="F25" s="199">
        <v>1820959.6666666665</v>
      </c>
      <c r="G25" s="199">
        <v>2265463.3766666665</v>
      </c>
      <c r="H25" s="199">
        <v>2461002.3166666669</v>
      </c>
      <c r="I25" s="432"/>
      <c r="J25" s="432"/>
      <c r="K25" s="432"/>
      <c r="L25" s="432"/>
      <c r="M25" s="432"/>
      <c r="N25" s="432"/>
      <c r="O25" s="432">
        <f ca="1">O24*0.125</f>
        <v>3109.2552362499973</v>
      </c>
    </row>
    <row r="28" spans="1:15">
      <c r="A28" s="200" t="s">
        <v>3324</v>
      </c>
      <c r="B28" s="200"/>
    </row>
    <row r="29" spans="1:15">
      <c r="A29" s="634">
        <v>407.3</v>
      </c>
      <c r="B29" s="200" t="s">
        <v>3325</v>
      </c>
      <c r="H29" s="661">
        <v>33928.719999999994</v>
      </c>
      <c r="K29" s="666">
        <f>I29-J29</f>
        <v>0</v>
      </c>
    </row>
    <row r="30" spans="1:15">
      <c r="A30" s="199" t="str">
        <f>MID($B30,1,3)</f>
        <v>408</v>
      </c>
      <c r="B30" s="200" t="s">
        <v>2078</v>
      </c>
      <c r="C30" s="661">
        <v>145850</v>
      </c>
      <c r="D30" s="661">
        <v>144624</v>
      </c>
      <c r="E30" s="661">
        <v>144624</v>
      </c>
      <c r="F30" s="661">
        <v>144624</v>
      </c>
      <c r="G30" s="661">
        <v>144624</v>
      </c>
      <c r="H30" s="661">
        <v>144624</v>
      </c>
    </row>
    <row r="31" spans="1:15">
      <c r="A31" s="199" t="str">
        <f>MID($B31,1,3)</f>
        <v>411</v>
      </c>
      <c r="B31" s="200" t="s">
        <v>2079</v>
      </c>
      <c r="C31" s="661">
        <v>-80</v>
      </c>
    </row>
    <row r="32" spans="1:15">
      <c r="A32" s="199" t="str">
        <f>MID($B32,1,3)</f>
        <v>501</v>
      </c>
      <c r="B32" s="200" t="s">
        <v>3326</v>
      </c>
      <c r="C32" s="661">
        <v>20993.85</v>
      </c>
      <c r="D32" s="661">
        <v>12642.32</v>
      </c>
      <c r="E32" s="661">
        <v>4823.0199999999995</v>
      </c>
      <c r="F32" s="661">
        <v>15986.08</v>
      </c>
      <c r="G32" s="661">
        <v>11863.310000000001</v>
      </c>
      <c r="H32" s="661">
        <v>15768.599999999999</v>
      </c>
    </row>
    <row r="33" spans="1:8">
      <c r="A33" s="199" t="str">
        <f t="shared" ref="A33:A58" si="12">MID($B33,1,3)</f>
        <v>501</v>
      </c>
      <c r="B33" s="200" t="s">
        <v>3326</v>
      </c>
      <c r="C33" s="661">
        <v>0</v>
      </c>
      <c r="D33" s="661">
        <v>0</v>
      </c>
      <c r="E33" s="661">
        <v>0</v>
      </c>
      <c r="F33" s="661">
        <v>0</v>
      </c>
      <c r="G33" s="661">
        <v>0</v>
      </c>
      <c r="H33" s="661">
        <v>0</v>
      </c>
    </row>
    <row r="34" spans="1:8">
      <c r="A34" s="199" t="str">
        <f t="shared" si="12"/>
        <v>502</v>
      </c>
      <c r="B34" s="200" t="s">
        <v>3327</v>
      </c>
      <c r="C34" s="661">
        <v>9908.25</v>
      </c>
      <c r="D34" s="661">
        <v>10652.09</v>
      </c>
      <c r="E34" s="661">
        <v>10238.299999999999</v>
      </c>
      <c r="F34" s="661">
        <v>10344.799999999999</v>
      </c>
      <c r="G34" s="661">
        <v>10340.789999999999</v>
      </c>
      <c r="H34" s="661">
        <v>11521.92</v>
      </c>
    </row>
    <row r="35" spans="1:8">
      <c r="A35" s="199" t="str">
        <f t="shared" si="12"/>
        <v>501</v>
      </c>
      <c r="B35" s="200" t="s">
        <v>3326</v>
      </c>
      <c r="C35" s="661">
        <v>-18418.78</v>
      </c>
      <c r="D35" s="661">
        <v>-7464.13</v>
      </c>
      <c r="E35" s="661">
        <v>-17314.8</v>
      </c>
      <c r="F35" s="661">
        <v>200.45</v>
      </c>
      <c r="G35" s="661">
        <v>-1305.98</v>
      </c>
      <c r="H35" s="661">
        <v>-2168.13</v>
      </c>
    </row>
    <row r="36" spans="1:8">
      <c r="A36" s="199" t="str">
        <f t="shared" si="12"/>
        <v>501</v>
      </c>
      <c r="B36" s="200" t="s">
        <v>3326</v>
      </c>
      <c r="C36" s="661">
        <v>5019.6400000000003</v>
      </c>
      <c r="D36" s="661">
        <v>13111.97</v>
      </c>
      <c r="E36" s="661">
        <v>8597.89</v>
      </c>
      <c r="F36" s="661">
        <v>11823.63</v>
      </c>
      <c r="G36" s="661">
        <v>12208.23</v>
      </c>
      <c r="H36" s="661">
        <v>11845.33</v>
      </c>
    </row>
    <row r="37" spans="1:8">
      <c r="A37" s="199" t="str">
        <f t="shared" si="12"/>
        <v>501</v>
      </c>
      <c r="B37" s="200" t="s">
        <v>3326</v>
      </c>
    </row>
    <row r="38" spans="1:8">
      <c r="A38" s="199" t="str">
        <f t="shared" si="12"/>
        <v>502</v>
      </c>
      <c r="B38" s="200" t="s">
        <v>3327</v>
      </c>
    </row>
    <row r="39" spans="1:8">
      <c r="A39" s="199">
        <v>502</v>
      </c>
      <c r="B39" s="200" t="s">
        <v>3328</v>
      </c>
      <c r="C39" s="661">
        <v>-16161.113333333335</v>
      </c>
      <c r="D39" s="661">
        <v>-17638.053333333333</v>
      </c>
      <c r="E39" s="661">
        <v>-18315.21333333334</v>
      </c>
      <c r="F39" s="661">
        <v>-18315.213333333337</v>
      </c>
      <c r="G39" s="661">
        <v>-20446.273333333334</v>
      </c>
      <c r="H39" s="661">
        <v>-21667.183333333331</v>
      </c>
    </row>
    <row r="40" spans="1:8">
      <c r="A40" s="199" t="str">
        <f>MID($B40,2,3)</f>
        <v>506</v>
      </c>
      <c r="B40" s="200" t="s">
        <v>3352</v>
      </c>
      <c r="C40" s="661">
        <v>0</v>
      </c>
      <c r="D40" s="661">
        <v>8875.2999999999993</v>
      </c>
      <c r="E40" s="661">
        <v>35662.550000000003</v>
      </c>
      <c r="F40" s="661">
        <v>27093.3</v>
      </c>
      <c r="G40" s="661">
        <v>44386.91</v>
      </c>
      <c r="H40" s="661">
        <v>33418.699999999997</v>
      </c>
    </row>
    <row r="41" spans="1:8">
      <c r="A41" s="199" t="str">
        <f t="shared" ref="A41:A55" si="13">MID($B41,2,3)</f>
        <v>506</v>
      </c>
      <c r="B41" s="200" t="s">
        <v>3353</v>
      </c>
      <c r="C41" s="661">
        <v>0</v>
      </c>
      <c r="D41" s="661">
        <v>0</v>
      </c>
      <c r="E41" s="661">
        <v>0</v>
      </c>
      <c r="F41" s="661">
        <v>0</v>
      </c>
      <c r="G41" s="661">
        <v>0</v>
      </c>
      <c r="H41" s="661">
        <v>0</v>
      </c>
    </row>
    <row r="42" spans="1:8">
      <c r="A42" s="199" t="str">
        <f t="shared" si="13"/>
        <v>512</v>
      </c>
      <c r="B42" s="200" t="s">
        <v>3354</v>
      </c>
      <c r="C42" s="661">
        <v>118821.78</v>
      </c>
      <c r="D42" s="661">
        <v>47555.22</v>
      </c>
      <c r="E42" s="661">
        <v>49431.19</v>
      </c>
      <c r="F42" s="661">
        <v>62576.72</v>
      </c>
      <c r="G42" s="661">
        <v>44237.74</v>
      </c>
      <c r="H42" s="661">
        <v>25341.82</v>
      </c>
    </row>
    <row r="43" spans="1:8">
      <c r="A43" s="199" t="str">
        <f t="shared" si="13"/>
        <v>506</v>
      </c>
      <c r="B43" s="200" t="s">
        <v>3329</v>
      </c>
      <c r="C43" s="661">
        <v>0</v>
      </c>
      <c r="D43" s="661">
        <v>0</v>
      </c>
      <c r="E43" s="661">
        <v>0</v>
      </c>
      <c r="F43" s="661">
        <v>0</v>
      </c>
      <c r="G43" s="661">
        <v>0</v>
      </c>
      <c r="H43" s="661">
        <v>0</v>
      </c>
    </row>
    <row r="44" spans="1:8">
      <c r="A44" s="199" t="str">
        <f t="shared" si="13"/>
        <v>506</v>
      </c>
      <c r="B44" s="200" t="s">
        <v>3330</v>
      </c>
      <c r="C44" s="661">
        <v>0</v>
      </c>
      <c r="D44" s="661">
        <v>0</v>
      </c>
      <c r="E44" s="661">
        <v>0</v>
      </c>
      <c r="F44" s="661">
        <v>0</v>
      </c>
      <c r="G44" s="661">
        <v>0</v>
      </c>
      <c r="H44" s="661">
        <v>0</v>
      </c>
    </row>
    <row r="45" spans="1:8">
      <c r="A45" s="199" t="str">
        <f t="shared" si="13"/>
        <v>512</v>
      </c>
      <c r="B45" s="200" t="s">
        <v>3331</v>
      </c>
      <c r="C45" s="661">
        <v>0</v>
      </c>
      <c r="D45" s="661">
        <v>0</v>
      </c>
      <c r="E45" s="661">
        <v>0</v>
      </c>
      <c r="F45" s="661">
        <v>0</v>
      </c>
      <c r="G45" s="661">
        <v>0</v>
      </c>
      <c r="H45" s="661">
        <v>0</v>
      </c>
    </row>
    <row r="46" spans="1:8">
      <c r="A46" s="199" t="str">
        <f t="shared" si="13"/>
        <v>502</v>
      </c>
      <c r="B46" s="200" t="s">
        <v>3355</v>
      </c>
      <c r="C46" s="661">
        <v>326394.03999999998</v>
      </c>
      <c r="D46" s="661">
        <v>326147.49</v>
      </c>
      <c r="E46" s="661">
        <v>331302.5</v>
      </c>
      <c r="F46" s="661">
        <v>333978.28999999998</v>
      </c>
      <c r="G46" s="661">
        <v>337781.92</v>
      </c>
      <c r="H46" s="661">
        <v>332196.03000000003</v>
      </c>
    </row>
    <row r="47" spans="1:8">
      <c r="A47" s="199" t="str">
        <f t="shared" si="13"/>
        <v>512</v>
      </c>
      <c r="B47" s="200" t="s">
        <v>3356</v>
      </c>
      <c r="C47" s="661">
        <v>223701.17</v>
      </c>
      <c r="D47" s="661">
        <v>179336.45</v>
      </c>
      <c r="E47" s="661">
        <v>160362.51</v>
      </c>
      <c r="F47" s="661">
        <v>120574.32</v>
      </c>
      <c r="G47" s="661">
        <v>178810.91</v>
      </c>
      <c r="H47" s="661">
        <v>179132.23</v>
      </c>
    </row>
    <row r="48" spans="1:8">
      <c r="A48" s="199" t="str">
        <f t="shared" si="13"/>
        <v>506</v>
      </c>
      <c r="B48" s="200" t="s">
        <v>3329</v>
      </c>
      <c r="C48" s="661">
        <v>50099.21</v>
      </c>
      <c r="D48" s="661">
        <v>52705.32</v>
      </c>
      <c r="E48" s="661">
        <v>46660.9</v>
      </c>
      <c r="F48" s="661">
        <v>51028.1</v>
      </c>
      <c r="G48" s="661">
        <v>42833.25</v>
      </c>
      <c r="H48" s="661">
        <v>50304.04</v>
      </c>
    </row>
    <row r="49" spans="1:9">
      <c r="A49" s="199" t="str">
        <f t="shared" si="13"/>
        <v>506</v>
      </c>
      <c r="B49" s="200" t="s">
        <v>3330</v>
      </c>
      <c r="C49" s="661">
        <v>466526.65</v>
      </c>
      <c r="D49" s="661">
        <v>578559.62</v>
      </c>
      <c r="E49" s="661">
        <v>691205.99000000011</v>
      </c>
      <c r="F49" s="661">
        <v>806727.11</v>
      </c>
      <c r="G49" s="661">
        <v>954954.28999999992</v>
      </c>
      <c r="H49" s="661">
        <v>935820.04</v>
      </c>
    </row>
    <row r="50" spans="1:9">
      <c r="A50" s="199" t="str">
        <f t="shared" si="13"/>
        <v>512</v>
      </c>
      <c r="B50" s="200" t="s">
        <v>3331</v>
      </c>
      <c r="C50" s="661">
        <v>34068.67</v>
      </c>
      <c r="D50" s="661">
        <v>24344.440000000002</v>
      </c>
      <c r="E50" s="661">
        <v>12289.75</v>
      </c>
      <c r="F50" s="661">
        <v>14726.5</v>
      </c>
      <c r="G50" s="661">
        <v>33808.61</v>
      </c>
      <c r="H50" s="661">
        <v>54509.460000000006</v>
      </c>
    </row>
    <row r="51" spans="1:9">
      <c r="A51" s="199" t="str">
        <f t="shared" si="13"/>
        <v>506</v>
      </c>
      <c r="B51" s="200" t="s">
        <v>3332</v>
      </c>
      <c r="C51" s="661">
        <v>0</v>
      </c>
      <c r="D51" s="661">
        <v>0</v>
      </c>
      <c r="E51" s="661">
        <v>0</v>
      </c>
      <c r="F51" s="661">
        <v>0</v>
      </c>
      <c r="G51" s="661">
        <v>0</v>
      </c>
      <c r="H51" s="661">
        <v>0</v>
      </c>
    </row>
    <row r="52" spans="1:9">
      <c r="A52" s="199" t="str">
        <f t="shared" si="13"/>
        <v>512</v>
      </c>
      <c r="B52" s="200" t="s">
        <v>3333</v>
      </c>
      <c r="C52" s="661">
        <v>0</v>
      </c>
      <c r="D52" s="661">
        <v>1535.27</v>
      </c>
      <c r="E52" s="661">
        <v>10476.93</v>
      </c>
      <c r="F52" s="661">
        <v>5376.87</v>
      </c>
      <c r="G52" s="661">
        <v>10914.269999999999</v>
      </c>
      <c r="H52" s="661">
        <v>37321.06</v>
      </c>
    </row>
    <row r="53" spans="1:9">
      <c r="A53" s="199" t="str">
        <f t="shared" si="13"/>
        <v>506</v>
      </c>
      <c r="B53" s="200" t="s">
        <v>3334</v>
      </c>
      <c r="C53" s="661">
        <v>664140.4</v>
      </c>
      <c r="D53" s="661">
        <v>391210.34</v>
      </c>
      <c r="E53" s="661">
        <v>373903.6</v>
      </c>
      <c r="F53" s="661">
        <v>378838.71</v>
      </c>
      <c r="G53" s="661">
        <v>605075.4</v>
      </c>
      <c r="H53" s="661">
        <v>797658.4</v>
      </c>
    </row>
    <row r="54" spans="1:9">
      <c r="A54" s="199" t="str">
        <f t="shared" si="13"/>
        <v>502</v>
      </c>
      <c r="B54" s="200" t="s">
        <v>3355</v>
      </c>
      <c r="C54" s="661">
        <v>0</v>
      </c>
      <c r="D54" s="661">
        <v>0</v>
      </c>
      <c r="E54" s="661">
        <v>0</v>
      </c>
      <c r="F54" s="661">
        <v>0</v>
      </c>
      <c r="G54" s="661">
        <v>0</v>
      </c>
      <c r="H54" s="661">
        <v>0</v>
      </c>
    </row>
    <row r="55" spans="1:9">
      <c r="A55" s="199" t="str">
        <f t="shared" si="13"/>
        <v>512</v>
      </c>
      <c r="B55" s="200" t="s">
        <v>3356</v>
      </c>
      <c r="C55" s="661">
        <v>0</v>
      </c>
      <c r="D55" s="661">
        <v>0</v>
      </c>
      <c r="E55" s="661">
        <v>0</v>
      </c>
      <c r="F55" s="661">
        <v>0</v>
      </c>
      <c r="G55" s="661">
        <v>0</v>
      </c>
      <c r="H55" s="661">
        <v>0</v>
      </c>
    </row>
    <row r="56" spans="1:9">
      <c r="A56" s="199" t="str">
        <f>MID($B56,1,3)</f>
        <v>506</v>
      </c>
      <c r="B56" s="200" t="s">
        <v>3335</v>
      </c>
    </row>
    <row r="57" spans="1:9">
      <c r="A57" s="199" t="str">
        <f>MID($B57,1,3)</f>
        <v>509</v>
      </c>
      <c r="B57" s="200" t="s">
        <v>2080</v>
      </c>
      <c r="C57" s="661">
        <v>484</v>
      </c>
      <c r="D57" s="661">
        <v>414</v>
      </c>
      <c r="E57" s="661">
        <v>489</v>
      </c>
      <c r="F57" s="661">
        <v>512</v>
      </c>
      <c r="G57" s="661">
        <v>498</v>
      </c>
      <c r="H57" s="661">
        <v>573</v>
      </c>
    </row>
    <row r="58" spans="1:9">
      <c r="A58" s="199" t="str">
        <f t="shared" si="12"/>
        <v>506</v>
      </c>
      <c r="B58" s="200" t="s">
        <v>3335</v>
      </c>
    </row>
    <row r="59" spans="1:9">
      <c r="A59" s="199">
        <v>923</v>
      </c>
      <c r="B59" s="200" t="s">
        <v>3336</v>
      </c>
      <c r="E59" s="661">
        <v>3667.6</v>
      </c>
    </row>
    <row r="60" spans="1:9">
      <c r="A60" s="199"/>
      <c r="B60" s="200" t="s">
        <v>237</v>
      </c>
      <c r="C60" s="661">
        <f t="shared" ref="C60:G60" si="14">SUM(C29:C59)</f>
        <v>2031347.7666666666</v>
      </c>
      <c r="D60" s="661">
        <f t="shared" si="14"/>
        <v>1766611.6466666667</v>
      </c>
      <c r="E60" s="661">
        <f t="shared" si="14"/>
        <v>1848105.7166666668</v>
      </c>
      <c r="F60" s="661">
        <f t="shared" si="14"/>
        <v>1966095.6666666667</v>
      </c>
      <c r="G60" s="661">
        <f t="shared" si="14"/>
        <v>2410585.3766666669</v>
      </c>
      <c r="H60" s="661">
        <f>SUM(H29:H59)</f>
        <v>2640128.0366666666</v>
      </c>
    </row>
    <row r="63" spans="1:9">
      <c r="A63" s="200" t="s">
        <v>3337</v>
      </c>
      <c r="B63" s="199"/>
      <c r="C63" s="199"/>
      <c r="D63" s="199"/>
      <c r="E63" s="199"/>
      <c r="F63" s="199"/>
      <c r="G63" s="199"/>
      <c r="H63" s="199"/>
      <c r="I63" s="199"/>
    </row>
    <row r="64" spans="1:9">
      <c r="A64" s="199" t="s">
        <v>3338</v>
      </c>
      <c r="B64" s="200" t="s">
        <v>3339</v>
      </c>
      <c r="C64" s="199">
        <v>2103553</v>
      </c>
      <c r="D64" s="199">
        <v>2104349</v>
      </c>
      <c r="E64" s="199">
        <v>2105146</v>
      </c>
      <c r="F64" s="199">
        <v>2105146</v>
      </c>
      <c r="G64" s="199">
        <v>2114780</v>
      </c>
      <c r="H64" s="199">
        <v>2135127</v>
      </c>
      <c r="I64" s="199"/>
    </row>
    <row r="65" spans="1:9">
      <c r="A65" s="634">
        <v>407.3</v>
      </c>
      <c r="B65" s="200" t="s">
        <v>3340</v>
      </c>
      <c r="C65" s="199">
        <f t="shared" ref="C65:H73" ca="1" si="15">SUMIF($A$29:$H$59,$A65,C$29:C$59)</f>
        <v>0</v>
      </c>
      <c r="D65" s="199">
        <f t="shared" ca="1" si="15"/>
        <v>0</v>
      </c>
      <c r="E65" s="199">
        <f t="shared" ca="1" si="15"/>
        <v>0</v>
      </c>
      <c r="F65" s="199">
        <f t="shared" ca="1" si="15"/>
        <v>0</v>
      </c>
      <c r="G65" s="199">
        <f t="shared" ca="1" si="15"/>
        <v>0</v>
      </c>
      <c r="H65" s="199">
        <f t="shared" ca="1" si="15"/>
        <v>33928.719999999994</v>
      </c>
      <c r="I65" s="199"/>
    </row>
    <row r="66" spans="1:9">
      <c r="A66" s="199">
        <v>408</v>
      </c>
      <c r="B66" s="200" t="s">
        <v>3341</v>
      </c>
      <c r="C66" s="199">
        <f t="shared" ca="1" si="15"/>
        <v>145850</v>
      </c>
      <c r="D66" s="199">
        <f t="shared" ca="1" si="15"/>
        <v>144624</v>
      </c>
      <c r="E66" s="199">
        <f t="shared" ca="1" si="15"/>
        <v>144624</v>
      </c>
      <c r="F66" s="199">
        <f t="shared" ca="1" si="15"/>
        <v>144624</v>
      </c>
      <c r="G66" s="199">
        <f t="shared" ca="1" si="15"/>
        <v>144624</v>
      </c>
      <c r="H66" s="199">
        <f t="shared" ca="1" si="15"/>
        <v>144624</v>
      </c>
      <c r="I66" s="199"/>
    </row>
    <row r="67" spans="1:9">
      <c r="A67" s="199">
        <v>411</v>
      </c>
      <c r="B67" s="200" t="s">
        <v>3342</v>
      </c>
      <c r="C67" s="199">
        <f t="shared" ca="1" si="15"/>
        <v>-80</v>
      </c>
      <c r="D67" s="199">
        <f t="shared" ca="1" si="15"/>
        <v>0</v>
      </c>
      <c r="E67" s="199">
        <f t="shared" ca="1" si="15"/>
        <v>0</v>
      </c>
      <c r="F67" s="199">
        <f t="shared" ca="1" si="15"/>
        <v>0</v>
      </c>
      <c r="G67" s="199">
        <f t="shared" ca="1" si="15"/>
        <v>0</v>
      </c>
      <c r="H67" s="199">
        <f t="shared" ca="1" si="15"/>
        <v>0</v>
      </c>
      <c r="I67" s="199"/>
    </row>
    <row r="68" spans="1:9">
      <c r="A68" s="199">
        <v>501</v>
      </c>
      <c r="B68" s="200" t="s">
        <v>3343</v>
      </c>
      <c r="C68" s="199">
        <f t="shared" ca="1" si="15"/>
        <v>7594.71</v>
      </c>
      <c r="D68" s="199">
        <f t="shared" ca="1" si="15"/>
        <v>18290.16</v>
      </c>
      <c r="E68" s="199">
        <f t="shared" ca="1" si="15"/>
        <v>-3893.8899999999994</v>
      </c>
      <c r="F68" s="199">
        <f t="shared" ca="1" si="15"/>
        <v>28010.16</v>
      </c>
      <c r="G68" s="199">
        <f t="shared" ca="1" si="15"/>
        <v>22765.56</v>
      </c>
      <c r="H68" s="199">
        <f t="shared" ca="1" si="15"/>
        <v>25445.799999999996</v>
      </c>
      <c r="I68" s="199" t="s">
        <v>3344</v>
      </c>
    </row>
    <row r="69" spans="1:9">
      <c r="A69" s="199">
        <v>502</v>
      </c>
      <c r="B69" s="200" t="s">
        <v>3345</v>
      </c>
      <c r="C69" s="199">
        <f t="shared" ca="1" si="15"/>
        <v>320141.17666666664</v>
      </c>
      <c r="D69" s="199">
        <f t="shared" ca="1" si="15"/>
        <v>319161.52666666667</v>
      </c>
      <c r="E69" s="199">
        <f t="shared" ca="1" si="15"/>
        <v>323225.58666666667</v>
      </c>
      <c r="F69" s="199">
        <f t="shared" ca="1" si="15"/>
        <v>326007.87666666665</v>
      </c>
      <c r="G69" s="199">
        <f t="shared" ca="1" si="15"/>
        <v>327676.43666666665</v>
      </c>
      <c r="H69" s="199">
        <f t="shared" ca="1" si="15"/>
        <v>322050.76666666672</v>
      </c>
      <c r="I69" s="199" t="s">
        <v>3344</v>
      </c>
    </row>
    <row r="70" spans="1:9">
      <c r="A70" s="199">
        <v>506</v>
      </c>
      <c r="B70" s="200" t="s">
        <v>3346</v>
      </c>
      <c r="C70" s="199">
        <f t="shared" ca="1" si="15"/>
        <v>1180766.26</v>
      </c>
      <c r="D70" s="199">
        <f t="shared" ca="1" si="15"/>
        <v>1031350.5800000001</v>
      </c>
      <c r="E70" s="199">
        <f t="shared" ca="1" si="15"/>
        <v>1147433.04</v>
      </c>
      <c r="F70" s="199">
        <f t="shared" ca="1" si="15"/>
        <v>1263687.22</v>
      </c>
      <c r="G70" s="199">
        <f t="shared" ca="1" si="15"/>
        <v>1647249.85</v>
      </c>
      <c r="H70" s="199">
        <f t="shared" ca="1" si="15"/>
        <v>1817201.1800000002</v>
      </c>
      <c r="I70" s="199" t="s">
        <v>3344</v>
      </c>
    </row>
    <row r="71" spans="1:9">
      <c r="A71" s="199">
        <v>509</v>
      </c>
      <c r="B71" s="200" t="s">
        <v>3347</v>
      </c>
      <c r="C71" s="199">
        <f t="shared" ca="1" si="15"/>
        <v>484</v>
      </c>
      <c r="D71" s="199">
        <f t="shared" ca="1" si="15"/>
        <v>414</v>
      </c>
      <c r="E71" s="199">
        <f t="shared" ca="1" si="15"/>
        <v>489</v>
      </c>
      <c r="F71" s="199">
        <f t="shared" ca="1" si="15"/>
        <v>512</v>
      </c>
      <c r="G71" s="199">
        <f t="shared" ca="1" si="15"/>
        <v>498</v>
      </c>
      <c r="H71" s="199">
        <f t="shared" ca="1" si="15"/>
        <v>573</v>
      </c>
      <c r="I71" s="199"/>
    </row>
    <row r="72" spans="1:9">
      <c r="A72" s="199">
        <v>512</v>
      </c>
      <c r="B72" s="200" t="s">
        <v>3348</v>
      </c>
      <c r="C72" s="199">
        <f t="shared" ca="1" si="15"/>
        <v>377164.62</v>
      </c>
      <c r="D72" s="199">
        <f t="shared" ca="1" si="15"/>
        <v>252771.38</v>
      </c>
      <c r="E72" s="199">
        <f t="shared" ca="1" si="15"/>
        <v>232560.38</v>
      </c>
      <c r="F72" s="199">
        <f t="shared" ca="1" si="15"/>
        <v>203254.41</v>
      </c>
      <c r="G72" s="199">
        <f t="shared" ca="1" si="15"/>
        <v>267771.53000000003</v>
      </c>
      <c r="H72" s="199">
        <f t="shared" ca="1" si="15"/>
        <v>296304.57</v>
      </c>
      <c r="I72" s="199" t="s">
        <v>3344</v>
      </c>
    </row>
    <row r="73" spans="1:9">
      <c r="A73" s="199">
        <v>923</v>
      </c>
      <c r="B73" s="200" t="s">
        <v>3336</v>
      </c>
      <c r="C73" s="199">
        <f t="shared" ca="1" si="15"/>
        <v>0</v>
      </c>
      <c r="D73" s="199">
        <f t="shared" ca="1" si="15"/>
        <v>0</v>
      </c>
      <c r="E73" s="199">
        <f t="shared" ca="1" si="15"/>
        <v>3667.6</v>
      </c>
      <c r="F73" s="199">
        <f t="shared" ca="1" si="15"/>
        <v>0</v>
      </c>
      <c r="G73" s="199">
        <f t="shared" ca="1" si="15"/>
        <v>0</v>
      </c>
      <c r="H73" s="199">
        <f t="shared" ca="1" si="15"/>
        <v>0</v>
      </c>
      <c r="I73" s="199"/>
    </row>
    <row r="74" spans="1:9">
      <c r="A74" s="199"/>
      <c r="B74" s="200" t="s">
        <v>3349</v>
      </c>
      <c r="C74" s="199">
        <f t="shared" ref="C74:D74" ca="1" si="16">SUM(C64:C73)</f>
        <v>4135473.7666666666</v>
      </c>
      <c r="D74" s="199">
        <f t="shared" ca="1" si="16"/>
        <v>3870960.646666667</v>
      </c>
      <c r="E74" s="199">
        <f ca="1">SUM(E64:E73)</f>
        <v>3953251.7166666663</v>
      </c>
      <c r="F74" s="199">
        <f ca="1">SUM(F64:F73)</f>
        <v>4071241.666666667</v>
      </c>
      <c r="G74" s="199">
        <f ca="1">SUM(G64:G73)</f>
        <v>4525365.3766666669</v>
      </c>
      <c r="H74" s="199">
        <f ca="1">SUM(H64:H73)</f>
        <v>4775255.0366666671</v>
      </c>
      <c r="I74" s="199"/>
    </row>
    <row r="75" spans="1:9">
      <c r="A75" s="199"/>
      <c r="B75" s="200" t="s">
        <v>3350</v>
      </c>
      <c r="C75" s="199">
        <f t="shared" ref="C75:G75" ca="1" si="17">SUM(C68:C72)-C71</f>
        <v>1885666.7666666666</v>
      </c>
      <c r="D75" s="199">
        <f t="shared" ca="1" si="17"/>
        <v>1621573.6466666665</v>
      </c>
      <c r="E75" s="199">
        <f t="shared" ca="1" si="17"/>
        <v>1699325.1166666667</v>
      </c>
      <c r="F75" s="199">
        <f t="shared" ca="1" si="17"/>
        <v>1820959.6666666665</v>
      </c>
      <c r="G75" s="199">
        <f t="shared" ca="1" si="17"/>
        <v>2265463.3766666669</v>
      </c>
      <c r="H75" s="199">
        <f ca="1">SUM(H68:H72)-H71</f>
        <v>2461002.3166666669</v>
      </c>
      <c r="I75" s="199" t="s">
        <v>3344</v>
      </c>
    </row>
  </sheetData>
  <pageMargins left="0.75" right="0.75" top="1" bottom="1" header="0.5" footer="0.5"/>
  <pageSetup scale="76" fitToHeight="0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pageSetUpPr fitToPage="1"/>
  </sheetPr>
  <dimension ref="A1:N24"/>
  <sheetViews>
    <sheetView zoomScaleNormal="100" workbookViewId="0">
      <pane xSplit="1" ySplit="3" topLeftCell="B4" activePane="bottomRight" state="frozen"/>
      <selection activeCell="K33" sqref="K33"/>
      <selection pane="topRight" activeCell="K33" sqref="K33"/>
      <selection pane="bottomLeft" activeCell="K33" sqref="K33"/>
      <selection pane="bottomRight" activeCell="N23" sqref="N23"/>
    </sheetView>
  </sheetViews>
  <sheetFormatPr defaultColWidth="9" defaultRowHeight="15"/>
  <cols>
    <col min="1" max="1" width="32.33203125" style="285" customWidth="1"/>
    <col min="2" max="14" width="9.33203125" style="284" customWidth="1"/>
    <col min="15" max="16384" width="9" style="284"/>
  </cols>
  <sheetData>
    <row r="1" spans="1:14" s="281" customFormat="1">
      <c r="A1" s="280"/>
    </row>
    <row r="2" spans="1:14" s="281" customFormat="1">
      <c r="A2" s="283" t="s">
        <v>1908</v>
      </c>
      <c r="B2" s="429" t="s">
        <v>2366</v>
      </c>
      <c r="C2" s="429" t="s">
        <v>2367</v>
      </c>
      <c r="D2" s="429" t="s">
        <v>2368</v>
      </c>
      <c r="E2" s="429" t="s">
        <v>2369</v>
      </c>
      <c r="F2" s="429" t="s">
        <v>2370</v>
      </c>
      <c r="G2" s="429" t="s">
        <v>2371</v>
      </c>
      <c r="H2" s="429" t="s">
        <v>2372</v>
      </c>
      <c r="I2" s="429" t="s">
        <v>2373</v>
      </c>
      <c r="J2" s="429" t="s">
        <v>2374</v>
      </c>
      <c r="K2" s="429" t="s">
        <v>2375</v>
      </c>
      <c r="L2" s="429" t="s">
        <v>2376</v>
      </c>
      <c r="M2" s="429" t="s">
        <v>2377</v>
      </c>
      <c r="N2" s="429" t="s">
        <v>3351</v>
      </c>
    </row>
    <row r="3" spans="1:14" s="281" customFormat="1">
      <c r="A3" s="282" t="s">
        <v>1907</v>
      </c>
    </row>
    <row r="4" spans="1:14">
      <c r="A4" s="283"/>
    </row>
    <row r="5" spans="1:14">
      <c r="A5" s="200" t="s">
        <v>3312</v>
      </c>
      <c r="B5" s="637">
        <v>4608.6695335479599</v>
      </c>
      <c r="C5" s="637">
        <v>4609.1795335479601</v>
      </c>
      <c r="D5" s="637">
        <v>4609.1795335479601</v>
      </c>
      <c r="E5" s="637">
        <v>4609.1795335479601</v>
      </c>
      <c r="F5" s="637">
        <v>4609.5878423146596</v>
      </c>
      <c r="G5" s="637">
        <v>4634.2079874551901</v>
      </c>
      <c r="H5" s="637">
        <v>4658.4198238296603</v>
      </c>
      <c r="I5" s="637">
        <v>4658.4198238296603</v>
      </c>
      <c r="J5" s="637">
        <v>4658.4198238296603</v>
      </c>
      <c r="K5" s="637">
        <v>4654.6947503043602</v>
      </c>
      <c r="L5" s="637">
        <v>4650.9696767791602</v>
      </c>
      <c r="M5" s="637">
        <v>4650.9696767791602</v>
      </c>
      <c r="N5" s="432">
        <f t="shared" ref="N5:N6" si="0">SUM(B5:M5)</f>
        <v>55611.897539313351</v>
      </c>
    </row>
    <row r="6" spans="1:14">
      <c r="A6" s="200" t="s">
        <v>3313</v>
      </c>
      <c r="B6" s="637">
        <v>77.370063261100597</v>
      </c>
      <c r="C6" s="637">
        <v>87.309379312856194</v>
      </c>
      <c r="D6" s="637">
        <v>97.309217302744202</v>
      </c>
      <c r="E6" s="637">
        <v>109.255875530632</v>
      </c>
      <c r="F6" s="637">
        <v>121.18208674119801</v>
      </c>
      <c r="G6" s="637">
        <v>133.17991561813801</v>
      </c>
      <c r="H6" s="637">
        <v>150.864398546487</v>
      </c>
      <c r="I6" s="637">
        <v>162.62117436203499</v>
      </c>
      <c r="J6" s="637">
        <v>174.48172735861201</v>
      </c>
      <c r="K6" s="637">
        <v>198.418384349093</v>
      </c>
      <c r="L6" s="637">
        <v>222.52549029110901</v>
      </c>
      <c r="M6" s="637">
        <v>246.83178334102999</v>
      </c>
      <c r="N6" s="432">
        <f t="shared" si="0"/>
        <v>1781.3494960150351</v>
      </c>
    </row>
    <row r="7" spans="1:14">
      <c r="A7" s="200" t="s">
        <v>3314</v>
      </c>
      <c r="B7" s="637">
        <v>164.42022793493999</v>
      </c>
      <c r="C7" s="637">
        <v>164.42022793493999</v>
      </c>
      <c r="D7" s="637">
        <v>164.42022793493999</v>
      </c>
      <c r="E7" s="637">
        <v>164.42022793493999</v>
      </c>
      <c r="F7" s="637">
        <v>164.42022793493999</v>
      </c>
      <c r="G7" s="637">
        <v>164.42022793493999</v>
      </c>
      <c r="H7" s="637">
        <v>163.82871180525899</v>
      </c>
      <c r="I7" s="637">
        <v>163.82871180525899</v>
      </c>
      <c r="J7" s="637">
        <v>163.82871180525899</v>
      </c>
      <c r="K7" s="637">
        <v>163.82871180525899</v>
      </c>
      <c r="L7" s="637">
        <v>163.82871180525899</v>
      </c>
      <c r="M7" s="637">
        <v>163.82871180525899</v>
      </c>
      <c r="N7" s="432">
        <f>SUM(B7:M7)</f>
        <v>1969.4936384411938</v>
      </c>
    </row>
    <row r="8" spans="1:14">
      <c r="A8" s="200" t="s">
        <v>3315</v>
      </c>
      <c r="B8" s="637">
        <v>0</v>
      </c>
      <c r="C8" s="637">
        <v>0</v>
      </c>
      <c r="D8" s="637">
        <v>0</v>
      </c>
      <c r="E8" s="637">
        <v>0</v>
      </c>
      <c r="F8" s="637">
        <v>0</v>
      </c>
      <c r="G8" s="637">
        <v>0</v>
      </c>
      <c r="H8" s="637">
        <v>0</v>
      </c>
      <c r="I8" s="637">
        <v>0</v>
      </c>
      <c r="J8" s="637">
        <v>0</v>
      </c>
      <c r="K8" s="637">
        <v>0</v>
      </c>
      <c r="L8" s="637">
        <v>0</v>
      </c>
      <c r="M8" s="637">
        <v>0</v>
      </c>
      <c r="N8" s="432">
        <f t="shared" ref="N8:N14" si="1">SUM(B8:M8)</f>
        <v>0</v>
      </c>
    </row>
    <row r="9" spans="1:14">
      <c r="A9" s="200" t="s">
        <v>3316</v>
      </c>
      <c r="B9" s="637">
        <v>9.6639999999999997</v>
      </c>
      <c r="C9" s="637">
        <v>9.6639999999999997</v>
      </c>
      <c r="D9" s="637">
        <v>9.9139999999999997</v>
      </c>
      <c r="E9" s="637">
        <v>9.6639999999999997</v>
      </c>
      <c r="F9" s="637">
        <v>9.6639999999999997</v>
      </c>
      <c r="G9" s="637">
        <v>9.9139999999999997</v>
      </c>
      <c r="H9" s="637">
        <v>8.1579999999999995</v>
      </c>
      <c r="I9" s="637">
        <v>8.1579999999999995</v>
      </c>
      <c r="J9" s="637">
        <v>8.1579999999999995</v>
      </c>
      <c r="K9" s="637">
        <v>8.1579999999999995</v>
      </c>
      <c r="L9" s="637">
        <v>8.1579999999999995</v>
      </c>
      <c r="M9" s="637">
        <v>8.1579999999999995</v>
      </c>
      <c r="N9" s="432">
        <f t="shared" si="1"/>
        <v>107.432</v>
      </c>
    </row>
    <row r="10" spans="1:14">
      <c r="A10" s="200" t="s">
        <v>3317</v>
      </c>
      <c r="B10" s="637">
        <v>444.786</v>
      </c>
      <c r="C10" s="637">
        <v>444.15899999999999</v>
      </c>
      <c r="D10" s="637">
        <v>442.69</v>
      </c>
      <c r="E10" s="637">
        <v>441.57400000000001</v>
      </c>
      <c r="F10" s="637">
        <v>438.416</v>
      </c>
      <c r="G10" s="637">
        <v>446.42700000000002</v>
      </c>
      <c r="H10" s="637">
        <v>423.75</v>
      </c>
      <c r="I10" s="637">
        <v>418.70400000000001</v>
      </c>
      <c r="J10" s="637">
        <v>404.44099999999997</v>
      </c>
      <c r="K10" s="637">
        <v>440.96800000000002</v>
      </c>
      <c r="L10" s="637">
        <v>441.67399999999998</v>
      </c>
      <c r="M10" s="637">
        <v>440.72800000000001</v>
      </c>
      <c r="N10" s="432">
        <f t="shared" si="1"/>
        <v>5228.317</v>
      </c>
    </row>
    <row r="11" spans="1:14">
      <c r="A11" s="200" t="s">
        <v>3318</v>
      </c>
      <c r="B11" s="637">
        <v>1314.201</v>
      </c>
      <c r="C11" s="637">
        <v>1326.0319999999899</v>
      </c>
      <c r="D11" s="637">
        <v>1078.2559999999901</v>
      </c>
      <c r="E11" s="637">
        <v>1207.8820000000001</v>
      </c>
      <c r="F11" s="637">
        <v>1047.46</v>
      </c>
      <c r="G11" s="637">
        <v>1218.6030000000001</v>
      </c>
      <c r="H11" s="637">
        <v>1364.0719999999999</v>
      </c>
      <c r="I11" s="637">
        <v>1177.5530000000001</v>
      </c>
      <c r="J11" s="637">
        <v>1012.9880000000001</v>
      </c>
      <c r="K11" s="637">
        <v>1028.8779999999999</v>
      </c>
      <c r="L11" s="637">
        <v>1045.626</v>
      </c>
      <c r="M11" s="637">
        <v>1255.806</v>
      </c>
      <c r="N11" s="432">
        <f t="shared" si="1"/>
        <v>14077.356999999982</v>
      </c>
    </row>
    <row r="12" spans="1:14">
      <c r="A12" s="200" t="s">
        <v>3319</v>
      </c>
      <c r="B12" s="637">
        <v>0.5</v>
      </c>
      <c r="C12" s="637">
        <v>0.5</v>
      </c>
      <c r="D12" s="637">
        <v>0.5</v>
      </c>
      <c r="E12" s="637">
        <v>0.5</v>
      </c>
      <c r="F12" s="637">
        <v>0.5</v>
      </c>
      <c r="G12" s="637">
        <v>0.5</v>
      </c>
      <c r="H12" s="637">
        <v>0.25</v>
      </c>
      <c r="I12" s="637">
        <v>0.25</v>
      </c>
      <c r="J12" s="637">
        <v>0.25</v>
      </c>
      <c r="K12" s="637">
        <v>0.25</v>
      </c>
      <c r="L12" s="637">
        <v>0.5</v>
      </c>
      <c r="M12" s="637">
        <v>0.5</v>
      </c>
      <c r="N12" s="635">
        <f t="shared" si="1"/>
        <v>5</v>
      </c>
    </row>
    <row r="13" spans="1:14">
      <c r="A13" s="200" t="s">
        <v>3320</v>
      </c>
      <c r="B13" s="538">
        <v>290.15600000000001</v>
      </c>
      <c r="C13" s="538">
        <v>382.84800000000001</v>
      </c>
      <c r="D13" s="538">
        <v>379.19499999999999</v>
      </c>
      <c r="E13" s="538">
        <v>299.036</v>
      </c>
      <c r="F13" s="538">
        <v>310.7</v>
      </c>
      <c r="G13" s="538">
        <v>374.59899999999999</v>
      </c>
      <c r="H13" s="538">
        <v>327.815</v>
      </c>
      <c r="I13" s="538">
        <v>337.233</v>
      </c>
      <c r="J13" s="538">
        <v>383.31299999999999</v>
      </c>
      <c r="K13" s="538">
        <v>451.65499999999997</v>
      </c>
      <c r="L13" s="538">
        <v>438.47</v>
      </c>
      <c r="M13" s="538">
        <v>519.47</v>
      </c>
      <c r="N13" s="635">
        <f t="shared" si="1"/>
        <v>4494.4900000000007</v>
      </c>
    </row>
    <row r="14" spans="1:14">
      <c r="A14" s="200" t="s">
        <v>3321</v>
      </c>
      <c r="B14" s="637"/>
      <c r="C14" s="637"/>
      <c r="D14" s="637"/>
      <c r="E14" s="637"/>
      <c r="F14" s="637"/>
      <c r="G14" s="637"/>
      <c r="H14" s="637"/>
      <c r="I14" s="637"/>
      <c r="J14" s="637"/>
      <c r="K14" s="637"/>
      <c r="L14" s="637"/>
      <c r="M14" s="637"/>
      <c r="N14" s="432">
        <f t="shared" si="1"/>
        <v>0</v>
      </c>
    </row>
    <row r="15" spans="1:14">
      <c r="A15" s="283" t="s">
        <v>2081</v>
      </c>
      <c r="B15" s="287">
        <f>SUM(B5:B14)</f>
        <v>6909.7668247440006</v>
      </c>
      <c r="C15" s="287">
        <f t="shared" ref="C15:M15" si="2">SUM(C5:C14)</f>
        <v>7024.1121407957462</v>
      </c>
      <c r="D15" s="287">
        <f t="shared" si="2"/>
        <v>6781.463978785634</v>
      </c>
      <c r="E15" s="287">
        <f t="shared" si="2"/>
        <v>6841.5116370135311</v>
      </c>
      <c r="F15" s="287">
        <f t="shared" si="2"/>
        <v>6701.9301569907975</v>
      </c>
      <c r="G15" s="287">
        <f t="shared" si="2"/>
        <v>6981.8511310082677</v>
      </c>
      <c r="H15" s="287">
        <f t="shared" si="2"/>
        <v>7097.1579341814067</v>
      </c>
      <c r="I15" s="287">
        <f t="shared" si="2"/>
        <v>6926.7677099969542</v>
      </c>
      <c r="J15" s="287">
        <f t="shared" si="2"/>
        <v>6805.8802629935317</v>
      </c>
      <c r="K15" s="287">
        <f t="shared" si="2"/>
        <v>6946.8508464587121</v>
      </c>
      <c r="L15" s="287">
        <f t="shared" si="2"/>
        <v>6971.7518788755287</v>
      </c>
      <c r="M15" s="287">
        <f t="shared" si="2"/>
        <v>7286.2921719254509</v>
      </c>
      <c r="N15" s="636">
        <f t="shared" ref="N15" si="3">SUM(N5:N14)</f>
        <v>83275.336673769561</v>
      </c>
    </row>
    <row r="16" spans="1:14">
      <c r="A16" s="283"/>
    </row>
    <row r="17" spans="1:14" s="129" customFormat="1">
      <c r="A17" s="128" t="s">
        <v>2082</v>
      </c>
    </row>
    <row r="18" spans="1:14">
      <c r="A18" s="200" t="s">
        <v>3316</v>
      </c>
      <c r="B18" s="432">
        <f>B9</f>
        <v>9.6639999999999997</v>
      </c>
      <c r="C18" s="432">
        <f t="shared" ref="C18:M20" si="4">C9</f>
        <v>9.6639999999999997</v>
      </c>
      <c r="D18" s="432">
        <f t="shared" si="4"/>
        <v>9.9139999999999997</v>
      </c>
      <c r="E18" s="432">
        <f t="shared" si="4"/>
        <v>9.6639999999999997</v>
      </c>
      <c r="F18" s="432">
        <f t="shared" si="4"/>
        <v>9.6639999999999997</v>
      </c>
      <c r="G18" s="432">
        <f t="shared" si="4"/>
        <v>9.9139999999999997</v>
      </c>
      <c r="H18" s="432">
        <f t="shared" si="4"/>
        <v>8.1579999999999995</v>
      </c>
      <c r="I18" s="432">
        <f t="shared" si="4"/>
        <v>8.1579999999999995</v>
      </c>
      <c r="J18" s="432">
        <f t="shared" si="4"/>
        <v>8.1579999999999995</v>
      </c>
      <c r="K18" s="432">
        <f t="shared" si="4"/>
        <v>8.1579999999999995</v>
      </c>
      <c r="L18" s="432">
        <f t="shared" si="4"/>
        <v>8.1579999999999995</v>
      </c>
      <c r="M18" s="432">
        <f t="shared" si="4"/>
        <v>8.1579999999999995</v>
      </c>
      <c r="N18" s="432">
        <f t="shared" ref="N18:N21" si="5">SUM(B18:M18)</f>
        <v>107.432</v>
      </c>
    </row>
    <row r="19" spans="1:14">
      <c r="A19" s="200" t="s">
        <v>3317</v>
      </c>
      <c r="B19" s="432">
        <f>B10</f>
        <v>444.786</v>
      </c>
      <c r="C19" s="432">
        <f t="shared" si="4"/>
        <v>444.15899999999999</v>
      </c>
      <c r="D19" s="432">
        <f t="shared" si="4"/>
        <v>442.69</v>
      </c>
      <c r="E19" s="432">
        <f t="shared" si="4"/>
        <v>441.57400000000001</v>
      </c>
      <c r="F19" s="432">
        <f t="shared" si="4"/>
        <v>438.416</v>
      </c>
      <c r="G19" s="432">
        <f t="shared" si="4"/>
        <v>446.42700000000002</v>
      </c>
      <c r="H19" s="432">
        <f t="shared" si="4"/>
        <v>423.75</v>
      </c>
      <c r="I19" s="432">
        <f t="shared" si="4"/>
        <v>418.70400000000001</v>
      </c>
      <c r="J19" s="432">
        <f t="shared" si="4"/>
        <v>404.44099999999997</v>
      </c>
      <c r="K19" s="432">
        <f t="shared" si="4"/>
        <v>440.96800000000002</v>
      </c>
      <c r="L19" s="432">
        <f t="shared" si="4"/>
        <v>441.67399999999998</v>
      </c>
      <c r="M19" s="432">
        <f t="shared" si="4"/>
        <v>440.72800000000001</v>
      </c>
      <c r="N19" s="432">
        <f t="shared" si="5"/>
        <v>5228.317</v>
      </c>
    </row>
    <row r="20" spans="1:14">
      <c r="A20" s="200" t="s">
        <v>3318</v>
      </c>
      <c r="B20" s="432">
        <f>B11</f>
        <v>1314.201</v>
      </c>
      <c r="C20" s="432">
        <f t="shared" si="4"/>
        <v>1326.0319999999899</v>
      </c>
      <c r="D20" s="432">
        <f t="shared" si="4"/>
        <v>1078.2559999999901</v>
      </c>
      <c r="E20" s="432">
        <f t="shared" si="4"/>
        <v>1207.8820000000001</v>
      </c>
      <c r="F20" s="432">
        <f t="shared" si="4"/>
        <v>1047.46</v>
      </c>
      <c r="G20" s="432">
        <f t="shared" si="4"/>
        <v>1218.6030000000001</v>
      </c>
      <c r="H20" s="432">
        <f t="shared" si="4"/>
        <v>1364.0719999999999</v>
      </c>
      <c r="I20" s="432">
        <f t="shared" si="4"/>
        <v>1177.5530000000001</v>
      </c>
      <c r="J20" s="432">
        <f t="shared" si="4"/>
        <v>1012.9880000000001</v>
      </c>
      <c r="K20" s="432">
        <f t="shared" si="4"/>
        <v>1028.8779999999999</v>
      </c>
      <c r="L20" s="432">
        <f t="shared" si="4"/>
        <v>1045.626</v>
      </c>
      <c r="M20" s="432">
        <f t="shared" si="4"/>
        <v>1255.806</v>
      </c>
      <c r="N20" s="432">
        <f t="shared" si="5"/>
        <v>14077.356999999982</v>
      </c>
    </row>
    <row r="21" spans="1:14">
      <c r="A21" s="200" t="s">
        <v>3320</v>
      </c>
      <c r="B21" s="635">
        <f>B13</f>
        <v>290.15600000000001</v>
      </c>
      <c r="C21" s="635">
        <f t="shared" ref="C21:M21" si="6">C13</f>
        <v>382.84800000000001</v>
      </c>
      <c r="D21" s="635">
        <f t="shared" si="6"/>
        <v>379.19499999999999</v>
      </c>
      <c r="E21" s="635">
        <f t="shared" si="6"/>
        <v>299.036</v>
      </c>
      <c r="F21" s="635">
        <f t="shared" si="6"/>
        <v>310.7</v>
      </c>
      <c r="G21" s="635">
        <f t="shared" si="6"/>
        <v>374.59899999999999</v>
      </c>
      <c r="H21" s="635">
        <f t="shared" si="6"/>
        <v>327.815</v>
      </c>
      <c r="I21" s="635">
        <f t="shared" si="6"/>
        <v>337.233</v>
      </c>
      <c r="J21" s="635">
        <f t="shared" si="6"/>
        <v>383.31299999999999</v>
      </c>
      <c r="K21" s="635">
        <f t="shared" si="6"/>
        <v>451.65499999999997</v>
      </c>
      <c r="L21" s="635">
        <f t="shared" si="6"/>
        <v>438.47</v>
      </c>
      <c r="M21" s="635">
        <f t="shared" si="6"/>
        <v>519.47</v>
      </c>
      <c r="N21" s="432">
        <f t="shared" si="5"/>
        <v>4494.4900000000007</v>
      </c>
    </row>
    <row r="22" spans="1:14" s="129" customFormat="1">
      <c r="A22" s="130"/>
      <c r="B22" s="199"/>
      <c r="C22" s="199"/>
      <c r="D22" s="199"/>
      <c r="E22" s="199"/>
      <c r="F22" s="199"/>
      <c r="G22" s="199"/>
      <c r="H22" s="199"/>
      <c r="I22" s="199"/>
      <c r="J22" s="199"/>
      <c r="K22" s="199"/>
      <c r="L22" s="199"/>
      <c r="M22" s="199"/>
      <c r="N22" s="199"/>
    </row>
    <row r="23" spans="1:14" s="129" customFormat="1">
      <c r="A23" s="130" t="s">
        <v>2083</v>
      </c>
      <c r="B23" s="287">
        <f t="shared" ref="B23:M23" si="7">SUM(B18:B22)</f>
        <v>2058.8070000000002</v>
      </c>
      <c r="C23" s="287">
        <f t="shared" si="7"/>
        <v>2162.70299999999</v>
      </c>
      <c r="D23" s="287">
        <f t="shared" si="7"/>
        <v>1910.0549999999901</v>
      </c>
      <c r="E23" s="287">
        <f t="shared" si="7"/>
        <v>1958.1560000000002</v>
      </c>
      <c r="F23" s="287">
        <f t="shared" si="7"/>
        <v>1806.24</v>
      </c>
      <c r="G23" s="287">
        <f t="shared" si="7"/>
        <v>2049.5430000000001</v>
      </c>
      <c r="H23" s="287">
        <f t="shared" si="7"/>
        <v>2123.7950000000001</v>
      </c>
      <c r="I23" s="287">
        <f t="shared" si="7"/>
        <v>1941.6480000000001</v>
      </c>
      <c r="J23" s="287">
        <f t="shared" si="7"/>
        <v>1808.9</v>
      </c>
      <c r="K23" s="287">
        <f t="shared" si="7"/>
        <v>1929.6589999999999</v>
      </c>
      <c r="L23" s="287">
        <f t="shared" si="7"/>
        <v>1933.9280000000001</v>
      </c>
      <c r="M23" s="287">
        <f t="shared" si="7"/>
        <v>2224.1620000000003</v>
      </c>
      <c r="N23" s="636">
        <f>SUM(B23:M23)</f>
        <v>23907.595999999983</v>
      </c>
    </row>
    <row r="24" spans="1:14">
      <c r="A24" s="130" t="s">
        <v>2082</v>
      </c>
      <c r="N24" s="637">
        <f>N23*0.125</f>
        <v>2988.4494999999979</v>
      </c>
    </row>
  </sheetData>
  <pageMargins left="0.75" right="0.75" top="1" bottom="1" header="0.5" footer="0.5"/>
  <pageSetup scale="80" fitToHeight="0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pageSetUpPr fitToPage="1"/>
  </sheetPr>
  <dimension ref="A1:Y8"/>
  <sheetViews>
    <sheetView topLeftCell="K1" workbookViewId="0">
      <selection activeCell="X2" sqref="X2"/>
    </sheetView>
  </sheetViews>
  <sheetFormatPr defaultColWidth="9" defaultRowHeight="15"/>
  <cols>
    <col min="1" max="1" width="9" style="289"/>
    <col min="2" max="2" width="10.44140625" style="289" customWidth="1"/>
    <col min="3" max="5" width="9.88671875" style="289" bestFit="1" customWidth="1"/>
    <col min="6" max="7" width="10.77734375" style="289" bestFit="1" customWidth="1"/>
    <col min="8" max="8" width="14" style="289" bestFit="1" customWidth="1"/>
    <col min="9" max="19" width="10.77734375" style="289" bestFit="1" customWidth="1"/>
    <col min="20" max="24" width="9" style="289"/>
    <col min="25" max="25" width="14" style="289" bestFit="1" customWidth="1"/>
    <col min="26" max="16384" width="9" style="289"/>
  </cols>
  <sheetData>
    <row r="1" spans="1:25">
      <c r="B1" s="630" t="s">
        <v>2333</v>
      </c>
      <c r="C1" s="630" t="s">
        <v>2334</v>
      </c>
      <c r="D1" s="630" t="s">
        <v>2335</v>
      </c>
      <c r="E1" s="630" t="s">
        <v>2336</v>
      </c>
      <c r="F1" s="630" t="s">
        <v>2337</v>
      </c>
      <c r="G1" s="630" t="s">
        <v>2338</v>
      </c>
      <c r="H1" s="630" t="s">
        <v>2339</v>
      </c>
      <c r="I1" s="630" t="s">
        <v>2391</v>
      </c>
      <c r="J1" s="630" t="s">
        <v>2392</v>
      </c>
      <c r="K1" s="630" t="s">
        <v>2393</v>
      </c>
      <c r="L1" s="630" t="s">
        <v>2365</v>
      </c>
      <c r="M1" s="630" t="s">
        <v>2366</v>
      </c>
      <c r="N1" s="630" t="s">
        <v>2367</v>
      </c>
      <c r="O1" s="630" t="s">
        <v>2368</v>
      </c>
      <c r="P1" s="630" t="s">
        <v>2369</v>
      </c>
      <c r="Q1" s="630" t="s">
        <v>2370</v>
      </c>
      <c r="R1" s="630" t="s">
        <v>2371</v>
      </c>
      <c r="S1" s="630" t="s">
        <v>2372</v>
      </c>
      <c r="T1" s="630" t="s">
        <v>2373</v>
      </c>
      <c r="U1" s="630" t="s">
        <v>2374</v>
      </c>
      <c r="V1" s="630" t="s">
        <v>2375</v>
      </c>
      <c r="W1" s="630" t="s">
        <v>2376</v>
      </c>
      <c r="X1" s="630" t="s">
        <v>2377</v>
      </c>
      <c r="Y1" s="630" t="s">
        <v>2086</v>
      </c>
    </row>
    <row r="2" spans="1:25">
      <c r="A2" s="290" t="s">
        <v>2084</v>
      </c>
      <c r="B2" s="631">
        <v>-237455.09940982977</v>
      </c>
      <c r="C2" s="631">
        <v>-245279.2422304404</v>
      </c>
      <c r="D2" s="631">
        <v>-254185.00067000938</v>
      </c>
      <c r="E2" s="631">
        <v>-264358.02247325343</v>
      </c>
      <c r="F2" s="631">
        <v>-276519.90044890397</v>
      </c>
      <c r="G2" s="631">
        <v>-278402.71416323388</v>
      </c>
      <c r="H2" s="632">
        <f>-280314.806034321*1000</f>
        <v>-280314806.03432101</v>
      </c>
      <c r="I2" s="631">
        <v>-282240.32820740232</v>
      </c>
      <c r="J2" s="631">
        <v>-284395.43193995452</v>
      </c>
      <c r="K2" s="631">
        <v>-286757.12531274807</v>
      </c>
      <c r="L2" s="631">
        <v>-289133.52260450536</v>
      </c>
      <c r="M2" s="631">
        <v>-294770.69130127126</v>
      </c>
      <c r="N2" s="631">
        <v>-296721.17251663015</v>
      </c>
      <c r="O2" s="631">
        <v>-298667.55898785905</v>
      </c>
      <c r="P2" s="631">
        <v>-300794.80700356956</v>
      </c>
      <c r="Q2" s="631">
        <v>-302962.47400990821</v>
      </c>
      <c r="R2" s="631">
        <v>-307956.03727764013</v>
      </c>
      <c r="S2" s="631">
        <v>-309284.34973315353</v>
      </c>
      <c r="T2" s="631">
        <v>-310608.01518810348</v>
      </c>
      <c r="U2" s="631">
        <v>-311926.99420241953</v>
      </c>
      <c r="V2" s="631">
        <v>-313819.74542577297</v>
      </c>
      <c r="W2" s="631">
        <v>-315704.41062604933</v>
      </c>
      <c r="X2" s="631">
        <v>-317579.45731652272</v>
      </c>
      <c r="Y2" s="632">
        <f>SUM(L2:R2,S2:X2)/13*1000</f>
        <v>-305379172.01487732</v>
      </c>
    </row>
    <row r="3" spans="1:25" ht="15.75">
      <c r="A3" s="290" t="s">
        <v>2087</v>
      </c>
      <c r="B3" s="291"/>
      <c r="C3" s="292"/>
      <c r="D3" s="292"/>
      <c r="E3" s="292"/>
      <c r="F3" s="292"/>
      <c r="G3" s="292"/>
      <c r="H3" s="294">
        <f>'JURISSEP B'!$G$1259</f>
        <v>0.87577725766318837</v>
      </c>
      <c r="I3" s="292"/>
      <c r="J3" s="292"/>
      <c r="K3" s="292"/>
      <c r="L3" s="292"/>
      <c r="M3" s="292"/>
      <c r="N3" s="292"/>
      <c r="O3" s="292"/>
      <c r="P3" s="292"/>
      <c r="Q3" s="292"/>
      <c r="R3" s="292"/>
      <c r="S3" s="292"/>
      <c r="T3" s="292"/>
      <c r="U3" s="292"/>
      <c r="V3" s="292"/>
      <c r="W3" s="292"/>
      <c r="X3" s="292"/>
      <c r="Y3" s="294">
        <f>'JURISSEP F'!$G$1259</f>
        <v>0.87577725766318848</v>
      </c>
    </row>
    <row r="4" spans="1:25" ht="15.75">
      <c r="A4" s="290" t="s">
        <v>2088</v>
      </c>
      <c r="B4" s="291"/>
      <c r="C4" s="292"/>
      <c r="D4" s="292"/>
      <c r="E4" s="292"/>
      <c r="F4" s="292"/>
      <c r="G4" s="292"/>
      <c r="H4" s="292">
        <f>H2*H3</f>
        <v>-245493332.11112621</v>
      </c>
      <c r="I4" s="292"/>
      <c r="J4" s="292"/>
      <c r="K4" s="292"/>
      <c r="L4" s="292"/>
      <c r="M4" s="292"/>
      <c r="N4" s="292"/>
      <c r="O4" s="292"/>
      <c r="P4" s="292"/>
      <c r="Q4" s="292"/>
      <c r="R4" s="292"/>
      <c r="S4" s="292"/>
      <c r="T4" s="292"/>
      <c r="U4" s="292"/>
      <c r="V4" s="292"/>
      <c r="W4" s="292"/>
      <c r="X4" s="292"/>
      <c r="Y4" s="292">
        <f>Y2*Y3</f>
        <v>-267444133.81464437</v>
      </c>
    </row>
    <row r="5" spans="1:25" ht="15.75">
      <c r="A5" s="290"/>
      <c r="B5" s="291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  <c r="Q5" s="292"/>
      <c r="R5" s="292"/>
      <c r="S5" s="292"/>
      <c r="T5" s="292"/>
      <c r="U5" s="292"/>
      <c r="V5" s="292"/>
      <c r="W5" s="292"/>
      <c r="X5" s="292"/>
      <c r="Y5" s="292"/>
    </row>
    <row r="6" spans="1:25" ht="15.75">
      <c r="A6" s="290"/>
      <c r="B6" s="291"/>
      <c r="C6" s="292"/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2"/>
      <c r="O6" s="292"/>
      <c r="P6" s="292"/>
      <c r="Q6" s="292"/>
      <c r="R6" s="292"/>
      <c r="S6" s="292"/>
      <c r="T6" s="292"/>
      <c r="U6" s="292"/>
      <c r="V6" s="292"/>
      <c r="W6" s="292"/>
      <c r="X6" s="292"/>
      <c r="Y6" s="292"/>
    </row>
    <row r="7" spans="1:25" ht="15.75">
      <c r="A7" s="290"/>
      <c r="B7" s="291"/>
      <c r="C7" s="292"/>
      <c r="D7" s="292"/>
      <c r="E7" s="292"/>
      <c r="F7" s="292"/>
      <c r="G7" s="292"/>
      <c r="H7" s="292"/>
      <c r="I7" s="292"/>
      <c r="J7" s="292"/>
      <c r="K7" s="292"/>
      <c r="L7" s="292"/>
      <c r="M7" s="292"/>
      <c r="N7" s="292"/>
      <c r="O7" s="292"/>
      <c r="P7" s="292"/>
      <c r="Q7" s="292"/>
      <c r="R7" s="292"/>
      <c r="S7" s="292"/>
      <c r="T7" s="292"/>
      <c r="U7" s="292"/>
      <c r="V7" s="292"/>
      <c r="W7" s="292"/>
      <c r="X7" s="292"/>
      <c r="Y7" s="292"/>
    </row>
    <row r="8" spans="1:25">
      <c r="A8" s="293" t="s">
        <v>2085</v>
      </c>
      <c r="B8" s="631">
        <v>-186085.62583409814</v>
      </c>
      <c r="C8" s="631">
        <v>-197345.2297669696</v>
      </c>
      <c r="D8" s="631">
        <v>-208227.9762940635</v>
      </c>
      <c r="E8" s="631">
        <v>-219782.656729968</v>
      </c>
      <c r="F8" s="631">
        <v>-235656.20795000385</v>
      </c>
      <c r="G8" s="631">
        <v>-237573.54661585196</v>
      </c>
      <c r="H8" s="632">
        <v>-239546.90581101371</v>
      </c>
      <c r="I8" s="631">
        <v>-241605.3273875665</v>
      </c>
      <c r="J8" s="631">
        <v>-243893.84039152251</v>
      </c>
      <c r="K8" s="631">
        <v>-246204.65072718382</v>
      </c>
      <c r="L8" s="631">
        <v>-248541.63668731885</v>
      </c>
      <c r="M8" s="631">
        <v>-252985.43109724871</v>
      </c>
      <c r="N8" s="631">
        <v>-254936.95663658562</v>
      </c>
      <c r="O8" s="631">
        <v>-256886.26219142808</v>
      </c>
      <c r="P8" s="631">
        <v>-258771.04407161</v>
      </c>
      <c r="Q8" s="631">
        <v>-261403.68562462332</v>
      </c>
      <c r="R8" s="631">
        <v>-264782.53237555805</v>
      </c>
      <c r="S8" s="631">
        <v>-265989.76283775223</v>
      </c>
      <c r="T8" s="631">
        <v>-267200.89122826839</v>
      </c>
      <c r="U8" s="631">
        <v>-268416.24912443827</v>
      </c>
      <c r="V8" s="631">
        <v>-269689.7719859932</v>
      </c>
      <c r="W8" s="631">
        <v>-270964.13957657613</v>
      </c>
      <c r="X8" s="631">
        <v>-272237.48144035635</v>
      </c>
      <c r="Y8" s="632">
        <f>SUM(L8:R8,S8:X8)/13</f>
        <v>-262523.52652905829</v>
      </c>
    </row>
  </sheetData>
  <pageMargins left="0.7" right="0.7" top="0.75" bottom="0.75" header="0.3" footer="0.3"/>
  <pageSetup scale="43" fitToHeight="0" orientation="landscape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pageSetUpPr fitToPage="1"/>
  </sheetPr>
  <dimension ref="A1:AS12"/>
  <sheetViews>
    <sheetView zoomScale="85" zoomScaleNormal="85" workbookViewId="0">
      <pane xSplit="1" ySplit="1" topLeftCell="L2" activePane="bottomRight" state="frozen"/>
      <selection activeCell="AF2" sqref="AF2"/>
      <selection pane="topRight" activeCell="AF2" sqref="AF2"/>
      <selection pane="bottomLeft" activeCell="AF2" sqref="AF2"/>
      <selection pane="bottomRight" activeCell="AE15" sqref="AE15"/>
    </sheetView>
  </sheetViews>
  <sheetFormatPr defaultColWidth="9" defaultRowHeight="15"/>
  <cols>
    <col min="1" max="1" width="28.88671875" style="457" bestFit="1" customWidth="1"/>
    <col min="2" max="9" width="12.88671875" style="457" bestFit="1" customWidth="1"/>
    <col min="10" max="10" width="11.77734375" style="457" bestFit="1" customWidth="1"/>
    <col min="11" max="14" width="8.44140625" style="457" bestFit="1" customWidth="1"/>
    <col min="15" max="15" width="13.44140625" style="457" customWidth="1"/>
    <col min="16" max="31" width="8.44140625" style="457" bestFit="1" customWidth="1"/>
    <col min="32" max="32" width="14" style="457" customWidth="1"/>
    <col min="33" max="16384" width="9" style="457"/>
  </cols>
  <sheetData>
    <row r="1" spans="1:45">
      <c r="B1" s="627" t="s">
        <v>2326</v>
      </c>
      <c r="C1" s="627" t="s">
        <v>2327</v>
      </c>
      <c r="D1" s="627" t="s">
        <v>2328</v>
      </c>
      <c r="E1" s="627" t="s">
        <v>2329</v>
      </c>
      <c r="F1" s="627" t="s">
        <v>2330</v>
      </c>
      <c r="G1" s="627" t="s">
        <v>2331</v>
      </c>
      <c r="H1" s="627" t="s">
        <v>2332</v>
      </c>
      <c r="I1" s="627" t="s">
        <v>2333</v>
      </c>
      <c r="J1" s="627" t="s">
        <v>2334</v>
      </c>
      <c r="K1" s="627" t="s">
        <v>2335</v>
      </c>
      <c r="L1" s="627" t="s">
        <v>2336</v>
      </c>
      <c r="M1" s="627" t="s">
        <v>2337</v>
      </c>
      <c r="N1" s="627" t="s">
        <v>2338</v>
      </c>
      <c r="O1" s="627" t="s">
        <v>2339</v>
      </c>
      <c r="P1" s="627" t="s">
        <v>2391</v>
      </c>
      <c r="Q1" s="627" t="s">
        <v>2392</v>
      </c>
      <c r="R1" s="627" t="s">
        <v>2393</v>
      </c>
      <c r="S1" s="627" t="s">
        <v>2365</v>
      </c>
      <c r="T1" s="627" t="s">
        <v>2366</v>
      </c>
      <c r="U1" s="627" t="s">
        <v>2367</v>
      </c>
      <c r="V1" s="627" t="s">
        <v>2368</v>
      </c>
      <c r="W1" s="627" t="s">
        <v>2369</v>
      </c>
      <c r="X1" s="627" t="s">
        <v>2370</v>
      </c>
      <c r="Y1" s="627" t="s">
        <v>2371</v>
      </c>
      <c r="Z1" s="627" t="s">
        <v>2372</v>
      </c>
      <c r="AA1" s="627" t="s">
        <v>2373</v>
      </c>
      <c r="AB1" s="627" t="s">
        <v>2374</v>
      </c>
      <c r="AC1" s="627" t="s">
        <v>2375</v>
      </c>
      <c r="AD1" s="627" t="s">
        <v>2376</v>
      </c>
      <c r="AE1" s="627" t="s">
        <v>2377</v>
      </c>
      <c r="AF1" s="627" t="s">
        <v>2086</v>
      </c>
      <c r="AG1" s="458"/>
      <c r="AH1" s="458"/>
      <c r="AI1" s="458"/>
      <c r="AJ1" s="458"/>
      <c r="AK1" s="458"/>
      <c r="AL1" s="458"/>
      <c r="AM1" s="458"/>
      <c r="AN1" s="458"/>
      <c r="AO1" s="458"/>
      <c r="AP1" s="458"/>
      <c r="AQ1" s="458"/>
      <c r="AR1" s="458"/>
      <c r="AS1" s="458"/>
    </row>
    <row r="2" spans="1:45">
      <c r="A2" s="457" t="s">
        <v>2090</v>
      </c>
      <c r="B2" s="628">
        <v>-1432.1236384820363</v>
      </c>
      <c r="C2" s="628">
        <v>-1449.4845884820363</v>
      </c>
      <c r="D2" s="628">
        <v>-1475.6531484820364</v>
      </c>
      <c r="E2" s="628">
        <v>-1506.4879384820363</v>
      </c>
      <c r="F2" s="628">
        <v>-1541.9584584820363</v>
      </c>
      <c r="G2" s="628">
        <v>-1575.1500068494463</v>
      </c>
      <c r="H2" s="628">
        <v>-1616.7545060581308</v>
      </c>
      <c r="I2" s="628">
        <v>-1653.4628553127666</v>
      </c>
      <c r="J2" s="628">
        <v>-1701.5578382341773</v>
      </c>
      <c r="K2" s="628">
        <v>-1749.1962556716783</v>
      </c>
      <c r="L2" s="628">
        <v>-1796.519085504269</v>
      </c>
      <c r="M2" s="628">
        <v>-1843.2264037216298</v>
      </c>
      <c r="N2" s="628">
        <v>-1862.8376041983709</v>
      </c>
      <c r="O2" s="629">
        <f>-1882.10200768578*1000</f>
        <v>-1882102.0076857801</v>
      </c>
      <c r="P2" s="628">
        <v>-1900.9938094292934</v>
      </c>
      <c r="Q2" s="628">
        <v>-1919.4144791015347</v>
      </c>
      <c r="R2" s="628">
        <v>-1937.3739712980857</v>
      </c>
      <c r="S2" s="628">
        <v>-1955.0696069030168</v>
      </c>
      <c r="T2" s="628">
        <v>-1946.2867761258401</v>
      </c>
      <c r="U2" s="628">
        <v>-1936.9704248077635</v>
      </c>
      <c r="V2" s="628">
        <v>-1927.1767779973868</v>
      </c>
      <c r="W2" s="628">
        <v>-1916.7893510062102</v>
      </c>
      <c r="X2" s="628">
        <v>-1905.8004172828335</v>
      </c>
      <c r="Y2" s="628">
        <v>-1894.2024369569567</v>
      </c>
      <c r="Z2" s="628">
        <v>-1889.8450421279929</v>
      </c>
      <c r="AA2" s="628">
        <v>-1884.7863791050288</v>
      </c>
      <c r="AB2" s="628">
        <v>-1879.044680629265</v>
      </c>
      <c r="AC2" s="628">
        <v>-1872.4973314500012</v>
      </c>
      <c r="AD2" s="628">
        <v>-1865.1601818779372</v>
      </c>
      <c r="AE2" s="628">
        <v>-1857.1912696593731</v>
      </c>
      <c r="AF2" s="629">
        <f>SUM(S2:AE2)/13*1000</f>
        <v>-1902370.8212253542</v>
      </c>
    </row>
    <row r="3" spans="1:45" ht="15.75">
      <c r="A3" s="457" t="s">
        <v>2093</v>
      </c>
      <c r="B3" s="295"/>
      <c r="C3" s="295"/>
      <c r="D3" s="295"/>
      <c r="E3" s="295"/>
      <c r="F3" s="295"/>
      <c r="G3" s="295"/>
      <c r="H3" s="295"/>
      <c r="I3" s="295"/>
      <c r="J3" s="628"/>
      <c r="K3" s="628"/>
      <c r="L3" s="628"/>
      <c r="M3" s="628"/>
      <c r="N3" s="628"/>
      <c r="O3" s="628"/>
      <c r="P3" s="628"/>
      <c r="Q3" s="628"/>
      <c r="R3" s="628"/>
      <c r="S3" s="628"/>
      <c r="T3" s="628"/>
      <c r="U3" s="628"/>
      <c r="V3" s="628"/>
      <c r="W3" s="628"/>
      <c r="X3" s="628"/>
      <c r="Y3" s="628"/>
      <c r="Z3" s="628"/>
      <c r="AA3" s="628"/>
      <c r="AB3" s="628"/>
      <c r="AC3" s="628"/>
      <c r="AD3" s="628"/>
      <c r="AE3" s="628"/>
      <c r="AF3" s="628"/>
    </row>
    <row r="4" spans="1:45" ht="15.75">
      <c r="B4" s="295"/>
      <c r="C4" s="295"/>
      <c r="D4" s="295"/>
      <c r="E4" s="295"/>
      <c r="F4" s="295"/>
      <c r="G4" s="295"/>
      <c r="H4" s="295"/>
      <c r="I4" s="295"/>
      <c r="J4" s="628"/>
      <c r="K4" s="628"/>
      <c r="L4" s="628"/>
      <c r="M4" s="628"/>
      <c r="N4" s="628"/>
      <c r="O4" s="628"/>
      <c r="P4" s="628"/>
      <c r="Q4" s="628"/>
      <c r="R4" s="628"/>
      <c r="S4" s="628"/>
      <c r="T4" s="628"/>
      <c r="U4" s="628"/>
      <c r="V4" s="628"/>
      <c r="W4" s="628"/>
      <c r="X4" s="628"/>
      <c r="Y4" s="628"/>
      <c r="Z4" s="628"/>
      <c r="AA4" s="628"/>
      <c r="AB4" s="628"/>
      <c r="AC4" s="628"/>
      <c r="AD4" s="628"/>
      <c r="AE4" s="628"/>
      <c r="AF4" s="628"/>
    </row>
    <row r="5" spans="1:45" ht="15.75">
      <c r="B5" s="295"/>
      <c r="C5" s="295"/>
      <c r="D5" s="295"/>
      <c r="E5" s="295"/>
      <c r="F5" s="295"/>
      <c r="G5" s="295"/>
      <c r="H5" s="295"/>
      <c r="I5" s="295"/>
      <c r="J5" s="628"/>
      <c r="K5" s="628"/>
      <c r="L5" s="628"/>
      <c r="M5" s="628"/>
      <c r="N5" s="628"/>
      <c r="O5" s="628"/>
      <c r="P5" s="628"/>
      <c r="Q5" s="628"/>
      <c r="R5" s="628"/>
      <c r="S5" s="628"/>
      <c r="T5" s="628"/>
      <c r="U5" s="628"/>
      <c r="V5" s="628"/>
      <c r="W5" s="628"/>
      <c r="X5" s="628"/>
      <c r="Y5" s="628"/>
      <c r="Z5" s="628"/>
      <c r="AA5" s="628"/>
      <c r="AB5" s="628"/>
      <c r="AC5" s="628"/>
      <c r="AD5" s="628"/>
      <c r="AE5" s="628"/>
      <c r="AF5" s="628"/>
    </row>
    <row r="6" spans="1:45" ht="15.75">
      <c r="B6" s="295"/>
      <c r="C6" s="295"/>
      <c r="D6" s="295"/>
      <c r="E6" s="295"/>
      <c r="F6" s="295"/>
      <c r="G6" s="295"/>
      <c r="H6" s="295"/>
      <c r="I6" s="295"/>
      <c r="J6" s="628"/>
      <c r="K6" s="628"/>
      <c r="L6" s="628"/>
      <c r="M6" s="628"/>
      <c r="N6" s="628"/>
      <c r="O6" s="628"/>
      <c r="P6" s="628"/>
      <c r="Q6" s="628"/>
      <c r="R6" s="628"/>
      <c r="S6" s="628"/>
      <c r="T6" s="628"/>
      <c r="U6" s="628"/>
      <c r="V6" s="628"/>
      <c r="W6" s="628"/>
      <c r="X6" s="628"/>
      <c r="Y6" s="628"/>
      <c r="Z6" s="628"/>
      <c r="AA6" s="628"/>
      <c r="AB6" s="628"/>
      <c r="AC6" s="628"/>
      <c r="AD6" s="628"/>
      <c r="AE6" s="628"/>
      <c r="AF6" s="628"/>
    </row>
    <row r="7" spans="1:45" ht="15.75">
      <c r="B7" s="295"/>
      <c r="C7" s="295"/>
      <c r="D7" s="295"/>
      <c r="E7" s="295"/>
      <c r="F7" s="295"/>
      <c r="G7" s="295"/>
      <c r="H7" s="295"/>
      <c r="I7" s="295"/>
      <c r="J7" s="628"/>
      <c r="K7" s="628"/>
      <c r="L7" s="628"/>
      <c r="M7" s="628"/>
      <c r="N7" s="628"/>
      <c r="O7" s="628"/>
      <c r="P7" s="628"/>
      <c r="Q7" s="628"/>
      <c r="R7" s="628"/>
      <c r="S7" s="628"/>
      <c r="T7" s="628"/>
      <c r="U7" s="628"/>
      <c r="V7" s="628"/>
      <c r="W7" s="628"/>
      <c r="X7" s="628"/>
      <c r="Y7" s="628"/>
      <c r="Z7" s="628"/>
      <c r="AA7" s="628"/>
      <c r="AB7" s="628"/>
      <c r="AC7" s="628"/>
      <c r="AD7" s="628"/>
      <c r="AE7" s="628"/>
      <c r="AF7" s="628"/>
    </row>
    <row r="8" spans="1:45" ht="15.75">
      <c r="B8" s="295"/>
      <c r="C8" s="295"/>
      <c r="D8" s="295"/>
      <c r="E8" s="295"/>
      <c r="F8" s="295"/>
      <c r="G8" s="295"/>
      <c r="H8" s="295"/>
      <c r="I8" s="295"/>
      <c r="J8" s="628"/>
      <c r="K8" s="628"/>
      <c r="L8" s="628"/>
      <c r="M8" s="628"/>
      <c r="N8" s="628"/>
      <c r="O8" s="628"/>
      <c r="P8" s="628"/>
      <c r="Q8" s="628"/>
      <c r="R8" s="628"/>
      <c r="S8" s="628"/>
      <c r="T8" s="628"/>
      <c r="U8" s="628"/>
      <c r="V8" s="628"/>
      <c r="W8" s="628"/>
      <c r="X8" s="628"/>
      <c r="Y8" s="628"/>
      <c r="Z8" s="628"/>
      <c r="AA8" s="628"/>
      <c r="AB8" s="628"/>
      <c r="AC8" s="628"/>
      <c r="AD8" s="628"/>
      <c r="AE8" s="628"/>
      <c r="AF8" s="628"/>
    </row>
    <row r="9" spans="1:45" ht="15.75">
      <c r="B9" s="295"/>
      <c r="C9" s="295"/>
      <c r="D9" s="295"/>
      <c r="E9" s="295"/>
      <c r="F9" s="295"/>
      <c r="G9" s="295"/>
      <c r="H9" s="295"/>
      <c r="I9" s="295"/>
      <c r="J9" s="628"/>
      <c r="K9" s="628"/>
      <c r="L9" s="628"/>
      <c r="M9" s="628"/>
      <c r="N9" s="628"/>
      <c r="O9" s="628"/>
      <c r="P9" s="628"/>
      <c r="Q9" s="628"/>
      <c r="R9" s="628"/>
      <c r="S9" s="628"/>
      <c r="T9" s="628"/>
      <c r="U9" s="628"/>
      <c r="V9" s="628"/>
      <c r="W9" s="628"/>
      <c r="X9" s="628"/>
      <c r="Y9" s="628"/>
      <c r="Z9" s="628"/>
      <c r="AA9" s="628"/>
      <c r="AB9" s="628"/>
      <c r="AC9" s="628"/>
      <c r="AD9" s="628"/>
      <c r="AE9" s="628"/>
      <c r="AF9" s="628"/>
    </row>
    <row r="10" spans="1:45">
      <c r="A10" s="457" t="s">
        <v>2091</v>
      </c>
      <c r="B10" s="628">
        <v>-1112.3451052384817</v>
      </c>
      <c r="C10" s="628">
        <v>-1119.3140252384819</v>
      </c>
      <c r="D10" s="628">
        <v>-1138.3338452384817</v>
      </c>
      <c r="E10" s="628">
        <v>-1163.6626652384816</v>
      </c>
      <c r="F10" s="628">
        <v>-1202.4961552384816</v>
      </c>
      <c r="G10" s="628">
        <v>-1210.3750587343065</v>
      </c>
      <c r="H10" s="628">
        <v>-1227.8190459705636</v>
      </c>
      <c r="I10" s="628">
        <v>-1287.2209061984229</v>
      </c>
      <c r="J10" s="628">
        <v>-1322.2424365638933</v>
      </c>
      <c r="K10" s="628">
        <v>-1356.7633736669038</v>
      </c>
      <c r="L10" s="628">
        <v>-1390.5567999707243</v>
      </c>
      <c r="M10" s="628">
        <v>-1422.918515785135</v>
      </c>
      <c r="N10" s="628">
        <v>-1426.4165346181926</v>
      </c>
      <c r="O10" s="629">
        <f>-1429.11509514539*1000</f>
        <v>-1429115.0951453899</v>
      </c>
      <c r="P10" s="628">
        <v>-1430.9547106192581</v>
      </c>
      <c r="Q10" s="628">
        <v>-1431.7082426911056</v>
      </c>
      <c r="R10" s="628">
        <v>-1431.3986393228431</v>
      </c>
      <c r="S10" s="628">
        <v>-1430.4807770693008</v>
      </c>
      <c r="T10" s="628">
        <v>-1429.1879209101344</v>
      </c>
      <c r="U10" s="628">
        <v>-1427.4296906149082</v>
      </c>
      <c r="V10" s="628">
        <v>-1425.2551296309218</v>
      </c>
      <c r="W10" s="628">
        <v>-1422.5626317961353</v>
      </c>
      <c r="X10" s="628">
        <v>-1419.345457471599</v>
      </c>
      <c r="Y10" s="628">
        <v>-1415.5970298732127</v>
      </c>
      <c r="Z10" s="628">
        <v>-1419.1776703270539</v>
      </c>
      <c r="AA10" s="628">
        <v>-1422.146615380145</v>
      </c>
      <c r="AB10" s="628">
        <v>-1424.5197689084862</v>
      </c>
      <c r="AC10" s="628">
        <v>-1426.1901772448375</v>
      </c>
      <c r="AD10" s="628">
        <v>-1427.1716661805187</v>
      </c>
      <c r="AE10" s="628">
        <v>-1427.60208731434</v>
      </c>
      <c r="AF10" s="629">
        <f t="shared" ref="AF10:AF11" si="0">SUM(S10:AE10)/13*1000</f>
        <v>-1424358.9709785841</v>
      </c>
    </row>
    <row r="11" spans="1:45">
      <c r="A11" s="457" t="s">
        <v>2092</v>
      </c>
      <c r="B11" s="628"/>
      <c r="C11" s="628"/>
      <c r="D11" s="628"/>
      <c r="E11" s="628"/>
      <c r="F11" s="628"/>
      <c r="G11" s="628"/>
      <c r="H11" s="628"/>
      <c r="I11" s="628"/>
      <c r="J11" s="628"/>
      <c r="K11" s="628"/>
      <c r="L11" s="628"/>
      <c r="M11" s="628"/>
      <c r="N11" s="628"/>
      <c r="O11" s="629"/>
      <c r="P11" s="628"/>
      <c r="Q11" s="628"/>
      <c r="R11" s="628"/>
      <c r="S11" s="628"/>
      <c r="T11" s="628"/>
      <c r="U11" s="628"/>
      <c r="V11" s="628"/>
      <c r="W11" s="628"/>
      <c r="X11" s="628"/>
      <c r="Y11" s="628"/>
      <c r="Z11" s="628"/>
      <c r="AA11" s="628"/>
      <c r="AB11" s="628"/>
      <c r="AC11" s="628"/>
      <c r="AD11" s="628"/>
      <c r="AE11" s="628"/>
      <c r="AF11" s="629">
        <f t="shared" si="0"/>
        <v>0</v>
      </c>
    </row>
    <row r="12" spans="1:45" ht="15.75">
      <c r="B12" s="295"/>
    </row>
  </sheetData>
  <pageMargins left="0.7" right="0.7" top="0.75" bottom="0.75" header="0.3" footer="0.3"/>
  <pageSetup scale="36" fitToHeight="0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>
    <pageSetUpPr fitToPage="1"/>
  </sheetPr>
  <dimension ref="A1:CA7"/>
  <sheetViews>
    <sheetView workbookViewId="0">
      <pane xSplit="1" topLeftCell="B1" activePane="topRight" state="frozen"/>
      <selection pane="topRight" activeCell="D5" sqref="D5"/>
    </sheetView>
  </sheetViews>
  <sheetFormatPr defaultColWidth="9" defaultRowHeight="15"/>
  <cols>
    <col min="1" max="1" width="44.109375" style="454" bestFit="1" customWidth="1"/>
    <col min="2" max="5" width="9" style="454"/>
    <col min="6" max="6" width="9.88671875" style="454" customWidth="1"/>
    <col min="7" max="16384" width="9" style="454"/>
  </cols>
  <sheetData>
    <row r="1" spans="1:79" ht="30">
      <c r="A1" s="277" t="s">
        <v>1908</v>
      </c>
      <c r="B1" s="501" t="s">
        <v>2326</v>
      </c>
      <c r="C1" s="501" t="s">
        <v>2327</v>
      </c>
      <c r="D1" s="501" t="s">
        <v>2328</v>
      </c>
      <c r="E1" s="501" t="s">
        <v>2329</v>
      </c>
      <c r="F1" s="501" t="s">
        <v>2330</v>
      </c>
      <c r="G1" s="501" t="s">
        <v>2331</v>
      </c>
      <c r="H1" s="501" t="s">
        <v>2332</v>
      </c>
      <c r="I1" s="501" t="s">
        <v>2333</v>
      </c>
      <c r="J1" s="501" t="s">
        <v>2334</v>
      </c>
      <c r="K1" s="501" t="s">
        <v>2335</v>
      </c>
      <c r="L1" s="501" t="s">
        <v>2336</v>
      </c>
      <c r="M1" s="501" t="s">
        <v>2337</v>
      </c>
      <c r="N1" s="501" t="s">
        <v>2338</v>
      </c>
      <c r="O1" s="501" t="s">
        <v>2339</v>
      </c>
      <c r="P1" s="198" t="s">
        <v>2405</v>
      </c>
      <c r="Q1" s="501" t="s">
        <v>2391</v>
      </c>
      <c r="R1" s="501" t="s">
        <v>2392</v>
      </c>
      <c r="S1" s="501" t="s">
        <v>2393</v>
      </c>
      <c r="T1" s="501" t="s">
        <v>2365</v>
      </c>
      <c r="U1" s="501" t="s">
        <v>2366</v>
      </c>
      <c r="V1" s="501" t="s">
        <v>2367</v>
      </c>
      <c r="W1" s="501" t="s">
        <v>2368</v>
      </c>
      <c r="X1" s="501" t="s">
        <v>2369</v>
      </c>
      <c r="Y1" s="501" t="s">
        <v>2370</v>
      </c>
      <c r="Z1" s="501" t="s">
        <v>2371</v>
      </c>
      <c r="AA1" s="501" t="s">
        <v>2372</v>
      </c>
      <c r="AB1" s="501" t="s">
        <v>2373</v>
      </c>
      <c r="AC1" s="501" t="s">
        <v>2374</v>
      </c>
      <c r="AD1" s="501" t="s">
        <v>2375</v>
      </c>
      <c r="AE1" s="501" t="s">
        <v>2376</v>
      </c>
      <c r="AF1" s="501" t="s">
        <v>2377</v>
      </c>
      <c r="AG1" s="198" t="s">
        <v>2406</v>
      </c>
      <c r="AH1" s="429"/>
      <c r="AI1" s="429"/>
      <c r="AJ1" s="429"/>
      <c r="AK1" s="429"/>
      <c r="AL1" s="429"/>
      <c r="AM1" s="429"/>
      <c r="AN1" s="429"/>
      <c r="AO1" s="429"/>
      <c r="AP1" s="429"/>
      <c r="AQ1" s="429"/>
      <c r="AR1" s="429"/>
      <c r="AS1" s="429"/>
      <c r="AT1" s="429"/>
      <c r="AU1" s="429"/>
      <c r="AV1" s="429"/>
      <c r="AW1" s="429"/>
      <c r="AX1" s="429"/>
      <c r="AY1" s="429"/>
      <c r="AZ1" s="429"/>
      <c r="BA1" s="429"/>
      <c r="BB1" s="429"/>
      <c r="BC1" s="429"/>
      <c r="BD1" s="429"/>
      <c r="BE1" s="429"/>
      <c r="BF1" s="429"/>
      <c r="BG1" s="429"/>
      <c r="BH1" s="429"/>
      <c r="BI1" s="429"/>
      <c r="BJ1" s="429"/>
      <c r="BK1" s="429"/>
      <c r="BL1" s="429"/>
      <c r="BM1" s="429"/>
      <c r="BN1" s="429"/>
      <c r="BO1" s="429"/>
      <c r="BP1" s="429"/>
      <c r="BQ1" s="429"/>
      <c r="BR1" s="429"/>
      <c r="BS1" s="429"/>
      <c r="BT1" s="429"/>
      <c r="BU1" s="429"/>
      <c r="BV1" s="429"/>
      <c r="BW1" s="429"/>
      <c r="BX1" s="429"/>
      <c r="BY1" s="429"/>
      <c r="BZ1" s="429"/>
      <c r="CA1" s="429"/>
    </row>
    <row r="2" spans="1:79">
      <c r="A2" s="455" t="s">
        <v>1907</v>
      </c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  <c r="M2" s="429"/>
      <c r="N2" s="429"/>
      <c r="O2" s="429"/>
      <c r="P2" s="429"/>
      <c r="Q2" s="429"/>
      <c r="R2" s="429"/>
      <c r="S2" s="429"/>
      <c r="T2" s="429"/>
      <c r="U2" s="429"/>
      <c r="V2" s="429"/>
      <c r="W2" s="429"/>
      <c r="X2" s="429"/>
      <c r="Y2" s="429"/>
      <c r="Z2" s="429"/>
      <c r="AA2" s="429"/>
      <c r="AB2" s="429"/>
      <c r="AC2" s="429"/>
      <c r="AD2" s="429"/>
      <c r="AE2" s="429"/>
      <c r="AF2" s="429"/>
      <c r="AG2" s="429"/>
      <c r="AH2" s="429"/>
      <c r="AI2" s="429"/>
      <c r="AJ2" s="429"/>
      <c r="AK2" s="429"/>
      <c r="AL2" s="429"/>
      <c r="AM2" s="429"/>
      <c r="AN2" s="429"/>
      <c r="AO2" s="429"/>
      <c r="AP2" s="429"/>
      <c r="AQ2" s="429"/>
      <c r="AR2" s="429"/>
      <c r="AS2" s="429"/>
      <c r="AT2" s="429"/>
      <c r="AU2" s="429"/>
      <c r="AV2" s="429"/>
      <c r="AW2" s="429"/>
      <c r="AX2" s="429"/>
      <c r="AY2" s="429"/>
      <c r="AZ2" s="429"/>
      <c r="BA2" s="429"/>
      <c r="BB2" s="429"/>
      <c r="BC2" s="429"/>
      <c r="BD2" s="429"/>
      <c r="BE2" s="429"/>
      <c r="BF2" s="429"/>
      <c r="BG2" s="429"/>
      <c r="BH2" s="429"/>
      <c r="BI2" s="429"/>
      <c r="BJ2" s="429"/>
      <c r="BK2" s="429"/>
      <c r="BL2" s="429"/>
      <c r="BM2" s="429"/>
      <c r="BN2" s="429"/>
      <c r="BO2" s="429"/>
      <c r="BP2" s="429"/>
      <c r="BQ2" s="429"/>
      <c r="BR2" s="429"/>
      <c r="BS2" s="429"/>
      <c r="BT2" s="429"/>
      <c r="BU2" s="429"/>
      <c r="BV2" s="429"/>
      <c r="BW2" s="429"/>
      <c r="BX2" s="429"/>
      <c r="BY2" s="429"/>
      <c r="BZ2" s="429"/>
      <c r="CA2" s="429"/>
    </row>
    <row r="3" spans="1:79">
      <c r="A3" s="456"/>
    </row>
    <row r="5" spans="1:79">
      <c r="A5" s="454" t="s">
        <v>2487</v>
      </c>
      <c r="B5" s="199">
        <v>139.99606</v>
      </c>
      <c r="C5" s="199">
        <v>139.52950000000001</v>
      </c>
      <c r="D5" s="199">
        <v>139.04510999999999</v>
      </c>
      <c r="E5" s="199">
        <v>138.63158999999999</v>
      </c>
      <c r="F5" s="199">
        <v>138.14250000000001</v>
      </c>
      <c r="G5" s="199">
        <v>137.63041999999999</v>
      </c>
      <c r="H5" s="199">
        <v>137.13242</v>
      </c>
      <c r="I5" s="199">
        <v>136.55977999999999</v>
      </c>
      <c r="J5" s="199">
        <v>136.55977999999999</v>
      </c>
      <c r="K5" s="199">
        <v>136.55977999999999</v>
      </c>
      <c r="L5" s="199">
        <v>136.55977999999999</v>
      </c>
      <c r="M5" s="199">
        <v>136.55977999999999</v>
      </c>
      <c r="N5" s="199">
        <v>136.55977999999999</v>
      </c>
      <c r="O5" s="199">
        <v>136.55977999999999</v>
      </c>
      <c r="P5" s="432">
        <f>SUM(C5:M5,N5:O5)/13</f>
        <v>137.3869230769231</v>
      </c>
      <c r="Q5" s="199">
        <v>136.55977999999999</v>
      </c>
      <c r="R5" s="199">
        <v>136.55977999999999</v>
      </c>
      <c r="S5" s="199">
        <v>136.55977999999999</v>
      </c>
      <c r="T5" s="199">
        <v>136.55977999999999</v>
      </c>
      <c r="U5" s="199">
        <v>136.55977999999999</v>
      </c>
      <c r="V5" s="199">
        <v>136.55977999999999</v>
      </c>
      <c r="W5" s="199">
        <v>136.55977999999999</v>
      </c>
      <c r="X5" s="199">
        <v>136.55977999999999</v>
      </c>
      <c r="Y5" s="199">
        <v>136.55977999999999</v>
      </c>
      <c r="Z5" s="199">
        <v>136.55977999999999</v>
      </c>
      <c r="AA5" s="199">
        <v>136.55977999999999</v>
      </c>
      <c r="AB5" s="199">
        <v>136.55977999999999</v>
      </c>
      <c r="AC5" s="199">
        <v>136.55977999999999</v>
      </c>
      <c r="AD5" s="199">
        <v>136.55977999999999</v>
      </c>
      <c r="AE5" s="199">
        <v>136.55977999999999</v>
      </c>
      <c r="AF5" s="199">
        <v>136.55977999999999</v>
      </c>
      <c r="AG5" s="432">
        <f>SUM(T5:Z5,AA5:AF5)/13</f>
        <v>136.55978000000002</v>
      </c>
      <c r="AH5" s="199"/>
      <c r="AI5" s="199"/>
      <c r="AJ5" s="199"/>
      <c r="AK5" s="199"/>
      <c r="AL5" s="199"/>
      <c r="AM5" s="199"/>
      <c r="AN5" s="199"/>
      <c r="AO5" s="199"/>
      <c r="AP5" s="199"/>
      <c r="AQ5" s="199"/>
      <c r="AR5" s="199"/>
      <c r="AS5" s="199"/>
      <c r="AT5" s="199"/>
      <c r="AU5" s="199"/>
      <c r="AV5" s="199"/>
      <c r="AW5" s="199"/>
      <c r="AX5" s="199"/>
      <c r="AY5" s="199"/>
      <c r="AZ5" s="199"/>
      <c r="BA5" s="199"/>
      <c r="BB5" s="199"/>
      <c r="BC5" s="199"/>
      <c r="BD5" s="199"/>
      <c r="BE5" s="199"/>
      <c r="BF5" s="199"/>
      <c r="BG5" s="199"/>
      <c r="BH5" s="199"/>
      <c r="BI5" s="199"/>
      <c r="BJ5" s="199"/>
      <c r="BK5" s="199"/>
      <c r="BL5" s="199"/>
      <c r="BM5" s="199"/>
      <c r="BN5" s="199"/>
      <c r="BO5" s="199"/>
      <c r="BP5" s="199"/>
      <c r="BQ5" s="199"/>
      <c r="BR5" s="199"/>
      <c r="BS5" s="199"/>
      <c r="BT5" s="199"/>
      <c r="BU5" s="199"/>
      <c r="BV5" s="199"/>
      <c r="BW5" s="199"/>
      <c r="BX5" s="199"/>
      <c r="BY5" s="199"/>
      <c r="BZ5" s="199"/>
      <c r="CA5" s="199"/>
    </row>
    <row r="6" spans="1:79">
      <c r="A6" s="454" t="s">
        <v>2219</v>
      </c>
      <c r="P6" s="633">
        <f>'JURISSEP B'!$G$1152</f>
        <v>0.87577725766318848</v>
      </c>
      <c r="AG6" s="633">
        <f>'JURISSEP F'!$G$1152</f>
        <v>0.87577725766318848</v>
      </c>
    </row>
    <row r="7" spans="1:79">
      <c r="P7" s="454">
        <f>P5*P6</f>
        <v>120.32034273109113</v>
      </c>
      <c r="AG7" s="454">
        <f>AG5*AG6</f>
        <v>119.59594963548835</v>
      </c>
    </row>
  </sheetData>
  <pageMargins left="0.7" right="0.7" top="0.75" bottom="0.75" header="0.3" footer="0.3"/>
  <pageSetup scale="37" fitToHeight="0" orientation="landscape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pageSetUpPr fitToPage="1"/>
  </sheetPr>
  <dimension ref="A1:S395"/>
  <sheetViews>
    <sheetView zoomScale="70" zoomScaleNormal="70" workbookViewId="0">
      <selection activeCell="F358" sqref="F358"/>
    </sheetView>
  </sheetViews>
  <sheetFormatPr defaultColWidth="9" defaultRowHeight="15.75"/>
  <cols>
    <col min="1" max="1" width="9" style="263"/>
    <col min="2" max="2" width="9" style="201"/>
    <col min="3" max="3" width="1.6640625" style="201" customWidth="1"/>
    <col min="4" max="4" width="68.6640625" style="201" bestFit="1" customWidth="1"/>
    <col min="5" max="5" width="1.6640625" style="201" customWidth="1"/>
    <col min="6" max="6" width="25.33203125" style="201" customWidth="1"/>
    <col min="7" max="7" width="1.6640625" style="201" customWidth="1"/>
    <col min="8" max="8" width="10.44140625" style="201" bestFit="1" customWidth="1"/>
    <col min="9" max="9" width="1.6640625" style="201" customWidth="1"/>
    <col min="10" max="10" width="11.88671875" style="201" bestFit="1" customWidth="1"/>
    <col min="11" max="11" width="1.6640625" style="201" customWidth="1"/>
    <col min="12" max="12" width="11.109375" style="201" bestFit="1" customWidth="1"/>
    <col min="13" max="13" width="1.6640625" style="201" customWidth="1"/>
    <col min="14" max="14" width="10.44140625" style="201" bestFit="1" customWidth="1"/>
    <col min="15" max="15" width="1.6640625" style="201" customWidth="1"/>
    <col min="16" max="16" width="17.33203125" style="201" customWidth="1"/>
    <col min="17" max="17" width="1.6640625" style="201" customWidth="1"/>
    <col min="18" max="18" width="13.109375" style="201" bestFit="1" customWidth="1"/>
    <col min="19" max="16384" width="9" style="201"/>
  </cols>
  <sheetData>
    <row r="1" spans="1:18">
      <c r="B1" s="712" t="s">
        <v>0</v>
      </c>
      <c r="C1" s="712"/>
      <c r="D1" s="712"/>
      <c r="E1" s="712"/>
      <c r="F1" s="712"/>
      <c r="G1" s="712"/>
      <c r="H1" s="712"/>
      <c r="I1" s="712"/>
      <c r="J1" s="712"/>
      <c r="K1" s="712"/>
      <c r="L1" s="712"/>
      <c r="M1" s="712"/>
      <c r="N1" s="712"/>
      <c r="O1" s="712"/>
      <c r="P1" s="712"/>
      <c r="Q1" s="712"/>
      <c r="R1" s="712"/>
    </row>
    <row r="2" spans="1:18">
      <c r="A2" s="264"/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3"/>
      <c r="Q2" s="203"/>
      <c r="R2" s="204"/>
    </row>
    <row r="3" spans="1:18">
      <c r="A3" s="264"/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  <c r="P3" s="203"/>
      <c r="Q3" s="203"/>
      <c r="R3" s="204"/>
    </row>
    <row r="4" spans="1:18">
      <c r="B4" s="712"/>
      <c r="C4" s="712"/>
      <c r="D4" s="712"/>
      <c r="E4" s="712"/>
      <c r="F4" s="712"/>
      <c r="G4" s="712"/>
      <c r="H4" s="712"/>
      <c r="I4" s="712"/>
      <c r="J4" s="712"/>
      <c r="K4" s="712"/>
      <c r="L4" s="712"/>
      <c r="M4" s="712"/>
      <c r="N4" s="712"/>
      <c r="O4" s="712"/>
      <c r="P4" s="712"/>
      <c r="Q4" s="712"/>
      <c r="R4" s="712"/>
    </row>
    <row r="5" spans="1:18">
      <c r="B5" s="712" t="s">
        <v>1258</v>
      </c>
      <c r="C5" s="712"/>
      <c r="D5" s="712"/>
      <c r="E5" s="712"/>
      <c r="F5" s="712"/>
      <c r="G5" s="712"/>
      <c r="H5" s="712"/>
      <c r="I5" s="712"/>
      <c r="J5" s="712"/>
      <c r="K5" s="712"/>
      <c r="L5" s="712"/>
      <c r="M5" s="712"/>
      <c r="N5" s="712"/>
      <c r="O5" s="712"/>
      <c r="P5" s="712"/>
      <c r="Q5" s="712"/>
      <c r="R5" s="712"/>
    </row>
    <row r="6" spans="1:18">
      <c r="A6" s="264"/>
      <c r="B6" s="205"/>
      <c r="C6" s="206"/>
      <c r="D6" s="206"/>
      <c r="E6" s="206"/>
      <c r="F6" s="204"/>
      <c r="G6" s="206"/>
      <c r="H6" s="204"/>
      <c r="I6" s="204"/>
      <c r="J6" s="204"/>
      <c r="K6" s="204"/>
      <c r="L6" s="204"/>
      <c r="M6" s="204"/>
      <c r="N6" s="204"/>
      <c r="O6" s="204"/>
      <c r="P6" s="203"/>
      <c r="Q6" s="203"/>
      <c r="R6" s="204"/>
    </row>
    <row r="7" spans="1:18">
      <c r="A7" s="264"/>
      <c r="B7" s="205"/>
      <c r="C7" s="206"/>
      <c r="D7" s="206"/>
      <c r="E7" s="206"/>
      <c r="F7" s="204"/>
      <c r="G7" s="206"/>
      <c r="H7" s="204"/>
      <c r="I7" s="204"/>
      <c r="J7" s="204"/>
      <c r="K7" s="204"/>
      <c r="L7" s="204"/>
      <c r="M7" s="204"/>
      <c r="N7" s="204"/>
      <c r="O7" s="204"/>
      <c r="P7" s="203"/>
      <c r="Q7" s="203"/>
      <c r="R7" s="204"/>
    </row>
    <row r="8" spans="1:18">
      <c r="A8" s="264"/>
      <c r="B8" s="205"/>
      <c r="C8" s="206"/>
      <c r="D8" s="206"/>
      <c r="E8" s="206"/>
      <c r="F8" s="204"/>
      <c r="G8" s="206"/>
      <c r="H8" s="425" t="s">
        <v>1259</v>
      </c>
      <c r="I8" s="204"/>
      <c r="J8" s="207" t="s">
        <v>1260</v>
      </c>
      <c r="K8" s="208"/>
      <c r="L8" s="207" t="s">
        <v>1261</v>
      </c>
      <c r="M8" s="208"/>
      <c r="N8" s="207" t="s">
        <v>1262</v>
      </c>
      <c r="O8" s="207"/>
      <c r="P8" s="203"/>
      <c r="Q8" s="203"/>
      <c r="R8" s="204"/>
    </row>
    <row r="9" spans="1:18">
      <c r="A9" s="260"/>
      <c r="B9" s="203"/>
      <c r="C9" s="209"/>
      <c r="D9" s="210"/>
      <c r="E9" s="425"/>
      <c r="F9" s="211" t="s">
        <v>1263</v>
      </c>
      <c r="G9" s="425"/>
      <c r="H9" s="425" t="s">
        <v>1264</v>
      </c>
      <c r="I9" s="212"/>
      <c r="J9" s="207" t="s">
        <v>1265</v>
      </c>
      <c r="K9" s="208"/>
      <c r="L9" s="207" t="s">
        <v>1266</v>
      </c>
      <c r="M9" s="208"/>
      <c r="N9" s="207" t="s">
        <v>1267</v>
      </c>
      <c r="O9" s="207"/>
      <c r="P9" s="203"/>
      <c r="Q9" s="203"/>
      <c r="R9" s="425" t="s">
        <v>1268</v>
      </c>
    </row>
    <row r="10" spans="1:18">
      <c r="A10" s="260"/>
      <c r="B10" s="203"/>
      <c r="C10" s="209"/>
      <c r="D10" s="425"/>
      <c r="E10" s="425"/>
      <c r="F10" s="211" t="s">
        <v>1267</v>
      </c>
      <c r="G10" s="425"/>
      <c r="H10" s="213" t="s">
        <v>1269</v>
      </c>
      <c r="I10" s="212"/>
      <c r="J10" s="214" t="s">
        <v>1269</v>
      </c>
      <c r="K10" s="215"/>
      <c r="L10" s="214" t="s">
        <v>1269</v>
      </c>
      <c r="M10" s="215"/>
      <c r="N10" s="214" t="s">
        <v>1269</v>
      </c>
      <c r="O10" s="214"/>
      <c r="P10" s="425" t="s">
        <v>1270</v>
      </c>
      <c r="Q10" s="425"/>
      <c r="R10" s="425" t="s">
        <v>1271</v>
      </c>
    </row>
    <row r="11" spans="1:18">
      <c r="A11" s="713" t="s">
        <v>1272</v>
      </c>
      <c r="B11" s="713"/>
      <c r="C11" s="713"/>
      <c r="D11" s="713"/>
      <c r="E11" s="425"/>
      <c r="F11" s="217" t="s">
        <v>1273</v>
      </c>
      <c r="G11" s="425"/>
      <c r="H11" s="218" t="s">
        <v>1274</v>
      </c>
      <c r="I11" s="212"/>
      <c r="J11" s="216" t="s">
        <v>1275</v>
      </c>
      <c r="K11" s="208"/>
      <c r="L11" s="216" t="s">
        <v>1275</v>
      </c>
      <c r="M11" s="208"/>
      <c r="N11" s="216" t="s">
        <v>1275</v>
      </c>
      <c r="O11" s="216"/>
      <c r="P11" s="216" t="s">
        <v>1276</v>
      </c>
      <c r="Q11" s="216"/>
      <c r="R11" s="216" t="s">
        <v>1277</v>
      </c>
    </row>
    <row r="12" spans="1:18">
      <c r="A12" s="260"/>
      <c r="B12" s="203"/>
      <c r="C12" s="209"/>
      <c r="D12" s="219"/>
      <c r="E12" s="219"/>
      <c r="F12" s="211"/>
      <c r="G12" s="219"/>
      <c r="H12" s="219"/>
      <c r="I12" s="204"/>
      <c r="J12" s="219"/>
      <c r="K12" s="204"/>
      <c r="L12" s="219"/>
      <c r="M12" s="204"/>
      <c r="N12" s="219"/>
      <c r="O12" s="219"/>
      <c r="P12" s="203"/>
      <c r="Q12" s="203"/>
      <c r="R12" s="204"/>
    </row>
    <row r="13" spans="1:18">
      <c r="A13" s="260"/>
      <c r="B13" s="203"/>
      <c r="C13" s="204"/>
      <c r="D13" s="220" t="s">
        <v>1278</v>
      </c>
      <c r="E13" s="204"/>
      <c r="F13" s="204"/>
      <c r="G13" s="204"/>
      <c r="H13" s="204"/>
      <c r="I13" s="204"/>
      <c r="J13" s="204"/>
      <c r="K13" s="204"/>
      <c r="L13" s="204"/>
      <c r="M13" s="204"/>
      <c r="N13" s="204"/>
      <c r="O13" s="204"/>
      <c r="P13" s="203"/>
      <c r="Q13" s="203"/>
      <c r="R13" s="204"/>
    </row>
    <row r="14" spans="1:18">
      <c r="A14" s="260"/>
      <c r="B14" s="203"/>
      <c r="C14" s="204"/>
      <c r="D14" s="204"/>
      <c r="E14" s="204"/>
      <c r="F14" s="204"/>
      <c r="G14" s="204"/>
      <c r="H14" s="204"/>
      <c r="I14" s="204"/>
      <c r="J14" s="204"/>
      <c r="K14" s="204"/>
      <c r="L14" s="221"/>
      <c r="M14" s="204"/>
      <c r="N14" s="221"/>
      <c r="O14" s="221"/>
      <c r="P14" s="203"/>
      <c r="Q14" s="203"/>
      <c r="R14" s="204"/>
    </row>
    <row r="15" spans="1:18">
      <c r="A15" s="260"/>
      <c r="B15" s="203"/>
      <c r="C15" s="204"/>
      <c r="D15" s="218" t="s">
        <v>297</v>
      </c>
      <c r="E15" s="204"/>
      <c r="F15" s="204"/>
      <c r="G15" s="204"/>
      <c r="H15" s="204"/>
      <c r="I15" s="204"/>
      <c r="J15" s="204"/>
      <c r="K15" s="204"/>
      <c r="L15" s="221"/>
      <c r="M15" s="204"/>
      <c r="N15" s="221"/>
      <c r="O15" s="221"/>
      <c r="P15" s="203"/>
      <c r="Q15" s="203"/>
      <c r="R15" s="204"/>
    </row>
    <row r="16" spans="1:18">
      <c r="A16" s="260"/>
      <c r="B16" s="203"/>
      <c r="C16" s="204"/>
      <c r="D16" s="204"/>
      <c r="E16" s="204"/>
      <c r="F16" s="204"/>
      <c r="G16" s="204"/>
      <c r="H16" s="204"/>
      <c r="I16" s="204"/>
      <c r="J16" s="204"/>
      <c r="K16" s="204"/>
      <c r="L16" s="221"/>
      <c r="M16" s="204"/>
      <c r="N16" s="221"/>
      <c r="O16" s="221"/>
      <c r="P16" s="203"/>
      <c r="Q16" s="203"/>
      <c r="R16" s="204"/>
    </row>
    <row r="17" spans="1:18">
      <c r="A17" s="260"/>
      <c r="B17" s="222">
        <v>302</v>
      </c>
      <c r="C17" s="223"/>
      <c r="D17" s="223" t="s">
        <v>1279</v>
      </c>
      <c r="E17" s="223"/>
      <c r="F17" s="224">
        <v>0</v>
      </c>
      <c r="G17" s="223"/>
      <c r="H17" s="222">
        <v>18.78</v>
      </c>
      <c r="I17" s="223"/>
      <c r="J17" s="222">
        <v>18.78</v>
      </c>
      <c r="K17" s="223"/>
      <c r="L17" s="225">
        <v>0</v>
      </c>
      <c r="M17" s="223"/>
      <c r="N17" s="225">
        <v>0</v>
      </c>
      <c r="O17" s="225"/>
      <c r="P17" s="226" t="s">
        <v>1280</v>
      </c>
      <c r="Q17" s="226"/>
      <c r="R17" s="227">
        <v>3.3</v>
      </c>
    </row>
    <row r="18" spans="1:18">
      <c r="A18" s="260"/>
      <c r="B18" s="222">
        <v>303</v>
      </c>
      <c r="C18" s="223"/>
      <c r="D18" s="223" t="s">
        <v>1281</v>
      </c>
      <c r="E18" s="223"/>
      <c r="F18" s="224">
        <v>0</v>
      </c>
      <c r="G18" s="223"/>
      <c r="H18" s="222">
        <v>15.28</v>
      </c>
      <c r="I18" s="223"/>
      <c r="J18" s="222">
        <v>15.28</v>
      </c>
      <c r="K18" s="223"/>
      <c r="L18" s="225">
        <v>0</v>
      </c>
      <c r="M18" s="223"/>
      <c r="N18" s="225">
        <v>0</v>
      </c>
      <c r="O18" s="225"/>
      <c r="P18" s="226" t="s">
        <v>1282</v>
      </c>
      <c r="Q18" s="226"/>
      <c r="R18" s="227">
        <v>3.9</v>
      </c>
    </row>
    <row r="19" spans="1:18">
      <c r="A19" s="260"/>
      <c r="B19" s="222">
        <v>303.10000000000002</v>
      </c>
      <c r="C19" s="223"/>
      <c r="D19" s="223" t="s">
        <v>1283</v>
      </c>
      <c r="E19" s="223"/>
      <c r="F19" s="224">
        <v>0</v>
      </c>
      <c r="G19" s="223"/>
      <c r="H19" s="222">
        <v>9.94</v>
      </c>
      <c r="I19" s="223"/>
      <c r="J19" s="222">
        <v>9.94</v>
      </c>
      <c r="K19" s="223"/>
      <c r="L19" s="225">
        <v>0</v>
      </c>
      <c r="M19" s="223"/>
      <c r="N19" s="225">
        <v>0</v>
      </c>
      <c r="O19" s="225"/>
      <c r="P19" s="226" t="s">
        <v>1284</v>
      </c>
      <c r="Q19" s="226"/>
      <c r="R19" s="227">
        <v>7.5</v>
      </c>
    </row>
    <row r="20" spans="1:18">
      <c r="A20" s="260"/>
      <c r="B20" s="203"/>
      <c r="C20" s="204"/>
      <c r="D20" s="204"/>
      <c r="E20" s="204"/>
      <c r="F20" s="204"/>
      <c r="G20" s="204"/>
      <c r="H20" s="204"/>
      <c r="I20" s="204"/>
      <c r="J20" s="204"/>
      <c r="K20" s="204"/>
      <c r="L20" s="221"/>
      <c r="M20" s="204"/>
      <c r="N20" s="221"/>
      <c r="O20" s="221"/>
      <c r="P20" s="204"/>
      <c r="Q20" s="204"/>
      <c r="R20" s="204"/>
    </row>
    <row r="21" spans="1:18">
      <c r="A21" s="260">
        <v>302</v>
      </c>
      <c r="B21" s="203"/>
      <c r="C21" s="204"/>
      <c r="D21" s="220" t="s">
        <v>1285</v>
      </c>
      <c r="E21" s="204"/>
      <c r="F21" s="270" t="s">
        <v>1900</v>
      </c>
      <c r="G21" s="204"/>
      <c r="H21" s="223">
        <v>11.62</v>
      </c>
      <c r="I21" s="204"/>
      <c r="J21" s="204"/>
      <c r="K21" s="204"/>
      <c r="L21" s="221"/>
      <c r="M21" s="204"/>
      <c r="N21" s="221"/>
      <c r="O21" s="221"/>
      <c r="P21" s="272" t="s">
        <v>1280</v>
      </c>
      <c r="Q21" s="204"/>
      <c r="R21" s="227">
        <v>3.3</v>
      </c>
    </row>
    <row r="22" spans="1:18">
      <c r="A22" s="260">
        <v>303</v>
      </c>
      <c r="B22" s="203"/>
      <c r="C22" s="204"/>
      <c r="D22" s="220" t="s">
        <v>1285</v>
      </c>
      <c r="E22" s="204"/>
      <c r="F22" s="270" t="s">
        <v>1900</v>
      </c>
      <c r="G22" s="204"/>
      <c r="H22" s="223">
        <v>11.62</v>
      </c>
      <c r="I22" s="204"/>
      <c r="J22" s="204"/>
      <c r="K22" s="204"/>
      <c r="L22" s="221"/>
      <c r="M22" s="204"/>
      <c r="N22" s="221"/>
      <c r="O22" s="221"/>
      <c r="P22" s="204" t="s">
        <v>1459</v>
      </c>
      <c r="Q22" s="204"/>
      <c r="R22" s="259" t="s">
        <v>1891</v>
      </c>
    </row>
    <row r="23" spans="1:18">
      <c r="A23" s="260"/>
      <c r="B23" s="203"/>
      <c r="C23" s="204"/>
      <c r="D23" s="220"/>
      <c r="E23" s="204"/>
      <c r="F23" s="204"/>
      <c r="G23" s="204"/>
      <c r="H23" s="204"/>
      <c r="I23" s="204"/>
      <c r="J23" s="204"/>
      <c r="K23" s="204"/>
      <c r="L23" s="221"/>
      <c r="M23" s="204"/>
      <c r="N23" s="221"/>
      <c r="O23" s="221"/>
      <c r="P23" s="204"/>
      <c r="Q23" s="204"/>
      <c r="R23" s="204"/>
    </row>
    <row r="24" spans="1:18">
      <c r="A24" s="260"/>
      <c r="B24" s="203"/>
      <c r="C24" s="204"/>
      <c r="D24" s="204"/>
      <c r="E24" s="204"/>
      <c r="F24" s="204"/>
      <c r="G24" s="204"/>
      <c r="H24" s="204"/>
      <c r="I24" s="204"/>
      <c r="J24" s="204"/>
      <c r="K24" s="204"/>
      <c r="L24" s="221"/>
      <c r="M24" s="204"/>
      <c r="N24" s="221"/>
      <c r="O24" s="221"/>
      <c r="P24" s="204"/>
      <c r="Q24" s="204"/>
      <c r="R24" s="204"/>
    </row>
    <row r="25" spans="1:18">
      <c r="A25" s="260"/>
      <c r="B25" s="203"/>
      <c r="C25" s="223"/>
      <c r="D25" s="210" t="s">
        <v>1286</v>
      </c>
      <c r="E25" s="223"/>
      <c r="F25" s="224"/>
      <c r="G25" s="223"/>
      <c r="H25" s="228"/>
      <c r="I25" s="223"/>
      <c r="J25" s="222"/>
      <c r="K25" s="223"/>
      <c r="L25" s="225"/>
      <c r="M25" s="223"/>
      <c r="N25" s="225"/>
      <c r="O25" s="225"/>
      <c r="P25" s="204"/>
      <c r="Q25" s="204"/>
      <c r="R25" s="229"/>
    </row>
    <row r="26" spans="1:18">
      <c r="A26" s="260"/>
      <c r="B26" s="203"/>
      <c r="C26" s="223"/>
      <c r="D26" s="230"/>
      <c r="E26" s="223"/>
      <c r="F26" s="224"/>
      <c r="G26" s="223"/>
      <c r="H26" s="228"/>
      <c r="I26" s="223"/>
      <c r="J26" s="222"/>
      <c r="K26" s="223"/>
      <c r="L26" s="225"/>
      <c r="M26" s="223"/>
      <c r="N26" s="225"/>
      <c r="O26" s="225"/>
      <c r="P26" s="204"/>
      <c r="Q26" s="204"/>
      <c r="R26" s="229"/>
    </row>
    <row r="27" spans="1:18">
      <c r="A27" s="260"/>
      <c r="B27" s="222">
        <v>311</v>
      </c>
      <c r="C27" s="223"/>
      <c r="D27" s="223" t="s">
        <v>1287</v>
      </c>
      <c r="E27" s="223"/>
      <c r="F27" s="224"/>
      <c r="G27" s="223"/>
      <c r="H27" s="222"/>
      <c r="I27" s="223"/>
      <c r="J27" s="228"/>
      <c r="K27" s="223"/>
      <c r="L27" s="225"/>
      <c r="M27" s="223"/>
      <c r="N27" s="225"/>
      <c r="O27" s="225"/>
      <c r="P27" s="204"/>
      <c r="Q27" s="204"/>
      <c r="R27" s="227"/>
    </row>
    <row r="28" spans="1:18">
      <c r="A28" s="260"/>
      <c r="B28" s="222"/>
      <c r="C28" s="223"/>
      <c r="D28" s="223" t="s">
        <v>1288</v>
      </c>
      <c r="E28" s="223"/>
      <c r="F28" s="224">
        <v>-11</v>
      </c>
      <c r="G28" s="223"/>
      <c r="H28" s="222">
        <v>1.82</v>
      </c>
      <c r="I28" s="223"/>
      <c r="J28" s="222">
        <v>1.6400000000000001</v>
      </c>
      <c r="K28" s="223"/>
      <c r="L28" s="225">
        <v>0.18</v>
      </c>
      <c r="M28" s="204"/>
      <c r="N28" s="225">
        <v>0</v>
      </c>
      <c r="O28" s="225"/>
      <c r="P28" s="226" t="s">
        <v>1289</v>
      </c>
      <c r="Q28" s="226"/>
      <c r="R28" s="227">
        <v>51.2</v>
      </c>
    </row>
    <row r="29" spans="1:18">
      <c r="A29" s="260"/>
      <c r="B29" s="222"/>
      <c r="C29" s="223"/>
      <c r="D29" s="223" t="s">
        <v>1290</v>
      </c>
      <c r="E29" s="223"/>
      <c r="F29" s="224">
        <v>-11</v>
      </c>
      <c r="G29" s="223"/>
      <c r="H29" s="222">
        <v>1.28</v>
      </c>
      <c r="I29" s="223"/>
      <c r="J29" s="222">
        <v>1.1499999999999999</v>
      </c>
      <c r="K29" s="223"/>
      <c r="L29" s="225">
        <v>0.13</v>
      </c>
      <c r="M29" s="204"/>
      <c r="N29" s="225">
        <v>0</v>
      </c>
      <c r="O29" s="225"/>
      <c r="P29" s="226" t="s">
        <v>1289</v>
      </c>
      <c r="Q29" s="226"/>
      <c r="R29" s="227">
        <v>48.6</v>
      </c>
    </row>
    <row r="30" spans="1:18">
      <c r="A30" s="260"/>
      <c r="B30" s="222"/>
      <c r="C30" s="223"/>
      <c r="D30" s="223" t="s">
        <v>1291</v>
      </c>
      <c r="E30" s="223"/>
      <c r="F30" s="224">
        <v>-1</v>
      </c>
      <c r="G30" s="223"/>
      <c r="H30" s="222">
        <v>0.99</v>
      </c>
      <c r="I30" s="223"/>
      <c r="J30" s="222">
        <v>0.98</v>
      </c>
      <c r="K30" s="223"/>
      <c r="L30" s="225">
        <v>0.01</v>
      </c>
      <c r="M30" s="204"/>
      <c r="N30" s="225">
        <v>0</v>
      </c>
      <c r="O30" s="225"/>
      <c r="P30" s="226" t="s">
        <v>1289</v>
      </c>
      <c r="Q30" s="226"/>
      <c r="R30" s="227">
        <v>27.4</v>
      </c>
    </row>
    <row r="31" spans="1:18">
      <c r="A31" s="260"/>
      <c r="B31" s="222"/>
      <c r="C31" s="223"/>
      <c r="D31" s="223" t="s">
        <v>1292</v>
      </c>
      <c r="E31" s="223"/>
      <c r="F31" s="224">
        <v>-3</v>
      </c>
      <c r="G31" s="223"/>
      <c r="H31" s="231" t="s">
        <v>1293</v>
      </c>
      <c r="I31" s="223"/>
      <c r="J31" s="222">
        <v>0</v>
      </c>
      <c r="K31" s="223"/>
      <c r="L31" s="225">
        <v>0</v>
      </c>
      <c r="M31" s="204"/>
      <c r="N31" s="225">
        <v>0</v>
      </c>
      <c r="O31" s="225"/>
      <c r="P31" s="226" t="s">
        <v>1289</v>
      </c>
      <c r="Q31" s="226"/>
      <c r="R31" s="227" t="s">
        <v>1294</v>
      </c>
    </row>
    <row r="32" spans="1:18">
      <c r="A32" s="260"/>
      <c r="B32" s="222"/>
      <c r="C32" s="223"/>
      <c r="D32" s="223" t="s">
        <v>1295</v>
      </c>
      <c r="E32" s="223"/>
      <c r="F32" s="224">
        <v>-3</v>
      </c>
      <c r="G32" s="223"/>
      <c r="H32" s="231" t="s">
        <v>1293</v>
      </c>
      <c r="I32" s="232"/>
      <c r="J32" s="222">
        <v>0</v>
      </c>
      <c r="K32" s="232"/>
      <c r="L32" s="225">
        <v>0</v>
      </c>
      <c r="M32" s="204"/>
      <c r="N32" s="225">
        <v>0</v>
      </c>
      <c r="O32" s="225"/>
      <c r="P32" s="226" t="s">
        <v>1296</v>
      </c>
      <c r="Q32" s="226"/>
      <c r="R32" s="227" t="s">
        <v>1294</v>
      </c>
    </row>
    <row r="33" spans="1:18">
      <c r="A33" s="260"/>
      <c r="B33" s="222"/>
      <c r="C33" s="223"/>
      <c r="D33" s="233" t="s">
        <v>1297</v>
      </c>
      <c r="E33" s="223"/>
      <c r="F33" s="224">
        <v>-2</v>
      </c>
      <c r="G33" s="223"/>
      <c r="H33" s="231" t="s">
        <v>1293</v>
      </c>
      <c r="I33" s="223"/>
      <c r="J33" s="222">
        <v>0</v>
      </c>
      <c r="K33" s="223"/>
      <c r="L33" s="225">
        <v>0</v>
      </c>
      <c r="M33" s="204"/>
      <c r="N33" s="225">
        <v>0</v>
      </c>
      <c r="O33" s="225"/>
      <c r="P33" s="226" t="s">
        <v>1289</v>
      </c>
      <c r="Q33" s="226"/>
      <c r="R33" s="227" t="s">
        <v>1294</v>
      </c>
    </row>
    <row r="34" spans="1:18">
      <c r="A34" s="260"/>
      <c r="B34" s="222"/>
      <c r="C34" s="223"/>
      <c r="D34" s="233" t="s">
        <v>1298</v>
      </c>
      <c r="E34" s="223"/>
      <c r="F34" s="224">
        <v>-2</v>
      </c>
      <c r="G34" s="223"/>
      <c r="H34" s="222">
        <v>5.78</v>
      </c>
      <c r="I34" s="223"/>
      <c r="J34" s="222">
        <v>5.67</v>
      </c>
      <c r="K34" s="223"/>
      <c r="L34" s="225">
        <v>0.11</v>
      </c>
      <c r="M34" s="204"/>
      <c r="N34" s="225">
        <v>0</v>
      </c>
      <c r="O34" s="225"/>
      <c r="P34" s="226" t="s">
        <v>1289</v>
      </c>
      <c r="Q34" s="226"/>
      <c r="R34" s="227">
        <v>4</v>
      </c>
    </row>
    <row r="35" spans="1:18">
      <c r="A35" s="260"/>
      <c r="B35" s="222"/>
      <c r="C35" s="223"/>
      <c r="D35" s="233" t="s">
        <v>1299</v>
      </c>
      <c r="E35" s="223"/>
      <c r="F35" s="224">
        <v>-2</v>
      </c>
      <c r="G35" s="223"/>
      <c r="H35" s="231" t="s">
        <v>1293</v>
      </c>
      <c r="I35" s="232"/>
      <c r="J35" s="222">
        <v>0</v>
      </c>
      <c r="K35" s="232"/>
      <c r="L35" s="225">
        <v>0</v>
      </c>
      <c r="M35" s="204"/>
      <c r="N35" s="225">
        <v>0</v>
      </c>
      <c r="O35" s="225"/>
      <c r="P35" s="226" t="s">
        <v>1296</v>
      </c>
      <c r="Q35" s="226"/>
      <c r="R35" s="227" t="s">
        <v>1294</v>
      </c>
    </row>
    <row r="36" spans="1:18">
      <c r="A36" s="260"/>
      <c r="B36" s="222"/>
      <c r="C36" s="223"/>
      <c r="D36" s="233" t="s">
        <v>1300</v>
      </c>
      <c r="E36" s="223"/>
      <c r="F36" s="224">
        <v>-4</v>
      </c>
      <c r="G36" s="223"/>
      <c r="H36" s="222">
        <v>0.04</v>
      </c>
      <c r="I36" s="223"/>
      <c r="J36" s="222">
        <v>0.04</v>
      </c>
      <c r="K36" s="223"/>
      <c r="L36" s="225">
        <v>0</v>
      </c>
      <c r="M36" s="204"/>
      <c r="N36" s="225">
        <v>0</v>
      </c>
      <c r="O36" s="225"/>
      <c r="P36" s="226" t="s">
        <v>1289</v>
      </c>
      <c r="Q36" s="226"/>
      <c r="R36" s="227">
        <v>16.399999999999999</v>
      </c>
    </row>
    <row r="37" spans="1:18">
      <c r="A37" s="260"/>
      <c r="B37" s="222"/>
      <c r="C37" s="223"/>
      <c r="D37" s="233" t="s">
        <v>1301</v>
      </c>
      <c r="E37" s="223"/>
      <c r="F37" s="224">
        <v>-4</v>
      </c>
      <c r="G37" s="223"/>
      <c r="H37" s="222">
        <v>0.59</v>
      </c>
      <c r="I37" s="223"/>
      <c r="J37" s="222">
        <v>0.56999999999999995</v>
      </c>
      <c r="K37" s="223"/>
      <c r="L37" s="225">
        <v>0.02</v>
      </c>
      <c r="M37" s="204"/>
      <c r="N37" s="225">
        <v>0</v>
      </c>
      <c r="O37" s="225"/>
      <c r="P37" s="226" t="s">
        <v>1289</v>
      </c>
      <c r="Q37" s="226"/>
      <c r="R37" s="227">
        <v>22.4</v>
      </c>
    </row>
    <row r="38" spans="1:18">
      <c r="A38" s="260"/>
      <c r="B38" s="222"/>
      <c r="C38" s="223"/>
      <c r="D38" s="233" t="s">
        <v>1302</v>
      </c>
      <c r="E38" s="223"/>
      <c r="F38" s="224">
        <v>-4</v>
      </c>
      <c r="G38" s="223"/>
      <c r="H38" s="222">
        <v>1.6</v>
      </c>
      <c r="I38" s="223"/>
      <c r="J38" s="222">
        <v>1.54</v>
      </c>
      <c r="K38" s="223"/>
      <c r="L38" s="225">
        <v>0.06</v>
      </c>
      <c r="M38" s="204"/>
      <c r="N38" s="225">
        <v>0</v>
      </c>
      <c r="O38" s="225"/>
      <c r="P38" s="226" t="s">
        <v>1289</v>
      </c>
      <c r="Q38" s="226"/>
      <c r="R38" s="227">
        <v>23.3</v>
      </c>
    </row>
    <row r="39" spans="1:18">
      <c r="A39" s="260"/>
      <c r="B39" s="222"/>
      <c r="C39" s="223"/>
      <c r="D39" s="233" t="s">
        <v>1303</v>
      </c>
      <c r="E39" s="223"/>
      <c r="F39" s="224">
        <v>-4</v>
      </c>
      <c r="G39" s="223"/>
      <c r="H39" s="222">
        <v>4.28</v>
      </c>
      <c r="I39" s="223"/>
      <c r="J39" s="222">
        <v>4.12</v>
      </c>
      <c r="K39" s="223"/>
      <c r="L39" s="225">
        <v>0.16</v>
      </c>
      <c r="M39" s="204"/>
      <c r="N39" s="225">
        <v>0</v>
      </c>
      <c r="O39" s="225"/>
      <c r="P39" s="226" t="s">
        <v>1289</v>
      </c>
      <c r="Q39" s="226"/>
      <c r="R39" s="227">
        <v>23.4</v>
      </c>
    </row>
    <row r="40" spans="1:18">
      <c r="A40" s="260"/>
      <c r="B40" s="222"/>
      <c r="C40" s="223"/>
      <c r="D40" s="233" t="s">
        <v>1304</v>
      </c>
      <c r="E40" s="223"/>
      <c r="F40" s="224">
        <v>-2</v>
      </c>
      <c r="G40" s="223"/>
      <c r="H40" s="231" t="s">
        <v>1293</v>
      </c>
      <c r="I40" s="232"/>
      <c r="J40" s="222">
        <v>0</v>
      </c>
      <c r="K40" s="232"/>
      <c r="L40" s="225">
        <v>0</v>
      </c>
      <c r="M40" s="204"/>
      <c r="N40" s="225">
        <v>0</v>
      </c>
      <c r="O40" s="225"/>
      <c r="P40" s="226" t="s">
        <v>1296</v>
      </c>
      <c r="Q40" s="226"/>
      <c r="R40" s="227" t="s">
        <v>1294</v>
      </c>
    </row>
    <row r="41" spans="1:18">
      <c r="A41" s="260"/>
      <c r="B41" s="222"/>
      <c r="C41" s="223"/>
      <c r="D41" s="233" t="s">
        <v>1305</v>
      </c>
      <c r="E41" s="223"/>
      <c r="F41" s="224">
        <v>-5</v>
      </c>
      <c r="G41" s="223"/>
      <c r="H41" s="222">
        <v>1.03</v>
      </c>
      <c r="I41" s="223"/>
      <c r="J41" s="222">
        <v>0.98</v>
      </c>
      <c r="K41" s="223"/>
      <c r="L41" s="225">
        <v>0.05</v>
      </c>
      <c r="M41" s="204"/>
      <c r="N41" s="225">
        <v>0</v>
      </c>
      <c r="O41" s="225"/>
      <c r="P41" s="226" t="s">
        <v>1289</v>
      </c>
      <c r="Q41" s="226"/>
      <c r="R41" s="227">
        <v>22.1</v>
      </c>
    </row>
    <row r="42" spans="1:18">
      <c r="A42" s="260"/>
      <c r="B42" s="222"/>
      <c r="C42" s="223"/>
      <c r="D42" s="233" t="s">
        <v>1306</v>
      </c>
      <c r="E42" s="223"/>
      <c r="F42" s="224">
        <v>-5</v>
      </c>
      <c r="G42" s="223"/>
      <c r="H42" s="222">
        <v>0.28000000000000003</v>
      </c>
      <c r="I42" s="223"/>
      <c r="J42" s="222">
        <v>0.27</v>
      </c>
      <c r="K42" s="223"/>
      <c r="L42" s="225">
        <v>0.01</v>
      </c>
      <c r="M42" s="204"/>
      <c r="N42" s="225">
        <v>0</v>
      </c>
      <c r="O42" s="225"/>
      <c r="P42" s="226" t="s">
        <v>1289</v>
      </c>
      <c r="Q42" s="226"/>
      <c r="R42" s="227">
        <v>22.4</v>
      </c>
    </row>
    <row r="43" spans="1:18">
      <c r="A43" s="260"/>
      <c r="B43" s="222"/>
      <c r="C43" s="223"/>
      <c r="D43" s="233" t="s">
        <v>1307</v>
      </c>
      <c r="E43" s="223"/>
      <c r="F43" s="224">
        <v>-5</v>
      </c>
      <c r="G43" s="223"/>
      <c r="H43" s="222">
        <v>0.78</v>
      </c>
      <c r="I43" s="223"/>
      <c r="J43" s="222">
        <v>0.74</v>
      </c>
      <c r="K43" s="223"/>
      <c r="L43" s="225">
        <v>0.04</v>
      </c>
      <c r="M43" s="204"/>
      <c r="N43" s="225">
        <v>0</v>
      </c>
      <c r="O43" s="225"/>
      <c r="P43" s="226" t="s">
        <v>1289</v>
      </c>
      <c r="Q43" s="226"/>
      <c r="R43" s="227">
        <v>21.4</v>
      </c>
    </row>
    <row r="44" spans="1:18">
      <c r="A44" s="260"/>
      <c r="B44" s="222"/>
      <c r="C44" s="223"/>
      <c r="D44" s="233" t="s">
        <v>1308</v>
      </c>
      <c r="E44" s="223"/>
      <c r="F44" s="224">
        <v>-5</v>
      </c>
      <c r="G44" s="223"/>
      <c r="H44" s="222">
        <v>1.3</v>
      </c>
      <c r="I44" s="223"/>
      <c r="J44" s="222">
        <v>1.24</v>
      </c>
      <c r="K44" s="223"/>
      <c r="L44" s="225">
        <v>0.06</v>
      </c>
      <c r="M44" s="204"/>
      <c r="N44" s="225">
        <v>0</v>
      </c>
      <c r="O44" s="225"/>
      <c r="P44" s="226" t="s">
        <v>1289</v>
      </c>
      <c r="Q44" s="226"/>
      <c r="R44" s="227">
        <v>24.4</v>
      </c>
    </row>
    <row r="45" spans="1:18">
      <c r="A45" s="260"/>
      <c r="B45" s="222"/>
      <c r="C45" s="223"/>
      <c r="D45" s="233" t="s">
        <v>1309</v>
      </c>
      <c r="E45" s="223"/>
      <c r="F45" s="224">
        <v>-5</v>
      </c>
      <c r="G45" s="223"/>
      <c r="H45" s="222">
        <v>2.21</v>
      </c>
      <c r="I45" s="223"/>
      <c r="J45" s="222">
        <v>2.1</v>
      </c>
      <c r="K45" s="223"/>
      <c r="L45" s="225">
        <v>0.11</v>
      </c>
      <c r="M45" s="204"/>
      <c r="N45" s="225">
        <v>0</v>
      </c>
      <c r="O45" s="225"/>
      <c r="P45" s="226" t="s">
        <v>1289</v>
      </c>
      <c r="Q45" s="226"/>
      <c r="R45" s="227">
        <v>25.8</v>
      </c>
    </row>
    <row r="46" spans="1:18">
      <c r="A46" s="260"/>
      <c r="B46" s="222"/>
      <c r="C46" s="223"/>
      <c r="D46" s="233" t="s">
        <v>1310</v>
      </c>
      <c r="E46" s="223"/>
      <c r="F46" s="224">
        <v>-5</v>
      </c>
      <c r="G46" s="223"/>
      <c r="H46" s="222">
        <v>1.06</v>
      </c>
      <c r="I46" s="223"/>
      <c r="J46" s="222">
        <v>1.01</v>
      </c>
      <c r="K46" s="223"/>
      <c r="L46" s="225">
        <v>0.05</v>
      </c>
      <c r="M46" s="204"/>
      <c r="N46" s="225">
        <v>0</v>
      </c>
      <c r="O46" s="225"/>
      <c r="P46" s="226" t="s">
        <v>1289</v>
      </c>
      <c r="Q46" s="226"/>
      <c r="R46" s="227">
        <v>22</v>
      </c>
    </row>
    <row r="47" spans="1:18">
      <c r="A47" s="260"/>
      <c r="B47" s="222"/>
      <c r="C47" s="223"/>
      <c r="D47" s="223"/>
      <c r="E47" s="223"/>
      <c r="F47" s="224"/>
      <c r="G47" s="223"/>
      <c r="H47" s="222"/>
      <c r="I47" s="223"/>
      <c r="J47" s="228"/>
      <c r="K47" s="223"/>
      <c r="L47" s="225"/>
      <c r="M47" s="204"/>
      <c r="N47" s="225"/>
      <c r="O47" s="225"/>
      <c r="P47" s="226"/>
      <c r="Q47" s="226"/>
      <c r="R47" s="227"/>
    </row>
    <row r="48" spans="1:18">
      <c r="A48" s="260">
        <v>311</v>
      </c>
      <c r="B48" s="222"/>
      <c r="C48" s="223"/>
      <c r="D48" s="234" t="s">
        <v>1311</v>
      </c>
      <c r="E48" s="223"/>
      <c r="F48" s="271" t="s">
        <v>1901</v>
      </c>
      <c r="G48" s="223"/>
      <c r="H48" s="222">
        <v>1.8654154764966249</v>
      </c>
      <c r="I48" s="223"/>
      <c r="J48" s="228"/>
      <c r="K48" s="223"/>
      <c r="L48" s="225"/>
      <c r="M48" s="204"/>
      <c r="N48" s="225"/>
      <c r="O48" s="225"/>
      <c r="P48" s="226" t="s">
        <v>1289</v>
      </c>
      <c r="Q48" s="226"/>
      <c r="R48" s="227">
        <v>31.5</v>
      </c>
    </row>
    <row r="49" spans="1:18">
      <c r="A49" s="260"/>
      <c r="B49" s="222"/>
      <c r="C49" s="223"/>
      <c r="D49" s="223"/>
      <c r="E49" s="223"/>
      <c r="F49" s="224"/>
      <c r="G49" s="223"/>
      <c r="H49" s="222"/>
      <c r="I49" s="223"/>
      <c r="J49" s="228"/>
      <c r="K49" s="223"/>
      <c r="L49" s="225"/>
      <c r="M49" s="204"/>
      <c r="N49" s="225"/>
      <c r="O49" s="225"/>
      <c r="P49" s="226"/>
      <c r="Q49" s="226"/>
      <c r="R49" s="227"/>
    </row>
    <row r="50" spans="1:18">
      <c r="A50" s="260"/>
      <c r="B50" s="222">
        <v>312</v>
      </c>
      <c r="C50" s="223"/>
      <c r="D50" s="223" t="s">
        <v>1312</v>
      </c>
      <c r="E50" s="223"/>
      <c r="F50" s="224"/>
      <c r="G50" s="223"/>
      <c r="H50" s="222"/>
      <c r="I50" s="223"/>
      <c r="J50" s="228"/>
      <c r="K50" s="223"/>
      <c r="L50" s="225"/>
      <c r="M50" s="204"/>
      <c r="N50" s="225"/>
      <c r="O50" s="225"/>
      <c r="P50" s="212"/>
      <c r="Q50" s="212"/>
      <c r="R50" s="227"/>
    </row>
    <row r="51" spans="1:18">
      <c r="A51" s="260"/>
      <c r="B51" s="222"/>
      <c r="C51" s="223"/>
      <c r="D51" s="223" t="s">
        <v>1288</v>
      </c>
      <c r="E51" s="223"/>
      <c r="F51" s="224">
        <v>-11</v>
      </c>
      <c r="G51" s="223"/>
      <c r="H51" s="222">
        <v>2.1</v>
      </c>
      <c r="I51" s="223"/>
      <c r="J51" s="222">
        <v>1.8900000000000001</v>
      </c>
      <c r="K51" s="223"/>
      <c r="L51" s="225">
        <v>0.25</v>
      </c>
      <c r="M51" s="204"/>
      <c r="N51" s="225">
        <v>-0.04</v>
      </c>
      <c r="O51" s="225"/>
      <c r="P51" s="212" t="s">
        <v>1313</v>
      </c>
      <c r="Q51" s="212"/>
      <c r="R51" s="227">
        <v>48.7</v>
      </c>
    </row>
    <row r="52" spans="1:18">
      <c r="A52" s="260"/>
      <c r="B52" s="222"/>
      <c r="C52" s="223"/>
      <c r="D52" s="223" t="s">
        <v>1290</v>
      </c>
      <c r="E52" s="223"/>
      <c r="F52" s="224">
        <v>-11</v>
      </c>
      <c r="G52" s="223"/>
      <c r="H52" s="222">
        <v>1.97</v>
      </c>
      <c r="I52" s="223"/>
      <c r="J52" s="222">
        <v>1.78</v>
      </c>
      <c r="K52" s="223"/>
      <c r="L52" s="225">
        <v>0.23</v>
      </c>
      <c r="M52" s="204"/>
      <c r="N52" s="225">
        <v>-0.04</v>
      </c>
      <c r="O52" s="225"/>
      <c r="P52" s="212" t="s">
        <v>1313</v>
      </c>
      <c r="Q52" s="212"/>
      <c r="R52" s="227">
        <v>48.3</v>
      </c>
    </row>
    <row r="53" spans="1:18">
      <c r="A53" s="260"/>
      <c r="B53" s="222"/>
      <c r="C53" s="223"/>
      <c r="D53" s="223" t="s">
        <v>1292</v>
      </c>
      <c r="E53" s="223"/>
      <c r="F53" s="224">
        <v>-3</v>
      </c>
      <c r="G53" s="223"/>
      <c r="H53" s="222">
        <v>5.95</v>
      </c>
      <c r="I53" s="223"/>
      <c r="J53" s="222">
        <v>5.78</v>
      </c>
      <c r="K53" s="223"/>
      <c r="L53" s="225">
        <v>0.28999999999999998</v>
      </c>
      <c r="M53" s="204"/>
      <c r="N53" s="225">
        <v>-0.12</v>
      </c>
      <c r="O53" s="225"/>
      <c r="P53" s="212" t="s">
        <v>1313</v>
      </c>
      <c r="Q53" s="212"/>
      <c r="R53" s="227">
        <v>4</v>
      </c>
    </row>
    <row r="54" spans="1:18">
      <c r="A54" s="260"/>
      <c r="B54" s="222"/>
      <c r="C54" s="223"/>
      <c r="D54" s="223" t="s">
        <v>1295</v>
      </c>
      <c r="E54" s="223"/>
      <c r="F54" s="224">
        <v>-3</v>
      </c>
      <c r="G54" s="223"/>
      <c r="H54" s="231" t="s">
        <v>1293</v>
      </c>
      <c r="I54" s="232"/>
      <c r="J54" s="222">
        <v>0</v>
      </c>
      <c r="K54" s="232"/>
      <c r="L54" s="225">
        <v>0</v>
      </c>
      <c r="M54" s="204"/>
      <c r="N54" s="225">
        <v>0</v>
      </c>
      <c r="O54" s="225"/>
      <c r="P54" s="226" t="s">
        <v>1296</v>
      </c>
      <c r="Q54" s="226"/>
      <c r="R54" s="227" t="s">
        <v>1294</v>
      </c>
    </row>
    <row r="55" spans="1:18">
      <c r="A55" s="265"/>
      <c r="B55" s="204"/>
      <c r="C55" s="223"/>
      <c r="D55" s="233" t="s">
        <v>1297</v>
      </c>
      <c r="E55" s="223"/>
      <c r="F55" s="224">
        <v>-2</v>
      </c>
      <c r="G55" s="223"/>
      <c r="H55" s="222">
        <v>5.54</v>
      </c>
      <c r="I55" s="223"/>
      <c r="J55" s="222">
        <v>5.4300000000000006</v>
      </c>
      <c r="K55" s="223"/>
      <c r="L55" s="225">
        <v>0.22</v>
      </c>
      <c r="M55" s="204"/>
      <c r="N55" s="225">
        <v>-0.11</v>
      </c>
      <c r="O55" s="225"/>
      <c r="P55" s="212" t="s">
        <v>1313</v>
      </c>
      <c r="Q55" s="212"/>
      <c r="R55" s="227">
        <v>4</v>
      </c>
    </row>
    <row r="56" spans="1:18">
      <c r="A56" s="260"/>
      <c r="B56" s="222"/>
      <c r="C56" s="223"/>
      <c r="D56" s="233" t="s">
        <v>1298</v>
      </c>
      <c r="E56" s="223"/>
      <c r="F56" s="224">
        <v>-2</v>
      </c>
      <c r="G56" s="223"/>
      <c r="H56" s="222">
        <v>5.54</v>
      </c>
      <c r="I56" s="223"/>
      <c r="J56" s="222">
        <v>5.4300000000000006</v>
      </c>
      <c r="K56" s="223"/>
      <c r="L56" s="225">
        <v>0.22</v>
      </c>
      <c r="M56" s="204"/>
      <c r="N56" s="225">
        <v>-0.11</v>
      </c>
      <c r="O56" s="225"/>
      <c r="P56" s="226" t="s">
        <v>1313</v>
      </c>
      <c r="Q56" s="226"/>
      <c r="R56" s="227">
        <v>4</v>
      </c>
    </row>
    <row r="57" spans="1:18">
      <c r="A57" s="260"/>
      <c r="B57" s="222"/>
      <c r="C57" s="223"/>
      <c r="D57" s="233" t="s">
        <v>1299</v>
      </c>
      <c r="E57" s="223"/>
      <c r="F57" s="224">
        <v>-2</v>
      </c>
      <c r="G57" s="223"/>
      <c r="H57" s="231" t="s">
        <v>1293</v>
      </c>
      <c r="I57" s="232"/>
      <c r="J57" s="222">
        <v>0</v>
      </c>
      <c r="K57" s="232"/>
      <c r="L57" s="225">
        <v>0</v>
      </c>
      <c r="M57" s="204"/>
      <c r="N57" s="225">
        <v>0</v>
      </c>
      <c r="O57" s="225"/>
      <c r="P57" s="226" t="s">
        <v>1296</v>
      </c>
      <c r="Q57" s="226"/>
      <c r="R57" s="227" t="s">
        <v>1294</v>
      </c>
    </row>
    <row r="58" spans="1:18">
      <c r="A58" s="260"/>
      <c r="B58" s="222"/>
      <c r="C58" s="223"/>
      <c r="D58" s="233" t="s">
        <v>1300</v>
      </c>
      <c r="E58" s="223"/>
      <c r="F58" s="224">
        <v>-4</v>
      </c>
      <c r="G58" s="223"/>
      <c r="H58" s="222">
        <v>2.8</v>
      </c>
      <c r="I58" s="223"/>
      <c r="J58" s="222">
        <v>2.6899999999999995</v>
      </c>
      <c r="K58" s="223"/>
      <c r="L58" s="225">
        <v>0.16</v>
      </c>
      <c r="M58" s="204"/>
      <c r="N58" s="225">
        <v>-0.05</v>
      </c>
      <c r="O58" s="225"/>
      <c r="P58" s="226" t="s">
        <v>1313</v>
      </c>
      <c r="Q58" s="226"/>
      <c r="R58" s="227">
        <v>16.100000000000001</v>
      </c>
    </row>
    <row r="59" spans="1:18">
      <c r="A59" s="260"/>
      <c r="B59" s="222"/>
      <c r="C59" s="223"/>
      <c r="D59" s="233" t="s">
        <v>1301</v>
      </c>
      <c r="E59" s="223"/>
      <c r="F59" s="224">
        <v>-4</v>
      </c>
      <c r="G59" s="223"/>
      <c r="H59" s="222">
        <v>2.64</v>
      </c>
      <c r="I59" s="223"/>
      <c r="J59" s="222">
        <v>2.54</v>
      </c>
      <c r="K59" s="223"/>
      <c r="L59" s="225">
        <v>0.15</v>
      </c>
      <c r="M59" s="204"/>
      <c r="N59" s="225">
        <v>-0.05</v>
      </c>
      <c r="O59" s="225"/>
      <c r="P59" s="226" t="s">
        <v>1313</v>
      </c>
      <c r="Q59" s="226"/>
      <c r="R59" s="227">
        <v>21.6</v>
      </c>
    </row>
    <row r="60" spans="1:18">
      <c r="A60" s="260"/>
      <c r="B60" s="222"/>
      <c r="C60" s="223"/>
      <c r="D60" s="233" t="s">
        <v>1302</v>
      </c>
      <c r="E60" s="223"/>
      <c r="F60" s="224">
        <v>-4</v>
      </c>
      <c r="G60" s="223"/>
      <c r="H60" s="222">
        <v>2.35</v>
      </c>
      <c r="I60" s="223"/>
      <c r="J60" s="222">
        <v>2.2599999999999998</v>
      </c>
      <c r="K60" s="223"/>
      <c r="L60" s="225">
        <v>0.14000000000000001</v>
      </c>
      <c r="M60" s="204"/>
      <c r="N60" s="225">
        <v>-0.05</v>
      </c>
      <c r="O60" s="225"/>
      <c r="P60" s="226" t="s">
        <v>1313</v>
      </c>
      <c r="Q60" s="226"/>
      <c r="R60" s="227">
        <v>22.8</v>
      </c>
    </row>
    <row r="61" spans="1:18">
      <c r="A61" s="260"/>
      <c r="B61" s="222"/>
      <c r="C61" s="223"/>
      <c r="D61" s="233" t="s">
        <v>1303</v>
      </c>
      <c r="E61" s="223"/>
      <c r="F61" s="224">
        <v>-4</v>
      </c>
      <c r="G61" s="223"/>
      <c r="H61" s="222">
        <v>4.2699999999999996</v>
      </c>
      <c r="I61" s="223"/>
      <c r="J61" s="222">
        <v>4.0999999999999996</v>
      </c>
      <c r="K61" s="223"/>
      <c r="L61" s="225">
        <v>0.25</v>
      </c>
      <c r="M61" s="204"/>
      <c r="N61" s="225">
        <v>-0.08</v>
      </c>
      <c r="O61" s="225"/>
      <c r="P61" s="226" t="s">
        <v>1313</v>
      </c>
      <c r="Q61" s="226"/>
      <c r="R61" s="227">
        <v>23</v>
      </c>
    </row>
    <row r="62" spans="1:18">
      <c r="A62" s="260"/>
      <c r="B62" s="222"/>
      <c r="C62" s="223"/>
      <c r="D62" s="233" t="s">
        <v>1304</v>
      </c>
      <c r="E62" s="223"/>
      <c r="F62" s="224">
        <v>-2</v>
      </c>
      <c r="G62" s="223"/>
      <c r="H62" s="231" t="s">
        <v>1293</v>
      </c>
      <c r="I62" s="232"/>
      <c r="J62" s="222">
        <v>0</v>
      </c>
      <c r="K62" s="232"/>
      <c r="L62" s="225">
        <v>0</v>
      </c>
      <c r="M62" s="204"/>
      <c r="N62" s="225">
        <v>0</v>
      </c>
      <c r="O62" s="225"/>
      <c r="P62" s="226" t="s">
        <v>1296</v>
      </c>
      <c r="Q62" s="226"/>
      <c r="R62" s="227" t="s">
        <v>1294</v>
      </c>
    </row>
    <row r="63" spans="1:18">
      <c r="A63" s="260"/>
      <c r="B63" s="222"/>
      <c r="C63" s="223"/>
      <c r="D63" s="233" t="s">
        <v>1305</v>
      </c>
      <c r="E63" s="223"/>
      <c r="F63" s="224">
        <v>-5</v>
      </c>
      <c r="G63" s="223"/>
      <c r="H63" s="222">
        <v>3.7</v>
      </c>
      <c r="I63" s="223"/>
      <c r="J63" s="222">
        <v>3.52</v>
      </c>
      <c r="K63" s="223"/>
      <c r="L63" s="225">
        <v>0.25</v>
      </c>
      <c r="M63" s="204"/>
      <c r="N63" s="225">
        <v>-7.0000000000000007E-2</v>
      </c>
      <c r="O63" s="225"/>
      <c r="P63" s="226" t="s">
        <v>1313</v>
      </c>
      <c r="Q63" s="226"/>
      <c r="R63" s="227">
        <v>22</v>
      </c>
    </row>
    <row r="64" spans="1:18">
      <c r="A64" s="260"/>
      <c r="B64" s="222"/>
      <c r="C64" s="223"/>
      <c r="D64" s="233" t="s">
        <v>1306</v>
      </c>
      <c r="E64" s="223"/>
      <c r="F64" s="224">
        <v>-5</v>
      </c>
      <c r="G64" s="223"/>
      <c r="H64" s="222">
        <v>2.6</v>
      </c>
      <c r="I64" s="223"/>
      <c r="J64" s="222">
        <v>2.48</v>
      </c>
      <c r="K64" s="223"/>
      <c r="L64" s="225">
        <v>0.17</v>
      </c>
      <c r="M64" s="204"/>
      <c r="N64" s="225">
        <v>-0.05</v>
      </c>
      <c r="O64" s="225"/>
      <c r="P64" s="226" t="s">
        <v>1313</v>
      </c>
      <c r="Q64" s="226"/>
      <c r="R64" s="227">
        <v>21.6</v>
      </c>
    </row>
    <row r="65" spans="1:18">
      <c r="A65" s="260"/>
      <c r="B65" s="222"/>
      <c r="C65" s="223"/>
      <c r="D65" s="233" t="s">
        <v>1307</v>
      </c>
      <c r="E65" s="223"/>
      <c r="F65" s="224">
        <v>-5</v>
      </c>
      <c r="G65" s="223"/>
      <c r="H65" s="222">
        <v>1.46</v>
      </c>
      <c r="I65" s="223"/>
      <c r="J65" s="222">
        <v>1.39</v>
      </c>
      <c r="K65" s="223"/>
      <c r="L65" s="225">
        <v>0.1</v>
      </c>
      <c r="M65" s="204"/>
      <c r="N65" s="225">
        <v>-0.03</v>
      </c>
      <c r="O65" s="225"/>
      <c r="P65" s="226" t="s">
        <v>1313</v>
      </c>
      <c r="Q65" s="226"/>
      <c r="R65" s="227">
        <v>21</v>
      </c>
    </row>
    <row r="66" spans="1:18">
      <c r="A66" s="260"/>
      <c r="B66" s="222"/>
      <c r="C66" s="223"/>
      <c r="D66" s="233" t="s">
        <v>1308</v>
      </c>
      <c r="E66" s="223"/>
      <c r="F66" s="224">
        <v>-5</v>
      </c>
      <c r="G66" s="223"/>
      <c r="H66" s="222">
        <v>2</v>
      </c>
      <c r="I66" s="223"/>
      <c r="J66" s="222">
        <v>1.9100000000000001</v>
      </c>
      <c r="K66" s="223"/>
      <c r="L66" s="225">
        <v>0.13</v>
      </c>
      <c r="M66" s="204"/>
      <c r="N66" s="225">
        <v>-0.04</v>
      </c>
      <c r="O66" s="225"/>
      <c r="P66" s="226" t="s">
        <v>1313</v>
      </c>
      <c r="Q66" s="226"/>
      <c r="R66" s="227">
        <v>23.7</v>
      </c>
    </row>
    <row r="67" spans="1:18">
      <c r="A67" s="260"/>
      <c r="B67" s="222"/>
      <c r="C67" s="223"/>
      <c r="D67" s="233" t="s">
        <v>1309</v>
      </c>
      <c r="E67" s="223"/>
      <c r="F67" s="224">
        <v>-5</v>
      </c>
      <c r="G67" s="223"/>
      <c r="H67" s="222">
        <v>2.31</v>
      </c>
      <c r="I67" s="223"/>
      <c r="J67" s="222">
        <v>2.2000000000000002</v>
      </c>
      <c r="K67" s="223"/>
      <c r="L67" s="225">
        <v>0.15</v>
      </c>
      <c r="M67" s="204"/>
      <c r="N67" s="225">
        <v>-0.04</v>
      </c>
      <c r="O67" s="225"/>
      <c r="P67" s="226" t="s">
        <v>1313</v>
      </c>
      <c r="Q67" s="226"/>
      <c r="R67" s="227">
        <v>24.7</v>
      </c>
    </row>
    <row r="68" spans="1:18">
      <c r="A68" s="266"/>
      <c r="B68" s="235"/>
      <c r="C68" s="223"/>
      <c r="D68" s="233" t="s">
        <v>1310</v>
      </c>
      <c r="E68" s="223"/>
      <c r="F68" s="224">
        <v>-5</v>
      </c>
      <c r="G68" s="223"/>
      <c r="H68" s="222">
        <v>2.11</v>
      </c>
      <c r="I68" s="223"/>
      <c r="J68" s="222">
        <v>2.0099999999999998</v>
      </c>
      <c r="K68" s="223"/>
      <c r="L68" s="225">
        <v>0.14000000000000001</v>
      </c>
      <c r="M68" s="204"/>
      <c r="N68" s="225">
        <v>-0.04</v>
      </c>
      <c r="O68" s="225"/>
      <c r="P68" s="226" t="s">
        <v>1313</v>
      </c>
      <c r="Q68" s="226"/>
      <c r="R68" s="227">
        <v>21.8</v>
      </c>
    </row>
    <row r="69" spans="1:18">
      <c r="A69" s="260"/>
      <c r="B69" s="222"/>
      <c r="C69" s="223"/>
      <c r="D69" s="233" t="s">
        <v>1314</v>
      </c>
      <c r="E69" s="223"/>
      <c r="F69" s="224">
        <v>-5</v>
      </c>
      <c r="G69" s="223"/>
      <c r="H69" s="222">
        <v>3.45</v>
      </c>
      <c r="I69" s="223"/>
      <c r="J69" s="222">
        <v>3.29</v>
      </c>
      <c r="K69" s="223"/>
      <c r="L69" s="225">
        <v>0.23</v>
      </c>
      <c r="M69" s="204"/>
      <c r="N69" s="225">
        <v>-7.0000000000000007E-2</v>
      </c>
      <c r="O69" s="225"/>
      <c r="P69" s="226" t="s">
        <v>1313</v>
      </c>
      <c r="Q69" s="226"/>
      <c r="R69" s="227">
        <v>24.8</v>
      </c>
    </row>
    <row r="70" spans="1:18">
      <c r="A70" s="260"/>
      <c r="B70" s="222"/>
      <c r="C70" s="223"/>
      <c r="D70" s="233" t="s">
        <v>1315</v>
      </c>
      <c r="E70" s="223"/>
      <c r="F70" s="224">
        <v>-5</v>
      </c>
      <c r="G70" s="223"/>
      <c r="H70" s="222">
        <v>3.56</v>
      </c>
      <c r="I70" s="223"/>
      <c r="J70" s="222">
        <v>3.39</v>
      </c>
      <c r="K70" s="223"/>
      <c r="L70" s="225">
        <v>0.24</v>
      </c>
      <c r="M70" s="204"/>
      <c r="N70" s="225">
        <v>-7.0000000000000007E-2</v>
      </c>
      <c r="O70" s="225"/>
      <c r="P70" s="226" t="s">
        <v>1313</v>
      </c>
      <c r="Q70" s="226"/>
      <c r="R70" s="227">
        <v>25.7</v>
      </c>
    </row>
    <row r="71" spans="1:18">
      <c r="A71" s="260"/>
      <c r="B71" s="222"/>
      <c r="C71" s="223"/>
      <c r="D71" s="223"/>
      <c r="E71" s="223"/>
      <c r="F71" s="224"/>
      <c r="G71" s="223"/>
      <c r="H71" s="222"/>
      <c r="I71" s="223"/>
      <c r="J71" s="228"/>
      <c r="K71" s="223"/>
      <c r="L71" s="225"/>
      <c r="M71" s="204"/>
      <c r="N71" s="225"/>
      <c r="O71" s="225"/>
      <c r="P71" s="226"/>
      <c r="Q71" s="226"/>
      <c r="R71" s="227"/>
    </row>
    <row r="72" spans="1:18">
      <c r="A72" s="260">
        <v>312</v>
      </c>
      <c r="B72" s="222"/>
      <c r="C72" s="223"/>
      <c r="D72" s="234" t="s">
        <v>1316</v>
      </c>
      <c r="E72" s="223"/>
      <c r="F72" s="271" t="s">
        <v>1903</v>
      </c>
      <c r="G72" s="223"/>
      <c r="H72" s="222">
        <v>2.8054179842026818</v>
      </c>
      <c r="I72" s="223"/>
      <c r="J72" s="228"/>
      <c r="K72" s="223"/>
      <c r="L72" s="225"/>
      <c r="M72" s="204"/>
      <c r="N72" s="225"/>
      <c r="O72" s="225"/>
      <c r="P72" s="226" t="str">
        <f>P70</f>
        <v>60-R2.5</v>
      </c>
      <c r="Q72" s="226"/>
      <c r="R72" s="227">
        <v>26.7</v>
      </c>
    </row>
    <row r="73" spans="1:18">
      <c r="A73" s="260"/>
      <c r="B73" s="222"/>
      <c r="C73" s="223"/>
      <c r="D73" s="234"/>
      <c r="E73" s="223"/>
      <c r="F73" s="224"/>
      <c r="G73" s="223"/>
      <c r="H73" s="222"/>
      <c r="I73" s="223"/>
      <c r="J73" s="228"/>
      <c r="K73" s="223"/>
      <c r="L73" s="225"/>
      <c r="M73" s="204"/>
      <c r="N73" s="225"/>
      <c r="O73" s="225"/>
      <c r="P73" s="226"/>
      <c r="Q73" s="226"/>
      <c r="R73" s="227"/>
    </row>
    <row r="74" spans="1:18">
      <c r="A74" s="260"/>
      <c r="B74" s="222">
        <v>314</v>
      </c>
      <c r="C74" s="223"/>
      <c r="D74" s="223" t="s">
        <v>1317</v>
      </c>
      <c r="E74" s="223"/>
      <c r="F74" s="224"/>
      <c r="G74" s="223"/>
      <c r="H74" s="222"/>
      <c r="I74" s="223"/>
      <c r="J74" s="228"/>
      <c r="K74" s="223"/>
      <c r="L74" s="225"/>
      <c r="M74" s="204"/>
      <c r="N74" s="225"/>
      <c r="O74" s="225"/>
      <c r="P74" s="212"/>
      <c r="Q74" s="212"/>
      <c r="R74" s="227"/>
    </row>
    <row r="75" spans="1:18">
      <c r="A75" s="260"/>
      <c r="B75" s="222"/>
      <c r="C75" s="223"/>
      <c r="D75" s="233" t="s">
        <v>1288</v>
      </c>
      <c r="E75" s="223"/>
      <c r="F75" s="224">
        <v>-11</v>
      </c>
      <c r="G75" s="223"/>
      <c r="H75" s="222">
        <v>2.1</v>
      </c>
      <c r="I75" s="223"/>
      <c r="J75" s="222">
        <v>1.8900000000000001</v>
      </c>
      <c r="K75" s="223"/>
      <c r="L75" s="225">
        <v>0.25</v>
      </c>
      <c r="M75" s="204"/>
      <c r="N75" s="225">
        <v>-0.04</v>
      </c>
      <c r="O75" s="225"/>
      <c r="P75" s="226" t="s">
        <v>1318</v>
      </c>
      <c r="Q75" s="226"/>
      <c r="R75" s="227">
        <v>45.9</v>
      </c>
    </row>
    <row r="76" spans="1:18">
      <c r="A76" s="260"/>
      <c r="B76" s="222"/>
      <c r="C76" s="223"/>
      <c r="D76" s="223" t="s">
        <v>1292</v>
      </c>
      <c r="E76" s="223"/>
      <c r="F76" s="224">
        <v>-3</v>
      </c>
      <c r="G76" s="223"/>
      <c r="H76" s="222">
        <v>5.89</v>
      </c>
      <c r="I76" s="223"/>
      <c r="J76" s="222">
        <v>5.71</v>
      </c>
      <c r="K76" s="223"/>
      <c r="L76" s="225">
        <v>0.28999999999999998</v>
      </c>
      <c r="M76" s="204"/>
      <c r="N76" s="225">
        <v>-0.11</v>
      </c>
      <c r="O76" s="225"/>
      <c r="P76" s="226" t="s">
        <v>1318</v>
      </c>
      <c r="Q76" s="226"/>
      <c r="R76" s="227">
        <v>4</v>
      </c>
    </row>
    <row r="77" spans="1:18">
      <c r="A77" s="260"/>
      <c r="B77" s="222"/>
      <c r="C77" s="223"/>
      <c r="D77" s="223" t="s">
        <v>1295</v>
      </c>
      <c r="E77" s="223"/>
      <c r="F77" s="224">
        <v>-3</v>
      </c>
      <c r="G77" s="223"/>
      <c r="H77" s="231" t="s">
        <v>1293</v>
      </c>
      <c r="I77" s="232"/>
      <c r="J77" s="222">
        <v>0</v>
      </c>
      <c r="K77" s="232"/>
      <c r="L77" s="225">
        <v>0</v>
      </c>
      <c r="M77" s="204"/>
      <c r="N77" s="225">
        <v>0</v>
      </c>
      <c r="O77" s="225"/>
      <c r="P77" s="226" t="s">
        <v>1296</v>
      </c>
      <c r="Q77" s="226"/>
      <c r="R77" s="227" t="s">
        <v>1294</v>
      </c>
    </row>
    <row r="78" spans="1:18">
      <c r="A78" s="260"/>
      <c r="B78" s="222"/>
      <c r="C78" s="223"/>
      <c r="D78" s="233" t="s">
        <v>1297</v>
      </c>
      <c r="E78" s="223"/>
      <c r="F78" s="224">
        <v>-2</v>
      </c>
      <c r="G78" s="223"/>
      <c r="H78" s="222">
        <v>3.23</v>
      </c>
      <c r="I78" s="223"/>
      <c r="J78" s="222">
        <v>3.16</v>
      </c>
      <c r="K78" s="223"/>
      <c r="L78" s="225">
        <v>0.13</v>
      </c>
      <c r="M78" s="204"/>
      <c r="N78" s="225">
        <v>-0.06</v>
      </c>
      <c r="O78" s="225"/>
      <c r="P78" s="226" t="s">
        <v>1318</v>
      </c>
      <c r="Q78" s="226"/>
      <c r="R78" s="227">
        <v>4</v>
      </c>
    </row>
    <row r="79" spans="1:18">
      <c r="A79" s="260"/>
      <c r="B79" s="222"/>
      <c r="C79" s="223"/>
      <c r="D79" s="233" t="s">
        <v>1298</v>
      </c>
      <c r="E79" s="223"/>
      <c r="F79" s="224">
        <v>-2</v>
      </c>
      <c r="G79" s="223"/>
      <c r="H79" s="222">
        <v>2.54</v>
      </c>
      <c r="I79" s="223"/>
      <c r="J79" s="222">
        <v>2.4899999999999998</v>
      </c>
      <c r="K79" s="223"/>
      <c r="L79" s="225">
        <v>0.1</v>
      </c>
      <c r="M79" s="204"/>
      <c r="N79" s="225">
        <v>-0.05</v>
      </c>
      <c r="O79" s="225"/>
      <c r="P79" s="226" t="s">
        <v>1318</v>
      </c>
      <c r="Q79" s="226"/>
      <c r="R79" s="227">
        <v>4</v>
      </c>
    </row>
    <row r="80" spans="1:18">
      <c r="A80" s="260"/>
      <c r="B80" s="222"/>
      <c r="C80" s="223"/>
      <c r="D80" s="233" t="s">
        <v>1300</v>
      </c>
      <c r="E80" s="223"/>
      <c r="F80" s="224">
        <v>-4</v>
      </c>
      <c r="G80" s="223"/>
      <c r="H80" s="222">
        <v>2.38</v>
      </c>
      <c r="I80" s="223"/>
      <c r="J80" s="222">
        <v>2.2899999999999996</v>
      </c>
      <c r="K80" s="223"/>
      <c r="L80" s="225">
        <v>0.14000000000000001</v>
      </c>
      <c r="M80" s="204"/>
      <c r="N80" s="225">
        <v>-0.05</v>
      </c>
      <c r="O80" s="225"/>
      <c r="P80" s="226" t="s">
        <v>1318</v>
      </c>
      <c r="Q80" s="226"/>
      <c r="R80" s="227">
        <v>16.3</v>
      </c>
    </row>
    <row r="81" spans="1:18">
      <c r="A81" s="260"/>
      <c r="B81" s="222"/>
      <c r="C81" s="223"/>
      <c r="D81" s="233" t="s">
        <v>1301</v>
      </c>
      <c r="E81" s="223"/>
      <c r="F81" s="224">
        <v>-4</v>
      </c>
      <c r="G81" s="223"/>
      <c r="H81" s="222">
        <v>1.53</v>
      </c>
      <c r="I81" s="223"/>
      <c r="J81" s="222">
        <v>1.47</v>
      </c>
      <c r="K81" s="223"/>
      <c r="L81" s="225">
        <v>0.09</v>
      </c>
      <c r="M81" s="204"/>
      <c r="N81" s="225">
        <v>-0.03</v>
      </c>
      <c r="O81" s="225"/>
      <c r="P81" s="226" t="s">
        <v>1318</v>
      </c>
      <c r="Q81" s="226"/>
      <c r="R81" s="227">
        <v>21.8</v>
      </c>
    </row>
    <row r="82" spans="1:18">
      <c r="A82" s="260"/>
      <c r="B82" s="222"/>
      <c r="C82" s="223"/>
      <c r="D82" s="233" t="s">
        <v>1302</v>
      </c>
      <c r="E82" s="223"/>
      <c r="F82" s="224">
        <v>-4</v>
      </c>
      <c r="G82" s="223"/>
      <c r="H82" s="222">
        <v>1.53</v>
      </c>
      <c r="I82" s="223"/>
      <c r="J82" s="222">
        <v>1.47</v>
      </c>
      <c r="K82" s="223"/>
      <c r="L82" s="225">
        <v>0.09</v>
      </c>
      <c r="M82" s="204"/>
      <c r="N82" s="225">
        <v>-0.03</v>
      </c>
      <c r="O82" s="225"/>
      <c r="P82" s="226" t="s">
        <v>1318</v>
      </c>
      <c r="Q82" s="226"/>
      <c r="R82" s="227">
        <v>22.4</v>
      </c>
    </row>
    <row r="83" spans="1:18">
      <c r="A83" s="260"/>
      <c r="B83" s="222"/>
      <c r="C83" s="223"/>
      <c r="D83" s="233" t="s">
        <v>1306</v>
      </c>
      <c r="E83" s="223"/>
      <c r="F83" s="224">
        <v>-5</v>
      </c>
      <c r="G83" s="223"/>
      <c r="H83" s="222">
        <v>2.31</v>
      </c>
      <c r="I83" s="223"/>
      <c r="J83" s="222">
        <v>2.2000000000000002</v>
      </c>
      <c r="K83" s="223"/>
      <c r="L83" s="225">
        <v>0.15</v>
      </c>
      <c r="M83" s="204"/>
      <c r="N83" s="225">
        <v>-0.04</v>
      </c>
      <c r="O83" s="225"/>
      <c r="P83" s="226" t="s">
        <v>1318</v>
      </c>
      <c r="Q83" s="226"/>
      <c r="R83" s="227">
        <v>21.6</v>
      </c>
    </row>
    <row r="84" spans="1:18">
      <c r="A84" s="260"/>
      <c r="B84" s="222"/>
      <c r="C84" s="236"/>
      <c r="D84" s="233" t="s">
        <v>1307</v>
      </c>
      <c r="E84" s="203"/>
      <c r="F84" s="224">
        <v>-5</v>
      </c>
      <c r="G84" s="203"/>
      <c r="H84" s="222">
        <v>1.87</v>
      </c>
      <c r="I84" s="223"/>
      <c r="J84" s="222">
        <v>1.79</v>
      </c>
      <c r="K84" s="223"/>
      <c r="L84" s="225">
        <v>0.12</v>
      </c>
      <c r="M84" s="204"/>
      <c r="N84" s="225">
        <v>-0.04</v>
      </c>
      <c r="O84" s="225"/>
      <c r="P84" s="226" t="s">
        <v>1318</v>
      </c>
      <c r="Q84" s="226"/>
      <c r="R84" s="227">
        <v>19.600000000000001</v>
      </c>
    </row>
    <row r="85" spans="1:18">
      <c r="A85" s="260"/>
      <c r="B85" s="222"/>
      <c r="C85" s="223"/>
      <c r="D85" s="233" t="s">
        <v>1308</v>
      </c>
      <c r="E85" s="223"/>
      <c r="F85" s="224">
        <v>-5</v>
      </c>
      <c r="G85" s="223"/>
      <c r="H85" s="222">
        <v>1.75</v>
      </c>
      <c r="I85" s="223"/>
      <c r="J85" s="222">
        <v>1.66</v>
      </c>
      <c r="K85" s="223"/>
      <c r="L85" s="225">
        <v>0.12</v>
      </c>
      <c r="M85" s="204"/>
      <c r="N85" s="225">
        <v>-0.03</v>
      </c>
      <c r="O85" s="225"/>
      <c r="P85" s="226" t="s">
        <v>1318</v>
      </c>
      <c r="Q85" s="226"/>
      <c r="R85" s="227">
        <v>22.2</v>
      </c>
    </row>
    <row r="86" spans="1:18">
      <c r="A86" s="260"/>
      <c r="B86" s="222"/>
      <c r="C86" s="223"/>
      <c r="D86" s="233" t="s">
        <v>1309</v>
      </c>
      <c r="E86" s="223"/>
      <c r="F86" s="224">
        <v>-5</v>
      </c>
      <c r="G86" s="223"/>
      <c r="H86" s="222">
        <v>2.12</v>
      </c>
      <c r="I86" s="223"/>
      <c r="J86" s="222">
        <v>2.02</v>
      </c>
      <c r="K86" s="223"/>
      <c r="L86" s="225">
        <v>0.14000000000000001</v>
      </c>
      <c r="M86" s="204"/>
      <c r="N86" s="225">
        <v>-0.04</v>
      </c>
      <c r="O86" s="225"/>
      <c r="P86" s="226" t="s">
        <v>1318</v>
      </c>
      <c r="Q86" s="226"/>
      <c r="R86" s="227">
        <v>23</v>
      </c>
    </row>
    <row r="87" spans="1:18">
      <c r="A87" s="260"/>
      <c r="B87" s="222"/>
      <c r="C87" s="223"/>
      <c r="D87" s="223"/>
      <c r="E87" s="223"/>
      <c r="F87" s="224"/>
      <c r="G87" s="223"/>
      <c r="H87" s="222"/>
      <c r="I87" s="223"/>
      <c r="J87" s="228"/>
      <c r="K87" s="223"/>
      <c r="L87" s="225"/>
      <c r="M87" s="204"/>
      <c r="N87" s="225"/>
      <c r="O87" s="225"/>
      <c r="P87" s="226"/>
      <c r="Q87" s="226"/>
      <c r="R87" s="227"/>
    </row>
    <row r="88" spans="1:18">
      <c r="A88" s="260">
        <v>314</v>
      </c>
      <c r="B88" s="222"/>
      <c r="C88" s="223"/>
      <c r="D88" s="234" t="s">
        <v>1319</v>
      </c>
      <c r="E88" s="223"/>
      <c r="F88" s="261" t="str">
        <f>F72</f>
        <v>-2%,-3%,-4%,-5%,-11%</v>
      </c>
      <c r="G88" s="223"/>
      <c r="H88" s="222">
        <v>2.0784358574003399</v>
      </c>
      <c r="I88" s="223"/>
      <c r="J88" s="228"/>
      <c r="K88" s="223"/>
      <c r="L88" s="225"/>
      <c r="M88" s="204"/>
      <c r="N88" s="225"/>
      <c r="O88" s="225"/>
      <c r="P88" s="226" t="str">
        <f>P86</f>
        <v>55-S1.5</v>
      </c>
      <c r="Q88" s="226"/>
      <c r="R88" s="227">
        <v>26.3</v>
      </c>
    </row>
    <row r="89" spans="1:18">
      <c r="A89" s="260"/>
      <c r="B89" s="222"/>
      <c r="C89" s="223"/>
      <c r="D89" s="223"/>
      <c r="E89" s="223"/>
      <c r="F89" s="224"/>
      <c r="G89" s="223"/>
      <c r="H89" s="222"/>
      <c r="I89" s="223"/>
      <c r="J89" s="228"/>
      <c r="K89" s="223"/>
      <c r="L89" s="225"/>
      <c r="M89" s="204"/>
      <c r="N89" s="225"/>
      <c r="O89" s="225"/>
      <c r="P89" s="226"/>
      <c r="Q89" s="226"/>
      <c r="R89" s="227"/>
    </row>
    <row r="90" spans="1:18">
      <c r="A90" s="260"/>
      <c r="B90" s="222">
        <v>315</v>
      </c>
      <c r="C90" s="223"/>
      <c r="D90" s="223" t="s">
        <v>1320</v>
      </c>
      <c r="E90" s="223"/>
      <c r="F90" s="224"/>
      <c r="G90" s="223"/>
      <c r="H90" s="222"/>
      <c r="I90" s="223"/>
      <c r="J90" s="228"/>
      <c r="K90" s="223"/>
      <c r="L90" s="225"/>
      <c r="M90" s="204"/>
      <c r="N90" s="225"/>
      <c r="O90" s="225"/>
      <c r="P90" s="212"/>
      <c r="Q90" s="212"/>
      <c r="R90" s="227"/>
    </row>
    <row r="91" spans="1:18">
      <c r="A91" s="260"/>
      <c r="B91" s="222"/>
      <c r="C91" s="223"/>
      <c r="D91" s="223" t="s">
        <v>1288</v>
      </c>
      <c r="E91" s="223"/>
      <c r="F91" s="224">
        <v>-11</v>
      </c>
      <c r="G91" s="223"/>
      <c r="H91" s="222">
        <v>1.93</v>
      </c>
      <c r="I91" s="223"/>
      <c r="J91" s="222">
        <v>1.74</v>
      </c>
      <c r="K91" s="223"/>
      <c r="L91" s="225">
        <v>0.21</v>
      </c>
      <c r="M91" s="204"/>
      <c r="N91" s="225">
        <v>-0.02</v>
      </c>
      <c r="O91" s="225"/>
      <c r="P91" s="212" t="s">
        <v>1321</v>
      </c>
      <c r="Q91" s="212"/>
      <c r="R91" s="227">
        <v>51.3</v>
      </c>
    </row>
    <row r="92" spans="1:18">
      <c r="A92" s="260"/>
      <c r="B92" s="222"/>
      <c r="C92" s="223"/>
      <c r="D92" s="223" t="s">
        <v>1290</v>
      </c>
      <c r="E92" s="223"/>
      <c r="F92" s="224">
        <v>-11</v>
      </c>
      <c r="G92" s="223"/>
      <c r="H92" s="222">
        <v>1.47</v>
      </c>
      <c r="I92" s="223"/>
      <c r="J92" s="222">
        <v>1.32</v>
      </c>
      <c r="K92" s="223"/>
      <c r="L92" s="225">
        <v>0.16</v>
      </c>
      <c r="M92" s="204"/>
      <c r="N92" s="225">
        <v>-0.01</v>
      </c>
      <c r="O92" s="225"/>
      <c r="P92" s="212" t="s">
        <v>1321</v>
      </c>
      <c r="Q92" s="212"/>
      <c r="R92" s="227">
        <v>44.2</v>
      </c>
    </row>
    <row r="93" spans="1:18">
      <c r="A93" s="260"/>
      <c r="B93" s="222"/>
      <c r="C93" s="223"/>
      <c r="D93" s="223" t="s">
        <v>1292</v>
      </c>
      <c r="E93" s="223"/>
      <c r="F93" s="224">
        <v>-3</v>
      </c>
      <c r="G93" s="223"/>
      <c r="H93" s="222">
        <v>12.87</v>
      </c>
      <c r="I93" s="223"/>
      <c r="J93" s="222">
        <v>12.489999999999998</v>
      </c>
      <c r="K93" s="223"/>
      <c r="L93" s="225">
        <v>0.5</v>
      </c>
      <c r="M93" s="204"/>
      <c r="N93" s="225">
        <v>-0.12</v>
      </c>
      <c r="O93" s="225"/>
      <c r="P93" s="212" t="s">
        <v>1321</v>
      </c>
      <c r="Q93" s="212"/>
      <c r="R93" s="227">
        <v>3.9</v>
      </c>
    </row>
    <row r="94" spans="1:18">
      <c r="A94" s="260"/>
      <c r="B94" s="222"/>
      <c r="C94" s="223"/>
      <c r="D94" s="223" t="s">
        <v>1295</v>
      </c>
      <c r="E94" s="223"/>
      <c r="F94" s="224">
        <v>-3</v>
      </c>
      <c r="G94" s="223"/>
      <c r="H94" s="231" t="s">
        <v>1293</v>
      </c>
      <c r="I94" s="232"/>
      <c r="J94" s="222">
        <v>0</v>
      </c>
      <c r="K94" s="232"/>
      <c r="L94" s="225">
        <v>0</v>
      </c>
      <c r="M94" s="204"/>
      <c r="N94" s="225">
        <v>0</v>
      </c>
      <c r="O94" s="225"/>
      <c r="P94" s="226" t="s">
        <v>1296</v>
      </c>
      <c r="Q94" s="226"/>
      <c r="R94" s="227" t="s">
        <v>1294</v>
      </c>
    </row>
    <row r="95" spans="1:18">
      <c r="A95" s="260"/>
      <c r="B95" s="222"/>
      <c r="C95" s="223"/>
      <c r="D95" s="233" t="s">
        <v>1297</v>
      </c>
      <c r="E95" s="223"/>
      <c r="F95" s="224">
        <v>-2</v>
      </c>
      <c r="G95" s="223"/>
      <c r="H95" s="222">
        <v>14.12</v>
      </c>
      <c r="I95" s="223"/>
      <c r="J95" s="222">
        <v>13.84</v>
      </c>
      <c r="K95" s="223"/>
      <c r="L95" s="225">
        <v>0.42</v>
      </c>
      <c r="M95" s="204"/>
      <c r="N95" s="225">
        <v>-0.14000000000000001</v>
      </c>
      <c r="O95" s="225"/>
      <c r="P95" s="212" t="s">
        <v>1321</v>
      </c>
      <c r="Q95" s="212"/>
      <c r="R95" s="227">
        <v>4</v>
      </c>
    </row>
    <row r="96" spans="1:18">
      <c r="A96" s="260"/>
      <c r="B96" s="222"/>
      <c r="C96" s="223"/>
      <c r="D96" s="233" t="s">
        <v>1298</v>
      </c>
      <c r="E96" s="223"/>
      <c r="F96" s="224">
        <v>-2</v>
      </c>
      <c r="G96" s="223"/>
      <c r="H96" s="222">
        <v>8.49</v>
      </c>
      <c r="I96" s="223"/>
      <c r="J96" s="222">
        <v>8.32</v>
      </c>
      <c r="K96" s="223"/>
      <c r="L96" s="225">
        <v>0.25</v>
      </c>
      <c r="M96" s="204"/>
      <c r="N96" s="225">
        <v>-0.08</v>
      </c>
      <c r="O96" s="225"/>
      <c r="P96" s="226" t="s">
        <v>1321</v>
      </c>
      <c r="Q96" s="226"/>
      <c r="R96" s="227">
        <v>3.9</v>
      </c>
    </row>
    <row r="97" spans="1:18">
      <c r="A97" s="260"/>
      <c r="B97" s="222"/>
      <c r="C97" s="223"/>
      <c r="D97" s="233" t="s">
        <v>1300</v>
      </c>
      <c r="E97" s="223"/>
      <c r="F97" s="224">
        <v>-4</v>
      </c>
      <c r="G97" s="223"/>
      <c r="H97" s="222">
        <v>1.18</v>
      </c>
      <c r="I97" s="223"/>
      <c r="J97" s="222">
        <v>1.1299999999999999</v>
      </c>
      <c r="K97" s="223"/>
      <c r="L97" s="225">
        <v>0.06</v>
      </c>
      <c r="M97" s="204"/>
      <c r="N97" s="225">
        <v>-0.01</v>
      </c>
      <c r="O97" s="225"/>
      <c r="P97" s="226" t="s">
        <v>1321</v>
      </c>
      <c r="Q97" s="226"/>
      <c r="R97" s="227">
        <v>16.5</v>
      </c>
    </row>
    <row r="98" spans="1:18">
      <c r="A98" s="260"/>
      <c r="B98" s="222"/>
      <c r="C98" s="223"/>
      <c r="D98" s="233" t="s">
        <v>1301</v>
      </c>
      <c r="E98" s="223"/>
      <c r="F98" s="224">
        <v>-4</v>
      </c>
      <c r="G98" s="223"/>
      <c r="H98" s="222">
        <v>1.89</v>
      </c>
      <c r="I98" s="223"/>
      <c r="J98" s="222">
        <v>1.8199999999999998</v>
      </c>
      <c r="K98" s="223"/>
      <c r="L98" s="225">
        <v>0.09</v>
      </c>
      <c r="M98" s="204"/>
      <c r="N98" s="225">
        <v>-0.02</v>
      </c>
      <c r="O98" s="225"/>
      <c r="P98" s="226" t="s">
        <v>1321</v>
      </c>
      <c r="Q98" s="226"/>
      <c r="R98" s="227">
        <v>22.5</v>
      </c>
    </row>
    <row r="99" spans="1:18">
      <c r="A99" s="260"/>
      <c r="B99" s="222"/>
      <c r="C99" s="223"/>
      <c r="D99" s="233" t="s">
        <v>1302</v>
      </c>
      <c r="E99" s="223"/>
      <c r="F99" s="224">
        <v>-4</v>
      </c>
      <c r="G99" s="223"/>
      <c r="H99" s="222">
        <v>1.19</v>
      </c>
      <c r="I99" s="223"/>
      <c r="J99" s="222">
        <v>1.1399999999999999</v>
      </c>
      <c r="K99" s="223"/>
      <c r="L99" s="225">
        <v>0.06</v>
      </c>
      <c r="M99" s="204"/>
      <c r="N99" s="225">
        <v>-0.01</v>
      </c>
      <c r="O99" s="225"/>
      <c r="P99" s="226" t="s">
        <v>1321</v>
      </c>
      <c r="Q99" s="226"/>
      <c r="R99" s="227">
        <v>23.5</v>
      </c>
    </row>
    <row r="100" spans="1:18">
      <c r="A100" s="260"/>
      <c r="B100" s="222"/>
      <c r="C100" s="223"/>
      <c r="D100" s="233" t="s">
        <v>1303</v>
      </c>
      <c r="E100" s="223"/>
      <c r="F100" s="224">
        <v>-4</v>
      </c>
      <c r="G100" s="223"/>
      <c r="H100" s="222">
        <v>4.25</v>
      </c>
      <c r="I100" s="223"/>
      <c r="J100" s="222">
        <v>4.09</v>
      </c>
      <c r="K100" s="223"/>
      <c r="L100" s="225">
        <v>0.2</v>
      </c>
      <c r="M100" s="204"/>
      <c r="N100" s="225">
        <v>-0.04</v>
      </c>
      <c r="O100" s="225"/>
      <c r="P100" s="226" t="s">
        <v>1321</v>
      </c>
      <c r="Q100" s="226"/>
      <c r="R100" s="227">
        <v>23.5</v>
      </c>
    </row>
    <row r="101" spans="1:18">
      <c r="A101" s="260"/>
      <c r="B101" s="222"/>
      <c r="C101" s="223"/>
      <c r="D101" s="233" t="s">
        <v>1305</v>
      </c>
      <c r="E101" s="223"/>
      <c r="F101" s="224">
        <v>-5</v>
      </c>
      <c r="G101" s="223"/>
      <c r="H101" s="222">
        <v>3.58</v>
      </c>
      <c r="I101" s="223"/>
      <c r="J101" s="222">
        <v>3.4099999999999997</v>
      </c>
      <c r="K101" s="223"/>
      <c r="L101" s="225">
        <v>0.2</v>
      </c>
      <c r="M101" s="204"/>
      <c r="N101" s="225">
        <v>-0.03</v>
      </c>
      <c r="O101" s="225"/>
      <c r="P101" s="226" t="s">
        <v>1321</v>
      </c>
      <c r="Q101" s="226"/>
      <c r="R101" s="227">
        <v>22.5</v>
      </c>
    </row>
    <row r="102" spans="1:18">
      <c r="A102" s="260"/>
      <c r="B102" s="222"/>
      <c r="C102" s="223"/>
      <c r="D102" s="233" t="s">
        <v>1306</v>
      </c>
      <c r="E102" s="223"/>
      <c r="F102" s="224">
        <v>-5</v>
      </c>
      <c r="G102" s="223"/>
      <c r="H102" s="222">
        <v>0.53</v>
      </c>
      <c r="I102" s="223"/>
      <c r="J102" s="222">
        <v>0.51</v>
      </c>
      <c r="K102" s="223"/>
      <c r="L102" s="225">
        <v>0.03</v>
      </c>
      <c r="M102" s="204"/>
      <c r="N102" s="225">
        <v>-0.01</v>
      </c>
      <c r="O102" s="225"/>
      <c r="P102" s="226" t="s">
        <v>1321</v>
      </c>
      <c r="Q102" s="226"/>
      <c r="R102" s="227">
        <v>22.1</v>
      </c>
    </row>
    <row r="103" spans="1:18">
      <c r="A103" s="260"/>
      <c r="B103" s="222"/>
      <c r="C103" s="223"/>
      <c r="D103" s="233" t="s">
        <v>1307</v>
      </c>
      <c r="E103" s="223"/>
      <c r="F103" s="224">
        <v>-5</v>
      </c>
      <c r="G103" s="223"/>
      <c r="H103" s="222">
        <v>1.32</v>
      </c>
      <c r="I103" s="223"/>
      <c r="J103" s="222">
        <v>1.25</v>
      </c>
      <c r="K103" s="223"/>
      <c r="L103" s="225">
        <v>0.08</v>
      </c>
      <c r="M103" s="204"/>
      <c r="N103" s="225">
        <v>-0.01</v>
      </c>
      <c r="O103" s="225"/>
      <c r="P103" s="226" t="s">
        <v>1321</v>
      </c>
      <c r="Q103" s="226"/>
      <c r="R103" s="227">
        <v>21.6</v>
      </c>
    </row>
    <row r="104" spans="1:18">
      <c r="A104" s="260"/>
      <c r="B104" s="222"/>
      <c r="C104" s="223"/>
      <c r="D104" s="233" t="s">
        <v>1308</v>
      </c>
      <c r="E104" s="223"/>
      <c r="F104" s="224">
        <v>-5</v>
      </c>
      <c r="G104" s="223"/>
      <c r="H104" s="222">
        <v>1.29</v>
      </c>
      <c r="I104" s="223"/>
      <c r="J104" s="222">
        <v>1.23</v>
      </c>
      <c r="K104" s="223"/>
      <c r="L104" s="225">
        <v>7.0000000000000007E-2</v>
      </c>
      <c r="M104" s="204"/>
      <c r="N104" s="225">
        <v>-0.01</v>
      </c>
      <c r="O104" s="225"/>
      <c r="P104" s="226" t="s">
        <v>1321</v>
      </c>
      <c r="Q104" s="226"/>
      <c r="R104" s="227">
        <v>24.1</v>
      </c>
    </row>
    <row r="105" spans="1:18">
      <c r="A105" s="260"/>
      <c r="B105" s="222"/>
      <c r="C105" s="223"/>
      <c r="D105" s="233" t="s">
        <v>1309</v>
      </c>
      <c r="E105" s="223"/>
      <c r="F105" s="224">
        <v>-5</v>
      </c>
      <c r="G105" s="223"/>
      <c r="H105" s="222">
        <v>1.48</v>
      </c>
      <c r="I105" s="223"/>
      <c r="J105" s="222">
        <v>1.41</v>
      </c>
      <c r="K105" s="223"/>
      <c r="L105" s="225">
        <v>0.08</v>
      </c>
      <c r="M105" s="204"/>
      <c r="N105" s="225">
        <v>-0.01</v>
      </c>
      <c r="O105" s="225"/>
      <c r="P105" s="226" t="s">
        <v>1321</v>
      </c>
      <c r="Q105" s="226"/>
      <c r="R105" s="227">
        <v>25.3</v>
      </c>
    </row>
    <row r="106" spans="1:18">
      <c r="A106" s="260"/>
      <c r="B106" s="222"/>
      <c r="C106" s="223"/>
      <c r="D106" s="233" t="s">
        <v>1310</v>
      </c>
      <c r="E106" s="223"/>
      <c r="F106" s="224">
        <v>-5</v>
      </c>
      <c r="G106" s="223"/>
      <c r="H106" s="222">
        <v>4.38</v>
      </c>
      <c r="I106" s="223"/>
      <c r="J106" s="222">
        <v>4.17</v>
      </c>
      <c r="K106" s="223"/>
      <c r="L106" s="225">
        <v>0.25</v>
      </c>
      <c r="M106" s="204"/>
      <c r="N106" s="225">
        <v>-0.04</v>
      </c>
      <c r="O106" s="225"/>
      <c r="P106" s="226" t="s">
        <v>1321</v>
      </c>
      <c r="Q106" s="226"/>
      <c r="R106" s="227">
        <v>22.5</v>
      </c>
    </row>
    <row r="107" spans="1:18">
      <c r="A107" s="260"/>
      <c r="B107" s="222"/>
      <c r="C107" s="223"/>
      <c r="D107" s="233" t="s">
        <v>1314</v>
      </c>
      <c r="E107" s="223"/>
      <c r="F107" s="224">
        <v>-5</v>
      </c>
      <c r="G107" s="223"/>
      <c r="H107" s="222">
        <v>3.47</v>
      </c>
      <c r="I107" s="223"/>
      <c r="J107" s="222">
        <v>3.3</v>
      </c>
      <c r="K107" s="223"/>
      <c r="L107" s="225">
        <v>0.2</v>
      </c>
      <c r="M107" s="204"/>
      <c r="N107" s="225">
        <v>-0.03</v>
      </c>
      <c r="O107" s="225"/>
      <c r="P107" s="226" t="s">
        <v>1321</v>
      </c>
      <c r="Q107" s="226"/>
      <c r="R107" s="227">
        <v>25.5</v>
      </c>
    </row>
    <row r="108" spans="1:18">
      <c r="A108" s="260"/>
      <c r="B108" s="222"/>
      <c r="C108" s="223"/>
      <c r="D108" s="233" t="s">
        <v>1315</v>
      </c>
      <c r="E108" s="223"/>
      <c r="F108" s="224">
        <v>-5</v>
      </c>
      <c r="G108" s="223"/>
      <c r="H108" s="222">
        <v>3.59</v>
      </c>
      <c r="I108" s="223"/>
      <c r="J108" s="222">
        <v>3.4099999999999997</v>
      </c>
      <c r="K108" s="223"/>
      <c r="L108" s="225">
        <v>0.21</v>
      </c>
      <c r="M108" s="204"/>
      <c r="N108" s="225">
        <v>-0.03</v>
      </c>
      <c r="O108" s="225"/>
      <c r="P108" s="226" t="s">
        <v>1321</v>
      </c>
      <c r="Q108" s="226"/>
      <c r="R108" s="227">
        <v>26.5</v>
      </c>
    </row>
    <row r="109" spans="1:18">
      <c r="A109" s="260"/>
      <c r="B109" s="222"/>
      <c r="C109" s="223"/>
      <c r="D109" s="223"/>
      <c r="E109" s="223"/>
      <c r="F109" s="224"/>
      <c r="G109" s="223"/>
      <c r="H109" s="222"/>
      <c r="I109" s="223"/>
      <c r="J109" s="228"/>
      <c r="K109" s="223"/>
      <c r="L109" s="225"/>
      <c r="M109" s="204"/>
      <c r="N109" s="225"/>
      <c r="O109" s="225"/>
      <c r="P109" s="226"/>
      <c r="Q109" s="226"/>
      <c r="R109" s="227"/>
    </row>
    <row r="110" spans="1:18">
      <c r="A110" s="260">
        <v>315</v>
      </c>
      <c r="B110" s="222"/>
      <c r="C110" s="223"/>
      <c r="D110" s="234" t="s">
        <v>1322</v>
      </c>
      <c r="E110" s="223"/>
      <c r="F110" s="261" t="str">
        <f>F88</f>
        <v>-2%,-3%,-4%,-5%,-11%</v>
      </c>
      <c r="G110" s="223"/>
      <c r="H110" s="222">
        <v>2.4844493569034563</v>
      </c>
      <c r="I110" s="223"/>
      <c r="J110" s="228"/>
      <c r="K110" s="223"/>
      <c r="L110" s="225"/>
      <c r="M110" s="204"/>
      <c r="N110" s="225"/>
      <c r="O110" s="225"/>
      <c r="P110" s="226" t="str">
        <f>P108</f>
        <v>70-S3</v>
      </c>
      <c r="Q110" s="226"/>
      <c r="R110" s="227">
        <v>25.6</v>
      </c>
    </row>
    <row r="111" spans="1:18">
      <c r="A111" s="260"/>
      <c r="B111" s="222"/>
      <c r="C111" s="223"/>
      <c r="D111" s="223"/>
      <c r="E111" s="223"/>
      <c r="F111" s="224"/>
      <c r="G111" s="223"/>
      <c r="H111" s="222"/>
      <c r="I111" s="223"/>
      <c r="J111" s="228"/>
      <c r="K111" s="223"/>
      <c r="L111" s="225"/>
      <c r="M111" s="204"/>
      <c r="N111" s="225"/>
      <c r="O111" s="225"/>
      <c r="P111" s="226"/>
      <c r="Q111" s="226"/>
      <c r="R111" s="227"/>
    </row>
    <row r="112" spans="1:18">
      <c r="A112" s="260"/>
      <c r="B112" s="222">
        <v>316</v>
      </c>
      <c r="C112" s="223" t="s">
        <v>163</v>
      </c>
      <c r="D112" s="223" t="s">
        <v>1323</v>
      </c>
      <c r="E112" s="223"/>
      <c r="F112" s="224"/>
      <c r="G112" s="223"/>
      <c r="H112" s="222"/>
      <c r="I112" s="223"/>
      <c r="J112" s="228"/>
      <c r="K112" s="223"/>
      <c r="L112" s="225"/>
      <c r="M112" s="204"/>
      <c r="N112" s="225"/>
      <c r="O112" s="225"/>
      <c r="P112" s="212"/>
      <c r="Q112" s="212"/>
      <c r="R112" s="227"/>
    </row>
    <row r="113" spans="1:18">
      <c r="A113" s="260"/>
      <c r="B113" s="222"/>
      <c r="C113" s="223"/>
      <c r="D113" s="233" t="s">
        <v>1288</v>
      </c>
      <c r="E113" s="223"/>
      <c r="F113" s="224">
        <v>-11</v>
      </c>
      <c r="G113" s="223"/>
      <c r="H113" s="222">
        <v>2.23</v>
      </c>
      <c r="I113" s="223"/>
      <c r="J113" s="222">
        <v>2.0099999999999998</v>
      </c>
      <c r="K113" s="223"/>
      <c r="L113" s="225">
        <v>0.24</v>
      </c>
      <c r="M113" s="204"/>
      <c r="N113" s="225">
        <v>-0.02</v>
      </c>
      <c r="O113" s="225"/>
      <c r="P113" s="226" t="s">
        <v>1324</v>
      </c>
      <c r="Q113" s="226"/>
      <c r="R113" s="227">
        <v>48.2</v>
      </c>
    </row>
    <row r="114" spans="1:18">
      <c r="A114" s="260"/>
      <c r="B114" s="222"/>
      <c r="C114" s="223"/>
      <c r="D114" s="223" t="s">
        <v>1291</v>
      </c>
      <c r="E114" s="223"/>
      <c r="F114" s="224">
        <v>-1</v>
      </c>
      <c r="G114" s="223"/>
      <c r="H114" s="222">
        <v>2.7</v>
      </c>
      <c r="I114" s="223"/>
      <c r="J114" s="222">
        <v>2.68</v>
      </c>
      <c r="K114" s="223"/>
      <c r="L114" s="225">
        <v>0.05</v>
      </c>
      <c r="M114" s="204"/>
      <c r="N114" s="225">
        <v>-0.03</v>
      </c>
      <c r="O114" s="225"/>
      <c r="P114" s="226" t="s">
        <v>1324</v>
      </c>
      <c r="Q114" s="226"/>
      <c r="R114" s="227">
        <v>26.8</v>
      </c>
    </row>
    <row r="115" spans="1:18">
      <c r="A115" s="260"/>
      <c r="B115" s="222"/>
      <c r="C115" s="223"/>
      <c r="D115" s="223" t="s">
        <v>1292</v>
      </c>
      <c r="E115" s="223"/>
      <c r="F115" s="224">
        <v>-3</v>
      </c>
      <c r="G115" s="223"/>
      <c r="H115" s="222">
        <v>14.52</v>
      </c>
      <c r="I115" s="223"/>
      <c r="J115" s="222">
        <v>14.1</v>
      </c>
      <c r="K115" s="223"/>
      <c r="L115" s="225">
        <v>0.56000000000000005</v>
      </c>
      <c r="M115" s="204"/>
      <c r="N115" s="225">
        <v>-0.14000000000000001</v>
      </c>
      <c r="O115" s="225"/>
      <c r="P115" s="226" t="s">
        <v>1324</v>
      </c>
      <c r="Q115" s="226"/>
      <c r="R115" s="227">
        <v>4</v>
      </c>
    </row>
    <row r="116" spans="1:18">
      <c r="A116" s="260"/>
      <c r="B116" s="222"/>
      <c r="C116" s="223"/>
      <c r="D116" s="223" t="s">
        <v>1295</v>
      </c>
      <c r="E116" s="223"/>
      <c r="F116" s="224">
        <v>-3</v>
      </c>
      <c r="G116" s="223"/>
      <c r="H116" s="231" t="s">
        <v>1293</v>
      </c>
      <c r="I116" s="232"/>
      <c r="J116" s="222">
        <v>0</v>
      </c>
      <c r="K116" s="232"/>
      <c r="L116" s="225">
        <v>0</v>
      </c>
      <c r="M116" s="204"/>
      <c r="N116" s="225">
        <v>0</v>
      </c>
      <c r="O116" s="225"/>
      <c r="P116" s="226" t="s">
        <v>1296</v>
      </c>
      <c r="Q116" s="226"/>
      <c r="R116" s="227" t="s">
        <v>1294</v>
      </c>
    </row>
    <row r="117" spans="1:18">
      <c r="A117" s="260"/>
      <c r="B117" s="222"/>
      <c r="C117" s="223"/>
      <c r="D117" s="233" t="s">
        <v>1297</v>
      </c>
      <c r="E117" s="223"/>
      <c r="F117" s="224">
        <v>-2</v>
      </c>
      <c r="G117" s="223"/>
      <c r="H117" s="222">
        <v>8.85</v>
      </c>
      <c r="I117" s="223"/>
      <c r="J117" s="222">
        <v>8.68</v>
      </c>
      <c r="K117" s="223"/>
      <c r="L117" s="225">
        <v>0.26</v>
      </c>
      <c r="M117" s="204"/>
      <c r="N117" s="225">
        <v>-0.09</v>
      </c>
      <c r="O117" s="225"/>
      <c r="P117" s="226" t="s">
        <v>1324</v>
      </c>
      <c r="Q117" s="226"/>
      <c r="R117" s="227">
        <v>4</v>
      </c>
    </row>
    <row r="118" spans="1:18">
      <c r="A118" s="260"/>
      <c r="B118" s="222"/>
      <c r="C118" s="223"/>
      <c r="D118" s="233" t="s">
        <v>1298</v>
      </c>
      <c r="E118" s="223"/>
      <c r="F118" s="224">
        <v>-2</v>
      </c>
      <c r="G118" s="223"/>
      <c r="H118" s="222">
        <v>10.86</v>
      </c>
      <c r="I118" s="223"/>
      <c r="J118" s="222">
        <v>10.649999999999999</v>
      </c>
      <c r="K118" s="223"/>
      <c r="L118" s="225">
        <v>0.32</v>
      </c>
      <c r="M118" s="204"/>
      <c r="N118" s="225">
        <v>-0.11</v>
      </c>
      <c r="O118" s="225"/>
      <c r="P118" s="226" t="s">
        <v>1324</v>
      </c>
      <c r="Q118" s="226"/>
      <c r="R118" s="227">
        <v>4</v>
      </c>
    </row>
    <row r="119" spans="1:18">
      <c r="A119" s="260"/>
      <c r="B119" s="222"/>
      <c r="C119" s="223"/>
      <c r="D119" s="233" t="s">
        <v>1299</v>
      </c>
      <c r="E119" s="223"/>
      <c r="F119" s="224">
        <v>-2</v>
      </c>
      <c r="G119" s="223"/>
      <c r="H119" s="231" t="s">
        <v>1293</v>
      </c>
      <c r="I119" s="232"/>
      <c r="J119" s="222">
        <v>0</v>
      </c>
      <c r="K119" s="232"/>
      <c r="L119" s="225">
        <v>0</v>
      </c>
      <c r="M119" s="204"/>
      <c r="N119" s="225">
        <v>0</v>
      </c>
      <c r="O119" s="225"/>
      <c r="P119" s="226" t="s">
        <v>1296</v>
      </c>
      <c r="Q119" s="226"/>
      <c r="R119" s="227" t="s">
        <v>1294</v>
      </c>
    </row>
    <row r="120" spans="1:18">
      <c r="A120" s="260"/>
      <c r="B120" s="222"/>
      <c r="C120" s="223"/>
      <c r="D120" s="233" t="s">
        <v>1300</v>
      </c>
      <c r="E120" s="223"/>
      <c r="F120" s="224">
        <v>-4</v>
      </c>
      <c r="G120" s="223"/>
      <c r="H120" s="222">
        <v>1.42</v>
      </c>
      <c r="I120" s="223"/>
      <c r="J120" s="222">
        <v>1.3599999999999999</v>
      </c>
      <c r="K120" s="223"/>
      <c r="L120" s="225">
        <v>7.0000000000000007E-2</v>
      </c>
      <c r="M120" s="204"/>
      <c r="N120" s="225">
        <v>-0.01</v>
      </c>
      <c r="O120" s="225"/>
      <c r="P120" s="226" t="s">
        <v>1324</v>
      </c>
      <c r="Q120" s="226"/>
      <c r="R120" s="227">
        <v>16</v>
      </c>
    </row>
    <row r="121" spans="1:18">
      <c r="A121" s="260"/>
      <c r="B121" s="222"/>
      <c r="C121" s="223"/>
      <c r="D121" s="233" t="s">
        <v>1301</v>
      </c>
      <c r="E121" s="223"/>
      <c r="F121" s="224">
        <v>-4</v>
      </c>
      <c r="G121" s="223"/>
      <c r="H121" s="222">
        <v>0.05</v>
      </c>
      <c r="I121" s="223"/>
      <c r="J121" s="222">
        <v>0.05</v>
      </c>
      <c r="K121" s="223"/>
      <c r="L121" s="225">
        <v>0</v>
      </c>
      <c r="M121" s="204"/>
      <c r="N121" s="225">
        <v>0</v>
      </c>
      <c r="O121" s="225"/>
      <c r="P121" s="226" t="s">
        <v>1324</v>
      </c>
      <c r="Q121" s="226"/>
      <c r="R121" s="227">
        <v>21.7</v>
      </c>
    </row>
    <row r="122" spans="1:18">
      <c r="A122" s="260"/>
      <c r="B122" s="222"/>
      <c r="C122" s="223"/>
      <c r="D122" s="233" t="s">
        <v>1302</v>
      </c>
      <c r="E122" s="223"/>
      <c r="F122" s="224">
        <v>-4</v>
      </c>
      <c r="G122" s="223"/>
      <c r="H122" s="222">
        <v>2.08</v>
      </c>
      <c r="I122" s="223"/>
      <c r="J122" s="222">
        <v>2</v>
      </c>
      <c r="K122" s="223"/>
      <c r="L122" s="225">
        <v>0.1</v>
      </c>
      <c r="M122" s="204"/>
      <c r="N122" s="225">
        <v>-0.02</v>
      </c>
      <c r="O122" s="225"/>
      <c r="P122" s="226" t="s">
        <v>1324</v>
      </c>
      <c r="Q122" s="226"/>
      <c r="R122" s="227">
        <v>22.3</v>
      </c>
    </row>
    <row r="123" spans="1:18">
      <c r="A123" s="266"/>
      <c r="B123" s="235"/>
      <c r="C123" s="223"/>
      <c r="D123" s="233" t="s">
        <v>1305</v>
      </c>
      <c r="E123" s="223"/>
      <c r="F123" s="224">
        <v>-5</v>
      </c>
      <c r="G123" s="223"/>
      <c r="H123" s="222">
        <v>1.1299999999999999</v>
      </c>
      <c r="I123" s="223"/>
      <c r="J123" s="222">
        <v>1.0799999999999998</v>
      </c>
      <c r="K123" s="223"/>
      <c r="L123" s="225">
        <v>0.06</v>
      </c>
      <c r="M123" s="204"/>
      <c r="N123" s="225">
        <v>-0.01</v>
      </c>
      <c r="O123" s="225"/>
      <c r="P123" s="226" t="s">
        <v>1324</v>
      </c>
      <c r="Q123" s="226"/>
      <c r="R123" s="227">
        <v>21.4</v>
      </c>
    </row>
    <row r="124" spans="1:18">
      <c r="A124" s="260"/>
      <c r="B124" s="222"/>
      <c r="C124" s="223"/>
      <c r="D124" s="233" t="s">
        <v>1306</v>
      </c>
      <c r="E124" s="223"/>
      <c r="F124" s="224">
        <v>-5</v>
      </c>
      <c r="G124" s="223"/>
      <c r="H124" s="222">
        <v>0.69</v>
      </c>
      <c r="I124" s="223"/>
      <c r="J124" s="222">
        <v>0.65999999999999992</v>
      </c>
      <c r="K124" s="223"/>
      <c r="L124" s="225">
        <v>0.04</v>
      </c>
      <c r="M124" s="204"/>
      <c r="N124" s="225">
        <v>-0.01</v>
      </c>
      <c r="O124" s="225"/>
      <c r="P124" s="226" t="s">
        <v>1324</v>
      </c>
      <c r="Q124" s="226"/>
      <c r="R124" s="227">
        <v>21.2</v>
      </c>
    </row>
    <row r="125" spans="1:18">
      <c r="A125" s="265"/>
      <c r="B125" s="204"/>
      <c r="C125" s="223"/>
      <c r="D125" s="233" t="s">
        <v>1307</v>
      </c>
      <c r="E125" s="223"/>
      <c r="F125" s="224">
        <v>-5</v>
      </c>
      <c r="G125" s="223"/>
      <c r="H125" s="222">
        <v>0.57999999999999996</v>
      </c>
      <c r="I125" s="223"/>
      <c r="J125" s="222">
        <v>0.55999999999999994</v>
      </c>
      <c r="K125" s="223"/>
      <c r="L125" s="225">
        <v>0.03</v>
      </c>
      <c r="M125" s="204"/>
      <c r="N125" s="225">
        <v>-0.01</v>
      </c>
      <c r="O125" s="225"/>
      <c r="P125" s="226" t="s">
        <v>1324</v>
      </c>
      <c r="Q125" s="226"/>
      <c r="R125" s="227">
        <v>20.6</v>
      </c>
    </row>
    <row r="126" spans="1:18">
      <c r="A126" s="260"/>
      <c r="B126" s="222"/>
      <c r="C126" s="223"/>
      <c r="D126" s="233" t="s">
        <v>1308</v>
      </c>
      <c r="E126" s="223"/>
      <c r="F126" s="224">
        <v>-5</v>
      </c>
      <c r="G126" s="223"/>
      <c r="H126" s="222">
        <v>1.06</v>
      </c>
      <c r="I126" s="223"/>
      <c r="J126" s="222">
        <v>1.01</v>
      </c>
      <c r="K126" s="223"/>
      <c r="L126" s="225">
        <v>0.06</v>
      </c>
      <c r="M126" s="204"/>
      <c r="N126" s="225">
        <v>-0.01</v>
      </c>
      <c r="O126" s="225"/>
      <c r="P126" s="226" t="s">
        <v>1324</v>
      </c>
      <c r="Q126" s="226"/>
      <c r="R126" s="227">
        <v>23.2</v>
      </c>
    </row>
    <row r="127" spans="1:18">
      <c r="A127" s="260"/>
      <c r="B127" s="222"/>
      <c r="C127" s="223"/>
      <c r="D127" s="233" t="s">
        <v>1309</v>
      </c>
      <c r="E127" s="223"/>
      <c r="F127" s="224">
        <v>-5</v>
      </c>
      <c r="G127" s="223"/>
      <c r="H127" s="222">
        <v>2.69</v>
      </c>
      <c r="I127" s="223"/>
      <c r="J127" s="222">
        <v>2.57</v>
      </c>
      <c r="K127" s="223"/>
      <c r="L127" s="225">
        <v>0.15</v>
      </c>
      <c r="M127" s="204"/>
      <c r="N127" s="225">
        <v>-0.03</v>
      </c>
      <c r="O127" s="225"/>
      <c r="P127" s="226" t="s">
        <v>1324</v>
      </c>
      <c r="Q127" s="226"/>
      <c r="R127" s="227">
        <v>24.8</v>
      </c>
    </row>
    <row r="128" spans="1:18">
      <c r="A128" s="260"/>
      <c r="B128" s="222"/>
      <c r="C128" s="223"/>
      <c r="D128" s="233"/>
      <c r="E128" s="223"/>
      <c r="F128" s="224"/>
      <c r="G128" s="223"/>
      <c r="H128" s="222"/>
      <c r="I128" s="223"/>
      <c r="J128" s="222"/>
      <c r="K128" s="223"/>
      <c r="L128" s="225"/>
      <c r="M128" s="204"/>
      <c r="N128" s="225"/>
      <c r="O128" s="225"/>
      <c r="P128" s="226"/>
      <c r="Q128" s="226"/>
      <c r="R128" s="227"/>
    </row>
    <row r="129" spans="1:19">
      <c r="A129" s="260">
        <v>316</v>
      </c>
      <c r="B129" s="222"/>
      <c r="C129" s="223"/>
      <c r="D129" s="234" t="s">
        <v>1325</v>
      </c>
      <c r="E129" s="223"/>
      <c r="F129" s="271" t="s">
        <v>1901</v>
      </c>
      <c r="G129" s="223"/>
      <c r="H129" s="222">
        <v>2.9518868091225241</v>
      </c>
      <c r="I129" s="223"/>
      <c r="J129" s="222"/>
      <c r="K129" s="223"/>
      <c r="L129" s="225"/>
      <c r="M129" s="204"/>
      <c r="N129" s="225"/>
      <c r="O129" s="225"/>
      <c r="P129" s="226" t="str">
        <f>P127</f>
        <v>70-R1.5</v>
      </c>
      <c r="Q129" s="226"/>
      <c r="R129" s="227">
        <v>18.100000000000001</v>
      </c>
    </row>
    <row r="130" spans="1:19">
      <c r="A130" s="260"/>
      <c r="B130" s="222"/>
      <c r="C130" s="223"/>
      <c r="D130" s="234"/>
      <c r="E130" s="223"/>
      <c r="F130" s="224"/>
      <c r="G130" s="223"/>
      <c r="H130" s="222"/>
      <c r="I130" s="223"/>
      <c r="J130" s="222"/>
      <c r="K130" s="223"/>
      <c r="L130" s="225"/>
      <c r="M130" s="204"/>
      <c r="N130" s="225"/>
      <c r="O130" s="225"/>
      <c r="P130" s="226"/>
      <c r="Q130" s="226"/>
      <c r="R130" s="227"/>
      <c r="S130" s="204"/>
    </row>
    <row r="131" spans="1:19">
      <c r="A131" s="260"/>
      <c r="B131" s="222"/>
      <c r="C131" s="223"/>
      <c r="D131" s="220" t="s">
        <v>1326</v>
      </c>
      <c r="E131" s="223"/>
      <c r="F131" s="224"/>
      <c r="G131" s="223"/>
      <c r="H131" s="222">
        <v>2.64</v>
      </c>
      <c r="I131" s="223"/>
      <c r="J131" s="228"/>
      <c r="K131" s="223"/>
      <c r="L131" s="225"/>
      <c r="M131" s="204"/>
      <c r="N131" s="225"/>
      <c r="O131" s="225"/>
      <c r="P131" s="226"/>
      <c r="Q131" s="226"/>
      <c r="R131" s="227"/>
      <c r="S131" s="204"/>
    </row>
    <row r="132" spans="1:19">
      <c r="A132" s="260"/>
      <c r="B132" s="222"/>
      <c r="C132" s="223"/>
      <c r="D132" s="220"/>
      <c r="E132" s="223"/>
      <c r="F132" s="224"/>
      <c r="G132" s="223"/>
      <c r="H132" s="222"/>
      <c r="I132" s="223"/>
      <c r="J132" s="228"/>
      <c r="K132" s="223"/>
      <c r="L132" s="225"/>
      <c r="M132" s="204"/>
      <c r="N132" s="225"/>
      <c r="O132" s="225"/>
      <c r="P132" s="226"/>
      <c r="Q132" s="226"/>
      <c r="R132" s="227"/>
      <c r="S132" s="204"/>
    </row>
    <row r="133" spans="1:19">
      <c r="A133" s="260"/>
      <c r="B133" s="222"/>
      <c r="C133" s="223"/>
      <c r="D133" s="218" t="s">
        <v>319</v>
      </c>
      <c r="E133" s="223"/>
      <c r="F133" s="224"/>
      <c r="G133" s="223"/>
      <c r="H133" s="222"/>
      <c r="I133" s="223"/>
      <c r="J133" s="228"/>
      <c r="K133" s="223"/>
      <c r="L133" s="225"/>
      <c r="M133" s="204"/>
      <c r="N133" s="225"/>
      <c r="O133" s="225"/>
      <c r="P133" s="226"/>
      <c r="Q133" s="226"/>
      <c r="R133" s="227"/>
      <c r="S133" s="204"/>
    </row>
    <row r="134" spans="1:19">
      <c r="A134" s="260"/>
      <c r="B134" s="222"/>
      <c r="C134" s="223"/>
      <c r="D134" s="237"/>
      <c r="E134" s="223"/>
      <c r="F134" s="224"/>
      <c r="G134" s="223"/>
      <c r="H134" s="222"/>
      <c r="I134" s="223"/>
      <c r="J134" s="228"/>
      <c r="K134" s="223"/>
      <c r="L134" s="225"/>
      <c r="M134" s="223"/>
      <c r="N134" s="225"/>
      <c r="O134" s="225"/>
      <c r="P134" s="226"/>
      <c r="Q134" s="226"/>
      <c r="R134" s="227"/>
      <c r="S134" s="238"/>
    </row>
    <row r="135" spans="1:19">
      <c r="A135" s="260"/>
      <c r="B135" s="222">
        <v>330.1</v>
      </c>
      <c r="C135" s="223"/>
      <c r="D135" s="237" t="s">
        <v>1327</v>
      </c>
      <c r="E135" s="223"/>
      <c r="F135" s="224"/>
      <c r="G135" s="223"/>
      <c r="H135" s="222"/>
      <c r="I135" s="223"/>
      <c r="J135" s="228"/>
      <c r="K135" s="223"/>
      <c r="L135" s="225"/>
      <c r="M135" s="223"/>
      <c r="N135" s="225"/>
      <c r="O135" s="225"/>
      <c r="P135" s="226"/>
      <c r="Q135" s="226"/>
      <c r="R135" s="227"/>
      <c r="S135" s="238"/>
    </row>
    <row r="136" spans="1:19">
      <c r="A136" s="260">
        <v>330</v>
      </c>
      <c r="B136" s="222"/>
      <c r="C136" s="223"/>
      <c r="D136" s="237" t="s">
        <v>1328</v>
      </c>
      <c r="E136" s="223"/>
      <c r="F136" s="224">
        <v>0</v>
      </c>
      <c r="G136" s="223"/>
      <c r="H136" s="231">
        <v>0</v>
      </c>
      <c r="I136" s="232"/>
      <c r="J136" s="222">
        <v>0</v>
      </c>
      <c r="K136" s="232"/>
      <c r="L136" s="225">
        <v>0</v>
      </c>
      <c r="M136" s="204"/>
      <c r="N136" s="225">
        <v>0</v>
      </c>
      <c r="O136" s="225"/>
      <c r="P136" s="226" t="s">
        <v>1329</v>
      </c>
      <c r="Q136" s="226"/>
      <c r="R136" s="227" t="s">
        <v>1294</v>
      </c>
      <c r="S136" s="204"/>
    </row>
    <row r="137" spans="1:19">
      <c r="A137" s="260"/>
      <c r="B137" s="222"/>
      <c r="C137" s="223"/>
      <c r="D137" s="237"/>
      <c r="E137" s="223"/>
      <c r="F137" s="224"/>
      <c r="G137" s="223"/>
      <c r="H137" s="222"/>
      <c r="I137" s="223"/>
      <c r="J137" s="228"/>
      <c r="K137" s="223"/>
      <c r="L137" s="225"/>
      <c r="M137" s="204"/>
      <c r="N137" s="225"/>
      <c r="O137" s="225"/>
      <c r="P137" s="226"/>
      <c r="Q137" s="226"/>
      <c r="R137" s="227"/>
      <c r="S137" s="204"/>
    </row>
    <row r="138" spans="1:19">
      <c r="A138" s="260"/>
      <c r="B138" s="222"/>
      <c r="C138" s="223"/>
      <c r="D138" s="239" t="s">
        <v>1330</v>
      </c>
      <c r="E138" s="223"/>
      <c r="F138" s="224"/>
      <c r="G138" s="223"/>
      <c r="H138" s="231" t="s">
        <v>1293</v>
      </c>
      <c r="I138" s="232"/>
      <c r="J138" s="240"/>
      <c r="K138" s="232"/>
      <c r="L138" s="225"/>
      <c r="M138" s="232"/>
      <c r="N138" s="225"/>
      <c r="O138" s="225"/>
      <c r="P138" s="226"/>
      <c r="Q138" s="226"/>
      <c r="R138" s="227" t="s">
        <v>1294</v>
      </c>
      <c r="S138" s="204"/>
    </row>
    <row r="139" spans="1:19">
      <c r="A139" s="260"/>
      <c r="B139" s="222"/>
      <c r="C139" s="223"/>
      <c r="D139" s="237"/>
      <c r="E139" s="223"/>
      <c r="F139" s="224"/>
      <c r="G139" s="223"/>
      <c r="H139" s="222"/>
      <c r="I139" s="223"/>
      <c r="J139" s="228"/>
      <c r="K139" s="223"/>
      <c r="L139" s="225"/>
      <c r="M139" s="204"/>
      <c r="N139" s="225"/>
      <c r="O139" s="225"/>
      <c r="P139" s="226"/>
      <c r="Q139" s="226"/>
      <c r="R139" s="227"/>
      <c r="S139" s="204"/>
    </row>
    <row r="140" spans="1:19">
      <c r="A140" s="260"/>
      <c r="B140" s="222">
        <v>331</v>
      </c>
      <c r="C140" s="223"/>
      <c r="D140" s="237" t="s">
        <v>1331</v>
      </c>
      <c r="E140" s="223"/>
      <c r="F140" s="224"/>
      <c r="G140" s="223"/>
      <c r="H140" s="222"/>
      <c r="I140" s="223"/>
      <c r="J140" s="228"/>
      <c r="K140" s="223"/>
      <c r="L140" s="225"/>
      <c r="M140" s="204"/>
      <c r="N140" s="225"/>
      <c r="O140" s="225"/>
      <c r="P140" s="226"/>
      <c r="Q140" s="226"/>
      <c r="R140" s="227"/>
      <c r="S140" s="204"/>
    </row>
    <row r="141" spans="1:19">
      <c r="A141" s="260">
        <v>331</v>
      </c>
      <c r="B141" s="222"/>
      <c r="C141" s="223"/>
      <c r="D141" s="237" t="s">
        <v>1332</v>
      </c>
      <c r="E141" s="223"/>
      <c r="F141" s="262">
        <v>-3</v>
      </c>
      <c r="G141" s="223"/>
      <c r="H141" s="222">
        <v>1.62</v>
      </c>
      <c r="I141" s="223"/>
      <c r="J141" s="222">
        <v>1.57</v>
      </c>
      <c r="K141" s="223"/>
      <c r="L141" s="225">
        <v>0.05</v>
      </c>
      <c r="M141" s="204"/>
      <c r="N141" s="225">
        <v>0</v>
      </c>
      <c r="O141" s="225"/>
      <c r="P141" s="226" t="s">
        <v>1333</v>
      </c>
      <c r="Q141" s="226"/>
      <c r="R141" s="227">
        <v>28.2</v>
      </c>
      <c r="S141" s="204"/>
    </row>
    <row r="142" spans="1:19">
      <c r="A142" s="260"/>
      <c r="B142" s="222"/>
      <c r="C142" s="223"/>
      <c r="D142" s="237"/>
      <c r="E142" s="223"/>
      <c r="F142" s="224"/>
      <c r="G142" s="223"/>
      <c r="H142" s="222"/>
      <c r="I142" s="223"/>
      <c r="J142" s="228"/>
      <c r="K142" s="223"/>
      <c r="L142" s="225"/>
      <c r="M142" s="204"/>
      <c r="N142" s="225"/>
      <c r="O142" s="225"/>
      <c r="P142" s="226"/>
      <c r="Q142" s="226"/>
      <c r="R142" s="227"/>
      <c r="S142" s="204"/>
    </row>
    <row r="143" spans="1:19">
      <c r="A143" s="260"/>
      <c r="B143" s="222"/>
      <c r="C143" s="223"/>
      <c r="D143" s="239" t="s">
        <v>1334</v>
      </c>
      <c r="E143" s="223"/>
      <c r="F143" s="224"/>
      <c r="G143" s="223"/>
      <c r="H143" s="222">
        <v>1.6171238263829262</v>
      </c>
      <c r="I143" s="223"/>
      <c r="J143" s="228"/>
      <c r="K143" s="223"/>
      <c r="L143" s="225"/>
      <c r="M143" s="204"/>
      <c r="N143" s="225"/>
      <c r="O143" s="225"/>
      <c r="P143" s="226"/>
      <c r="Q143" s="226"/>
      <c r="R143" s="227">
        <v>28.2</v>
      </c>
      <c r="S143" s="204"/>
    </row>
    <row r="144" spans="1:19">
      <c r="A144" s="260"/>
      <c r="B144" s="222"/>
      <c r="C144" s="223"/>
      <c r="D144" s="237"/>
      <c r="E144" s="223"/>
      <c r="F144" s="224"/>
      <c r="G144" s="223"/>
      <c r="H144" s="222"/>
      <c r="I144" s="223"/>
      <c r="J144" s="228"/>
      <c r="K144" s="223"/>
      <c r="L144" s="225"/>
      <c r="M144" s="204"/>
      <c r="N144" s="225"/>
      <c r="O144" s="225"/>
      <c r="P144" s="226"/>
      <c r="Q144" s="226"/>
      <c r="R144" s="227"/>
      <c r="S144" s="204"/>
    </row>
    <row r="145" spans="1:19">
      <c r="A145" s="260"/>
      <c r="B145" s="222">
        <v>332</v>
      </c>
      <c r="C145" s="223"/>
      <c r="D145" s="237" t="s">
        <v>1335</v>
      </c>
      <c r="E145" s="223"/>
      <c r="F145" s="224"/>
      <c r="G145" s="223"/>
      <c r="H145" s="222"/>
      <c r="I145" s="223"/>
      <c r="J145" s="228"/>
      <c r="K145" s="223"/>
      <c r="L145" s="225"/>
      <c r="M145" s="204"/>
      <c r="N145" s="225"/>
      <c r="O145" s="225"/>
      <c r="P145" s="212"/>
      <c r="Q145" s="212"/>
      <c r="R145" s="227"/>
      <c r="S145" s="204"/>
    </row>
    <row r="146" spans="1:19">
      <c r="A146" s="260">
        <v>332</v>
      </c>
      <c r="B146" s="222"/>
      <c r="C146" s="223"/>
      <c r="D146" s="237" t="s">
        <v>1332</v>
      </c>
      <c r="E146" s="223"/>
      <c r="F146" s="262">
        <v>-3</v>
      </c>
      <c r="G146" s="223"/>
      <c r="H146" s="222">
        <v>2.48</v>
      </c>
      <c r="I146" s="223"/>
      <c r="J146" s="222">
        <v>2.41</v>
      </c>
      <c r="K146" s="223"/>
      <c r="L146" s="225">
        <v>7.0000000000000007E-2</v>
      </c>
      <c r="M146" s="204"/>
      <c r="N146" s="225">
        <v>0</v>
      </c>
      <c r="O146" s="225"/>
      <c r="P146" s="226" t="s">
        <v>1336</v>
      </c>
      <c r="Q146" s="226"/>
      <c r="R146" s="227">
        <v>29</v>
      </c>
    </row>
    <row r="147" spans="1:19">
      <c r="A147" s="260"/>
      <c r="B147" s="222"/>
      <c r="C147" s="223"/>
      <c r="D147" s="237"/>
      <c r="E147" s="223"/>
      <c r="F147" s="262"/>
      <c r="G147" s="223"/>
      <c r="H147" s="222"/>
      <c r="I147" s="223"/>
      <c r="J147" s="228"/>
      <c r="K147" s="223"/>
      <c r="L147" s="225"/>
      <c r="M147" s="204"/>
      <c r="N147" s="225"/>
      <c r="O147" s="225"/>
      <c r="P147" s="226"/>
      <c r="Q147" s="226"/>
      <c r="R147" s="227"/>
    </row>
    <row r="148" spans="1:19">
      <c r="A148" s="260"/>
      <c r="B148" s="222"/>
      <c r="C148" s="223"/>
      <c r="D148" s="239" t="s">
        <v>1337</v>
      </c>
      <c r="E148" s="223"/>
      <c r="F148" s="262"/>
      <c r="G148" s="223"/>
      <c r="H148" s="222">
        <v>2.4787527867690962</v>
      </c>
      <c r="I148" s="223"/>
      <c r="J148" s="228"/>
      <c r="K148" s="223"/>
      <c r="L148" s="225"/>
      <c r="M148" s="204"/>
      <c r="N148" s="225"/>
      <c r="O148" s="225"/>
      <c r="P148" s="226"/>
      <c r="Q148" s="226"/>
      <c r="R148" s="227">
        <v>29</v>
      </c>
    </row>
    <row r="149" spans="1:19">
      <c r="A149" s="260"/>
      <c r="B149" s="222"/>
      <c r="C149" s="223"/>
      <c r="D149" s="237"/>
      <c r="E149" s="223"/>
      <c r="F149" s="262"/>
      <c r="G149" s="223"/>
      <c r="H149" s="222"/>
      <c r="I149" s="223"/>
      <c r="J149" s="228"/>
      <c r="K149" s="223"/>
      <c r="L149" s="225"/>
      <c r="M149" s="204"/>
      <c r="N149" s="225"/>
      <c r="O149" s="225"/>
      <c r="P149" s="226"/>
      <c r="Q149" s="226"/>
      <c r="R149" s="227"/>
    </row>
    <row r="150" spans="1:19">
      <c r="A150" s="260"/>
      <c r="B150" s="222">
        <v>333</v>
      </c>
      <c r="C150" s="223"/>
      <c r="D150" s="237" t="s">
        <v>1338</v>
      </c>
      <c r="E150" s="223"/>
      <c r="F150" s="262"/>
      <c r="G150" s="223"/>
      <c r="H150" s="222"/>
      <c r="I150" s="223"/>
      <c r="J150" s="228"/>
      <c r="K150" s="223"/>
      <c r="L150" s="225"/>
      <c r="M150" s="204"/>
      <c r="N150" s="225"/>
      <c r="O150" s="225"/>
      <c r="P150" s="226"/>
      <c r="Q150" s="226"/>
      <c r="R150" s="227"/>
    </row>
    <row r="151" spans="1:19">
      <c r="A151" s="260">
        <v>333</v>
      </c>
      <c r="B151" s="222"/>
      <c r="C151" s="223"/>
      <c r="D151" s="237" t="s">
        <v>1339</v>
      </c>
      <c r="E151" s="223"/>
      <c r="F151" s="262">
        <v>-3</v>
      </c>
      <c r="G151" s="223"/>
      <c r="H151" s="222">
        <v>3.66</v>
      </c>
      <c r="I151" s="223"/>
      <c r="J151" s="222">
        <v>3.56</v>
      </c>
      <c r="K151" s="223"/>
      <c r="L151" s="225">
        <v>0.14000000000000001</v>
      </c>
      <c r="M151" s="204"/>
      <c r="N151" s="225">
        <v>-0.04</v>
      </c>
      <c r="O151" s="225"/>
      <c r="P151" s="226" t="s">
        <v>1340</v>
      </c>
      <c r="Q151" s="226"/>
      <c r="R151" s="227">
        <v>28</v>
      </c>
    </row>
    <row r="152" spans="1:19">
      <c r="A152" s="260"/>
      <c r="B152" s="222"/>
      <c r="C152" s="223"/>
      <c r="D152" s="237"/>
      <c r="E152" s="223"/>
      <c r="F152" s="262"/>
      <c r="G152" s="223"/>
      <c r="H152" s="222"/>
      <c r="I152" s="223"/>
      <c r="J152" s="228"/>
      <c r="K152" s="223"/>
      <c r="L152" s="225"/>
      <c r="M152" s="204"/>
      <c r="N152" s="225"/>
      <c r="O152" s="225"/>
      <c r="P152" s="226"/>
      <c r="Q152" s="226"/>
      <c r="R152" s="227"/>
    </row>
    <row r="153" spans="1:19">
      <c r="A153" s="260"/>
      <c r="B153" s="222"/>
      <c r="C153" s="223"/>
      <c r="D153" s="239" t="s">
        <v>1341</v>
      </c>
      <c r="E153" s="223"/>
      <c r="F153" s="262"/>
      <c r="G153" s="223"/>
      <c r="H153" s="222">
        <v>3.6612447513068429</v>
      </c>
      <c r="I153" s="223"/>
      <c r="J153" s="228"/>
      <c r="K153" s="223"/>
      <c r="L153" s="225"/>
      <c r="M153" s="204"/>
      <c r="N153" s="225"/>
      <c r="O153" s="225"/>
      <c r="P153" s="226"/>
      <c r="Q153" s="226"/>
      <c r="R153" s="227">
        <v>28</v>
      </c>
    </row>
    <row r="154" spans="1:19">
      <c r="A154" s="260"/>
      <c r="B154" s="222"/>
      <c r="C154" s="223"/>
      <c r="D154" s="237"/>
      <c r="E154" s="223"/>
      <c r="F154" s="262"/>
      <c r="G154" s="223"/>
      <c r="H154" s="222"/>
      <c r="I154" s="223"/>
      <c r="J154" s="228"/>
      <c r="K154" s="223"/>
      <c r="L154" s="225"/>
      <c r="M154" s="204"/>
      <c r="N154" s="225"/>
      <c r="O154" s="225"/>
      <c r="P154" s="226"/>
      <c r="Q154" s="226"/>
      <c r="R154" s="227"/>
    </row>
    <row r="155" spans="1:19">
      <c r="A155" s="260"/>
      <c r="B155" s="222">
        <v>334</v>
      </c>
      <c r="C155" s="223"/>
      <c r="D155" s="237" t="s">
        <v>1342</v>
      </c>
      <c r="E155" s="223"/>
      <c r="F155" s="262"/>
      <c r="G155" s="223"/>
      <c r="H155" s="222"/>
      <c r="I155" s="223"/>
      <c r="J155" s="228"/>
      <c r="K155" s="223"/>
      <c r="L155" s="225"/>
      <c r="M155" s="204"/>
      <c r="N155" s="225"/>
      <c r="O155" s="225"/>
      <c r="P155" s="226"/>
      <c r="Q155" s="226"/>
      <c r="R155" s="227"/>
    </row>
    <row r="156" spans="1:19">
      <c r="A156" s="260">
        <v>334</v>
      </c>
      <c r="B156" s="222"/>
      <c r="C156" s="223"/>
      <c r="D156" s="237" t="s">
        <v>1339</v>
      </c>
      <c r="E156" s="223"/>
      <c r="F156" s="262">
        <v>-3</v>
      </c>
      <c r="G156" s="223"/>
      <c r="H156" s="222">
        <v>3.51</v>
      </c>
      <c r="I156" s="223"/>
      <c r="J156" s="222">
        <v>3.4099999999999997</v>
      </c>
      <c r="K156" s="223"/>
      <c r="L156" s="225">
        <v>0.1</v>
      </c>
      <c r="M156" s="204"/>
      <c r="N156" s="225">
        <v>0</v>
      </c>
      <c r="O156" s="225"/>
      <c r="P156" s="226" t="s">
        <v>1343</v>
      </c>
      <c r="Q156" s="226"/>
      <c r="R156" s="227">
        <v>24.9</v>
      </c>
    </row>
    <row r="157" spans="1:19">
      <c r="A157" s="260"/>
      <c r="B157" s="222"/>
      <c r="C157" s="223"/>
      <c r="D157" s="237"/>
      <c r="E157" s="223"/>
      <c r="F157" s="262"/>
      <c r="G157" s="223"/>
      <c r="H157" s="222"/>
      <c r="I157" s="223"/>
      <c r="J157" s="228"/>
      <c r="K157" s="223"/>
      <c r="L157" s="225"/>
      <c r="M157" s="204"/>
      <c r="N157" s="225"/>
      <c r="O157" s="225"/>
      <c r="P157" s="226"/>
      <c r="Q157" s="226"/>
      <c r="R157" s="227"/>
    </row>
    <row r="158" spans="1:19">
      <c r="A158" s="260"/>
      <c r="B158" s="222"/>
      <c r="C158" s="223"/>
      <c r="D158" s="239" t="s">
        <v>1344</v>
      </c>
      <c r="E158" s="223"/>
      <c r="F158" s="262"/>
      <c r="G158" s="223"/>
      <c r="H158" s="222">
        <v>3.5078389402041674</v>
      </c>
      <c r="I158" s="223"/>
      <c r="J158" s="228"/>
      <c r="K158" s="223"/>
      <c r="L158" s="225"/>
      <c r="M158" s="204"/>
      <c r="N158" s="225"/>
      <c r="O158" s="225"/>
      <c r="P158" s="226"/>
      <c r="Q158" s="226"/>
      <c r="R158" s="227">
        <v>24.9</v>
      </c>
    </row>
    <row r="159" spans="1:19">
      <c r="A159" s="260"/>
      <c r="B159" s="222"/>
      <c r="C159" s="223"/>
      <c r="D159" s="237"/>
      <c r="E159" s="223"/>
      <c r="F159" s="262"/>
      <c r="G159" s="223"/>
      <c r="H159" s="222"/>
      <c r="I159" s="223"/>
      <c r="J159" s="228"/>
      <c r="K159" s="223"/>
      <c r="L159" s="225"/>
      <c r="M159" s="204"/>
      <c r="N159" s="225"/>
      <c r="O159" s="225"/>
      <c r="P159" s="226"/>
      <c r="Q159" s="226"/>
      <c r="R159" s="227"/>
    </row>
    <row r="160" spans="1:19">
      <c r="A160" s="260"/>
      <c r="B160" s="222">
        <v>335</v>
      </c>
      <c r="C160" s="223"/>
      <c r="D160" s="237" t="s">
        <v>1345</v>
      </c>
      <c r="E160" s="223"/>
      <c r="F160" s="262"/>
      <c r="G160" s="223"/>
      <c r="H160" s="222"/>
      <c r="I160" s="223"/>
      <c r="J160" s="228"/>
      <c r="K160" s="223"/>
      <c r="L160" s="225"/>
      <c r="M160" s="204"/>
      <c r="N160" s="225"/>
      <c r="O160" s="225"/>
      <c r="P160" s="226"/>
      <c r="Q160" s="226"/>
      <c r="R160" s="227"/>
    </row>
    <row r="161" spans="1:19">
      <c r="A161" s="260">
        <v>335</v>
      </c>
      <c r="B161" s="222"/>
      <c r="C161" s="223"/>
      <c r="D161" s="237" t="s">
        <v>1339</v>
      </c>
      <c r="E161" s="223"/>
      <c r="F161" s="262">
        <v>-3</v>
      </c>
      <c r="G161" s="223"/>
      <c r="H161" s="222">
        <v>4.38</v>
      </c>
      <c r="I161" s="223"/>
      <c r="J161" s="222">
        <v>4.25</v>
      </c>
      <c r="K161" s="223"/>
      <c r="L161" s="225">
        <v>0.13</v>
      </c>
      <c r="M161" s="204"/>
      <c r="N161" s="225">
        <v>0</v>
      </c>
      <c r="O161" s="225"/>
      <c r="P161" s="226" t="s">
        <v>1346</v>
      </c>
      <c r="Q161" s="226"/>
      <c r="R161" s="227">
        <v>16.899999999999999</v>
      </c>
    </row>
    <row r="162" spans="1:19">
      <c r="A162" s="260"/>
      <c r="B162" s="222"/>
      <c r="C162" s="223"/>
      <c r="D162" s="237"/>
      <c r="E162" s="223"/>
      <c r="F162" s="262"/>
      <c r="G162" s="223"/>
      <c r="H162" s="222"/>
      <c r="I162" s="223"/>
      <c r="J162" s="228"/>
      <c r="K162" s="223"/>
      <c r="L162" s="225"/>
      <c r="M162" s="204"/>
      <c r="N162" s="225"/>
      <c r="O162" s="225"/>
      <c r="P162" s="226"/>
      <c r="Q162" s="226"/>
      <c r="R162" s="227"/>
      <c r="S162" s="204"/>
    </row>
    <row r="163" spans="1:19">
      <c r="A163" s="260"/>
      <c r="B163" s="222"/>
      <c r="C163" s="223"/>
      <c r="D163" s="239" t="s">
        <v>1347</v>
      </c>
      <c r="E163" s="223"/>
      <c r="F163" s="262"/>
      <c r="G163" s="223"/>
      <c r="H163" s="222">
        <v>4.3821395358608566</v>
      </c>
      <c r="I163" s="223"/>
      <c r="J163" s="228"/>
      <c r="K163" s="223"/>
      <c r="L163" s="225"/>
      <c r="M163" s="204"/>
      <c r="N163" s="225"/>
      <c r="O163" s="225"/>
      <c r="P163" s="226"/>
      <c r="Q163" s="226"/>
      <c r="R163" s="227">
        <v>16.899999999999999</v>
      </c>
      <c r="S163" s="204"/>
    </row>
    <row r="164" spans="1:19">
      <c r="A164" s="260"/>
      <c r="B164" s="222"/>
      <c r="C164" s="223"/>
      <c r="D164" s="237"/>
      <c r="E164" s="223"/>
      <c r="F164" s="262"/>
      <c r="G164" s="223"/>
      <c r="H164" s="222"/>
      <c r="I164" s="223"/>
      <c r="J164" s="228"/>
      <c r="K164" s="223"/>
      <c r="L164" s="225"/>
      <c r="M164" s="204"/>
      <c r="N164" s="225"/>
      <c r="O164" s="225"/>
      <c r="P164" s="226"/>
      <c r="Q164" s="226"/>
      <c r="R164" s="227"/>
      <c r="S164" s="204"/>
    </row>
    <row r="165" spans="1:19">
      <c r="A165" s="260"/>
      <c r="B165" s="222">
        <v>336</v>
      </c>
      <c r="C165" s="223"/>
      <c r="D165" s="237" t="s">
        <v>1348</v>
      </c>
      <c r="E165" s="223"/>
      <c r="F165" s="262"/>
      <c r="G165" s="223"/>
      <c r="H165" s="222"/>
      <c r="I165" s="223"/>
      <c r="J165" s="228"/>
      <c r="K165" s="223"/>
      <c r="L165" s="225"/>
      <c r="M165" s="204"/>
      <c r="N165" s="225"/>
      <c r="O165" s="225"/>
      <c r="P165" s="226"/>
      <c r="Q165" s="226"/>
      <c r="R165" s="227"/>
      <c r="S165" s="204"/>
    </row>
    <row r="166" spans="1:19">
      <c r="A166" s="260">
        <v>336</v>
      </c>
      <c r="B166" s="222"/>
      <c r="C166" s="223"/>
      <c r="D166" s="237" t="s">
        <v>1332</v>
      </c>
      <c r="E166" s="223"/>
      <c r="F166" s="262">
        <v>-3</v>
      </c>
      <c r="G166" s="223"/>
      <c r="H166" s="222">
        <v>3.85</v>
      </c>
      <c r="I166" s="223"/>
      <c r="J166" s="222">
        <v>3.74</v>
      </c>
      <c r="K166" s="223"/>
      <c r="L166" s="225">
        <v>0.11</v>
      </c>
      <c r="M166" s="223"/>
      <c r="N166" s="225">
        <v>0</v>
      </c>
      <c r="O166" s="225"/>
      <c r="P166" s="226" t="s">
        <v>1349</v>
      </c>
      <c r="Q166" s="226"/>
      <c r="R166" s="227">
        <v>19.399999999999999</v>
      </c>
      <c r="S166" s="204"/>
    </row>
    <row r="167" spans="1:19">
      <c r="A167" s="260"/>
      <c r="B167" s="222"/>
      <c r="C167" s="223"/>
      <c r="D167" s="237"/>
      <c r="E167" s="223"/>
      <c r="F167" s="262"/>
      <c r="G167" s="223"/>
      <c r="H167" s="222"/>
      <c r="I167" s="223"/>
      <c r="J167" s="228"/>
      <c r="K167" s="223"/>
      <c r="L167" s="225"/>
      <c r="M167" s="204"/>
      <c r="N167" s="225"/>
      <c r="O167" s="225"/>
      <c r="P167" s="226"/>
      <c r="Q167" s="226"/>
      <c r="R167" s="227"/>
      <c r="S167" s="204"/>
    </row>
    <row r="168" spans="1:19">
      <c r="A168" s="260"/>
      <c r="B168" s="222"/>
      <c r="C168" s="223"/>
      <c r="D168" s="239" t="s">
        <v>1350</v>
      </c>
      <c r="E168" s="223"/>
      <c r="F168" s="262"/>
      <c r="G168" s="223"/>
      <c r="H168" s="222">
        <v>3.8529234503210179</v>
      </c>
      <c r="I168" s="223"/>
      <c r="J168" s="228"/>
      <c r="K168" s="223"/>
      <c r="L168" s="225"/>
      <c r="M168" s="204"/>
      <c r="N168" s="225"/>
      <c r="O168" s="225"/>
      <c r="P168" s="226"/>
      <c r="Q168" s="226"/>
      <c r="R168" s="227">
        <v>19.399999999999999</v>
      </c>
      <c r="S168" s="204"/>
    </row>
    <row r="169" spans="1:19">
      <c r="A169" s="260"/>
      <c r="B169" s="222"/>
      <c r="C169" s="223"/>
      <c r="D169" s="237"/>
      <c r="E169" s="223"/>
      <c r="F169" s="262"/>
      <c r="G169" s="223"/>
      <c r="H169" s="222"/>
      <c r="I169" s="223"/>
      <c r="J169" s="228"/>
      <c r="K169" s="223"/>
      <c r="L169" s="225"/>
      <c r="M169" s="204"/>
      <c r="N169" s="225"/>
      <c r="O169" s="225"/>
      <c r="P169" s="226"/>
      <c r="Q169" s="226"/>
      <c r="R169" s="227"/>
      <c r="S169" s="204"/>
    </row>
    <row r="170" spans="1:19">
      <c r="A170" s="267"/>
      <c r="B170" s="241"/>
      <c r="C170" s="209"/>
      <c r="D170" s="220" t="s">
        <v>1351</v>
      </c>
      <c r="E170" s="209"/>
      <c r="F170" s="262"/>
      <c r="G170" s="209"/>
      <c r="H170" s="222">
        <v>2.62</v>
      </c>
      <c r="I170" s="223"/>
      <c r="J170" s="228"/>
      <c r="K170" s="223"/>
      <c r="L170" s="225"/>
      <c r="M170" s="223"/>
      <c r="N170" s="225"/>
      <c r="O170" s="225"/>
      <c r="P170" s="210"/>
      <c r="Q170" s="210"/>
      <c r="R170" s="227"/>
      <c r="S170" s="242"/>
    </row>
    <row r="171" spans="1:19">
      <c r="A171" s="260"/>
      <c r="B171" s="222"/>
      <c r="C171" s="223"/>
      <c r="D171" s="237"/>
      <c r="E171" s="223"/>
      <c r="F171" s="262"/>
      <c r="G171" s="223"/>
      <c r="H171" s="222"/>
      <c r="I171" s="223"/>
      <c r="J171" s="228"/>
      <c r="K171" s="223"/>
      <c r="L171" s="225"/>
      <c r="M171" s="204"/>
      <c r="N171" s="225"/>
      <c r="O171" s="225"/>
      <c r="P171" s="226"/>
      <c r="Q171" s="226"/>
      <c r="R171" s="227"/>
      <c r="S171" s="204"/>
    </row>
    <row r="172" spans="1:19">
      <c r="A172" s="260"/>
      <c r="B172" s="222"/>
      <c r="C172" s="223"/>
      <c r="D172" s="243"/>
      <c r="E172" s="223"/>
      <c r="F172" s="262"/>
      <c r="G172" s="223"/>
      <c r="H172" s="222"/>
      <c r="I172" s="223"/>
      <c r="J172" s="228"/>
      <c r="K172" s="223"/>
      <c r="L172" s="225"/>
      <c r="M172" s="204"/>
      <c r="N172" s="225"/>
      <c r="O172" s="225"/>
      <c r="P172" s="226"/>
      <c r="Q172" s="226"/>
      <c r="R172" s="227"/>
      <c r="S172" s="204"/>
    </row>
    <row r="173" spans="1:19">
      <c r="A173" s="260"/>
      <c r="B173" s="222"/>
      <c r="C173" s="203"/>
      <c r="D173" s="210" t="s">
        <v>329</v>
      </c>
      <c r="E173" s="203"/>
      <c r="F173" s="262"/>
      <c r="G173" s="203"/>
      <c r="H173" s="222"/>
      <c r="I173" s="223"/>
      <c r="J173" s="228"/>
      <c r="K173" s="223"/>
      <c r="L173" s="225"/>
      <c r="M173" s="204"/>
      <c r="N173" s="225"/>
      <c r="O173" s="225"/>
      <c r="P173" s="226"/>
      <c r="Q173" s="226"/>
      <c r="R173" s="227"/>
      <c r="S173" s="204"/>
    </row>
    <row r="174" spans="1:19">
      <c r="A174" s="260"/>
      <c r="B174" s="222"/>
      <c r="C174" s="223"/>
      <c r="D174" s="244"/>
      <c r="E174" s="223"/>
      <c r="F174" s="262"/>
      <c r="G174" s="223"/>
      <c r="H174" s="222"/>
      <c r="I174" s="223"/>
      <c r="J174" s="228"/>
      <c r="K174" s="223"/>
      <c r="L174" s="225"/>
      <c r="M174" s="223"/>
      <c r="N174" s="225"/>
      <c r="O174" s="225"/>
      <c r="P174" s="226"/>
      <c r="Q174" s="226"/>
      <c r="R174" s="227"/>
      <c r="S174" s="238"/>
    </row>
    <row r="175" spans="1:19">
      <c r="A175" s="268"/>
      <c r="B175" s="245">
        <v>340.1</v>
      </c>
      <c r="C175" s="246"/>
      <c r="D175" s="247" t="s">
        <v>1327</v>
      </c>
      <c r="E175" s="246"/>
      <c r="F175" s="262"/>
      <c r="G175" s="246"/>
      <c r="H175" s="222"/>
      <c r="I175" s="223"/>
      <c r="J175" s="228"/>
      <c r="K175" s="223"/>
      <c r="L175" s="225"/>
      <c r="M175" s="223"/>
      <c r="N175" s="225"/>
      <c r="O175" s="225"/>
      <c r="P175" s="248"/>
      <c r="Q175" s="248"/>
      <c r="R175" s="227"/>
      <c r="S175" s="249"/>
    </row>
    <row r="176" spans="1:19">
      <c r="A176" s="268">
        <v>340</v>
      </c>
      <c r="B176" s="245"/>
      <c r="C176" s="246"/>
      <c r="D176" s="247" t="s">
        <v>1352</v>
      </c>
      <c r="E176" s="246"/>
      <c r="F176" s="262">
        <v>0</v>
      </c>
      <c r="G176" s="246"/>
      <c r="H176" s="222">
        <v>2.2400000000000002</v>
      </c>
      <c r="I176" s="223"/>
      <c r="J176" s="222">
        <v>2.2400000000000002</v>
      </c>
      <c r="K176" s="223"/>
      <c r="L176" s="225">
        <v>0</v>
      </c>
      <c r="M176" s="223"/>
      <c r="N176" s="225">
        <v>0</v>
      </c>
      <c r="O176" s="225"/>
      <c r="P176" s="248" t="s">
        <v>1284</v>
      </c>
      <c r="Q176" s="248"/>
      <c r="R176" s="227">
        <v>19.5</v>
      </c>
      <c r="S176" s="249"/>
    </row>
    <row r="177" spans="1:19">
      <c r="A177" s="268"/>
      <c r="B177" s="245"/>
      <c r="C177" s="246"/>
      <c r="D177" s="247"/>
      <c r="E177" s="246"/>
      <c r="F177" s="262"/>
      <c r="G177" s="246"/>
      <c r="H177" s="222"/>
      <c r="I177" s="223"/>
      <c r="J177" s="228"/>
      <c r="K177" s="223"/>
      <c r="L177" s="225"/>
      <c r="M177" s="223"/>
      <c r="N177" s="225"/>
      <c r="O177" s="225"/>
      <c r="P177" s="248"/>
      <c r="Q177" s="248"/>
      <c r="R177" s="227"/>
      <c r="S177" s="249"/>
    </row>
    <row r="178" spans="1:19">
      <c r="A178" s="268"/>
      <c r="B178" s="245"/>
      <c r="C178" s="246"/>
      <c r="D178" s="250" t="s">
        <v>1353</v>
      </c>
      <c r="E178" s="246"/>
      <c r="F178" s="262"/>
      <c r="G178" s="246"/>
      <c r="H178" s="222">
        <v>2.2374102591297476</v>
      </c>
      <c r="I178" s="223"/>
      <c r="J178" s="228"/>
      <c r="K178" s="223"/>
      <c r="L178" s="225"/>
      <c r="M178" s="223"/>
      <c r="N178" s="225"/>
      <c r="O178" s="225"/>
      <c r="P178" s="248"/>
      <c r="Q178" s="248"/>
      <c r="R178" s="227">
        <v>19.5</v>
      </c>
      <c r="S178" s="249"/>
    </row>
    <row r="179" spans="1:19">
      <c r="A179" s="268"/>
      <c r="B179" s="245"/>
      <c r="C179" s="246"/>
      <c r="D179" s="247"/>
      <c r="E179" s="246"/>
      <c r="F179" s="262"/>
      <c r="G179" s="246"/>
      <c r="H179" s="222"/>
      <c r="I179" s="223"/>
      <c r="J179" s="228"/>
      <c r="K179" s="223"/>
      <c r="L179" s="225"/>
      <c r="M179" s="223"/>
      <c r="N179" s="225"/>
      <c r="O179" s="225"/>
      <c r="P179" s="248"/>
      <c r="Q179" s="248"/>
      <c r="R179" s="227"/>
      <c r="S179" s="249"/>
    </row>
    <row r="180" spans="1:19">
      <c r="A180" s="260"/>
      <c r="B180" s="222">
        <v>341</v>
      </c>
      <c r="C180" s="223"/>
      <c r="D180" s="233" t="s">
        <v>1331</v>
      </c>
      <c r="E180" s="223"/>
      <c r="F180" s="262"/>
      <c r="G180" s="223"/>
      <c r="H180" s="222"/>
      <c r="I180" s="223"/>
      <c r="J180" s="228"/>
      <c r="K180" s="223"/>
      <c r="L180" s="225"/>
      <c r="M180" s="204"/>
      <c r="N180" s="225"/>
      <c r="O180" s="225"/>
      <c r="P180" s="212"/>
      <c r="Q180" s="212"/>
      <c r="R180" s="227"/>
      <c r="S180" s="204"/>
    </row>
    <row r="181" spans="1:19">
      <c r="A181" s="260"/>
      <c r="B181" s="222"/>
      <c r="C181" s="223"/>
      <c r="D181" s="251" t="s">
        <v>1354</v>
      </c>
      <c r="E181" s="223"/>
      <c r="F181" s="262">
        <v>-3</v>
      </c>
      <c r="G181" s="223"/>
      <c r="H181" s="222">
        <v>3.77</v>
      </c>
      <c r="I181" s="223"/>
      <c r="J181" s="222">
        <v>3.66</v>
      </c>
      <c r="K181" s="223"/>
      <c r="L181" s="225">
        <v>0.11</v>
      </c>
      <c r="M181" s="204"/>
      <c r="N181" s="225">
        <v>0</v>
      </c>
      <c r="O181" s="225"/>
      <c r="P181" s="226" t="s">
        <v>1355</v>
      </c>
      <c r="Q181" s="226"/>
      <c r="R181" s="227">
        <v>19</v>
      </c>
      <c r="S181" s="204"/>
    </row>
    <row r="182" spans="1:19">
      <c r="A182" s="260"/>
      <c r="B182" s="222"/>
      <c r="C182" s="223"/>
      <c r="D182" s="251" t="s">
        <v>1356</v>
      </c>
      <c r="E182" s="223"/>
      <c r="F182" s="262">
        <v>-3</v>
      </c>
      <c r="G182" s="223"/>
      <c r="H182" s="222">
        <v>3.76</v>
      </c>
      <c r="I182" s="223"/>
      <c r="J182" s="222">
        <v>3.65</v>
      </c>
      <c r="K182" s="223"/>
      <c r="L182" s="225">
        <v>0.11</v>
      </c>
      <c r="M182" s="204"/>
      <c r="N182" s="225">
        <v>0</v>
      </c>
      <c r="O182" s="225"/>
      <c r="P182" s="226" t="s">
        <v>1355</v>
      </c>
      <c r="Q182" s="226"/>
      <c r="R182" s="227">
        <v>19</v>
      </c>
      <c r="S182" s="204"/>
    </row>
    <row r="183" spans="1:19">
      <c r="A183" s="260"/>
      <c r="B183" s="222"/>
      <c r="C183" s="223"/>
      <c r="D183" s="251" t="s">
        <v>1357</v>
      </c>
      <c r="E183" s="223"/>
      <c r="F183" s="262">
        <v>-3</v>
      </c>
      <c r="G183" s="223"/>
      <c r="H183" s="222">
        <v>3.71</v>
      </c>
      <c r="I183" s="223"/>
      <c r="J183" s="222">
        <v>3.6</v>
      </c>
      <c r="K183" s="223"/>
      <c r="L183" s="225">
        <v>0.11</v>
      </c>
      <c r="M183" s="204"/>
      <c r="N183" s="225">
        <v>0</v>
      </c>
      <c r="O183" s="225"/>
      <c r="P183" s="226" t="s">
        <v>1355</v>
      </c>
      <c r="Q183" s="226"/>
      <c r="R183" s="227">
        <v>20.9</v>
      </c>
      <c r="S183" s="204"/>
    </row>
    <row r="184" spans="1:19">
      <c r="A184" s="260"/>
      <c r="B184" s="222"/>
      <c r="C184" s="223"/>
      <c r="D184" s="251" t="s">
        <v>1358</v>
      </c>
      <c r="E184" s="223"/>
      <c r="F184" s="262">
        <v>-3</v>
      </c>
      <c r="G184" s="223"/>
      <c r="H184" s="222">
        <v>3.71</v>
      </c>
      <c r="I184" s="223"/>
      <c r="J184" s="222">
        <v>3.6</v>
      </c>
      <c r="K184" s="223"/>
      <c r="L184" s="225">
        <v>0.11</v>
      </c>
      <c r="M184" s="204"/>
      <c r="N184" s="225">
        <v>0</v>
      </c>
      <c r="O184" s="225"/>
      <c r="P184" s="226" t="s">
        <v>1355</v>
      </c>
      <c r="Q184" s="226"/>
      <c r="R184" s="227">
        <v>20.9</v>
      </c>
      <c r="S184" s="204"/>
    </row>
    <row r="185" spans="1:19">
      <c r="A185" s="260"/>
      <c r="B185" s="222"/>
      <c r="C185" s="223"/>
      <c r="D185" s="251" t="s">
        <v>1359</v>
      </c>
      <c r="E185" s="223"/>
      <c r="F185" s="262">
        <v>-3</v>
      </c>
      <c r="G185" s="223"/>
      <c r="H185" s="222">
        <v>3.72</v>
      </c>
      <c r="I185" s="223"/>
      <c r="J185" s="222">
        <v>3.6100000000000003</v>
      </c>
      <c r="K185" s="223"/>
      <c r="L185" s="225">
        <v>0.11</v>
      </c>
      <c r="M185" s="204"/>
      <c r="N185" s="225">
        <v>0</v>
      </c>
      <c r="O185" s="225"/>
      <c r="P185" s="226" t="s">
        <v>1355</v>
      </c>
      <c r="Q185" s="226"/>
      <c r="R185" s="227">
        <v>20.9</v>
      </c>
      <c r="S185" s="204"/>
    </row>
    <row r="186" spans="1:19">
      <c r="A186" s="260"/>
      <c r="B186" s="222"/>
      <c r="C186" s="223"/>
      <c r="D186" s="251" t="s">
        <v>1360</v>
      </c>
      <c r="E186" s="223"/>
      <c r="F186" s="262">
        <v>-3</v>
      </c>
      <c r="G186" s="223"/>
      <c r="H186" s="222">
        <v>3.72</v>
      </c>
      <c r="I186" s="223"/>
      <c r="J186" s="222">
        <v>3.6100000000000003</v>
      </c>
      <c r="K186" s="223"/>
      <c r="L186" s="225">
        <v>0.11</v>
      </c>
      <c r="M186" s="204"/>
      <c r="N186" s="225">
        <v>0</v>
      </c>
      <c r="O186" s="225"/>
      <c r="P186" s="226" t="s">
        <v>1355</v>
      </c>
      <c r="Q186" s="226"/>
      <c r="R186" s="227">
        <v>20.9</v>
      </c>
      <c r="S186" s="204"/>
    </row>
    <row r="187" spans="1:19">
      <c r="A187" s="260"/>
      <c r="B187" s="222"/>
      <c r="C187" s="223"/>
      <c r="D187" s="251" t="s">
        <v>1361</v>
      </c>
      <c r="E187" s="223"/>
      <c r="F187" s="262">
        <v>-2</v>
      </c>
      <c r="G187" s="223"/>
      <c r="H187" s="222">
        <v>3.71</v>
      </c>
      <c r="I187" s="223"/>
      <c r="J187" s="222">
        <v>3.64</v>
      </c>
      <c r="K187" s="223"/>
      <c r="L187" s="225">
        <v>7.0000000000000007E-2</v>
      </c>
      <c r="M187" s="204"/>
      <c r="N187" s="225">
        <v>0</v>
      </c>
      <c r="O187" s="225"/>
      <c r="P187" s="226" t="s">
        <v>1355</v>
      </c>
      <c r="Q187" s="226"/>
      <c r="R187" s="227">
        <v>18.100000000000001</v>
      </c>
      <c r="S187" s="204"/>
    </row>
    <row r="188" spans="1:19">
      <c r="A188" s="260"/>
      <c r="B188" s="222"/>
      <c r="C188" s="223"/>
      <c r="D188" s="251" t="s">
        <v>1362</v>
      </c>
      <c r="E188" s="223"/>
      <c r="F188" s="262">
        <v>-2</v>
      </c>
      <c r="G188" s="223"/>
      <c r="H188" s="222">
        <v>4.07</v>
      </c>
      <c r="I188" s="223"/>
      <c r="J188" s="222">
        <v>3.99</v>
      </c>
      <c r="K188" s="223"/>
      <c r="L188" s="225">
        <v>0.08</v>
      </c>
      <c r="M188" s="204"/>
      <c r="N188" s="225">
        <v>0</v>
      </c>
      <c r="O188" s="225"/>
      <c r="P188" s="226" t="s">
        <v>1355</v>
      </c>
      <c r="Q188" s="226"/>
      <c r="R188" s="227">
        <v>16.399999999999999</v>
      </c>
      <c r="S188" s="204"/>
    </row>
    <row r="189" spans="1:19">
      <c r="A189" s="260"/>
      <c r="B189" s="222"/>
      <c r="C189" s="223"/>
      <c r="D189" s="251" t="s">
        <v>1363</v>
      </c>
      <c r="E189" s="223"/>
      <c r="F189" s="262">
        <v>-2</v>
      </c>
      <c r="G189" s="223"/>
      <c r="H189" s="222">
        <v>3.92</v>
      </c>
      <c r="I189" s="223"/>
      <c r="J189" s="222">
        <v>3.84</v>
      </c>
      <c r="K189" s="223"/>
      <c r="L189" s="225">
        <v>0.08</v>
      </c>
      <c r="M189" s="204"/>
      <c r="N189" s="225">
        <v>0</v>
      </c>
      <c r="O189" s="225"/>
      <c r="P189" s="226" t="s">
        <v>1355</v>
      </c>
      <c r="Q189" s="226"/>
      <c r="R189" s="227">
        <v>16.3</v>
      </c>
      <c r="S189" s="204"/>
    </row>
    <row r="190" spans="1:19">
      <c r="A190" s="260"/>
      <c r="B190" s="222"/>
      <c r="C190" s="223"/>
      <c r="D190" s="251" t="s">
        <v>1364</v>
      </c>
      <c r="E190" s="223"/>
      <c r="F190" s="262">
        <v>-2</v>
      </c>
      <c r="G190" s="223"/>
      <c r="H190" s="222">
        <v>3.56</v>
      </c>
      <c r="I190" s="223"/>
      <c r="J190" s="222">
        <v>3.49</v>
      </c>
      <c r="K190" s="223"/>
      <c r="L190" s="225">
        <v>7.0000000000000007E-2</v>
      </c>
      <c r="M190" s="204"/>
      <c r="N190" s="225">
        <v>0</v>
      </c>
      <c r="O190" s="225"/>
      <c r="P190" s="226" t="s">
        <v>1355</v>
      </c>
      <c r="Q190" s="226"/>
      <c r="R190" s="227">
        <v>12.6</v>
      </c>
      <c r="S190" s="204"/>
    </row>
    <row r="191" spans="1:19">
      <c r="A191" s="260"/>
      <c r="B191" s="222"/>
      <c r="C191" s="223"/>
      <c r="D191" s="251" t="s">
        <v>1365</v>
      </c>
      <c r="E191" s="223"/>
      <c r="F191" s="262">
        <v>-2</v>
      </c>
      <c r="G191" s="223"/>
      <c r="H191" s="222">
        <v>2.64</v>
      </c>
      <c r="I191" s="223"/>
      <c r="J191" s="222">
        <v>2.5900000000000003</v>
      </c>
      <c r="K191" s="223"/>
      <c r="L191" s="225">
        <v>0.05</v>
      </c>
      <c r="M191" s="204"/>
      <c r="N191" s="225">
        <v>0</v>
      </c>
      <c r="O191" s="225"/>
      <c r="P191" s="226" t="s">
        <v>1355</v>
      </c>
      <c r="Q191" s="226"/>
      <c r="R191" s="227">
        <v>17.2</v>
      </c>
      <c r="S191" s="204"/>
    </row>
    <row r="192" spans="1:19">
      <c r="A192" s="260"/>
      <c r="B192" s="222"/>
      <c r="C192" s="223"/>
      <c r="D192" s="251" t="s">
        <v>1366</v>
      </c>
      <c r="E192" s="223"/>
      <c r="F192" s="262">
        <v>-2</v>
      </c>
      <c r="G192" s="223"/>
      <c r="H192" s="222">
        <v>2.83</v>
      </c>
      <c r="I192" s="223"/>
      <c r="J192" s="222">
        <v>2.77</v>
      </c>
      <c r="K192" s="223"/>
      <c r="L192" s="225">
        <v>0.06</v>
      </c>
      <c r="M192" s="204"/>
      <c r="N192" s="225">
        <v>0</v>
      </c>
      <c r="O192" s="225"/>
      <c r="P192" s="226" t="s">
        <v>1355</v>
      </c>
      <c r="Q192" s="226"/>
      <c r="R192" s="227">
        <v>17.2</v>
      </c>
      <c r="S192" s="204"/>
    </row>
    <row r="193" spans="1:19">
      <c r="A193" s="260"/>
      <c r="B193" s="222"/>
      <c r="C193" s="223"/>
      <c r="D193" s="251" t="s">
        <v>1367</v>
      </c>
      <c r="E193" s="223"/>
      <c r="F193" s="262">
        <v>-2</v>
      </c>
      <c r="G193" s="223"/>
      <c r="H193" s="222">
        <v>3.78</v>
      </c>
      <c r="I193" s="223"/>
      <c r="J193" s="222">
        <v>3.71</v>
      </c>
      <c r="K193" s="223"/>
      <c r="L193" s="225">
        <v>7.0000000000000007E-2</v>
      </c>
      <c r="M193" s="204"/>
      <c r="N193" s="225">
        <v>0</v>
      </c>
      <c r="O193" s="225"/>
      <c r="P193" s="226" t="s">
        <v>1355</v>
      </c>
      <c r="Q193" s="226"/>
      <c r="R193" s="227">
        <v>13.6</v>
      </c>
      <c r="S193" s="204"/>
    </row>
    <row r="194" spans="1:19">
      <c r="A194" s="260"/>
      <c r="B194" s="222"/>
      <c r="C194" s="223"/>
      <c r="D194" s="251" t="s">
        <v>1368</v>
      </c>
      <c r="E194" s="223"/>
      <c r="F194" s="262">
        <v>-2</v>
      </c>
      <c r="G194" s="223"/>
      <c r="H194" s="222">
        <v>9.8800000000000008</v>
      </c>
      <c r="I194" s="223"/>
      <c r="J194" s="222">
        <v>9.6900000000000013</v>
      </c>
      <c r="K194" s="223"/>
      <c r="L194" s="225">
        <v>0.19</v>
      </c>
      <c r="M194" s="204"/>
      <c r="N194" s="225">
        <v>0</v>
      </c>
      <c r="O194" s="225"/>
      <c r="P194" s="226" t="s">
        <v>1355</v>
      </c>
      <c r="Q194" s="226"/>
      <c r="R194" s="227">
        <v>8.3000000000000007</v>
      </c>
    </row>
    <row r="195" spans="1:19">
      <c r="A195" s="260"/>
      <c r="B195" s="222"/>
      <c r="C195" s="223"/>
      <c r="D195" s="251" t="s">
        <v>1369</v>
      </c>
      <c r="E195" s="223"/>
      <c r="F195" s="262">
        <v>-2</v>
      </c>
      <c r="G195" s="223"/>
      <c r="H195" s="222">
        <v>3.71</v>
      </c>
      <c r="I195" s="223"/>
      <c r="J195" s="222">
        <v>3.64</v>
      </c>
      <c r="K195" s="223"/>
      <c r="L195" s="225">
        <v>7.0000000000000007E-2</v>
      </c>
      <c r="M195" s="204"/>
      <c r="N195" s="225">
        <v>0</v>
      </c>
      <c r="O195" s="225"/>
      <c r="P195" s="226" t="s">
        <v>1355</v>
      </c>
      <c r="Q195" s="226"/>
      <c r="R195" s="227">
        <v>18.100000000000001</v>
      </c>
    </row>
    <row r="196" spans="1:19">
      <c r="A196" s="260"/>
      <c r="B196" s="222"/>
      <c r="C196" s="223"/>
      <c r="D196" s="233"/>
      <c r="E196" s="223"/>
      <c r="F196" s="262"/>
      <c r="G196" s="223"/>
      <c r="H196" s="222"/>
      <c r="I196" s="223"/>
      <c r="J196" s="228"/>
      <c r="K196" s="223"/>
      <c r="L196" s="225"/>
      <c r="M196" s="204"/>
      <c r="N196" s="225"/>
      <c r="O196" s="225"/>
      <c r="P196" s="226"/>
      <c r="Q196" s="226"/>
      <c r="R196" s="227"/>
    </row>
    <row r="197" spans="1:19">
      <c r="A197" s="260">
        <v>341</v>
      </c>
      <c r="B197" s="222"/>
      <c r="C197" s="223"/>
      <c r="D197" s="234" t="s">
        <v>1370</v>
      </c>
      <c r="E197" s="223"/>
      <c r="F197" s="269" t="s">
        <v>1904</v>
      </c>
      <c r="G197" s="223"/>
      <c r="H197" s="222">
        <v>3.6123662428270538</v>
      </c>
      <c r="I197" s="223"/>
      <c r="J197" s="228"/>
      <c r="K197" s="223"/>
      <c r="L197" s="225"/>
      <c r="M197" s="204"/>
      <c r="N197" s="225"/>
      <c r="O197" s="225"/>
      <c r="P197" s="226" t="str">
        <f>P195</f>
        <v>40-R2.5</v>
      </c>
      <c r="Q197" s="226"/>
      <c r="R197" s="227">
        <v>18.399999999999999</v>
      </c>
    </row>
    <row r="198" spans="1:19">
      <c r="A198" s="260"/>
      <c r="B198" s="222"/>
      <c r="C198" s="223"/>
      <c r="D198" s="233"/>
      <c r="E198" s="223"/>
      <c r="F198" s="262"/>
      <c r="G198" s="223"/>
      <c r="H198" s="222"/>
      <c r="I198" s="223"/>
      <c r="J198" s="228"/>
      <c r="K198" s="223"/>
      <c r="L198" s="225"/>
      <c r="M198" s="204"/>
      <c r="N198" s="225"/>
      <c r="O198" s="225"/>
      <c r="P198" s="226"/>
      <c r="Q198" s="226"/>
      <c r="R198" s="227"/>
    </row>
    <row r="199" spans="1:19">
      <c r="A199" s="260"/>
      <c r="B199" s="222">
        <v>342</v>
      </c>
      <c r="C199" s="223"/>
      <c r="D199" s="223" t="s">
        <v>1371</v>
      </c>
      <c r="E199" s="223"/>
      <c r="F199" s="262"/>
      <c r="G199" s="223"/>
      <c r="H199" s="222"/>
      <c r="I199" s="223"/>
      <c r="J199" s="228"/>
      <c r="K199" s="223"/>
      <c r="L199" s="225"/>
      <c r="M199" s="204"/>
      <c r="N199" s="225"/>
      <c r="O199" s="225"/>
      <c r="P199" s="212"/>
      <c r="Q199" s="212"/>
      <c r="R199" s="227"/>
    </row>
    <row r="200" spans="1:19">
      <c r="A200" s="260"/>
      <c r="B200" s="222"/>
      <c r="C200" s="223"/>
      <c r="D200" s="251" t="s">
        <v>1354</v>
      </c>
      <c r="E200" s="223"/>
      <c r="F200" s="262">
        <v>-3</v>
      </c>
      <c r="G200" s="223"/>
      <c r="H200" s="222">
        <v>3.67</v>
      </c>
      <c r="I200" s="223"/>
      <c r="J200" s="222">
        <v>3.56</v>
      </c>
      <c r="K200" s="223"/>
      <c r="L200" s="225">
        <v>0.11</v>
      </c>
      <c r="M200" s="204"/>
      <c r="N200" s="225">
        <v>0</v>
      </c>
      <c r="O200" s="225"/>
      <c r="P200" s="226" t="s">
        <v>1372</v>
      </c>
      <c r="Q200" s="226"/>
      <c r="R200" s="227">
        <v>19.399999999999999</v>
      </c>
    </row>
    <row r="201" spans="1:19">
      <c r="A201" s="260"/>
      <c r="B201" s="222"/>
      <c r="C201" s="223"/>
      <c r="D201" s="251" t="s">
        <v>1356</v>
      </c>
      <c r="E201" s="223"/>
      <c r="F201" s="262">
        <v>-3</v>
      </c>
      <c r="G201" s="223"/>
      <c r="H201" s="222">
        <v>3.67</v>
      </c>
      <c r="I201" s="223"/>
      <c r="J201" s="222">
        <v>3.56</v>
      </c>
      <c r="K201" s="223"/>
      <c r="L201" s="225">
        <v>0.11</v>
      </c>
      <c r="M201" s="204"/>
      <c r="N201" s="225">
        <v>0</v>
      </c>
      <c r="O201" s="225"/>
      <c r="P201" s="226" t="s">
        <v>1372</v>
      </c>
      <c r="Q201" s="226"/>
      <c r="R201" s="227">
        <v>19.399999999999999</v>
      </c>
    </row>
    <row r="202" spans="1:19">
      <c r="A202" s="260"/>
      <c r="B202" s="222"/>
      <c r="C202" s="223"/>
      <c r="D202" s="233" t="s">
        <v>1373</v>
      </c>
      <c r="E202" s="223"/>
      <c r="F202" s="262">
        <v>-3</v>
      </c>
      <c r="G202" s="223"/>
      <c r="H202" s="222">
        <v>3.34</v>
      </c>
      <c r="I202" s="223"/>
      <c r="J202" s="222">
        <v>3.2399999999999998</v>
      </c>
      <c r="K202" s="223"/>
      <c r="L202" s="225">
        <v>0.1</v>
      </c>
      <c r="M202" s="204"/>
      <c r="N202" s="225">
        <v>0</v>
      </c>
      <c r="O202" s="225"/>
      <c r="P202" s="226" t="s">
        <v>1372</v>
      </c>
      <c r="Q202" s="226"/>
      <c r="R202" s="227">
        <v>21.1</v>
      </c>
    </row>
    <row r="203" spans="1:19">
      <c r="A203" s="260"/>
      <c r="B203" s="222"/>
      <c r="C203" s="223"/>
      <c r="D203" s="251" t="s">
        <v>1357</v>
      </c>
      <c r="E203" s="223"/>
      <c r="F203" s="262">
        <v>-3</v>
      </c>
      <c r="G203" s="223"/>
      <c r="H203" s="222">
        <v>3.62</v>
      </c>
      <c r="I203" s="223"/>
      <c r="J203" s="222">
        <v>3.5100000000000002</v>
      </c>
      <c r="K203" s="223"/>
      <c r="L203" s="225">
        <v>0.11</v>
      </c>
      <c r="M203" s="204"/>
      <c r="N203" s="225">
        <v>0</v>
      </c>
      <c r="O203" s="225"/>
      <c r="P203" s="226" t="s">
        <v>1372</v>
      </c>
      <c r="Q203" s="226"/>
      <c r="R203" s="227">
        <v>21.3</v>
      </c>
    </row>
    <row r="204" spans="1:19">
      <c r="A204" s="260"/>
      <c r="B204" s="222"/>
      <c r="C204" s="223"/>
      <c r="D204" s="251" t="s">
        <v>1358</v>
      </c>
      <c r="E204" s="223"/>
      <c r="F204" s="262">
        <v>-3</v>
      </c>
      <c r="G204" s="223"/>
      <c r="H204" s="222">
        <v>3.62</v>
      </c>
      <c r="I204" s="223"/>
      <c r="J204" s="222">
        <v>3.5100000000000002</v>
      </c>
      <c r="K204" s="223"/>
      <c r="L204" s="225">
        <v>0.11</v>
      </c>
      <c r="M204" s="204"/>
      <c r="N204" s="225">
        <v>0</v>
      </c>
      <c r="O204" s="225"/>
      <c r="P204" s="226" t="s">
        <v>1372</v>
      </c>
      <c r="Q204" s="226"/>
      <c r="R204" s="227">
        <v>21.3</v>
      </c>
    </row>
    <row r="205" spans="1:19">
      <c r="A205" s="260"/>
      <c r="B205" s="222"/>
      <c r="C205" s="223"/>
      <c r="D205" s="251" t="s">
        <v>1359</v>
      </c>
      <c r="E205" s="223"/>
      <c r="F205" s="262">
        <v>-3</v>
      </c>
      <c r="G205" s="223"/>
      <c r="H205" s="222">
        <v>3.64</v>
      </c>
      <c r="I205" s="223"/>
      <c r="J205" s="222">
        <v>3.5300000000000002</v>
      </c>
      <c r="K205" s="223"/>
      <c r="L205" s="225">
        <v>0.11</v>
      </c>
      <c r="M205" s="204"/>
      <c r="N205" s="225">
        <v>0</v>
      </c>
      <c r="O205" s="225"/>
      <c r="P205" s="226" t="s">
        <v>1372</v>
      </c>
      <c r="Q205" s="226"/>
      <c r="R205" s="227">
        <v>21.3</v>
      </c>
    </row>
    <row r="206" spans="1:19">
      <c r="A206" s="260"/>
      <c r="B206" s="222"/>
      <c r="C206" s="223"/>
      <c r="D206" s="251" t="s">
        <v>1360</v>
      </c>
      <c r="E206" s="223"/>
      <c r="F206" s="262">
        <v>-3</v>
      </c>
      <c r="G206" s="223"/>
      <c r="H206" s="222">
        <v>3.65</v>
      </c>
      <c r="I206" s="223"/>
      <c r="J206" s="222">
        <v>3.54</v>
      </c>
      <c r="K206" s="223"/>
      <c r="L206" s="225">
        <v>0.11</v>
      </c>
      <c r="M206" s="204"/>
      <c r="N206" s="225">
        <v>0</v>
      </c>
      <c r="O206" s="225"/>
      <c r="P206" s="226" t="s">
        <v>1372</v>
      </c>
      <c r="Q206" s="226"/>
      <c r="R206" s="227">
        <v>21.3</v>
      </c>
    </row>
    <row r="207" spans="1:19">
      <c r="A207" s="260"/>
      <c r="B207" s="222"/>
      <c r="C207" s="223"/>
      <c r="D207" s="251" t="s">
        <v>1361</v>
      </c>
      <c r="E207" s="223"/>
      <c r="F207" s="262">
        <v>-2</v>
      </c>
      <c r="G207" s="223"/>
      <c r="H207" s="222">
        <v>4.62</v>
      </c>
      <c r="I207" s="223"/>
      <c r="J207" s="222">
        <v>4.53</v>
      </c>
      <c r="K207" s="223"/>
      <c r="L207" s="225">
        <v>0.09</v>
      </c>
      <c r="M207" s="204"/>
      <c r="N207" s="225">
        <v>0</v>
      </c>
      <c r="O207" s="225"/>
      <c r="P207" s="226" t="s">
        <v>1372</v>
      </c>
      <c r="Q207" s="226"/>
      <c r="R207" s="227">
        <v>18.600000000000001</v>
      </c>
    </row>
    <row r="208" spans="1:19">
      <c r="A208" s="260"/>
      <c r="B208" s="222"/>
      <c r="C208" s="223"/>
      <c r="D208" s="251" t="s">
        <v>1362</v>
      </c>
      <c r="E208" s="223"/>
      <c r="F208" s="262">
        <v>-2</v>
      </c>
      <c r="G208" s="223"/>
      <c r="H208" s="222">
        <v>5.74</v>
      </c>
      <c r="I208" s="223"/>
      <c r="J208" s="222">
        <v>5.63</v>
      </c>
      <c r="K208" s="223"/>
      <c r="L208" s="225">
        <v>0.11</v>
      </c>
      <c r="M208" s="204"/>
      <c r="N208" s="225">
        <v>0</v>
      </c>
      <c r="O208" s="225"/>
      <c r="P208" s="226" t="s">
        <v>1372</v>
      </c>
      <c r="Q208" s="226"/>
      <c r="R208" s="227">
        <v>17</v>
      </c>
    </row>
    <row r="209" spans="1:18">
      <c r="A209" s="260"/>
      <c r="B209" s="222"/>
      <c r="C209" s="223"/>
      <c r="D209" s="251" t="s">
        <v>1363</v>
      </c>
      <c r="E209" s="223"/>
      <c r="F209" s="262">
        <v>-2</v>
      </c>
      <c r="G209" s="223"/>
      <c r="H209" s="222">
        <v>5.81</v>
      </c>
      <c r="I209" s="223"/>
      <c r="J209" s="222">
        <v>5.6999999999999993</v>
      </c>
      <c r="K209" s="223"/>
      <c r="L209" s="225">
        <v>0.11</v>
      </c>
      <c r="M209" s="204"/>
      <c r="N209" s="225">
        <v>0</v>
      </c>
      <c r="O209" s="225"/>
      <c r="P209" s="226" t="s">
        <v>1372</v>
      </c>
      <c r="Q209" s="226"/>
      <c r="R209" s="227">
        <v>17</v>
      </c>
    </row>
    <row r="210" spans="1:18">
      <c r="A210" s="260"/>
      <c r="B210" s="222"/>
      <c r="C210" s="223"/>
      <c r="D210" s="251" t="s">
        <v>1364</v>
      </c>
      <c r="E210" s="223"/>
      <c r="F210" s="262">
        <v>-2</v>
      </c>
      <c r="G210" s="223"/>
      <c r="H210" s="222">
        <v>7.02</v>
      </c>
      <c r="I210" s="223"/>
      <c r="J210" s="222">
        <v>6.88</v>
      </c>
      <c r="K210" s="223"/>
      <c r="L210" s="225">
        <v>0.14000000000000001</v>
      </c>
      <c r="M210" s="204"/>
      <c r="N210" s="225">
        <v>0</v>
      </c>
      <c r="O210" s="225"/>
      <c r="P210" s="226" t="s">
        <v>1372</v>
      </c>
      <c r="Q210" s="226"/>
      <c r="R210" s="227">
        <v>13.3</v>
      </c>
    </row>
    <row r="211" spans="1:18">
      <c r="A211" s="260"/>
      <c r="B211" s="222"/>
      <c r="C211" s="223"/>
      <c r="D211" s="251" t="s">
        <v>1365</v>
      </c>
      <c r="E211" s="223"/>
      <c r="F211" s="262">
        <v>-2</v>
      </c>
      <c r="G211" s="223"/>
      <c r="H211" s="222">
        <v>3.17</v>
      </c>
      <c r="I211" s="232"/>
      <c r="J211" s="222">
        <v>3.11</v>
      </c>
      <c r="K211" s="232"/>
      <c r="L211" s="225">
        <v>0.06</v>
      </c>
      <c r="M211" s="204"/>
      <c r="N211" s="225">
        <v>0</v>
      </c>
      <c r="O211" s="225"/>
      <c r="P211" s="226" t="s">
        <v>1372</v>
      </c>
      <c r="Q211" s="226"/>
      <c r="R211" s="227">
        <v>18.100000000000001</v>
      </c>
    </row>
    <row r="212" spans="1:18">
      <c r="A212" s="260"/>
      <c r="B212" s="222"/>
      <c r="C212" s="223"/>
      <c r="D212" s="251" t="s">
        <v>1366</v>
      </c>
      <c r="E212" s="223"/>
      <c r="F212" s="262">
        <v>-2</v>
      </c>
      <c r="G212" s="223"/>
      <c r="H212" s="222">
        <v>4.8</v>
      </c>
      <c r="I212" s="223"/>
      <c r="J212" s="222">
        <v>4.71</v>
      </c>
      <c r="K212" s="223"/>
      <c r="L212" s="225">
        <v>0.09</v>
      </c>
      <c r="M212" s="204"/>
      <c r="N212" s="225">
        <v>0</v>
      </c>
      <c r="O212" s="225"/>
      <c r="P212" s="226" t="s">
        <v>1372</v>
      </c>
      <c r="Q212" s="226"/>
      <c r="R212" s="227">
        <v>18.899999999999999</v>
      </c>
    </row>
    <row r="213" spans="1:18">
      <c r="A213" s="260"/>
      <c r="B213" s="222"/>
      <c r="C213" s="223"/>
      <c r="D213" s="251" t="s">
        <v>1367</v>
      </c>
      <c r="E213" s="223"/>
      <c r="F213" s="262">
        <v>-2</v>
      </c>
      <c r="G213" s="223"/>
      <c r="H213" s="222">
        <v>6.22</v>
      </c>
      <c r="I213" s="223"/>
      <c r="J213" s="222">
        <v>6.1</v>
      </c>
      <c r="K213" s="223"/>
      <c r="L213" s="225">
        <v>0.12</v>
      </c>
      <c r="M213" s="204"/>
      <c r="N213" s="225">
        <v>0</v>
      </c>
      <c r="O213" s="225"/>
      <c r="P213" s="226" t="s">
        <v>1372</v>
      </c>
      <c r="Q213" s="226"/>
      <c r="R213" s="227">
        <v>14.2</v>
      </c>
    </row>
    <row r="214" spans="1:18">
      <c r="A214" s="260"/>
      <c r="B214" s="222"/>
      <c r="C214" s="223"/>
      <c r="D214" s="247" t="s">
        <v>1352</v>
      </c>
      <c r="E214" s="223"/>
      <c r="F214" s="262">
        <v>-2</v>
      </c>
      <c r="G214" s="223"/>
      <c r="H214" s="222">
        <v>2.7</v>
      </c>
      <c r="I214" s="223"/>
      <c r="J214" s="222">
        <v>2.6500000000000004</v>
      </c>
      <c r="K214" s="223"/>
      <c r="L214" s="225">
        <v>0.05</v>
      </c>
      <c r="M214" s="204"/>
      <c r="N214" s="225">
        <v>0</v>
      </c>
      <c r="O214" s="225"/>
      <c r="P214" s="226" t="s">
        <v>1372</v>
      </c>
      <c r="Q214" s="226"/>
      <c r="R214" s="227">
        <v>17.8</v>
      </c>
    </row>
    <row r="215" spans="1:18">
      <c r="A215" s="260"/>
      <c r="B215" s="222"/>
      <c r="C215" s="223"/>
      <c r="D215" s="251" t="s">
        <v>1368</v>
      </c>
      <c r="E215" s="223"/>
      <c r="F215" s="262">
        <v>-2</v>
      </c>
      <c r="G215" s="223"/>
      <c r="H215" s="222">
        <v>10.26</v>
      </c>
      <c r="I215" s="223"/>
      <c r="J215" s="222">
        <v>10.06</v>
      </c>
      <c r="K215" s="223"/>
      <c r="L215" s="225">
        <v>0.2</v>
      </c>
      <c r="M215" s="204"/>
      <c r="N215" s="225">
        <v>0</v>
      </c>
      <c r="O215" s="225"/>
      <c r="P215" s="226" t="s">
        <v>1372</v>
      </c>
      <c r="Q215" s="226"/>
      <c r="R215" s="227">
        <v>8.3000000000000007</v>
      </c>
    </row>
    <row r="216" spans="1:18">
      <c r="A216" s="260"/>
      <c r="B216" s="222"/>
      <c r="C216" s="223"/>
      <c r="D216" s="251" t="s">
        <v>1369</v>
      </c>
      <c r="E216" s="223"/>
      <c r="F216" s="262">
        <v>-2</v>
      </c>
      <c r="G216" s="223"/>
      <c r="H216" s="222">
        <v>3.64</v>
      </c>
      <c r="I216" s="223"/>
      <c r="J216" s="222">
        <v>3.5700000000000003</v>
      </c>
      <c r="K216" s="223"/>
      <c r="L216" s="225">
        <v>7.0000000000000007E-2</v>
      </c>
      <c r="M216" s="204"/>
      <c r="N216" s="225">
        <v>0</v>
      </c>
      <c r="O216" s="225"/>
      <c r="P216" s="226" t="s">
        <v>1372</v>
      </c>
      <c r="Q216" s="226"/>
      <c r="R216" s="227">
        <v>18.5</v>
      </c>
    </row>
    <row r="217" spans="1:18">
      <c r="A217" s="260"/>
      <c r="B217" s="222"/>
      <c r="C217" s="223"/>
      <c r="D217" s="223"/>
      <c r="E217" s="223"/>
      <c r="F217" s="262"/>
      <c r="G217" s="223"/>
      <c r="H217" s="222"/>
      <c r="I217" s="223"/>
      <c r="J217" s="228"/>
      <c r="K217" s="223"/>
      <c r="L217" s="225"/>
      <c r="M217" s="204"/>
      <c r="N217" s="225"/>
      <c r="O217" s="225"/>
      <c r="P217" s="226"/>
      <c r="Q217" s="226"/>
      <c r="R217" s="227"/>
    </row>
    <row r="218" spans="1:18">
      <c r="A218" s="260">
        <v>342</v>
      </c>
      <c r="B218" s="222"/>
      <c r="C218" s="223"/>
      <c r="D218" s="234" t="s">
        <v>1374</v>
      </c>
      <c r="E218" s="223"/>
      <c r="F218" s="269" t="s">
        <v>1904</v>
      </c>
      <c r="G218" s="223"/>
      <c r="H218" s="222">
        <v>3.5439533424650143</v>
      </c>
      <c r="I218" s="223"/>
      <c r="J218" s="228"/>
      <c r="K218" s="223"/>
      <c r="L218" s="225"/>
      <c r="M218" s="204"/>
      <c r="N218" s="225"/>
      <c r="O218" s="225"/>
      <c r="P218" s="226" t="str">
        <f>P216</f>
        <v>45-R2.5</v>
      </c>
      <c r="Q218" s="226"/>
      <c r="R218" s="227">
        <v>18.100000000000001</v>
      </c>
    </row>
    <row r="219" spans="1:18">
      <c r="A219" s="260"/>
      <c r="B219" s="222"/>
      <c r="C219" s="223"/>
      <c r="D219" s="223"/>
      <c r="E219" s="223"/>
      <c r="F219" s="262"/>
      <c r="G219" s="223"/>
      <c r="H219" s="222"/>
      <c r="I219" s="223"/>
      <c r="J219" s="228"/>
      <c r="K219" s="223"/>
      <c r="L219" s="225"/>
      <c r="M219" s="204"/>
      <c r="N219" s="225"/>
      <c r="O219" s="225"/>
      <c r="P219" s="226"/>
      <c r="Q219" s="226"/>
      <c r="R219" s="227"/>
    </row>
    <row r="220" spans="1:18">
      <c r="A220" s="260"/>
      <c r="B220" s="222">
        <v>343</v>
      </c>
      <c r="C220" s="223"/>
      <c r="D220" s="223" t="s">
        <v>1375</v>
      </c>
      <c r="E220" s="223"/>
      <c r="F220" s="262"/>
      <c r="G220" s="223"/>
      <c r="H220" s="222"/>
      <c r="I220" s="223"/>
      <c r="J220" s="228"/>
      <c r="K220" s="223"/>
      <c r="L220" s="225"/>
      <c r="M220" s="204"/>
      <c r="N220" s="225"/>
      <c r="O220" s="225"/>
      <c r="P220" s="212"/>
      <c r="Q220" s="212"/>
      <c r="R220" s="227"/>
    </row>
    <row r="221" spans="1:18">
      <c r="A221" s="260"/>
      <c r="B221" s="222"/>
      <c r="C221" s="223"/>
      <c r="D221" s="251" t="s">
        <v>1354</v>
      </c>
      <c r="E221" s="223"/>
      <c r="F221" s="262">
        <v>-3</v>
      </c>
      <c r="G221" s="223"/>
      <c r="H221" s="222">
        <v>3.93</v>
      </c>
      <c r="I221" s="223"/>
      <c r="J221" s="222">
        <v>3.8200000000000003</v>
      </c>
      <c r="K221" s="223"/>
      <c r="L221" s="225">
        <v>0.15</v>
      </c>
      <c r="M221" s="204"/>
      <c r="N221" s="225">
        <v>-0.04</v>
      </c>
      <c r="O221" s="225"/>
      <c r="P221" s="226" t="s">
        <v>1376</v>
      </c>
      <c r="Q221" s="226"/>
      <c r="R221" s="227">
        <v>17.899999999999999</v>
      </c>
    </row>
    <row r="222" spans="1:18">
      <c r="A222" s="260"/>
      <c r="B222" s="222"/>
      <c r="C222" s="223"/>
      <c r="D222" s="251" t="s">
        <v>1356</v>
      </c>
      <c r="E222" s="223"/>
      <c r="F222" s="262">
        <v>-3</v>
      </c>
      <c r="G222" s="223"/>
      <c r="H222" s="222">
        <v>4.32</v>
      </c>
      <c r="I222" s="223"/>
      <c r="J222" s="222">
        <v>4.1900000000000004</v>
      </c>
      <c r="K222" s="223"/>
      <c r="L222" s="225">
        <v>0.17</v>
      </c>
      <c r="M222" s="204"/>
      <c r="N222" s="225">
        <v>-0.04</v>
      </c>
      <c r="O222" s="225"/>
      <c r="P222" s="226" t="s">
        <v>1376</v>
      </c>
      <c r="Q222" s="226"/>
      <c r="R222" s="227">
        <v>18</v>
      </c>
    </row>
    <row r="223" spans="1:18">
      <c r="A223" s="260"/>
      <c r="B223" s="222"/>
      <c r="C223" s="223"/>
      <c r="D223" s="251" t="s">
        <v>1357</v>
      </c>
      <c r="E223" s="223"/>
      <c r="F223" s="262">
        <v>-3</v>
      </c>
      <c r="G223" s="223"/>
      <c r="H223" s="222">
        <v>3.89</v>
      </c>
      <c r="I223" s="223"/>
      <c r="J223" s="222">
        <v>3.7800000000000002</v>
      </c>
      <c r="K223" s="223"/>
      <c r="L223" s="225">
        <v>0.15</v>
      </c>
      <c r="M223" s="204"/>
      <c r="N223" s="225">
        <v>-0.04</v>
      </c>
      <c r="O223" s="225"/>
      <c r="P223" s="226" t="s">
        <v>1376</v>
      </c>
      <c r="Q223" s="226"/>
      <c r="R223" s="227">
        <v>19.600000000000001</v>
      </c>
    </row>
    <row r="224" spans="1:18">
      <c r="A224" s="260"/>
      <c r="B224" s="222"/>
      <c r="C224" s="223"/>
      <c r="D224" s="251" t="s">
        <v>1358</v>
      </c>
      <c r="E224" s="223"/>
      <c r="F224" s="262">
        <v>-3</v>
      </c>
      <c r="G224" s="223"/>
      <c r="H224" s="222">
        <v>3.89</v>
      </c>
      <c r="I224" s="223"/>
      <c r="J224" s="222">
        <v>3.7800000000000002</v>
      </c>
      <c r="K224" s="223"/>
      <c r="L224" s="225">
        <v>0.15</v>
      </c>
      <c r="M224" s="204"/>
      <c r="N224" s="225">
        <v>-0.04</v>
      </c>
      <c r="O224" s="225"/>
      <c r="P224" s="226" t="s">
        <v>1376</v>
      </c>
      <c r="Q224" s="226"/>
      <c r="R224" s="227">
        <v>19.600000000000001</v>
      </c>
    </row>
    <row r="225" spans="1:18">
      <c r="A225" s="260"/>
      <c r="B225" s="222"/>
      <c r="C225" s="223"/>
      <c r="D225" s="251" t="s">
        <v>1359</v>
      </c>
      <c r="E225" s="223"/>
      <c r="F225" s="262">
        <v>-3</v>
      </c>
      <c r="G225" s="223"/>
      <c r="H225" s="222">
        <v>3.94</v>
      </c>
      <c r="I225" s="223"/>
      <c r="J225" s="222">
        <v>3.83</v>
      </c>
      <c r="K225" s="223"/>
      <c r="L225" s="225">
        <v>0.15</v>
      </c>
      <c r="M225" s="204"/>
      <c r="N225" s="225">
        <v>-0.04</v>
      </c>
      <c r="O225" s="225"/>
      <c r="P225" s="226" t="s">
        <v>1376</v>
      </c>
      <c r="Q225" s="226"/>
      <c r="R225" s="227">
        <v>19.600000000000001</v>
      </c>
    </row>
    <row r="226" spans="1:18">
      <c r="A226" s="260"/>
      <c r="B226" s="222"/>
      <c r="C226" s="223"/>
      <c r="D226" s="251" t="s">
        <v>1360</v>
      </c>
      <c r="E226" s="223"/>
      <c r="F226" s="262">
        <v>-3</v>
      </c>
      <c r="G226" s="223"/>
      <c r="H226" s="222">
        <v>3.94</v>
      </c>
      <c r="I226" s="223"/>
      <c r="J226" s="222">
        <v>3.83</v>
      </c>
      <c r="K226" s="223"/>
      <c r="L226" s="225">
        <v>0.15</v>
      </c>
      <c r="M226" s="204"/>
      <c r="N226" s="225">
        <v>-0.04</v>
      </c>
      <c r="O226" s="225"/>
      <c r="P226" s="226" t="s">
        <v>1376</v>
      </c>
      <c r="Q226" s="226"/>
      <c r="R226" s="227">
        <v>19.600000000000001</v>
      </c>
    </row>
    <row r="227" spans="1:18">
      <c r="A227" s="260"/>
      <c r="B227" s="222"/>
      <c r="C227" s="223"/>
      <c r="D227" s="251" t="s">
        <v>1361</v>
      </c>
      <c r="E227" s="223"/>
      <c r="F227" s="262">
        <v>-2</v>
      </c>
      <c r="G227" s="223"/>
      <c r="H227" s="222">
        <v>4.16</v>
      </c>
      <c r="I227" s="223"/>
      <c r="J227" s="222">
        <v>4.08</v>
      </c>
      <c r="K227" s="223"/>
      <c r="L227" s="225">
        <v>0.12</v>
      </c>
      <c r="M227" s="204"/>
      <c r="N227" s="225">
        <v>-0.04</v>
      </c>
      <c r="O227" s="225"/>
      <c r="P227" s="226" t="s">
        <v>1376</v>
      </c>
      <c r="Q227" s="226"/>
      <c r="R227" s="227">
        <v>17.2</v>
      </c>
    </row>
    <row r="228" spans="1:18">
      <c r="A228" s="266"/>
      <c r="B228" s="235"/>
      <c r="C228" s="223"/>
      <c r="D228" s="251" t="s">
        <v>1362</v>
      </c>
      <c r="E228" s="223"/>
      <c r="F228" s="262">
        <v>-2</v>
      </c>
      <c r="G228" s="223"/>
      <c r="H228" s="222">
        <v>5.05</v>
      </c>
      <c r="I228" s="223"/>
      <c r="J228" s="222">
        <v>4.9499999999999993</v>
      </c>
      <c r="K228" s="223"/>
      <c r="L228" s="225">
        <v>0.15</v>
      </c>
      <c r="M228" s="204"/>
      <c r="N228" s="225">
        <v>-0.05</v>
      </c>
      <c r="O228" s="225"/>
      <c r="P228" s="226" t="s">
        <v>1376</v>
      </c>
      <c r="Q228" s="226"/>
      <c r="R228" s="227">
        <v>15.6</v>
      </c>
    </row>
    <row r="229" spans="1:18">
      <c r="A229" s="260"/>
      <c r="B229" s="222"/>
      <c r="C229" s="223"/>
      <c r="D229" s="251" t="s">
        <v>1363</v>
      </c>
      <c r="E229" s="223"/>
      <c r="F229" s="262">
        <v>-2</v>
      </c>
      <c r="G229" s="223"/>
      <c r="H229" s="222">
        <v>4.95</v>
      </c>
      <c r="I229" s="223"/>
      <c r="J229" s="222">
        <v>4.8499999999999996</v>
      </c>
      <c r="K229" s="223"/>
      <c r="L229" s="225">
        <v>0.15</v>
      </c>
      <c r="M229" s="204"/>
      <c r="N229" s="225">
        <v>-0.05</v>
      </c>
      <c r="O229" s="225"/>
      <c r="P229" s="226" t="s">
        <v>1376</v>
      </c>
      <c r="Q229" s="226"/>
      <c r="R229" s="227">
        <v>15.6</v>
      </c>
    </row>
    <row r="230" spans="1:18">
      <c r="A230" s="260"/>
      <c r="B230" s="222"/>
      <c r="C230" s="223"/>
      <c r="D230" s="251" t="s">
        <v>1364</v>
      </c>
      <c r="E230" s="223"/>
      <c r="F230" s="262">
        <v>-2</v>
      </c>
      <c r="G230" s="223"/>
      <c r="H230" s="222">
        <v>5.2</v>
      </c>
      <c r="I230" s="223"/>
      <c r="J230" s="222">
        <v>5.0999999999999996</v>
      </c>
      <c r="K230" s="223"/>
      <c r="L230" s="225">
        <v>0.15</v>
      </c>
      <c r="M230" s="204"/>
      <c r="N230" s="225">
        <v>-0.05</v>
      </c>
      <c r="O230" s="225"/>
      <c r="P230" s="226" t="s">
        <v>1376</v>
      </c>
      <c r="Q230" s="226"/>
      <c r="R230" s="227">
        <v>12.4</v>
      </c>
    </row>
    <row r="231" spans="1:18">
      <c r="A231" s="260"/>
      <c r="B231" s="222"/>
      <c r="C231" s="223"/>
      <c r="D231" s="251" t="s">
        <v>1365</v>
      </c>
      <c r="E231" s="223"/>
      <c r="F231" s="262">
        <v>-2</v>
      </c>
      <c r="G231" s="223"/>
      <c r="H231" s="222">
        <v>3.25</v>
      </c>
      <c r="I231" s="223"/>
      <c r="J231" s="222">
        <v>3.1799999999999997</v>
      </c>
      <c r="K231" s="223"/>
      <c r="L231" s="225">
        <v>0.1</v>
      </c>
      <c r="M231" s="204"/>
      <c r="N231" s="225">
        <v>-0.03</v>
      </c>
      <c r="O231" s="225"/>
      <c r="P231" s="226" t="s">
        <v>1376</v>
      </c>
      <c r="Q231" s="226"/>
      <c r="R231" s="227">
        <v>16.3</v>
      </c>
    </row>
    <row r="232" spans="1:18">
      <c r="A232" s="260"/>
      <c r="B232" s="222"/>
      <c r="C232" s="223"/>
      <c r="D232" s="251" t="s">
        <v>1366</v>
      </c>
      <c r="E232" s="223"/>
      <c r="F232" s="262">
        <v>-2</v>
      </c>
      <c r="G232" s="223"/>
      <c r="H232" s="222">
        <v>3.3</v>
      </c>
      <c r="I232" s="223"/>
      <c r="J232" s="222">
        <v>3.2299999999999995</v>
      </c>
      <c r="K232" s="223"/>
      <c r="L232" s="225">
        <v>0.1</v>
      </c>
      <c r="M232" s="204"/>
      <c r="N232" s="225">
        <v>-0.03</v>
      </c>
      <c r="O232" s="225"/>
      <c r="P232" s="226" t="s">
        <v>1376</v>
      </c>
      <c r="Q232" s="226"/>
      <c r="R232" s="227">
        <v>16.3</v>
      </c>
    </row>
    <row r="233" spans="1:18">
      <c r="A233" s="260"/>
      <c r="B233" s="222"/>
      <c r="C233" s="223"/>
      <c r="D233" s="251" t="s">
        <v>1367</v>
      </c>
      <c r="E233" s="223"/>
      <c r="F233" s="262">
        <v>-2</v>
      </c>
      <c r="G233" s="223"/>
      <c r="H233" s="222">
        <v>4.42</v>
      </c>
      <c r="I233" s="223"/>
      <c r="J233" s="222">
        <v>4.33</v>
      </c>
      <c r="K233" s="223"/>
      <c r="L233" s="225">
        <v>0.13</v>
      </c>
      <c r="M233" s="204"/>
      <c r="N233" s="225">
        <v>-0.04</v>
      </c>
      <c r="O233" s="225"/>
      <c r="P233" s="226" t="s">
        <v>1376</v>
      </c>
      <c r="Q233" s="226"/>
      <c r="R233" s="227">
        <v>13.1</v>
      </c>
    </row>
    <row r="234" spans="1:18">
      <c r="A234" s="260"/>
      <c r="B234" s="222"/>
      <c r="C234" s="223"/>
      <c r="D234" s="251" t="s">
        <v>1369</v>
      </c>
      <c r="E234" s="223"/>
      <c r="F234" s="262">
        <v>-2</v>
      </c>
      <c r="G234" s="223"/>
      <c r="H234" s="222">
        <v>4.3499999999999996</v>
      </c>
      <c r="I234" s="223"/>
      <c r="J234" s="222">
        <v>4.26</v>
      </c>
      <c r="K234" s="223"/>
      <c r="L234" s="225">
        <v>0.13</v>
      </c>
      <c r="M234" s="204"/>
      <c r="N234" s="225">
        <v>-0.04</v>
      </c>
      <c r="O234" s="225"/>
      <c r="P234" s="226" t="s">
        <v>1376</v>
      </c>
      <c r="Q234" s="226"/>
      <c r="R234" s="227">
        <v>17.100000000000001</v>
      </c>
    </row>
    <row r="235" spans="1:18">
      <c r="A235" s="260"/>
      <c r="B235" s="222"/>
      <c r="C235" s="223"/>
      <c r="D235" s="223"/>
      <c r="E235" s="223"/>
      <c r="F235" s="262"/>
      <c r="G235" s="223"/>
      <c r="H235" s="222"/>
      <c r="I235" s="223"/>
      <c r="J235" s="222"/>
      <c r="K235" s="223"/>
      <c r="L235" s="225"/>
      <c r="M235" s="204"/>
      <c r="N235" s="225"/>
      <c r="O235" s="225"/>
      <c r="P235" s="226"/>
      <c r="Q235" s="226"/>
      <c r="R235" s="227"/>
    </row>
    <row r="236" spans="1:18">
      <c r="A236" s="260">
        <v>343</v>
      </c>
      <c r="B236" s="222"/>
      <c r="C236" s="223"/>
      <c r="D236" s="234" t="s">
        <v>1377</v>
      </c>
      <c r="E236" s="223"/>
      <c r="F236" s="269" t="s">
        <v>1904</v>
      </c>
      <c r="G236" s="223"/>
      <c r="H236" s="222">
        <v>4.2526041038149875</v>
      </c>
      <c r="I236" s="223"/>
      <c r="J236" s="222"/>
      <c r="K236" s="223"/>
      <c r="L236" s="225"/>
      <c r="M236" s="204"/>
      <c r="N236" s="225"/>
      <c r="O236" s="225"/>
      <c r="P236" s="226" t="str">
        <f>P234</f>
        <v>35-R1.5</v>
      </c>
      <c r="Q236" s="226"/>
      <c r="R236" s="227">
        <v>16.600000000000001</v>
      </c>
    </row>
    <row r="237" spans="1:18">
      <c r="A237" s="260"/>
      <c r="B237" s="222"/>
      <c r="C237" s="223"/>
      <c r="D237" s="223"/>
      <c r="E237" s="223"/>
      <c r="F237" s="262"/>
      <c r="G237" s="223"/>
      <c r="H237" s="222"/>
      <c r="I237" s="223"/>
      <c r="J237" s="222"/>
      <c r="K237" s="223"/>
      <c r="L237" s="225"/>
      <c r="M237" s="204"/>
      <c r="N237" s="225"/>
      <c r="O237" s="225"/>
      <c r="P237" s="226"/>
      <c r="Q237" s="226"/>
      <c r="R237" s="227"/>
    </row>
    <row r="238" spans="1:18">
      <c r="A238" s="260"/>
      <c r="B238" s="222">
        <v>344</v>
      </c>
      <c r="C238" s="223"/>
      <c r="D238" s="223" t="s">
        <v>1378</v>
      </c>
      <c r="E238" s="223"/>
      <c r="F238" s="262"/>
      <c r="G238" s="223"/>
      <c r="H238" s="222"/>
      <c r="I238" s="223"/>
      <c r="J238" s="228"/>
      <c r="K238" s="223"/>
      <c r="L238" s="225"/>
      <c r="M238" s="204"/>
      <c r="N238" s="225"/>
      <c r="O238" s="225"/>
      <c r="P238" s="212"/>
      <c r="Q238" s="212"/>
      <c r="R238" s="227"/>
    </row>
    <row r="239" spans="1:18">
      <c r="A239" s="260"/>
      <c r="B239" s="222"/>
      <c r="C239" s="223"/>
      <c r="D239" s="251" t="s">
        <v>1354</v>
      </c>
      <c r="E239" s="223"/>
      <c r="F239" s="262">
        <v>-3</v>
      </c>
      <c r="G239" s="223"/>
      <c r="H239" s="222">
        <v>3.52</v>
      </c>
      <c r="I239" s="223"/>
      <c r="J239" s="222">
        <v>3.4099999999999997</v>
      </c>
      <c r="K239" s="223"/>
      <c r="L239" s="225">
        <v>0.14000000000000001</v>
      </c>
      <c r="M239" s="204"/>
      <c r="N239" s="225">
        <v>-0.03</v>
      </c>
      <c r="O239" s="225"/>
      <c r="P239" s="226" t="s">
        <v>1379</v>
      </c>
      <c r="Q239" s="226"/>
      <c r="R239" s="227">
        <v>20.399999999999999</v>
      </c>
    </row>
    <row r="240" spans="1:18">
      <c r="A240" s="260"/>
      <c r="B240" s="222"/>
      <c r="C240" s="223"/>
      <c r="D240" s="251" t="s">
        <v>1356</v>
      </c>
      <c r="E240" s="223"/>
      <c r="F240" s="262">
        <v>-3</v>
      </c>
      <c r="G240" s="223"/>
      <c r="H240" s="222">
        <v>3.52</v>
      </c>
      <c r="I240" s="223"/>
      <c r="J240" s="222">
        <v>3.4099999999999997</v>
      </c>
      <c r="K240" s="223"/>
      <c r="L240" s="225">
        <v>0.14000000000000001</v>
      </c>
      <c r="M240" s="204"/>
      <c r="N240" s="225">
        <v>-0.03</v>
      </c>
      <c r="O240" s="225"/>
      <c r="P240" s="226" t="s">
        <v>1379</v>
      </c>
      <c r="Q240" s="226"/>
      <c r="R240" s="227">
        <v>20.399999999999999</v>
      </c>
    </row>
    <row r="241" spans="1:18">
      <c r="A241" s="260"/>
      <c r="B241" s="222"/>
      <c r="C241" s="223"/>
      <c r="D241" s="251" t="s">
        <v>1357</v>
      </c>
      <c r="E241" s="223"/>
      <c r="F241" s="262">
        <v>-3</v>
      </c>
      <c r="G241" s="223"/>
      <c r="H241" s="222">
        <v>3.47</v>
      </c>
      <c r="I241" s="223"/>
      <c r="J241" s="222">
        <v>3.37</v>
      </c>
      <c r="K241" s="223"/>
      <c r="L241" s="225">
        <v>0.13</v>
      </c>
      <c r="M241" s="204"/>
      <c r="N241" s="225">
        <v>-0.03</v>
      </c>
      <c r="O241" s="225"/>
      <c r="P241" s="226" t="s">
        <v>1379</v>
      </c>
      <c r="Q241" s="226"/>
      <c r="R241" s="227">
        <v>22.4</v>
      </c>
    </row>
    <row r="242" spans="1:18">
      <c r="A242" s="260"/>
      <c r="B242" s="222"/>
      <c r="C242" s="223"/>
      <c r="D242" s="251" t="s">
        <v>1358</v>
      </c>
      <c r="E242" s="223"/>
      <c r="F242" s="262">
        <v>-3</v>
      </c>
      <c r="G242" s="223"/>
      <c r="H242" s="222">
        <v>3.47</v>
      </c>
      <c r="I242" s="223"/>
      <c r="J242" s="222">
        <v>3.37</v>
      </c>
      <c r="K242" s="223"/>
      <c r="L242" s="225">
        <v>0.13</v>
      </c>
      <c r="M242" s="204"/>
      <c r="N242" s="225">
        <v>-0.03</v>
      </c>
      <c r="O242" s="225"/>
      <c r="P242" s="226" t="s">
        <v>1379</v>
      </c>
      <c r="Q242" s="226"/>
      <c r="R242" s="227">
        <v>22.4</v>
      </c>
    </row>
    <row r="243" spans="1:18">
      <c r="A243" s="260"/>
      <c r="B243" s="222"/>
      <c r="C243" s="223"/>
      <c r="D243" s="251" t="s">
        <v>1359</v>
      </c>
      <c r="E243" s="223"/>
      <c r="F243" s="262">
        <v>-3</v>
      </c>
      <c r="G243" s="223"/>
      <c r="H243" s="222">
        <v>3.48</v>
      </c>
      <c r="I243" s="223"/>
      <c r="J243" s="222">
        <v>3.3699999999999997</v>
      </c>
      <c r="K243" s="223"/>
      <c r="L243" s="225">
        <v>0.14000000000000001</v>
      </c>
      <c r="M243" s="204"/>
      <c r="N243" s="225">
        <v>-0.03</v>
      </c>
      <c r="O243" s="225"/>
      <c r="P243" s="226" t="s">
        <v>1379</v>
      </c>
      <c r="Q243" s="226"/>
      <c r="R243" s="227">
        <v>22.4</v>
      </c>
    </row>
    <row r="244" spans="1:18">
      <c r="A244" s="260"/>
      <c r="B244" s="222"/>
      <c r="C244" s="223"/>
      <c r="D244" s="251" t="s">
        <v>1360</v>
      </c>
      <c r="E244" s="223"/>
      <c r="F244" s="262">
        <v>-3</v>
      </c>
      <c r="G244" s="223"/>
      <c r="H244" s="222">
        <v>3.48</v>
      </c>
      <c r="I244" s="223"/>
      <c r="J244" s="222">
        <v>3.3699999999999997</v>
      </c>
      <c r="K244" s="223"/>
      <c r="L244" s="225">
        <v>0.14000000000000001</v>
      </c>
      <c r="M244" s="204"/>
      <c r="N244" s="225">
        <v>-0.03</v>
      </c>
      <c r="O244" s="225"/>
      <c r="P244" s="226" t="s">
        <v>1379</v>
      </c>
      <c r="Q244" s="226"/>
      <c r="R244" s="227">
        <v>22.4</v>
      </c>
    </row>
    <row r="245" spans="1:18">
      <c r="A245" s="260"/>
      <c r="B245" s="222"/>
      <c r="C245" s="223"/>
      <c r="D245" s="251" t="s">
        <v>1361</v>
      </c>
      <c r="E245" s="223"/>
      <c r="F245" s="262">
        <v>-2</v>
      </c>
      <c r="G245" s="223"/>
      <c r="H245" s="222">
        <v>3.58</v>
      </c>
      <c r="I245" s="223"/>
      <c r="J245" s="222">
        <v>3.5100000000000002</v>
      </c>
      <c r="K245" s="223"/>
      <c r="L245" s="225">
        <v>0.11</v>
      </c>
      <c r="M245" s="204"/>
      <c r="N245" s="225">
        <v>-0.04</v>
      </c>
      <c r="O245" s="225"/>
      <c r="P245" s="226" t="s">
        <v>1379</v>
      </c>
      <c r="Q245" s="226"/>
      <c r="R245" s="227">
        <v>19.399999999999999</v>
      </c>
    </row>
    <row r="246" spans="1:18">
      <c r="A246" s="260"/>
      <c r="B246" s="222"/>
      <c r="C246" s="223"/>
      <c r="D246" s="251" t="s">
        <v>1362</v>
      </c>
      <c r="E246" s="223"/>
      <c r="F246" s="262">
        <v>-2</v>
      </c>
      <c r="G246" s="223"/>
      <c r="H246" s="222">
        <v>3.56</v>
      </c>
      <c r="I246" s="223"/>
      <c r="J246" s="222">
        <v>3.4899999999999998</v>
      </c>
      <c r="K246" s="223"/>
      <c r="L246" s="225">
        <v>0.1</v>
      </c>
      <c r="M246" s="204"/>
      <c r="N246" s="225">
        <v>-0.03</v>
      </c>
      <c r="O246" s="225"/>
      <c r="P246" s="226" t="s">
        <v>1379</v>
      </c>
      <c r="Q246" s="226"/>
      <c r="R246" s="227">
        <v>17.399999999999999</v>
      </c>
    </row>
    <row r="247" spans="1:18">
      <c r="A247" s="260"/>
      <c r="B247" s="222"/>
      <c r="C247" s="223"/>
      <c r="D247" s="251" t="s">
        <v>1363</v>
      </c>
      <c r="E247" s="223"/>
      <c r="F247" s="262">
        <v>-2</v>
      </c>
      <c r="G247" s="223"/>
      <c r="H247" s="222">
        <v>3.61</v>
      </c>
      <c r="I247" s="223"/>
      <c r="J247" s="222">
        <v>3.54</v>
      </c>
      <c r="K247" s="223"/>
      <c r="L247" s="225">
        <v>0.11</v>
      </c>
      <c r="M247" s="204"/>
      <c r="N247" s="225">
        <v>-0.04</v>
      </c>
      <c r="O247" s="225"/>
      <c r="P247" s="226" t="s">
        <v>1379</v>
      </c>
      <c r="Q247" s="226"/>
      <c r="R247" s="227">
        <v>17.399999999999999</v>
      </c>
    </row>
    <row r="248" spans="1:18">
      <c r="A248" s="260"/>
      <c r="B248" s="222"/>
      <c r="C248" s="223"/>
      <c r="D248" s="251" t="s">
        <v>1364</v>
      </c>
      <c r="E248" s="223"/>
      <c r="F248" s="262">
        <v>-2</v>
      </c>
      <c r="G248" s="223"/>
      <c r="H248" s="222">
        <v>3.38</v>
      </c>
      <c r="I248" s="223"/>
      <c r="J248" s="222">
        <v>3.3099999999999996</v>
      </c>
      <c r="K248" s="223"/>
      <c r="L248" s="225">
        <v>0.1</v>
      </c>
      <c r="M248" s="204"/>
      <c r="N248" s="225">
        <v>-0.03</v>
      </c>
      <c r="O248" s="225"/>
      <c r="P248" s="226" t="s">
        <v>1379</v>
      </c>
      <c r="Q248" s="226"/>
      <c r="R248" s="227">
        <v>13.4</v>
      </c>
    </row>
    <row r="249" spans="1:18">
      <c r="A249" s="260"/>
      <c r="B249" s="222"/>
      <c r="C249" s="223"/>
      <c r="D249" s="251" t="s">
        <v>1365</v>
      </c>
      <c r="E249" s="223"/>
      <c r="F249" s="262">
        <v>-2</v>
      </c>
      <c r="G249" s="223"/>
      <c r="H249" s="222">
        <v>2.39</v>
      </c>
      <c r="I249" s="223"/>
      <c r="J249" s="222">
        <v>2.3400000000000003</v>
      </c>
      <c r="K249" s="223"/>
      <c r="L249" s="225">
        <v>7.0000000000000007E-2</v>
      </c>
      <c r="M249" s="204"/>
      <c r="N249" s="225">
        <v>-0.02</v>
      </c>
      <c r="O249" s="225"/>
      <c r="P249" s="226" t="s">
        <v>1379</v>
      </c>
      <c r="Q249" s="226"/>
      <c r="R249" s="227">
        <v>19</v>
      </c>
    </row>
    <row r="250" spans="1:18">
      <c r="A250" s="260"/>
      <c r="B250" s="222"/>
      <c r="C250" s="223"/>
      <c r="D250" s="251" t="s">
        <v>1366</v>
      </c>
      <c r="E250" s="223"/>
      <c r="F250" s="262">
        <v>-2</v>
      </c>
      <c r="G250" s="223"/>
      <c r="H250" s="222">
        <v>2.56</v>
      </c>
      <c r="I250" s="223"/>
      <c r="J250" s="222">
        <v>2.5099999999999998</v>
      </c>
      <c r="K250" s="223"/>
      <c r="L250" s="225">
        <v>0.08</v>
      </c>
      <c r="M250" s="204"/>
      <c r="N250" s="225">
        <v>-0.03</v>
      </c>
      <c r="O250" s="225"/>
      <c r="P250" s="226" t="s">
        <v>1379</v>
      </c>
      <c r="Q250" s="226"/>
      <c r="R250" s="227">
        <v>19.100000000000001</v>
      </c>
    </row>
    <row r="251" spans="1:18">
      <c r="A251" s="260"/>
      <c r="B251" s="222"/>
      <c r="C251" s="203"/>
      <c r="D251" s="251" t="s">
        <v>1367</v>
      </c>
      <c r="E251" s="203"/>
      <c r="F251" s="262">
        <v>-2</v>
      </c>
      <c r="G251" s="203"/>
      <c r="H251" s="222">
        <v>3.44</v>
      </c>
      <c r="I251" s="223"/>
      <c r="J251" s="222">
        <v>3.3699999999999997</v>
      </c>
      <c r="K251" s="223"/>
      <c r="L251" s="225">
        <v>0.1</v>
      </c>
      <c r="M251" s="204"/>
      <c r="N251" s="225">
        <v>-0.03</v>
      </c>
      <c r="O251" s="225"/>
      <c r="P251" s="226" t="s">
        <v>1379</v>
      </c>
      <c r="Q251" s="226"/>
      <c r="R251" s="227">
        <v>14.4</v>
      </c>
    </row>
    <row r="252" spans="1:18">
      <c r="A252" s="260"/>
      <c r="B252" s="222"/>
      <c r="C252" s="223"/>
      <c r="D252" s="251" t="s">
        <v>1368</v>
      </c>
      <c r="E252" s="223"/>
      <c r="F252" s="262">
        <v>-2</v>
      </c>
      <c r="G252" s="223"/>
      <c r="H252" s="222">
        <v>1.91</v>
      </c>
      <c r="I252" s="223"/>
      <c r="J252" s="222">
        <v>1.8699999999999999</v>
      </c>
      <c r="K252" s="223"/>
      <c r="L252" s="225">
        <v>0.06</v>
      </c>
      <c r="M252" s="204"/>
      <c r="N252" s="225">
        <v>-0.02</v>
      </c>
      <c r="O252" s="225"/>
      <c r="P252" s="226" t="s">
        <v>1379</v>
      </c>
      <c r="Q252" s="226"/>
      <c r="R252" s="227">
        <v>7.8</v>
      </c>
    </row>
    <row r="253" spans="1:18">
      <c r="A253" s="260"/>
      <c r="B253" s="222"/>
      <c r="C253" s="223"/>
      <c r="D253" s="251" t="s">
        <v>1369</v>
      </c>
      <c r="E253" s="223"/>
      <c r="F253" s="262">
        <v>-2</v>
      </c>
      <c r="G253" s="223"/>
      <c r="H253" s="222">
        <v>3.48</v>
      </c>
      <c r="I253" s="223"/>
      <c r="J253" s="222">
        <v>3.4099999999999997</v>
      </c>
      <c r="K253" s="223"/>
      <c r="L253" s="225">
        <v>0.1</v>
      </c>
      <c r="M253" s="204"/>
      <c r="N253" s="225">
        <v>-0.03</v>
      </c>
      <c r="O253" s="225"/>
      <c r="P253" s="226" t="s">
        <v>1379</v>
      </c>
      <c r="Q253" s="226"/>
      <c r="R253" s="227">
        <v>19.399999999999999</v>
      </c>
    </row>
    <row r="254" spans="1:18">
      <c r="A254" s="260"/>
      <c r="B254" s="222"/>
      <c r="C254" s="223"/>
      <c r="D254" s="223"/>
      <c r="E254" s="223"/>
      <c r="F254" s="262"/>
      <c r="G254" s="223"/>
      <c r="H254" s="222"/>
      <c r="I254" s="223"/>
      <c r="J254" s="228"/>
      <c r="K254" s="223"/>
      <c r="L254" s="225"/>
      <c r="M254" s="204"/>
      <c r="N254" s="225"/>
      <c r="O254" s="225"/>
      <c r="P254" s="226"/>
      <c r="Q254" s="226"/>
      <c r="R254" s="227"/>
    </row>
    <row r="255" spans="1:18">
      <c r="A255" s="260">
        <v>344</v>
      </c>
      <c r="B255" s="222"/>
      <c r="C255" s="223"/>
      <c r="D255" s="234" t="s">
        <v>1380</v>
      </c>
      <c r="E255" s="223"/>
      <c r="F255" s="269" t="s">
        <v>1904</v>
      </c>
      <c r="G255" s="223"/>
      <c r="H255" s="222">
        <v>3.20863136425747</v>
      </c>
      <c r="I255" s="223"/>
      <c r="J255" s="228"/>
      <c r="K255" s="223"/>
      <c r="L255" s="225"/>
      <c r="M255" s="204"/>
      <c r="N255" s="225"/>
      <c r="O255" s="225"/>
      <c r="P255" s="226" t="str">
        <f>P253</f>
        <v>55-S3</v>
      </c>
      <c r="Q255" s="226"/>
      <c r="R255" s="227">
        <v>18.399999999999999</v>
      </c>
    </row>
    <row r="256" spans="1:18">
      <c r="A256" s="260"/>
      <c r="B256" s="222"/>
      <c r="C256" s="223"/>
      <c r="D256" s="223"/>
      <c r="E256" s="223"/>
      <c r="F256" s="262"/>
      <c r="G256" s="223"/>
      <c r="H256" s="222"/>
      <c r="I256" s="223"/>
      <c r="J256" s="228"/>
      <c r="K256" s="223"/>
      <c r="L256" s="225"/>
      <c r="M256" s="204"/>
      <c r="N256" s="225"/>
      <c r="O256" s="225"/>
      <c r="P256" s="226"/>
      <c r="Q256" s="226"/>
      <c r="R256" s="227"/>
    </row>
    <row r="257" spans="1:18">
      <c r="A257" s="260"/>
      <c r="B257" s="222">
        <v>345</v>
      </c>
      <c r="C257" s="223"/>
      <c r="D257" s="223" t="s">
        <v>1381</v>
      </c>
      <c r="E257" s="223"/>
      <c r="F257" s="262"/>
      <c r="G257" s="223"/>
      <c r="H257" s="222"/>
      <c r="I257" s="223"/>
      <c r="J257" s="228"/>
      <c r="K257" s="223"/>
      <c r="L257" s="225"/>
      <c r="M257" s="204"/>
      <c r="N257" s="225"/>
      <c r="O257" s="225"/>
      <c r="P257" s="212"/>
      <c r="Q257" s="212"/>
      <c r="R257" s="227"/>
    </row>
    <row r="258" spans="1:18">
      <c r="A258" s="260"/>
      <c r="B258" s="222"/>
      <c r="C258" s="223"/>
      <c r="D258" s="251" t="s">
        <v>1354</v>
      </c>
      <c r="E258" s="223"/>
      <c r="F258" s="262">
        <v>-3</v>
      </c>
      <c r="G258" s="223"/>
      <c r="H258" s="222">
        <v>3.69</v>
      </c>
      <c r="I258" s="223"/>
      <c r="J258" s="222">
        <v>3.58</v>
      </c>
      <c r="K258" s="223"/>
      <c r="L258" s="225">
        <v>0.11</v>
      </c>
      <c r="M258" s="204"/>
      <c r="N258" s="225">
        <v>0</v>
      </c>
      <c r="O258" s="225"/>
      <c r="P258" s="226" t="s">
        <v>1382</v>
      </c>
      <c r="Q258" s="226"/>
      <c r="R258" s="227">
        <v>19.7</v>
      </c>
    </row>
    <row r="259" spans="1:18">
      <c r="A259" s="260"/>
      <c r="B259" s="222"/>
      <c r="C259" s="223"/>
      <c r="D259" s="251" t="s">
        <v>1356</v>
      </c>
      <c r="E259" s="223"/>
      <c r="F259" s="262">
        <v>-3</v>
      </c>
      <c r="G259" s="223"/>
      <c r="H259" s="222">
        <v>4.0199999999999996</v>
      </c>
      <c r="I259" s="223"/>
      <c r="J259" s="222">
        <v>3.8999999999999995</v>
      </c>
      <c r="K259" s="223"/>
      <c r="L259" s="225">
        <v>0.12</v>
      </c>
      <c r="M259" s="204"/>
      <c r="N259" s="225">
        <v>0</v>
      </c>
      <c r="O259" s="225"/>
      <c r="P259" s="226" t="s">
        <v>1382</v>
      </c>
      <c r="Q259" s="226"/>
      <c r="R259" s="227">
        <v>19.7</v>
      </c>
    </row>
    <row r="260" spans="1:18">
      <c r="A260" s="260"/>
      <c r="B260" s="222"/>
      <c r="C260" s="223"/>
      <c r="D260" s="251" t="s">
        <v>1357</v>
      </c>
      <c r="E260" s="223"/>
      <c r="F260" s="262">
        <v>-3</v>
      </c>
      <c r="G260" s="223"/>
      <c r="H260" s="222">
        <v>3.6</v>
      </c>
      <c r="I260" s="223"/>
      <c r="J260" s="222">
        <v>3.5</v>
      </c>
      <c r="K260" s="223"/>
      <c r="L260" s="225">
        <v>0.1</v>
      </c>
      <c r="M260" s="204"/>
      <c r="N260" s="225">
        <v>0</v>
      </c>
      <c r="O260" s="225"/>
      <c r="P260" s="226" t="s">
        <v>1382</v>
      </c>
      <c r="Q260" s="226"/>
      <c r="R260" s="227">
        <v>21.6</v>
      </c>
    </row>
    <row r="261" spans="1:18">
      <c r="A261" s="260"/>
      <c r="B261" s="222"/>
      <c r="C261" s="223"/>
      <c r="D261" s="251" t="s">
        <v>1358</v>
      </c>
      <c r="E261" s="223"/>
      <c r="F261" s="262">
        <v>-3</v>
      </c>
      <c r="G261" s="223"/>
      <c r="H261" s="222">
        <v>3.6</v>
      </c>
      <c r="I261" s="223"/>
      <c r="J261" s="222">
        <v>3.5</v>
      </c>
      <c r="K261" s="223"/>
      <c r="L261" s="225">
        <v>0.1</v>
      </c>
      <c r="M261" s="204"/>
      <c r="N261" s="225">
        <v>0</v>
      </c>
      <c r="O261" s="225"/>
      <c r="P261" s="226" t="s">
        <v>1382</v>
      </c>
      <c r="Q261" s="226"/>
      <c r="R261" s="227">
        <v>21.6</v>
      </c>
    </row>
    <row r="262" spans="1:18">
      <c r="A262" s="260"/>
      <c r="B262" s="222"/>
      <c r="C262" s="223"/>
      <c r="D262" s="251" t="s">
        <v>1359</v>
      </c>
      <c r="E262" s="223"/>
      <c r="F262" s="262">
        <v>-3</v>
      </c>
      <c r="G262" s="223"/>
      <c r="H262" s="222">
        <v>3.62</v>
      </c>
      <c r="I262" s="223"/>
      <c r="J262" s="222">
        <v>3.5100000000000002</v>
      </c>
      <c r="K262" s="223"/>
      <c r="L262" s="225">
        <v>0.11</v>
      </c>
      <c r="M262" s="204"/>
      <c r="N262" s="225">
        <v>0</v>
      </c>
      <c r="O262" s="225"/>
      <c r="P262" s="226" t="s">
        <v>1382</v>
      </c>
      <c r="Q262" s="226"/>
      <c r="R262" s="227">
        <v>21.6</v>
      </c>
    </row>
    <row r="263" spans="1:18">
      <c r="A263" s="260"/>
      <c r="B263" s="222"/>
      <c r="C263" s="223"/>
      <c r="D263" s="251" t="s">
        <v>1360</v>
      </c>
      <c r="E263" s="223"/>
      <c r="F263" s="262">
        <v>-3</v>
      </c>
      <c r="G263" s="223"/>
      <c r="H263" s="222">
        <v>3.83</v>
      </c>
      <c r="I263" s="223"/>
      <c r="J263" s="222">
        <v>3.72</v>
      </c>
      <c r="K263" s="223"/>
      <c r="L263" s="225">
        <v>0.11</v>
      </c>
      <c r="M263" s="204"/>
      <c r="N263" s="225">
        <v>0</v>
      </c>
      <c r="O263" s="225"/>
      <c r="P263" s="226" t="s">
        <v>1382</v>
      </c>
      <c r="Q263" s="226"/>
      <c r="R263" s="227">
        <v>21.6</v>
      </c>
    </row>
    <row r="264" spans="1:18">
      <c r="A264" s="260"/>
      <c r="B264" s="222"/>
      <c r="C264" s="223"/>
      <c r="D264" s="251" t="s">
        <v>1361</v>
      </c>
      <c r="E264" s="223"/>
      <c r="F264" s="262">
        <v>-2</v>
      </c>
      <c r="G264" s="223"/>
      <c r="H264" s="222">
        <v>3.9</v>
      </c>
      <c r="I264" s="223"/>
      <c r="J264" s="222">
        <v>3.82</v>
      </c>
      <c r="K264" s="223"/>
      <c r="L264" s="225">
        <v>0.08</v>
      </c>
      <c r="M264" s="204"/>
      <c r="N264" s="225">
        <v>0</v>
      </c>
      <c r="O264" s="225"/>
      <c r="P264" s="226" t="s">
        <v>1382</v>
      </c>
      <c r="Q264" s="226"/>
      <c r="R264" s="227">
        <v>18.7</v>
      </c>
    </row>
    <row r="265" spans="1:18">
      <c r="A265" s="260"/>
      <c r="B265" s="222"/>
      <c r="C265" s="223"/>
      <c r="D265" s="251" t="s">
        <v>1362</v>
      </c>
      <c r="E265" s="223"/>
      <c r="F265" s="262">
        <v>-2</v>
      </c>
      <c r="G265" s="223"/>
      <c r="H265" s="222">
        <v>3.99</v>
      </c>
      <c r="I265" s="223"/>
      <c r="J265" s="222">
        <v>3.91</v>
      </c>
      <c r="K265" s="223"/>
      <c r="L265" s="225">
        <v>0.08</v>
      </c>
      <c r="M265" s="204"/>
      <c r="N265" s="225">
        <v>0</v>
      </c>
      <c r="O265" s="225"/>
      <c r="P265" s="226" t="s">
        <v>1382</v>
      </c>
      <c r="Q265" s="226"/>
      <c r="R265" s="227">
        <v>16.8</v>
      </c>
    </row>
    <row r="266" spans="1:18">
      <c r="A266" s="260"/>
      <c r="B266" s="222"/>
      <c r="C266" s="223"/>
      <c r="D266" s="251" t="s">
        <v>1363</v>
      </c>
      <c r="E266" s="223"/>
      <c r="F266" s="262">
        <v>-2</v>
      </c>
      <c r="G266" s="223"/>
      <c r="H266" s="222">
        <v>4</v>
      </c>
      <c r="I266" s="223"/>
      <c r="J266" s="222">
        <v>3.92</v>
      </c>
      <c r="K266" s="223"/>
      <c r="L266" s="225">
        <v>0.08</v>
      </c>
      <c r="M266" s="204"/>
      <c r="N266" s="225">
        <v>0</v>
      </c>
      <c r="O266" s="225"/>
      <c r="P266" s="226" t="s">
        <v>1382</v>
      </c>
      <c r="Q266" s="226"/>
      <c r="R266" s="227">
        <v>16.8</v>
      </c>
    </row>
    <row r="267" spans="1:18">
      <c r="A267" s="260"/>
      <c r="B267" s="222"/>
      <c r="C267" s="223"/>
      <c r="D267" s="251" t="s">
        <v>1364</v>
      </c>
      <c r="E267" s="223"/>
      <c r="F267" s="262">
        <v>-2</v>
      </c>
      <c r="G267" s="223"/>
      <c r="H267" s="222">
        <v>4.03</v>
      </c>
      <c r="I267" s="223"/>
      <c r="J267" s="222">
        <v>3.95</v>
      </c>
      <c r="K267" s="223"/>
      <c r="L267" s="225">
        <v>0.08</v>
      </c>
      <c r="M267" s="204"/>
      <c r="N267" s="225">
        <v>0</v>
      </c>
      <c r="O267" s="225"/>
      <c r="P267" s="226" t="s">
        <v>1382</v>
      </c>
      <c r="Q267" s="226"/>
      <c r="R267" s="227">
        <v>12.9</v>
      </c>
    </row>
    <row r="268" spans="1:18">
      <c r="A268" s="260"/>
      <c r="B268" s="222"/>
      <c r="C268" s="223"/>
      <c r="D268" s="251" t="s">
        <v>1365</v>
      </c>
      <c r="E268" s="223"/>
      <c r="F268" s="262">
        <v>-2</v>
      </c>
      <c r="G268" s="223"/>
      <c r="H268" s="222">
        <v>3.02</v>
      </c>
      <c r="I268" s="223"/>
      <c r="J268" s="222">
        <v>2.96</v>
      </c>
      <c r="K268" s="223"/>
      <c r="L268" s="225">
        <v>0.06</v>
      </c>
      <c r="M268" s="204"/>
      <c r="N268" s="225">
        <v>0</v>
      </c>
      <c r="O268" s="225"/>
      <c r="P268" s="226" t="s">
        <v>1382</v>
      </c>
      <c r="Q268" s="226"/>
      <c r="R268" s="227">
        <v>18.100000000000001</v>
      </c>
    </row>
    <row r="269" spans="1:18">
      <c r="A269" s="260"/>
      <c r="B269" s="222"/>
      <c r="C269" s="223"/>
      <c r="D269" s="251" t="s">
        <v>1366</v>
      </c>
      <c r="E269" s="223"/>
      <c r="F269" s="262">
        <v>-2</v>
      </c>
      <c r="G269" s="223"/>
      <c r="H269" s="222">
        <v>3</v>
      </c>
      <c r="I269" s="223"/>
      <c r="J269" s="222">
        <v>2.94</v>
      </c>
      <c r="K269" s="223"/>
      <c r="L269" s="225">
        <v>0.06</v>
      </c>
      <c r="M269" s="204"/>
      <c r="N269" s="225">
        <v>0</v>
      </c>
      <c r="O269" s="225"/>
      <c r="P269" s="226" t="s">
        <v>1382</v>
      </c>
      <c r="Q269" s="226"/>
      <c r="R269" s="227">
        <v>18</v>
      </c>
    </row>
    <row r="270" spans="1:18">
      <c r="A270" s="260"/>
      <c r="B270" s="222"/>
      <c r="C270" s="223"/>
      <c r="D270" s="251" t="s">
        <v>1367</v>
      </c>
      <c r="E270" s="223"/>
      <c r="F270" s="262">
        <v>-2</v>
      </c>
      <c r="G270" s="223"/>
      <c r="H270" s="222">
        <v>4.33</v>
      </c>
      <c r="I270" s="223"/>
      <c r="J270" s="222">
        <v>4.25</v>
      </c>
      <c r="K270" s="223"/>
      <c r="L270" s="225">
        <v>0.08</v>
      </c>
      <c r="M270" s="204"/>
      <c r="N270" s="225">
        <v>0</v>
      </c>
      <c r="O270" s="225"/>
      <c r="P270" s="226" t="s">
        <v>1382</v>
      </c>
      <c r="Q270" s="226"/>
      <c r="R270" s="227">
        <v>13.9</v>
      </c>
    </row>
    <row r="271" spans="1:18">
      <c r="A271" s="260"/>
      <c r="B271" s="222"/>
      <c r="C271" s="223"/>
      <c r="D271" s="251" t="s">
        <v>1368</v>
      </c>
      <c r="E271" s="223"/>
      <c r="F271" s="262">
        <v>-2</v>
      </c>
      <c r="G271" s="223"/>
      <c r="H271" s="222">
        <v>7.66</v>
      </c>
      <c r="I271" s="223"/>
      <c r="J271" s="222">
        <v>7.51</v>
      </c>
      <c r="K271" s="223"/>
      <c r="L271" s="225">
        <v>0.15</v>
      </c>
      <c r="M271" s="204"/>
      <c r="N271" s="225">
        <v>0</v>
      </c>
      <c r="O271" s="225"/>
      <c r="P271" s="226" t="s">
        <v>1382</v>
      </c>
      <c r="Q271" s="226"/>
      <c r="R271" s="227">
        <v>8.1999999999999993</v>
      </c>
    </row>
    <row r="272" spans="1:18">
      <c r="A272" s="260"/>
      <c r="B272" s="222"/>
      <c r="C272" s="223"/>
      <c r="D272" s="251" t="s">
        <v>1369</v>
      </c>
      <c r="E272" s="223"/>
      <c r="F272" s="262">
        <v>-2</v>
      </c>
      <c r="G272" s="223"/>
      <c r="H272" s="222">
        <v>3.62</v>
      </c>
      <c r="I272" s="223"/>
      <c r="J272" s="222">
        <v>3.5500000000000003</v>
      </c>
      <c r="K272" s="223"/>
      <c r="L272" s="225">
        <v>7.0000000000000007E-2</v>
      </c>
      <c r="M272" s="204"/>
      <c r="N272" s="225">
        <v>0</v>
      </c>
      <c r="O272" s="225"/>
      <c r="P272" s="226" t="s">
        <v>1382</v>
      </c>
      <c r="Q272" s="226"/>
      <c r="R272" s="227">
        <v>18.7</v>
      </c>
    </row>
    <row r="273" spans="1:18">
      <c r="A273" s="260"/>
      <c r="B273" s="222"/>
      <c r="C273" s="223"/>
      <c r="D273" s="223"/>
      <c r="E273" s="223"/>
      <c r="F273" s="262"/>
      <c r="G273" s="223"/>
      <c r="H273" s="222"/>
      <c r="I273" s="223"/>
      <c r="J273" s="228"/>
      <c r="K273" s="223"/>
      <c r="L273" s="225"/>
      <c r="M273" s="204"/>
      <c r="N273" s="225"/>
      <c r="O273" s="225"/>
      <c r="P273" s="226"/>
      <c r="Q273" s="226"/>
      <c r="R273" s="227"/>
    </row>
    <row r="274" spans="1:18">
      <c r="A274" s="260">
        <v>345</v>
      </c>
      <c r="B274" s="222"/>
      <c r="C274" s="223"/>
      <c r="D274" s="234" t="s">
        <v>1383</v>
      </c>
      <c r="E274" s="223"/>
      <c r="F274" s="269" t="s">
        <v>1904</v>
      </c>
      <c r="G274" s="223"/>
      <c r="H274" s="222">
        <v>3.8323448463887173</v>
      </c>
      <c r="I274" s="223"/>
      <c r="J274" s="228"/>
      <c r="K274" s="223"/>
      <c r="L274" s="225"/>
      <c r="M274" s="204"/>
      <c r="N274" s="225"/>
      <c r="O274" s="225"/>
      <c r="P274" s="226" t="str">
        <f>P272</f>
        <v>45-R3</v>
      </c>
      <c r="Q274" s="226"/>
      <c r="R274" s="227">
        <v>18.399999999999999</v>
      </c>
    </row>
    <row r="275" spans="1:18">
      <c r="A275" s="260"/>
      <c r="B275" s="222"/>
      <c r="C275" s="223"/>
      <c r="D275" s="223"/>
      <c r="E275" s="223"/>
      <c r="F275" s="262"/>
      <c r="G275" s="223"/>
      <c r="H275" s="222"/>
      <c r="I275" s="223"/>
      <c r="J275" s="228"/>
      <c r="K275" s="223"/>
      <c r="L275" s="225"/>
      <c r="M275" s="204"/>
      <c r="N275" s="225"/>
      <c r="O275" s="225"/>
      <c r="P275" s="226"/>
      <c r="Q275" s="226"/>
      <c r="R275" s="227"/>
    </row>
    <row r="276" spans="1:18">
      <c r="A276" s="260"/>
      <c r="B276" s="222">
        <v>346</v>
      </c>
      <c r="C276" s="223"/>
      <c r="D276" s="223" t="s">
        <v>1384</v>
      </c>
      <c r="E276" s="223"/>
      <c r="F276" s="262"/>
      <c r="G276" s="223"/>
      <c r="H276" s="222"/>
      <c r="I276" s="223"/>
      <c r="J276" s="228"/>
      <c r="K276" s="223"/>
      <c r="L276" s="225"/>
      <c r="M276" s="204"/>
      <c r="N276" s="225"/>
      <c r="O276" s="225"/>
      <c r="P276" s="212"/>
      <c r="Q276" s="212"/>
      <c r="R276" s="227"/>
    </row>
    <row r="277" spans="1:18">
      <c r="A277" s="260"/>
      <c r="B277" s="222"/>
      <c r="C277" s="223"/>
      <c r="D277" s="251" t="s">
        <v>1354</v>
      </c>
      <c r="E277" s="223"/>
      <c r="F277" s="262">
        <v>-3</v>
      </c>
      <c r="G277" s="223"/>
      <c r="H277" s="222">
        <v>3.94</v>
      </c>
      <c r="I277" s="223"/>
      <c r="J277" s="222">
        <v>3.83</v>
      </c>
      <c r="K277" s="223"/>
      <c r="L277" s="225">
        <v>0.11</v>
      </c>
      <c r="M277" s="204"/>
      <c r="N277" s="225">
        <v>0</v>
      </c>
      <c r="O277" s="225"/>
      <c r="P277" s="226" t="s">
        <v>1385</v>
      </c>
      <c r="Q277" s="226"/>
      <c r="R277" s="227">
        <v>18.8</v>
      </c>
    </row>
    <row r="278" spans="1:18">
      <c r="A278" s="260"/>
      <c r="B278" s="222"/>
      <c r="C278" s="223"/>
      <c r="D278" s="251" t="s">
        <v>1357</v>
      </c>
      <c r="E278" s="223"/>
      <c r="F278" s="262">
        <v>-3</v>
      </c>
      <c r="G278" s="223"/>
      <c r="H278" s="222">
        <v>3.87</v>
      </c>
      <c r="I278" s="223"/>
      <c r="J278" s="222">
        <v>3.7600000000000002</v>
      </c>
      <c r="K278" s="223"/>
      <c r="L278" s="225">
        <v>0.11</v>
      </c>
      <c r="M278" s="204"/>
      <c r="N278" s="225">
        <v>0</v>
      </c>
      <c r="O278" s="225"/>
      <c r="P278" s="226" t="s">
        <v>1385</v>
      </c>
      <c r="Q278" s="226"/>
      <c r="R278" s="227">
        <v>19.899999999999999</v>
      </c>
    </row>
    <row r="279" spans="1:18">
      <c r="A279" s="260"/>
      <c r="B279" s="222"/>
      <c r="C279" s="223"/>
      <c r="D279" s="251" t="s">
        <v>1358</v>
      </c>
      <c r="E279" s="223"/>
      <c r="F279" s="262">
        <v>-3</v>
      </c>
      <c r="G279" s="223"/>
      <c r="H279" s="222">
        <v>3.87</v>
      </c>
      <c r="I279" s="223"/>
      <c r="J279" s="222">
        <v>3.7600000000000002</v>
      </c>
      <c r="K279" s="223"/>
      <c r="L279" s="225">
        <v>0.11</v>
      </c>
      <c r="M279" s="204"/>
      <c r="N279" s="225">
        <v>0</v>
      </c>
      <c r="O279" s="225"/>
      <c r="P279" s="226" t="s">
        <v>1385</v>
      </c>
      <c r="Q279" s="226"/>
      <c r="R279" s="227">
        <v>19.899999999999999</v>
      </c>
    </row>
    <row r="280" spans="1:18">
      <c r="A280" s="260"/>
      <c r="B280" s="222"/>
      <c r="C280" s="223"/>
      <c r="D280" s="251" t="s">
        <v>1359</v>
      </c>
      <c r="E280" s="223"/>
      <c r="F280" s="262">
        <v>-3</v>
      </c>
      <c r="G280" s="223"/>
      <c r="H280" s="222">
        <v>3.88</v>
      </c>
      <c r="I280" s="223"/>
      <c r="J280" s="222">
        <v>3.77</v>
      </c>
      <c r="K280" s="223"/>
      <c r="L280" s="225">
        <v>0.11</v>
      </c>
      <c r="M280" s="204"/>
      <c r="N280" s="225">
        <v>0</v>
      </c>
      <c r="O280" s="225"/>
      <c r="P280" s="226" t="s">
        <v>1385</v>
      </c>
      <c r="Q280" s="226"/>
      <c r="R280" s="227">
        <v>19.899999999999999</v>
      </c>
    </row>
    <row r="281" spans="1:18">
      <c r="A281" s="260"/>
      <c r="B281" s="222"/>
      <c r="C281" s="223"/>
      <c r="D281" s="251" t="s">
        <v>1360</v>
      </c>
      <c r="E281" s="223"/>
      <c r="F281" s="262">
        <v>-3</v>
      </c>
      <c r="G281" s="223"/>
      <c r="H281" s="222">
        <v>4.5</v>
      </c>
      <c r="I281" s="223"/>
      <c r="J281" s="222">
        <v>4.37</v>
      </c>
      <c r="K281" s="223"/>
      <c r="L281" s="225">
        <v>0.13</v>
      </c>
      <c r="M281" s="204"/>
      <c r="N281" s="225">
        <v>0</v>
      </c>
      <c r="O281" s="225"/>
      <c r="P281" s="226" t="s">
        <v>1385</v>
      </c>
      <c r="Q281" s="226"/>
      <c r="R281" s="227">
        <v>20.7</v>
      </c>
    </row>
    <row r="282" spans="1:18">
      <c r="A282" s="260"/>
      <c r="B282" s="222"/>
      <c r="C282" s="223"/>
      <c r="D282" s="251" t="s">
        <v>1361</v>
      </c>
      <c r="E282" s="223"/>
      <c r="F282" s="262">
        <v>-2</v>
      </c>
      <c r="G282" s="223"/>
      <c r="H282" s="222">
        <v>3.88</v>
      </c>
      <c r="I282" s="223"/>
      <c r="J282" s="222">
        <v>3.8</v>
      </c>
      <c r="K282" s="223"/>
      <c r="L282" s="225">
        <v>0.08</v>
      </c>
      <c r="M282" s="204"/>
      <c r="N282" s="225">
        <v>0</v>
      </c>
      <c r="O282" s="225"/>
      <c r="P282" s="226" t="s">
        <v>1385</v>
      </c>
      <c r="Q282" s="226"/>
      <c r="R282" s="227">
        <v>17.3</v>
      </c>
    </row>
    <row r="283" spans="1:18">
      <c r="A283" s="266"/>
      <c r="B283" s="235"/>
      <c r="C283" s="223"/>
      <c r="D283" s="251" t="s">
        <v>1362</v>
      </c>
      <c r="E283" s="223"/>
      <c r="F283" s="262">
        <v>-2</v>
      </c>
      <c r="G283" s="223"/>
      <c r="H283" s="222">
        <v>4.28</v>
      </c>
      <c r="I283" s="223"/>
      <c r="J283" s="222">
        <v>4.2</v>
      </c>
      <c r="K283" s="223"/>
      <c r="L283" s="225">
        <v>0.08</v>
      </c>
      <c r="M283" s="204"/>
      <c r="N283" s="225">
        <v>0</v>
      </c>
      <c r="O283" s="225"/>
      <c r="P283" s="226" t="s">
        <v>1385</v>
      </c>
      <c r="Q283" s="226"/>
      <c r="R283" s="227">
        <v>16</v>
      </c>
    </row>
    <row r="284" spans="1:18">
      <c r="A284" s="260"/>
      <c r="B284" s="222"/>
      <c r="C284" s="223"/>
      <c r="D284" s="251" t="s">
        <v>1363</v>
      </c>
      <c r="E284" s="223"/>
      <c r="F284" s="262">
        <v>-2</v>
      </c>
      <c r="G284" s="223"/>
      <c r="H284" s="222">
        <v>4.0599999999999996</v>
      </c>
      <c r="I284" s="223"/>
      <c r="J284" s="222">
        <v>3.9799999999999995</v>
      </c>
      <c r="K284" s="223"/>
      <c r="L284" s="225">
        <v>0.08</v>
      </c>
      <c r="M284" s="204"/>
      <c r="N284" s="225">
        <v>0</v>
      </c>
      <c r="O284" s="225"/>
      <c r="P284" s="226" t="s">
        <v>1385</v>
      </c>
      <c r="Q284" s="226"/>
      <c r="R284" s="227">
        <v>15.8</v>
      </c>
    </row>
    <row r="285" spans="1:18">
      <c r="A285" s="260"/>
      <c r="B285" s="222"/>
      <c r="C285" s="223"/>
      <c r="D285" s="251" t="s">
        <v>1364</v>
      </c>
      <c r="E285" s="223"/>
      <c r="F285" s="262">
        <v>-2</v>
      </c>
      <c r="G285" s="223"/>
      <c r="H285" s="222">
        <v>4.45</v>
      </c>
      <c r="I285" s="223"/>
      <c r="J285" s="222">
        <v>4.3600000000000003</v>
      </c>
      <c r="K285" s="223"/>
      <c r="L285" s="225">
        <v>0.09</v>
      </c>
      <c r="M285" s="204"/>
      <c r="N285" s="225">
        <v>0</v>
      </c>
      <c r="O285" s="225"/>
      <c r="P285" s="226" t="s">
        <v>1385</v>
      </c>
      <c r="Q285" s="226"/>
      <c r="R285" s="227">
        <v>12.4</v>
      </c>
    </row>
    <row r="286" spans="1:18">
      <c r="A286" s="260"/>
      <c r="B286" s="222"/>
      <c r="C286" s="223"/>
      <c r="D286" s="251" t="s">
        <v>1365</v>
      </c>
      <c r="E286" s="223"/>
      <c r="F286" s="262">
        <v>-2</v>
      </c>
      <c r="G286" s="223"/>
      <c r="H286" s="222">
        <v>2.8</v>
      </c>
      <c r="I286" s="223"/>
      <c r="J286" s="222">
        <v>2.75</v>
      </c>
      <c r="K286" s="223"/>
      <c r="L286" s="225">
        <v>0.05</v>
      </c>
      <c r="M286" s="204"/>
      <c r="N286" s="225">
        <v>0</v>
      </c>
      <c r="O286" s="225"/>
      <c r="P286" s="226" t="s">
        <v>1385</v>
      </c>
      <c r="Q286" s="226"/>
      <c r="R286" s="227">
        <v>15.9</v>
      </c>
    </row>
    <row r="287" spans="1:18">
      <c r="A287" s="260"/>
      <c r="B287" s="222"/>
      <c r="C287" s="223"/>
      <c r="D287" s="251" t="s">
        <v>1366</v>
      </c>
      <c r="E287" s="223"/>
      <c r="F287" s="262">
        <v>-2</v>
      </c>
      <c r="G287" s="223"/>
      <c r="H287" s="222">
        <v>3.21</v>
      </c>
      <c r="I287" s="223"/>
      <c r="J287" s="222">
        <v>3.15</v>
      </c>
      <c r="K287" s="223"/>
      <c r="L287" s="225">
        <v>0.06</v>
      </c>
      <c r="M287" s="204"/>
      <c r="N287" s="225">
        <v>0</v>
      </c>
      <c r="O287" s="225"/>
      <c r="P287" s="226" t="s">
        <v>1385</v>
      </c>
      <c r="Q287" s="226"/>
      <c r="R287" s="227">
        <v>16.3</v>
      </c>
    </row>
    <row r="288" spans="1:18">
      <c r="A288" s="260"/>
      <c r="B288" s="222"/>
      <c r="C288" s="223"/>
      <c r="D288" s="251" t="s">
        <v>1367</v>
      </c>
      <c r="E288" s="223"/>
      <c r="F288" s="262">
        <v>-2</v>
      </c>
      <c r="G288" s="223"/>
      <c r="H288" s="222">
        <v>4.82</v>
      </c>
      <c r="I288" s="223"/>
      <c r="J288" s="222">
        <v>4.7300000000000004</v>
      </c>
      <c r="K288" s="223"/>
      <c r="L288" s="225">
        <v>0.09</v>
      </c>
      <c r="M288" s="204"/>
      <c r="N288" s="225">
        <v>0</v>
      </c>
      <c r="O288" s="225"/>
      <c r="P288" s="226" t="s">
        <v>1385</v>
      </c>
      <c r="Q288" s="226"/>
      <c r="R288" s="227">
        <v>13.5</v>
      </c>
    </row>
    <row r="289" spans="1:19">
      <c r="A289" s="260"/>
      <c r="B289" s="222"/>
      <c r="C289" s="223"/>
      <c r="D289" s="251" t="s">
        <v>1368</v>
      </c>
      <c r="E289" s="223"/>
      <c r="F289" s="262">
        <v>-2</v>
      </c>
      <c r="G289" s="223"/>
      <c r="H289" s="222">
        <v>1.1299999999999999</v>
      </c>
      <c r="I289" s="223"/>
      <c r="J289" s="222">
        <v>1.1099999999999999</v>
      </c>
      <c r="K289" s="223"/>
      <c r="L289" s="225">
        <v>0.02</v>
      </c>
      <c r="M289" s="204"/>
      <c r="N289" s="225">
        <v>0</v>
      </c>
      <c r="O289" s="225"/>
      <c r="P289" s="226" t="s">
        <v>1385</v>
      </c>
      <c r="Q289" s="226"/>
      <c r="R289" s="227">
        <v>5.5</v>
      </c>
    </row>
    <row r="290" spans="1:19">
      <c r="A290" s="260"/>
      <c r="B290" s="222"/>
      <c r="C290" s="223"/>
      <c r="D290" s="251" t="s">
        <v>1369</v>
      </c>
      <c r="E290" s="223"/>
      <c r="F290" s="262">
        <v>-2</v>
      </c>
      <c r="G290" s="223"/>
      <c r="H290" s="222">
        <v>3.87</v>
      </c>
      <c r="I290" s="223"/>
      <c r="J290" s="222">
        <v>3.79</v>
      </c>
      <c r="K290" s="223"/>
      <c r="L290" s="225">
        <v>0.08</v>
      </c>
      <c r="M290" s="204"/>
      <c r="N290" s="225">
        <v>0</v>
      </c>
      <c r="O290" s="225"/>
      <c r="P290" s="226" t="s">
        <v>1385</v>
      </c>
      <c r="Q290" s="226"/>
      <c r="R290" s="227">
        <v>17.2</v>
      </c>
      <c r="S290" s="204"/>
    </row>
    <row r="291" spans="1:19">
      <c r="A291" s="260"/>
      <c r="B291" s="222"/>
      <c r="C291" s="223"/>
      <c r="D291" s="223"/>
      <c r="E291" s="223"/>
      <c r="F291" s="262"/>
      <c r="G291" s="223"/>
      <c r="H291" s="222"/>
      <c r="I291" s="223"/>
      <c r="J291" s="222"/>
      <c r="K291" s="223"/>
      <c r="L291" s="225"/>
      <c r="M291" s="204"/>
      <c r="N291" s="225"/>
      <c r="O291" s="225"/>
      <c r="P291" s="226"/>
      <c r="Q291" s="226"/>
      <c r="R291" s="227"/>
      <c r="S291" s="204"/>
    </row>
    <row r="292" spans="1:19">
      <c r="A292" s="260">
        <v>346</v>
      </c>
      <c r="B292" s="222"/>
      <c r="C292" s="223"/>
      <c r="D292" s="234" t="s">
        <v>1386</v>
      </c>
      <c r="E292" s="223"/>
      <c r="F292" s="269" t="s">
        <v>1904</v>
      </c>
      <c r="G292" s="223"/>
      <c r="H292" s="222">
        <v>3.8174016333168463</v>
      </c>
      <c r="I292" s="223"/>
      <c r="J292" s="228"/>
      <c r="K292" s="223"/>
      <c r="L292" s="225"/>
      <c r="M292" s="204"/>
      <c r="N292" s="225"/>
      <c r="O292" s="225"/>
      <c r="P292" s="226" t="str">
        <f>P290</f>
        <v>35-R2</v>
      </c>
      <c r="Q292" s="226"/>
      <c r="R292" s="227">
        <v>16.2</v>
      </c>
      <c r="S292" s="204"/>
    </row>
    <row r="293" spans="1:19">
      <c r="A293" s="260"/>
      <c r="B293" s="222"/>
      <c r="C293" s="223"/>
      <c r="D293" s="223"/>
      <c r="E293" s="223"/>
      <c r="F293" s="262"/>
      <c r="G293" s="223"/>
      <c r="H293" s="222"/>
      <c r="I293" s="223"/>
      <c r="J293" s="228"/>
      <c r="K293" s="223"/>
      <c r="L293" s="225"/>
      <c r="M293" s="204"/>
      <c r="N293" s="225"/>
      <c r="O293" s="225"/>
      <c r="P293" s="226"/>
      <c r="Q293" s="226"/>
      <c r="R293" s="227"/>
      <c r="S293" s="204"/>
    </row>
    <row r="294" spans="1:19">
      <c r="A294" s="260"/>
      <c r="B294" s="222"/>
      <c r="C294" s="223"/>
      <c r="D294" s="252" t="s">
        <v>1387</v>
      </c>
      <c r="E294" s="223"/>
      <c r="F294" s="262"/>
      <c r="G294" s="209"/>
      <c r="H294" s="222">
        <v>4.0199999999999996</v>
      </c>
      <c r="I294" s="223"/>
      <c r="J294" s="228"/>
      <c r="K294" s="223"/>
      <c r="L294" s="225"/>
      <c r="M294" s="204"/>
      <c r="N294" s="225"/>
      <c r="O294" s="225"/>
      <c r="P294" s="212"/>
      <c r="Q294" s="212"/>
      <c r="R294" s="227"/>
      <c r="S294" s="204"/>
    </row>
    <row r="295" spans="1:19">
      <c r="A295" s="260"/>
      <c r="B295" s="222"/>
      <c r="C295" s="223"/>
      <c r="D295" s="252"/>
      <c r="E295" s="223"/>
      <c r="F295" s="262"/>
      <c r="G295" s="209"/>
      <c r="H295" s="222"/>
      <c r="I295" s="223"/>
      <c r="J295" s="228"/>
      <c r="K295" s="223"/>
      <c r="L295" s="225"/>
      <c r="M295" s="204"/>
      <c r="N295" s="225"/>
      <c r="O295" s="225"/>
      <c r="P295" s="212"/>
      <c r="Q295" s="212"/>
      <c r="R295" s="227"/>
      <c r="S295" s="204"/>
    </row>
    <row r="296" spans="1:19">
      <c r="A296" s="260"/>
      <c r="B296" s="222"/>
      <c r="C296" s="223"/>
      <c r="D296" s="223"/>
      <c r="E296" s="223"/>
      <c r="F296" s="262"/>
      <c r="G296" s="223"/>
      <c r="H296" s="222"/>
      <c r="I296" s="223"/>
      <c r="J296" s="228"/>
      <c r="K296" s="223"/>
      <c r="L296" s="225"/>
      <c r="M296" s="204"/>
      <c r="N296" s="225"/>
      <c r="O296" s="225"/>
      <c r="P296" s="212"/>
      <c r="Q296" s="212"/>
      <c r="R296" s="227"/>
      <c r="S296" s="204"/>
    </row>
    <row r="297" spans="1:19">
      <c r="A297" s="260"/>
      <c r="B297" s="222"/>
      <c r="C297" s="223"/>
      <c r="D297" s="210" t="s">
        <v>1388</v>
      </c>
      <c r="E297" s="223"/>
      <c r="F297" s="262"/>
      <c r="G297" s="223"/>
      <c r="H297" s="222"/>
      <c r="I297" s="223"/>
      <c r="J297" s="228"/>
      <c r="K297" s="223"/>
      <c r="L297" s="225"/>
      <c r="M297" s="204"/>
      <c r="N297" s="225"/>
      <c r="O297" s="225"/>
      <c r="P297" s="212"/>
      <c r="Q297" s="212"/>
      <c r="R297" s="227"/>
      <c r="S297" s="204"/>
    </row>
    <row r="298" spans="1:19">
      <c r="A298" s="260"/>
      <c r="B298" s="222"/>
      <c r="C298" s="223"/>
      <c r="D298" s="230"/>
      <c r="E298" s="223"/>
      <c r="F298" s="262"/>
      <c r="G298" s="223"/>
      <c r="H298" s="222"/>
      <c r="I298" s="223"/>
      <c r="J298" s="228"/>
      <c r="K298" s="223"/>
      <c r="L298" s="225"/>
      <c r="M298" s="223"/>
      <c r="N298" s="225"/>
      <c r="O298" s="225"/>
      <c r="P298" s="212"/>
      <c r="Q298" s="212"/>
      <c r="R298" s="227"/>
      <c r="S298" s="238"/>
    </row>
    <row r="299" spans="1:19">
      <c r="A299" s="260">
        <v>350.1</v>
      </c>
      <c r="B299" s="222">
        <v>350.1</v>
      </c>
      <c r="C299" s="223"/>
      <c r="D299" s="223" t="s">
        <v>1389</v>
      </c>
      <c r="E299" s="223"/>
      <c r="F299" s="262">
        <v>0</v>
      </c>
      <c r="G299" s="223"/>
      <c r="H299" s="222">
        <v>0.96</v>
      </c>
      <c r="I299" s="223"/>
      <c r="J299" s="222">
        <v>0.96</v>
      </c>
      <c r="K299" s="223"/>
      <c r="L299" s="225">
        <v>0</v>
      </c>
      <c r="M299" s="223"/>
      <c r="N299" s="225">
        <v>0</v>
      </c>
      <c r="O299" s="225"/>
      <c r="P299" s="226" t="s">
        <v>1390</v>
      </c>
      <c r="Q299" s="226"/>
      <c r="R299" s="227">
        <v>33.1</v>
      </c>
      <c r="S299" s="238"/>
    </row>
    <row r="300" spans="1:19">
      <c r="A300" s="260"/>
      <c r="B300" s="222">
        <v>352.1</v>
      </c>
      <c r="C300" s="223"/>
      <c r="D300" s="223" t="s">
        <v>1391</v>
      </c>
      <c r="E300" s="223"/>
      <c r="F300" s="262">
        <v>-25</v>
      </c>
      <c r="G300" s="223"/>
      <c r="H300" s="222">
        <v>1.75</v>
      </c>
      <c r="I300" s="223"/>
      <c r="J300" s="222">
        <v>1.4</v>
      </c>
      <c r="K300" s="223"/>
      <c r="L300" s="225">
        <v>0.35</v>
      </c>
      <c r="M300" s="223"/>
      <c r="N300" s="225">
        <v>0</v>
      </c>
      <c r="O300" s="225"/>
      <c r="P300" s="226" t="s">
        <v>1392</v>
      </c>
      <c r="Q300" s="226"/>
      <c r="R300" s="227">
        <v>55.1</v>
      </c>
      <c r="S300" s="238"/>
    </row>
    <row r="301" spans="1:19">
      <c r="A301" s="260"/>
      <c r="B301" s="222">
        <v>352.2</v>
      </c>
      <c r="C301" s="223"/>
      <c r="D301" s="223" t="s">
        <v>1393</v>
      </c>
      <c r="E301" s="223"/>
      <c r="F301" s="262">
        <v>-25</v>
      </c>
      <c r="G301" s="223"/>
      <c r="H301" s="222">
        <v>1.58</v>
      </c>
      <c r="I301" s="223"/>
      <c r="J301" s="222">
        <v>1.26</v>
      </c>
      <c r="K301" s="223"/>
      <c r="L301" s="225">
        <v>0.32</v>
      </c>
      <c r="M301" s="223"/>
      <c r="N301" s="225">
        <v>0</v>
      </c>
      <c r="O301" s="225"/>
      <c r="P301" s="226" t="s">
        <v>1390</v>
      </c>
      <c r="Q301" s="226"/>
      <c r="R301" s="227">
        <v>34.5</v>
      </c>
      <c r="S301" s="238"/>
    </row>
    <row r="302" spans="1:19">
      <c r="A302" s="260"/>
      <c r="B302" s="222">
        <v>353.1</v>
      </c>
      <c r="C302" s="223"/>
      <c r="D302" s="223" t="s">
        <v>1394</v>
      </c>
      <c r="E302" s="223"/>
      <c r="F302" s="262">
        <v>-10</v>
      </c>
      <c r="G302" s="223"/>
      <c r="H302" s="222">
        <v>1.67</v>
      </c>
      <c r="I302" s="223"/>
      <c r="J302" s="222">
        <v>1.52</v>
      </c>
      <c r="K302" s="223"/>
      <c r="L302" s="225">
        <v>0.2</v>
      </c>
      <c r="M302" s="223"/>
      <c r="N302" s="225">
        <v>-0.05</v>
      </c>
      <c r="O302" s="225"/>
      <c r="P302" s="226" t="s">
        <v>1395</v>
      </c>
      <c r="Q302" s="226"/>
      <c r="R302" s="227">
        <v>44.8</v>
      </c>
      <c r="S302" s="238"/>
    </row>
    <row r="303" spans="1:19">
      <c r="A303" s="260"/>
      <c r="B303" s="222">
        <v>353.2</v>
      </c>
      <c r="C303" s="223"/>
      <c r="D303" s="223" t="s">
        <v>1396</v>
      </c>
      <c r="E303" s="223"/>
      <c r="F303" s="262">
        <v>-10</v>
      </c>
      <c r="G303" s="223"/>
      <c r="H303" s="231" t="s">
        <v>1293</v>
      </c>
      <c r="I303" s="232"/>
      <c r="J303" s="222">
        <v>0</v>
      </c>
      <c r="K303" s="232"/>
      <c r="L303" s="225">
        <v>0</v>
      </c>
      <c r="M303" s="223"/>
      <c r="N303" s="225">
        <v>0</v>
      </c>
      <c r="O303" s="225"/>
      <c r="P303" s="226" t="s">
        <v>1397</v>
      </c>
      <c r="Q303" s="226"/>
      <c r="R303" s="227" t="s">
        <v>1294</v>
      </c>
      <c r="S303" s="223"/>
    </row>
    <row r="304" spans="1:19">
      <c r="A304" s="260">
        <v>354</v>
      </c>
      <c r="B304" s="222"/>
      <c r="C304" s="223"/>
      <c r="D304" s="223" t="s">
        <v>1398</v>
      </c>
      <c r="E304" s="223"/>
      <c r="F304" s="262">
        <v>-25</v>
      </c>
      <c r="G304" s="223"/>
      <c r="H304" s="222">
        <v>1.36</v>
      </c>
      <c r="I304" s="223"/>
      <c r="J304" s="222">
        <v>1.0900000000000001</v>
      </c>
      <c r="K304" s="223"/>
      <c r="L304" s="225">
        <v>0.28999999999999998</v>
      </c>
      <c r="M304" s="223"/>
      <c r="N304" s="225">
        <v>-0.02</v>
      </c>
      <c r="O304" s="225"/>
      <c r="P304" s="226" t="s">
        <v>1399</v>
      </c>
      <c r="Q304" s="226"/>
      <c r="R304" s="227">
        <v>54.2</v>
      </c>
      <c r="S304" s="223"/>
    </row>
    <row r="305" spans="1:19">
      <c r="A305" s="260">
        <v>355</v>
      </c>
      <c r="B305" s="222"/>
      <c r="C305" s="223"/>
      <c r="D305" s="223" t="s">
        <v>1400</v>
      </c>
      <c r="E305" s="223"/>
      <c r="F305" s="262">
        <v>-55</v>
      </c>
      <c r="G305" s="223"/>
      <c r="H305" s="222">
        <v>2.34</v>
      </c>
      <c r="I305" s="223"/>
      <c r="J305" s="222">
        <v>1.5099999999999998</v>
      </c>
      <c r="K305" s="223"/>
      <c r="L305" s="225">
        <v>0.91</v>
      </c>
      <c r="M305" s="223"/>
      <c r="N305" s="225">
        <v>-0.08</v>
      </c>
      <c r="O305" s="225"/>
      <c r="P305" s="226" t="s">
        <v>1401</v>
      </c>
      <c r="Q305" s="226"/>
      <c r="R305" s="227">
        <v>46.5</v>
      </c>
      <c r="S305" s="223"/>
    </row>
    <row r="306" spans="1:19">
      <c r="A306" s="260">
        <v>356</v>
      </c>
      <c r="B306" s="222"/>
      <c r="C306" s="223"/>
      <c r="D306" s="223" t="s">
        <v>1402</v>
      </c>
      <c r="E306" s="223"/>
      <c r="F306" s="262">
        <v>-50</v>
      </c>
      <c r="G306" s="223"/>
      <c r="H306" s="222">
        <v>1.94</v>
      </c>
      <c r="I306" s="223"/>
      <c r="J306" s="222">
        <v>1.3</v>
      </c>
      <c r="K306" s="223"/>
      <c r="L306" s="225">
        <v>0.72</v>
      </c>
      <c r="M306" s="223"/>
      <c r="N306" s="225">
        <v>-0.08</v>
      </c>
      <c r="O306" s="225"/>
      <c r="P306" s="226" t="s">
        <v>1390</v>
      </c>
      <c r="Q306" s="226"/>
      <c r="R306" s="227">
        <v>42.3</v>
      </c>
      <c r="S306" s="223"/>
    </row>
    <row r="307" spans="1:19">
      <c r="A307" s="260">
        <v>357</v>
      </c>
      <c r="B307" s="222"/>
      <c r="C307" s="223"/>
      <c r="D307" s="223" t="s">
        <v>1403</v>
      </c>
      <c r="E307" s="223"/>
      <c r="F307" s="262">
        <v>0</v>
      </c>
      <c r="G307" s="223"/>
      <c r="H307" s="222">
        <v>2.27</v>
      </c>
      <c r="I307" s="223"/>
      <c r="J307" s="222">
        <v>2.27</v>
      </c>
      <c r="K307" s="223"/>
      <c r="L307" s="225">
        <v>0</v>
      </c>
      <c r="M307" s="223"/>
      <c r="N307" s="225">
        <v>0</v>
      </c>
      <c r="O307" s="225"/>
      <c r="P307" s="226" t="s">
        <v>1404</v>
      </c>
      <c r="Q307" s="226"/>
      <c r="R307" s="227">
        <v>25.6</v>
      </c>
      <c r="S307" s="223"/>
    </row>
    <row r="308" spans="1:19">
      <c r="A308" s="260">
        <v>358</v>
      </c>
      <c r="B308" s="222"/>
      <c r="C308" s="223"/>
      <c r="D308" s="233" t="s">
        <v>1405</v>
      </c>
      <c r="E308" s="223"/>
      <c r="F308" s="262">
        <v>0</v>
      </c>
      <c r="G308" s="223"/>
      <c r="H308" s="222">
        <v>0.98</v>
      </c>
      <c r="I308" s="223"/>
      <c r="J308" s="222">
        <v>0.98</v>
      </c>
      <c r="K308" s="223"/>
      <c r="L308" s="225">
        <v>0</v>
      </c>
      <c r="M308" s="223"/>
      <c r="N308" s="225">
        <v>0</v>
      </c>
      <c r="O308" s="225"/>
      <c r="P308" s="226" t="s">
        <v>1406</v>
      </c>
      <c r="Q308" s="226"/>
      <c r="R308" s="227">
        <v>21.3</v>
      </c>
      <c r="S308" s="238"/>
    </row>
    <row r="309" spans="1:19">
      <c r="A309" s="260"/>
      <c r="B309" s="222"/>
      <c r="C309" s="223"/>
      <c r="D309" s="223"/>
      <c r="E309" s="223"/>
      <c r="F309" s="262"/>
      <c r="G309" s="223"/>
      <c r="H309" s="222"/>
      <c r="I309" s="223"/>
      <c r="J309" s="228"/>
      <c r="K309" s="223"/>
      <c r="L309" s="225"/>
      <c r="M309" s="223"/>
      <c r="N309" s="225"/>
      <c r="O309" s="225"/>
      <c r="P309" s="226"/>
      <c r="Q309" s="226"/>
      <c r="R309" s="227"/>
      <c r="S309" s="238"/>
    </row>
    <row r="310" spans="1:19">
      <c r="A310" s="260"/>
      <c r="B310" s="222"/>
      <c r="C310" s="223"/>
      <c r="D310" s="220" t="s">
        <v>1407</v>
      </c>
      <c r="E310" s="223"/>
      <c r="F310" s="262"/>
      <c r="G310" s="209"/>
      <c r="H310" s="222"/>
      <c r="I310" s="223"/>
      <c r="J310" s="228"/>
      <c r="K310" s="223"/>
      <c r="L310" s="225"/>
      <c r="M310" s="223"/>
      <c r="N310" s="225"/>
      <c r="O310" s="225"/>
      <c r="P310" s="226"/>
      <c r="Q310" s="226"/>
      <c r="R310" s="227"/>
      <c r="S310" s="238"/>
    </row>
    <row r="311" spans="1:19">
      <c r="A311" s="260"/>
      <c r="B311" s="222"/>
      <c r="C311" s="223"/>
      <c r="D311" s="220"/>
      <c r="E311" s="223"/>
      <c r="F311" s="262"/>
      <c r="G311" s="209"/>
      <c r="H311" s="222"/>
      <c r="I311" s="223"/>
      <c r="J311" s="228"/>
      <c r="K311" s="223"/>
      <c r="L311" s="225"/>
      <c r="M311" s="223"/>
      <c r="N311" s="225"/>
      <c r="O311" s="225"/>
      <c r="P311" s="226"/>
      <c r="Q311" s="226"/>
      <c r="R311" s="227"/>
      <c r="S311" s="238"/>
    </row>
    <row r="312" spans="1:19" s="296" customFormat="1">
      <c r="B312" s="299">
        <v>352.1</v>
      </c>
      <c r="C312" s="297"/>
      <c r="D312" s="297" t="s">
        <v>1391</v>
      </c>
      <c r="E312" s="297"/>
      <c r="F312" s="262">
        <v>-25</v>
      </c>
      <c r="G312" s="297"/>
      <c r="H312" s="299">
        <v>1.75</v>
      </c>
      <c r="I312" s="297"/>
      <c r="J312" s="299">
        <v>1.4</v>
      </c>
      <c r="K312" s="297"/>
      <c r="L312" s="300">
        <v>0.35</v>
      </c>
      <c r="M312" s="297"/>
      <c r="N312" s="300">
        <v>0</v>
      </c>
      <c r="O312" s="300"/>
      <c r="P312" s="301" t="s">
        <v>1392</v>
      </c>
      <c r="Q312" s="301"/>
      <c r="R312" s="302">
        <v>55.1</v>
      </c>
      <c r="S312" s="303"/>
    </row>
    <row r="313" spans="1:19" s="296" customFormat="1">
      <c r="B313" s="299">
        <v>352.2</v>
      </c>
      <c r="C313" s="297"/>
      <c r="D313" s="297" t="s">
        <v>1393</v>
      </c>
      <c r="E313" s="297"/>
      <c r="F313" s="262">
        <v>-25</v>
      </c>
      <c r="G313" s="297"/>
      <c r="H313" s="304">
        <v>1.58</v>
      </c>
      <c r="I313" s="297"/>
      <c r="J313" s="299">
        <v>1.26</v>
      </c>
      <c r="K313" s="297"/>
      <c r="L313" s="300">
        <v>0.32</v>
      </c>
      <c r="M313" s="297"/>
      <c r="N313" s="300">
        <v>0</v>
      </c>
      <c r="O313" s="300"/>
      <c r="P313" s="301" t="s">
        <v>1390</v>
      </c>
      <c r="Q313" s="301"/>
      <c r="R313" s="302">
        <v>34.5</v>
      </c>
      <c r="S313" s="303"/>
    </row>
    <row r="314" spans="1:19" s="296" customFormat="1">
      <c r="A314" s="260">
        <v>352</v>
      </c>
      <c r="B314" s="299"/>
      <c r="C314" s="297"/>
      <c r="D314" s="297"/>
      <c r="E314" s="297"/>
      <c r="F314" s="262">
        <v>-25</v>
      </c>
      <c r="G314" s="297"/>
      <c r="H314" s="299">
        <f>((298018+19271)/(17020058.51+1220542.62)*100)</f>
        <v>1.7394656992864137</v>
      </c>
      <c r="I314" s="297"/>
      <c r="J314" s="299"/>
      <c r="K314" s="297"/>
      <c r="L314" s="300"/>
      <c r="M314" s="297"/>
      <c r="N314" s="300"/>
      <c r="O314" s="300"/>
      <c r="P314" s="301" t="s">
        <v>2095</v>
      </c>
      <c r="Q314" s="301"/>
      <c r="R314" s="310" t="s">
        <v>2094</v>
      </c>
      <c r="S314" s="303"/>
    </row>
    <row r="315" spans="1:19" s="296" customFormat="1">
      <c r="A315" s="260"/>
      <c r="B315" s="299"/>
      <c r="C315" s="297"/>
      <c r="D315" s="297"/>
      <c r="E315" s="297"/>
      <c r="F315" s="262"/>
      <c r="G315" s="297"/>
      <c r="H315" s="299"/>
      <c r="I315" s="297"/>
      <c r="J315" s="299"/>
      <c r="K315" s="297"/>
      <c r="L315" s="300"/>
      <c r="M315" s="297"/>
      <c r="N315" s="300"/>
      <c r="O315" s="300"/>
      <c r="P315" s="301"/>
      <c r="Q315" s="301"/>
      <c r="R315" s="302"/>
      <c r="S315" s="303"/>
    </row>
    <row r="316" spans="1:19" s="296" customFormat="1">
      <c r="A316" s="260"/>
      <c r="B316" s="299">
        <v>353.1</v>
      </c>
      <c r="C316" s="297"/>
      <c r="D316" s="297" t="s">
        <v>1394</v>
      </c>
      <c r="E316" s="297"/>
      <c r="F316" s="262">
        <v>-10</v>
      </c>
      <c r="G316" s="297"/>
      <c r="H316" s="299">
        <v>1.67</v>
      </c>
      <c r="I316" s="297"/>
      <c r="J316" s="299">
        <v>1.52</v>
      </c>
      <c r="K316" s="297"/>
      <c r="L316" s="300">
        <v>0.2</v>
      </c>
      <c r="M316" s="297"/>
      <c r="N316" s="300">
        <v>-0.05</v>
      </c>
      <c r="O316" s="300"/>
      <c r="P316" s="301" t="s">
        <v>1395</v>
      </c>
      <c r="Q316" s="301"/>
      <c r="R316" s="302">
        <v>44.8</v>
      </c>
      <c r="S316" s="303"/>
    </row>
    <row r="317" spans="1:19" s="296" customFormat="1">
      <c r="A317" s="260"/>
      <c r="B317" s="299">
        <v>353.2</v>
      </c>
      <c r="C317" s="297"/>
      <c r="D317" s="297" t="s">
        <v>1396</v>
      </c>
      <c r="E317" s="297"/>
      <c r="F317" s="262">
        <v>-10</v>
      </c>
      <c r="G317" s="297"/>
      <c r="H317" s="305" t="s">
        <v>1293</v>
      </c>
      <c r="I317" s="306"/>
      <c r="J317" s="299">
        <v>0</v>
      </c>
      <c r="K317" s="306"/>
      <c r="L317" s="300">
        <v>0</v>
      </c>
      <c r="M317" s="297"/>
      <c r="N317" s="300">
        <v>0</v>
      </c>
      <c r="O317" s="300"/>
      <c r="P317" s="301" t="s">
        <v>1397</v>
      </c>
      <c r="Q317" s="301"/>
      <c r="R317" s="302" t="s">
        <v>1294</v>
      </c>
      <c r="S317" s="297"/>
    </row>
    <row r="318" spans="1:19" s="296" customFormat="1">
      <c r="A318" s="260">
        <v>353</v>
      </c>
      <c r="B318" s="299"/>
      <c r="C318" s="297"/>
      <c r="D318" s="307"/>
      <c r="E318" s="297"/>
      <c r="F318" s="262">
        <v>-10</v>
      </c>
      <c r="G318" s="308"/>
      <c r="H318" s="299">
        <v>1.67</v>
      </c>
      <c r="I318" s="297"/>
      <c r="J318" s="309"/>
      <c r="K318" s="297"/>
      <c r="L318" s="300"/>
      <c r="M318" s="297"/>
      <c r="N318" s="300"/>
      <c r="O318" s="300"/>
      <c r="P318" s="301" t="s">
        <v>2096</v>
      </c>
      <c r="Q318" s="301"/>
      <c r="R318" s="302">
        <v>44.8</v>
      </c>
      <c r="S318" s="303"/>
    </row>
    <row r="319" spans="1:19" s="296" customFormat="1">
      <c r="A319" s="260"/>
      <c r="B319" s="299"/>
      <c r="C319" s="297"/>
      <c r="D319" s="297"/>
      <c r="E319" s="297"/>
      <c r="F319" s="298"/>
      <c r="G319" s="297"/>
      <c r="H319" s="299"/>
      <c r="I319" s="297"/>
      <c r="J319" s="309"/>
      <c r="K319" s="297"/>
      <c r="L319" s="300"/>
      <c r="M319" s="297"/>
      <c r="N319" s="300"/>
      <c r="O319" s="300"/>
      <c r="P319" s="301"/>
      <c r="Q319" s="301"/>
      <c r="R319" s="302"/>
      <c r="S319" s="303"/>
    </row>
    <row r="320" spans="1:19">
      <c r="A320" s="260"/>
      <c r="B320" s="222"/>
      <c r="C320" s="223"/>
      <c r="D320" s="223"/>
      <c r="E320" s="223"/>
      <c r="F320" s="262"/>
      <c r="G320" s="223"/>
      <c r="H320" s="222"/>
      <c r="I320" s="223"/>
      <c r="J320" s="228"/>
      <c r="K320" s="223"/>
      <c r="L320" s="225"/>
      <c r="M320" s="223"/>
      <c r="N320" s="225"/>
      <c r="O320" s="225"/>
      <c r="P320" s="226"/>
      <c r="Q320" s="226"/>
      <c r="R320" s="227"/>
      <c r="S320" s="238"/>
    </row>
    <row r="321" spans="1:19">
      <c r="A321" s="260"/>
      <c r="B321" s="222"/>
      <c r="C321" s="203"/>
      <c r="D321" s="210" t="s">
        <v>1408</v>
      </c>
      <c r="E321" s="203"/>
      <c r="F321" s="262"/>
      <c r="G321" s="203"/>
      <c r="H321" s="222"/>
      <c r="I321" s="223"/>
      <c r="J321" s="228"/>
      <c r="K321" s="223"/>
      <c r="L321" s="225"/>
      <c r="M321" s="223"/>
      <c r="N321" s="225"/>
      <c r="O321" s="225"/>
      <c r="P321" s="226"/>
      <c r="Q321" s="226"/>
      <c r="R321" s="227"/>
      <c r="S321" s="238"/>
    </row>
    <row r="322" spans="1:19">
      <c r="A322" s="260"/>
      <c r="B322" s="222"/>
      <c r="C322" s="223"/>
      <c r="D322" s="230"/>
      <c r="E322" s="223"/>
      <c r="F322" s="262"/>
      <c r="G322" s="223"/>
      <c r="H322" s="222"/>
      <c r="I322" s="223"/>
      <c r="J322" s="228"/>
      <c r="K322" s="223"/>
      <c r="L322" s="225"/>
      <c r="M322" s="223"/>
      <c r="N322" s="225"/>
      <c r="O322" s="225"/>
      <c r="P322" s="226"/>
      <c r="Q322" s="226"/>
      <c r="R322" s="227"/>
      <c r="S322" s="238"/>
    </row>
    <row r="323" spans="1:19">
      <c r="A323" s="260">
        <v>360.1</v>
      </c>
      <c r="B323" s="222">
        <v>360.1</v>
      </c>
      <c r="C323" s="223"/>
      <c r="D323" s="223" t="s">
        <v>1409</v>
      </c>
      <c r="E323" s="223"/>
      <c r="F323" s="262">
        <v>0</v>
      </c>
      <c r="G323" s="223"/>
      <c r="H323" s="222">
        <v>0.57999999999999996</v>
      </c>
      <c r="I323" s="223"/>
      <c r="J323" s="222">
        <v>0.57999999999999996</v>
      </c>
      <c r="K323" s="223"/>
      <c r="L323" s="225">
        <v>0</v>
      </c>
      <c r="M323" s="223"/>
      <c r="N323" s="225">
        <v>0</v>
      </c>
      <c r="O323" s="225"/>
      <c r="P323" s="226" t="s">
        <v>1410</v>
      </c>
      <c r="Q323" s="226"/>
      <c r="R323" s="227">
        <v>46.6</v>
      </c>
      <c r="S323" s="223"/>
    </row>
    <row r="324" spans="1:19">
      <c r="A324" s="260">
        <v>361</v>
      </c>
      <c r="B324" s="222"/>
      <c r="C324" s="223"/>
      <c r="D324" s="223" t="s">
        <v>1411</v>
      </c>
      <c r="E324" s="223"/>
      <c r="F324" s="262">
        <v>-20</v>
      </c>
      <c r="G324" s="223"/>
      <c r="H324" s="222">
        <v>2</v>
      </c>
      <c r="I324" s="223"/>
      <c r="J324" s="222">
        <v>1.67</v>
      </c>
      <c r="K324" s="223"/>
      <c r="L324" s="225">
        <v>0.33</v>
      </c>
      <c r="M324" s="204"/>
      <c r="N324" s="225">
        <v>0</v>
      </c>
      <c r="O324" s="225"/>
      <c r="P324" s="226" t="s">
        <v>1313</v>
      </c>
      <c r="Q324" s="226"/>
      <c r="R324" s="227">
        <v>48.3</v>
      </c>
      <c r="S324" s="223"/>
    </row>
    <row r="325" spans="1:19">
      <c r="A325" s="260">
        <v>362</v>
      </c>
      <c r="B325" s="222"/>
      <c r="C325" s="223"/>
      <c r="D325" s="233" t="s">
        <v>1412</v>
      </c>
      <c r="E325" s="223"/>
      <c r="F325" s="262">
        <v>-20</v>
      </c>
      <c r="G325" s="223"/>
      <c r="H325" s="222">
        <v>2.27</v>
      </c>
      <c r="I325" s="223"/>
      <c r="J325" s="222">
        <v>1.9000000000000001</v>
      </c>
      <c r="K325" s="223"/>
      <c r="L325" s="225">
        <v>0.45</v>
      </c>
      <c r="M325" s="204"/>
      <c r="N325" s="225">
        <v>-0.08</v>
      </c>
      <c r="O325" s="225"/>
      <c r="P325" s="226" t="s">
        <v>1413</v>
      </c>
      <c r="Q325" s="226"/>
      <c r="R325" s="227">
        <v>40.4</v>
      </c>
      <c r="S325" s="223"/>
    </row>
    <row r="326" spans="1:19">
      <c r="A326" s="260">
        <v>364</v>
      </c>
      <c r="B326" s="222"/>
      <c r="C326" s="223"/>
      <c r="D326" s="233" t="s">
        <v>1414</v>
      </c>
      <c r="E326" s="223"/>
      <c r="F326" s="262">
        <v>-45</v>
      </c>
      <c r="G326" s="223"/>
      <c r="H326" s="222">
        <v>2.33</v>
      </c>
      <c r="I326" s="223"/>
      <c r="J326" s="222">
        <v>1.61</v>
      </c>
      <c r="K326" s="223"/>
      <c r="L326" s="225">
        <v>0.8</v>
      </c>
      <c r="M326" s="204"/>
      <c r="N326" s="225">
        <v>-0.08</v>
      </c>
      <c r="O326" s="225"/>
      <c r="P326" s="226" t="s">
        <v>1415</v>
      </c>
      <c r="Q326" s="226"/>
      <c r="R326" s="227">
        <v>42.3</v>
      </c>
      <c r="S326" s="223"/>
    </row>
    <row r="327" spans="1:19">
      <c r="A327" s="260">
        <v>365</v>
      </c>
      <c r="B327" s="222"/>
      <c r="C327" s="223"/>
      <c r="D327" s="223" t="s">
        <v>1416</v>
      </c>
      <c r="E327" s="223"/>
      <c r="F327" s="262">
        <v>-60</v>
      </c>
      <c r="G327" s="223"/>
      <c r="H327" s="222">
        <v>3.23</v>
      </c>
      <c r="I327" s="223"/>
      <c r="J327" s="222">
        <v>2.02</v>
      </c>
      <c r="K327" s="223"/>
      <c r="L327" s="225">
        <v>1.33</v>
      </c>
      <c r="M327" s="204"/>
      <c r="N327" s="225">
        <v>-0.12</v>
      </c>
      <c r="O327" s="225"/>
      <c r="P327" s="226" t="s">
        <v>1417</v>
      </c>
      <c r="Q327" s="226"/>
      <c r="R327" s="227">
        <v>37.4</v>
      </c>
      <c r="S327" s="223"/>
    </row>
    <row r="328" spans="1:19">
      <c r="A328" s="260">
        <v>366</v>
      </c>
      <c r="B328" s="222"/>
      <c r="C328" s="223"/>
      <c r="D328" s="223" t="s">
        <v>1418</v>
      </c>
      <c r="E328" s="223"/>
      <c r="F328" s="262">
        <v>-5</v>
      </c>
      <c r="G328" s="223"/>
      <c r="H328" s="222">
        <v>2.7</v>
      </c>
      <c r="I328" s="223"/>
      <c r="J328" s="222">
        <v>2.5700000000000003</v>
      </c>
      <c r="K328" s="223"/>
      <c r="L328" s="225">
        <v>0.13</v>
      </c>
      <c r="M328" s="204"/>
      <c r="N328" s="225">
        <v>0</v>
      </c>
      <c r="O328" s="225"/>
      <c r="P328" s="226" t="s">
        <v>1419</v>
      </c>
      <c r="Q328" s="226"/>
      <c r="R328" s="227">
        <v>25.9</v>
      </c>
      <c r="S328" s="223"/>
    </row>
    <row r="329" spans="1:19">
      <c r="A329" s="260">
        <v>367</v>
      </c>
      <c r="B329" s="222"/>
      <c r="C329" s="223"/>
      <c r="D329" s="223" t="s">
        <v>1420</v>
      </c>
      <c r="E329" s="223"/>
      <c r="F329" s="262">
        <v>-10</v>
      </c>
      <c r="G329" s="223"/>
      <c r="H329" s="222">
        <v>2.37</v>
      </c>
      <c r="I329" s="223"/>
      <c r="J329" s="222">
        <v>2.15</v>
      </c>
      <c r="K329" s="223"/>
      <c r="L329" s="225">
        <v>0.22</v>
      </c>
      <c r="M329" s="204"/>
      <c r="N329" s="225">
        <v>0</v>
      </c>
      <c r="O329" s="225"/>
      <c r="P329" s="226" t="s">
        <v>1421</v>
      </c>
      <c r="Q329" s="226"/>
      <c r="R329" s="227">
        <v>37.700000000000003</v>
      </c>
      <c r="S329" s="223"/>
    </row>
    <row r="330" spans="1:19">
      <c r="A330" s="260">
        <v>368</v>
      </c>
      <c r="B330" s="222"/>
      <c r="C330" s="223"/>
      <c r="D330" s="223" t="s">
        <v>1422</v>
      </c>
      <c r="E330" s="223"/>
      <c r="F330" s="262">
        <v>-15</v>
      </c>
      <c r="G330" s="223"/>
      <c r="H330" s="222">
        <v>2.4500000000000002</v>
      </c>
      <c r="I330" s="223"/>
      <c r="J330" s="222">
        <v>2.1300000000000003</v>
      </c>
      <c r="K330" s="223"/>
      <c r="L330" s="225">
        <v>0.38</v>
      </c>
      <c r="M330" s="204"/>
      <c r="N330" s="225">
        <v>-0.06</v>
      </c>
      <c r="O330" s="225"/>
      <c r="P330" s="226" t="s">
        <v>1423</v>
      </c>
      <c r="Q330" s="226"/>
      <c r="R330" s="227">
        <v>30.1</v>
      </c>
      <c r="S330" s="223"/>
    </row>
    <row r="331" spans="1:19">
      <c r="A331" s="260">
        <v>369</v>
      </c>
      <c r="B331" s="222"/>
      <c r="C331" s="223"/>
      <c r="D331" s="223" t="s">
        <v>1424</v>
      </c>
      <c r="E331" s="223"/>
      <c r="F331" s="262">
        <v>-30</v>
      </c>
      <c r="G331" s="223"/>
      <c r="H331" s="222">
        <v>2.0299999999999998</v>
      </c>
      <c r="I331" s="223"/>
      <c r="J331" s="222">
        <v>1.5599999999999998</v>
      </c>
      <c r="K331" s="223"/>
      <c r="L331" s="225">
        <v>0.47</v>
      </c>
      <c r="M331" s="204"/>
      <c r="N331" s="225">
        <v>0</v>
      </c>
      <c r="O331" s="225"/>
      <c r="P331" s="226" t="s">
        <v>1425</v>
      </c>
      <c r="Q331" s="226"/>
      <c r="R331" s="227">
        <v>32.1</v>
      </c>
      <c r="S331" s="223"/>
    </row>
    <row r="332" spans="1:19">
      <c r="A332" s="260">
        <v>370</v>
      </c>
      <c r="B332" s="222"/>
      <c r="C332" s="223"/>
      <c r="D332" s="223" t="s">
        <v>1426</v>
      </c>
      <c r="E332" s="223"/>
      <c r="F332" s="262">
        <v>0</v>
      </c>
      <c r="G332" s="223"/>
      <c r="H332" s="222">
        <v>2.29</v>
      </c>
      <c r="I332" s="223"/>
      <c r="J332" s="222">
        <v>2.29</v>
      </c>
      <c r="K332" s="223"/>
      <c r="L332" s="225">
        <v>0</v>
      </c>
      <c r="M332" s="204"/>
      <c r="N332" s="225">
        <v>0</v>
      </c>
      <c r="O332" s="225"/>
      <c r="P332" s="226" t="s">
        <v>1427</v>
      </c>
      <c r="Q332" s="226"/>
      <c r="R332" s="227">
        <v>23.4</v>
      </c>
      <c r="S332" s="223"/>
    </row>
    <row r="333" spans="1:19">
      <c r="A333" s="260">
        <v>371</v>
      </c>
      <c r="B333" s="222"/>
      <c r="C333" s="223"/>
      <c r="D333" s="223" t="s">
        <v>1428</v>
      </c>
      <c r="E333" s="223"/>
      <c r="F333" s="262">
        <v>-10</v>
      </c>
      <c r="G333" s="223"/>
      <c r="H333" s="222">
        <v>0.81</v>
      </c>
      <c r="I333" s="223"/>
      <c r="J333" s="222">
        <v>0.7400000000000001</v>
      </c>
      <c r="K333" s="223"/>
      <c r="L333" s="225">
        <v>0.08</v>
      </c>
      <c r="M333" s="204"/>
      <c r="N333" s="225">
        <v>-0.01</v>
      </c>
      <c r="O333" s="225"/>
      <c r="P333" s="226" t="s">
        <v>1429</v>
      </c>
      <c r="Q333" s="226"/>
      <c r="R333" s="227">
        <v>18.100000000000001</v>
      </c>
      <c r="S333" s="223"/>
    </row>
    <row r="334" spans="1:19">
      <c r="A334" s="260">
        <v>373</v>
      </c>
      <c r="B334" s="222"/>
      <c r="C334" s="223"/>
      <c r="D334" s="223" t="s">
        <v>1430</v>
      </c>
      <c r="E334" s="223"/>
      <c r="F334" s="262">
        <v>-10</v>
      </c>
      <c r="G334" s="223"/>
      <c r="H334" s="222">
        <v>4</v>
      </c>
      <c r="I334" s="223"/>
      <c r="J334" s="222">
        <v>3.64</v>
      </c>
      <c r="K334" s="223"/>
      <c r="L334" s="225">
        <v>0.36</v>
      </c>
      <c r="M334" s="204"/>
      <c r="N334" s="225">
        <v>0</v>
      </c>
      <c r="O334" s="225"/>
      <c r="P334" s="226" t="s">
        <v>1431</v>
      </c>
      <c r="Q334" s="226"/>
      <c r="R334" s="227">
        <v>21.2</v>
      </c>
      <c r="S334" s="223"/>
    </row>
    <row r="335" spans="1:19">
      <c r="A335" s="260"/>
      <c r="B335" s="222"/>
      <c r="C335" s="223"/>
      <c r="D335" s="223"/>
      <c r="E335" s="223"/>
      <c r="F335" s="262"/>
      <c r="G335" s="223"/>
      <c r="H335" s="222"/>
      <c r="I335" s="223"/>
      <c r="J335" s="228"/>
      <c r="K335" s="223"/>
      <c r="L335" s="225"/>
      <c r="M335" s="204"/>
      <c r="N335" s="225"/>
      <c r="O335" s="225"/>
      <c r="P335" s="226"/>
      <c r="Q335" s="226"/>
      <c r="R335" s="227"/>
      <c r="S335" s="223"/>
    </row>
    <row r="336" spans="1:19">
      <c r="A336" s="260"/>
      <c r="B336" s="222"/>
      <c r="C336" s="223"/>
      <c r="D336" s="220" t="s">
        <v>1432</v>
      </c>
      <c r="E336" s="223"/>
      <c r="F336" s="262"/>
      <c r="G336" s="209"/>
      <c r="H336" s="222"/>
      <c r="I336" s="223"/>
      <c r="J336" s="228"/>
      <c r="K336" s="223"/>
      <c r="L336" s="225"/>
      <c r="M336" s="204"/>
      <c r="N336" s="225"/>
      <c r="O336" s="225"/>
      <c r="P336" s="226"/>
      <c r="Q336" s="226"/>
      <c r="R336" s="227"/>
      <c r="S336" s="204"/>
    </row>
    <row r="337" spans="1:19">
      <c r="A337" s="260"/>
      <c r="B337" s="222"/>
      <c r="C337" s="223"/>
      <c r="D337" s="220"/>
      <c r="E337" s="223"/>
      <c r="F337" s="262"/>
      <c r="G337" s="209"/>
      <c r="H337" s="222"/>
      <c r="I337" s="223"/>
      <c r="J337" s="228"/>
      <c r="K337" s="223"/>
      <c r="L337" s="225"/>
      <c r="M337" s="204"/>
      <c r="N337" s="225"/>
      <c r="O337" s="225"/>
      <c r="P337" s="226"/>
      <c r="Q337" s="226"/>
      <c r="R337" s="227"/>
      <c r="S337" s="204"/>
    </row>
    <row r="338" spans="1:19">
      <c r="A338" s="260"/>
      <c r="B338" s="222"/>
      <c r="C338" s="223"/>
      <c r="D338" s="223"/>
      <c r="E338" s="223"/>
      <c r="F338" s="262"/>
      <c r="G338" s="223"/>
      <c r="H338" s="222"/>
      <c r="I338" s="223"/>
      <c r="J338" s="228"/>
      <c r="K338" s="223"/>
      <c r="L338" s="225"/>
      <c r="M338" s="204"/>
      <c r="N338" s="225"/>
      <c r="O338" s="225"/>
      <c r="P338" s="212"/>
      <c r="Q338" s="212"/>
      <c r="R338" s="227"/>
      <c r="S338" s="204"/>
    </row>
    <row r="339" spans="1:19">
      <c r="A339" s="260"/>
      <c r="B339" s="222"/>
      <c r="C339" s="223"/>
      <c r="D339" s="210" t="s">
        <v>1433</v>
      </c>
      <c r="E339" s="223"/>
      <c r="F339" s="262"/>
      <c r="G339" s="223"/>
      <c r="H339" s="222"/>
      <c r="I339" s="223"/>
      <c r="J339" s="228"/>
      <c r="K339" s="223"/>
      <c r="L339" s="225"/>
      <c r="M339" s="204"/>
      <c r="N339" s="225"/>
      <c r="O339" s="225"/>
      <c r="P339" s="212"/>
      <c r="Q339" s="212"/>
      <c r="R339" s="227"/>
      <c r="S339" s="204"/>
    </row>
    <row r="340" spans="1:19">
      <c r="A340" s="260"/>
      <c r="B340" s="222"/>
      <c r="C340" s="223"/>
      <c r="D340" s="230"/>
      <c r="E340" s="223"/>
      <c r="F340" s="262"/>
      <c r="G340" s="223"/>
      <c r="H340" s="222"/>
      <c r="I340" s="223"/>
      <c r="J340" s="228"/>
      <c r="K340" s="223"/>
      <c r="L340" s="225"/>
      <c r="M340" s="204"/>
      <c r="N340" s="225"/>
      <c r="O340" s="225"/>
      <c r="P340" s="212"/>
      <c r="Q340" s="212"/>
      <c r="R340" s="227"/>
      <c r="S340" s="204"/>
    </row>
    <row r="341" spans="1:19">
      <c r="A341" s="260"/>
      <c r="B341" s="222">
        <v>390.1</v>
      </c>
      <c r="C341" s="223"/>
      <c r="D341" s="237" t="s">
        <v>1434</v>
      </c>
      <c r="E341" s="223"/>
      <c r="F341" s="262">
        <v>-10</v>
      </c>
      <c r="G341" s="223"/>
      <c r="H341" s="222">
        <v>2.0099999999999998</v>
      </c>
      <c r="I341" s="223"/>
      <c r="J341" s="222">
        <v>1.8299999999999998</v>
      </c>
      <c r="K341" s="223"/>
      <c r="L341" s="225">
        <v>0.18</v>
      </c>
      <c r="M341" s="204"/>
      <c r="N341" s="225">
        <v>0</v>
      </c>
      <c r="O341" s="225"/>
      <c r="P341" s="226" t="s">
        <v>1435</v>
      </c>
      <c r="Q341" s="226"/>
      <c r="R341" s="227">
        <v>44.5</v>
      </c>
      <c r="S341" s="204"/>
    </row>
    <row r="342" spans="1:19">
      <c r="A342" s="260"/>
      <c r="B342" s="222">
        <v>390.2</v>
      </c>
      <c r="C342" s="223"/>
      <c r="D342" s="237" t="s">
        <v>1436</v>
      </c>
      <c r="E342" s="223"/>
      <c r="F342" s="262">
        <v>-10</v>
      </c>
      <c r="G342" s="223"/>
      <c r="H342" s="222">
        <v>1.72</v>
      </c>
      <c r="I342" s="223"/>
      <c r="J342" s="222">
        <v>1.56</v>
      </c>
      <c r="K342" s="223"/>
      <c r="L342" s="225">
        <v>0.16</v>
      </c>
      <c r="M342" s="204"/>
      <c r="N342" s="225">
        <v>0</v>
      </c>
      <c r="O342" s="225"/>
      <c r="P342" s="226" t="s">
        <v>1437</v>
      </c>
      <c r="Q342" s="226"/>
      <c r="R342" s="227">
        <v>18.8</v>
      </c>
      <c r="S342" s="204"/>
    </row>
    <row r="343" spans="1:19">
      <c r="A343" s="260"/>
      <c r="B343" s="222">
        <v>391.1</v>
      </c>
      <c r="C343" s="223"/>
      <c r="D343" s="237" t="s">
        <v>1438</v>
      </c>
      <c r="E343" s="223"/>
      <c r="F343" s="262">
        <v>0</v>
      </c>
      <c r="G343" s="223"/>
      <c r="H343" s="222">
        <v>4.46</v>
      </c>
      <c r="I343" s="223"/>
      <c r="J343" s="222">
        <v>4.46</v>
      </c>
      <c r="K343" s="223"/>
      <c r="L343" s="225">
        <v>0</v>
      </c>
      <c r="M343" s="204"/>
      <c r="N343" s="225">
        <v>0</v>
      </c>
      <c r="O343" s="225"/>
      <c r="P343" s="226" t="s">
        <v>1280</v>
      </c>
      <c r="Q343" s="226"/>
      <c r="R343" s="227">
        <v>10</v>
      </c>
      <c r="S343" s="204"/>
    </row>
    <row r="344" spans="1:19">
      <c r="A344" s="260"/>
      <c r="B344" s="222">
        <v>391.2</v>
      </c>
      <c r="C344" s="223"/>
      <c r="D344" s="237" t="s">
        <v>1439</v>
      </c>
      <c r="E344" s="223"/>
      <c r="F344" s="262">
        <v>0</v>
      </c>
      <c r="G344" s="223"/>
      <c r="H344" s="222">
        <v>21.58</v>
      </c>
      <c r="I344" s="223"/>
      <c r="J344" s="222">
        <v>21.58</v>
      </c>
      <c r="K344" s="223"/>
      <c r="L344" s="225">
        <v>0</v>
      </c>
      <c r="M344" s="204"/>
      <c r="N344" s="225">
        <v>0</v>
      </c>
      <c r="O344" s="225"/>
      <c r="P344" s="226" t="s">
        <v>1282</v>
      </c>
      <c r="Q344" s="226"/>
      <c r="R344" s="227">
        <v>2.8</v>
      </c>
      <c r="S344" s="204"/>
    </row>
    <row r="345" spans="1:19">
      <c r="A345" s="260"/>
      <c r="B345" s="222">
        <v>391.31</v>
      </c>
      <c r="C345" s="223"/>
      <c r="D345" s="237" t="s">
        <v>1440</v>
      </c>
      <c r="E345" s="223"/>
      <c r="F345" s="262">
        <v>0</v>
      </c>
      <c r="G345" s="223"/>
      <c r="H345" s="222">
        <v>8.93</v>
      </c>
      <c r="I345" s="223"/>
      <c r="J345" s="222">
        <v>8.93</v>
      </c>
      <c r="K345" s="223"/>
      <c r="L345" s="225">
        <v>0</v>
      </c>
      <c r="M345" s="204"/>
      <c r="N345" s="225">
        <v>0</v>
      </c>
      <c r="O345" s="225"/>
      <c r="P345" s="226" t="s">
        <v>1441</v>
      </c>
      <c r="Q345" s="226"/>
      <c r="R345" s="227">
        <v>3.2</v>
      </c>
      <c r="S345" s="204"/>
    </row>
    <row r="346" spans="1:19">
      <c r="A346" s="260"/>
      <c r="B346" s="222"/>
      <c r="C346" s="223"/>
      <c r="D346" s="223" t="s">
        <v>1442</v>
      </c>
      <c r="E346" s="223"/>
      <c r="F346" s="262">
        <v>0</v>
      </c>
      <c r="G346" s="223"/>
      <c r="H346" s="222">
        <v>2.44</v>
      </c>
      <c r="I346" s="223"/>
      <c r="J346" s="222">
        <v>2.44</v>
      </c>
      <c r="K346" s="223"/>
      <c r="L346" s="225">
        <v>0</v>
      </c>
      <c r="M346" s="204"/>
      <c r="N346" s="225">
        <v>0</v>
      </c>
      <c r="O346" s="225"/>
      <c r="P346" s="226" t="s">
        <v>1443</v>
      </c>
      <c r="Q346" s="226"/>
      <c r="R346" s="227">
        <v>6.3</v>
      </c>
    </row>
    <row r="347" spans="1:19">
      <c r="A347" s="260"/>
      <c r="B347" s="222">
        <v>392.1</v>
      </c>
      <c r="C347" s="223"/>
      <c r="D347" s="223" t="s">
        <v>1444</v>
      </c>
      <c r="E347" s="223"/>
      <c r="F347" s="262">
        <v>0</v>
      </c>
      <c r="G347" s="223"/>
      <c r="H347" s="222">
        <v>0.54</v>
      </c>
      <c r="I347" s="223"/>
      <c r="J347" s="222">
        <v>0.54</v>
      </c>
      <c r="K347" s="223"/>
      <c r="L347" s="225">
        <v>0</v>
      </c>
      <c r="M347" s="204"/>
      <c r="N347" s="225">
        <v>0</v>
      </c>
      <c r="O347" s="225"/>
      <c r="P347" s="226" t="s">
        <v>1445</v>
      </c>
      <c r="Q347" s="226"/>
      <c r="R347" s="227">
        <v>12.3</v>
      </c>
    </row>
    <row r="348" spans="1:19">
      <c r="A348" s="260">
        <v>393</v>
      </c>
      <c r="B348" s="222"/>
      <c r="C348" s="223"/>
      <c r="D348" s="233" t="s">
        <v>1446</v>
      </c>
      <c r="E348" s="223"/>
      <c r="F348" s="262">
        <v>0</v>
      </c>
      <c r="G348" s="223"/>
      <c r="H348" s="222">
        <v>5.07</v>
      </c>
      <c r="I348" s="223"/>
      <c r="J348" s="222">
        <v>5.07</v>
      </c>
      <c r="K348" s="223"/>
      <c r="L348" s="225">
        <v>0</v>
      </c>
      <c r="M348" s="204"/>
      <c r="N348" s="225">
        <v>0</v>
      </c>
      <c r="O348" s="225"/>
      <c r="P348" s="226" t="s">
        <v>1447</v>
      </c>
      <c r="Q348" s="226"/>
      <c r="R348" s="227">
        <v>13.9</v>
      </c>
    </row>
    <row r="349" spans="1:19">
      <c r="A349" s="260">
        <v>394</v>
      </c>
      <c r="B349" s="222"/>
      <c r="C349" s="223"/>
      <c r="D349" s="237" t="s">
        <v>1448</v>
      </c>
      <c r="E349" s="223"/>
      <c r="F349" s="262">
        <v>0</v>
      </c>
      <c r="G349" s="223"/>
      <c r="H349" s="222">
        <v>4.2699999999999996</v>
      </c>
      <c r="I349" s="223"/>
      <c r="J349" s="222">
        <v>4.2699999999999996</v>
      </c>
      <c r="K349" s="223"/>
      <c r="L349" s="225">
        <v>0</v>
      </c>
      <c r="M349" s="204"/>
      <c r="N349" s="225">
        <v>0</v>
      </c>
      <c r="O349" s="225"/>
      <c r="P349" s="226" t="s">
        <v>1447</v>
      </c>
      <c r="Q349" s="226"/>
      <c r="R349" s="227">
        <v>18</v>
      </c>
    </row>
    <row r="350" spans="1:19">
      <c r="A350" s="260">
        <v>396</v>
      </c>
      <c r="B350" s="222"/>
      <c r="C350" s="223"/>
      <c r="D350" s="237" t="s">
        <v>1449</v>
      </c>
      <c r="E350" s="223"/>
      <c r="F350" s="262">
        <v>0</v>
      </c>
      <c r="G350" s="223"/>
      <c r="H350" s="222">
        <v>8.89</v>
      </c>
      <c r="I350" s="223"/>
      <c r="J350" s="222">
        <v>8.89</v>
      </c>
      <c r="K350" s="223"/>
      <c r="L350" s="225">
        <v>0</v>
      </c>
      <c r="M350" s="204"/>
      <c r="N350" s="225">
        <v>0</v>
      </c>
      <c r="O350" s="225"/>
      <c r="P350" s="226" t="s">
        <v>1450</v>
      </c>
      <c r="Q350" s="226"/>
      <c r="R350" s="227">
        <v>9.9</v>
      </c>
    </row>
    <row r="351" spans="1:19">
      <c r="A351" s="260"/>
      <c r="B351" s="222"/>
      <c r="C351" s="223"/>
      <c r="D351" s="233" t="s">
        <v>1451</v>
      </c>
      <c r="E351" s="223"/>
      <c r="F351" s="262">
        <v>0</v>
      </c>
      <c r="G351" s="223"/>
      <c r="H351" s="222">
        <v>5.7</v>
      </c>
      <c r="I351" s="223"/>
      <c r="J351" s="222">
        <v>5.7</v>
      </c>
      <c r="K351" s="223"/>
      <c r="L351" s="225">
        <v>0</v>
      </c>
      <c r="M351" s="223"/>
      <c r="N351" s="225">
        <v>0</v>
      </c>
      <c r="O351" s="225"/>
      <c r="P351" s="226" t="s">
        <v>1452</v>
      </c>
      <c r="Q351" s="226"/>
      <c r="R351" s="227">
        <v>8.5</v>
      </c>
    </row>
    <row r="352" spans="1:19">
      <c r="A352" s="260"/>
      <c r="B352" s="222">
        <v>397.2</v>
      </c>
      <c r="C352" s="223"/>
      <c r="D352" s="233" t="s">
        <v>1453</v>
      </c>
      <c r="E352" s="223"/>
      <c r="F352" s="262">
        <v>0</v>
      </c>
      <c r="G352" s="223"/>
      <c r="H352" s="222">
        <v>3.75</v>
      </c>
      <c r="I352" s="223"/>
      <c r="J352" s="222">
        <v>3.75</v>
      </c>
      <c r="K352" s="223"/>
      <c r="L352" s="225">
        <v>0</v>
      </c>
      <c r="M352" s="223"/>
      <c r="N352" s="225">
        <v>0</v>
      </c>
      <c r="O352" s="225"/>
      <c r="P352" s="226" t="s">
        <v>1454</v>
      </c>
      <c r="Q352" s="226"/>
      <c r="R352" s="227">
        <v>19.100000000000001</v>
      </c>
    </row>
    <row r="353" spans="1:19">
      <c r="A353" s="260"/>
      <c r="B353" s="222">
        <v>397.3</v>
      </c>
      <c r="C353" s="223"/>
      <c r="D353" s="233" t="s">
        <v>1455</v>
      </c>
      <c r="E353" s="223"/>
      <c r="F353" s="262">
        <v>0</v>
      </c>
      <c r="G353" s="223"/>
      <c r="H353" s="231" t="s">
        <v>1293</v>
      </c>
      <c r="I353" s="232"/>
      <c r="J353" s="222">
        <v>0</v>
      </c>
      <c r="K353" s="232"/>
      <c r="L353" s="225">
        <v>0</v>
      </c>
      <c r="M353" s="223"/>
      <c r="N353" s="225">
        <v>0</v>
      </c>
      <c r="O353" s="225"/>
      <c r="P353" s="226" t="s">
        <v>1296</v>
      </c>
      <c r="Q353" s="226"/>
      <c r="R353" s="227" t="s">
        <v>1294</v>
      </c>
    </row>
    <row r="354" spans="1:19">
      <c r="A354" s="260"/>
      <c r="B354" s="222">
        <v>397.2</v>
      </c>
      <c r="C354" s="223"/>
      <c r="D354" s="223" t="s">
        <v>1456</v>
      </c>
      <c r="E354" s="223"/>
      <c r="F354" s="262">
        <v>0</v>
      </c>
      <c r="G354" s="223"/>
      <c r="H354" s="222">
        <v>5.7</v>
      </c>
      <c r="I354" s="223"/>
      <c r="J354" s="222">
        <v>5.7</v>
      </c>
      <c r="K354" s="223"/>
      <c r="L354" s="225"/>
      <c r="M354" s="223"/>
      <c r="N354" s="225"/>
      <c r="O354" s="225"/>
      <c r="P354" s="212" t="s">
        <v>1452</v>
      </c>
      <c r="Q354" s="203"/>
      <c r="R354" s="212">
        <v>8.5</v>
      </c>
    </row>
    <row r="355" spans="1:19">
      <c r="A355" s="260"/>
      <c r="B355" s="203"/>
      <c r="C355" s="223"/>
      <c r="D355" s="220" t="s">
        <v>1457</v>
      </c>
      <c r="E355" s="223"/>
      <c r="F355" s="262"/>
      <c r="G355" s="223"/>
      <c r="H355" s="222">
        <v>5.55</v>
      </c>
      <c r="I355" s="223"/>
      <c r="J355" s="253"/>
      <c r="K355" s="223"/>
      <c r="L355" s="254"/>
      <c r="M355" s="223"/>
      <c r="N355" s="254"/>
      <c r="O355" s="254"/>
      <c r="P355" s="203"/>
      <c r="Q355" s="203"/>
      <c r="R355" s="204"/>
    </row>
    <row r="356" spans="1:19">
      <c r="A356" s="260"/>
      <c r="B356" s="203"/>
      <c r="C356" s="223"/>
      <c r="D356" s="209"/>
      <c r="E356" s="223"/>
      <c r="F356" s="262"/>
      <c r="G356" s="223"/>
      <c r="H356" s="222"/>
      <c r="I356" s="223"/>
      <c r="J356" s="253"/>
      <c r="K356" s="223"/>
      <c r="L356" s="254"/>
      <c r="M356" s="223"/>
      <c r="N356" s="254"/>
      <c r="O356" s="254"/>
      <c r="P356" s="203"/>
      <c r="Q356" s="203"/>
      <c r="R356" s="204"/>
    </row>
    <row r="357" spans="1:19">
      <c r="A357" s="260"/>
      <c r="B357" s="203"/>
      <c r="C357" s="223"/>
      <c r="D357" s="220" t="s">
        <v>1458</v>
      </c>
      <c r="E357" s="223"/>
      <c r="F357" s="262"/>
      <c r="G357" s="223"/>
      <c r="H357" s="222">
        <v>2.97</v>
      </c>
      <c r="I357" s="223"/>
      <c r="J357" s="253"/>
      <c r="K357" s="223"/>
      <c r="L357" s="254"/>
      <c r="M357" s="223"/>
      <c r="N357" s="254"/>
      <c r="O357" s="254"/>
      <c r="P357" s="203"/>
      <c r="Q357" s="203"/>
      <c r="R357" s="204"/>
    </row>
    <row r="358" spans="1:19">
      <c r="A358" s="260"/>
      <c r="B358" s="203"/>
      <c r="C358" s="223"/>
      <c r="D358" s="220"/>
      <c r="E358" s="223"/>
      <c r="F358" s="262"/>
      <c r="G358" s="223"/>
      <c r="H358" s="222"/>
      <c r="I358" s="223"/>
      <c r="J358" s="253"/>
      <c r="K358" s="223"/>
      <c r="L358" s="254"/>
      <c r="M358" s="223"/>
      <c r="N358" s="254"/>
      <c r="O358" s="254"/>
      <c r="P358" s="203"/>
      <c r="Q358" s="203"/>
      <c r="R358" s="204"/>
    </row>
    <row r="359" spans="1:19">
      <c r="A359" s="260"/>
      <c r="B359" s="222">
        <v>390.1</v>
      </c>
      <c r="C359" s="223"/>
      <c r="D359" s="237" t="s">
        <v>1434</v>
      </c>
      <c r="E359" s="223"/>
      <c r="F359" s="262">
        <v>-10</v>
      </c>
      <c r="G359" s="223"/>
      <c r="H359" s="222">
        <v>2.0099999999999998</v>
      </c>
      <c r="I359" s="223"/>
      <c r="J359" s="222">
        <v>1.8299999999999998</v>
      </c>
      <c r="K359" s="223"/>
      <c r="L359" s="225">
        <v>0.18</v>
      </c>
      <c r="M359" s="204"/>
      <c r="N359" s="225">
        <v>0</v>
      </c>
      <c r="O359" s="225"/>
      <c r="P359" s="226" t="s">
        <v>1435</v>
      </c>
      <c r="Q359" s="226"/>
      <c r="R359" s="227">
        <v>44.5</v>
      </c>
      <c r="S359" s="204"/>
    </row>
    <row r="360" spans="1:19">
      <c r="A360" s="260"/>
      <c r="B360" s="222">
        <v>390.2</v>
      </c>
      <c r="C360" s="223"/>
      <c r="D360" s="237" t="s">
        <v>1436</v>
      </c>
      <c r="E360" s="223"/>
      <c r="F360" s="262">
        <v>-10</v>
      </c>
      <c r="G360" s="223"/>
      <c r="H360" s="255">
        <v>1.72</v>
      </c>
      <c r="I360" s="223"/>
      <c r="J360" s="222">
        <v>1.56</v>
      </c>
      <c r="K360" s="223"/>
      <c r="L360" s="225">
        <v>0.16</v>
      </c>
      <c r="M360" s="204"/>
      <c r="N360" s="225">
        <v>0</v>
      </c>
      <c r="O360" s="225"/>
      <c r="P360" s="226" t="s">
        <v>1437</v>
      </c>
      <c r="Q360" s="226"/>
      <c r="R360" s="227">
        <v>18.8</v>
      </c>
    </row>
    <row r="361" spans="1:19">
      <c r="A361" s="260">
        <v>390</v>
      </c>
      <c r="B361" s="203"/>
      <c r="C361" s="223"/>
      <c r="D361" s="220"/>
      <c r="E361" s="223"/>
      <c r="F361" s="262">
        <v>-10</v>
      </c>
      <c r="G361" s="223"/>
      <c r="H361" s="222">
        <v>2.007124336896517</v>
      </c>
      <c r="I361" s="223"/>
      <c r="J361" s="253"/>
      <c r="K361" s="223"/>
      <c r="L361" s="254"/>
      <c r="M361" s="223"/>
      <c r="N361" s="254"/>
      <c r="O361" s="254"/>
      <c r="P361" s="226" t="s">
        <v>1892</v>
      </c>
      <c r="Q361" s="203"/>
      <c r="R361" s="452" t="s">
        <v>1893</v>
      </c>
    </row>
    <row r="362" spans="1:19">
      <c r="A362" s="260"/>
      <c r="B362" s="203"/>
      <c r="C362" s="223"/>
      <c r="D362" s="220"/>
      <c r="E362" s="223"/>
      <c r="F362" s="262"/>
      <c r="G362" s="223"/>
      <c r="H362" s="222"/>
      <c r="I362" s="223"/>
      <c r="J362" s="253"/>
      <c r="K362" s="223"/>
      <c r="L362" s="254"/>
      <c r="M362" s="223"/>
      <c r="N362" s="254"/>
      <c r="O362" s="254"/>
      <c r="P362" s="203"/>
      <c r="Q362" s="203"/>
      <c r="R362" s="204"/>
    </row>
    <row r="363" spans="1:19">
      <c r="A363" s="260"/>
      <c r="B363" s="222">
        <v>391.1</v>
      </c>
      <c r="C363" s="223"/>
      <c r="D363" s="237" t="s">
        <v>1438</v>
      </c>
      <c r="E363" s="223"/>
      <c r="F363" s="262">
        <v>0</v>
      </c>
      <c r="G363" s="223"/>
      <c r="H363" s="222">
        <v>4.46</v>
      </c>
      <c r="I363" s="223"/>
      <c r="J363" s="222">
        <v>4.46</v>
      </c>
      <c r="K363" s="223"/>
      <c r="L363" s="225">
        <v>0</v>
      </c>
      <c r="M363" s="204"/>
      <c r="N363" s="225">
        <v>0</v>
      </c>
      <c r="O363" s="225"/>
      <c r="P363" s="226" t="s">
        <v>1280</v>
      </c>
      <c r="Q363" s="226"/>
      <c r="R363" s="227">
        <v>10</v>
      </c>
    </row>
    <row r="364" spans="1:19">
      <c r="A364" s="260"/>
      <c r="B364" s="222">
        <v>391.2</v>
      </c>
      <c r="C364" s="223"/>
      <c r="D364" s="237" t="s">
        <v>1439</v>
      </c>
      <c r="E364" s="223"/>
      <c r="F364" s="262">
        <v>0</v>
      </c>
      <c r="G364" s="223"/>
      <c r="H364" s="222">
        <v>21.58</v>
      </c>
      <c r="I364" s="223"/>
      <c r="J364" s="222">
        <v>21.58</v>
      </c>
      <c r="K364" s="223"/>
      <c r="L364" s="225">
        <v>0</v>
      </c>
      <c r="M364" s="204"/>
      <c r="N364" s="225">
        <v>0</v>
      </c>
      <c r="O364" s="225"/>
      <c r="P364" s="226" t="s">
        <v>1282</v>
      </c>
      <c r="Q364" s="226"/>
      <c r="R364" s="227">
        <v>2.8</v>
      </c>
    </row>
    <row r="365" spans="1:19">
      <c r="A365" s="260"/>
      <c r="B365" s="222">
        <v>391.31</v>
      </c>
      <c r="C365" s="223"/>
      <c r="D365" s="237" t="s">
        <v>1440</v>
      </c>
      <c r="E365" s="223"/>
      <c r="F365" s="262">
        <v>0</v>
      </c>
      <c r="G365" s="223"/>
      <c r="H365" s="255">
        <v>8.93</v>
      </c>
      <c r="I365" s="223"/>
      <c r="J365" s="222">
        <v>8.93</v>
      </c>
      <c r="K365" s="223"/>
      <c r="L365" s="225">
        <v>0</v>
      </c>
      <c r="M365" s="204"/>
      <c r="N365" s="225">
        <v>0</v>
      </c>
      <c r="O365" s="225"/>
      <c r="P365" s="226" t="s">
        <v>1441</v>
      </c>
      <c r="Q365" s="226"/>
      <c r="R365" s="227">
        <v>3.2</v>
      </c>
    </row>
    <row r="366" spans="1:19">
      <c r="A366" s="260">
        <v>391</v>
      </c>
      <c r="B366" s="222"/>
      <c r="C366" s="223"/>
      <c r="D366" s="237"/>
      <c r="E366" s="223"/>
      <c r="F366" s="262">
        <v>0</v>
      </c>
      <c r="G366" s="223"/>
      <c r="H366" s="222">
        <v>14.855218539486245</v>
      </c>
      <c r="I366" s="223"/>
      <c r="J366" s="222"/>
      <c r="K366" s="223"/>
      <c r="L366" s="225"/>
      <c r="M366" s="204"/>
      <c r="N366" s="225"/>
      <c r="O366" s="225"/>
      <c r="P366" s="226" t="s">
        <v>1894</v>
      </c>
      <c r="Q366" s="226"/>
      <c r="R366" s="453" t="s">
        <v>1895</v>
      </c>
    </row>
    <row r="367" spans="1:19">
      <c r="A367" s="260"/>
      <c r="B367" s="222"/>
      <c r="C367" s="223"/>
      <c r="D367" s="237"/>
      <c r="E367" s="223"/>
      <c r="F367" s="262"/>
      <c r="G367" s="223"/>
      <c r="H367" s="222"/>
      <c r="I367" s="223"/>
      <c r="J367" s="222"/>
      <c r="K367" s="223"/>
      <c r="L367" s="225"/>
      <c r="M367" s="204"/>
      <c r="N367" s="225"/>
      <c r="O367" s="225"/>
      <c r="P367" s="226"/>
      <c r="Q367" s="226"/>
      <c r="R367" s="227"/>
    </row>
    <row r="368" spans="1:19">
      <c r="A368" s="260"/>
      <c r="B368" s="203"/>
      <c r="C368" s="223"/>
      <c r="D368" s="220"/>
      <c r="E368" s="223"/>
      <c r="F368" s="262"/>
      <c r="G368" s="223"/>
      <c r="H368" s="222"/>
      <c r="I368" s="223"/>
      <c r="J368" s="253"/>
      <c r="K368" s="223"/>
      <c r="L368" s="254"/>
      <c r="M368" s="223"/>
      <c r="N368" s="254"/>
      <c r="O368" s="254"/>
      <c r="P368" s="203"/>
      <c r="Q368" s="203"/>
      <c r="R368" s="204"/>
    </row>
    <row r="369" spans="1:18">
      <c r="A369" s="260"/>
      <c r="B369" s="222"/>
      <c r="C369" s="223"/>
      <c r="D369" s="223" t="s">
        <v>1442</v>
      </c>
      <c r="E369" s="223"/>
      <c r="F369" s="262">
        <v>0</v>
      </c>
      <c r="G369" s="223"/>
      <c r="H369" s="222">
        <v>2.44</v>
      </c>
      <c r="I369" s="223"/>
      <c r="J369" s="222">
        <v>2.44</v>
      </c>
      <c r="K369" s="223"/>
      <c r="L369" s="225">
        <v>0</v>
      </c>
      <c r="M369" s="204"/>
      <c r="N369" s="225">
        <v>0</v>
      </c>
      <c r="O369" s="225"/>
      <c r="P369" s="226" t="s">
        <v>1443</v>
      </c>
      <c r="Q369" s="226"/>
      <c r="R369" s="227">
        <v>6.3</v>
      </c>
    </row>
    <row r="370" spans="1:18">
      <c r="A370" s="260"/>
      <c r="B370" s="222">
        <v>392.1</v>
      </c>
      <c r="C370" s="223"/>
      <c r="D370" s="223" t="s">
        <v>1444</v>
      </c>
      <c r="E370" s="223"/>
      <c r="F370" s="262">
        <v>0</v>
      </c>
      <c r="G370" s="223"/>
      <c r="H370" s="255">
        <v>0.54</v>
      </c>
      <c r="I370" s="223"/>
      <c r="J370" s="222">
        <v>0.54</v>
      </c>
      <c r="K370" s="223"/>
      <c r="L370" s="225">
        <v>0</v>
      </c>
      <c r="M370" s="204"/>
      <c r="N370" s="225">
        <v>0</v>
      </c>
      <c r="O370" s="225"/>
      <c r="P370" s="226" t="s">
        <v>1445</v>
      </c>
      <c r="Q370" s="226"/>
      <c r="R370" s="227">
        <v>12.3</v>
      </c>
    </row>
    <row r="371" spans="1:18">
      <c r="A371" s="260">
        <v>392</v>
      </c>
      <c r="B371" s="222"/>
      <c r="C371" s="223"/>
      <c r="D371" s="223"/>
      <c r="E371" s="223"/>
      <c r="F371" s="262">
        <v>0</v>
      </c>
      <c r="G371" s="223"/>
      <c r="H371" s="256">
        <v>0.76482369166767916</v>
      </c>
      <c r="I371" s="223"/>
      <c r="J371" s="223"/>
      <c r="K371" s="223"/>
      <c r="L371" s="223"/>
      <c r="M371" s="223"/>
      <c r="N371" s="223"/>
      <c r="O371" s="223"/>
      <c r="P371" s="203" t="s">
        <v>1896</v>
      </c>
      <c r="Q371" s="203"/>
      <c r="R371" s="452" t="s">
        <v>1897</v>
      </c>
    </row>
    <row r="372" spans="1:18">
      <c r="A372" s="260"/>
      <c r="B372" s="222"/>
      <c r="C372" s="223"/>
      <c r="D372" s="223"/>
      <c r="E372" s="223"/>
      <c r="F372" s="262"/>
      <c r="G372" s="223"/>
      <c r="H372" s="257"/>
      <c r="I372" s="223"/>
      <c r="J372" s="223"/>
      <c r="K372" s="223"/>
      <c r="L372" s="223"/>
      <c r="M372" s="223"/>
      <c r="N372" s="223"/>
      <c r="O372" s="223"/>
      <c r="P372" s="203"/>
      <c r="Q372" s="203"/>
      <c r="R372" s="204"/>
    </row>
    <row r="373" spans="1:18">
      <c r="A373" s="260"/>
      <c r="B373" s="222"/>
      <c r="C373" s="223"/>
      <c r="D373" s="223"/>
      <c r="E373" s="223"/>
      <c r="F373" s="262"/>
      <c r="G373" s="223"/>
      <c r="H373" s="257"/>
      <c r="I373" s="223"/>
      <c r="J373" s="223"/>
      <c r="K373" s="223"/>
      <c r="L373" s="223"/>
      <c r="M373" s="223"/>
      <c r="N373" s="223"/>
      <c r="O373" s="223"/>
      <c r="P373" s="203"/>
      <c r="Q373" s="203"/>
      <c r="R373" s="204"/>
    </row>
    <row r="374" spans="1:18">
      <c r="A374" s="260"/>
      <c r="B374" s="222"/>
      <c r="C374" s="223"/>
      <c r="D374" s="233" t="s">
        <v>1451</v>
      </c>
      <c r="E374" s="223"/>
      <c r="F374" s="262">
        <v>0</v>
      </c>
      <c r="G374" s="223"/>
      <c r="H374" s="222">
        <v>5.7</v>
      </c>
      <c r="I374" s="223"/>
      <c r="J374" s="222">
        <v>5.7</v>
      </c>
      <c r="K374" s="223"/>
      <c r="L374" s="225">
        <v>0</v>
      </c>
      <c r="M374" s="223"/>
      <c r="N374" s="225">
        <v>0</v>
      </c>
      <c r="O374" s="225"/>
      <c r="P374" s="226" t="s">
        <v>1452</v>
      </c>
      <c r="Q374" s="226"/>
      <c r="R374" s="227">
        <v>8.5</v>
      </c>
    </row>
    <row r="375" spans="1:18">
      <c r="A375" s="260"/>
      <c r="B375" s="222">
        <v>397.2</v>
      </c>
      <c r="C375" s="223"/>
      <c r="D375" s="233" t="s">
        <v>1453</v>
      </c>
      <c r="E375" s="223"/>
      <c r="F375" s="262">
        <v>0</v>
      </c>
      <c r="G375" s="223"/>
      <c r="H375" s="222">
        <v>3.75</v>
      </c>
      <c r="I375" s="223"/>
      <c r="J375" s="222">
        <v>3.75</v>
      </c>
      <c r="K375" s="223"/>
      <c r="L375" s="225">
        <v>0</v>
      </c>
      <c r="M375" s="223"/>
      <c r="N375" s="225">
        <v>0</v>
      </c>
      <c r="O375" s="225"/>
      <c r="P375" s="226" t="s">
        <v>1454</v>
      </c>
      <c r="Q375" s="226"/>
      <c r="R375" s="227">
        <v>19.100000000000001</v>
      </c>
    </row>
    <row r="376" spans="1:18">
      <c r="A376" s="260"/>
      <c r="B376" s="222">
        <v>397.3</v>
      </c>
      <c r="C376" s="223"/>
      <c r="D376" s="233" t="s">
        <v>1455</v>
      </c>
      <c r="E376" s="223"/>
      <c r="F376" s="262">
        <v>0</v>
      </c>
      <c r="G376" s="223"/>
      <c r="H376" s="231" t="s">
        <v>1293</v>
      </c>
      <c r="I376" s="232"/>
      <c r="J376" s="222">
        <v>0</v>
      </c>
      <c r="K376" s="232"/>
      <c r="L376" s="225">
        <v>0</v>
      </c>
      <c r="M376" s="223"/>
      <c r="N376" s="225">
        <v>0</v>
      </c>
      <c r="O376" s="225"/>
      <c r="P376" s="226" t="s">
        <v>1296</v>
      </c>
      <c r="Q376" s="226"/>
      <c r="R376" s="227" t="s">
        <v>1294</v>
      </c>
    </row>
    <row r="377" spans="1:18">
      <c r="A377" s="260"/>
      <c r="B377" s="222">
        <v>397.2</v>
      </c>
      <c r="C377" s="223"/>
      <c r="D377" s="223" t="s">
        <v>1456</v>
      </c>
      <c r="E377" s="223"/>
      <c r="F377" s="262">
        <v>0</v>
      </c>
      <c r="G377" s="223"/>
      <c r="H377" s="255">
        <v>5.7</v>
      </c>
      <c r="I377" s="223"/>
      <c r="J377" s="222">
        <v>5.7</v>
      </c>
      <c r="K377" s="223"/>
      <c r="L377" s="225">
        <v>0</v>
      </c>
      <c r="M377" s="223"/>
      <c r="N377" s="225">
        <v>0</v>
      </c>
      <c r="O377" s="225"/>
      <c r="P377" s="212" t="s">
        <v>1452</v>
      </c>
      <c r="Q377" s="203"/>
      <c r="R377" s="212">
        <v>8.5</v>
      </c>
    </row>
    <row r="378" spans="1:18">
      <c r="A378" s="260">
        <v>397</v>
      </c>
      <c r="B378" s="222"/>
      <c r="C378" s="223"/>
      <c r="D378" s="223"/>
      <c r="E378" s="223"/>
      <c r="F378" s="262">
        <v>0</v>
      </c>
      <c r="G378" s="223"/>
      <c r="H378" s="256">
        <v>4.4059242875198237</v>
      </c>
      <c r="I378" s="223"/>
      <c r="J378" s="223"/>
      <c r="K378" s="223"/>
      <c r="L378" s="223"/>
      <c r="M378" s="223"/>
      <c r="N378" s="223"/>
      <c r="O378" s="223"/>
      <c r="P378" s="203" t="s">
        <v>1899</v>
      </c>
      <c r="Q378" s="203"/>
      <c r="R378" s="452" t="s">
        <v>1898</v>
      </c>
    </row>
    <row r="379" spans="1:18">
      <c r="F379" s="262"/>
    </row>
    <row r="380" spans="1:18">
      <c r="F380" s="262"/>
    </row>
    <row r="381" spans="1:18">
      <c r="F381" s="262"/>
    </row>
    <row r="382" spans="1:18">
      <c r="F382" s="262"/>
    </row>
    <row r="383" spans="1:18">
      <c r="F383" s="262"/>
    </row>
    <row r="384" spans="1:18">
      <c r="F384" s="262"/>
    </row>
    <row r="385" spans="6:6">
      <c r="F385" s="262"/>
    </row>
    <row r="386" spans="6:6">
      <c r="F386" s="262"/>
    </row>
    <row r="387" spans="6:6">
      <c r="F387" s="262"/>
    </row>
    <row r="388" spans="6:6">
      <c r="F388" s="262"/>
    </row>
    <row r="389" spans="6:6">
      <c r="F389" s="262"/>
    </row>
    <row r="390" spans="6:6">
      <c r="F390" s="262"/>
    </row>
    <row r="391" spans="6:6">
      <c r="F391" s="262"/>
    </row>
    <row r="392" spans="6:6">
      <c r="F392" s="262"/>
    </row>
    <row r="393" spans="6:6">
      <c r="F393" s="262"/>
    </row>
    <row r="394" spans="6:6">
      <c r="F394" s="262"/>
    </row>
    <row r="395" spans="6:6">
      <c r="F395" s="262"/>
    </row>
  </sheetData>
  <mergeCells count="4">
    <mergeCell ref="B1:R1"/>
    <mergeCell ref="B4:R4"/>
    <mergeCell ref="B5:R5"/>
    <mergeCell ref="A11:D11"/>
  </mergeCells>
  <pageMargins left="0.7" right="0.7" top="0.75" bottom="0.75" header="0.3" footer="0.3"/>
  <pageSetup scale="42" fitToHeight="0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R423"/>
  <sheetViews>
    <sheetView zoomScale="75" zoomScaleNormal="75" workbookViewId="0">
      <selection activeCell="D16" sqref="D16"/>
    </sheetView>
  </sheetViews>
  <sheetFormatPr defaultColWidth="11" defaultRowHeight="15.75"/>
  <cols>
    <col min="1" max="1" width="9.109375" style="544" customWidth="1"/>
    <col min="2" max="2" width="11" style="544" customWidth="1"/>
    <col min="3" max="3" width="3.6640625" style="567" customWidth="1"/>
    <col min="4" max="4" width="85.109375" style="544" customWidth="1"/>
    <col min="5" max="5" width="3.6640625" style="569" customWidth="1"/>
    <col min="6" max="6" width="30.33203125" style="552" customWidth="1"/>
    <col min="7" max="7" width="3.6640625" style="544" customWidth="1"/>
    <col min="8" max="8" width="13.21875" style="544" customWidth="1"/>
    <col min="9" max="9" width="3.6640625" style="544" customWidth="1"/>
    <col min="10" max="10" width="11.6640625" style="544" bestFit="1" customWidth="1"/>
    <col min="11" max="11" width="3.6640625" style="544" customWidth="1"/>
    <col min="12" max="12" width="14.109375" style="544" bestFit="1" customWidth="1"/>
    <col min="13" max="13" width="3.6640625" style="544" customWidth="1"/>
    <col min="14" max="14" width="13.88671875" style="544" bestFit="1" customWidth="1"/>
    <col min="15" max="15" width="3.6640625" style="544" customWidth="1"/>
    <col min="16" max="16" width="11" style="544"/>
    <col min="17" max="17" width="3.6640625" style="544" customWidth="1"/>
    <col min="18" max="18" width="14.44140625" style="547" bestFit="1" customWidth="1"/>
    <col min="19" max="16384" width="11" style="544"/>
  </cols>
  <sheetData>
    <row r="1" spans="2:18">
      <c r="B1" s="714" t="s">
        <v>2100</v>
      </c>
      <c r="C1" s="714"/>
      <c r="D1" s="714"/>
      <c r="E1" s="714"/>
      <c r="F1" s="714"/>
      <c r="G1" s="714"/>
      <c r="H1" s="714"/>
      <c r="I1" s="714"/>
      <c r="J1" s="714"/>
      <c r="K1" s="714"/>
      <c r="L1" s="714"/>
      <c r="M1" s="714"/>
      <c r="N1" s="714"/>
      <c r="O1" s="714"/>
      <c r="P1" s="714"/>
      <c r="Q1" s="714"/>
      <c r="R1" s="714"/>
    </row>
    <row r="2" spans="2:18">
      <c r="B2" s="545"/>
      <c r="C2" s="546"/>
      <c r="D2" s="545"/>
      <c r="E2" s="545"/>
      <c r="F2" s="545"/>
      <c r="G2" s="545"/>
      <c r="H2" s="545"/>
    </row>
    <row r="3" spans="2:18">
      <c r="B3" s="545"/>
      <c r="C3" s="546"/>
      <c r="D3" s="545"/>
      <c r="E3" s="545"/>
      <c r="F3" s="545"/>
      <c r="G3" s="545"/>
      <c r="H3" s="545"/>
    </row>
    <row r="4" spans="2:18">
      <c r="B4" s="714" t="s">
        <v>2490</v>
      </c>
      <c r="C4" s="714"/>
      <c r="D4" s="714"/>
      <c r="E4" s="714"/>
      <c r="F4" s="714"/>
      <c r="G4" s="714"/>
      <c r="H4" s="714"/>
      <c r="I4" s="714"/>
      <c r="J4" s="714"/>
      <c r="K4" s="714"/>
      <c r="L4" s="714"/>
      <c r="M4" s="714"/>
      <c r="N4" s="714"/>
      <c r="O4" s="714"/>
      <c r="P4" s="714"/>
      <c r="Q4" s="714"/>
      <c r="R4" s="714"/>
    </row>
    <row r="5" spans="2:18">
      <c r="B5" s="714" t="s">
        <v>2491</v>
      </c>
      <c r="C5" s="714"/>
      <c r="D5" s="714"/>
      <c r="E5" s="714"/>
      <c r="F5" s="714"/>
      <c r="G5" s="714"/>
      <c r="H5" s="714"/>
      <c r="I5" s="714"/>
      <c r="J5" s="714"/>
      <c r="K5" s="714"/>
      <c r="L5" s="714"/>
      <c r="M5" s="714"/>
      <c r="N5" s="714"/>
      <c r="O5" s="714"/>
      <c r="P5" s="714"/>
      <c r="Q5" s="714"/>
      <c r="R5" s="714"/>
    </row>
    <row r="6" spans="2:18">
      <c r="B6" s="655"/>
      <c r="C6" s="655"/>
      <c r="D6" s="655"/>
      <c r="E6" s="655"/>
      <c r="F6" s="655"/>
      <c r="G6" s="655"/>
      <c r="H6" s="655"/>
      <c r="I6" s="655"/>
      <c r="J6" s="655"/>
      <c r="K6" s="655"/>
      <c r="L6" s="655"/>
      <c r="M6" s="655"/>
      <c r="N6" s="655"/>
      <c r="O6" s="655"/>
      <c r="P6" s="655"/>
      <c r="Q6" s="655"/>
      <c r="R6" s="655"/>
    </row>
    <row r="7" spans="2:18">
      <c r="B7" s="548"/>
      <c r="C7" s="549"/>
      <c r="D7" s="550"/>
      <c r="E7" s="551"/>
      <c r="G7" s="550"/>
    </row>
    <row r="8" spans="2:18">
      <c r="B8" s="553"/>
      <c r="C8" s="546"/>
      <c r="D8" s="554"/>
      <c r="E8" s="655"/>
      <c r="F8" s="555" t="s">
        <v>1263</v>
      </c>
      <c r="G8" s="655"/>
      <c r="H8" s="556"/>
      <c r="J8" s="655"/>
      <c r="K8" s="655"/>
      <c r="L8" s="655" t="s">
        <v>1261</v>
      </c>
      <c r="M8" s="655"/>
      <c r="N8" s="655" t="s">
        <v>2492</v>
      </c>
      <c r="R8" s="557" t="s">
        <v>1268</v>
      </c>
    </row>
    <row r="9" spans="2:18">
      <c r="B9" s="553"/>
      <c r="C9" s="546"/>
      <c r="D9" s="655"/>
      <c r="E9" s="655"/>
      <c r="F9" s="555" t="s">
        <v>1267</v>
      </c>
      <c r="G9" s="655"/>
      <c r="H9" s="558" t="s">
        <v>1269</v>
      </c>
      <c r="J9" s="655" t="s">
        <v>2493</v>
      </c>
      <c r="K9" s="655"/>
      <c r="L9" s="655" t="s">
        <v>2494</v>
      </c>
      <c r="M9" s="655"/>
      <c r="N9" s="655" t="s">
        <v>2495</v>
      </c>
      <c r="P9" s="655" t="s">
        <v>1270</v>
      </c>
      <c r="R9" s="557" t="s">
        <v>1271</v>
      </c>
    </row>
    <row r="10" spans="2:18">
      <c r="B10" s="553"/>
      <c r="C10" s="546"/>
      <c r="D10" s="655" t="s">
        <v>1272</v>
      </c>
      <c r="E10" s="655"/>
      <c r="F10" s="555" t="s">
        <v>1273</v>
      </c>
      <c r="G10" s="655"/>
      <c r="H10" s="554" t="s">
        <v>1275</v>
      </c>
      <c r="J10" s="559" t="s">
        <v>1275</v>
      </c>
      <c r="K10" s="655"/>
      <c r="L10" s="559" t="s">
        <v>1275</v>
      </c>
      <c r="M10" s="655"/>
      <c r="N10" s="559" t="s">
        <v>1275</v>
      </c>
      <c r="P10" s="655" t="s">
        <v>1276</v>
      </c>
      <c r="R10" s="560" t="s">
        <v>1277</v>
      </c>
    </row>
    <row r="11" spans="2:18" s="565" customFormat="1">
      <c r="B11" s="561"/>
      <c r="C11" s="562"/>
      <c r="D11" s="563"/>
      <c r="E11" s="564"/>
      <c r="F11" s="563"/>
      <c r="G11" s="564"/>
      <c r="H11" s="563"/>
      <c r="J11" s="564"/>
      <c r="K11" s="564"/>
      <c r="L11" s="564"/>
      <c r="M11" s="564"/>
      <c r="N11" s="564"/>
      <c r="P11" s="563"/>
      <c r="R11" s="547"/>
    </row>
    <row r="12" spans="2:18">
      <c r="B12" s="553"/>
      <c r="C12" s="546"/>
      <c r="D12" s="566"/>
      <c r="E12" s="566"/>
      <c r="F12" s="555"/>
      <c r="G12" s="566"/>
      <c r="H12" s="566"/>
      <c r="P12" s="566"/>
    </row>
    <row r="13" spans="2:18">
      <c r="B13" s="553"/>
      <c r="D13" s="568" t="s">
        <v>1278</v>
      </c>
      <c r="P13" s="569"/>
    </row>
    <row r="14" spans="2:18">
      <c r="B14" s="553"/>
      <c r="P14" s="569"/>
    </row>
    <row r="15" spans="2:18">
      <c r="B15" s="553"/>
      <c r="D15" s="570" t="s">
        <v>297</v>
      </c>
      <c r="J15" s="571"/>
      <c r="K15" s="571"/>
      <c r="L15" s="571"/>
      <c r="M15" s="571"/>
      <c r="N15" s="571"/>
      <c r="P15" s="569"/>
    </row>
    <row r="16" spans="2:18">
      <c r="B16" s="553"/>
      <c r="J16" s="571"/>
      <c r="K16" s="571"/>
      <c r="L16" s="571"/>
      <c r="M16" s="571"/>
      <c r="N16" s="571"/>
      <c r="P16" s="569"/>
    </row>
    <row r="17" spans="1:18">
      <c r="B17" s="572">
        <v>302</v>
      </c>
      <c r="D17" s="573" t="s">
        <v>1279</v>
      </c>
      <c r="E17" s="574"/>
      <c r="F17" s="575">
        <v>0</v>
      </c>
      <c r="H17" s="576">
        <v>3.63</v>
      </c>
      <c r="J17" s="571">
        <v>3.63</v>
      </c>
      <c r="K17" s="571"/>
      <c r="L17" s="571">
        <v>0</v>
      </c>
      <c r="M17" s="571"/>
      <c r="N17" s="571">
        <v>0</v>
      </c>
      <c r="P17" s="574" t="s">
        <v>1280</v>
      </c>
      <c r="R17" s="547">
        <v>1.6</v>
      </c>
    </row>
    <row r="18" spans="1:18">
      <c r="B18" s="572"/>
      <c r="D18" s="573"/>
      <c r="E18" s="574"/>
      <c r="F18" s="575"/>
      <c r="H18" s="576"/>
      <c r="J18" s="571"/>
      <c r="K18" s="571"/>
      <c r="L18" s="571"/>
      <c r="M18" s="571"/>
      <c r="N18" s="571"/>
      <c r="P18" s="574"/>
    </row>
    <row r="19" spans="1:18">
      <c r="B19" s="572">
        <v>303</v>
      </c>
      <c r="D19" s="544" t="s">
        <v>1281</v>
      </c>
      <c r="E19" s="574"/>
      <c r="F19" s="575">
        <v>0</v>
      </c>
      <c r="H19" s="576">
        <v>20.96</v>
      </c>
      <c r="J19" s="571">
        <v>20.96</v>
      </c>
      <c r="K19" s="571"/>
      <c r="L19" s="571">
        <v>0</v>
      </c>
      <c r="M19" s="571"/>
      <c r="N19" s="571">
        <v>0</v>
      </c>
      <c r="P19" s="574" t="s">
        <v>1282</v>
      </c>
      <c r="R19" s="547">
        <v>3.1</v>
      </c>
    </row>
    <row r="20" spans="1:18">
      <c r="B20" s="572">
        <v>303.10000000000002</v>
      </c>
      <c r="D20" s="544" t="s">
        <v>1283</v>
      </c>
      <c r="E20" s="574" t="s">
        <v>2496</v>
      </c>
      <c r="F20" s="575">
        <v>0</v>
      </c>
      <c r="H20" s="577">
        <v>10.06</v>
      </c>
      <c r="J20" s="571">
        <v>10.06</v>
      </c>
      <c r="K20" s="571"/>
      <c r="L20" s="571">
        <v>0</v>
      </c>
      <c r="M20" s="571"/>
      <c r="N20" s="571">
        <v>0</v>
      </c>
      <c r="P20" s="574" t="s">
        <v>1284</v>
      </c>
      <c r="R20" s="547">
        <v>3.5</v>
      </c>
    </row>
    <row r="21" spans="1:18">
      <c r="A21" s="544">
        <v>302</v>
      </c>
      <c r="B21" s="553"/>
      <c r="D21" s="568" t="s">
        <v>1285</v>
      </c>
      <c r="F21" s="617" t="s">
        <v>1900</v>
      </c>
      <c r="H21" s="578">
        <f>((10731787+4131034)/(51209431.96+41045494.53)*100)</f>
        <v>16.110598713241682</v>
      </c>
      <c r="J21" s="571"/>
      <c r="K21" s="571"/>
      <c r="L21" s="571"/>
      <c r="M21" s="571"/>
      <c r="N21" s="571"/>
      <c r="P21" s="569" t="str">
        <f>P17</f>
        <v>20-SQ</v>
      </c>
      <c r="R21" s="547">
        <f>R17</f>
        <v>1.6</v>
      </c>
    </row>
    <row r="22" spans="1:18">
      <c r="A22" s="544">
        <v>303</v>
      </c>
      <c r="B22" s="553"/>
      <c r="D22" s="568" t="s">
        <v>1285</v>
      </c>
      <c r="F22" s="617" t="s">
        <v>1900</v>
      </c>
      <c r="H22" s="578">
        <f>((10731787+4131034)/(51209431.96+41045494.53)*100)</f>
        <v>16.110598713241682</v>
      </c>
      <c r="J22" s="571"/>
      <c r="K22" s="571"/>
      <c r="L22" s="571"/>
      <c r="M22" s="571"/>
      <c r="N22" s="571"/>
      <c r="P22" s="618" t="s">
        <v>1459</v>
      </c>
      <c r="R22" s="619" t="s">
        <v>2602</v>
      </c>
    </row>
    <row r="23" spans="1:18">
      <c r="B23" s="553"/>
      <c r="D23" s="568"/>
      <c r="H23" s="578"/>
      <c r="J23" s="571"/>
      <c r="K23" s="571"/>
      <c r="L23" s="571"/>
      <c r="M23" s="571"/>
      <c r="N23" s="571"/>
      <c r="P23" s="569"/>
    </row>
    <row r="24" spans="1:18">
      <c r="B24" s="553"/>
      <c r="H24" s="578"/>
      <c r="J24" s="571"/>
      <c r="K24" s="571"/>
      <c r="L24" s="571"/>
      <c r="M24" s="571"/>
      <c r="N24" s="571"/>
      <c r="P24" s="569"/>
    </row>
    <row r="25" spans="1:18">
      <c r="B25" s="553"/>
      <c r="D25" s="554" t="s">
        <v>1286</v>
      </c>
      <c r="H25" s="576"/>
      <c r="J25" s="571"/>
      <c r="K25" s="571"/>
      <c r="L25" s="571"/>
      <c r="M25" s="571"/>
      <c r="N25" s="571"/>
      <c r="P25" s="569"/>
    </row>
    <row r="26" spans="1:18">
      <c r="B26" s="553"/>
      <c r="D26" s="579"/>
      <c r="H26" s="576"/>
      <c r="J26" s="571"/>
      <c r="K26" s="571"/>
      <c r="L26" s="571"/>
      <c r="M26" s="571"/>
      <c r="N26" s="571"/>
      <c r="P26" s="569"/>
    </row>
    <row r="27" spans="1:18">
      <c r="B27" s="572">
        <v>311</v>
      </c>
      <c r="D27" s="544" t="s">
        <v>1287</v>
      </c>
      <c r="E27" s="574"/>
      <c r="F27" s="575"/>
      <c r="H27" s="576"/>
      <c r="J27" s="571"/>
      <c r="K27" s="571"/>
      <c r="L27" s="571"/>
      <c r="M27" s="571"/>
      <c r="N27" s="571"/>
      <c r="P27" s="574"/>
    </row>
    <row r="28" spans="1:18">
      <c r="B28" s="572"/>
      <c r="D28" s="573" t="s">
        <v>1288</v>
      </c>
      <c r="E28" s="574" t="s">
        <v>2496</v>
      </c>
      <c r="F28" s="575">
        <v>-13</v>
      </c>
      <c r="H28" s="576">
        <v>1.84</v>
      </c>
      <c r="J28" s="571">
        <v>1.6300000000000001</v>
      </c>
      <c r="K28" s="571"/>
      <c r="L28" s="571">
        <v>0.21</v>
      </c>
      <c r="M28" s="571"/>
      <c r="N28" s="571">
        <v>0</v>
      </c>
      <c r="P28" s="574" t="s">
        <v>2497</v>
      </c>
      <c r="R28" s="547">
        <v>48.2</v>
      </c>
    </row>
    <row r="29" spans="1:18">
      <c r="B29" s="572"/>
      <c r="D29" s="573" t="s">
        <v>1290</v>
      </c>
      <c r="E29" s="574" t="s">
        <v>2496</v>
      </c>
      <c r="F29" s="575">
        <v>-13</v>
      </c>
      <c r="H29" s="576">
        <v>1.23</v>
      </c>
      <c r="J29" s="571">
        <v>1.0899999999999999</v>
      </c>
      <c r="K29" s="571"/>
      <c r="L29" s="571">
        <v>0.14000000000000001</v>
      </c>
      <c r="M29" s="571"/>
      <c r="N29" s="571">
        <v>0</v>
      </c>
      <c r="P29" s="574" t="s">
        <v>2497</v>
      </c>
      <c r="R29" s="547">
        <v>46.8</v>
      </c>
    </row>
    <row r="30" spans="1:18">
      <c r="B30" s="572"/>
      <c r="D30" s="573" t="s">
        <v>1291</v>
      </c>
      <c r="E30" s="574" t="s">
        <v>2496</v>
      </c>
      <c r="F30" s="575">
        <v>-1</v>
      </c>
      <c r="H30" s="576">
        <v>1.51</v>
      </c>
      <c r="J30" s="571">
        <v>1.5</v>
      </c>
      <c r="K30" s="571"/>
      <c r="L30" s="571">
        <v>0.01</v>
      </c>
      <c r="M30" s="571"/>
      <c r="N30" s="571">
        <v>0</v>
      </c>
      <c r="P30" s="574" t="s">
        <v>2497</v>
      </c>
      <c r="R30" s="547">
        <v>24.1</v>
      </c>
    </row>
    <row r="31" spans="1:18">
      <c r="B31" s="572"/>
      <c r="D31" s="580" t="s">
        <v>1300</v>
      </c>
      <c r="E31" s="574" t="s">
        <v>2496</v>
      </c>
      <c r="F31" s="575">
        <v>-6</v>
      </c>
      <c r="H31" s="576">
        <v>0.32</v>
      </c>
      <c r="J31" s="571">
        <v>0.3</v>
      </c>
      <c r="K31" s="571"/>
      <c r="L31" s="571">
        <v>0.02</v>
      </c>
      <c r="M31" s="571"/>
      <c r="N31" s="571">
        <v>0</v>
      </c>
      <c r="P31" s="574" t="s">
        <v>2497</v>
      </c>
      <c r="R31" s="547">
        <v>7.5</v>
      </c>
    </row>
    <row r="32" spans="1:18">
      <c r="B32" s="572"/>
      <c r="D32" s="580" t="s">
        <v>1301</v>
      </c>
      <c r="E32" s="574" t="s">
        <v>2496</v>
      </c>
      <c r="F32" s="575">
        <v>-6</v>
      </c>
      <c r="H32" s="576">
        <v>1.38</v>
      </c>
      <c r="J32" s="571">
        <v>1.2999999999999998</v>
      </c>
      <c r="K32" s="571"/>
      <c r="L32" s="571">
        <v>0.08</v>
      </c>
      <c r="M32" s="571"/>
      <c r="N32" s="571">
        <v>0</v>
      </c>
      <c r="P32" s="574" t="s">
        <v>2497</v>
      </c>
      <c r="R32" s="547">
        <v>13.4</v>
      </c>
    </row>
    <row r="33" spans="2:18">
      <c r="B33" s="572"/>
      <c r="D33" s="580" t="s">
        <v>1302</v>
      </c>
      <c r="E33" s="574" t="s">
        <v>2496</v>
      </c>
      <c r="F33" s="575">
        <v>-6</v>
      </c>
      <c r="H33" s="576">
        <v>2.29</v>
      </c>
      <c r="J33" s="571">
        <v>2.16</v>
      </c>
      <c r="K33" s="571"/>
      <c r="L33" s="571">
        <v>0.13</v>
      </c>
      <c r="M33" s="571"/>
      <c r="N33" s="571">
        <v>0</v>
      </c>
      <c r="P33" s="574" t="s">
        <v>2497</v>
      </c>
      <c r="R33" s="547">
        <v>19.2</v>
      </c>
    </row>
    <row r="34" spans="2:18">
      <c r="B34" s="572"/>
      <c r="D34" s="580" t="s">
        <v>1303</v>
      </c>
      <c r="E34" s="574" t="s">
        <v>2496</v>
      </c>
      <c r="F34" s="575">
        <v>-6</v>
      </c>
      <c r="H34" s="576">
        <v>4.4800000000000004</v>
      </c>
      <c r="J34" s="571">
        <v>4.2300000000000004</v>
      </c>
      <c r="K34" s="571"/>
      <c r="L34" s="571">
        <v>0.25</v>
      </c>
      <c r="M34" s="571"/>
      <c r="N34" s="571">
        <v>0</v>
      </c>
      <c r="P34" s="574" t="s">
        <v>2497</v>
      </c>
      <c r="R34" s="547">
        <v>19.399999999999999</v>
      </c>
    </row>
    <row r="35" spans="2:18">
      <c r="B35" s="572"/>
      <c r="D35" s="580" t="s">
        <v>1305</v>
      </c>
      <c r="E35" s="574" t="s">
        <v>2496</v>
      </c>
      <c r="F35" s="575">
        <v>-7</v>
      </c>
      <c r="H35" s="576">
        <v>1.08</v>
      </c>
      <c r="J35" s="571">
        <v>1.01</v>
      </c>
      <c r="K35" s="571"/>
      <c r="L35" s="571">
        <v>7.0000000000000007E-2</v>
      </c>
      <c r="M35" s="571"/>
      <c r="N35" s="571">
        <v>0</v>
      </c>
      <c r="P35" s="574" t="s">
        <v>2497</v>
      </c>
      <c r="R35" s="547">
        <v>18.3</v>
      </c>
    </row>
    <row r="36" spans="2:18">
      <c r="B36" s="572"/>
      <c r="D36" s="580" t="s">
        <v>1306</v>
      </c>
      <c r="E36" s="574" t="s">
        <v>2496</v>
      </c>
      <c r="F36" s="575">
        <v>-7</v>
      </c>
      <c r="H36" s="576">
        <v>0.77</v>
      </c>
      <c r="J36" s="571">
        <v>0.72</v>
      </c>
      <c r="K36" s="571"/>
      <c r="L36" s="571">
        <v>0.05</v>
      </c>
      <c r="M36" s="571"/>
      <c r="N36" s="571">
        <v>0</v>
      </c>
      <c r="P36" s="574" t="s">
        <v>2497</v>
      </c>
      <c r="R36" s="547">
        <v>18.3</v>
      </c>
    </row>
    <row r="37" spans="2:18">
      <c r="B37" s="572"/>
      <c r="D37" s="580" t="s">
        <v>1307</v>
      </c>
      <c r="E37" s="574" t="s">
        <v>2496</v>
      </c>
      <c r="F37" s="575">
        <v>-7</v>
      </c>
      <c r="H37" s="576">
        <v>0.99</v>
      </c>
      <c r="J37" s="571">
        <v>0.92999999999999994</v>
      </c>
      <c r="K37" s="571"/>
      <c r="L37" s="571">
        <v>0.06</v>
      </c>
      <c r="M37" s="571"/>
      <c r="N37" s="571">
        <v>0</v>
      </c>
      <c r="P37" s="574" t="s">
        <v>2497</v>
      </c>
      <c r="R37" s="547">
        <v>18</v>
      </c>
    </row>
    <row r="38" spans="2:18">
      <c r="B38" s="572"/>
      <c r="D38" s="580" t="s">
        <v>1308</v>
      </c>
      <c r="E38" s="574" t="s">
        <v>2496</v>
      </c>
      <c r="F38" s="575">
        <v>-7</v>
      </c>
      <c r="H38" s="576">
        <v>2.0099999999999998</v>
      </c>
      <c r="J38" s="571">
        <v>1.88</v>
      </c>
      <c r="K38" s="571"/>
      <c r="L38" s="571">
        <v>0.13</v>
      </c>
      <c r="M38" s="571"/>
      <c r="N38" s="571">
        <v>0</v>
      </c>
      <c r="P38" s="574" t="s">
        <v>2497</v>
      </c>
      <c r="R38" s="547">
        <v>21.1</v>
      </c>
    </row>
    <row r="39" spans="2:18">
      <c r="B39" s="572"/>
      <c r="D39" s="580" t="s">
        <v>1309</v>
      </c>
      <c r="E39" s="574" t="s">
        <v>2496</v>
      </c>
      <c r="F39" s="575">
        <v>-7</v>
      </c>
      <c r="H39" s="576">
        <v>2.71</v>
      </c>
      <c r="J39" s="571">
        <v>2.5299999999999998</v>
      </c>
      <c r="K39" s="571"/>
      <c r="L39" s="571">
        <v>0.18</v>
      </c>
      <c r="M39" s="571"/>
      <c r="N39" s="571">
        <v>0</v>
      </c>
      <c r="P39" s="574" t="s">
        <v>2497</v>
      </c>
      <c r="R39" s="547">
        <v>22.1</v>
      </c>
    </row>
    <row r="40" spans="2:18">
      <c r="B40" s="572"/>
      <c r="D40" s="580" t="s">
        <v>1310</v>
      </c>
      <c r="E40" s="574" t="s">
        <v>2496</v>
      </c>
      <c r="F40" s="575">
        <v>-7</v>
      </c>
      <c r="H40" s="576">
        <v>1.1000000000000001</v>
      </c>
      <c r="J40" s="571">
        <v>1.03</v>
      </c>
      <c r="K40" s="571"/>
      <c r="L40" s="571">
        <v>7.0000000000000007E-2</v>
      </c>
      <c r="M40" s="571"/>
      <c r="N40" s="571">
        <v>0</v>
      </c>
      <c r="P40" s="574" t="s">
        <v>2497</v>
      </c>
      <c r="R40" s="547">
        <v>18.2</v>
      </c>
    </row>
    <row r="41" spans="2:18">
      <c r="B41" s="572"/>
      <c r="E41" s="574"/>
      <c r="F41" s="575"/>
      <c r="H41" s="576"/>
      <c r="J41" s="571"/>
      <c r="K41" s="571"/>
      <c r="L41" s="571"/>
      <c r="M41" s="571"/>
      <c r="N41" s="571"/>
      <c r="P41" s="574"/>
    </row>
    <row r="42" spans="2:18">
      <c r="B42" s="572"/>
      <c r="D42" s="581" t="s">
        <v>1311</v>
      </c>
      <c r="E42" s="574"/>
      <c r="F42" s="271" t="s">
        <v>2581</v>
      </c>
      <c r="H42" s="576">
        <v>2.16</v>
      </c>
      <c r="J42" s="571"/>
      <c r="K42" s="571"/>
      <c r="L42" s="571"/>
      <c r="M42" s="571"/>
      <c r="N42" s="571"/>
      <c r="P42" s="574" t="str">
        <f>P40</f>
        <v>100-R2.5</v>
      </c>
      <c r="R42" s="547">
        <v>27.4</v>
      </c>
    </row>
    <row r="43" spans="2:18">
      <c r="B43" s="572"/>
      <c r="D43" s="581"/>
      <c r="E43" s="574"/>
      <c r="F43" s="575"/>
      <c r="H43" s="576"/>
      <c r="J43" s="571"/>
      <c r="K43" s="571"/>
      <c r="L43" s="571"/>
      <c r="M43" s="571"/>
      <c r="N43" s="571"/>
      <c r="P43" s="574"/>
    </row>
    <row r="44" spans="2:18">
      <c r="J44" s="571"/>
      <c r="K44" s="571"/>
      <c r="L44" s="571"/>
      <c r="M44" s="571"/>
      <c r="N44" s="571"/>
      <c r="P44" s="569"/>
    </row>
    <row r="45" spans="2:18">
      <c r="B45" s="572">
        <v>311.10000000000002</v>
      </c>
      <c r="D45" s="573" t="s">
        <v>2498</v>
      </c>
      <c r="E45" s="574"/>
      <c r="F45" s="575"/>
      <c r="H45" s="576"/>
      <c r="J45" s="571"/>
      <c r="K45" s="571"/>
      <c r="L45" s="571"/>
      <c r="M45" s="571"/>
      <c r="N45" s="571"/>
      <c r="P45" s="574"/>
    </row>
    <row r="46" spans="2:18">
      <c r="B46" s="572"/>
      <c r="D46" s="573" t="s">
        <v>2499</v>
      </c>
      <c r="E46" s="574" t="s">
        <v>2496</v>
      </c>
      <c r="F46" s="575">
        <v>0</v>
      </c>
      <c r="H46" s="576">
        <v>1.06</v>
      </c>
      <c r="J46" s="571">
        <v>1.06</v>
      </c>
      <c r="K46" s="571"/>
      <c r="L46" s="571">
        <v>0</v>
      </c>
      <c r="M46" s="571"/>
      <c r="N46" s="571">
        <v>0</v>
      </c>
      <c r="P46" s="574" t="s">
        <v>2500</v>
      </c>
      <c r="R46" s="547">
        <v>49.9</v>
      </c>
    </row>
    <row r="47" spans="2:18">
      <c r="B47" s="572"/>
      <c r="D47" s="580" t="s">
        <v>2501</v>
      </c>
      <c r="E47" s="574" t="s">
        <v>2496</v>
      </c>
      <c r="F47" s="575">
        <v>0</v>
      </c>
      <c r="H47" s="576">
        <v>0.69</v>
      </c>
      <c r="J47" s="571">
        <v>0.69</v>
      </c>
      <c r="K47" s="571"/>
      <c r="L47" s="571">
        <v>0</v>
      </c>
      <c r="M47" s="571"/>
      <c r="N47" s="571">
        <v>0</v>
      </c>
      <c r="P47" s="574" t="s">
        <v>2500</v>
      </c>
      <c r="R47" s="547">
        <v>18.5</v>
      </c>
    </row>
    <row r="48" spans="2:18">
      <c r="B48" s="572"/>
      <c r="D48" s="580" t="s">
        <v>2502</v>
      </c>
      <c r="E48" s="574" t="s">
        <v>2496</v>
      </c>
      <c r="F48" s="575">
        <v>0</v>
      </c>
      <c r="H48" s="576">
        <v>0.31</v>
      </c>
      <c r="J48" s="571">
        <v>0.31</v>
      </c>
      <c r="K48" s="571"/>
      <c r="L48" s="571">
        <v>0</v>
      </c>
      <c r="M48" s="571"/>
      <c r="N48" s="571">
        <v>0</v>
      </c>
      <c r="P48" s="574" t="s">
        <v>2500</v>
      </c>
      <c r="R48" s="547">
        <v>18.5</v>
      </c>
    </row>
    <row r="49" spans="1:18">
      <c r="B49" s="572"/>
      <c r="D49" s="581"/>
      <c r="E49" s="574"/>
      <c r="F49" s="575"/>
      <c r="H49" s="576"/>
      <c r="J49" s="571"/>
      <c r="K49" s="571"/>
      <c r="L49" s="571"/>
      <c r="M49" s="571"/>
      <c r="N49" s="571"/>
      <c r="P49" s="574"/>
    </row>
    <row r="50" spans="1:18">
      <c r="B50" s="572"/>
      <c r="D50" s="581" t="s">
        <v>2503</v>
      </c>
      <c r="E50" s="574"/>
      <c r="F50" s="575"/>
      <c r="H50" s="576">
        <v>1.01</v>
      </c>
      <c r="J50" s="571"/>
      <c r="K50" s="571"/>
      <c r="L50" s="571"/>
      <c r="M50" s="571"/>
      <c r="N50" s="571"/>
      <c r="P50" s="574"/>
      <c r="R50" s="547">
        <v>49.1</v>
      </c>
    </row>
    <row r="51" spans="1:18">
      <c r="B51" s="572"/>
      <c r="D51" s="581"/>
      <c r="E51" s="574"/>
      <c r="F51" s="575"/>
      <c r="H51" s="576"/>
      <c r="J51" s="571"/>
      <c r="K51" s="571"/>
      <c r="L51" s="571"/>
      <c r="M51" s="571"/>
      <c r="N51" s="571"/>
      <c r="P51" s="574"/>
    </row>
    <row r="52" spans="1:18">
      <c r="B52" s="572">
        <v>311.2</v>
      </c>
      <c r="D52" s="573" t="s">
        <v>2504</v>
      </c>
      <c r="E52" s="574"/>
      <c r="F52" s="575"/>
      <c r="H52" s="576"/>
      <c r="J52" s="571"/>
      <c r="K52" s="571"/>
      <c r="L52" s="571"/>
      <c r="M52" s="571"/>
      <c r="N52" s="571"/>
      <c r="P52" s="574"/>
    </row>
    <row r="53" spans="1:18">
      <c r="B53" s="572"/>
      <c r="D53" s="573" t="s">
        <v>1292</v>
      </c>
      <c r="E53" s="574" t="s">
        <v>2496</v>
      </c>
      <c r="F53" s="575">
        <v>-10</v>
      </c>
      <c r="H53" s="576">
        <v>0</v>
      </c>
      <c r="J53" s="571">
        <v>0</v>
      </c>
      <c r="K53" s="571"/>
      <c r="L53" s="571">
        <v>0</v>
      </c>
      <c r="M53" s="571"/>
      <c r="N53" s="571">
        <v>0</v>
      </c>
      <c r="P53" s="574" t="s">
        <v>2497</v>
      </c>
      <c r="R53" s="547">
        <v>0</v>
      </c>
    </row>
    <row r="54" spans="1:18">
      <c r="B54" s="572"/>
      <c r="D54" s="573" t="s">
        <v>1295</v>
      </c>
      <c r="E54" s="574" t="s">
        <v>2496</v>
      </c>
      <c r="F54" s="575">
        <v>-10</v>
      </c>
      <c r="H54" s="576">
        <v>0</v>
      </c>
      <c r="J54" s="571">
        <v>0</v>
      </c>
      <c r="K54" s="571"/>
      <c r="L54" s="571">
        <v>0</v>
      </c>
      <c r="M54" s="571"/>
      <c r="N54" s="571">
        <v>0</v>
      </c>
      <c r="P54" s="574" t="s">
        <v>2497</v>
      </c>
      <c r="R54" s="547">
        <v>0</v>
      </c>
    </row>
    <row r="55" spans="1:18">
      <c r="B55" s="572"/>
      <c r="D55" s="580" t="s">
        <v>1297</v>
      </c>
      <c r="E55" s="574" t="s">
        <v>2496</v>
      </c>
      <c r="F55" s="575">
        <v>-10</v>
      </c>
      <c r="H55" s="576">
        <v>0</v>
      </c>
      <c r="J55" s="571">
        <v>0</v>
      </c>
      <c r="K55" s="571"/>
      <c r="L55" s="571">
        <v>0</v>
      </c>
      <c r="M55" s="571"/>
      <c r="N55" s="571">
        <v>0</v>
      </c>
      <c r="P55" s="574" t="s">
        <v>2497</v>
      </c>
      <c r="R55" s="547">
        <v>0</v>
      </c>
    </row>
    <row r="56" spans="1:18">
      <c r="B56" s="572"/>
      <c r="D56" s="580" t="s">
        <v>1298</v>
      </c>
      <c r="E56" s="574" t="s">
        <v>2496</v>
      </c>
      <c r="F56" s="575">
        <v>-10</v>
      </c>
      <c r="H56" s="576">
        <v>0</v>
      </c>
      <c r="J56" s="571">
        <v>0</v>
      </c>
      <c r="K56" s="571"/>
      <c r="L56" s="571">
        <v>0</v>
      </c>
      <c r="M56" s="571"/>
      <c r="N56" s="571">
        <v>0</v>
      </c>
      <c r="P56" s="574" t="s">
        <v>2497</v>
      </c>
      <c r="R56" s="547">
        <v>0</v>
      </c>
    </row>
    <row r="57" spans="1:18">
      <c r="B57" s="572"/>
      <c r="D57" s="580" t="s">
        <v>1299</v>
      </c>
      <c r="E57" s="574" t="s">
        <v>2496</v>
      </c>
      <c r="F57" s="575">
        <v>-10</v>
      </c>
      <c r="H57" s="576">
        <v>0</v>
      </c>
      <c r="J57" s="571">
        <v>0</v>
      </c>
      <c r="K57" s="571"/>
      <c r="L57" s="571">
        <v>0</v>
      </c>
      <c r="M57" s="571"/>
      <c r="N57" s="571">
        <v>0</v>
      </c>
      <c r="P57" s="574" t="s">
        <v>2497</v>
      </c>
      <c r="R57" s="547">
        <v>0</v>
      </c>
    </row>
    <row r="58" spans="1:18">
      <c r="B58" s="572"/>
      <c r="D58" s="580" t="s">
        <v>1304</v>
      </c>
      <c r="E58" s="574" t="s">
        <v>2496</v>
      </c>
      <c r="F58" s="575">
        <v>-10</v>
      </c>
      <c r="H58" s="576">
        <v>0</v>
      </c>
      <c r="J58" s="571">
        <v>0</v>
      </c>
      <c r="K58" s="571"/>
      <c r="L58" s="571">
        <v>0</v>
      </c>
      <c r="M58" s="571"/>
      <c r="N58" s="571">
        <v>0</v>
      </c>
      <c r="P58" s="574" t="s">
        <v>2497</v>
      </c>
      <c r="R58" s="547">
        <v>0</v>
      </c>
    </row>
    <row r="59" spans="1:18">
      <c r="B59" s="572"/>
      <c r="D59" s="581"/>
      <c r="E59" s="574"/>
      <c r="F59" s="575"/>
      <c r="H59" s="576"/>
      <c r="J59" s="571"/>
      <c r="K59" s="571"/>
      <c r="L59" s="571"/>
      <c r="M59" s="571"/>
      <c r="N59" s="571"/>
      <c r="P59" s="574"/>
    </row>
    <row r="60" spans="1:18">
      <c r="A60" s="544">
        <v>311</v>
      </c>
      <c r="B60" s="572"/>
      <c r="D60" s="581" t="s">
        <v>1311</v>
      </c>
      <c r="E60" s="574"/>
      <c r="F60" s="271" t="s">
        <v>3265</v>
      </c>
      <c r="H60" s="656">
        <v>2.1429587730790907</v>
      </c>
      <c r="J60" s="571"/>
      <c r="K60" s="571"/>
      <c r="L60" s="571"/>
      <c r="M60" s="571"/>
      <c r="N60" s="571"/>
      <c r="P60" s="620" t="s">
        <v>3268</v>
      </c>
      <c r="R60" s="619" t="s">
        <v>3266</v>
      </c>
    </row>
    <row r="61" spans="1:18">
      <c r="B61" s="572"/>
      <c r="D61" s="581"/>
      <c r="E61" s="574"/>
      <c r="F61" s="575"/>
      <c r="H61" s="576"/>
      <c r="J61" s="571"/>
      <c r="K61" s="571"/>
      <c r="L61" s="571"/>
      <c r="M61" s="571"/>
      <c r="N61" s="571"/>
      <c r="P61" s="574"/>
    </row>
    <row r="62" spans="1:18">
      <c r="B62" s="572">
        <v>312</v>
      </c>
      <c r="D62" s="544" t="s">
        <v>1312</v>
      </c>
      <c r="H62" s="576"/>
      <c r="J62" s="571"/>
      <c r="K62" s="571"/>
      <c r="L62" s="571"/>
      <c r="M62" s="571"/>
      <c r="N62" s="571"/>
      <c r="P62" s="569"/>
    </row>
    <row r="63" spans="1:18">
      <c r="B63" s="572"/>
      <c r="D63" s="573" t="s">
        <v>1288</v>
      </c>
      <c r="E63" s="569" t="s">
        <v>2496</v>
      </c>
      <c r="F63" s="552">
        <v>-13</v>
      </c>
      <c r="H63" s="576">
        <v>2.14</v>
      </c>
      <c r="J63" s="571">
        <v>1.9000000000000001</v>
      </c>
      <c r="K63" s="571"/>
      <c r="L63" s="571">
        <v>0.3</v>
      </c>
      <c r="M63" s="571"/>
      <c r="N63" s="571">
        <v>-0.06</v>
      </c>
      <c r="P63" s="569" t="s">
        <v>2505</v>
      </c>
      <c r="R63" s="547">
        <v>44.8</v>
      </c>
    </row>
    <row r="64" spans="1:18">
      <c r="B64" s="572"/>
      <c r="D64" s="573" t="s">
        <v>1290</v>
      </c>
      <c r="E64" s="569" t="s">
        <v>2496</v>
      </c>
      <c r="F64" s="552">
        <v>-13</v>
      </c>
      <c r="H64" s="576">
        <v>1.97</v>
      </c>
      <c r="J64" s="571">
        <v>1.74</v>
      </c>
      <c r="K64" s="571"/>
      <c r="L64" s="571">
        <v>0.28000000000000003</v>
      </c>
      <c r="M64" s="571"/>
      <c r="N64" s="571">
        <v>-0.05</v>
      </c>
      <c r="P64" s="569" t="s">
        <v>2505</v>
      </c>
      <c r="R64" s="547">
        <v>44.4</v>
      </c>
    </row>
    <row r="65" spans="2:18">
      <c r="B65" s="572"/>
      <c r="D65" s="580" t="s">
        <v>1300</v>
      </c>
      <c r="E65" s="574" t="s">
        <v>2496</v>
      </c>
      <c r="F65" s="575">
        <v>-6</v>
      </c>
      <c r="H65" s="576">
        <v>6.61</v>
      </c>
      <c r="J65" s="571">
        <v>6.2400000000000011</v>
      </c>
      <c r="K65" s="571"/>
      <c r="L65" s="571">
        <v>0.56000000000000005</v>
      </c>
      <c r="M65" s="571"/>
      <c r="N65" s="571">
        <v>-0.19</v>
      </c>
      <c r="P65" s="574" t="s">
        <v>2505</v>
      </c>
      <c r="R65" s="547">
        <v>7.4</v>
      </c>
    </row>
    <row r="66" spans="2:18">
      <c r="B66" s="572"/>
      <c r="D66" s="580" t="s">
        <v>1301</v>
      </c>
      <c r="E66" s="574" t="s">
        <v>2496</v>
      </c>
      <c r="F66" s="575">
        <v>-6</v>
      </c>
      <c r="H66" s="576">
        <v>5.16</v>
      </c>
      <c r="J66" s="571">
        <v>4.87</v>
      </c>
      <c r="K66" s="571"/>
      <c r="L66" s="571">
        <v>0.44</v>
      </c>
      <c r="M66" s="571"/>
      <c r="N66" s="571">
        <v>-0.15</v>
      </c>
      <c r="P66" s="574" t="s">
        <v>2505</v>
      </c>
      <c r="R66" s="547">
        <v>13.1</v>
      </c>
    </row>
    <row r="67" spans="2:18">
      <c r="B67" s="572"/>
      <c r="D67" s="580" t="s">
        <v>1302</v>
      </c>
      <c r="E67" s="574" t="s">
        <v>2496</v>
      </c>
      <c r="F67" s="575">
        <v>-6</v>
      </c>
      <c r="H67" s="576">
        <v>4.43</v>
      </c>
      <c r="J67" s="571">
        <v>4.18</v>
      </c>
      <c r="K67" s="571"/>
      <c r="L67" s="571">
        <v>0.38</v>
      </c>
      <c r="M67" s="571"/>
      <c r="N67" s="571">
        <v>-0.13</v>
      </c>
      <c r="P67" s="574" t="s">
        <v>2505</v>
      </c>
      <c r="R67" s="547">
        <v>18.899999999999999</v>
      </c>
    </row>
    <row r="68" spans="2:18">
      <c r="B68" s="572"/>
      <c r="D68" s="580" t="s">
        <v>1303</v>
      </c>
      <c r="E68" s="574" t="s">
        <v>2496</v>
      </c>
      <c r="F68" s="575">
        <v>-6</v>
      </c>
      <c r="H68" s="576">
        <v>4.34</v>
      </c>
      <c r="J68" s="571">
        <v>4.09</v>
      </c>
      <c r="K68" s="571"/>
      <c r="L68" s="571">
        <v>0.37</v>
      </c>
      <c r="M68" s="571"/>
      <c r="N68" s="571">
        <v>-0.12</v>
      </c>
      <c r="P68" s="574" t="s">
        <v>2505</v>
      </c>
      <c r="R68" s="547">
        <v>19.100000000000001</v>
      </c>
    </row>
    <row r="69" spans="2:18">
      <c r="B69" s="572"/>
      <c r="D69" s="580" t="s">
        <v>1305</v>
      </c>
      <c r="E69" s="574" t="s">
        <v>2496</v>
      </c>
      <c r="F69" s="575">
        <v>-7</v>
      </c>
      <c r="H69" s="576">
        <v>4.05</v>
      </c>
      <c r="J69" s="571">
        <v>3.78</v>
      </c>
      <c r="K69" s="571"/>
      <c r="L69" s="571">
        <v>0.38</v>
      </c>
      <c r="M69" s="571"/>
      <c r="N69" s="571">
        <v>-0.11</v>
      </c>
      <c r="P69" s="574" t="s">
        <v>2505</v>
      </c>
      <c r="R69" s="547">
        <v>18.100000000000001</v>
      </c>
    </row>
    <row r="70" spans="2:18">
      <c r="B70" s="572"/>
      <c r="D70" s="580" t="s">
        <v>1306</v>
      </c>
      <c r="E70" s="574" t="s">
        <v>2496</v>
      </c>
      <c r="F70" s="575">
        <v>-7</v>
      </c>
      <c r="H70" s="576">
        <v>4.41</v>
      </c>
      <c r="J70" s="571">
        <v>4.12</v>
      </c>
      <c r="K70" s="571"/>
      <c r="L70" s="571">
        <v>0.41</v>
      </c>
      <c r="M70" s="571"/>
      <c r="N70" s="571">
        <v>-0.12</v>
      </c>
      <c r="P70" s="574" t="s">
        <v>2505</v>
      </c>
      <c r="R70" s="547">
        <v>18</v>
      </c>
    </row>
    <row r="71" spans="2:18">
      <c r="B71" s="572"/>
      <c r="D71" s="580" t="s">
        <v>1307</v>
      </c>
      <c r="E71" s="574" t="s">
        <v>2496</v>
      </c>
      <c r="F71" s="575">
        <v>-7</v>
      </c>
      <c r="H71" s="576">
        <v>4.55</v>
      </c>
      <c r="J71" s="571">
        <v>4.25</v>
      </c>
      <c r="K71" s="571"/>
      <c r="L71" s="571">
        <v>0.43</v>
      </c>
      <c r="M71" s="571"/>
      <c r="N71" s="571">
        <v>-0.13</v>
      </c>
      <c r="P71" s="574" t="s">
        <v>2505</v>
      </c>
      <c r="R71" s="547">
        <v>18</v>
      </c>
    </row>
    <row r="72" spans="2:18">
      <c r="B72" s="572"/>
      <c r="D72" s="580" t="s">
        <v>1308</v>
      </c>
      <c r="E72" s="574" t="s">
        <v>2496</v>
      </c>
      <c r="F72" s="575">
        <v>-7</v>
      </c>
      <c r="H72" s="576">
        <v>3.27</v>
      </c>
      <c r="J72" s="571">
        <v>3.05</v>
      </c>
      <c r="K72" s="571"/>
      <c r="L72" s="571">
        <v>0.31</v>
      </c>
      <c r="M72" s="571"/>
      <c r="N72" s="571">
        <v>-0.09</v>
      </c>
      <c r="P72" s="574" t="s">
        <v>2505</v>
      </c>
      <c r="R72" s="547">
        <v>20.6</v>
      </c>
    </row>
    <row r="73" spans="2:18">
      <c r="B73" s="572"/>
      <c r="D73" s="580" t="s">
        <v>1309</v>
      </c>
      <c r="E73" s="574" t="s">
        <v>2496</v>
      </c>
      <c r="F73" s="575">
        <v>-7</v>
      </c>
      <c r="H73" s="576">
        <v>4.08</v>
      </c>
      <c r="J73" s="571">
        <v>3.81</v>
      </c>
      <c r="K73" s="571"/>
      <c r="L73" s="571">
        <v>0.38</v>
      </c>
      <c r="M73" s="571"/>
      <c r="N73" s="571">
        <v>-0.11</v>
      </c>
      <c r="P73" s="574" t="s">
        <v>2505</v>
      </c>
      <c r="R73" s="547">
        <v>21.7</v>
      </c>
    </row>
    <row r="74" spans="2:18">
      <c r="B74" s="582"/>
      <c r="D74" s="580" t="s">
        <v>1310</v>
      </c>
      <c r="E74" s="574" t="s">
        <v>2496</v>
      </c>
      <c r="F74" s="575">
        <v>-7</v>
      </c>
      <c r="H74" s="576">
        <v>0.93</v>
      </c>
      <c r="J74" s="571">
        <v>0.87000000000000011</v>
      </c>
      <c r="K74" s="571"/>
      <c r="L74" s="571">
        <v>0.09</v>
      </c>
      <c r="M74" s="571"/>
      <c r="N74" s="571">
        <v>-0.03</v>
      </c>
      <c r="P74" s="574" t="s">
        <v>2505</v>
      </c>
      <c r="R74" s="547">
        <v>17.899999999999999</v>
      </c>
    </row>
    <row r="75" spans="2:18">
      <c r="B75" s="572"/>
      <c r="D75" s="580" t="s">
        <v>1314</v>
      </c>
      <c r="E75" s="574" t="s">
        <v>2496</v>
      </c>
      <c r="F75" s="575">
        <v>-7</v>
      </c>
      <c r="H75" s="576">
        <v>3.86</v>
      </c>
      <c r="J75" s="571">
        <v>3.61</v>
      </c>
      <c r="K75" s="571"/>
      <c r="L75" s="571">
        <v>0.36</v>
      </c>
      <c r="M75" s="571"/>
      <c r="N75" s="571">
        <v>-0.11</v>
      </c>
      <c r="P75" s="574" t="s">
        <v>2505</v>
      </c>
      <c r="R75" s="547">
        <v>20.8</v>
      </c>
    </row>
    <row r="76" spans="2:18">
      <c r="B76" s="572"/>
      <c r="D76" s="580" t="s">
        <v>1315</v>
      </c>
      <c r="E76" s="574" t="s">
        <v>2496</v>
      </c>
      <c r="F76" s="575">
        <v>-7</v>
      </c>
      <c r="H76" s="576">
        <v>3.5</v>
      </c>
      <c r="J76" s="571">
        <v>3.27</v>
      </c>
      <c r="K76" s="571"/>
      <c r="L76" s="571">
        <v>0.33</v>
      </c>
      <c r="M76" s="571"/>
      <c r="N76" s="571">
        <v>-0.1</v>
      </c>
      <c r="P76" s="574" t="s">
        <v>2505</v>
      </c>
      <c r="R76" s="547">
        <v>21.9</v>
      </c>
    </row>
    <row r="77" spans="2:18">
      <c r="B77" s="572"/>
      <c r="E77" s="574"/>
      <c r="F77" s="575"/>
      <c r="H77" s="576"/>
      <c r="J77" s="571"/>
      <c r="K77" s="571"/>
      <c r="L77" s="571"/>
      <c r="M77" s="571"/>
      <c r="N77" s="571"/>
      <c r="P77" s="574"/>
    </row>
    <row r="78" spans="2:18">
      <c r="B78" s="572"/>
      <c r="D78" s="581" t="s">
        <v>1316</v>
      </c>
      <c r="E78" s="574"/>
      <c r="F78" s="271" t="s">
        <v>2582</v>
      </c>
      <c r="H78" s="576">
        <v>3.72</v>
      </c>
      <c r="J78" s="571"/>
      <c r="K78" s="571"/>
      <c r="L78" s="571"/>
      <c r="M78" s="571"/>
      <c r="N78" s="571"/>
      <c r="P78" s="574" t="str">
        <f>P76</f>
        <v>65-R2</v>
      </c>
      <c r="R78" s="547">
        <v>21.8</v>
      </c>
    </row>
    <row r="79" spans="2:18">
      <c r="D79" s="558"/>
      <c r="J79" s="571"/>
      <c r="K79" s="571"/>
      <c r="L79" s="571"/>
      <c r="M79" s="571"/>
      <c r="N79" s="571"/>
      <c r="P79" s="569"/>
    </row>
    <row r="80" spans="2:18">
      <c r="B80" s="572">
        <v>312.10000000000002</v>
      </c>
      <c r="D80" s="573" t="s">
        <v>2506</v>
      </c>
      <c r="E80" s="574"/>
      <c r="F80" s="575"/>
      <c r="H80" s="576"/>
      <c r="J80" s="571"/>
      <c r="K80" s="571"/>
      <c r="L80" s="571"/>
      <c r="M80" s="571"/>
      <c r="N80" s="571"/>
      <c r="P80" s="574"/>
    </row>
    <row r="81" spans="2:18">
      <c r="B81" s="572"/>
      <c r="D81" s="573" t="s">
        <v>2499</v>
      </c>
      <c r="E81" s="574" t="s">
        <v>2496</v>
      </c>
      <c r="F81" s="575">
        <v>0</v>
      </c>
      <c r="H81" s="576">
        <v>1.69</v>
      </c>
      <c r="J81" s="571">
        <v>1.69</v>
      </c>
      <c r="K81" s="571"/>
      <c r="L81" s="571">
        <v>0</v>
      </c>
      <c r="M81" s="571"/>
      <c r="N81" s="571">
        <v>0</v>
      </c>
      <c r="P81" s="574" t="s">
        <v>2500</v>
      </c>
      <c r="R81" s="547">
        <v>50.5</v>
      </c>
    </row>
    <row r="82" spans="2:18">
      <c r="B82" s="572"/>
      <c r="D82" s="580" t="s">
        <v>2507</v>
      </c>
      <c r="E82" s="574" t="s">
        <v>2496</v>
      </c>
      <c r="F82" s="575">
        <v>0</v>
      </c>
      <c r="H82" s="576">
        <v>2.44</v>
      </c>
      <c r="J82" s="571">
        <v>2.44</v>
      </c>
      <c r="K82" s="571"/>
      <c r="L82" s="571">
        <v>0</v>
      </c>
      <c r="M82" s="571"/>
      <c r="N82" s="571">
        <v>0</v>
      </c>
      <c r="P82" s="574" t="s">
        <v>2500</v>
      </c>
      <c r="R82" s="547">
        <v>7.5</v>
      </c>
    </row>
    <row r="83" spans="2:18">
      <c r="B83" s="572"/>
      <c r="D83" s="580" t="s">
        <v>2508</v>
      </c>
      <c r="E83" s="574" t="s">
        <v>2496</v>
      </c>
      <c r="F83" s="575">
        <v>0</v>
      </c>
      <c r="H83" s="576">
        <v>1.24</v>
      </c>
      <c r="J83" s="571">
        <v>1.24</v>
      </c>
      <c r="K83" s="571"/>
      <c r="L83" s="571">
        <v>0</v>
      </c>
      <c r="M83" s="571"/>
      <c r="N83" s="571">
        <v>0</v>
      </c>
      <c r="P83" s="574" t="s">
        <v>2500</v>
      </c>
      <c r="R83" s="547">
        <v>13.5</v>
      </c>
    </row>
    <row r="84" spans="2:18">
      <c r="B84" s="572"/>
      <c r="D84" s="580" t="s">
        <v>2509</v>
      </c>
      <c r="E84" s="574" t="s">
        <v>2496</v>
      </c>
      <c r="F84" s="575">
        <v>0</v>
      </c>
      <c r="H84" s="576">
        <v>3.57</v>
      </c>
      <c r="J84" s="571">
        <v>3.57</v>
      </c>
      <c r="K84" s="571"/>
      <c r="L84" s="571">
        <v>0</v>
      </c>
      <c r="M84" s="571"/>
      <c r="N84" s="571">
        <v>0</v>
      </c>
      <c r="P84" s="574" t="s">
        <v>2500</v>
      </c>
      <c r="R84" s="547">
        <v>19.5</v>
      </c>
    </row>
    <row r="85" spans="2:18">
      <c r="B85" s="572"/>
      <c r="D85" s="580" t="s">
        <v>2502</v>
      </c>
      <c r="E85" s="574" t="s">
        <v>2496</v>
      </c>
      <c r="F85" s="575">
        <v>0</v>
      </c>
      <c r="H85" s="576">
        <v>0.96</v>
      </c>
      <c r="J85" s="571">
        <v>0.96</v>
      </c>
      <c r="K85" s="571"/>
      <c r="L85" s="571">
        <v>0</v>
      </c>
      <c r="M85" s="571"/>
      <c r="N85" s="571">
        <v>0</v>
      </c>
      <c r="P85" s="574" t="s">
        <v>2500</v>
      </c>
      <c r="R85" s="547">
        <v>18.5</v>
      </c>
    </row>
    <row r="86" spans="2:18">
      <c r="B86" s="572"/>
      <c r="D86" s="580" t="s">
        <v>2510</v>
      </c>
      <c r="E86" s="574" t="s">
        <v>2496</v>
      </c>
      <c r="F86" s="575">
        <v>0</v>
      </c>
      <c r="H86" s="576">
        <v>2.63</v>
      </c>
      <c r="J86" s="571">
        <v>2.63</v>
      </c>
      <c r="K86" s="571"/>
      <c r="L86" s="571">
        <v>0</v>
      </c>
      <c r="M86" s="571"/>
      <c r="N86" s="571">
        <v>0</v>
      </c>
      <c r="P86" s="574" t="s">
        <v>2500</v>
      </c>
      <c r="R86" s="547">
        <v>22.5</v>
      </c>
    </row>
    <row r="87" spans="2:18" s="588" customFormat="1">
      <c r="B87" s="583"/>
      <c r="C87" s="584"/>
      <c r="D87" s="585" t="s">
        <v>2511</v>
      </c>
      <c r="E87" s="586" t="s">
        <v>2496</v>
      </c>
      <c r="F87" s="587">
        <v>0</v>
      </c>
      <c r="H87" s="589">
        <v>0</v>
      </c>
      <c r="I87" s="544"/>
      <c r="J87" s="571">
        <v>0</v>
      </c>
      <c r="K87" s="571"/>
      <c r="L87" s="571">
        <v>0</v>
      </c>
      <c r="M87" s="571"/>
      <c r="N87" s="571">
        <v>0</v>
      </c>
      <c r="P87" s="586" t="s">
        <v>2500</v>
      </c>
      <c r="R87" s="547">
        <v>0</v>
      </c>
    </row>
    <row r="88" spans="2:18">
      <c r="B88" s="572"/>
      <c r="D88" s="573" t="s">
        <v>2512</v>
      </c>
      <c r="E88" s="569" t="s">
        <v>2496</v>
      </c>
      <c r="F88" s="575">
        <v>0</v>
      </c>
      <c r="H88" s="576">
        <v>0</v>
      </c>
      <c r="J88" s="571">
        <v>0</v>
      </c>
      <c r="K88" s="571"/>
      <c r="L88" s="571">
        <v>0</v>
      </c>
      <c r="M88" s="571"/>
      <c r="N88" s="571">
        <v>0</v>
      </c>
      <c r="P88" s="569" t="s">
        <v>2500</v>
      </c>
      <c r="R88" s="590">
        <v>0</v>
      </c>
    </row>
    <row r="89" spans="2:18">
      <c r="D89" s="580" t="s">
        <v>2513</v>
      </c>
      <c r="E89" s="569" t="s">
        <v>2496</v>
      </c>
      <c r="F89" s="575">
        <v>0</v>
      </c>
      <c r="H89" s="576">
        <v>0</v>
      </c>
      <c r="J89" s="571">
        <v>0</v>
      </c>
      <c r="K89" s="571"/>
      <c r="L89" s="571">
        <v>0</v>
      </c>
      <c r="M89" s="571"/>
      <c r="N89" s="571">
        <v>0</v>
      </c>
      <c r="P89" s="569" t="s">
        <v>2500</v>
      </c>
      <c r="R89" s="547">
        <v>0</v>
      </c>
    </row>
    <row r="90" spans="2:18">
      <c r="B90" s="572"/>
      <c r="D90" s="580" t="s">
        <v>2514</v>
      </c>
      <c r="E90" s="574" t="s">
        <v>2496</v>
      </c>
      <c r="F90" s="575">
        <v>0</v>
      </c>
      <c r="H90" s="576">
        <v>0</v>
      </c>
      <c r="J90" s="571">
        <v>0</v>
      </c>
      <c r="K90" s="571"/>
      <c r="L90" s="571">
        <v>0</v>
      </c>
      <c r="M90" s="571"/>
      <c r="N90" s="571">
        <v>0</v>
      </c>
      <c r="P90" s="569" t="s">
        <v>2500</v>
      </c>
      <c r="R90" s="547">
        <v>0</v>
      </c>
    </row>
    <row r="91" spans="2:18">
      <c r="B91" s="572"/>
      <c r="D91" s="581"/>
      <c r="E91" s="574"/>
      <c r="F91" s="575"/>
      <c r="H91" s="576"/>
      <c r="J91" s="571"/>
      <c r="K91" s="571"/>
      <c r="L91" s="571"/>
      <c r="M91" s="571"/>
      <c r="N91" s="571"/>
      <c r="P91" s="574"/>
    </row>
    <row r="92" spans="2:18">
      <c r="B92" s="572"/>
      <c r="D92" s="581" t="s">
        <v>2515</v>
      </c>
      <c r="E92" s="574"/>
      <c r="F92" s="575"/>
      <c r="H92" s="576">
        <v>2.5299999999999998</v>
      </c>
      <c r="J92" s="571"/>
      <c r="K92" s="571"/>
      <c r="L92" s="571"/>
      <c r="M92" s="571"/>
      <c r="N92" s="571"/>
      <c r="P92" s="574"/>
      <c r="R92" s="547">
        <v>20.5</v>
      </c>
    </row>
    <row r="93" spans="2:18">
      <c r="B93" s="572"/>
      <c r="D93" s="581"/>
      <c r="E93" s="574"/>
      <c r="F93" s="575"/>
      <c r="H93" s="576"/>
      <c r="J93" s="571"/>
      <c r="K93" s="571"/>
      <c r="L93" s="571"/>
      <c r="M93" s="571"/>
      <c r="N93" s="571"/>
      <c r="P93" s="574"/>
    </row>
    <row r="94" spans="2:18">
      <c r="B94" s="572">
        <v>312.2</v>
      </c>
      <c r="D94" s="573" t="s">
        <v>2516</v>
      </c>
      <c r="E94" s="574"/>
      <c r="F94" s="575"/>
      <c r="H94" s="576"/>
      <c r="J94" s="571"/>
      <c r="K94" s="571"/>
      <c r="L94" s="571"/>
      <c r="M94" s="571"/>
      <c r="N94" s="571"/>
      <c r="P94" s="574"/>
    </row>
    <row r="95" spans="2:18">
      <c r="B95" s="572"/>
      <c r="D95" s="573" t="s">
        <v>1292</v>
      </c>
      <c r="E95" s="569" t="s">
        <v>2496</v>
      </c>
      <c r="F95" s="575">
        <v>-10</v>
      </c>
      <c r="H95" s="576">
        <v>0</v>
      </c>
      <c r="J95" s="571">
        <v>0</v>
      </c>
      <c r="K95" s="571"/>
      <c r="L95" s="571">
        <v>0</v>
      </c>
      <c r="M95" s="571"/>
      <c r="N95" s="571">
        <v>0</v>
      </c>
      <c r="P95" s="569" t="s">
        <v>2505</v>
      </c>
      <c r="R95" s="547">
        <v>0</v>
      </c>
    </row>
    <row r="96" spans="2:18">
      <c r="B96" s="572"/>
      <c r="D96" s="573" t="s">
        <v>1295</v>
      </c>
      <c r="E96" s="569" t="s">
        <v>2496</v>
      </c>
      <c r="F96" s="575">
        <v>-10</v>
      </c>
      <c r="H96" s="576">
        <v>0</v>
      </c>
      <c r="J96" s="571">
        <v>0</v>
      </c>
      <c r="K96" s="571"/>
      <c r="L96" s="571">
        <v>0</v>
      </c>
      <c r="M96" s="571"/>
      <c r="N96" s="571">
        <v>0</v>
      </c>
      <c r="P96" s="569" t="s">
        <v>2505</v>
      </c>
      <c r="R96" s="547">
        <v>0</v>
      </c>
    </row>
    <row r="97" spans="1:18">
      <c r="D97" s="580" t="s">
        <v>1297</v>
      </c>
      <c r="E97" s="569" t="s">
        <v>2496</v>
      </c>
      <c r="F97" s="575">
        <v>-10</v>
      </c>
      <c r="H97" s="576">
        <v>0</v>
      </c>
      <c r="J97" s="571">
        <v>0</v>
      </c>
      <c r="K97" s="571"/>
      <c r="L97" s="571">
        <v>0</v>
      </c>
      <c r="M97" s="571"/>
      <c r="N97" s="571">
        <v>0</v>
      </c>
      <c r="P97" s="569" t="s">
        <v>2505</v>
      </c>
      <c r="R97" s="547">
        <v>0</v>
      </c>
    </row>
    <row r="98" spans="1:18">
      <c r="B98" s="572"/>
      <c r="D98" s="580" t="s">
        <v>1298</v>
      </c>
      <c r="E98" s="574" t="s">
        <v>2496</v>
      </c>
      <c r="F98" s="575">
        <v>-10</v>
      </c>
      <c r="H98" s="576">
        <v>0</v>
      </c>
      <c r="J98" s="571">
        <v>0</v>
      </c>
      <c r="K98" s="571"/>
      <c r="L98" s="571">
        <v>0</v>
      </c>
      <c r="M98" s="571"/>
      <c r="N98" s="571">
        <v>0</v>
      </c>
      <c r="P98" s="574" t="s">
        <v>2505</v>
      </c>
      <c r="R98" s="547">
        <v>0</v>
      </c>
    </row>
    <row r="99" spans="1:18">
      <c r="B99" s="572"/>
      <c r="D99" s="580" t="s">
        <v>1299</v>
      </c>
      <c r="E99" s="574" t="s">
        <v>2496</v>
      </c>
      <c r="F99" s="575">
        <v>-10</v>
      </c>
      <c r="H99" s="576">
        <v>0</v>
      </c>
      <c r="J99" s="571">
        <v>0</v>
      </c>
      <c r="K99" s="571"/>
      <c r="L99" s="571">
        <v>0</v>
      </c>
      <c r="M99" s="571"/>
      <c r="N99" s="571">
        <v>0</v>
      </c>
      <c r="P99" s="569" t="s">
        <v>2505</v>
      </c>
      <c r="R99" s="547">
        <v>0</v>
      </c>
    </row>
    <row r="100" spans="1:18" s="588" customFormat="1">
      <c r="B100" s="591"/>
      <c r="C100" s="584"/>
      <c r="D100" s="585" t="s">
        <v>1304</v>
      </c>
      <c r="E100" s="586" t="s">
        <v>2496</v>
      </c>
      <c r="F100" s="587">
        <v>-10</v>
      </c>
      <c r="H100" s="589">
        <v>0</v>
      </c>
      <c r="I100" s="544"/>
      <c r="J100" s="571">
        <v>0</v>
      </c>
      <c r="K100" s="571"/>
      <c r="L100" s="571">
        <v>0</v>
      </c>
      <c r="M100" s="571"/>
      <c r="N100" s="571">
        <v>0</v>
      </c>
      <c r="P100" s="592" t="s">
        <v>2505</v>
      </c>
      <c r="R100" s="547">
        <v>0</v>
      </c>
    </row>
    <row r="101" spans="1:18">
      <c r="B101" s="572"/>
      <c r="D101" s="581"/>
      <c r="E101" s="574"/>
      <c r="F101" s="575"/>
      <c r="H101" s="576"/>
      <c r="J101" s="571"/>
      <c r="K101" s="571"/>
      <c r="L101" s="571"/>
      <c r="M101" s="571"/>
      <c r="N101" s="571"/>
      <c r="P101" s="574"/>
      <c r="R101" s="590"/>
    </row>
    <row r="102" spans="1:18">
      <c r="A102" s="544">
        <v>312</v>
      </c>
      <c r="B102" s="572"/>
      <c r="D102" s="581" t="s">
        <v>1316</v>
      </c>
      <c r="E102" s="574"/>
      <c r="F102" s="271" t="s">
        <v>3267</v>
      </c>
      <c r="H102" s="656">
        <v>3.698839479723631</v>
      </c>
      <c r="J102" s="571"/>
      <c r="K102" s="571"/>
      <c r="L102" s="571"/>
      <c r="M102" s="571"/>
      <c r="N102" s="571"/>
      <c r="P102" s="620" t="s">
        <v>3269</v>
      </c>
      <c r="R102" s="619" t="s">
        <v>3270</v>
      </c>
    </row>
    <row r="103" spans="1:18">
      <c r="B103" s="572"/>
      <c r="D103" s="581"/>
      <c r="E103" s="574"/>
      <c r="F103" s="575"/>
      <c r="H103" s="576"/>
      <c r="J103" s="571"/>
      <c r="K103" s="571"/>
      <c r="L103" s="571"/>
      <c r="M103" s="571"/>
      <c r="N103" s="571"/>
      <c r="P103" s="574"/>
    </row>
    <row r="104" spans="1:18">
      <c r="B104" s="572">
        <v>314</v>
      </c>
      <c r="D104" s="544" t="s">
        <v>1317</v>
      </c>
      <c r="H104" s="576"/>
      <c r="J104" s="571"/>
      <c r="K104" s="571"/>
      <c r="L104" s="571"/>
      <c r="M104" s="571"/>
      <c r="N104" s="571"/>
      <c r="P104" s="569"/>
    </row>
    <row r="105" spans="1:18">
      <c r="B105" s="572"/>
      <c r="D105" s="580" t="s">
        <v>1288</v>
      </c>
      <c r="E105" s="574" t="s">
        <v>2496</v>
      </c>
      <c r="F105" s="575">
        <v>-13</v>
      </c>
      <c r="H105" s="576">
        <v>2.09</v>
      </c>
      <c r="J105" s="571">
        <v>1.8499999999999999</v>
      </c>
      <c r="K105" s="571"/>
      <c r="L105" s="571">
        <v>0.35</v>
      </c>
      <c r="M105" s="571"/>
      <c r="N105" s="571">
        <v>-0.11</v>
      </c>
      <c r="P105" s="574" t="s">
        <v>1395</v>
      </c>
      <c r="R105" s="547">
        <v>43.3</v>
      </c>
    </row>
    <row r="106" spans="1:18">
      <c r="B106" s="572"/>
      <c r="D106" s="580" t="s">
        <v>1300</v>
      </c>
      <c r="E106" s="574" t="s">
        <v>2496</v>
      </c>
      <c r="F106" s="575">
        <v>-6</v>
      </c>
      <c r="H106" s="576">
        <v>8.2899999999999991</v>
      </c>
      <c r="J106" s="571">
        <v>7.8199999999999994</v>
      </c>
      <c r="K106" s="571"/>
      <c r="L106" s="571">
        <v>0.94</v>
      </c>
      <c r="M106" s="571"/>
      <c r="N106" s="571">
        <v>-0.47</v>
      </c>
      <c r="P106" s="574" t="s">
        <v>1395</v>
      </c>
      <c r="R106" s="547">
        <v>7.3</v>
      </c>
    </row>
    <row r="107" spans="1:18">
      <c r="B107" s="572"/>
      <c r="D107" s="580" t="s">
        <v>1301</v>
      </c>
      <c r="E107" s="574" t="s">
        <v>2496</v>
      </c>
      <c r="F107" s="575">
        <v>-6</v>
      </c>
      <c r="H107" s="576">
        <v>3.05</v>
      </c>
      <c r="J107" s="571">
        <v>2.8699999999999997</v>
      </c>
      <c r="K107" s="571"/>
      <c r="L107" s="571">
        <v>0.35</v>
      </c>
      <c r="M107" s="571"/>
      <c r="N107" s="571">
        <v>-0.17</v>
      </c>
      <c r="P107" s="574" t="s">
        <v>1395</v>
      </c>
      <c r="R107" s="547">
        <v>13.1</v>
      </c>
    </row>
    <row r="108" spans="1:18">
      <c r="B108" s="572"/>
      <c r="D108" s="580" t="s">
        <v>1302</v>
      </c>
      <c r="E108" s="574" t="s">
        <v>2496</v>
      </c>
      <c r="F108" s="575">
        <v>-6</v>
      </c>
      <c r="H108" s="576">
        <v>3.23</v>
      </c>
      <c r="J108" s="571">
        <v>3.04</v>
      </c>
      <c r="K108" s="571"/>
      <c r="L108" s="571">
        <v>0.37</v>
      </c>
      <c r="M108" s="571"/>
      <c r="N108" s="571">
        <v>-0.18</v>
      </c>
      <c r="P108" s="574" t="s">
        <v>1395</v>
      </c>
      <c r="R108" s="547">
        <v>18.8</v>
      </c>
    </row>
    <row r="109" spans="1:18">
      <c r="B109" s="572"/>
      <c r="D109" s="580" t="s">
        <v>1306</v>
      </c>
      <c r="E109" s="574" t="s">
        <v>2496</v>
      </c>
      <c r="F109" s="575">
        <v>-7</v>
      </c>
      <c r="H109" s="576">
        <v>3.03</v>
      </c>
      <c r="J109" s="571">
        <v>2.8299999999999996</v>
      </c>
      <c r="K109" s="571"/>
      <c r="L109" s="571">
        <v>0.37</v>
      </c>
      <c r="M109" s="571"/>
      <c r="N109" s="571">
        <v>-0.17</v>
      </c>
      <c r="P109" s="574" t="s">
        <v>1395</v>
      </c>
      <c r="R109" s="547">
        <v>17.600000000000001</v>
      </c>
    </row>
    <row r="110" spans="1:18">
      <c r="B110" s="572"/>
      <c r="C110" s="549"/>
      <c r="D110" s="580" t="s">
        <v>1307</v>
      </c>
      <c r="E110" s="574" t="s">
        <v>2496</v>
      </c>
      <c r="F110" s="575">
        <v>-7</v>
      </c>
      <c r="G110" s="553"/>
      <c r="H110" s="576">
        <v>2.34</v>
      </c>
      <c r="J110" s="571">
        <v>2.1899999999999995</v>
      </c>
      <c r="K110" s="571"/>
      <c r="L110" s="571">
        <v>0.28000000000000003</v>
      </c>
      <c r="M110" s="571"/>
      <c r="N110" s="571">
        <v>-0.13</v>
      </c>
      <c r="P110" s="574" t="s">
        <v>1395</v>
      </c>
      <c r="R110" s="547">
        <v>17</v>
      </c>
    </row>
    <row r="111" spans="1:18">
      <c r="B111" s="572"/>
      <c r="D111" s="580" t="s">
        <v>1308</v>
      </c>
      <c r="E111" s="574" t="s">
        <v>2496</v>
      </c>
      <c r="F111" s="575">
        <v>-7</v>
      </c>
      <c r="H111" s="576">
        <v>1.97</v>
      </c>
      <c r="J111" s="571">
        <v>1.84</v>
      </c>
      <c r="K111" s="571"/>
      <c r="L111" s="571">
        <v>0.24</v>
      </c>
      <c r="M111" s="571"/>
      <c r="N111" s="571">
        <v>-0.11</v>
      </c>
      <c r="P111" s="574" t="s">
        <v>1395</v>
      </c>
      <c r="R111" s="547">
        <v>19.600000000000001</v>
      </c>
    </row>
    <row r="112" spans="1:18">
      <c r="B112" s="572"/>
      <c r="D112" s="580" t="s">
        <v>1309</v>
      </c>
      <c r="E112" s="574" t="s">
        <v>2496</v>
      </c>
      <c r="F112" s="575">
        <v>-7</v>
      </c>
      <c r="H112" s="576">
        <v>2.4300000000000002</v>
      </c>
      <c r="J112" s="571">
        <v>2.2700000000000005</v>
      </c>
      <c r="K112" s="571"/>
      <c r="L112" s="571">
        <v>0.3</v>
      </c>
      <c r="M112" s="571"/>
      <c r="N112" s="571">
        <v>-0.14000000000000001</v>
      </c>
      <c r="P112" s="574" t="s">
        <v>1395</v>
      </c>
      <c r="R112" s="547">
        <v>20.6</v>
      </c>
    </row>
    <row r="113" spans="1:18">
      <c r="B113" s="572"/>
      <c r="E113" s="574"/>
      <c r="F113" s="575"/>
      <c r="H113" s="576"/>
      <c r="J113" s="571"/>
      <c r="K113" s="571"/>
      <c r="L113" s="571"/>
      <c r="M113" s="571"/>
      <c r="N113" s="571"/>
      <c r="P113" s="574"/>
    </row>
    <row r="114" spans="1:18">
      <c r="A114" s="544">
        <v>314</v>
      </c>
      <c r="B114" s="572"/>
      <c r="D114" s="581" t="s">
        <v>1319</v>
      </c>
      <c r="E114" s="574"/>
      <c r="F114" s="271" t="s">
        <v>2582</v>
      </c>
      <c r="H114" s="576">
        <v>2.62</v>
      </c>
      <c r="J114" s="571"/>
      <c r="K114" s="571"/>
      <c r="L114" s="571"/>
      <c r="M114" s="571"/>
      <c r="N114" s="571"/>
      <c r="P114" s="574" t="str">
        <f>P112</f>
        <v>60-R2</v>
      </c>
      <c r="R114" s="547">
        <v>23</v>
      </c>
    </row>
    <row r="115" spans="1:18">
      <c r="B115" s="572"/>
      <c r="D115" s="581"/>
      <c r="E115" s="574"/>
      <c r="F115" s="575"/>
      <c r="H115" s="576"/>
      <c r="J115" s="571"/>
      <c r="K115" s="571"/>
      <c r="L115" s="571"/>
      <c r="M115" s="571"/>
      <c r="N115" s="571"/>
      <c r="P115" s="574"/>
    </row>
    <row r="116" spans="1:18">
      <c r="B116" s="572">
        <v>314.10000000000002</v>
      </c>
      <c r="D116" s="573" t="s">
        <v>2517</v>
      </c>
      <c r="E116" s="574"/>
      <c r="F116" s="575"/>
      <c r="H116" s="576"/>
      <c r="J116" s="571"/>
      <c r="K116" s="571"/>
      <c r="L116" s="571"/>
      <c r="M116" s="571"/>
      <c r="N116" s="571"/>
      <c r="P116" s="574"/>
    </row>
    <row r="117" spans="1:18">
      <c r="B117" s="572"/>
      <c r="D117" s="580" t="s">
        <v>1292</v>
      </c>
      <c r="E117" s="574"/>
      <c r="F117" s="575"/>
      <c r="H117" s="576"/>
      <c r="J117" s="571"/>
      <c r="K117" s="571"/>
      <c r="L117" s="571"/>
      <c r="M117" s="571"/>
      <c r="N117" s="571"/>
      <c r="P117" s="574"/>
    </row>
    <row r="118" spans="1:18">
      <c r="B118" s="572"/>
      <c r="D118" s="580" t="s">
        <v>1295</v>
      </c>
      <c r="E118" s="574"/>
      <c r="F118" s="575"/>
      <c r="H118" s="576"/>
      <c r="J118" s="571"/>
      <c r="K118" s="571"/>
      <c r="L118" s="571"/>
      <c r="M118" s="571"/>
      <c r="N118" s="571"/>
      <c r="P118" s="574"/>
    </row>
    <row r="119" spans="1:18">
      <c r="B119" s="572"/>
      <c r="D119" s="580" t="s">
        <v>1297</v>
      </c>
      <c r="E119" s="574"/>
      <c r="F119" s="575"/>
      <c r="H119" s="576"/>
      <c r="J119" s="571"/>
      <c r="K119" s="571"/>
      <c r="L119" s="571"/>
      <c r="M119" s="571"/>
      <c r="N119" s="571"/>
      <c r="P119" s="574"/>
    </row>
    <row r="120" spans="1:18">
      <c r="B120" s="572"/>
      <c r="D120" s="580" t="s">
        <v>1298</v>
      </c>
      <c r="E120" s="574"/>
      <c r="F120" s="575"/>
      <c r="H120" s="576"/>
      <c r="J120" s="571"/>
      <c r="K120" s="571"/>
      <c r="L120" s="571"/>
      <c r="M120" s="571"/>
      <c r="N120" s="571"/>
      <c r="P120" s="574"/>
    </row>
    <row r="121" spans="1:18">
      <c r="B121" s="572"/>
      <c r="D121" s="581"/>
      <c r="E121" s="574"/>
      <c r="F121" s="575"/>
      <c r="H121" s="576"/>
      <c r="J121" s="571"/>
      <c r="K121" s="571"/>
      <c r="L121" s="571"/>
      <c r="M121" s="571"/>
      <c r="N121" s="571"/>
      <c r="P121" s="574"/>
    </row>
    <row r="122" spans="1:18">
      <c r="B122" s="572"/>
      <c r="D122" s="581" t="s">
        <v>2518</v>
      </c>
      <c r="E122" s="574"/>
      <c r="F122" s="575"/>
      <c r="H122" s="576"/>
      <c r="J122" s="571"/>
      <c r="K122" s="571"/>
      <c r="L122" s="571"/>
      <c r="M122" s="571"/>
      <c r="N122" s="571"/>
      <c r="P122" s="574"/>
    </row>
    <row r="123" spans="1:18">
      <c r="B123" s="572"/>
      <c r="D123" s="581"/>
      <c r="E123" s="574"/>
      <c r="F123" s="575"/>
      <c r="H123" s="576"/>
      <c r="J123" s="571"/>
      <c r="K123" s="571"/>
      <c r="L123" s="571"/>
      <c r="M123" s="571"/>
      <c r="N123" s="571"/>
      <c r="P123" s="574"/>
    </row>
    <row r="124" spans="1:18">
      <c r="B124" s="572">
        <v>315</v>
      </c>
      <c r="D124" s="544" t="s">
        <v>1320</v>
      </c>
      <c r="H124" s="576"/>
      <c r="J124" s="571"/>
      <c r="K124" s="571"/>
      <c r="L124" s="571"/>
      <c r="M124" s="571"/>
      <c r="N124" s="571"/>
      <c r="P124" s="569"/>
    </row>
    <row r="125" spans="1:18">
      <c r="B125" s="572"/>
      <c r="D125" s="573" t="s">
        <v>1288</v>
      </c>
      <c r="E125" s="569" t="s">
        <v>2496</v>
      </c>
      <c r="F125" s="552">
        <v>-13</v>
      </c>
      <c r="H125" s="576">
        <v>2.06</v>
      </c>
      <c r="J125" s="571">
        <v>1.82</v>
      </c>
      <c r="K125" s="571"/>
      <c r="L125" s="571">
        <v>0.26</v>
      </c>
      <c r="M125" s="571"/>
      <c r="N125" s="571">
        <v>-0.02</v>
      </c>
      <c r="P125" s="569" t="s">
        <v>2519</v>
      </c>
      <c r="R125" s="547">
        <v>46.6</v>
      </c>
    </row>
    <row r="126" spans="1:18">
      <c r="B126" s="572"/>
      <c r="D126" s="573" t="s">
        <v>1290</v>
      </c>
      <c r="E126" s="569" t="s">
        <v>2496</v>
      </c>
      <c r="F126" s="552">
        <v>-13</v>
      </c>
      <c r="H126" s="576">
        <v>1.47</v>
      </c>
      <c r="J126" s="571">
        <v>1.3</v>
      </c>
      <c r="K126" s="571"/>
      <c r="L126" s="571">
        <v>0.18</v>
      </c>
      <c r="M126" s="571"/>
      <c r="N126" s="571">
        <v>-0.01</v>
      </c>
      <c r="P126" s="569" t="s">
        <v>2519</v>
      </c>
      <c r="R126" s="547">
        <v>40.9</v>
      </c>
    </row>
    <row r="127" spans="1:18">
      <c r="B127" s="572"/>
      <c r="D127" s="580" t="s">
        <v>1300</v>
      </c>
      <c r="E127" s="574" t="s">
        <v>2496</v>
      </c>
      <c r="F127" s="575">
        <v>-6</v>
      </c>
      <c r="H127" s="576">
        <v>3.99</v>
      </c>
      <c r="J127" s="571">
        <v>3.7700000000000005</v>
      </c>
      <c r="K127" s="571"/>
      <c r="L127" s="571">
        <v>0.26</v>
      </c>
      <c r="M127" s="571"/>
      <c r="N127" s="571">
        <v>-0.04</v>
      </c>
      <c r="P127" s="574" t="s">
        <v>2519</v>
      </c>
      <c r="R127" s="547">
        <v>7.5</v>
      </c>
    </row>
    <row r="128" spans="1:18">
      <c r="B128" s="572"/>
      <c r="D128" s="580" t="s">
        <v>1301</v>
      </c>
      <c r="E128" s="574" t="s">
        <v>2496</v>
      </c>
      <c r="F128" s="575">
        <v>-6</v>
      </c>
      <c r="H128" s="576">
        <v>3.55</v>
      </c>
      <c r="J128" s="571">
        <v>3.3499999999999996</v>
      </c>
      <c r="K128" s="571"/>
      <c r="L128" s="571">
        <v>0.23</v>
      </c>
      <c r="M128" s="571"/>
      <c r="N128" s="571">
        <v>-0.03</v>
      </c>
      <c r="P128" s="574" t="s">
        <v>2519</v>
      </c>
      <c r="R128" s="547">
        <v>13.4</v>
      </c>
    </row>
    <row r="129" spans="1:18">
      <c r="B129" s="572"/>
      <c r="D129" s="580" t="s">
        <v>1302</v>
      </c>
      <c r="E129" s="574" t="s">
        <v>2496</v>
      </c>
      <c r="F129" s="575">
        <v>-6</v>
      </c>
      <c r="H129" s="576">
        <v>1.6</v>
      </c>
      <c r="J129" s="571">
        <v>1.51</v>
      </c>
      <c r="K129" s="571"/>
      <c r="L129" s="571">
        <v>0.11</v>
      </c>
      <c r="M129" s="571"/>
      <c r="N129" s="571">
        <v>-0.02</v>
      </c>
      <c r="P129" s="574" t="s">
        <v>2519</v>
      </c>
      <c r="R129" s="547">
        <v>19.3</v>
      </c>
    </row>
    <row r="130" spans="1:18">
      <c r="B130" s="572"/>
      <c r="D130" s="580" t="s">
        <v>1303</v>
      </c>
      <c r="E130" s="574" t="s">
        <v>2496</v>
      </c>
      <c r="F130" s="575">
        <v>-6</v>
      </c>
      <c r="H130" s="576">
        <v>4.46</v>
      </c>
      <c r="J130" s="571">
        <v>4.21</v>
      </c>
      <c r="K130" s="571"/>
      <c r="L130" s="571">
        <v>0.28999999999999998</v>
      </c>
      <c r="M130" s="571"/>
      <c r="N130" s="571">
        <v>-0.04</v>
      </c>
      <c r="P130" s="574" t="s">
        <v>2519</v>
      </c>
      <c r="R130" s="547">
        <v>19.399999999999999</v>
      </c>
    </row>
    <row r="131" spans="1:18">
      <c r="B131" s="572"/>
      <c r="D131" s="580" t="s">
        <v>1305</v>
      </c>
      <c r="E131" s="574" t="s">
        <v>2496</v>
      </c>
      <c r="F131" s="575">
        <v>-7</v>
      </c>
      <c r="H131" s="576">
        <v>3.63</v>
      </c>
      <c r="J131" s="571">
        <v>3.3899999999999997</v>
      </c>
      <c r="K131" s="571"/>
      <c r="L131" s="571">
        <v>0.27</v>
      </c>
      <c r="M131" s="571"/>
      <c r="N131" s="571">
        <v>-0.03</v>
      </c>
      <c r="P131" s="574" t="s">
        <v>2519</v>
      </c>
      <c r="R131" s="547">
        <v>18.399999999999999</v>
      </c>
    </row>
    <row r="132" spans="1:18">
      <c r="B132" s="572"/>
      <c r="D132" s="580" t="s">
        <v>1306</v>
      </c>
      <c r="E132" s="574" t="s">
        <v>2496</v>
      </c>
      <c r="F132" s="575">
        <v>-7</v>
      </c>
      <c r="H132" s="576">
        <v>1.89</v>
      </c>
      <c r="J132" s="571">
        <v>1.77</v>
      </c>
      <c r="K132" s="571"/>
      <c r="L132" s="571">
        <v>0.14000000000000001</v>
      </c>
      <c r="M132" s="571"/>
      <c r="N132" s="571">
        <v>-0.02</v>
      </c>
      <c r="P132" s="574" t="s">
        <v>2519</v>
      </c>
      <c r="R132" s="547">
        <v>18.2</v>
      </c>
    </row>
    <row r="133" spans="1:18">
      <c r="B133" s="572"/>
      <c r="D133" s="580" t="s">
        <v>1307</v>
      </c>
      <c r="E133" s="574" t="s">
        <v>2496</v>
      </c>
      <c r="F133" s="575">
        <v>-7</v>
      </c>
      <c r="H133" s="576">
        <v>1.58</v>
      </c>
      <c r="J133" s="571">
        <v>1.47</v>
      </c>
      <c r="K133" s="571"/>
      <c r="L133" s="571">
        <v>0.12</v>
      </c>
      <c r="M133" s="571"/>
      <c r="N133" s="571">
        <v>-0.01</v>
      </c>
      <c r="P133" s="574" t="s">
        <v>2519</v>
      </c>
      <c r="R133" s="547">
        <v>17.7</v>
      </c>
    </row>
    <row r="134" spans="1:18">
      <c r="B134" s="572"/>
      <c r="D134" s="580" t="s">
        <v>1308</v>
      </c>
      <c r="E134" s="574" t="s">
        <v>2496</v>
      </c>
      <c r="F134" s="575">
        <v>-7</v>
      </c>
      <c r="H134" s="576">
        <v>1.67</v>
      </c>
      <c r="J134" s="571">
        <v>1.5699999999999998</v>
      </c>
      <c r="K134" s="571"/>
      <c r="L134" s="571">
        <v>0.12</v>
      </c>
      <c r="M134" s="571"/>
      <c r="N134" s="571">
        <v>-0.02</v>
      </c>
      <c r="P134" s="574" t="s">
        <v>2519</v>
      </c>
      <c r="R134" s="547">
        <v>20.5</v>
      </c>
    </row>
    <row r="135" spans="1:18">
      <c r="B135" s="572"/>
      <c r="D135" s="580" t="s">
        <v>1309</v>
      </c>
      <c r="E135" s="574" t="s">
        <v>2496</v>
      </c>
      <c r="F135" s="575">
        <v>-7</v>
      </c>
      <c r="H135" s="576">
        <v>1.92</v>
      </c>
      <c r="J135" s="571">
        <v>1.7999999999999998</v>
      </c>
      <c r="K135" s="571"/>
      <c r="L135" s="571">
        <v>0.14000000000000001</v>
      </c>
      <c r="M135" s="571"/>
      <c r="N135" s="571">
        <v>-0.02</v>
      </c>
      <c r="P135" s="574" t="s">
        <v>2519</v>
      </c>
      <c r="R135" s="547">
        <v>21.5</v>
      </c>
    </row>
    <row r="136" spans="1:18">
      <c r="B136" s="572"/>
      <c r="D136" s="580" t="s">
        <v>1310</v>
      </c>
      <c r="E136" s="574" t="s">
        <v>2496</v>
      </c>
      <c r="F136" s="575">
        <v>-7</v>
      </c>
      <c r="H136" s="576">
        <v>4.79</v>
      </c>
      <c r="J136" s="571">
        <v>4.47</v>
      </c>
      <c r="K136" s="571"/>
      <c r="L136" s="571">
        <v>0.36</v>
      </c>
      <c r="M136" s="571"/>
      <c r="N136" s="571">
        <v>-0.04</v>
      </c>
      <c r="P136" s="574" t="s">
        <v>2519</v>
      </c>
      <c r="R136" s="547">
        <v>18.399999999999999</v>
      </c>
    </row>
    <row r="137" spans="1:18">
      <c r="B137" s="572"/>
      <c r="D137" s="580" t="s">
        <v>1314</v>
      </c>
      <c r="E137" s="574" t="s">
        <v>2496</v>
      </c>
      <c r="F137" s="575">
        <v>-7</v>
      </c>
      <c r="H137" s="576">
        <v>3.64</v>
      </c>
      <c r="J137" s="571">
        <v>3.4</v>
      </c>
      <c r="K137" s="571"/>
      <c r="L137" s="571">
        <v>0.27</v>
      </c>
      <c r="M137" s="571"/>
      <c r="N137" s="571">
        <v>-0.03</v>
      </c>
      <c r="P137" s="574" t="s">
        <v>2519</v>
      </c>
      <c r="R137" s="547">
        <v>21.2</v>
      </c>
    </row>
    <row r="138" spans="1:18">
      <c r="B138" s="572"/>
      <c r="D138" s="580" t="s">
        <v>1315</v>
      </c>
      <c r="E138" s="574" t="s">
        <v>2496</v>
      </c>
      <c r="F138" s="575">
        <v>-7</v>
      </c>
      <c r="H138" s="576">
        <v>4.0999999999999996</v>
      </c>
      <c r="J138" s="571">
        <v>3.8299999999999996</v>
      </c>
      <c r="K138" s="571"/>
      <c r="L138" s="571">
        <v>0.31</v>
      </c>
      <c r="M138" s="571"/>
      <c r="N138" s="571">
        <v>-0.04</v>
      </c>
      <c r="P138" s="574" t="s">
        <v>2519</v>
      </c>
      <c r="R138" s="547">
        <v>22.3</v>
      </c>
    </row>
    <row r="139" spans="1:18">
      <c r="B139" s="572"/>
      <c r="E139" s="574"/>
      <c r="F139" s="575"/>
      <c r="H139" s="576"/>
      <c r="J139" s="571"/>
      <c r="K139" s="571"/>
      <c r="L139" s="571"/>
      <c r="M139" s="571"/>
      <c r="N139" s="571"/>
      <c r="P139" s="574"/>
    </row>
    <row r="140" spans="1:18">
      <c r="A140" s="544">
        <v>315</v>
      </c>
      <c r="B140" s="572"/>
      <c r="D140" s="581" t="s">
        <v>1322</v>
      </c>
      <c r="E140" s="574"/>
      <c r="F140" s="271" t="s">
        <v>2582</v>
      </c>
      <c r="H140" s="576">
        <v>2.62</v>
      </c>
      <c r="J140" s="571"/>
      <c r="K140" s="571"/>
      <c r="L140" s="571"/>
      <c r="M140" s="571"/>
      <c r="N140" s="571"/>
      <c r="P140" s="574" t="str">
        <f>P138</f>
        <v>70-R3</v>
      </c>
      <c r="R140" s="547">
        <v>24.1</v>
      </c>
    </row>
    <row r="141" spans="1:18">
      <c r="B141" s="572"/>
      <c r="D141" s="581"/>
      <c r="E141" s="574"/>
      <c r="F141" s="575"/>
      <c r="H141" s="576"/>
      <c r="J141" s="571"/>
      <c r="K141" s="571"/>
      <c r="L141" s="571"/>
      <c r="M141" s="571"/>
      <c r="N141" s="571"/>
      <c r="P141" s="574"/>
    </row>
    <row r="142" spans="1:18">
      <c r="B142" s="572">
        <v>315.10000000000002</v>
      </c>
      <c r="D142" s="573" t="s">
        <v>2520</v>
      </c>
      <c r="E142" s="574"/>
      <c r="F142" s="575"/>
      <c r="H142" s="576"/>
      <c r="J142" s="571"/>
      <c r="K142" s="571"/>
      <c r="L142" s="571"/>
      <c r="M142" s="571"/>
      <c r="N142" s="571"/>
      <c r="P142" s="574"/>
    </row>
    <row r="143" spans="1:18">
      <c r="B143" s="572"/>
      <c r="D143" s="573" t="s">
        <v>1292</v>
      </c>
      <c r="E143" s="569" t="s">
        <v>2496</v>
      </c>
      <c r="F143" s="552">
        <v>-10</v>
      </c>
      <c r="H143" s="576">
        <v>0</v>
      </c>
      <c r="J143" s="571">
        <v>0</v>
      </c>
      <c r="K143" s="571"/>
      <c r="L143" s="571">
        <v>0</v>
      </c>
      <c r="M143" s="571"/>
      <c r="N143" s="571">
        <v>0</v>
      </c>
      <c r="P143" s="569" t="s">
        <v>2519</v>
      </c>
      <c r="R143" s="547">
        <v>0</v>
      </c>
    </row>
    <row r="144" spans="1:18">
      <c r="B144" s="572"/>
      <c r="D144" s="580" t="s">
        <v>1297</v>
      </c>
      <c r="E144" s="569" t="s">
        <v>2496</v>
      </c>
      <c r="F144" s="552">
        <v>-10</v>
      </c>
      <c r="H144" s="576">
        <v>0</v>
      </c>
      <c r="J144" s="571">
        <v>0</v>
      </c>
      <c r="K144" s="571"/>
      <c r="L144" s="571">
        <v>0</v>
      </c>
      <c r="M144" s="571"/>
      <c r="N144" s="571">
        <v>0</v>
      </c>
      <c r="P144" s="569" t="s">
        <v>2519</v>
      </c>
      <c r="R144" s="547">
        <v>0</v>
      </c>
    </row>
    <row r="145" spans="2:18">
      <c r="B145" s="572"/>
      <c r="D145" s="580" t="s">
        <v>1298</v>
      </c>
      <c r="E145" s="574" t="s">
        <v>2496</v>
      </c>
      <c r="F145" s="575">
        <v>-10</v>
      </c>
      <c r="H145" s="576">
        <v>0</v>
      </c>
      <c r="J145" s="571">
        <v>0</v>
      </c>
      <c r="K145" s="571"/>
      <c r="L145" s="571">
        <v>0</v>
      </c>
      <c r="M145" s="571"/>
      <c r="N145" s="571">
        <v>0</v>
      </c>
      <c r="P145" s="574" t="s">
        <v>2519</v>
      </c>
      <c r="R145" s="547">
        <v>0</v>
      </c>
    </row>
    <row r="146" spans="2:18">
      <c r="B146" s="572"/>
      <c r="D146" s="581"/>
      <c r="E146" s="574"/>
      <c r="F146" s="575"/>
      <c r="H146" s="576"/>
      <c r="J146" s="571"/>
      <c r="K146" s="571"/>
      <c r="L146" s="571"/>
      <c r="M146" s="571"/>
      <c r="N146" s="571"/>
      <c r="P146" s="574"/>
    </row>
    <row r="147" spans="2:18">
      <c r="B147" s="572"/>
      <c r="D147" s="581" t="s">
        <v>2521</v>
      </c>
      <c r="E147" s="574"/>
      <c r="F147" s="575"/>
      <c r="H147" s="576">
        <v>0</v>
      </c>
      <c r="J147" s="571"/>
      <c r="K147" s="571"/>
      <c r="L147" s="571"/>
      <c r="M147" s="571"/>
      <c r="N147" s="571"/>
      <c r="P147" s="574"/>
      <c r="R147" s="547">
        <v>0</v>
      </c>
    </row>
    <row r="148" spans="2:18">
      <c r="B148" s="572"/>
      <c r="D148" s="581"/>
      <c r="E148" s="574"/>
      <c r="F148" s="575"/>
      <c r="H148" s="576"/>
      <c r="J148" s="571"/>
      <c r="K148" s="571"/>
      <c r="L148" s="571"/>
      <c r="M148" s="571"/>
      <c r="N148" s="571"/>
      <c r="P148" s="574"/>
    </row>
    <row r="149" spans="2:18">
      <c r="B149" s="572">
        <v>316</v>
      </c>
      <c r="C149" s="567" t="s">
        <v>163</v>
      </c>
      <c r="D149" s="544" t="s">
        <v>2522</v>
      </c>
      <c r="H149" s="576"/>
      <c r="J149" s="571"/>
      <c r="K149" s="571"/>
      <c r="L149" s="571"/>
      <c r="M149" s="571"/>
      <c r="N149" s="571"/>
      <c r="P149" s="569"/>
    </row>
    <row r="150" spans="2:18">
      <c r="B150" s="572"/>
      <c r="D150" s="580" t="s">
        <v>1288</v>
      </c>
      <c r="E150" s="574" t="s">
        <v>2496</v>
      </c>
      <c r="F150" s="575">
        <v>-13</v>
      </c>
      <c r="H150" s="576">
        <v>2.2999999999999998</v>
      </c>
      <c r="J150" s="571">
        <v>2.0399999999999996</v>
      </c>
      <c r="K150" s="571"/>
      <c r="L150" s="571">
        <v>0.28000000000000003</v>
      </c>
      <c r="M150" s="571"/>
      <c r="N150" s="571">
        <v>-0.02</v>
      </c>
      <c r="P150" s="574" t="s">
        <v>2523</v>
      </c>
      <c r="R150" s="547">
        <v>45.4</v>
      </c>
    </row>
    <row r="151" spans="2:18">
      <c r="B151" s="572"/>
      <c r="D151" s="573" t="s">
        <v>1291</v>
      </c>
      <c r="E151" s="574" t="s">
        <v>2496</v>
      </c>
      <c r="F151" s="575">
        <v>-1</v>
      </c>
      <c r="H151" s="576">
        <v>3.13</v>
      </c>
      <c r="J151" s="571">
        <v>3.0999999999999996</v>
      </c>
      <c r="K151" s="571"/>
      <c r="L151" s="571">
        <v>0.06</v>
      </c>
      <c r="M151" s="571"/>
      <c r="N151" s="571">
        <v>-0.03</v>
      </c>
      <c r="P151" s="574" t="s">
        <v>2523</v>
      </c>
      <c r="R151" s="547">
        <v>23.4</v>
      </c>
    </row>
    <row r="152" spans="2:18">
      <c r="B152" s="572"/>
      <c r="D152" s="580" t="s">
        <v>1300</v>
      </c>
      <c r="E152" s="574" t="s">
        <v>2496</v>
      </c>
      <c r="F152" s="575">
        <v>-6</v>
      </c>
      <c r="H152" s="576">
        <v>3.55</v>
      </c>
      <c r="J152" s="571">
        <v>3.3499999999999996</v>
      </c>
      <c r="K152" s="571"/>
      <c r="L152" s="571">
        <v>0.23</v>
      </c>
      <c r="M152" s="571"/>
      <c r="N152" s="571">
        <v>-0.03</v>
      </c>
      <c r="P152" s="574" t="s">
        <v>2523</v>
      </c>
      <c r="R152" s="547">
        <v>7.4</v>
      </c>
    </row>
    <row r="153" spans="2:18">
      <c r="B153" s="572"/>
      <c r="D153" s="580" t="s">
        <v>1301</v>
      </c>
      <c r="E153" s="574" t="s">
        <v>2496</v>
      </c>
      <c r="F153" s="575">
        <v>-6</v>
      </c>
      <c r="H153" s="576">
        <v>1.44</v>
      </c>
      <c r="J153" s="571">
        <v>1.3499999999999999</v>
      </c>
      <c r="K153" s="571"/>
      <c r="L153" s="571">
        <v>0.1</v>
      </c>
      <c r="M153" s="571"/>
      <c r="N153" s="571">
        <v>-0.01</v>
      </c>
      <c r="P153" s="574" t="s">
        <v>2523</v>
      </c>
      <c r="R153" s="547">
        <v>13.2</v>
      </c>
    </row>
    <row r="154" spans="2:18">
      <c r="B154" s="572"/>
      <c r="D154" s="580" t="s">
        <v>1302</v>
      </c>
      <c r="E154" s="574" t="s">
        <v>2496</v>
      </c>
      <c r="F154" s="575">
        <v>-6</v>
      </c>
      <c r="H154" s="576">
        <v>2.9</v>
      </c>
      <c r="J154" s="571">
        <v>2.7399999999999998</v>
      </c>
      <c r="K154" s="571"/>
      <c r="L154" s="571">
        <v>0.19</v>
      </c>
      <c r="M154" s="571"/>
      <c r="N154" s="571">
        <v>-0.03</v>
      </c>
      <c r="P154" s="574" t="s">
        <v>2523</v>
      </c>
      <c r="R154" s="547">
        <v>18.8</v>
      </c>
    </row>
    <row r="155" spans="2:18">
      <c r="B155" s="582"/>
      <c r="D155" s="580" t="s">
        <v>1305</v>
      </c>
      <c r="E155" s="574" t="s">
        <v>2496</v>
      </c>
      <c r="F155" s="575">
        <v>-7</v>
      </c>
      <c r="H155" s="576">
        <v>0.85</v>
      </c>
      <c r="J155" s="571">
        <v>0.8</v>
      </c>
      <c r="K155" s="571"/>
      <c r="L155" s="571">
        <v>0.06</v>
      </c>
      <c r="M155" s="571"/>
      <c r="N155" s="571">
        <v>-0.01</v>
      </c>
      <c r="P155" s="574" t="s">
        <v>2523</v>
      </c>
      <c r="R155" s="547">
        <v>17.8</v>
      </c>
    </row>
    <row r="156" spans="2:18">
      <c r="B156" s="572"/>
      <c r="D156" s="580" t="s">
        <v>1306</v>
      </c>
      <c r="E156" s="574" t="s">
        <v>2496</v>
      </c>
      <c r="F156" s="575">
        <v>-7</v>
      </c>
      <c r="H156" s="576">
        <v>1.04</v>
      </c>
      <c r="J156" s="571">
        <v>0.97000000000000008</v>
      </c>
      <c r="K156" s="571"/>
      <c r="L156" s="571">
        <v>0.08</v>
      </c>
      <c r="M156" s="571"/>
      <c r="N156" s="571">
        <v>-0.01</v>
      </c>
      <c r="P156" s="574" t="s">
        <v>2523</v>
      </c>
      <c r="R156" s="547">
        <v>17.8</v>
      </c>
    </row>
    <row r="157" spans="2:18">
      <c r="D157" s="580" t="s">
        <v>1307</v>
      </c>
      <c r="E157" s="574" t="s">
        <v>2496</v>
      </c>
      <c r="F157" s="575">
        <v>-7</v>
      </c>
      <c r="H157" s="576">
        <v>0.7</v>
      </c>
      <c r="J157" s="571">
        <v>0.65999999999999992</v>
      </c>
      <c r="K157" s="571"/>
      <c r="L157" s="571">
        <v>0.05</v>
      </c>
      <c r="M157" s="571"/>
      <c r="N157" s="571">
        <v>-0.01</v>
      </c>
      <c r="P157" s="574" t="s">
        <v>2523</v>
      </c>
      <c r="R157" s="547">
        <v>17.399999999999999</v>
      </c>
    </row>
    <row r="158" spans="2:18">
      <c r="B158" s="572"/>
      <c r="D158" s="580" t="s">
        <v>1308</v>
      </c>
      <c r="E158" s="574" t="s">
        <v>2496</v>
      </c>
      <c r="F158" s="575">
        <v>-7</v>
      </c>
      <c r="H158" s="576">
        <v>1.96</v>
      </c>
      <c r="J158" s="571">
        <v>1.83</v>
      </c>
      <c r="K158" s="571"/>
      <c r="L158" s="571">
        <v>0.15</v>
      </c>
      <c r="M158" s="571"/>
      <c r="N158" s="571">
        <v>-0.02</v>
      </c>
      <c r="P158" s="574" t="s">
        <v>2523</v>
      </c>
      <c r="R158" s="547">
        <v>20.399999999999999</v>
      </c>
    </row>
    <row r="159" spans="2:18">
      <c r="B159" s="572"/>
      <c r="D159" s="580" t="s">
        <v>1309</v>
      </c>
      <c r="E159" s="574" t="s">
        <v>2496</v>
      </c>
      <c r="F159" s="575">
        <v>-7</v>
      </c>
      <c r="H159" s="576">
        <v>3.09</v>
      </c>
      <c r="J159" s="571">
        <v>2.8899999999999997</v>
      </c>
      <c r="K159" s="571"/>
      <c r="L159" s="571">
        <v>0.23</v>
      </c>
      <c r="M159" s="571"/>
      <c r="N159" s="571">
        <v>-0.03</v>
      </c>
      <c r="P159" s="574" t="s">
        <v>2523</v>
      </c>
      <c r="R159" s="547">
        <v>21.4</v>
      </c>
    </row>
    <row r="160" spans="2:18">
      <c r="B160" s="572"/>
      <c r="D160" s="580"/>
      <c r="E160" s="574"/>
      <c r="F160" s="575"/>
      <c r="H160" s="576"/>
      <c r="J160" s="571"/>
      <c r="K160" s="571"/>
      <c r="L160" s="571"/>
      <c r="M160" s="571"/>
      <c r="N160" s="571"/>
      <c r="P160" s="574"/>
    </row>
    <row r="161" spans="1:18">
      <c r="A161" s="544">
        <v>316</v>
      </c>
      <c r="B161" s="572"/>
      <c r="D161" s="581" t="s">
        <v>2524</v>
      </c>
      <c r="E161" s="574"/>
      <c r="F161" s="271" t="s">
        <v>2581</v>
      </c>
      <c r="H161" s="576">
        <v>2.48</v>
      </c>
      <c r="J161" s="571"/>
      <c r="K161" s="571"/>
      <c r="L161" s="571"/>
      <c r="M161" s="571"/>
      <c r="N161" s="571"/>
      <c r="P161" s="574" t="str">
        <f>P159</f>
        <v>75-R1.5</v>
      </c>
      <c r="R161" s="547">
        <v>25.8</v>
      </c>
    </row>
    <row r="162" spans="1:18">
      <c r="B162" s="572"/>
      <c r="D162" s="581"/>
      <c r="E162" s="574"/>
      <c r="F162" s="575"/>
      <c r="H162" s="576"/>
      <c r="J162" s="571"/>
      <c r="K162" s="571"/>
      <c r="L162" s="571"/>
      <c r="M162" s="571"/>
      <c r="N162" s="571"/>
      <c r="P162" s="574"/>
    </row>
    <row r="163" spans="1:18">
      <c r="B163" s="572">
        <v>316.10000000000002</v>
      </c>
      <c r="D163" s="573" t="s">
        <v>2525</v>
      </c>
      <c r="E163" s="574"/>
      <c r="F163" s="575"/>
      <c r="H163" s="576"/>
      <c r="J163" s="571"/>
      <c r="K163" s="571"/>
      <c r="L163" s="571"/>
      <c r="M163" s="571"/>
      <c r="N163" s="571"/>
      <c r="P163" s="574"/>
    </row>
    <row r="164" spans="1:18">
      <c r="B164" s="572"/>
      <c r="D164" s="573" t="s">
        <v>1292</v>
      </c>
      <c r="E164" s="574" t="s">
        <v>2496</v>
      </c>
      <c r="F164" s="575">
        <v>-10</v>
      </c>
      <c r="H164" s="576">
        <v>0</v>
      </c>
      <c r="J164" s="571">
        <v>0</v>
      </c>
      <c r="K164" s="571"/>
      <c r="L164" s="571">
        <v>0</v>
      </c>
      <c r="M164" s="571"/>
      <c r="N164" s="571">
        <v>0</v>
      </c>
      <c r="P164" s="574" t="s">
        <v>2523</v>
      </c>
      <c r="R164" s="547">
        <v>0</v>
      </c>
    </row>
    <row r="165" spans="1:18">
      <c r="B165" s="572"/>
      <c r="D165" s="573" t="s">
        <v>1295</v>
      </c>
      <c r="E165" s="574" t="s">
        <v>2496</v>
      </c>
      <c r="F165" s="575">
        <v>-10</v>
      </c>
      <c r="H165" s="576">
        <v>0</v>
      </c>
      <c r="J165" s="571">
        <v>0</v>
      </c>
      <c r="K165" s="571"/>
      <c r="L165" s="571">
        <v>0</v>
      </c>
      <c r="M165" s="571"/>
      <c r="N165" s="571">
        <v>0</v>
      </c>
      <c r="P165" s="574" t="s">
        <v>2523</v>
      </c>
      <c r="R165" s="547">
        <v>0</v>
      </c>
    </row>
    <row r="166" spans="1:18">
      <c r="B166" s="572"/>
      <c r="D166" s="580" t="s">
        <v>1298</v>
      </c>
      <c r="E166" s="574" t="s">
        <v>2496</v>
      </c>
      <c r="F166" s="575">
        <v>-10</v>
      </c>
      <c r="H166" s="576">
        <v>0</v>
      </c>
      <c r="J166" s="571">
        <v>0</v>
      </c>
      <c r="K166" s="571"/>
      <c r="L166" s="571">
        <v>0</v>
      </c>
      <c r="M166" s="571"/>
      <c r="N166" s="571">
        <v>0</v>
      </c>
      <c r="P166" s="574" t="s">
        <v>2523</v>
      </c>
      <c r="R166" s="547">
        <v>0</v>
      </c>
    </row>
    <row r="167" spans="1:18">
      <c r="B167" s="572"/>
      <c r="D167" s="580" t="s">
        <v>1299</v>
      </c>
      <c r="E167" s="574" t="s">
        <v>2496</v>
      </c>
      <c r="F167" s="575">
        <v>-10</v>
      </c>
      <c r="H167" s="576">
        <v>0</v>
      </c>
      <c r="J167" s="571">
        <v>0</v>
      </c>
      <c r="K167" s="571"/>
      <c r="L167" s="571">
        <v>0</v>
      </c>
      <c r="M167" s="571"/>
      <c r="N167" s="571">
        <v>0</v>
      </c>
      <c r="P167" s="574" t="s">
        <v>2523</v>
      </c>
      <c r="R167" s="547">
        <v>0</v>
      </c>
    </row>
    <row r="168" spans="1:18">
      <c r="B168" s="572"/>
      <c r="D168" s="581"/>
      <c r="E168" s="574"/>
      <c r="F168" s="575"/>
      <c r="H168" s="576"/>
      <c r="J168" s="571"/>
      <c r="K168" s="571"/>
      <c r="L168" s="571"/>
      <c r="M168" s="571"/>
      <c r="N168" s="571"/>
      <c r="P168" s="574"/>
    </row>
    <row r="169" spans="1:18">
      <c r="B169" s="572"/>
      <c r="D169" s="581" t="s">
        <v>2526</v>
      </c>
      <c r="E169" s="574"/>
      <c r="F169" s="575"/>
      <c r="H169" s="576">
        <v>0</v>
      </c>
      <c r="J169" s="571"/>
      <c r="K169" s="571"/>
      <c r="L169" s="571"/>
      <c r="M169" s="571"/>
      <c r="N169" s="571"/>
      <c r="P169" s="574"/>
      <c r="R169" s="547">
        <v>0</v>
      </c>
    </row>
    <row r="170" spans="1:18">
      <c r="B170" s="572"/>
      <c r="D170" s="581"/>
      <c r="E170" s="574"/>
      <c r="F170" s="575"/>
      <c r="H170" s="576"/>
      <c r="J170" s="571"/>
      <c r="K170" s="571"/>
      <c r="L170" s="571"/>
      <c r="M170" s="571"/>
      <c r="N170" s="571"/>
      <c r="P170" s="574"/>
    </row>
    <row r="171" spans="1:18">
      <c r="B171" s="572"/>
      <c r="D171" s="568" t="s">
        <v>1326</v>
      </c>
      <c r="E171" s="574"/>
      <c r="F171" s="575"/>
      <c r="H171" s="576"/>
      <c r="J171" s="571"/>
      <c r="K171" s="571"/>
      <c r="L171" s="571"/>
      <c r="M171" s="571"/>
      <c r="N171" s="571"/>
      <c r="P171" s="574"/>
    </row>
    <row r="172" spans="1:18">
      <c r="B172" s="572"/>
      <c r="D172" s="568"/>
      <c r="E172" s="574"/>
      <c r="F172" s="575"/>
      <c r="H172" s="576"/>
      <c r="J172" s="571"/>
      <c r="K172" s="571"/>
      <c r="L172" s="571"/>
      <c r="M172" s="571"/>
      <c r="N172" s="571"/>
      <c r="P172" s="574"/>
    </row>
    <row r="173" spans="1:18">
      <c r="B173" s="572"/>
      <c r="D173" s="570" t="s">
        <v>2527</v>
      </c>
      <c r="E173" s="574"/>
      <c r="F173" s="575"/>
      <c r="H173" s="576"/>
      <c r="J173" s="571"/>
      <c r="K173" s="571"/>
      <c r="L173" s="571"/>
      <c r="M173" s="571"/>
      <c r="N173" s="571"/>
      <c r="P173" s="574"/>
    </row>
    <row r="174" spans="1:18">
      <c r="B174" s="572"/>
      <c r="D174" s="593"/>
      <c r="E174" s="574"/>
      <c r="F174" s="575"/>
      <c r="H174" s="576"/>
      <c r="J174" s="571"/>
      <c r="K174" s="571"/>
      <c r="L174" s="571"/>
      <c r="M174" s="571"/>
      <c r="N174" s="571"/>
      <c r="P174" s="574"/>
    </row>
    <row r="175" spans="1:18">
      <c r="B175" s="572">
        <v>330.1</v>
      </c>
      <c r="D175" s="593" t="s">
        <v>1327</v>
      </c>
      <c r="E175" s="574"/>
      <c r="F175" s="575"/>
      <c r="H175" s="576"/>
      <c r="J175" s="571"/>
      <c r="K175" s="571"/>
      <c r="L175" s="571"/>
      <c r="M175" s="571"/>
      <c r="N175" s="571"/>
      <c r="P175" s="574"/>
    </row>
    <row r="176" spans="1:18">
      <c r="B176" s="572"/>
      <c r="D176" s="593" t="s">
        <v>1328</v>
      </c>
      <c r="E176" s="574" t="s">
        <v>2496</v>
      </c>
      <c r="F176" s="575">
        <v>0</v>
      </c>
      <c r="H176" s="576">
        <v>0</v>
      </c>
      <c r="J176" s="571">
        <v>0</v>
      </c>
      <c r="K176" s="571"/>
      <c r="L176" s="571">
        <v>0</v>
      </c>
      <c r="M176" s="571"/>
      <c r="N176" s="571">
        <v>0</v>
      </c>
      <c r="P176" s="574" t="s">
        <v>1329</v>
      </c>
      <c r="R176" s="547">
        <v>0</v>
      </c>
    </row>
    <row r="177" spans="1:18">
      <c r="B177" s="572"/>
      <c r="D177" s="593"/>
      <c r="E177" s="574"/>
      <c r="F177" s="575"/>
      <c r="H177" s="576"/>
      <c r="J177" s="571"/>
      <c r="K177" s="571"/>
      <c r="L177" s="571"/>
      <c r="M177" s="571"/>
      <c r="N177" s="571"/>
      <c r="P177" s="574"/>
    </row>
    <row r="178" spans="1:18">
      <c r="A178" s="544">
        <v>330</v>
      </c>
      <c r="B178" s="572"/>
      <c r="D178" s="594" t="s">
        <v>1330</v>
      </c>
      <c r="E178" s="574"/>
      <c r="F178" s="271" t="s">
        <v>1900</v>
      </c>
      <c r="H178" s="576">
        <v>0</v>
      </c>
      <c r="J178" s="571"/>
      <c r="K178" s="571"/>
      <c r="L178" s="571"/>
      <c r="M178" s="571"/>
      <c r="N178" s="571"/>
      <c r="P178" s="574" t="str">
        <f>P176</f>
        <v>100-R4</v>
      </c>
      <c r="R178" s="547">
        <v>0</v>
      </c>
    </row>
    <row r="179" spans="1:18">
      <c r="B179" s="572"/>
      <c r="D179" s="593"/>
      <c r="E179" s="574"/>
      <c r="F179" s="575"/>
      <c r="H179" s="576"/>
      <c r="J179" s="571"/>
      <c r="K179" s="571"/>
      <c r="L179" s="571"/>
      <c r="M179" s="571"/>
      <c r="N179" s="571"/>
      <c r="P179" s="574"/>
    </row>
    <row r="180" spans="1:18">
      <c r="B180" s="572">
        <v>331</v>
      </c>
      <c r="D180" s="593" t="s">
        <v>1331</v>
      </c>
      <c r="E180" s="574"/>
      <c r="F180" s="575"/>
      <c r="H180" s="576"/>
      <c r="J180" s="571"/>
      <c r="K180" s="571"/>
      <c r="L180" s="571"/>
      <c r="M180" s="571"/>
      <c r="N180" s="571"/>
      <c r="P180" s="574"/>
    </row>
    <row r="181" spans="1:18">
      <c r="B181" s="572"/>
      <c r="D181" s="593" t="s">
        <v>1332</v>
      </c>
      <c r="E181" s="574" t="s">
        <v>2496</v>
      </c>
      <c r="F181" s="575">
        <v>-3</v>
      </c>
      <c r="H181" s="576">
        <v>2.48</v>
      </c>
      <c r="J181" s="571">
        <v>2.41</v>
      </c>
      <c r="K181" s="571"/>
      <c r="L181" s="571">
        <v>7.0000000000000007E-2</v>
      </c>
      <c r="M181" s="571"/>
      <c r="N181" s="571">
        <v>0</v>
      </c>
      <c r="P181" s="574" t="s">
        <v>1333</v>
      </c>
      <c r="R181" s="547">
        <v>24.7</v>
      </c>
    </row>
    <row r="182" spans="1:18">
      <c r="B182" s="572"/>
      <c r="D182" s="593"/>
      <c r="E182" s="574"/>
      <c r="F182" s="575"/>
      <c r="H182" s="576"/>
      <c r="J182" s="571"/>
      <c r="K182" s="571"/>
      <c r="L182" s="571"/>
      <c r="M182" s="571"/>
      <c r="N182" s="571"/>
      <c r="P182" s="574"/>
    </row>
    <row r="183" spans="1:18">
      <c r="A183" s="544">
        <v>331</v>
      </c>
      <c r="B183" s="572"/>
      <c r="D183" s="594" t="s">
        <v>1334</v>
      </c>
      <c r="E183" s="574"/>
      <c r="F183" s="271" t="s">
        <v>2583</v>
      </c>
      <c r="H183" s="576">
        <v>2.4789674426364807</v>
      </c>
      <c r="J183" s="571"/>
      <c r="K183" s="571"/>
      <c r="L183" s="571"/>
      <c r="M183" s="571"/>
      <c r="N183" s="571"/>
      <c r="P183" s="574" t="str">
        <f>P181</f>
        <v>90-S2.5</v>
      </c>
      <c r="R183" s="547">
        <v>24.7</v>
      </c>
    </row>
    <row r="184" spans="1:18">
      <c r="B184" s="572"/>
      <c r="D184" s="593"/>
      <c r="E184" s="574"/>
      <c r="F184" s="575"/>
      <c r="H184" s="576"/>
      <c r="J184" s="571"/>
      <c r="K184" s="571"/>
      <c r="L184" s="571"/>
      <c r="M184" s="571"/>
      <c r="N184" s="571"/>
      <c r="P184" s="574"/>
    </row>
    <row r="185" spans="1:18">
      <c r="B185" s="572">
        <v>332</v>
      </c>
      <c r="D185" s="593" t="s">
        <v>2528</v>
      </c>
      <c r="H185" s="576"/>
      <c r="J185" s="571"/>
      <c r="K185" s="571"/>
      <c r="L185" s="571"/>
      <c r="M185" s="571"/>
      <c r="N185" s="571"/>
      <c r="P185" s="569"/>
    </row>
    <row r="186" spans="1:18">
      <c r="B186" s="572"/>
      <c r="D186" s="593" t="s">
        <v>1332</v>
      </c>
      <c r="E186" s="574" t="s">
        <v>2496</v>
      </c>
      <c r="F186" s="575">
        <v>-3</v>
      </c>
      <c r="H186" s="576">
        <v>2.61</v>
      </c>
      <c r="J186" s="571">
        <v>2.5299999999999998</v>
      </c>
      <c r="K186" s="571"/>
      <c r="L186" s="571">
        <v>0.08</v>
      </c>
      <c r="M186" s="571"/>
      <c r="N186" s="571">
        <v>0</v>
      </c>
      <c r="P186" s="574" t="s">
        <v>2529</v>
      </c>
      <c r="R186" s="547">
        <v>25.1</v>
      </c>
    </row>
    <row r="187" spans="1:18">
      <c r="B187" s="572"/>
      <c r="D187" s="593"/>
      <c r="E187" s="574"/>
      <c r="F187" s="575"/>
      <c r="H187" s="576"/>
      <c r="J187" s="571"/>
      <c r="K187" s="571"/>
      <c r="L187" s="571"/>
      <c r="M187" s="571"/>
      <c r="N187" s="571"/>
      <c r="P187" s="574"/>
    </row>
    <row r="188" spans="1:18">
      <c r="A188" s="544">
        <v>332</v>
      </c>
      <c r="B188" s="572"/>
      <c r="D188" s="594" t="s">
        <v>2530</v>
      </c>
      <c r="E188" s="574"/>
      <c r="F188" s="271" t="s">
        <v>2583</v>
      </c>
      <c r="H188" s="576">
        <v>2.6050178750101041</v>
      </c>
      <c r="J188" s="571"/>
      <c r="K188" s="571"/>
      <c r="L188" s="571"/>
      <c r="M188" s="571"/>
      <c r="N188" s="571"/>
      <c r="P188" s="574" t="str">
        <f>P186</f>
        <v>105-S2.5</v>
      </c>
      <c r="R188" s="547">
        <v>25.1</v>
      </c>
    </row>
    <row r="189" spans="1:18">
      <c r="B189" s="572"/>
      <c r="D189" s="593"/>
      <c r="E189" s="574"/>
      <c r="F189" s="575"/>
      <c r="H189" s="576"/>
      <c r="J189" s="571"/>
      <c r="K189" s="571"/>
      <c r="L189" s="571"/>
      <c r="M189" s="571"/>
      <c r="N189" s="571"/>
      <c r="P189" s="574"/>
    </row>
    <row r="190" spans="1:18">
      <c r="B190" s="572">
        <v>333</v>
      </c>
      <c r="D190" s="593" t="s">
        <v>2531</v>
      </c>
      <c r="E190" s="574"/>
      <c r="F190" s="575"/>
      <c r="H190" s="576"/>
      <c r="J190" s="571"/>
      <c r="K190" s="571"/>
      <c r="L190" s="571"/>
      <c r="M190" s="571"/>
      <c r="N190" s="571"/>
      <c r="P190" s="574"/>
    </row>
    <row r="191" spans="1:18">
      <c r="B191" s="572"/>
      <c r="D191" s="593" t="s">
        <v>1339</v>
      </c>
      <c r="E191" s="574" t="s">
        <v>2496</v>
      </c>
      <c r="F191" s="575">
        <v>-3</v>
      </c>
      <c r="H191" s="576">
        <v>3.86</v>
      </c>
      <c r="J191" s="571">
        <v>3.75</v>
      </c>
      <c r="K191" s="571"/>
      <c r="L191" s="571">
        <v>0.15</v>
      </c>
      <c r="M191" s="571"/>
      <c r="N191" s="571">
        <v>-0.04</v>
      </c>
      <c r="P191" s="574" t="s">
        <v>1340</v>
      </c>
      <c r="R191" s="547">
        <v>25.2</v>
      </c>
    </row>
    <row r="192" spans="1:18">
      <c r="B192" s="572"/>
      <c r="D192" s="593"/>
      <c r="E192" s="574"/>
      <c r="F192" s="575"/>
      <c r="H192" s="576"/>
      <c r="J192" s="571"/>
      <c r="K192" s="571"/>
      <c r="L192" s="571"/>
      <c r="M192" s="571"/>
      <c r="N192" s="571"/>
      <c r="P192" s="574"/>
    </row>
    <row r="193" spans="1:18">
      <c r="A193" s="544">
        <v>333</v>
      </c>
      <c r="B193" s="572"/>
      <c r="D193" s="594" t="s">
        <v>2532</v>
      </c>
      <c r="E193" s="574"/>
      <c r="F193" s="271" t="s">
        <v>2583</v>
      </c>
      <c r="H193" s="576">
        <v>3.8602674608813099</v>
      </c>
      <c r="J193" s="571"/>
      <c r="K193" s="571"/>
      <c r="L193" s="571"/>
      <c r="M193" s="571"/>
      <c r="N193" s="571"/>
      <c r="P193" s="574" t="str">
        <f>P191</f>
        <v>75-R3</v>
      </c>
      <c r="R193" s="547">
        <v>25.2</v>
      </c>
    </row>
    <row r="194" spans="1:18">
      <c r="B194" s="572"/>
      <c r="D194" s="593"/>
      <c r="E194" s="574"/>
      <c r="F194" s="575"/>
      <c r="H194" s="576"/>
      <c r="J194" s="571"/>
      <c r="K194" s="571"/>
      <c r="L194" s="571"/>
      <c r="M194" s="571"/>
      <c r="N194" s="571"/>
      <c r="P194" s="574"/>
    </row>
    <row r="195" spans="1:18">
      <c r="B195" s="572">
        <v>334</v>
      </c>
      <c r="D195" s="593" t="s">
        <v>1342</v>
      </c>
      <c r="E195" s="574"/>
      <c r="F195" s="575"/>
      <c r="H195" s="576"/>
      <c r="J195" s="571"/>
      <c r="K195" s="571"/>
      <c r="L195" s="571"/>
      <c r="M195" s="571"/>
      <c r="N195" s="571"/>
      <c r="P195" s="574"/>
    </row>
    <row r="196" spans="1:18">
      <c r="B196" s="572"/>
      <c r="D196" s="593" t="s">
        <v>1339</v>
      </c>
      <c r="E196" s="574" t="s">
        <v>2496</v>
      </c>
      <c r="F196" s="575">
        <v>-3</v>
      </c>
      <c r="H196" s="576">
        <v>3.81</v>
      </c>
      <c r="J196" s="571">
        <v>3.7</v>
      </c>
      <c r="K196" s="571"/>
      <c r="L196" s="571">
        <v>0.11</v>
      </c>
      <c r="M196" s="571"/>
      <c r="N196" s="571">
        <v>0</v>
      </c>
      <c r="P196" s="574" t="s">
        <v>1343</v>
      </c>
      <c r="R196" s="547">
        <v>22.7</v>
      </c>
    </row>
    <row r="197" spans="1:18">
      <c r="B197" s="572"/>
      <c r="D197" s="593"/>
      <c r="E197" s="574"/>
      <c r="F197" s="575"/>
      <c r="H197" s="576"/>
      <c r="J197" s="571"/>
      <c r="K197" s="571"/>
      <c r="L197" s="571"/>
      <c r="M197" s="571"/>
      <c r="N197" s="571"/>
      <c r="P197" s="574"/>
    </row>
    <row r="198" spans="1:18">
      <c r="A198" s="544">
        <v>334</v>
      </c>
      <c r="B198" s="572"/>
      <c r="D198" s="594" t="s">
        <v>1344</v>
      </c>
      <c r="E198" s="574"/>
      <c r="F198" s="271" t="s">
        <v>2583</v>
      </c>
      <c r="H198" s="576">
        <v>3.8095958097608711</v>
      </c>
      <c r="J198" s="571"/>
      <c r="K198" s="571"/>
      <c r="L198" s="571"/>
      <c r="M198" s="571"/>
      <c r="N198" s="571"/>
      <c r="P198" s="574" t="str">
        <f>P196</f>
        <v>40-L2.5</v>
      </c>
      <c r="R198" s="547">
        <v>22.7</v>
      </c>
    </row>
    <row r="199" spans="1:18">
      <c r="B199" s="572"/>
      <c r="D199" s="593"/>
      <c r="E199" s="574"/>
      <c r="F199" s="575"/>
      <c r="H199" s="576"/>
      <c r="J199" s="571"/>
      <c r="K199" s="571"/>
      <c r="L199" s="571"/>
      <c r="M199" s="571"/>
      <c r="N199" s="571"/>
      <c r="P199" s="574"/>
    </row>
    <row r="200" spans="1:18">
      <c r="B200" s="572">
        <v>335</v>
      </c>
      <c r="D200" s="593" t="s">
        <v>1345</v>
      </c>
      <c r="E200" s="574"/>
      <c r="F200" s="575"/>
      <c r="H200" s="576"/>
      <c r="J200" s="571"/>
      <c r="K200" s="571"/>
      <c r="L200" s="571"/>
      <c r="M200" s="571"/>
      <c r="N200" s="571"/>
      <c r="P200" s="574"/>
    </row>
    <row r="201" spans="1:18">
      <c r="B201" s="572"/>
      <c r="D201" s="593" t="s">
        <v>1339</v>
      </c>
      <c r="E201" s="574" t="s">
        <v>2496</v>
      </c>
      <c r="F201" s="575">
        <v>-3</v>
      </c>
      <c r="H201" s="576">
        <v>3.76</v>
      </c>
      <c r="J201" s="571">
        <v>3.65</v>
      </c>
      <c r="K201" s="571"/>
      <c r="L201" s="571">
        <v>0.11</v>
      </c>
      <c r="M201" s="571"/>
      <c r="N201" s="571">
        <v>0</v>
      </c>
      <c r="P201" s="574" t="s">
        <v>2533</v>
      </c>
      <c r="R201" s="547">
        <v>17.600000000000001</v>
      </c>
    </row>
    <row r="202" spans="1:18">
      <c r="B202" s="572"/>
      <c r="D202" s="593"/>
      <c r="E202" s="574"/>
      <c r="F202" s="575"/>
      <c r="H202" s="576"/>
      <c r="J202" s="571"/>
      <c r="K202" s="571"/>
      <c r="L202" s="571"/>
      <c r="M202" s="571"/>
      <c r="N202" s="571"/>
      <c r="P202" s="574"/>
    </row>
    <row r="203" spans="1:18">
      <c r="A203" s="544">
        <v>335</v>
      </c>
      <c r="B203" s="572"/>
      <c r="D203" s="594" t="s">
        <v>1347</v>
      </c>
      <c r="E203" s="574"/>
      <c r="F203" s="271" t="s">
        <v>2583</v>
      </c>
      <c r="H203" s="576">
        <v>3.7621462836311235</v>
      </c>
      <c r="J203" s="571"/>
      <c r="K203" s="571"/>
      <c r="L203" s="571"/>
      <c r="M203" s="571"/>
      <c r="N203" s="571"/>
      <c r="P203" s="574" t="str">
        <f>P201</f>
        <v>40-S0</v>
      </c>
      <c r="R203" s="547">
        <v>17.600000000000001</v>
      </c>
    </row>
    <row r="204" spans="1:18">
      <c r="B204" s="572"/>
      <c r="D204" s="593"/>
      <c r="E204" s="574"/>
      <c r="F204" s="575"/>
      <c r="H204" s="576"/>
      <c r="J204" s="571"/>
      <c r="K204" s="571"/>
      <c r="L204" s="571"/>
      <c r="M204" s="571"/>
      <c r="N204" s="571"/>
      <c r="P204" s="574"/>
    </row>
    <row r="205" spans="1:18">
      <c r="B205" s="572">
        <v>336</v>
      </c>
      <c r="D205" s="593" t="s">
        <v>2534</v>
      </c>
      <c r="E205" s="574"/>
      <c r="F205" s="575"/>
      <c r="H205" s="576"/>
      <c r="J205" s="571"/>
      <c r="K205" s="571"/>
      <c r="L205" s="571"/>
      <c r="M205" s="571"/>
      <c r="N205" s="571"/>
      <c r="P205" s="574"/>
    </row>
    <row r="206" spans="1:18" s="573" customFormat="1">
      <c r="B206" s="595"/>
      <c r="C206" s="596"/>
      <c r="D206" s="593" t="s">
        <v>1332</v>
      </c>
      <c r="E206" s="574" t="s">
        <v>2496</v>
      </c>
      <c r="F206" s="575">
        <v>-3</v>
      </c>
      <c r="H206" s="576">
        <v>3.33</v>
      </c>
      <c r="I206" s="544"/>
      <c r="J206" s="571">
        <v>3.23</v>
      </c>
      <c r="K206" s="571"/>
      <c r="L206" s="571">
        <v>0.1</v>
      </c>
      <c r="M206" s="571"/>
      <c r="N206" s="571">
        <v>0</v>
      </c>
      <c r="P206" s="574" t="s">
        <v>2535</v>
      </c>
      <c r="R206" s="547">
        <v>21.9</v>
      </c>
    </row>
    <row r="207" spans="1:18">
      <c r="B207" s="572"/>
      <c r="D207" s="593"/>
      <c r="E207" s="574"/>
      <c r="F207" s="575"/>
      <c r="H207" s="576"/>
      <c r="J207" s="571"/>
      <c r="K207" s="571"/>
      <c r="L207" s="571"/>
      <c r="M207" s="571"/>
      <c r="N207" s="571"/>
      <c r="P207" s="574"/>
      <c r="R207" s="597"/>
    </row>
    <row r="208" spans="1:18">
      <c r="A208" s="544">
        <v>336</v>
      </c>
      <c r="B208" s="572"/>
      <c r="D208" s="594" t="s">
        <v>2536</v>
      </c>
      <c r="E208" s="574"/>
      <c r="F208" s="271" t="s">
        <v>2583</v>
      </c>
      <c r="H208" s="576">
        <v>3.334624967479944</v>
      </c>
      <c r="J208" s="571"/>
      <c r="K208" s="571"/>
      <c r="L208" s="571"/>
      <c r="M208" s="571"/>
      <c r="N208" s="571"/>
      <c r="P208" s="574" t="str">
        <f>P206</f>
        <v>60-R4</v>
      </c>
      <c r="R208" s="547">
        <v>21.9</v>
      </c>
    </row>
    <row r="209" spans="1:18">
      <c r="B209" s="572"/>
      <c r="D209" s="593"/>
      <c r="E209" s="574"/>
      <c r="F209" s="575"/>
      <c r="H209" s="576"/>
      <c r="J209" s="571"/>
      <c r="K209" s="571"/>
      <c r="L209" s="571"/>
      <c r="M209" s="571"/>
      <c r="N209" s="571"/>
      <c r="P209" s="574"/>
    </row>
    <row r="210" spans="1:18" s="599" customFormat="1">
      <c r="B210" s="598"/>
      <c r="C210" s="546"/>
      <c r="D210" s="568" t="s">
        <v>2537</v>
      </c>
      <c r="E210" s="554"/>
      <c r="F210" s="555"/>
      <c r="H210" s="576"/>
      <c r="J210" s="600"/>
      <c r="K210" s="600"/>
      <c r="L210" s="600"/>
      <c r="M210" s="600"/>
      <c r="N210" s="600"/>
      <c r="P210" s="554"/>
      <c r="R210" s="547"/>
    </row>
    <row r="211" spans="1:18">
      <c r="B211" s="572"/>
      <c r="D211" s="593"/>
      <c r="E211" s="574"/>
      <c r="F211" s="575"/>
      <c r="H211" s="576"/>
      <c r="J211" s="571"/>
      <c r="K211" s="571"/>
      <c r="L211" s="571"/>
      <c r="M211" s="571"/>
      <c r="N211" s="571"/>
      <c r="P211" s="574"/>
      <c r="R211" s="601"/>
    </row>
    <row r="212" spans="1:18">
      <c r="B212" s="572"/>
      <c r="D212" s="554" t="s">
        <v>329</v>
      </c>
      <c r="E212" s="574"/>
      <c r="F212" s="575"/>
      <c r="G212" s="553"/>
      <c r="H212" s="576"/>
      <c r="J212" s="571"/>
      <c r="K212" s="571"/>
      <c r="L212" s="571"/>
      <c r="M212" s="571"/>
      <c r="N212" s="571"/>
      <c r="P212" s="574"/>
    </row>
    <row r="213" spans="1:18">
      <c r="B213" s="572"/>
      <c r="D213" s="602"/>
      <c r="E213" s="574"/>
      <c r="F213" s="575"/>
      <c r="H213" s="576"/>
      <c r="J213" s="571"/>
      <c r="K213" s="571"/>
      <c r="L213" s="571"/>
      <c r="M213" s="571"/>
      <c r="N213" s="571"/>
      <c r="P213" s="574"/>
    </row>
    <row r="214" spans="1:18" s="588" customFormat="1">
      <c r="B214" s="591">
        <v>340.1</v>
      </c>
      <c r="C214" s="584"/>
      <c r="D214" s="603" t="s">
        <v>1327</v>
      </c>
      <c r="E214" s="586"/>
      <c r="F214" s="587"/>
      <c r="H214" s="576"/>
      <c r="J214" s="604"/>
      <c r="K214" s="604"/>
      <c r="L214" s="604"/>
      <c r="M214" s="604"/>
      <c r="N214" s="604"/>
      <c r="P214" s="586"/>
      <c r="R214" s="547"/>
    </row>
    <row r="215" spans="1:18" s="588" customFormat="1">
      <c r="B215" s="591"/>
      <c r="C215" s="584"/>
      <c r="D215" s="605" t="s">
        <v>1352</v>
      </c>
      <c r="E215" s="574" t="s">
        <v>2496</v>
      </c>
      <c r="F215" s="575">
        <v>0</v>
      </c>
      <c r="H215" s="576">
        <v>0.19</v>
      </c>
      <c r="I215" s="544"/>
      <c r="J215" s="571">
        <v>0.19</v>
      </c>
      <c r="K215" s="571"/>
      <c r="L215" s="571">
        <v>0</v>
      </c>
      <c r="M215" s="571"/>
      <c r="N215" s="571">
        <v>0</v>
      </c>
      <c r="P215" s="586" t="s">
        <v>1284</v>
      </c>
      <c r="R215" s="590">
        <v>178.7</v>
      </c>
    </row>
    <row r="216" spans="1:18" s="588" customFormat="1">
      <c r="B216" s="591"/>
      <c r="C216" s="584"/>
      <c r="D216" s="603"/>
      <c r="E216" s="586"/>
      <c r="F216" s="587"/>
      <c r="H216" s="576"/>
      <c r="J216" s="604"/>
      <c r="K216" s="604"/>
      <c r="L216" s="604"/>
      <c r="M216" s="604"/>
      <c r="N216" s="604"/>
      <c r="P216" s="586"/>
      <c r="R216" s="590"/>
    </row>
    <row r="217" spans="1:18" s="588" customFormat="1">
      <c r="A217" s="588">
        <v>340</v>
      </c>
      <c r="B217" s="591"/>
      <c r="C217" s="584"/>
      <c r="D217" s="606" t="s">
        <v>2538</v>
      </c>
      <c r="E217" s="586"/>
      <c r="F217" s="271" t="s">
        <v>1900</v>
      </c>
      <c r="H217" s="576">
        <v>0.1898992745904397</v>
      </c>
      <c r="J217" s="604"/>
      <c r="K217" s="604"/>
      <c r="L217" s="604"/>
      <c r="M217" s="604"/>
      <c r="N217" s="604"/>
      <c r="P217" s="586" t="str">
        <f>P215</f>
        <v>SQUARE</v>
      </c>
      <c r="R217" s="590">
        <v>178.7</v>
      </c>
    </row>
    <row r="218" spans="1:18" s="588" customFormat="1">
      <c r="B218" s="591"/>
      <c r="C218" s="584"/>
      <c r="D218" s="603"/>
      <c r="E218" s="586"/>
      <c r="F218" s="587"/>
      <c r="H218" s="576"/>
      <c r="J218" s="604"/>
      <c r="K218" s="604"/>
      <c r="L218" s="604"/>
      <c r="M218" s="604"/>
      <c r="N218" s="604"/>
      <c r="P218" s="586"/>
      <c r="R218" s="590"/>
    </row>
    <row r="219" spans="1:18">
      <c r="B219" s="572">
        <v>341</v>
      </c>
      <c r="D219" s="580" t="s">
        <v>1331</v>
      </c>
      <c r="H219" s="576"/>
      <c r="J219" s="571"/>
      <c r="K219" s="571"/>
      <c r="L219" s="571"/>
      <c r="M219" s="571"/>
      <c r="N219" s="571"/>
      <c r="P219" s="569"/>
      <c r="R219" s="590"/>
    </row>
    <row r="220" spans="1:18">
      <c r="B220" s="572"/>
      <c r="D220" s="607" t="s">
        <v>2539</v>
      </c>
      <c r="E220" s="574" t="s">
        <v>2496</v>
      </c>
      <c r="F220" s="575">
        <v>-12</v>
      </c>
      <c r="H220" s="576">
        <v>3.03</v>
      </c>
      <c r="J220" s="571">
        <v>2.71</v>
      </c>
      <c r="K220" s="571"/>
      <c r="L220" s="571">
        <v>0.32</v>
      </c>
      <c r="M220" s="571"/>
      <c r="N220" s="571">
        <v>0</v>
      </c>
      <c r="P220" s="574" t="s">
        <v>2540</v>
      </c>
      <c r="R220" s="547">
        <v>36.5</v>
      </c>
    </row>
    <row r="221" spans="1:18">
      <c r="B221" s="572"/>
      <c r="D221" s="608" t="s">
        <v>1354</v>
      </c>
      <c r="E221" s="574" t="s">
        <v>2496</v>
      </c>
      <c r="F221" s="575">
        <v>-7</v>
      </c>
      <c r="H221" s="576">
        <v>3.87</v>
      </c>
      <c r="J221" s="571">
        <v>3.62</v>
      </c>
      <c r="K221" s="571"/>
      <c r="L221" s="571">
        <v>0.25</v>
      </c>
      <c r="M221" s="571"/>
      <c r="N221" s="571">
        <v>0</v>
      </c>
      <c r="P221" s="574" t="s">
        <v>2540</v>
      </c>
      <c r="R221" s="547">
        <v>15.8</v>
      </c>
    </row>
    <row r="222" spans="1:18">
      <c r="B222" s="572"/>
      <c r="D222" s="608" t="s">
        <v>1356</v>
      </c>
      <c r="E222" s="574" t="s">
        <v>2496</v>
      </c>
      <c r="F222" s="575">
        <v>-7</v>
      </c>
      <c r="H222" s="576">
        <v>3.86</v>
      </c>
      <c r="J222" s="571">
        <v>3.61</v>
      </c>
      <c r="K222" s="571"/>
      <c r="L222" s="571">
        <v>0.25</v>
      </c>
      <c r="M222" s="571"/>
      <c r="N222" s="571">
        <v>0</v>
      </c>
      <c r="P222" s="574" t="s">
        <v>2540</v>
      </c>
      <c r="R222" s="547">
        <v>15.8</v>
      </c>
    </row>
    <row r="223" spans="1:18">
      <c r="B223" s="572"/>
      <c r="D223" s="608" t="s">
        <v>1357</v>
      </c>
      <c r="E223" s="574" t="s">
        <v>2496</v>
      </c>
      <c r="F223" s="575">
        <v>-7</v>
      </c>
      <c r="H223" s="576">
        <v>3.78</v>
      </c>
      <c r="J223" s="571">
        <v>3.53</v>
      </c>
      <c r="K223" s="571"/>
      <c r="L223" s="571">
        <v>0.25</v>
      </c>
      <c r="M223" s="571"/>
      <c r="N223" s="571">
        <v>0</v>
      </c>
      <c r="P223" s="574" t="s">
        <v>2540</v>
      </c>
      <c r="R223" s="547">
        <v>17.7</v>
      </c>
    </row>
    <row r="224" spans="1:18">
      <c r="B224" s="572"/>
      <c r="D224" s="608" t="s">
        <v>1358</v>
      </c>
      <c r="E224" s="574" t="s">
        <v>2496</v>
      </c>
      <c r="F224" s="575">
        <v>-7</v>
      </c>
      <c r="H224" s="576">
        <v>3.78</v>
      </c>
      <c r="J224" s="571">
        <v>3.53</v>
      </c>
      <c r="K224" s="571"/>
      <c r="L224" s="571">
        <v>0.25</v>
      </c>
      <c r="M224" s="571"/>
      <c r="N224" s="571">
        <v>0</v>
      </c>
      <c r="P224" s="574" t="s">
        <v>2540</v>
      </c>
      <c r="R224" s="547">
        <v>17.7</v>
      </c>
    </row>
    <row r="225" spans="1:18">
      <c r="B225" s="572"/>
      <c r="D225" s="608" t="s">
        <v>1359</v>
      </c>
      <c r="E225" s="574" t="s">
        <v>2496</v>
      </c>
      <c r="F225" s="575">
        <v>-7</v>
      </c>
      <c r="H225" s="576">
        <v>3.79</v>
      </c>
      <c r="J225" s="571">
        <v>3.54</v>
      </c>
      <c r="K225" s="571"/>
      <c r="L225" s="571">
        <v>0.25</v>
      </c>
      <c r="M225" s="571"/>
      <c r="N225" s="571">
        <v>0</v>
      </c>
      <c r="P225" s="574" t="s">
        <v>2540</v>
      </c>
      <c r="R225" s="547">
        <v>17.7</v>
      </c>
    </row>
    <row r="226" spans="1:18">
      <c r="B226" s="572"/>
      <c r="D226" s="608" t="s">
        <v>1360</v>
      </c>
      <c r="E226" s="574" t="s">
        <v>2496</v>
      </c>
      <c r="F226" s="575">
        <v>-7</v>
      </c>
      <c r="H226" s="576">
        <v>3.79</v>
      </c>
      <c r="J226" s="571">
        <v>3.54</v>
      </c>
      <c r="K226" s="571"/>
      <c r="L226" s="571">
        <v>0.25</v>
      </c>
      <c r="M226" s="571"/>
      <c r="N226" s="571">
        <v>0</v>
      </c>
      <c r="P226" s="574" t="s">
        <v>2540</v>
      </c>
      <c r="R226" s="547">
        <v>17.7</v>
      </c>
    </row>
    <row r="227" spans="1:18">
      <c r="B227" s="572"/>
      <c r="D227" s="608" t="s">
        <v>1361</v>
      </c>
      <c r="E227" s="574" t="s">
        <v>2496</v>
      </c>
      <c r="F227" s="575">
        <v>-7</v>
      </c>
      <c r="H227" s="576">
        <v>3.94</v>
      </c>
      <c r="J227" s="571">
        <v>3.6799999999999997</v>
      </c>
      <c r="K227" s="571"/>
      <c r="L227" s="571">
        <v>0.26</v>
      </c>
      <c r="M227" s="571"/>
      <c r="N227" s="571">
        <v>0</v>
      </c>
      <c r="P227" s="574" t="s">
        <v>2540</v>
      </c>
      <c r="R227" s="547">
        <v>14.9</v>
      </c>
    </row>
    <row r="228" spans="1:18">
      <c r="B228" s="572"/>
      <c r="D228" s="608" t="s">
        <v>1362</v>
      </c>
      <c r="E228" s="574" t="s">
        <v>2496</v>
      </c>
      <c r="F228" s="575">
        <v>-7</v>
      </c>
      <c r="H228" s="576">
        <v>4.34</v>
      </c>
      <c r="J228" s="571">
        <v>4.0599999999999996</v>
      </c>
      <c r="K228" s="571"/>
      <c r="L228" s="571">
        <v>0.28000000000000003</v>
      </c>
      <c r="M228" s="571"/>
      <c r="N228" s="571">
        <v>0</v>
      </c>
      <c r="P228" s="574" t="s">
        <v>2540</v>
      </c>
      <c r="R228" s="547">
        <v>13</v>
      </c>
    </row>
    <row r="229" spans="1:18">
      <c r="B229" s="572"/>
      <c r="D229" s="608" t="s">
        <v>1363</v>
      </c>
      <c r="E229" s="574" t="s">
        <v>2496</v>
      </c>
      <c r="F229" s="575">
        <v>-7</v>
      </c>
      <c r="H229" s="576">
        <v>4.33</v>
      </c>
      <c r="J229" s="571">
        <v>4.05</v>
      </c>
      <c r="K229" s="571"/>
      <c r="L229" s="571">
        <v>0.28000000000000003</v>
      </c>
      <c r="M229" s="571"/>
      <c r="N229" s="571">
        <v>0</v>
      </c>
      <c r="P229" s="574" t="s">
        <v>2540</v>
      </c>
      <c r="R229" s="547">
        <v>13</v>
      </c>
    </row>
    <row r="230" spans="1:18">
      <c r="B230" s="572"/>
      <c r="D230" s="608" t="s">
        <v>1364</v>
      </c>
      <c r="E230" s="574" t="s">
        <v>2496</v>
      </c>
      <c r="F230" s="575">
        <v>-7</v>
      </c>
      <c r="H230" s="576">
        <v>3.97</v>
      </c>
      <c r="J230" s="571">
        <v>3.71</v>
      </c>
      <c r="K230" s="571"/>
      <c r="L230" s="571">
        <v>0.26</v>
      </c>
      <c r="M230" s="571"/>
      <c r="N230" s="571">
        <v>0</v>
      </c>
      <c r="P230" s="574" t="s">
        <v>2540</v>
      </c>
      <c r="R230" s="547">
        <v>9.1999999999999993</v>
      </c>
    </row>
    <row r="231" spans="1:18">
      <c r="B231" s="572"/>
      <c r="D231" s="608" t="s">
        <v>1365</v>
      </c>
      <c r="E231" s="574" t="s">
        <v>2496</v>
      </c>
      <c r="F231" s="575">
        <v>-7</v>
      </c>
      <c r="H231" s="576">
        <v>2.76</v>
      </c>
      <c r="J231" s="571">
        <v>2.5799999999999996</v>
      </c>
      <c r="K231" s="571"/>
      <c r="L231" s="571">
        <v>0.18</v>
      </c>
      <c r="M231" s="571"/>
      <c r="N231" s="571">
        <v>0</v>
      </c>
      <c r="P231" s="574" t="s">
        <v>2540</v>
      </c>
      <c r="R231" s="547">
        <v>14.6</v>
      </c>
    </row>
    <row r="232" spans="1:18">
      <c r="B232" s="572"/>
      <c r="D232" s="608" t="s">
        <v>1366</v>
      </c>
      <c r="E232" s="574" t="s">
        <v>2496</v>
      </c>
      <c r="F232" s="575">
        <v>-7</v>
      </c>
      <c r="H232" s="576">
        <v>2.92</v>
      </c>
      <c r="J232" s="571">
        <v>2.73</v>
      </c>
      <c r="K232" s="571"/>
      <c r="L232" s="571">
        <v>0.19</v>
      </c>
      <c r="M232" s="571"/>
      <c r="N232" s="571">
        <v>0</v>
      </c>
      <c r="P232" s="574" t="s">
        <v>2540</v>
      </c>
      <c r="R232" s="547">
        <v>14.6</v>
      </c>
    </row>
    <row r="233" spans="1:18">
      <c r="B233" s="572"/>
      <c r="D233" s="608" t="s">
        <v>1367</v>
      </c>
      <c r="E233" s="574" t="s">
        <v>2496</v>
      </c>
      <c r="F233" s="575">
        <v>-7</v>
      </c>
      <c r="H233" s="576">
        <v>4.32</v>
      </c>
      <c r="J233" s="571">
        <v>4.04</v>
      </c>
      <c r="K233" s="571"/>
      <c r="L233" s="571">
        <v>0.28000000000000003</v>
      </c>
      <c r="M233" s="571"/>
      <c r="N233" s="571">
        <v>0</v>
      </c>
      <c r="P233" s="574" t="s">
        <v>2540</v>
      </c>
      <c r="R233" s="547">
        <v>10.199999999999999</v>
      </c>
    </row>
    <row r="234" spans="1:18">
      <c r="B234" s="572"/>
      <c r="D234" s="608" t="s">
        <v>1368</v>
      </c>
      <c r="E234" s="574" t="s">
        <v>2496</v>
      </c>
      <c r="F234" s="575">
        <v>-10</v>
      </c>
      <c r="H234" s="576">
        <v>19.170000000000002</v>
      </c>
      <c r="J234" s="571">
        <v>17.430000000000003</v>
      </c>
      <c r="K234" s="571"/>
      <c r="L234" s="571">
        <v>1.74</v>
      </c>
      <c r="M234" s="571"/>
      <c r="N234" s="571">
        <v>0</v>
      </c>
      <c r="P234" s="574" t="s">
        <v>2540</v>
      </c>
      <c r="R234" s="547">
        <v>4.5</v>
      </c>
    </row>
    <row r="235" spans="1:18">
      <c r="B235" s="572"/>
      <c r="D235" s="608" t="s">
        <v>1369</v>
      </c>
      <c r="E235" s="574" t="s">
        <v>2496</v>
      </c>
      <c r="F235" s="575">
        <v>-6</v>
      </c>
      <c r="H235" s="576">
        <v>4.16</v>
      </c>
      <c r="J235" s="571">
        <v>3.92</v>
      </c>
      <c r="K235" s="571"/>
      <c r="L235" s="571">
        <v>0.24</v>
      </c>
      <c r="M235" s="571"/>
      <c r="N235" s="571">
        <v>0</v>
      </c>
      <c r="P235" s="574" t="s">
        <v>2540</v>
      </c>
      <c r="R235" s="547">
        <v>14.9</v>
      </c>
    </row>
    <row r="236" spans="1:18">
      <c r="B236" s="572"/>
      <c r="D236" s="580"/>
      <c r="E236" s="574"/>
      <c r="F236" s="575"/>
      <c r="H236" s="576"/>
      <c r="J236" s="571"/>
      <c r="K236" s="571"/>
      <c r="L236" s="571"/>
      <c r="M236" s="571"/>
      <c r="N236" s="571"/>
      <c r="P236" s="574"/>
    </row>
    <row r="237" spans="1:18">
      <c r="A237" s="544">
        <v>341</v>
      </c>
      <c r="B237" s="572"/>
      <c r="D237" s="581" t="s">
        <v>1370</v>
      </c>
      <c r="E237" s="574"/>
      <c r="F237" s="271" t="s">
        <v>2584</v>
      </c>
      <c r="H237" s="576">
        <v>3.3764706338153734</v>
      </c>
      <c r="J237" s="571"/>
      <c r="K237" s="571"/>
      <c r="L237" s="571"/>
      <c r="M237" s="571"/>
      <c r="N237" s="571"/>
      <c r="P237" s="574" t="str">
        <f>P235</f>
        <v>50-R2.5</v>
      </c>
      <c r="R237" s="547">
        <v>25.9</v>
      </c>
    </row>
    <row r="238" spans="1:18">
      <c r="B238" s="572"/>
      <c r="D238" s="580"/>
      <c r="E238" s="574"/>
      <c r="F238" s="575"/>
      <c r="H238" s="576"/>
      <c r="J238" s="571"/>
      <c r="K238" s="571"/>
      <c r="L238" s="571"/>
      <c r="M238" s="571"/>
      <c r="N238" s="571"/>
      <c r="P238" s="574"/>
    </row>
    <row r="239" spans="1:18">
      <c r="B239" s="572">
        <v>342</v>
      </c>
      <c r="D239" s="544" t="s">
        <v>1371</v>
      </c>
      <c r="H239" s="576"/>
      <c r="J239" s="571"/>
      <c r="K239" s="571"/>
      <c r="L239" s="571"/>
      <c r="M239" s="571"/>
      <c r="N239" s="571"/>
      <c r="P239" s="569"/>
    </row>
    <row r="240" spans="1:18">
      <c r="B240" s="572"/>
      <c r="D240" s="607" t="s">
        <v>2539</v>
      </c>
      <c r="E240" s="574" t="s">
        <v>2496</v>
      </c>
      <c r="F240" s="575">
        <v>-12</v>
      </c>
      <c r="H240" s="576">
        <v>3.1</v>
      </c>
      <c r="J240" s="571">
        <v>2.77</v>
      </c>
      <c r="K240" s="571"/>
      <c r="L240" s="571">
        <v>0.33</v>
      </c>
      <c r="M240" s="571"/>
      <c r="N240" s="571">
        <v>0</v>
      </c>
      <c r="P240" s="574" t="s">
        <v>1372</v>
      </c>
      <c r="R240" s="547">
        <v>35.6</v>
      </c>
    </row>
    <row r="241" spans="2:18">
      <c r="B241" s="572"/>
      <c r="D241" s="607" t="s">
        <v>2541</v>
      </c>
      <c r="E241" s="574" t="s">
        <v>2496</v>
      </c>
      <c r="F241" s="575">
        <v>-12</v>
      </c>
      <c r="H241" s="576">
        <v>3.1</v>
      </c>
      <c r="J241" s="571">
        <v>2.77</v>
      </c>
      <c r="K241" s="571"/>
      <c r="L241" s="571">
        <v>0.33</v>
      </c>
      <c r="M241" s="571"/>
      <c r="N241" s="571">
        <v>0</v>
      </c>
      <c r="P241" s="574" t="s">
        <v>1372</v>
      </c>
      <c r="R241" s="547">
        <v>35.6</v>
      </c>
    </row>
    <row r="242" spans="2:18">
      <c r="B242" s="572"/>
      <c r="D242" s="608" t="s">
        <v>1354</v>
      </c>
      <c r="E242" s="574" t="s">
        <v>2496</v>
      </c>
      <c r="F242" s="575">
        <v>-7</v>
      </c>
      <c r="H242" s="576">
        <v>3.9</v>
      </c>
      <c r="J242" s="571">
        <v>3.6399999999999997</v>
      </c>
      <c r="K242" s="571"/>
      <c r="L242" s="571">
        <v>0.26</v>
      </c>
      <c r="M242" s="571"/>
      <c r="N242" s="571">
        <v>0</v>
      </c>
      <c r="P242" s="574" t="s">
        <v>1372</v>
      </c>
      <c r="R242" s="547">
        <v>15.6</v>
      </c>
    </row>
    <row r="243" spans="2:18">
      <c r="B243" s="572"/>
      <c r="D243" s="608" t="s">
        <v>1356</v>
      </c>
      <c r="E243" s="574" t="s">
        <v>2496</v>
      </c>
      <c r="F243" s="575">
        <v>-7</v>
      </c>
      <c r="H243" s="576">
        <v>3.9</v>
      </c>
      <c r="J243" s="571">
        <v>3.6399999999999997</v>
      </c>
      <c r="K243" s="571"/>
      <c r="L243" s="571">
        <v>0.26</v>
      </c>
      <c r="M243" s="571"/>
      <c r="N243" s="571">
        <v>0</v>
      </c>
      <c r="P243" s="574" t="s">
        <v>1372</v>
      </c>
      <c r="R243" s="547">
        <v>15.6</v>
      </c>
    </row>
    <row r="244" spans="2:18">
      <c r="B244" s="572"/>
      <c r="D244" s="580" t="s">
        <v>1373</v>
      </c>
      <c r="E244" s="574" t="s">
        <v>2496</v>
      </c>
      <c r="F244" s="575">
        <v>-7</v>
      </c>
      <c r="H244" s="576">
        <v>3.53</v>
      </c>
      <c r="J244" s="571">
        <v>3.3</v>
      </c>
      <c r="K244" s="571"/>
      <c r="L244" s="571">
        <v>0.23</v>
      </c>
      <c r="M244" s="571"/>
      <c r="N244" s="571">
        <v>0</v>
      </c>
      <c r="P244" s="574" t="s">
        <v>1372</v>
      </c>
      <c r="R244" s="547">
        <v>17.399999999999999</v>
      </c>
    </row>
    <row r="245" spans="2:18">
      <c r="B245" s="572"/>
      <c r="D245" s="608" t="s">
        <v>1357</v>
      </c>
      <c r="E245" s="574" t="s">
        <v>2496</v>
      </c>
      <c r="F245" s="575">
        <v>-7</v>
      </c>
      <c r="H245" s="576">
        <v>3.82</v>
      </c>
      <c r="J245" s="571">
        <v>3.57</v>
      </c>
      <c r="K245" s="571"/>
      <c r="L245" s="571">
        <v>0.25</v>
      </c>
      <c r="M245" s="571"/>
      <c r="N245" s="571">
        <v>0</v>
      </c>
      <c r="P245" s="574" t="s">
        <v>1372</v>
      </c>
      <c r="R245" s="547">
        <v>17.5</v>
      </c>
    </row>
    <row r="246" spans="2:18">
      <c r="B246" s="572"/>
      <c r="D246" s="608" t="s">
        <v>1358</v>
      </c>
      <c r="E246" s="574" t="s">
        <v>2496</v>
      </c>
      <c r="F246" s="575">
        <v>-7</v>
      </c>
      <c r="H246" s="576">
        <v>3.82</v>
      </c>
      <c r="J246" s="571">
        <v>3.57</v>
      </c>
      <c r="K246" s="571"/>
      <c r="L246" s="571">
        <v>0.25</v>
      </c>
      <c r="M246" s="571"/>
      <c r="N246" s="571">
        <v>0</v>
      </c>
      <c r="P246" s="574" t="s">
        <v>1372</v>
      </c>
      <c r="R246" s="547">
        <v>17.5</v>
      </c>
    </row>
    <row r="247" spans="2:18">
      <c r="B247" s="572"/>
      <c r="D247" s="608" t="s">
        <v>1359</v>
      </c>
      <c r="E247" s="574" t="s">
        <v>2496</v>
      </c>
      <c r="F247" s="575">
        <v>-7</v>
      </c>
      <c r="H247" s="576">
        <v>3.83</v>
      </c>
      <c r="J247" s="571">
        <v>3.58</v>
      </c>
      <c r="K247" s="571"/>
      <c r="L247" s="571">
        <v>0.25</v>
      </c>
      <c r="M247" s="571"/>
      <c r="N247" s="571">
        <v>0</v>
      </c>
      <c r="P247" s="574" t="s">
        <v>1372</v>
      </c>
      <c r="R247" s="547">
        <v>17.5</v>
      </c>
    </row>
    <row r="248" spans="2:18">
      <c r="B248" s="572"/>
      <c r="D248" s="608" t="s">
        <v>1360</v>
      </c>
      <c r="E248" s="574" t="s">
        <v>2496</v>
      </c>
      <c r="F248" s="575">
        <v>-7</v>
      </c>
      <c r="H248" s="576">
        <v>3.85</v>
      </c>
      <c r="J248" s="571">
        <v>3.6</v>
      </c>
      <c r="K248" s="571"/>
      <c r="L248" s="571">
        <v>0.25</v>
      </c>
      <c r="M248" s="571"/>
      <c r="N248" s="571">
        <v>0</v>
      </c>
      <c r="P248" s="574" t="s">
        <v>1372</v>
      </c>
      <c r="R248" s="547">
        <v>17.5</v>
      </c>
    </row>
    <row r="249" spans="2:18">
      <c r="B249" s="572"/>
      <c r="D249" s="608" t="s">
        <v>1361</v>
      </c>
      <c r="E249" s="574" t="s">
        <v>2496</v>
      </c>
      <c r="F249" s="575">
        <v>-7</v>
      </c>
      <c r="H249" s="576">
        <v>5</v>
      </c>
      <c r="J249" s="571">
        <v>4.67</v>
      </c>
      <c r="K249" s="571"/>
      <c r="L249" s="571">
        <v>0.33</v>
      </c>
      <c r="M249" s="571"/>
      <c r="N249" s="571">
        <v>0</v>
      </c>
      <c r="P249" s="574" t="s">
        <v>1372</v>
      </c>
      <c r="R249" s="547">
        <v>14.8</v>
      </c>
    </row>
    <row r="250" spans="2:18">
      <c r="B250" s="572"/>
      <c r="D250" s="608" t="s">
        <v>1362</v>
      </c>
      <c r="E250" s="574" t="s">
        <v>2496</v>
      </c>
      <c r="F250" s="575">
        <v>-7</v>
      </c>
      <c r="H250" s="576">
        <v>6.96</v>
      </c>
      <c r="J250" s="571">
        <v>6.5</v>
      </c>
      <c r="K250" s="571"/>
      <c r="L250" s="571">
        <v>0.46</v>
      </c>
      <c r="M250" s="571"/>
      <c r="N250" s="571">
        <v>0</v>
      </c>
      <c r="P250" s="574" t="s">
        <v>1372</v>
      </c>
      <c r="R250" s="547">
        <v>13.2</v>
      </c>
    </row>
    <row r="251" spans="2:18">
      <c r="B251" s="572"/>
      <c r="D251" s="608" t="s">
        <v>1363</v>
      </c>
      <c r="E251" s="574" t="s">
        <v>2496</v>
      </c>
      <c r="F251" s="575">
        <v>-7</v>
      </c>
      <c r="H251" s="576">
        <v>6.99</v>
      </c>
      <c r="J251" s="571">
        <v>6.53</v>
      </c>
      <c r="K251" s="571"/>
      <c r="L251" s="571">
        <v>0.46</v>
      </c>
      <c r="M251" s="571"/>
      <c r="N251" s="571">
        <v>0</v>
      </c>
      <c r="P251" s="574" t="s">
        <v>1372</v>
      </c>
      <c r="R251" s="547">
        <v>13.2</v>
      </c>
    </row>
    <row r="252" spans="2:18">
      <c r="B252" s="572"/>
      <c r="D252" s="608" t="s">
        <v>1364</v>
      </c>
      <c r="E252" s="574" t="s">
        <v>2496</v>
      </c>
      <c r="F252" s="575">
        <v>-7</v>
      </c>
      <c r="H252" s="576">
        <v>6.53</v>
      </c>
      <c r="J252" s="571">
        <v>6.1000000000000005</v>
      </c>
      <c r="K252" s="571"/>
      <c r="L252" s="571">
        <v>0.43</v>
      </c>
      <c r="M252" s="571"/>
      <c r="N252" s="571">
        <v>0</v>
      </c>
      <c r="P252" s="574" t="s">
        <v>1372</v>
      </c>
      <c r="R252" s="547">
        <v>9.4</v>
      </c>
    </row>
    <row r="253" spans="2:18">
      <c r="B253" s="572"/>
      <c r="D253" s="608" t="s">
        <v>1365</v>
      </c>
      <c r="E253" s="574" t="s">
        <v>2496</v>
      </c>
      <c r="F253" s="575">
        <v>-7</v>
      </c>
      <c r="H253" s="576">
        <v>4.6500000000000004</v>
      </c>
      <c r="J253" s="571">
        <v>4.3500000000000005</v>
      </c>
      <c r="K253" s="571"/>
      <c r="L253" s="571">
        <v>0.3</v>
      </c>
      <c r="M253" s="571"/>
      <c r="N253" s="571">
        <v>0</v>
      </c>
      <c r="P253" s="574" t="s">
        <v>1372</v>
      </c>
      <c r="R253" s="547">
        <v>14.8</v>
      </c>
    </row>
    <row r="254" spans="2:18">
      <c r="B254" s="572"/>
      <c r="D254" s="608" t="s">
        <v>1366</v>
      </c>
      <c r="E254" s="574" t="s">
        <v>2496</v>
      </c>
      <c r="F254" s="575">
        <v>-7</v>
      </c>
      <c r="H254" s="576">
        <v>5.43</v>
      </c>
      <c r="J254" s="571">
        <v>5.0699999999999994</v>
      </c>
      <c r="K254" s="571"/>
      <c r="L254" s="571">
        <v>0.36</v>
      </c>
      <c r="M254" s="571"/>
      <c r="N254" s="571">
        <v>0</v>
      </c>
      <c r="P254" s="574" t="s">
        <v>1372</v>
      </c>
      <c r="R254" s="547">
        <v>15.1</v>
      </c>
    </row>
    <row r="255" spans="2:18">
      <c r="B255" s="572"/>
      <c r="D255" s="608" t="s">
        <v>1367</v>
      </c>
      <c r="E255" s="574" t="s">
        <v>2496</v>
      </c>
      <c r="F255" s="575">
        <v>-7</v>
      </c>
      <c r="H255" s="576">
        <v>7.39</v>
      </c>
      <c r="J255" s="571">
        <v>6.91</v>
      </c>
      <c r="K255" s="571"/>
      <c r="L255" s="571">
        <v>0.48</v>
      </c>
      <c r="M255" s="571"/>
      <c r="N255" s="571">
        <v>0</v>
      </c>
      <c r="P255" s="574" t="s">
        <v>1372</v>
      </c>
      <c r="R255" s="547">
        <v>10.3</v>
      </c>
    </row>
    <row r="256" spans="2:18">
      <c r="B256" s="572"/>
      <c r="D256" s="605" t="s">
        <v>1352</v>
      </c>
      <c r="E256" s="574" t="s">
        <v>2496</v>
      </c>
      <c r="F256" s="575">
        <v>-7</v>
      </c>
      <c r="H256" s="576">
        <v>3.03</v>
      </c>
      <c r="J256" s="571">
        <v>2.8299999999999996</v>
      </c>
      <c r="K256" s="571"/>
      <c r="L256" s="571">
        <v>0.2</v>
      </c>
      <c r="M256" s="571"/>
      <c r="N256" s="571">
        <v>0</v>
      </c>
      <c r="P256" s="574" t="s">
        <v>1372</v>
      </c>
      <c r="R256" s="547">
        <v>14.2</v>
      </c>
    </row>
    <row r="257" spans="1:18">
      <c r="B257" s="572"/>
      <c r="D257" s="608" t="s">
        <v>1368</v>
      </c>
      <c r="E257" s="574" t="s">
        <v>2496</v>
      </c>
      <c r="F257" s="575">
        <v>-10</v>
      </c>
      <c r="H257" s="576">
        <v>15.74</v>
      </c>
      <c r="J257" s="571">
        <v>14.31</v>
      </c>
      <c r="K257" s="571"/>
      <c r="L257" s="571">
        <v>1.43</v>
      </c>
      <c r="M257" s="571"/>
      <c r="N257" s="571">
        <v>0</v>
      </c>
      <c r="P257" s="574" t="s">
        <v>1372</v>
      </c>
      <c r="R257" s="547">
        <v>4.4000000000000004</v>
      </c>
    </row>
    <row r="258" spans="1:18">
      <c r="B258" s="572"/>
      <c r="D258" s="608" t="s">
        <v>1369</v>
      </c>
      <c r="E258" s="574" t="s">
        <v>2496</v>
      </c>
      <c r="F258" s="575">
        <v>-6</v>
      </c>
      <c r="H258" s="576">
        <v>3.89</v>
      </c>
      <c r="J258" s="571">
        <v>3.67</v>
      </c>
      <c r="K258" s="571"/>
      <c r="L258" s="571">
        <v>0.22</v>
      </c>
      <c r="M258" s="571"/>
      <c r="N258" s="571">
        <v>0</v>
      </c>
      <c r="P258" s="574" t="s">
        <v>1372</v>
      </c>
      <c r="R258" s="547">
        <v>14.7</v>
      </c>
    </row>
    <row r="259" spans="1:18">
      <c r="B259" s="572"/>
      <c r="E259" s="574"/>
      <c r="F259" s="575"/>
      <c r="H259" s="576"/>
      <c r="J259" s="571"/>
      <c r="K259" s="571"/>
      <c r="L259" s="571"/>
      <c r="M259" s="571"/>
      <c r="N259" s="571"/>
      <c r="P259" s="574"/>
    </row>
    <row r="260" spans="1:18">
      <c r="A260" s="544">
        <v>342</v>
      </c>
      <c r="B260" s="572"/>
      <c r="D260" s="581" t="s">
        <v>1374</v>
      </c>
      <c r="E260" s="574"/>
      <c r="F260" s="271" t="s">
        <v>2584</v>
      </c>
      <c r="H260" s="576">
        <v>3.275893588012297</v>
      </c>
      <c r="J260" s="571"/>
      <c r="K260" s="571"/>
      <c r="L260" s="571"/>
      <c r="M260" s="571"/>
      <c r="N260" s="571"/>
      <c r="P260" s="574" t="str">
        <f>P258</f>
        <v>45-R2.5</v>
      </c>
      <c r="R260" s="547">
        <v>31.3</v>
      </c>
    </row>
    <row r="261" spans="1:18">
      <c r="B261" s="572"/>
      <c r="E261" s="574"/>
      <c r="F261" s="575"/>
      <c r="H261" s="576"/>
      <c r="J261" s="571"/>
      <c r="K261" s="571"/>
      <c r="L261" s="571"/>
      <c r="M261" s="571"/>
      <c r="N261" s="571"/>
      <c r="P261" s="574"/>
    </row>
    <row r="262" spans="1:18">
      <c r="B262" s="572">
        <v>343</v>
      </c>
      <c r="D262" s="544" t="s">
        <v>1375</v>
      </c>
      <c r="H262" s="576"/>
      <c r="J262" s="571"/>
      <c r="K262" s="571"/>
      <c r="L262" s="571"/>
      <c r="M262" s="571"/>
      <c r="N262" s="571"/>
      <c r="P262" s="569"/>
    </row>
    <row r="263" spans="1:18">
      <c r="B263" s="572"/>
      <c r="D263" s="607" t="s">
        <v>2539</v>
      </c>
      <c r="E263" s="574" t="s">
        <v>2496</v>
      </c>
      <c r="F263" s="575">
        <v>-12</v>
      </c>
      <c r="H263" s="576">
        <v>3.57</v>
      </c>
      <c r="J263" s="571">
        <v>3.1899999999999995</v>
      </c>
      <c r="K263" s="571"/>
      <c r="L263" s="571">
        <v>0.41</v>
      </c>
      <c r="M263" s="571"/>
      <c r="N263" s="571">
        <v>-0.03</v>
      </c>
      <c r="P263" s="574" t="s">
        <v>1376</v>
      </c>
      <c r="R263" s="547">
        <v>30.9</v>
      </c>
    </row>
    <row r="264" spans="1:18">
      <c r="B264" s="572"/>
      <c r="D264" s="608" t="s">
        <v>1354</v>
      </c>
      <c r="E264" s="574" t="s">
        <v>2496</v>
      </c>
      <c r="F264" s="575">
        <v>-7</v>
      </c>
      <c r="H264" s="576">
        <v>4.58</v>
      </c>
      <c r="J264" s="571">
        <v>4.28</v>
      </c>
      <c r="K264" s="571"/>
      <c r="L264" s="571">
        <v>0.34</v>
      </c>
      <c r="M264" s="571"/>
      <c r="N264" s="571">
        <v>-0.04</v>
      </c>
      <c r="P264" s="574" t="s">
        <v>1376</v>
      </c>
      <c r="R264" s="547">
        <v>14.7</v>
      </c>
    </row>
    <row r="265" spans="1:18">
      <c r="B265" s="572"/>
      <c r="D265" s="608" t="s">
        <v>1356</v>
      </c>
      <c r="E265" s="574" t="s">
        <v>2496</v>
      </c>
      <c r="F265" s="575">
        <v>-7</v>
      </c>
      <c r="H265" s="576">
        <v>4.5</v>
      </c>
      <c r="J265" s="571">
        <v>4.2</v>
      </c>
      <c r="K265" s="571"/>
      <c r="L265" s="571">
        <v>0.34</v>
      </c>
      <c r="M265" s="571"/>
      <c r="N265" s="571">
        <v>-0.04</v>
      </c>
      <c r="P265" s="574" t="s">
        <v>1376</v>
      </c>
      <c r="R265" s="547">
        <v>14.6</v>
      </c>
    </row>
    <row r="266" spans="1:18">
      <c r="B266" s="572"/>
      <c r="D266" s="608" t="s">
        <v>1357</v>
      </c>
      <c r="E266" s="574" t="s">
        <v>2496</v>
      </c>
      <c r="F266" s="575">
        <v>-7</v>
      </c>
      <c r="H266" s="576">
        <v>4.5199999999999996</v>
      </c>
      <c r="J266" s="571">
        <v>4.22</v>
      </c>
      <c r="K266" s="571"/>
      <c r="L266" s="571">
        <v>0.34</v>
      </c>
      <c r="M266" s="571"/>
      <c r="N266" s="571">
        <v>-0.04</v>
      </c>
      <c r="P266" s="574" t="s">
        <v>1376</v>
      </c>
      <c r="R266" s="547">
        <v>16.399999999999999</v>
      </c>
    </row>
    <row r="267" spans="1:18">
      <c r="B267" s="572"/>
      <c r="D267" s="608" t="s">
        <v>1358</v>
      </c>
      <c r="E267" s="574" t="s">
        <v>2496</v>
      </c>
      <c r="F267" s="575">
        <v>-7</v>
      </c>
      <c r="H267" s="576">
        <v>4.57</v>
      </c>
      <c r="J267" s="571">
        <v>4.2700000000000005</v>
      </c>
      <c r="K267" s="571"/>
      <c r="L267" s="571">
        <v>0.34</v>
      </c>
      <c r="M267" s="571"/>
      <c r="N267" s="571">
        <v>-0.04</v>
      </c>
      <c r="P267" s="574" t="s">
        <v>1376</v>
      </c>
      <c r="R267" s="547">
        <v>16.399999999999999</v>
      </c>
    </row>
    <row r="268" spans="1:18">
      <c r="B268" s="572"/>
      <c r="D268" s="608" t="s">
        <v>1359</v>
      </c>
      <c r="E268" s="574" t="s">
        <v>2496</v>
      </c>
      <c r="F268" s="575">
        <v>-7</v>
      </c>
      <c r="H268" s="576">
        <v>4.4800000000000004</v>
      </c>
      <c r="J268" s="571">
        <v>4.1900000000000004</v>
      </c>
      <c r="K268" s="571"/>
      <c r="L268" s="571">
        <v>0.33</v>
      </c>
      <c r="M268" s="571"/>
      <c r="N268" s="571">
        <v>-0.04</v>
      </c>
      <c r="P268" s="574" t="s">
        <v>1376</v>
      </c>
      <c r="R268" s="547">
        <v>16.3</v>
      </c>
    </row>
    <row r="269" spans="1:18">
      <c r="B269" s="572"/>
      <c r="D269" s="608" t="s">
        <v>1360</v>
      </c>
      <c r="E269" s="574" t="s">
        <v>2496</v>
      </c>
      <c r="F269" s="575">
        <v>-7</v>
      </c>
      <c r="H269" s="576">
        <v>4.49</v>
      </c>
      <c r="J269" s="571">
        <v>4.1900000000000004</v>
      </c>
      <c r="K269" s="571"/>
      <c r="L269" s="571">
        <v>0.34</v>
      </c>
      <c r="M269" s="571"/>
      <c r="N269" s="571">
        <v>-0.04</v>
      </c>
      <c r="P269" s="574" t="s">
        <v>1376</v>
      </c>
      <c r="R269" s="547">
        <v>16.399999999999999</v>
      </c>
    </row>
    <row r="270" spans="1:18">
      <c r="B270" s="572"/>
      <c r="D270" s="608" t="s">
        <v>1361</v>
      </c>
      <c r="E270" s="574" t="s">
        <v>2496</v>
      </c>
      <c r="F270" s="575">
        <v>-7</v>
      </c>
      <c r="H270" s="576">
        <v>4.41</v>
      </c>
      <c r="J270" s="571">
        <v>4.12</v>
      </c>
      <c r="K270" s="571"/>
      <c r="L270" s="571">
        <v>0.33</v>
      </c>
      <c r="M270" s="571"/>
      <c r="N270" s="571">
        <v>-0.04</v>
      </c>
      <c r="P270" s="574" t="s">
        <v>1376</v>
      </c>
      <c r="R270" s="547">
        <v>13.8</v>
      </c>
    </row>
    <row r="271" spans="1:18">
      <c r="B271" s="582"/>
      <c r="D271" s="608" t="s">
        <v>1362</v>
      </c>
      <c r="E271" s="574" t="s">
        <v>2496</v>
      </c>
      <c r="F271" s="575">
        <v>-7</v>
      </c>
      <c r="H271" s="576">
        <v>5.42</v>
      </c>
      <c r="J271" s="571">
        <v>5.0599999999999996</v>
      </c>
      <c r="K271" s="571"/>
      <c r="L271" s="571">
        <v>0.41</v>
      </c>
      <c r="M271" s="571"/>
      <c r="N271" s="571">
        <v>-0.05</v>
      </c>
      <c r="P271" s="574" t="s">
        <v>1376</v>
      </c>
      <c r="R271" s="547">
        <v>12.2</v>
      </c>
    </row>
    <row r="272" spans="1:18">
      <c r="B272" s="572"/>
      <c r="D272" s="608" t="s">
        <v>1363</v>
      </c>
      <c r="E272" s="574" t="s">
        <v>2496</v>
      </c>
      <c r="F272" s="575">
        <v>-7</v>
      </c>
      <c r="H272" s="576">
        <v>5.28</v>
      </c>
      <c r="J272" s="571">
        <v>4.9400000000000004</v>
      </c>
      <c r="K272" s="571"/>
      <c r="L272" s="571">
        <v>0.39</v>
      </c>
      <c r="M272" s="571"/>
      <c r="N272" s="571">
        <v>-0.05</v>
      </c>
      <c r="P272" s="574" t="s">
        <v>1376</v>
      </c>
      <c r="R272" s="547">
        <v>12.2</v>
      </c>
    </row>
    <row r="273" spans="1:18">
      <c r="B273" s="572"/>
      <c r="D273" s="608" t="s">
        <v>1364</v>
      </c>
      <c r="E273" s="574" t="s">
        <v>2496</v>
      </c>
      <c r="F273" s="575">
        <v>-7</v>
      </c>
      <c r="H273" s="576">
        <v>5.81</v>
      </c>
      <c r="J273" s="571">
        <v>5.43</v>
      </c>
      <c r="K273" s="571"/>
      <c r="L273" s="571">
        <v>0.43</v>
      </c>
      <c r="M273" s="571"/>
      <c r="N273" s="571">
        <v>-0.05</v>
      </c>
      <c r="P273" s="574" t="s">
        <v>1376</v>
      </c>
      <c r="R273" s="547">
        <v>8.8000000000000007</v>
      </c>
    </row>
    <row r="274" spans="1:18">
      <c r="B274" s="595"/>
      <c r="D274" s="608" t="s">
        <v>1365</v>
      </c>
      <c r="E274" s="574" t="s">
        <v>2496</v>
      </c>
      <c r="F274" s="575">
        <v>-7</v>
      </c>
      <c r="H274" s="576">
        <v>4.74</v>
      </c>
      <c r="J274" s="571">
        <v>4.4300000000000006</v>
      </c>
      <c r="K274" s="571"/>
      <c r="L274" s="571">
        <v>0.35</v>
      </c>
      <c r="M274" s="571"/>
      <c r="N274" s="571">
        <v>-0.04</v>
      </c>
      <c r="P274" s="574" t="s">
        <v>1376</v>
      </c>
      <c r="R274" s="547">
        <v>13.6</v>
      </c>
    </row>
    <row r="275" spans="1:18">
      <c r="B275" s="572"/>
      <c r="D275" s="608" t="s">
        <v>1366</v>
      </c>
      <c r="E275" s="574" t="s">
        <v>2496</v>
      </c>
      <c r="F275" s="575">
        <v>-7</v>
      </c>
      <c r="H275" s="576">
        <v>4.9400000000000004</v>
      </c>
      <c r="J275" s="571">
        <v>4.62</v>
      </c>
      <c r="K275" s="571"/>
      <c r="L275" s="571">
        <v>0.37</v>
      </c>
      <c r="M275" s="571"/>
      <c r="N275" s="571">
        <v>-0.05</v>
      </c>
      <c r="P275" s="574" t="s">
        <v>1376</v>
      </c>
      <c r="R275" s="547">
        <v>13.8</v>
      </c>
    </row>
    <row r="276" spans="1:18">
      <c r="B276" s="572"/>
      <c r="D276" s="608" t="s">
        <v>1367</v>
      </c>
      <c r="E276" s="574" t="s">
        <v>2496</v>
      </c>
      <c r="F276" s="575">
        <v>-7</v>
      </c>
      <c r="H276" s="576">
        <v>4.82</v>
      </c>
      <c r="J276" s="571">
        <v>4.51</v>
      </c>
      <c r="K276" s="571"/>
      <c r="L276" s="571">
        <v>0.36</v>
      </c>
      <c r="M276" s="571"/>
      <c r="N276" s="571">
        <v>-0.05</v>
      </c>
      <c r="P276" s="574" t="s">
        <v>1376</v>
      </c>
      <c r="R276" s="547">
        <v>9.6</v>
      </c>
    </row>
    <row r="277" spans="1:18">
      <c r="B277" s="572"/>
      <c r="D277" s="608" t="s">
        <v>1369</v>
      </c>
      <c r="E277" s="574" t="s">
        <v>2496</v>
      </c>
      <c r="F277" s="575">
        <v>-6</v>
      </c>
      <c r="H277" s="576">
        <v>5.53</v>
      </c>
      <c r="J277" s="571">
        <v>5.21</v>
      </c>
      <c r="K277" s="571"/>
      <c r="L277" s="571">
        <v>0.37</v>
      </c>
      <c r="M277" s="571"/>
      <c r="N277" s="571">
        <v>-0.05</v>
      </c>
      <c r="P277" s="574" t="s">
        <v>1376</v>
      </c>
      <c r="R277" s="547">
        <v>13.9</v>
      </c>
    </row>
    <row r="278" spans="1:18">
      <c r="B278" s="572"/>
      <c r="E278" s="574"/>
      <c r="F278" s="575"/>
      <c r="H278" s="576"/>
      <c r="J278" s="571"/>
      <c r="K278" s="571"/>
      <c r="L278" s="571"/>
      <c r="M278" s="571"/>
      <c r="N278" s="571"/>
      <c r="P278" s="574"/>
    </row>
    <row r="279" spans="1:18">
      <c r="A279" s="544">
        <v>343</v>
      </c>
      <c r="B279" s="572"/>
      <c r="D279" s="581" t="s">
        <v>1377</v>
      </c>
      <c r="E279" s="574"/>
      <c r="F279" s="271" t="s">
        <v>2585</v>
      </c>
      <c r="H279" s="576">
        <v>4.6288124232691921</v>
      </c>
      <c r="J279" s="571"/>
      <c r="K279" s="571"/>
      <c r="L279" s="571"/>
      <c r="M279" s="571"/>
      <c r="N279" s="571"/>
      <c r="P279" s="574" t="str">
        <f>P277</f>
        <v>35-R1.5</v>
      </c>
      <c r="R279" s="547">
        <v>16</v>
      </c>
    </row>
    <row r="280" spans="1:18">
      <c r="B280" s="572"/>
      <c r="E280" s="574"/>
      <c r="F280" s="575"/>
      <c r="H280" s="576"/>
      <c r="J280" s="571"/>
      <c r="K280" s="571"/>
      <c r="L280" s="571"/>
      <c r="M280" s="571"/>
      <c r="N280" s="571"/>
      <c r="P280" s="574"/>
    </row>
    <row r="281" spans="1:18">
      <c r="B281" s="572">
        <v>344</v>
      </c>
      <c r="D281" s="544" t="s">
        <v>1378</v>
      </c>
      <c r="H281" s="576"/>
      <c r="J281" s="571"/>
      <c r="K281" s="571"/>
      <c r="L281" s="571"/>
      <c r="M281" s="571"/>
      <c r="N281" s="571"/>
      <c r="P281" s="569"/>
    </row>
    <row r="282" spans="1:18">
      <c r="B282" s="572"/>
      <c r="D282" s="607" t="s">
        <v>2539</v>
      </c>
      <c r="E282" s="574" t="s">
        <v>2496</v>
      </c>
      <c r="F282" s="575">
        <v>-12</v>
      </c>
      <c r="H282" s="576">
        <v>2.89</v>
      </c>
      <c r="J282" s="571">
        <v>2.58</v>
      </c>
      <c r="K282" s="571"/>
      <c r="L282" s="571">
        <v>0.36</v>
      </c>
      <c r="M282" s="571"/>
      <c r="N282" s="571">
        <v>-0.05</v>
      </c>
      <c r="P282" s="574" t="s">
        <v>2542</v>
      </c>
      <c r="R282" s="547">
        <v>38.200000000000003</v>
      </c>
    </row>
    <row r="283" spans="1:18">
      <c r="B283" s="572"/>
      <c r="D283" s="608" t="s">
        <v>1354</v>
      </c>
      <c r="E283" s="574" t="s">
        <v>2496</v>
      </c>
      <c r="F283" s="575">
        <v>-7</v>
      </c>
      <c r="H283" s="576">
        <v>3.85</v>
      </c>
      <c r="J283" s="571">
        <v>3.6</v>
      </c>
      <c r="K283" s="571"/>
      <c r="L283" s="571">
        <v>0.32</v>
      </c>
      <c r="M283" s="571"/>
      <c r="N283" s="571">
        <v>-7.0000000000000007E-2</v>
      </c>
      <c r="P283" s="574" t="s">
        <v>2542</v>
      </c>
      <c r="R283" s="547">
        <v>16.2</v>
      </c>
    </row>
    <row r="284" spans="1:18">
      <c r="B284" s="572"/>
      <c r="D284" s="608" t="s">
        <v>1356</v>
      </c>
      <c r="E284" s="574" t="s">
        <v>2496</v>
      </c>
      <c r="F284" s="575">
        <v>-7</v>
      </c>
      <c r="H284" s="576">
        <v>3.85</v>
      </c>
      <c r="J284" s="571">
        <v>3.6</v>
      </c>
      <c r="K284" s="571"/>
      <c r="L284" s="571">
        <v>0.32</v>
      </c>
      <c r="M284" s="571"/>
      <c r="N284" s="571">
        <v>-7.0000000000000007E-2</v>
      </c>
      <c r="P284" s="574" t="s">
        <v>2542</v>
      </c>
      <c r="R284" s="547">
        <v>16.2</v>
      </c>
    </row>
    <row r="285" spans="1:18">
      <c r="B285" s="572"/>
      <c r="D285" s="608" t="s">
        <v>1357</v>
      </c>
      <c r="E285" s="574" t="s">
        <v>2496</v>
      </c>
      <c r="F285" s="575">
        <v>-7</v>
      </c>
      <c r="H285" s="576">
        <v>3.75</v>
      </c>
      <c r="J285" s="571">
        <v>3.5</v>
      </c>
      <c r="K285" s="571"/>
      <c r="L285" s="571">
        <v>0.32</v>
      </c>
      <c r="M285" s="571"/>
      <c r="N285" s="571">
        <v>-7.0000000000000007E-2</v>
      </c>
      <c r="P285" s="574" t="s">
        <v>2542</v>
      </c>
      <c r="R285" s="547">
        <v>18.2</v>
      </c>
    </row>
    <row r="286" spans="1:18">
      <c r="B286" s="572"/>
      <c r="D286" s="608" t="s">
        <v>1358</v>
      </c>
      <c r="E286" s="574" t="s">
        <v>2496</v>
      </c>
      <c r="F286" s="575">
        <v>-7</v>
      </c>
      <c r="H286" s="576">
        <v>3.75</v>
      </c>
      <c r="J286" s="571">
        <v>3.5</v>
      </c>
      <c r="K286" s="571"/>
      <c r="L286" s="571">
        <v>0.32</v>
      </c>
      <c r="M286" s="571"/>
      <c r="N286" s="571">
        <v>-7.0000000000000007E-2</v>
      </c>
      <c r="P286" s="574" t="s">
        <v>2542</v>
      </c>
      <c r="R286" s="547">
        <v>18.2</v>
      </c>
    </row>
    <row r="287" spans="1:18">
      <c r="B287" s="572"/>
      <c r="D287" s="608" t="s">
        <v>1359</v>
      </c>
      <c r="E287" s="574" t="s">
        <v>2496</v>
      </c>
      <c r="F287" s="575">
        <v>-7</v>
      </c>
      <c r="H287" s="576">
        <v>3.76</v>
      </c>
      <c r="J287" s="571">
        <v>3.51</v>
      </c>
      <c r="K287" s="571"/>
      <c r="L287" s="571">
        <v>0.32</v>
      </c>
      <c r="M287" s="571"/>
      <c r="N287" s="571">
        <v>-7.0000000000000007E-2</v>
      </c>
      <c r="P287" s="574" t="s">
        <v>2542</v>
      </c>
      <c r="R287" s="547">
        <v>18.2</v>
      </c>
    </row>
    <row r="288" spans="1:18">
      <c r="B288" s="572"/>
      <c r="D288" s="608" t="s">
        <v>1360</v>
      </c>
      <c r="E288" s="574" t="s">
        <v>2496</v>
      </c>
      <c r="F288" s="575">
        <v>-7</v>
      </c>
      <c r="H288" s="576">
        <v>3.76</v>
      </c>
      <c r="J288" s="571">
        <v>3.51</v>
      </c>
      <c r="K288" s="571"/>
      <c r="L288" s="571">
        <v>0.32</v>
      </c>
      <c r="M288" s="571"/>
      <c r="N288" s="571">
        <v>-7.0000000000000007E-2</v>
      </c>
      <c r="P288" s="574" t="s">
        <v>2542</v>
      </c>
      <c r="R288" s="547">
        <v>18.2</v>
      </c>
    </row>
    <row r="289" spans="1:18">
      <c r="B289" s="572"/>
      <c r="D289" s="608" t="s">
        <v>1361</v>
      </c>
      <c r="E289" s="574" t="s">
        <v>2496</v>
      </c>
      <c r="F289" s="575">
        <v>-7</v>
      </c>
      <c r="H289" s="576">
        <v>3.98</v>
      </c>
      <c r="J289" s="571">
        <v>3.7199999999999998</v>
      </c>
      <c r="K289" s="571"/>
      <c r="L289" s="571">
        <v>0.33</v>
      </c>
      <c r="M289" s="571"/>
      <c r="N289" s="571">
        <v>-7.0000000000000007E-2</v>
      </c>
      <c r="P289" s="574" t="s">
        <v>2542</v>
      </c>
      <c r="R289" s="547">
        <v>15.2</v>
      </c>
    </row>
    <row r="290" spans="1:18">
      <c r="B290" s="572"/>
      <c r="D290" s="608" t="s">
        <v>1362</v>
      </c>
      <c r="E290" s="574" t="s">
        <v>2496</v>
      </c>
      <c r="F290" s="575">
        <v>-7</v>
      </c>
      <c r="H290" s="576">
        <v>4.0199999999999996</v>
      </c>
      <c r="J290" s="571">
        <v>3.76</v>
      </c>
      <c r="K290" s="571"/>
      <c r="L290" s="571">
        <v>0.34</v>
      </c>
      <c r="M290" s="571"/>
      <c r="N290" s="571">
        <v>-0.08</v>
      </c>
      <c r="P290" s="574" t="s">
        <v>2542</v>
      </c>
      <c r="R290" s="547">
        <v>13.3</v>
      </c>
    </row>
    <row r="291" spans="1:18">
      <c r="B291" s="572"/>
      <c r="D291" s="608" t="s">
        <v>1363</v>
      </c>
      <c r="E291" s="574" t="s">
        <v>2496</v>
      </c>
      <c r="F291" s="575">
        <v>-7</v>
      </c>
      <c r="H291" s="576">
        <v>4.08</v>
      </c>
      <c r="J291" s="571">
        <v>3.8200000000000003</v>
      </c>
      <c r="K291" s="571"/>
      <c r="L291" s="571">
        <v>0.34</v>
      </c>
      <c r="M291" s="571"/>
      <c r="N291" s="571">
        <v>-0.08</v>
      </c>
      <c r="P291" s="574" t="s">
        <v>2542</v>
      </c>
      <c r="R291" s="547">
        <v>13.3</v>
      </c>
    </row>
    <row r="292" spans="1:18">
      <c r="B292" s="572"/>
      <c r="D292" s="608" t="s">
        <v>1364</v>
      </c>
      <c r="E292" s="574" t="s">
        <v>2496</v>
      </c>
      <c r="F292" s="575">
        <v>-7</v>
      </c>
      <c r="H292" s="576">
        <v>4.04</v>
      </c>
      <c r="J292" s="571">
        <v>3.7800000000000002</v>
      </c>
      <c r="K292" s="571"/>
      <c r="L292" s="571">
        <v>0.34</v>
      </c>
      <c r="M292" s="571"/>
      <c r="N292" s="571">
        <v>-0.08</v>
      </c>
      <c r="P292" s="574" t="s">
        <v>2542</v>
      </c>
      <c r="R292" s="547">
        <v>9.3000000000000007</v>
      </c>
    </row>
    <row r="293" spans="1:18">
      <c r="B293" s="572"/>
      <c r="D293" s="608" t="s">
        <v>1365</v>
      </c>
      <c r="E293" s="574" t="s">
        <v>2496</v>
      </c>
      <c r="F293" s="575">
        <v>-7</v>
      </c>
      <c r="H293" s="576">
        <v>2.77</v>
      </c>
      <c r="J293" s="571">
        <v>2.59</v>
      </c>
      <c r="K293" s="571"/>
      <c r="L293" s="571">
        <v>0.23</v>
      </c>
      <c r="M293" s="571"/>
      <c r="N293" s="571">
        <v>-0.05</v>
      </c>
      <c r="P293" s="574" t="s">
        <v>2542</v>
      </c>
      <c r="R293" s="547">
        <v>14.8</v>
      </c>
    </row>
    <row r="294" spans="1:18">
      <c r="B294" s="572"/>
      <c r="D294" s="608" t="s">
        <v>1366</v>
      </c>
      <c r="E294" s="574" t="s">
        <v>2496</v>
      </c>
      <c r="F294" s="575">
        <v>-7</v>
      </c>
      <c r="H294" s="576">
        <v>2.94</v>
      </c>
      <c r="J294" s="571">
        <v>2.7399999999999998</v>
      </c>
      <c r="K294" s="571"/>
      <c r="L294" s="571">
        <v>0.25</v>
      </c>
      <c r="M294" s="571"/>
      <c r="N294" s="571">
        <v>-0.05</v>
      </c>
      <c r="P294" s="574" t="s">
        <v>2542</v>
      </c>
      <c r="R294" s="547">
        <v>14.9</v>
      </c>
    </row>
    <row r="295" spans="1:18">
      <c r="B295" s="572"/>
      <c r="D295" s="608" t="s">
        <v>1367</v>
      </c>
      <c r="E295" s="574" t="s">
        <v>2496</v>
      </c>
      <c r="F295" s="575">
        <v>-7</v>
      </c>
      <c r="G295" s="553"/>
      <c r="H295" s="576">
        <v>5.55</v>
      </c>
      <c r="J295" s="571">
        <v>5.18</v>
      </c>
      <c r="K295" s="571"/>
      <c r="L295" s="571">
        <v>0.47</v>
      </c>
      <c r="M295" s="571"/>
      <c r="N295" s="571">
        <v>-0.1</v>
      </c>
      <c r="P295" s="574" t="s">
        <v>2542</v>
      </c>
      <c r="R295" s="547">
        <v>10.4</v>
      </c>
    </row>
    <row r="296" spans="1:18">
      <c r="B296" s="572"/>
      <c r="D296" s="608" t="s">
        <v>1368</v>
      </c>
      <c r="E296" s="574" t="s">
        <v>2496</v>
      </c>
      <c r="F296" s="575">
        <v>-10</v>
      </c>
      <c r="H296" s="576">
        <v>5.37</v>
      </c>
      <c r="J296" s="571">
        <v>4.88</v>
      </c>
      <c r="K296" s="571"/>
      <c r="L296" s="571">
        <v>0.59</v>
      </c>
      <c r="M296" s="571"/>
      <c r="N296" s="571">
        <v>-0.1</v>
      </c>
      <c r="P296" s="574" t="s">
        <v>2542</v>
      </c>
      <c r="R296" s="547">
        <v>4.2</v>
      </c>
    </row>
    <row r="297" spans="1:18">
      <c r="B297" s="572"/>
      <c r="D297" s="608" t="s">
        <v>1369</v>
      </c>
      <c r="E297" s="574" t="s">
        <v>2496</v>
      </c>
      <c r="F297" s="575">
        <v>-6</v>
      </c>
      <c r="H297" s="576">
        <v>4.21</v>
      </c>
      <c r="J297" s="571">
        <v>3.97</v>
      </c>
      <c r="K297" s="571"/>
      <c r="L297" s="571">
        <v>0.32</v>
      </c>
      <c r="M297" s="571"/>
      <c r="N297" s="571">
        <v>-0.08</v>
      </c>
      <c r="P297" s="574" t="s">
        <v>2542</v>
      </c>
      <c r="R297" s="547">
        <v>15.3</v>
      </c>
    </row>
    <row r="298" spans="1:18">
      <c r="B298" s="572"/>
      <c r="E298" s="574"/>
      <c r="F298" s="575"/>
      <c r="H298" s="576"/>
      <c r="J298" s="571"/>
      <c r="K298" s="571"/>
      <c r="L298" s="571"/>
      <c r="M298" s="571"/>
      <c r="N298" s="571"/>
      <c r="P298" s="574"/>
    </row>
    <row r="299" spans="1:18">
      <c r="A299" s="544">
        <v>344</v>
      </c>
      <c r="B299" s="572"/>
      <c r="D299" s="581" t="s">
        <v>1380</v>
      </c>
      <c r="E299" s="574"/>
      <c r="F299" s="271" t="s">
        <v>2584</v>
      </c>
      <c r="H299" s="576">
        <v>3.2608588357167254</v>
      </c>
      <c r="J299" s="571"/>
      <c r="K299" s="571"/>
      <c r="L299" s="571"/>
      <c r="M299" s="571"/>
      <c r="N299" s="571"/>
      <c r="P299" s="574" t="str">
        <f>P297</f>
        <v>55-S2.5</v>
      </c>
      <c r="R299" s="547">
        <v>28</v>
      </c>
    </row>
    <row r="300" spans="1:18">
      <c r="B300" s="572"/>
      <c r="E300" s="574"/>
      <c r="F300" s="575"/>
      <c r="H300" s="576"/>
      <c r="J300" s="571"/>
      <c r="K300" s="571"/>
      <c r="L300" s="571"/>
      <c r="M300" s="571"/>
      <c r="N300" s="571"/>
      <c r="P300" s="574"/>
    </row>
    <row r="301" spans="1:18">
      <c r="B301" s="572">
        <v>345</v>
      </c>
      <c r="D301" s="544" t="s">
        <v>1381</v>
      </c>
      <c r="H301" s="576"/>
      <c r="J301" s="571"/>
      <c r="K301" s="571"/>
      <c r="L301" s="571"/>
      <c r="M301" s="571"/>
      <c r="N301" s="571"/>
      <c r="P301" s="569"/>
    </row>
    <row r="302" spans="1:18">
      <c r="B302" s="572"/>
      <c r="D302" s="607" t="s">
        <v>2539</v>
      </c>
      <c r="E302" s="574" t="s">
        <v>2496</v>
      </c>
      <c r="F302" s="575">
        <v>-12</v>
      </c>
      <c r="H302" s="576">
        <v>2.96</v>
      </c>
      <c r="J302" s="571">
        <v>2.64</v>
      </c>
      <c r="K302" s="571"/>
      <c r="L302" s="571">
        <v>0.32</v>
      </c>
      <c r="M302" s="571"/>
      <c r="N302" s="571">
        <v>0</v>
      </c>
      <c r="P302" s="574" t="s">
        <v>2543</v>
      </c>
      <c r="R302" s="547">
        <v>37.299999999999997</v>
      </c>
    </row>
    <row r="303" spans="1:18">
      <c r="B303" s="572"/>
      <c r="D303" s="608" t="s">
        <v>1354</v>
      </c>
      <c r="E303" s="574" t="s">
        <v>2496</v>
      </c>
      <c r="F303" s="575">
        <v>-7</v>
      </c>
      <c r="H303" s="576">
        <v>4.18</v>
      </c>
      <c r="J303" s="571">
        <v>3.9099999999999997</v>
      </c>
      <c r="K303" s="571"/>
      <c r="L303" s="571">
        <v>0.27</v>
      </c>
      <c r="M303" s="571"/>
      <c r="N303" s="571">
        <v>0</v>
      </c>
      <c r="P303" s="574" t="s">
        <v>2543</v>
      </c>
      <c r="R303" s="547">
        <v>16.100000000000001</v>
      </c>
    </row>
    <row r="304" spans="1:18">
      <c r="B304" s="572"/>
      <c r="D304" s="608" t="s">
        <v>1356</v>
      </c>
      <c r="E304" s="574" t="s">
        <v>2496</v>
      </c>
      <c r="F304" s="575">
        <v>-7</v>
      </c>
      <c r="H304" s="576">
        <v>4.25</v>
      </c>
      <c r="J304" s="571">
        <v>3.9699999999999998</v>
      </c>
      <c r="K304" s="571"/>
      <c r="L304" s="571">
        <v>0.28000000000000003</v>
      </c>
      <c r="M304" s="571"/>
      <c r="N304" s="571">
        <v>0</v>
      </c>
      <c r="P304" s="574" t="s">
        <v>2543</v>
      </c>
      <c r="R304" s="547">
        <v>16</v>
      </c>
    </row>
    <row r="305" spans="1:18">
      <c r="B305" s="572"/>
      <c r="D305" s="608" t="s">
        <v>1357</v>
      </c>
      <c r="E305" s="574" t="s">
        <v>2496</v>
      </c>
      <c r="F305" s="575">
        <v>-7</v>
      </c>
      <c r="H305" s="576">
        <v>4.13</v>
      </c>
      <c r="J305" s="571">
        <v>3.86</v>
      </c>
      <c r="K305" s="571"/>
      <c r="L305" s="571">
        <v>0.27</v>
      </c>
      <c r="M305" s="571"/>
      <c r="N305" s="571">
        <v>0</v>
      </c>
      <c r="P305" s="574" t="s">
        <v>2543</v>
      </c>
      <c r="R305" s="547">
        <v>18</v>
      </c>
    </row>
    <row r="306" spans="1:18">
      <c r="B306" s="572"/>
      <c r="D306" s="608" t="s">
        <v>1358</v>
      </c>
      <c r="E306" s="574" t="s">
        <v>2496</v>
      </c>
      <c r="F306" s="575">
        <v>-7</v>
      </c>
      <c r="H306" s="576">
        <v>3.79</v>
      </c>
      <c r="J306" s="571">
        <v>3.54</v>
      </c>
      <c r="K306" s="571"/>
      <c r="L306" s="571">
        <v>0.25</v>
      </c>
      <c r="M306" s="571"/>
      <c r="N306" s="571">
        <v>0</v>
      </c>
      <c r="P306" s="574" t="s">
        <v>2543</v>
      </c>
      <c r="R306" s="547">
        <v>17.899999999999999</v>
      </c>
    </row>
    <row r="307" spans="1:18">
      <c r="B307" s="572"/>
      <c r="D307" s="608" t="s">
        <v>1359</v>
      </c>
      <c r="E307" s="574" t="s">
        <v>2496</v>
      </c>
      <c r="F307" s="575">
        <v>-7</v>
      </c>
      <c r="H307" s="576">
        <v>3.91</v>
      </c>
      <c r="J307" s="571">
        <v>3.6500000000000004</v>
      </c>
      <c r="K307" s="571"/>
      <c r="L307" s="571">
        <v>0.26</v>
      </c>
      <c r="M307" s="571"/>
      <c r="N307" s="571">
        <v>0</v>
      </c>
      <c r="P307" s="574" t="s">
        <v>2543</v>
      </c>
      <c r="R307" s="547">
        <v>18</v>
      </c>
    </row>
    <row r="308" spans="1:18">
      <c r="B308" s="572"/>
      <c r="D308" s="608" t="s">
        <v>1360</v>
      </c>
      <c r="E308" s="574" t="s">
        <v>2496</v>
      </c>
      <c r="F308" s="575">
        <v>-7</v>
      </c>
      <c r="H308" s="576">
        <v>4.04</v>
      </c>
      <c r="J308" s="571">
        <v>3.7800000000000002</v>
      </c>
      <c r="K308" s="571"/>
      <c r="L308" s="571">
        <v>0.26</v>
      </c>
      <c r="M308" s="571"/>
      <c r="N308" s="571">
        <v>0</v>
      </c>
      <c r="P308" s="574" t="s">
        <v>2543</v>
      </c>
      <c r="R308" s="547">
        <v>17.899999999999999</v>
      </c>
    </row>
    <row r="309" spans="1:18">
      <c r="B309" s="572"/>
      <c r="D309" s="608" t="s">
        <v>1361</v>
      </c>
      <c r="E309" s="574" t="s">
        <v>2496</v>
      </c>
      <c r="F309" s="575">
        <v>-7</v>
      </c>
      <c r="H309" s="576">
        <v>4.2300000000000004</v>
      </c>
      <c r="J309" s="571">
        <v>3.95</v>
      </c>
      <c r="K309" s="571"/>
      <c r="L309" s="571">
        <v>0.28000000000000003</v>
      </c>
      <c r="M309" s="571"/>
      <c r="N309" s="571">
        <v>0</v>
      </c>
      <c r="P309" s="574" t="s">
        <v>2543</v>
      </c>
      <c r="R309" s="547">
        <v>15</v>
      </c>
    </row>
    <row r="310" spans="1:18">
      <c r="B310" s="572"/>
      <c r="D310" s="608" t="s">
        <v>1362</v>
      </c>
      <c r="E310" s="574" t="s">
        <v>2496</v>
      </c>
      <c r="F310" s="575">
        <v>-7</v>
      </c>
      <c r="H310" s="576">
        <v>4.4400000000000004</v>
      </c>
      <c r="J310" s="571">
        <v>4.1500000000000004</v>
      </c>
      <c r="K310" s="571"/>
      <c r="L310" s="571">
        <v>0.28999999999999998</v>
      </c>
      <c r="M310" s="571"/>
      <c r="N310" s="571">
        <v>0</v>
      </c>
      <c r="P310" s="574" t="s">
        <v>2543</v>
      </c>
      <c r="R310" s="547">
        <v>13.1</v>
      </c>
    </row>
    <row r="311" spans="1:18">
      <c r="B311" s="572"/>
      <c r="D311" s="608" t="s">
        <v>1363</v>
      </c>
      <c r="E311" s="574" t="s">
        <v>2496</v>
      </c>
      <c r="F311" s="575">
        <v>-7</v>
      </c>
      <c r="H311" s="576">
        <v>4.45</v>
      </c>
      <c r="J311" s="571">
        <v>4.16</v>
      </c>
      <c r="K311" s="571"/>
      <c r="L311" s="571">
        <v>0.28999999999999998</v>
      </c>
      <c r="M311" s="571"/>
      <c r="N311" s="571">
        <v>0</v>
      </c>
      <c r="P311" s="574" t="s">
        <v>2543</v>
      </c>
      <c r="R311" s="547">
        <v>13.1</v>
      </c>
    </row>
    <row r="312" spans="1:18">
      <c r="B312" s="572"/>
      <c r="D312" s="608" t="s">
        <v>1364</v>
      </c>
      <c r="E312" s="574" t="s">
        <v>2496</v>
      </c>
      <c r="F312" s="575">
        <v>-7</v>
      </c>
      <c r="H312" s="576">
        <v>5.84</v>
      </c>
      <c r="J312" s="571">
        <v>5.46</v>
      </c>
      <c r="K312" s="571"/>
      <c r="L312" s="571">
        <v>0.38</v>
      </c>
      <c r="M312" s="571"/>
      <c r="N312" s="571">
        <v>0</v>
      </c>
      <c r="P312" s="574" t="s">
        <v>2543</v>
      </c>
      <c r="R312" s="547">
        <v>9.3000000000000007</v>
      </c>
    </row>
    <row r="313" spans="1:18">
      <c r="B313" s="572"/>
      <c r="D313" s="608" t="s">
        <v>1365</v>
      </c>
      <c r="E313" s="574" t="s">
        <v>2496</v>
      </c>
      <c r="F313" s="575">
        <v>-7</v>
      </c>
      <c r="H313" s="576">
        <v>3.64</v>
      </c>
      <c r="J313" s="571">
        <v>3.4000000000000004</v>
      </c>
      <c r="K313" s="571"/>
      <c r="L313" s="571">
        <v>0.24</v>
      </c>
      <c r="M313" s="571"/>
      <c r="N313" s="571">
        <v>0</v>
      </c>
      <c r="P313" s="574" t="s">
        <v>2543</v>
      </c>
      <c r="R313" s="547">
        <v>14.8</v>
      </c>
    </row>
    <row r="314" spans="1:18">
      <c r="B314" s="572"/>
      <c r="D314" s="608" t="s">
        <v>1366</v>
      </c>
      <c r="E314" s="574" t="s">
        <v>2496</v>
      </c>
      <c r="F314" s="575">
        <v>-7</v>
      </c>
      <c r="H314" s="576">
        <v>3.77</v>
      </c>
      <c r="J314" s="571">
        <v>3.52</v>
      </c>
      <c r="K314" s="571"/>
      <c r="L314" s="571">
        <v>0.25</v>
      </c>
      <c r="M314" s="571"/>
      <c r="N314" s="571">
        <v>0</v>
      </c>
      <c r="P314" s="574" t="s">
        <v>2543</v>
      </c>
      <c r="R314" s="547">
        <v>14.8</v>
      </c>
    </row>
    <row r="315" spans="1:18">
      <c r="B315" s="572"/>
      <c r="D315" s="608" t="s">
        <v>1367</v>
      </c>
      <c r="E315" s="574" t="s">
        <v>2496</v>
      </c>
      <c r="F315" s="575">
        <v>-7</v>
      </c>
      <c r="H315" s="576">
        <v>4.92</v>
      </c>
      <c r="J315" s="571">
        <v>4.5999999999999996</v>
      </c>
      <c r="K315" s="571"/>
      <c r="L315" s="571">
        <v>0.32</v>
      </c>
      <c r="M315" s="571"/>
      <c r="N315" s="571">
        <v>0</v>
      </c>
      <c r="P315" s="574" t="s">
        <v>2543</v>
      </c>
      <c r="R315" s="547">
        <v>10.3</v>
      </c>
    </row>
    <row r="316" spans="1:18">
      <c r="B316" s="572"/>
      <c r="D316" s="608" t="s">
        <v>1368</v>
      </c>
      <c r="E316" s="574" t="s">
        <v>2496</v>
      </c>
      <c r="F316" s="575">
        <v>-10</v>
      </c>
      <c r="H316" s="576">
        <v>22.16</v>
      </c>
      <c r="J316" s="571">
        <v>20.149999999999999</v>
      </c>
      <c r="K316" s="571"/>
      <c r="L316" s="571">
        <v>2.0099999999999998</v>
      </c>
      <c r="M316" s="571"/>
      <c r="N316" s="571">
        <v>0</v>
      </c>
      <c r="P316" s="574" t="s">
        <v>2543</v>
      </c>
      <c r="R316" s="547">
        <v>4.4000000000000004</v>
      </c>
    </row>
    <row r="317" spans="1:18">
      <c r="B317" s="572"/>
      <c r="D317" s="608" t="s">
        <v>1369</v>
      </c>
      <c r="E317" s="574" t="s">
        <v>2496</v>
      </c>
      <c r="F317" s="575">
        <v>-6</v>
      </c>
      <c r="H317" s="576">
        <v>4.01</v>
      </c>
      <c r="J317" s="571">
        <v>3.78</v>
      </c>
      <c r="K317" s="571"/>
      <c r="L317" s="571">
        <v>0.23</v>
      </c>
      <c r="M317" s="571"/>
      <c r="N317" s="571">
        <v>0</v>
      </c>
      <c r="P317" s="574" t="s">
        <v>2543</v>
      </c>
      <c r="R317" s="547">
        <v>15</v>
      </c>
    </row>
    <row r="318" spans="1:18">
      <c r="B318" s="572"/>
      <c r="E318" s="574"/>
      <c r="F318" s="575"/>
      <c r="H318" s="576"/>
      <c r="J318" s="571"/>
      <c r="K318" s="571"/>
      <c r="L318" s="571"/>
      <c r="M318" s="571"/>
      <c r="N318" s="571"/>
      <c r="P318" s="574"/>
    </row>
    <row r="319" spans="1:18">
      <c r="A319" s="544">
        <v>345</v>
      </c>
      <c r="B319" s="572"/>
      <c r="D319" s="581" t="s">
        <v>1383</v>
      </c>
      <c r="E319" s="574"/>
      <c r="F319" s="271" t="s">
        <v>2584</v>
      </c>
      <c r="H319" s="576">
        <v>3.9599167979517693</v>
      </c>
      <c r="J319" s="571"/>
      <c r="K319" s="571"/>
      <c r="L319" s="571"/>
      <c r="M319" s="571"/>
      <c r="N319" s="571"/>
      <c r="P319" s="574" t="str">
        <f>P317</f>
        <v>50-R3</v>
      </c>
      <c r="R319" s="547">
        <v>20.399999999999999</v>
      </c>
    </row>
    <row r="320" spans="1:18">
      <c r="B320" s="572"/>
      <c r="E320" s="574"/>
      <c r="F320" s="575"/>
      <c r="H320" s="576"/>
      <c r="J320" s="571"/>
      <c r="K320" s="571"/>
      <c r="L320" s="571"/>
      <c r="M320" s="571"/>
      <c r="N320" s="571"/>
      <c r="P320" s="574"/>
    </row>
    <row r="321" spans="2:18">
      <c r="B321" s="572">
        <v>346</v>
      </c>
      <c r="D321" s="544" t="s">
        <v>2544</v>
      </c>
      <c r="H321" s="576"/>
      <c r="J321" s="571"/>
      <c r="K321" s="571"/>
      <c r="L321" s="571"/>
      <c r="M321" s="571"/>
      <c r="N321" s="571"/>
      <c r="P321" s="569"/>
    </row>
    <row r="322" spans="2:18">
      <c r="B322" s="572"/>
      <c r="D322" s="607" t="s">
        <v>2539</v>
      </c>
      <c r="E322" s="574" t="s">
        <v>2496</v>
      </c>
      <c r="F322" s="575">
        <v>-12</v>
      </c>
      <c r="H322" s="576">
        <v>3.32</v>
      </c>
      <c r="J322" s="571">
        <v>2.96</v>
      </c>
      <c r="K322" s="571"/>
      <c r="L322" s="571">
        <v>0.36</v>
      </c>
      <c r="M322" s="571"/>
      <c r="N322" s="571">
        <v>0</v>
      </c>
      <c r="P322" s="574" t="s">
        <v>2545</v>
      </c>
      <c r="R322" s="547">
        <v>33.6</v>
      </c>
    </row>
    <row r="323" spans="2:18">
      <c r="B323" s="572"/>
      <c r="D323" s="608" t="s">
        <v>1354</v>
      </c>
      <c r="E323" s="574" t="s">
        <v>2496</v>
      </c>
      <c r="F323" s="575">
        <v>-7</v>
      </c>
      <c r="H323" s="576">
        <v>4.04</v>
      </c>
      <c r="J323" s="571">
        <v>3.7800000000000002</v>
      </c>
      <c r="K323" s="571"/>
      <c r="L323" s="571">
        <v>0.26</v>
      </c>
      <c r="M323" s="571"/>
      <c r="N323" s="571">
        <v>0</v>
      </c>
      <c r="P323" s="574" t="s">
        <v>2545</v>
      </c>
      <c r="R323" s="547">
        <v>15.5</v>
      </c>
    </row>
    <row r="324" spans="2:18">
      <c r="B324" s="572"/>
      <c r="D324" s="608" t="s">
        <v>1357</v>
      </c>
      <c r="E324" s="574" t="s">
        <v>2496</v>
      </c>
      <c r="F324" s="575">
        <v>-7</v>
      </c>
      <c r="H324" s="576">
        <v>3.89</v>
      </c>
      <c r="J324" s="571">
        <v>3.64</v>
      </c>
      <c r="K324" s="571"/>
      <c r="L324" s="571">
        <v>0.25</v>
      </c>
      <c r="M324" s="571"/>
      <c r="N324" s="571">
        <v>0</v>
      </c>
      <c r="P324" s="574" t="s">
        <v>2545</v>
      </c>
      <c r="R324" s="547">
        <v>16.899999999999999</v>
      </c>
    </row>
    <row r="325" spans="2:18">
      <c r="B325" s="572"/>
      <c r="D325" s="608" t="s">
        <v>1358</v>
      </c>
      <c r="E325" s="574" t="s">
        <v>2496</v>
      </c>
      <c r="F325" s="575">
        <v>-7</v>
      </c>
      <c r="H325" s="576">
        <v>3.89</v>
      </c>
      <c r="J325" s="571">
        <v>3.64</v>
      </c>
      <c r="K325" s="571"/>
      <c r="L325" s="571">
        <v>0.25</v>
      </c>
      <c r="M325" s="571"/>
      <c r="N325" s="571">
        <v>0</v>
      </c>
      <c r="P325" s="574" t="s">
        <v>2545</v>
      </c>
      <c r="R325" s="547">
        <v>16.899999999999999</v>
      </c>
    </row>
    <row r="326" spans="2:18">
      <c r="B326" s="572"/>
      <c r="D326" s="608" t="s">
        <v>1359</v>
      </c>
      <c r="E326" s="574" t="s">
        <v>2496</v>
      </c>
      <c r="F326" s="575">
        <v>-7</v>
      </c>
      <c r="H326" s="576">
        <v>3.91</v>
      </c>
      <c r="J326" s="571">
        <v>3.6500000000000004</v>
      </c>
      <c r="K326" s="571"/>
      <c r="L326" s="571">
        <v>0.26</v>
      </c>
      <c r="M326" s="571"/>
      <c r="N326" s="571">
        <v>0</v>
      </c>
      <c r="P326" s="574" t="s">
        <v>2545</v>
      </c>
      <c r="R326" s="547">
        <v>16.899999999999999</v>
      </c>
    </row>
    <row r="327" spans="2:18">
      <c r="B327" s="572"/>
      <c r="D327" s="608" t="s">
        <v>1360</v>
      </c>
      <c r="E327" s="574" t="s">
        <v>2496</v>
      </c>
      <c r="F327" s="575">
        <v>-7</v>
      </c>
      <c r="H327" s="576">
        <v>4.6100000000000003</v>
      </c>
      <c r="J327" s="571">
        <v>4.3100000000000005</v>
      </c>
      <c r="K327" s="571"/>
      <c r="L327" s="571">
        <v>0.3</v>
      </c>
      <c r="M327" s="571"/>
      <c r="N327" s="571">
        <v>0</v>
      </c>
      <c r="P327" s="574" t="s">
        <v>2545</v>
      </c>
      <c r="R327" s="547">
        <v>17.399999999999999</v>
      </c>
    </row>
    <row r="328" spans="2:18">
      <c r="B328" s="572"/>
      <c r="D328" s="608" t="s">
        <v>1361</v>
      </c>
      <c r="E328" s="574" t="s">
        <v>2496</v>
      </c>
      <c r="F328" s="575">
        <v>-7</v>
      </c>
      <c r="H328" s="576">
        <v>4.01</v>
      </c>
      <c r="J328" s="571">
        <v>3.75</v>
      </c>
      <c r="K328" s="571"/>
      <c r="L328" s="571">
        <v>0.26</v>
      </c>
      <c r="M328" s="571"/>
      <c r="N328" s="571">
        <v>0</v>
      </c>
      <c r="P328" s="574" t="s">
        <v>2545</v>
      </c>
      <c r="R328" s="547">
        <v>14.2</v>
      </c>
    </row>
    <row r="329" spans="2:18">
      <c r="B329" s="582"/>
      <c r="D329" s="608" t="s">
        <v>1362</v>
      </c>
      <c r="E329" s="574" t="s">
        <v>2496</v>
      </c>
      <c r="F329" s="575">
        <v>-7</v>
      </c>
      <c r="H329" s="576">
        <v>6.22</v>
      </c>
      <c r="J329" s="571">
        <v>5.81</v>
      </c>
      <c r="K329" s="571"/>
      <c r="L329" s="571">
        <v>0.41</v>
      </c>
      <c r="M329" s="571"/>
      <c r="N329" s="571">
        <v>0</v>
      </c>
      <c r="P329" s="574" t="s">
        <v>2545</v>
      </c>
      <c r="R329" s="547">
        <v>13</v>
      </c>
    </row>
    <row r="330" spans="2:18">
      <c r="B330" s="572"/>
      <c r="D330" s="608" t="s">
        <v>1363</v>
      </c>
      <c r="E330" s="574" t="s">
        <v>2496</v>
      </c>
      <c r="F330" s="575">
        <v>-7</v>
      </c>
      <c r="H330" s="576">
        <v>6.24</v>
      </c>
      <c r="J330" s="571">
        <v>5.83</v>
      </c>
      <c r="K330" s="571"/>
      <c r="L330" s="571">
        <v>0.41</v>
      </c>
      <c r="M330" s="571"/>
      <c r="N330" s="571">
        <v>0</v>
      </c>
      <c r="P330" s="574" t="s">
        <v>2545</v>
      </c>
      <c r="R330" s="547">
        <v>13</v>
      </c>
    </row>
    <row r="331" spans="2:18">
      <c r="B331" s="572"/>
      <c r="D331" s="608" t="s">
        <v>1364</v>
      </c>
      <c r="E331" s="574" t="s">
        <v>2496</v>
      </c>
      <c r="F331" s="575">
        <v>-7</v>
      </c>
      <c r="H331" s="576">
        <v>4.9800000000000004</v>
      </c>
      <c r="J331" s="571">
        <v>4.6500000000000004</v>
      </c>
      <c r="K331" s="571"/>
      <c r="L331" s="571">
        <v>0.33</v>
      </c>
      <c r="M331" s="571"/>
      <c r="N331" s="571">
        <v>0</v>
      </c>
      <c r="P331" s="574" t="s">
        <v>2545</v>
      </c>
      <c r="R331" s="547">
        <v>9</v>
      </c>
    </row>
    <row r="332" spans="2:18">
      <c r="B332" s="572"/>
      <c r="D332" s="608" t="s">
        <v>1365</v>
      </c>
      <c r="E332" s="574" t="s">
        <v>2496</v>
      </c>
      <c r="F332" s="575">
        <v>-7</v>
      </c>
      <c r="H332" s="576">
        <v>3.31</v>
      </c>
      <c r="J332" s="571">
        <v>3.09</v>
      </c>
      <c r="K332" s="571"/>
      <c r="L332" s="571">
        <v>0.22</v>
      </c>
      <c r="M332" s="571"/>
      <c r="N332" s="571">
        <v>0</v>
      </c>
      <c r="P332" s="574" t="s">
        <v>2545</v>
      </c>
      <c r="R332" s="547">
        <v>13.9</v>
      </c>
    </row>
    <row r="333" spans="2:18">
      <c r="B333" s="572"/>
      <c r="D333" s="608" t="s">
        <v>1366</v>
      </c>
      <c r="E333" s="574" t="s">
        <v>2496</v>
      </c>
      <c r="F333" s="575">
        <v>-7</v>
      </c>
      <c r="H333" s="576">
        <v>3.26</v>
      </c>
      <c r="J333" s="571">
        <v>3.05</v>
      </c>
      <c r="K333" s="571"/>
      <c r="L333" s="571">
        <v>0.21</v>
      </c>
      <c r="M333" s="571"/>
      <c r="N333" s="571">
        <v>0</v>
      </c>
      <c r="P333" s="574" t="s">
        <v>2545</v>
      </c>
      <c r="R333" s="547">
        <v>13.8</v>
      </c>
    </row>
    <row r="334" spans="2:18">
      <c r="B334" s="572"/>
      <c r="D334" s="608" t="s">
        <v>1367</v>
      </c>
      <c r="E334" s="574" t="s">
        <v>2496</v>
      </c>
      <c r="F334" s="575">
        <v>-7</v>
      </c>
      <c r="H334" s="576">
        <v>5.22</v>
      </c>
      <c r="J334" s="571">
        <v>4.88</v>
      </c>
      <c r="K334" s="571"/>
      <c r="L334" s="571">
        <v>0.34</v>
      </c>
      <c r="M334" s="571"/>
      <c r="N334" s="571">
        <v>0</v>
      </c>
      <c r="P334" s="574" t="s">
        <v>2545</v>
      </c>
      <c r="R334" s="547">
        <v>10</v>
      </c>
    </row>
    <row r="335" spans="2:18">
      <c r="B335" s="572"/>
      <c r="D335" s="608" t="s">
        <v>1368</v>
      </c>
      <c r="E335" s="574" t="s">
        <v>2496</v>
      </c>
      <c r="F335" s="575">
        <v>-10</v>
      </c>
      <c r="H335" s="576">
        <v>17.75</v>
      </c>
      <c r="J335" s="571">
        <v>16.14</v>
      </c>
      <c r="K335" s="571"/>
      <c r="L335" s="571">
        <v>1.61</v>
      </c>
      <c r="M335" s="571"/>
      <c r="N335" s="571">
        <v>0</v>
      </c>
      <c r="P335" s="574" t="s">
        <v>2545</v>
      </c>
      <c r="R335" s="547">
        <v>4.3</v>
      </c>
    </row>
    <row r="336" spans="2:18">
      <c r="B336" s="572"/>
      <c r="D336" s="608" t="s">
        <v>1369</v>
      </c>
      <c r="E336" s="574" t="s">
        <v>2496</v>
      </c>
      <c r="F336" s="575">
        <v>-6</v>
      </c>
      <c r="H336" s="576">
        <v>3.93</v>
      </c>
      <c r="J336" s="571">
        <v>3.71</v>
      </c>
      <c r="K336" s="571"/>
      <c r="L336" s="571">
        <v>0.22</v>
      </c>
      <c r="M336" s="571"/>
      <c r="N336" s="571">
        <v>0</v>
      </c>
      <c r="P336" s="574" t="s">
        <v>2545</v>
      </c>
      <c r="R336" s="547">
        <v>14.2</v>
      </c>
    </row>
    <row r="337" spans="1:18">
      <c r="B337" s="572"/>
      <c r="E337" s="574"/>
      <c r="F337" s="575"/>
      <c r="H337" s="576"/>
      <c r="J337" s="571"/>
      <c r="K337" s="571"/>
      <c r="L337" s="571"/>
      <c r="M337" s="571"/>
      <c r="N337" s="571"/>
      <c r="P337" s="574"/>
    </row>
    <row r="338" spans="1:18">
      <c r="A338" s="544">
        <v>346</v>
      </c>
      <c r="B338" s="572"/>
      <c r="D338" s="581" t="s">
        <v>2546</v>
      </c>
      <c r="E338" s="574"/>
      <c r="F338" s="271" t="s">
        <v>2584</v>
      </c>
      <c r="H338" s="576">
        <v>4.3556233182225039</v>
      </c>
      <c r="J338" s="571"/>
      <c r="K338" s="571"/>
      <c r="L338" s="571"/>
      <c r="M338" s="571"/>
      <c r="N338" s="571"/>
      <c r="P338" s="574" t="str">
        <f>P336</f>
        <v>40-R2</v>
      </c>
      <c r="R338" s="547">
        <v>12.6</v>
      </c>
    </row>
    <row r="339" spans="1:18">
      <c r="B339" s="572"/>
      <c r="E339" s="574"/>
      <c r="F339" s="575"/>
      <c r="H339" s="576"/>
      <c r="J339" s="571"/>
      <c r="K339" s="571"/>
      <c r="L339" s="571"/>
      <c r="M339" s="571"/>
      <c r="N339" s="571"/>
      <c r="P339" s="574"/>
    </row>
    <row r="340" spans="1:18">
      <c r="B340" s="572"/>
      <c r="D340" s="609" t="s">
        <v>1387</v>
      </c>
      <c r="F340" s="555"/>
      <c r="G340" s="599"/>
      <c r="H340" s="576"/>
      <c r="J340" s="571"/>
      <c r="K340" s="571"/>
      <c r="L340" s="571"/>
      <c r="M340" s="571"/>
      <c r="N340" s="571"/>
      <c r="P340" s="610"/>
    </row>
    <row r="341" spans="1:18">
      <c r="B341" s="572"/>
      <c r="D341" s="609"/>
      <c r="F341" s="555"/>
      <c r="G341" s="599"/>
      <c r="H341" s="576"/>
      <c r="J341" s="571"/>
      <c r="K341" s="571"/>
      <c r="L341" s="571"/>
      <c r="M341" s="571"/>
      <c r="N341" s="571"/>
      <c r="P341" s="610"/>
    </row>
    <row r="342" spans="1:18">
      <c r="B342" s="572"/>
      <c r="D342" s="554" t="s">
        <v>1388</v>
      </c>
      <c r="F342" s="575"/>
      <c r="H342" s="576"/>
      <c r="J342" s="571"/>
      <c r="K342" s="571"/>
      <c r="L342" s="571"/>
      <c r="M342" s="571"/>
      <c r="N342" s="571"/>
      <c r="P342" s="610"/>
    </row>
    <row r="343" spans="1:18">
      <c r="B343" s="572"/>
      <c r="D343" s="579"/>
      <c r="F343" s="575"/>
      <c r="H343" s="576"/>
      <c r="J343" s="571"/>
      <c r="K343" s="571"/>
      <c r="L343" s="571"/>
      <c r="M343" s="571"/>
      <c r="N343" s="571"/>
      <c r="P343" s="610"/>
    </row>
    <row r="344" spans="1:18">
      <c r="A344" s="544">
        <v>350</v>
      </c>
      <c r="B344" s="572">
        <v>350.1</v>
      </c>
      <c r="D344" s="544" t="s">
        <v>2547</v>
      </c>
      <c r="F344" s="616" t="s">
        <v>1900</v>
      </c>
      <c r="H344" s="576">
        <v>0.86</v>
      </c>
      <c r="J344" s="571">
        <v>0.86</v>
      </c>
      <c r="K344" s="571"/>
      <c r="L344" s="571">
        <v>0</v>
      </c>
      <c r="M344" s="571"/>
      <c r="N344" s="571">
        <v>0</v>
      </c>
      <c r="P344" s="574" t="s">
        <v>2519</v>
      </c>
      <c r="R344" s="547">
        <v>48.9</v>
      </c>
    </row>
    <row r="345" spans="1:18">
      <c r="B345" s="572">
        <v>352.1</v>
      </c>
      <c r="D345" s="573" t="s">
        <v>2548</v>
      </c>
      <c r="F345" s="575">
        <v>-25</v>
      </c>
      <c r="H345" s="576">
        <v>1.66</v>
      </c>
      <c r="J345" s="571">
        <v>1.3299999999999998</v>
      </c>
      <c r="K345" s="571"/>
      <c r="L345" s="571">
        <v>0.33</v>
      </c>
      <c r="M345" s="571"/>
      <c r="N345" s="571">
        <v>0</v>
      </c>
      <c r="P345" s="574" t="s">
        <v>2519</v>
      </c>
      <c r="R345" s="547">
        <v>59.5</v>
      </c>
    </row>
    <row r="346" spans="1:18">
      <c r="B346" s="572">
        <v>352.2</v>
      </c>
      <c r="D346" s="544" t="s">
        <v>2549</v>
      </c>
      <c r="F346" s="575">
        <v>-25</v>
      </c>
      <c r="H346" s="576">
        <v>1.83</v>
      </c>
      <c r="J346" s="571">
        <v>1.46</v>
      </c>
      <c r="K346" s="571"/>
      <c r="L346" s="571">
        <v>0.37</v>
      </c>
      <c r="M346" s="571"/>
      <c r="N346" s="571">
        <v>0</v>
      </c>
      <c r="P346" s="574" t="s">
        <v>1410</v>
      </c>
      <c r="R346" s="547">
        <v>47.9</v>
      </c>
    </row>
    <row r="347" spans="1:18">
      <c r="B347" s="572">
        <v>353.1</v>
      </c>
      <c r="D347" s="544" t="s">
        <v>1394</v>
      </c>
      <c r="F347" s="575">
        <v>-15</v>
      </c>
      <c r="H347" s="576">
        <v>1.9</v>
      </c>
      <c r="J347" s="571">
        <v>1.65</v>
      </c>
      <c r="K347" s="571"/>
      <c r="L347" s="571">
        <v>0.3</v>
      </c>
      <c r="M347" s="571"/>
      <c r="N347" s="571">
        <v>-0.05</v>
      </c>
      <c r="P347" s="574" t="s">
        <v>1395</v>
      </c>
      <c r="R347" s="547">
        <v>46</v>
      </c>
    </row>
    <row r="348" spans="1:18">
      <c r="B348" s="572">
        <v>353.2</v>
      </c>
      <c r="D348" s="544" t="s">
        <v>1396</v>
      </c>
      <c r="F348" s="575">
        <v>-15</v>
      </c>
      <c r="H348" s="576">
        <v>0</v>
      </c>
      <c r="J348" s="571">
        <v>0</v>
      </c>
      <c r="K348" s="571"/>
      <c r="L348" s="571">
        <v>0</v>
      </c>
      <c r="M348" s="571"/>
      <c r="N348" s="571">
        <v>0</v>
      </c>
      <c r="P348" s="574" t="s">
        <v>2550</v>
      </c>
      <c r="R348" s="547">
        <v>0</v>
      </c>
    </row>
    <row r="349" spans="1:18">
      <c r="A349" s="544">
        <v>354</v>
      </c>
      <c r="B349" s="572">
        <v>354</v>
      </c>
      <c r="D349" s="544" t="s">
        <v>1398</v>
      </c>
      <c r="F349" s="616" t="s">
        <v>2587</v>
      </c>
      <c r="H349" s="576">
        <v>1.69</v>
      </c>
      <c r="J349" s="571">
        <v>1.21</v>
      </c>
      <c r="K349" s="571"/>
      <c r="L349" s="571">
        <v>0.54</v>
      </c>
      <c r="M349" s="571"/>
      <c r="N349" s="571">
        <v>-0.06</v>
      </c>
      <c r="P349" s="574" t="s">
        <v>1399</v>
      </c>
      <c r="R349" s="547">
        <v>44.8</v>
      </c>
    </row>
    <row r="350" spans="1:18">
      <c r="A350" s="544">
        <v>355</v>
      </c>
      <c r="B350" s="572">
        <v>355</v>
      </c>
      <c r="D350" s="544" t="s">
        <v>1400</v>
      </c>
      <c r="F350" s="616" t="s">
        <v>2588</v>
      </c>
      <c r="H350" s="576">
        <v>2.93</v>
      </c>
      <c r="J350" s="571">
        <v>1.6800000000000002</v>
      </c>
      <c r="K350" s="571"/>
      <c r="L350" s="571">
        <v>1.42</v>
      </c>
      <c r="M350" s="571"/>
      <c r="N350" s="571">
        <v>-0.17</v>
      </c>
      <c r="P350" s="574" t="s">
        <v>2551</v>
      </c>
      <c r="R350" s="547">
        <v>48.8</v>
      </c>
    </row>
    <row r="351" spans="1:18">
      <c r="A351" s="544">
        <v>356</v>
      </c>
      <c r="B351" s="572">
        <v>356</v>
      </c>
      <c r="D351" s="544" t="s">
        <v>1402</v>
      </c>
      <c r="F351" s="616" t="s">
        <v>2588</v>
      </c>
      <c r="H351" s="576">
        <v>2.54</v>
      </c>
      <c r="J351" s="571">
        <v>1.46</v>
      </c>
      <c r="K351" s="571"/>
      <c r="L351" s="571">
        <v>1.23</v>
      </c>
      <c r="M351" s="571"/>
      <c r="N351" s="571">
        <v>-0.15</v>
      </c>
      <c r="P351" s="574" t="s">
        <v>2552</v>
      </c>
      <c r="R351" s="547">
        <v>43.8</v>
      </c>
    </row>
    <row r="352" spans="1:18">
      <c r="A352" s="544">
        <v>357</v>
      </c>
      <c r="B352" s="572">
        <v>357</v>
      </c>
      <c r="D352" s="544" t="s">
        <v>1403</v>
      </c>
      <c r="F352" s="616" t="s">
        <v>1900</v>
      </c>
      <c r="H352" s="576">
        <v>1.7</v>
      </c>
      <c r="J352" s="571">
        <v>1.7</v>
      </c>
      <c r="K352" s="571"/>
      <c r="L352" s="571">
        <v>0</v>
      </c>
      <c r="M352" s="571"/>
      <c r="N352" s="571">
        <v>0</v>
      </c>
      <c r="P352" s="574" t="s">
        <v>1419</v>
      </c>
      <c r="R352" s="547">
        <v>28.7</v>
      </c>
    </row>
    <row r="353" spans="1:18">
      <c r="A353" s="544">
        <v>358</v>
      </c>
      <c r="B353" s="572">
        <v>358</v>
      </c>
      <c r="D353" s="580" t="s">
        <v>1405</v>
      </c>
      <c r="F353" s="616" t="s">
        <v>1900</v>
      </c>
      <c r="H353" s="576">
        <v>0.74</v>
      </c>
      <c r="J353" s="571">
        <v>0.74</v>
      </c>
      <c r="K353" s="571"/>
      <c r="L353" s="571">
        <v>0</v>
      </c>
      <c r="M353" s="571"/>
      <c r="N353" s="571">
        <v>0</v>
      </c>
      <c r="P353" s="574" t="s">
        <v>2553</v>
      </c>
      <c r="R353" s="547">
        <v>23.6</v>
      </c>
    </row>
    <row r="354" spans="1:18">
      <c r="B354" s="572"/>
      <c r="F354" s="575"/>
      <c r="H354" s="576"/>
      <c r="J354" s="571"/>
      <c r="K354" s="571"/>
      <c r="L354" s="571"/>
      <c r="M354" s="571"/>
      <c r="N354" s="571"/>
      <c r="P354" s="574"/>
    </row>
    <row r="355" spans="1:18">
      <c r="B355" s="572"/>
      <c r="D355" s="568" t="s">
        <v>1407</v>
      </c>
      <c r="F355" s="575"/>
      <c r="G355" s="599"/>
      <c r="H355" s="576"/>
      <c r="J355" s="571"/>
      <c r="K355" s="571"/>
      <c r="L355" s="571"/>
      <c r="M355" s="571"/>
      <c r="N355" s="571"/>
      <c r="P355" s="574"/>
    </row>
    <row r="356" spans="1:18">
      <c r="B356" s="572">
        <v>352.1</v>
      </c>
      <c r="D356" s="573" t="s">
        <v>2548</v>
      </c>
      <c r="F356" s="575">
        <v>-25</v>
      </c>
      <c r="H356" s="576">
        <v>1.66</v>
      </c>
      <c r="J356" s="571">
        <v>1.3299999999999998</v>
      </c>
      <c r="K356" s="571"/>
      <c r="L356" s="571">
        <v>0.33</v>
      </c>
      <c r="M356" s="571"/>
      <c r="N356" s="571">
        <v>0</v>
      </c>
      <c r="P356" s="574" t="s">
        <v>2519</v>
      </c>
      <c r="R356" s="547">
        <v>59.5</v>
      </c>
    </row>
    <row r="357" spans="1:18">
      <c r="B357" s="572">
        <v>352.2</v>
      </c>
      <c r="D357" s="544" t="s">
        <v>2549</v>
      </c>
      <c r="F357" s="575">
        <v>-25</v>
      </c>
      <c r="H357" s="576">
        <v>1.83</v>
      </c>
      <c r="J357" s="571">
        <v>1.46</v>
      </c>
      <c r="K357" s="571"/>
      <c r="L357" s="571">
        <v>0.37</v>
      </c>
      <c r="M357" s="571"/>
      <c r="N357" s="571">
        <v>0</v>
      </c>
      <c r="P357" s="574" t="s">
        <v>1410</v>
      </c>
      <c r="R357" s="547">
        <v>47.9</v>
      </c>
    </row>
    <row r="358" spans="1:18">
      <c r="A358" s="544">
        <v>352</v>
      </c>
      <c r="B358" s="572"/>
      <c r="D358" s="568"/>
      <c r="F358" s="616" t="s">
        <v>2586</v>
      </c>
      <c r="G358" s="599"/>
      <c r="H358" s="576">
        <f>((420302+3543)/(25314463.82+193226.01)*100)</f>
        <v>1.6616361686408354</v>
      </c>
      <c r="J358" s="571"/>
      <c r="K358" s="571"/>
      <c r="L358" s="571"/>
      <c r="M358" s="571"/>
      <c r="N358" s="571"/>
      <c r="P358" s="620" t="s">
        <v>2589</v>
      </c>
      <c r="R358" s="619" t="s">
        <v>2608</v>
      </c>
    </row>
    <row r="359" spans="1:18">
      <c r="B359" s="572"/>
      <c r="D359" s="568"/>
      <c r="F359" s="575"/>
      <c r="G359" s="599"/>
      <c r="H359" s="576"/>
      <c r="J359" s="571"/>
      <c r="K359" s="571"/>
      <c r="L359" s="571"/>
      <c r="M359" s="571"/>
      <c r="N359" s="571"/>
      <c r="P359" s="574"/>
    </row>
    <row r="360" spans="1:18">
      <c r="B360" s="572">
        <v>353.1</v>
      </c>
      <c r="D360" s="544" t="s">
        <v>1394</v>
      </c>
      <c r="F360" s="575">
        <v>-15</v>
      </c>
      <c r="H360" s="576">
        <v>1.9</v>
      </c>
      <c r="J360" s="571">
        <v>1.65</v>
      </c>
      <c r="K360" s="571"/>
      <c r="L360" s="571">
        <v>0.3</v>
      </c>
      <c r="M360" s="571"/>
      <c r="N360" s="571">
        <v>-0.05</v>
      </c>
      <c r="P360" s="574" t="s">
        <v>1395</v>
      </c>
      <c r="R360" s="547">
        <v>46</v>
      </c>
    </row>
    <row r="361" spans="1:18">
      <c r="B361" s="572">
        <v>353.2</v>
      </c>
      <c r="D361" s="544" t="s">
        <v>1396</v>
      </c>
      <c r="F361" s="575">
        <v>-15</v>
      </c>
      <c r="H361" s="576">
        <v>0</v>
      </c>
      <c r="J361" s="571">
        <v>0</v>
      </c>
      <c r="K361" s="571"/>
      <c r="L361" s="571">
        <v>0</v>
      </c>
      <c r="M361" s="571"/>
      <c r="N361" s="571">
        <v>0</v>
      </c>
      <c r="P361" s="574" t="s">
        <v>2550</v>
      </c>
      <c r="R361" s="547">
        <v>0</v>
      </c>
    </row>
    <row r="362" spans="1:18">
      <c r="A362" s="544">
        <v>353</v>
      </c>
      <c r="B362" s="572"/>
      <c r="D362" s="568"/>
      <c r="F362" s="616" t="s">
        <v>2590</v>
      </c>
      <c r="G362" s="599"/>
      <c r="H362" s="576">
        <v>1.9</v>
      </c>
      <c r="J362" s="571"/>
      <c r="K362" s="571"/>
      <c r="L362" s="571"/>
      <c r="M362" s="571"/>
      <c r="N362" s="571"/>
      <c r="P362" s="620" t="s">
        <v>2591</v>
      </c>
      <c r="R362" s="547">
        <v>46</v>
      </c>
    </row>
    <row r="363" spans="1:18">
      <c r="B363" s="572"/>
      <c r="F363" s="575"/>
      <c r="H363" s="576"/>
      <c r="J363" s="571"/>
      <c r="K363" s="571"/>
      <c r="L363" s="571"/>
      <c r="M363" s="571"/>
      <c r="N363" s="571"/>
      <c r="P363" s="574"/>
    </row>
    <row r="364" spans="1:18">
      <c r="B364" s="572"/>
      <c r="D364" s="554" t="s">
        <v>1408</v>
      </c>
      <c r="F364" s="575"/>
      <c r="G364" s="553"/>
      <c r="H364" s="576"/>
      <c r="J364" s="571"/>
      <c r="K364" s="571"/>
      <c r="L364" s="571"/>
      <c r="M364" s="571"/>
      <c r="N364" s="571"/>
      <c r="P364" s="574"/>
    </row>
    <row r="365" spans="1:18">
      <c r="B365" s="572"/>
      <c r="D365" s="579"/>
      <c r="F365" s="575"/>
      <c r="H365" s="576"/>
      <c r="J365" s="571"/>
      <c r="K365" s="571"/>
      <c r="L365" s="571"/>
      <c r="M365" s="571"/>
      <c r="N365" s="571"/>
      <c r="P365" s="574"/>
    </row>
    <row r="366" spans="1:18">
      <c r="A366" s="544">
        <v>360</v>
      </c>
      <c r="B366" s="572">
        <v>360.1</v>
      </c>
      <c r="D366" s="573" t="s">
        <v>2554</v>
      </c>
      <c r="F366" s="616" t="s">
        <v>1900</v>
      </c>
      <c r="H366" s="576">
        <v>0.64</v>
      </c>
      <c r="J366" s="571">
        <v>0.64</v>
      </c>
      <c r="K366" s="571"/>
      <c r="L366" s="571">
        <v>0</v>
      </c>
      <c r="M366" s="571"/>
      <c r="N366" s="571">
        <v>0</v>
      </c>
      <c r="P366" s="574" t="s">
        <v>1399</v>
      </c>
      <c r="R366" s="547">
        <v>51.4</v>
      </c>
    </row>
    <row r="367" spans="1:18">
      <c r="A367" s="544">
        <v>361</v>
      </c>
      <c r="B367" s="572">
        <v>361</v>
      </c>
      <c r="D367" s="544" t="s">
        <v>1411</v>
      </c>
      <c r="F367" s="616" t="s">
        <v>2586</v>
      </c>
      <c r="H367" s="576">
        <v>2.15</v>
      </c>
      <c r="J367" s="571">
        <v>1.72</v>
      </c>
      <c r="K367" s="571"/>
      <c r="L367" s="571">
        <v>0.43</v>
      </c>
      <c r="M367" s="571"/>
      <c r="N367" s="571">
        <v>0</v>
      </c>
      <c r="P367" s="574" t="s">
        <v>1313</v>
      </c>
      <c r="R367" s="547">
        <v>48.4</v>
      </c>
    </row>
    <row r="368" spans="1:18">
      <c r="A368" s="544">
        <v>362</v>
      </c>
      <c r="B368" s="572">
        <v>362</v>
      </c>
      <c r="D368" s="580" t="s">
        <v>1412</v>
      </c>
      <c r="F368" s="616" t="s">
        <v>2592</v>
      </c>
      <c r="H368" s="576">
        <v>2.29</v>
      </c>
      <c r="J368" s="571">
        <v>1.9100000000000001</v>
      </c>
      <c r="K368" s="571"/>
      <c r="L368" s="571">
        <v>0.46</v>
      </c>
      <c r="M368" s="571"/>
      <c r="N368" s="571">
        <v>-0.08</v>
      </c>
      <c r="P368" s="574" t="s">
        <v>1413</v>
      </c>
      <c r="R368" s="547">
        <v>40.299999999999997</v>
      </c>
    </row>
    <row r="369" spans="1:18">
      <c r="A369" s="544">
        <v>364</v>
      </c>
      <c r="B369" s="572">
        <v>364</v>
      </c>
      <c r="D369" s="580" t="s">
        <v>2555</v>
      </c>
      <c r="F369" s="616" t="s">
        <v>2593</v>
      </c>
      <c r="H369" s="576">
        <v>2.67</v>
      </c>
      <c r="J369" s="571">
        <v>1.7799999999999998</v>
      </c>
      <c r="K369" s="571"/>
      <c r="L369" s="571">
        <v>1.07</v>
      </c>
      <c r="M369" s="571"/>
      <c r="N369" s="571">
        <v>-0.18</v>
      </c>
      <c r="P369" s="574" t="s">
        <v>2556</v>
      </c>
      <c r="R369" s="547">
        <v>40.1</v>
      </c>
    </row>
    <row r="370" spans="1:18">
      <c r="A370" s="544">
        <v>365</v>
      </c>
      <c r="B370" s="572">
        <v>365</v>
      </c>
      <c r="D370" s="544" t="s">
        <v>1416</v>
      </c>
      <c r="F370" s="616" t="s">
        <v>2594</v>
      </c>
      <c r="H370" s="576">
        <v>2.4700000000000002</v>
      </c>
      <c r="J370" s="571">
        <v>1.9000000000000004</v>
      </c>
      <c r="K370" s="571"/>
      <c r="L370" s="571">
        <v>0.7</v>
      </c>
      <c r="M370" s="571"/>
      <c r="N370" s="571">
        <v>-0.13</v>
      </c>
      <c r="P370" s="574" t="s">
        <v>2557</v>
      </c>
      <c r="R370" s="547">
        <v>38.299999999999997</v>
      </c>
    </row>
    <row r="371" spans="1:18">
      <c r="A371" s="544">
        <v>366</v>
      </c>
      <c r="B371" s="572">
        <v>366</v>
      </c>
      <c r="D371" s="573" t="s">
        <v>1418</v>
      </c>
      <c r="F371" s="616" t="s">
        <v>1900</v>
      </c>
      <c r="H371" s="576">
        <v>2.3199999999999998</v>
      </c>
      <c r="J371" s="571">
        <v>2.3199999999999998</v>
      </c>
      <c r="K371" s="571"/>
      <c r="L371" s="571">
        <v>0</v>
      </c>
      <c r="M371" s="571"/>
      <c r="N371" s="571">
        <v>0</v>
      </c>
      <c r="P371" s="574" t="s">
        <v>1419</v>
      </c>
      <c r="R371" s="547">
        <v>25.6</v>
      </c>
    </row>
    <row r="372" spans="1:18">
      <c r="A372" s="544">
        <v>367</v>
      </c>
      <c r="B372" s="572">
        <v>367</v>
      </c>
      <c r="D372" s="544" t="s">
        <v>1420</v>
      </c>
      <c r="F372" s="616" t="s">
        <v>2592</v>
      </c>
      <c r="H372" s="576">
        <v>2.4300000000000002</v>
      </c>
      <c r="J372" s="571">
        <v>2.02</v>
      </c>
      <c r="K372" s="571"/>
      <c r="L372" s="571">
        <v>0.51</v>
      </c>
      <c r="M372" s="571"/>
      <c r="N372" s="571">
        <v>-0.1</v>
      </c>
      <c r="P372" s="574" t="s">
        <v>2558</v>
      </c>
      <c r="R372" s="547">
        <v>40.200000000000003</v>
      </c>
    </row>
    <row r="373" spans="1:18">
      <c r="A373" s="544">
        <v>368</v>
      </c>
      <c r="B373" s="572">
        <v>368</v>
      </c>
      <c r="D373" s="544" t="s">
        <v>1422</v>
      </c>
      <c r="F373" s="616" t="s">
        <v>2595</v>
      </c>
      <c r="H373" s="576">
        <v>1.79</v>
      </c>
      <c r="J373" s="571">
        <v>1.7</v>
      </c>
      <c r="K373" s="571"/>
      <c r="L373" s="571">
        <v>0.14000000000000001</v>
      </c>
      <c r="M373" s="571"/>
      <c r="N373" s="571">
        <v>-0.05</v>
      </c>
      <c r="P373" s="574" t="s">
        <v>2559</v>
      </c>
      <c r="R373" s="547">
        <v>33</v>
      </c>
    </row>
    <row r="374" spans="1:18">
      <c r="A374" s="544">
        <v>369</v>
      </c>
      <c r="B374" s="572">
        <v>369</v>
      </c>
      <c r="D374" s="544" t="s">
        <v>1424</v>
      </c>
      <c r="F374" s="616" t="s">
        <v>2586</v>
      </c>
      <c r="H374" s="576">
        <v>1.63</v>
      </c>
      <c r="J374" s="571">
        <v>1.2999999999999998</v>
      </c>
      <c r="K374" s="571"/>
      <c r="L374" s="571">
        <v>0.33</v>
      </c>
      <c r="M374" s="571"/>
      <c r="N374" s="571">
        <v>0</v>
      </c>
      <c r="P374" s="574" t="s">
        <v>2560</v>
      </c>
      <c r="R374" s="547">
        <v>36.6</v>
      </c>
    </row>
    <row r="375" spans="1:18">
      <c r="B375" s="572">
        <v>370</v>
      </c>
      <c r="D375" s="544" t="s">
        <v>1426</v>
      </c>
      <c r="F375" s="575">
        <v>0</v>
      </c>
      <c r="H375" s="576">
        <v>1.57</v>
      </c>
      <c r="J375" s="571">
        <v>1.57</v>
      </c>
      <c r="K375" s="571"/>
      <c r="L375" s="571">
        <v>0</v>
      </c>
      <c r="M375" s="571"/>
      <c r="N375" s="571">
        <v>0</v>
      </c>
      <c r="P375" s="574" t="s">
        <v>2561</v>
      </c>
      <c r="R375" s="547">
        <v>32.200000000000003</v>
      </c>
    </row>
    <row r="376" spans="1:18">
      <c r="B376" s="572">
        <v>370.01</v>
      </c>
      <c r="D376" s="573" t="s">
        <v>2562</v>
      </c>
      <c r="F376" s="575">
        <v>0</v>
      </c>
      <c r="H376" s="576">
        <v>6.85</v>
      </c>
      <c r="J376" s="571">
        <v>6.85</v>
      </c>
      <c r="K376" s="571"/>
      <c r="L376" s="571">
        <v>0</v>
      </c>
      <c r="M376" s="571"/>
      <c r="N376" s="571">
        <v>0</v>
      </c>
      <c r="P376" s="574" t="s">
        <v>2563</v>
      </c>
      <c r="R376" s="547">
        <v>14.5</v>
      </c>
    </row>
    <row r="377" spans="1:18">
      <c r="A377" s="544">
        <v>371</v>
      </c>
      <c r="B377" s="572">
        <v>371</v>
      </c>
      <c r="D377" s="544" t="s">
        <v>2564</v>
      </c>
      <c r="F377" s="616" t="s">
        <v>2596</v>
      </c>
      <c r="H377" s="576">
        <v>0.53</v>
      </c>
      <c r="J377" s="571">
        <v>0.48000000000000004</v>
      </c>
      <c r="K377" s="571"/>
      <c r="L377" s="571">
        <v>0.06</v>
      </c>
      <c r="M377" s="571"/>
      <c r="N377" s="571">
        <v>-0.01</v>
      </c>
      <c r="P377" s="574" t="s">
        <v>2565</v>
      </c>
      <c r="R377" s="547">
        <v>19.3</v>
      </c>
    </row>
    <row r="378" spans="1:18">
      <c r="A378" s="544">
        <v>373</v>
      </c>
      <c r="B378" s="572">
        <v>373</v>
      </c>
      <c r="D378" s="544" t="s">
        <v>1430</v>
      </c>
      <c r="F378" s="616" t="s">
        <v>2596</v>
      </c>
      <c r="H378" s="576">
        <v>4</v>
      </c>
      <c r="J378" s="571">
        <v>3.64</v>
      </c>
      <c r="K378" s="571"/>
      <c r="L378" s="571">
        <v>0.47</v>
      </c>
      <c r="M378" s="571"/>
      <c r="N378" s="571">
        <v>-0.11</v>
      </c>
      <c r="P378" s="574" t="s">
        <v>2566</v>
      </c>
      <c r="R378" s="547">
        <v>22.1</v>
      </c>
    </row>
    <row r="379" spans="1:18">
      <c r="B379" s="572"/>
      <c r="F379" s="575"/>
      <c r="H379" s="576"/>
      <c r="J379" s="571"/>
      <c r="K379" s="571"/>
      <c r="L379" s="571"/>
      <c r="M379" s="571"/>
      <c r="N379" s="571"/>
      <c r="P379" s="574"/>
    </row>
    <row r="380" spans="1:18">
      <c r="B380" s="572"/>
      <c r="D380" s="568" t="s">
        <v>1432</v>
      </c>
      <c r="F380" s="575"/>
      <c r="G380" s="599"/>
      <c r="H380" s="576"/>
      <c r="J380" s="571"/>
      <c r="K380" s="571"/>
      <c r="L380" s="571"/>
      <c r="M380" s="571"/>
      <c r="N380" s="571"/>
      <c r="P380" s="574"/>
    </row>
    <row r="381" spans="1:18">
      <c r="B381" s="611" t="s">
        <v>2567</v>
      </c>
      <c r="D381" s="568"/>
      <c r="F381" s="575"/>
      <c r="G381" s="599"/>
      <c r="H381" s="576"/>
      <c r="J381" s="571"/>
      <c r="K381" s="571"/>
      <c r="L381" s="571"/>
      <c r="M381" s="571"/>
      <c r="N381" s="571"/>
      <c r="P381" s="574"/>
    </row>
    <row r="382" spans="1:18">
      <c r="B382" s="572">
        <v>370</v>
      </c>
      <c r="C382" s="569"/>
      <c r="D382" s="573" t="s">
        <v>2568</v>
      </c>
      <c r="F382" s="575">
        <v>0</v>
      </c>
      <c r="G382" s="599"/>
      <c r="H382" s="576">
        <v>3.51</v>
      </c>
      <c r="J382" s="571">
        <v>3.51</v>
      </c>
      <c r="K382" s="571"/>
      <c r="L382" s="571">
        <v>0</v>
      </c>
      <c r="M382" s="571"/>
      <c r="N382" s="571">
        <v>0</v>
      </c>
      <c r="P382" s="574" t="s">
        <v>2569</v>
      </c>
      <c r="R382" s="547">
        <v>4.3</v>
      </c>
    </row>
    <row r="383" spans="1:18">
      <c r="B383" s="572">
        <v>370.1</v>
      </c>
      <c r="C383" s="569"/>
      <c r="D383" s="573" t="s">
        <v>2570</v>
      </c>
      <c r="F383" s="575">
        <v>0</v>
      </c>
      <c r="G383" s="599"/>
      <c r="H383" s="576">
        <v>4.29</v>
      </c>
      <c r="J383" s="571">
        <v>4.29</v>
      </c>
      <c r="K383" s="571"/>
      <c r="L383" s="571">
        <v>0</v>
      </c>
      <c r="M383" s="571"/>
      <c r="N383" s="571">
        <v>0</v>
      </c>
      <c r="P383" s="574" t="s">
        <v>2569</v>
      </c>
      <c r="R383" s="547">
        <v>14.7</v>
      </c>
    </row>
    <row r="384" spans="1:18">
      <c r="B384" s="572">
        <v>370.01</v>
      </c>
      <c r="D384" s="573" t="s">
        <v>2562</v>
      </c>
      <c r="F384" s="575">
        <v>0</v>
      </c>
      <c r="H384" s="577">
        <v>6.85</v>
      </c>
      <c r="J384" s="571">
        <v>6.85</v>
      </c>
      <c r="K384" s="571"/>
      <c r="L384" s="571">
        <v>0</v>
      </c>
      <c r="M384" s="571"/>
      <c r="N384" s="571">
        <v>0</v>
      </c>
      <c r="P384" s="574" t="s">
        <v>2563</v>
      </c>
      <c r="R384" s="547">
        <v>14.5</v>
      </c>
    </row>
    <row r="385" spans="1:18">
      <c r="A385" s="544">
        <v>370</v>
      </c>
      <c r="B385" s="572"/>
      <c r="D385" s="568"/>
      <c r="F385" s="616" t="s">
        <v>1900</v>
      </c>
      <c r="G385" s="599"/>
      <c r="H385" s="576">
        <f>((2323567+447268+47904)/(66212808.46+10416674.08+698893.34)*100)</f>
        <v>3.6451547933376816</v>
      </c>
      <c r="J385" s="571"/>
      <c r="K385" s="571"/>
      <c r="L385" s="571"/>
      <c r="M385" s="571"/>
      <c r="N385" s="571"/>
      <c r="P385" s="620" t="s">
        <v>2597</v>
      </c>
      <c r="R385" s="619" t="s">
        <v>2607</v>
      </c>
    </row>
    <row r="386" spans="1:18">
      <c r="B386" s="572"/>
      <c r="D386" s="568"/>
      <c r="F386" s="575"/>
      <c r="G386" s="599"/>
      <c r="H386" s="576"/>
      <c r="J386" s="571"/>
      <c r="K386" s="571"/>
      <c r="L386" s="571"/>
      <c r="M386" s="571"/>
      <c r="N386" s="571"/>
      <c r="P386" s="574"/>
    </row>
    <row r="387" spans="1:18">
      <c r="B387" s="572"/>
      <c r="D387" s="568"/>
      <c r="F387" s="575"/>
      <c r="G387" s="599"/>
      <c r="H387" s="576"/>
      <c r="J387" s="571"/>
      <c r="K387" s="571"/>
      <c r="L387" s="571"/>
      <c r="M387" s="571"/>
      <c r="N387" s="571"/>
      <c r="P387" s="574"/>
    </row>
    <row r="388" spans="1:18">
      <c r="B388" s="572"/>
      <c r="F388" s="575"/>
      <c r="H388" s="576"/>
      <c r="J388" s="571"/>
      <c r="K388" s="571"/>
      <c r="L388" s="571"/>
      <c r="M388" s="571"/>
      <c r="N388" s="571"/>
      <c r="P388" s="610"/>
    </row>
    <row r="389" spans="1:18">
      <c r="B389" s="572"/>
      <c r="D389" s="554" t="s">
        <v>1433</v>
      </c>
      <c r="F389" s="575"/>
      <c r="H389" s="576"/>
      <c r="J389" s="571"/>
      <c r="K389" s="571"/>
      <c r="L389" s="571"/>
      <c r="M389" s="571"/>
      <c r="N389" s="571"/>
      <c r="P389" s="610"/>
    </row>
    <row r="390" spans="1:18">
      <c r="B390" s="572"/>
      <c r="D390" s="579"/>
      <c r="F390" s="575"/>
      <c r="H390" s="576"/>
      <c r="J390" s="571"/>
      <c r="K390" s="571"/>
      <c r="L390" s="571"/>
      <c r="M390" s="571"/>
      <c r="N390" s="571"/>
      <c r="P390" s="610"/>
    </row>
    <row r="391" spans="1:18">
      <c r="B391" s="572">
        <v>390.1</v>
      </c>
      <c r="D391" s="593" t="s">
        <v>1434</v>
      </c>
      <c r="F391" s="575">
        <v>-15</v>
      </c>
      <c r="H391" s="576">
        <v>2.4300000000000002</v>
      </c>
      <c r="J391" s="571">
        <v>2.1100000000000003</v>
      </c>
      <c r="K391" s="571"/>
      <c r="L391" s="571">
        <v>0.32</v>
      </c>
      <c r="M391" s="571"/>
      <c r="N391" s="571">
        <v>0</v>
      </c>
      <c r="P391" s="574" t="s">
        <v>2571</v>
      </c>
      <c r="R391" s="547">
        <v>39.200000000000003</v>
      </c>
    </row>
    <row r="392" spans="1:18">
      <c r="B392" s="572">
        <v>390.2</v>
      </c>
      <c r="D392" s="593" t="s">
        <v>1436</v>
      </c>
      <c r="F392" s="575">
        <v>-10</v>
      </c>
      <c r="H392" s="576">
        <v>1.43</v>
      </c>
      <c r="J392" s="571">
        <v>1.2999999999999998</v>
      </c>
      <c r="K392" s="571"/>
      <c r="L392" s="571">
        <v>0.13</v>
      </c>
      <c r="M392" s="571"/>
      <c r="N392" s="571">
        <v>0</v>
      </c>
      <c r="P392" s="574" t="s">
        <v>2572</v>
      </c>
      <c r="R392" s="547">
        <v>18</v>
      </c>
    </row>
    <row r="393" spans="1:18">
      <c r="B393" s="572">
        <v>391.1</v>
      </c>
      <c r="D393" s="593" t="s">
        <v>1438</v>
      </c>
      <c r="F393" s="575">
        <v>0</v>
      </c>
      <c r="H393" s="576">
        <v>4.3600000000000003</v>
      </c>
      <c r="J393" s="571">
        <v>4.3600000000000003</v>
      </c>
      <c r="K393" s="571"/>
      <c r="L393" s="571">
        <v>0</v>
      </c>
      <c r="M393" s="571"/>
      <c r="N393" s="571">
        <v>0</v>
      </c>
      <c r="P393" s="574" t="s">
        <v>1280</v>
      </c>
      <c r="R393" s="547">
        <v>9.9</v>
      </c>
    </row>
    <row r="394" spans="1:18">
      <c r="B394" s="572">
        <v>391.2</v>
      </c>
      <c r="D394" s="593" t="s">
        <v>1439</v>
      </c>
      <c r="F394" s="575">
        <v>0</v>
      </c>
      <c r="H394" s="576">
        <v>11.69</v>
      </c>
      <c r="J394" s="571">
        <v>11.69</v>
      </c>
      <c r="K394" s="571"/>
      <c r="L394" s="571">
        <v>0</v>
      </c>
      <c r="M394" s="571"/>
      <c r="N394" s="571">
        <v>0</v>
      </c>
      <c r="P394" s="574" t="s">
        <v>1282</v>
      </c>
      <c r="R394" s="547">
        <v>4</v>
      </c>
    </row>
    <row r="395" spans="1:18">
      <c r="B395" s="572">
        <v>391.31</v>
      </c>
      <c r="D395" s="593" t="s">
        <v>1440</v>
      </c>
      <c r="F395" s="575">
        <v>0</v>
      </c>
      <c r="H395" s="576">
        <v>25.02</v>
      </c>
      <c r="J395" s="571">
        <v>25.02</v>
      </c>
      <c r="K395" s="571"/>
      <c r="L395" s="571">
        <v>0</v>
      </c>
      <c r="M395" s="571"/>
      <c r="N395" s="571">
        <v>0</v>
      </c>
      <c r="P395" s="574" t="s">
        <v>1441</v>
      </c>
      <c r="R395" s="547">
        <v>2.2000000000000002</v>
      </c>
    </row>
    <row r="396" spans="1:18">
      <c r="B396" s="572">
        <v>392</v>
      </c>
      <c r="D396" s="573" t="s">
        <v>1442</v>
      </c>
      <c r="F396" s="575">
        <v>0</v>
      </c>
      <c r="H396" s="576">
        <v>1.97</v>
      </c>
      <c r="J396" s="571">
        <v>1.97</v>
      </c>
      <c r="K396" s="571"/>
      <c r="L396" s="571">
        <v>0</v>
      </c>
      <c r="M396" s="571"/>
      <c r="N396" s="571">
        <v>0</v>
      </c>
      <c r="P396" s="574" t="s">
        <v>2573</v>
      </c>
      <c r="R396" s="547">
        <v>10.8</v>
      </c>
    </row>
    <row r="397" spans="1:18">
      <c r="B397" s="572">
        <v>392.1</v>
      </c>
      <c r="D397" s="573" t="s">
        <v>1444</v>
      </c>
      <c r="F397" s="575">
        <v>0</v>
      </c>
      <c r="H397" s="576">
        <v>3.19</v>
      </c>
      <c r="J397" s="571">
        <v>3.19</v>
      </c>
      <c r="K397" s="571"/>
      <c r="L397" s="571">
        <v>0</v>
      </c>
      <c r="M397" s="571"/>
      <c r="N397" s="571">
        <v>0</v>
      </c>
      <c r="P397" s="574" t="s">
        <v>2574</v>
      </c>
      <c r="R397" s="547">
        <v>13.9</v>
      </c>
    </row>
    <row r="398" spans="1:18">
      <c r="A398" s="544">
        <v>393</v>
      </c>
      <c r="B398" s="572">
        <v>393</v>
      </c>
      <c r="D398" s="580" t="s">
        <v>1446</v>
      </c>
      <c r="F398" s="616" t="s">
        <v>1900</v>
      </c>
      <c r="H398" s="576">
        <v>4.4000000000000004</v>
      </c>
      <c r="J398" s="571">
        <v>4.4000000000000004</v>
      </c>
      <c r="K398" s="571"/>
      <c r="L398" s="571">
        <v>0</v>
      </c>
      <c r="M398" s="571"/>
      <c r="N398" s="571">
        <v>0</v>
      </c>
      <c r="P398" s="574" t="s">
        <v>1447</v>
      </c>
      <c r="R398" s="547">
        <v>18</v>
      </c>
    </row>
    <row r="399" spans="1:18">
      <c r="A399" s="544">
        <v>394</v>
      </c>
      <c r="B399" s="572">
        <v>394</v>
      </c>
      <c r="D399" s="593" t="s">
        <v>1448</v>
      </c>
      <c r="F399" s="616" t="s">
        <v>1900</v>
      </c>
      <c r="H399" s="576">
        <v>4.0199999999999996</v>
      </c>
      <c r="J399" s="571">
        <v>4.0199999999999996</v>
      </c>
      <c r="K399" s="571"/>
      <c r="L399" s="571">
        <v>0</v>
      </c>
      <c r="M399" s="571"/>
      <c r="N399" s="571">
        <v>0</v>
      </c>
      <c r="P399" s="574" t="s">
        <v>1447</v>
      </c>
      <c r="R399" s="547">
        <v>17.5</v>
      </c>
    </row>
    <row r="400" spans="1:18">
      <c r="A400" s="544">
        <v>396</v>
      </c>
      <c r="B400" s="572">
        <v>396</v>
      </c>
      <c r="D400" s="593" t="s">
        <v>2575</v>
      </c>
      <c r="F400" s="616" t="s">
        <v>1900</v>
      </c>
      <c r="H400" s="576">
        <v>5.65</v>
      </c>
      <c r="J400" s="571">
        <v>5.65</v>
      </c>
      <c r="K400" s="571"/>
      <c r="L400" s="571">
        <v>0</v>
      </c>
      <c r="M400" s="571"/>
      <c r="N400" s="571">
        <v>0</v>
      </c>
      <c r="P400" s="574" t="s">
        <v>2576</v>
      </c>
      <c r="R400" s="547">
        <v>12</v>
      </c>
    </row>
    <row r="401" spans="1:18">
      <c r="B401" s="572">
        <v>397</v>
      </c>
      <c r="D401" s="580" t="s">
        <v>2577</v>
      </c>
      <c r="F401" s="575">
        <v>0</v>
      </c>
      <c r="H401" s="576">
        <v>4.9000000000000004</v>
      </c>
      <c r="J401" s="571">
        <v>4.9000000000000004</v>
      </c>
      <c r="K401" s="571"/>
      <c r="L401" s="571">
        <v>0</v>
      </c>
      <c r="M401" s="571"/>
      <c r="N401" s="571">
        <v>0</v>
      </c>
      <c r="P401" s="574" t="s">
        <v>2578</v>
      </c>
      <c r="R401" s="547">
        <v>13.4</v>
      </c>
    </row>
    <row r="402" spans="1:18">
      <c r="B402" s="572">
        <v>397.1</v>
      </c>
      <c r="D402" s="580" t="s">
        <v>2579</v>
      </c>
      <c r="F402" s="575">
        <v>0</v>
      </c>
      <c r="H402" s="576">
        <v>10.84</v>
      </c>
      <c r="J402" s="571">
        <v>10.84</v>
      </c>
      <c r="K402" s="571"/>
      <c r="L402" s="571">
        <v>0</v>
      </c>
      <c r="M402" s="571"/>
      <c r="N402" s="571">
        <v>0</v>
      </c>
      <c r="P402" s="574" t="s">
        <v>1452</v>
      </c>
      <c r="R402" s="547">
        <v>5.6</v>
      </c>
    </row>
    <row r="403" spans="1:18">
      <c r="B403" s="572">
        <v>397.2</v>
      </c>
      <c r="D403" s="580" t="s">
        <v>2580</v>
      </c>
      <c r="F403" s="575">
        <v>0</v>
      </c>
      <c r="H403" s="576">
        <v>14.08</v>
      </c>
      <c r="J403" s="571">
        <v>14.08</v>
      </c>
      <c r="K403" s="571"/>
      <c r="L403" s="571">
        <v>0</v>
      </c>
      <c r="M403" s="571"/>
      <c r="N403" s="571">
        <v>0</v>
      </c>
      <c r="P403" s="574" t="s">
        <v>1452</v>
      </c>
      <c r="R403" s="547">
        <v>6.5</v>
      </c>
    </row>
    <row r="404" spans="1:18">
      <c r="B404" s="572"/>
      <c r="F404" s="575"/>
      <c r="H404" s="576"/>
      <c r="J404" s="571"/>
      <c r="K404" s="571"/>
      <c r="L404" s="571"/>
      <c r="M404" s="571"/>
      <c r="N404" s="571"/>
    </row>
    <row r="405" spans="1:18">
      <c r="C405" s="549"/>
      <c r="D405" s="593"/>
      <c r="F405" s="575"/>
      <c r="H405" s="612"/>
      <c r="J405" s="571"/>
      <c r="K405" s="571"/>
      <c r="L405" s="571"/>
      <c r="M405" s="571"/>
      <c r="N405" s="571"/>
    </row>
    <row r="406" spans="1:18">
      <c r="D406" s="573"/>
      <c r="F406" s="575"/>
      <c r="H406" s="612"/>
      <c r="J406" s="571"/>
      <c r="K406" s="571"/>
      <c r="L406" s="571"/>
      <c r="M406" s="571"/>
      <c r="N406" s="571"/>
    </row>
    <row r="407" spans="1:18">
      <c r="B407" s="572">
        <v>390.1</v>
      </c>
      <c r="D407" s="593" t="s">
        <v>1434</v>
      </c>
      <c r="F407" s="575">
        <v>-15</v>
      </c>
      <c r="H407" s="576">
        <v>2.4300000000000002</v>
      </c>
      <c r="J407" s="571">
        <v>2.1100000000000003</v>
      </c>
      <c r="K407" s="571"/>
      <c r="L407" s="571">
        <v>0.32</v>
      </c>
      <c r="M407" s="571"/>
      <c r="N407" s="571">
        <v>0</v>
      </c>
      <c r="P407" s="574" t="s">
        <v>2571</v>
      </c>
      <c r="R407" s="547">
        <v>39.200000000000003</v>
      </c>
    </row>
    <row r="408" spans="1:18">
      <c r="B408" s="572">
        <v>390.2</v>
      </c>
      <c r="D408" s="593" t="s">
        <v>1436</v>
      </c>
      <c r="F408" s="575">
        <v>-10</v>
      </c>
      <c r="H408" s="576">
        <v>1.43</v>
      </c>
      <c r="J408" s="571">
        <v>1.2999999999999998</v>
      </c>
      <c r="K408" s="571"/>
      <c r="L408" s="571">
        <v>0.13</v>
      </c>
      <c r="M408" s="571"/>
      <c r="N408" s="571">
        <v>0</v>
      </c>
      <c r="P408" s="574" t="s">
        <v>2572</v>
      </c>
      <c r="R408" s="547">
        <v>18</v>
      </c>
    </row>
    <row r="409" spans="1:18">
      <c r="A409" s="544">
        <v>390</v>
      </c>
      <c r="B409" s="613"/>
      <c r="C409" s="544"/>
      <c r="D409" s="614"/>
      <c r="F409" s="617" t="s">
        <v>2598</v>
      </c>
      <c r="H409" s="576">
        <f>((1378746+7551)/(56676361.14+528658.363)*100)</f>
        <v>2.4233834933441436</v>
      </c>
      <c r="J409" s="571"/>
      <c r="K409" s="571"/>
      <c r="L409" s="571"/>
      <c r="M409" s="571"/>
      <c r="N409" s="571"/>
      <c r="P409" s="620" t="s">
        <v>2599</v>
      </c>
      <c r="R409" s="619" t="s">
        <v>2603</v>
      </c>
    </row>
    <row r="410" spans="1:18">
      <c r="B410" s="613"/>
      <c r="C410" s="544"/>
      <c r="D410" s="615"/>
      <c r="J410" s="571"/>
      <c r="K410" s="571"/>
      <c r="L410" s="571"/>
      <c r="M410" s="571"/>
      <c r="N410" s="571"/>
    </row>
    <row r="411" spans="1:18">
      <c r="B411" s="572">
        <v>391.1</v>
      </c>
      <c r="D411" s="593" t="s">
        <v>1438</v>
      </c>
      <c r="F411" s="575">
        <v>0</v>
      </c>
      <c r="H411" s="576">
        <v>4.3600000000000003</v>
      </c>
      <c r="J411" s="571">
        <v>4.3600000000000003</v>
      </c>
      <c r="K411" s="571"/>
      <c r="L411" s="571">
        <v>0</v>
      </c>
      <c r="M411" s="571"/>
      <c r="N411" s="571">
        <v>0</v>
      </c>
      <c r="P411" s="574" t="s">
        <v>1280</v>
      </c>
      <c r="R411" s="547">
        <v>9.9</v>
      </c>
    </row>
    <row r="412" spans="1:18">
      <c r="B412" s="572">
        <v>391.2</v>
      </c>
      <c r="D412" s="593" t="s">
        <v>1439</v>
      </c>
      <c r="F412" s="575">
        <v>0</v>
      </c>
      <c r="H412" s="576">
        <v>11.69</v>
      </c>
      <c r="J412" s="571">
        <v>11.69</v>
      </c>
      <c r="K412" s="571"/>
      <c r="L412" s="571">
        <v>0</v>
      </c>
      <c r="M412" s="571"/>
      <c r="N412" s="571">
        <v>0</v>
      </c>
      <c r="P412" s="574" t="s">
        <v>1282</v>
      </c>
      <c r="R412" s="547">
        <v>4</v>
      </c>
    </row>
    <row r="413" spans="1:18">
      <c r="B413" s="572">
        <v>391.31</v>
      </c>
      <c r="D413" s="593" t="s">
        <v>1440</v>
      </c>
      <c r="F413" s="575">
        <v>0</v>
      </c>
      <c r="H413" s="576">
        <v>25.02</v>
      </c>
      <c r="J413" s="571">
        <v>25.02</v>
      </c>
      <c r="K413" s="571"/>
      <c r="L413" s="571">
        <v>0</v>
      </c>
      <c r="M413" s="571"/>
      <c r="N413" s="571">
        <v>0</v>
      </c>
      <c r="P413" s="574" t="s">
        <v>1441</v>
      </c>
      <c r="R413" s="547">
        <v>2.2000000000000002</v>
      </c>
    </row>
    <row r="414" spans="1:18">
      <c r="A414" s="544">
        <v>391</v>
      </c>
      <c r="F414" s="616" t="s">
        <v>1900</v>
      </c>
      <c r="H414" s="576">
        <f>((435890+3152434+1873226)/(9997759.47+26955602.79+7487177.86)*100)</f>
        <v>12.28956710528837</v>
      </c>
      <c r="P414" s="620" t="s">
        <v>1894</v>
      </c>
      <c r="R414" s="619" t="s">
        <v>2604</v>
      </c>
    </row>
    <row r="416" spans="1:18">
      <c r="B416" s="572">
        <v>392</v>
      </c>
      <c r="D416" s="573" t="s">
        <v>1442</v>
      </c>
      <c r="F416" s="575">
        <v>0</v>
      </c>
      <c r="H416" s="576">
        <v>1.97</v>
      </c>
      <c r="J416" s="571">
        <v>1.97</v>
      </c>
      <c r="K416" s="571"/>
      <c r="L416" s="571">
        <v>0</v>
      </c>
      <c r="M416" s="571"/>
      <c r="N416" s="571">
        <v>0</v>
      </c>
      <c r="P416" s="574" t="s">
        <v>2573</v>
      </c>
      <c r="R416" s="547">
        <v>10.8</v>
      </c>
    </row>
    <row r="417" spans="1:18">
      <c r="B417" s="572">
        <v>392.1</v>
      </c>
      <c r="D417" s="573" t="s">
        <v>1444</v>
      </c>
      <c r="F417" s="575">
        <v>0</v>
      </c>
      <c r="H417" s="576">
        <v>3.19</v>
      </c>
      <c r="J417" s="571">
        <v>3.19</v>
      </c>
      <c r="K417" s="571"/>
      <c r="L417" s="571">
        <v>0</v>
      </c>
      <c r="M417" s="571"/>
      <c r="N417" s="571">
        <v>0</v>
      </c>
      <c r="P417" s="574" t="s">
        <v>2574</v>
      </c>
      <c r="R417" s="547">
        <v>13.9</v>
      </c>
    </row>
    <row r="418" spans="1:18">
      <c r="A418" s="544">
        <v>392</v>
      </c>
      <c r="F418" s="616" t="s">
        <v>1900</v>
      </c>
      <c r="H418" s="576">
        <f>((21335+143633)/(1080256.74+4496087.64)*100)</f>
        <v>2.9583538741199482</v>
      </c>
      <c r="P418" s="620" t="s">
        <v>2601</v>
      </c>
      <c r="R418" s="619" t="s">
        <v>2605</v>
      </c>
    </row>
    <row r="420" spans="1:18">
      <c r="B420" s="572">
        <v>397</v>
      </c>
      <c r="D420" s="580" t="s">
        <v>2577</v>
      </c>
      <c r="F420" s="575">
        <v>0</v>
      </c>
      <c r="H420" s="576">
        <v>4.9000000000000004</v>
      </c>
      <c r="J420" s="571">
        <v>4.9000000000000004</v>
      </c>
      <c r="K420" s="571"/>
      <c r="L420" s="571">
        <v>0</v>
      </c>
      <c r="M420" s="571"/>
      <c r="N420" s="571">
        <v>0</v>
      </c>
      <c r="P420" s="574" t="s">
        <v>2578</v>
      </c>
      <c r="R420" s="547">
        <v>13.4</v>
      </c>
    </row>
    <row r="421" spans="1:18">
      <c r="B421" s="572">
        <v>397.1</v>
      </c>
      <c r="D421" s="580" t="s">
        <v>2579</v>
      </c>
      <c r="F421" s="575">
        <v>0</v>
      </c>
      <c r="H421" s="576">
        <v>10.84</v>
      </c>
      <c r="J421" s="571">
        <v>10.84</v>
      </c>
      <c r="K421" s="571"/>
      <c r="L421" s="571">
        <v>0</v>
      </c>
      <c r="M421" s="571"/>
      <c r="N421" s="571">
        <v>0</v>
      </c>
      <c r="P421" s="574" t="s">
        <v>1452</v>
      </c>
      <c r="R421" s="547">
        <v>5.6</v>
      </c>
    </row>
    <row r="422" spans="1:18">
      <c r="B422" s="572">
        <v>397.2</v>
      </c>
      <c r="D422" s="580" t="s">
        <v>2580</v>
      </c>
      <c r="F422" s="575">
        <v>0</v>
      </c>
      <c r="H422" s="576">
        <v>14.08</v>
      </c>
      <c r="J422" s="571">
        <v>14.08</v>
      </c>
      <c r="K422" s="571"/>
      <c r="L422" s="571">
        <v>0</v>
      </c>
      <c r="M422" s="571"/>
      <c r="N422" s="571">
        <v>0</v>
      </c>
      <c r="P422" s="574" t="s">
        <v>1452</v>
      </c>
      <c r="R422" s="547">
        <v>6.5</v>
      </c>
    </row>
    <row r="423" spans="1:18">
      <c r="A423" s="544">
        <v>397</v>
      </c>
      <c r="F423" s="616" t="s">
        <v>1900</v>
      </c>
      <c r="H423" s="576">
        <f>((1268220+2169315+827323)/(25857141.87+20009653.11+5875508.03)*100)</f>
        <v>8.2424974380745084</v>
      </c>
      <c r="P423" s="620" t="s">
        <v>2600</v>
      </c>
      <c r="R423" s="619" t="s">
        <v>2606</v>
      </c>
    </row>
  </sheetData>
  <mergeCells count="3">
    <mergeCell ref="B1:R1"/>
    <mergeCell ref="B4:R4"/>
    <mergeCell ref="B5:R5"/>
  </mergeCells>
  <printOptions horizontalCentered="1"/>
  <pageMargins left="0.2" right="0.25" top="0.5" bottom="0.75" header="0.3" footer="0.3"/>
  <pageSetup scale="58" fitToHeight="12" orientation="landscape" r:id="rId1"/>
  <headerFooter>
    <oddFooter>&amp;L&amp;D&amp;T&amp;Z&amp;F</oddFooter>
  </headerFooter>
  <rowBreaks count="8" manualBreakCount="8">
    <brk id="103" max="16383" man="1"/>
    <brk id="147" max="16383" man="1"/>
    <brk id="172" max="16383" man="1"/>
    <brk id="210" max="16383" man="1"/>
    <brk id="238" max="16383" man="1"/>
    <brk id="280" max="16383" man="1"/>
    <brk id="320" max="16383" man="1"/>
    <brk id="363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H47"/>
  <sheetViews>
    <sheetView zoomScale="85" zoomScaleNormal="85" workbookViewId="0">
      <selection activeCell="A8" sqref="A8"/>
    </sheetView>
  </sheetViews>
  <sheetFormatPr defaultColWidth="9" defaultRowHeight="12.75"/>
  <cols>
    <col min="1" max="1" width="6" style="29" customWidth="1"/>
    <col min="2" max="2" width="38.33203125" style="29" customWidth="1"/>
    <col min="3" max="3" width="15.88671875" style="29" customWidth="1"/>
    <col min="4" max="4" width="13.6640625" style="29" customWidth="1"/>
    <col min="5" max="5" width="3.77734375" style="29" customWidth="1"/>
    <col min="6" max="6" width="13.6640625" style="29" customWidth="1"/>
    <col min="7" max="7" width="1.6640625" style="29" customWidth="1"/>
    <col min="8" max="8" width="13.109375" style="29" customWidth="1"/>
    <col min="9" max="16384" width="9" style="29"/>
  </cols>
  <sheetData>
    <row r="1" spans="1:8" s="28" customFormat="1" ht="20.100000000000001" customHeight="1">
      <c r="A1" s="706" t="str">
        <f>'Rate Case Constants'!C9</f>
        <v>KENTUCKY UTILITIES COMPANY</v>
      </c>
      <c r="B1" s="706"/>
      <c r="C1" s="706"/>
      <c r="D1" s="706"/>
      <c r="E1" s="706"/>
      <c r="F1" s="706"/>
    </row>
    <row r="2" spans="1:8" s="28" customFormat="1" ht="20.100000000000001" customHeight="1">
      <c r="A2" s="706" t="str">
        <f>'Rate Case Constants'!C10</f>
        <v>CASE NO. 2016-00370</v>
      </c>
      <c r="B2" s="706"/>
      <c r="C2" s="706"/>
      <c r="D2" s="706"/>
      <c r="E2" s="706"/>
      <c r="F2" s="706"/>
    </row>
    <row r="3" spans="1:8" s="28" customFormat="1" ht="20.100000000000001" customHeight="1">
      <c r="A3" s="706" t="s">
        <v>1182</v>
      </c>
      <c r="B3" s="706"/>
      <c r="C3" s="706"/>
      <c r="D3" s="706"/>
      <c r="E3" s="706"/>
      <c r="F3" s="706"/>
    </row>
    <row r="4" spans="1:8" s="28" customFormat="1" ht="20.100000000000001" customHeight="1">
      <c r="A4" s="706" t="str">
        <f>'Rate Case Constants'!C12</f>
        <v>AS OF FEBRUARY 28, 2017</v>
      </c>
      <c r="B4" s="706"/>
      <c r="C4" s="706"/>
      <c r="D4" s="706"/>
      <c r="E4" s="706"/>
      <c r="F4" s="706"/>
    </row>
    <row r="5" spans="1:8" s="28" customFormat="1" ht="20.100000000000001" customHeight="1">
      <c r="A5" s="705" t="str">
        <f>'Rate Case Constants'!C18</f>
        <v>AS OF JUNE 30, 2018</v>
      </c>
      <c r="B5" s="706"/>
      <c r="C5" s="706"/>
      <c r="D5" s="706"/>
      <c r="E5" s="706"/>
      <c r="F5" s="706"/>
    </row>
    <row r="6" spans="1:8" s="28" customFormat="1" ht="20.100000000000001" customHeight="1">
      <c r="A6" s="44"/>
      <c r="B6" s="44"/>
      <c r="C6" s="44"/>
      <c r="D6" s="44"/>
      <c r="E6" s="44"/>
      <c r="F6" s="44"/>
    </row>
    <row r="7" spans="1:8" s="28" customFormat="1" ht="20.100000000000001" customHeight="1">
      <c r="A7" s="27" t="s">
        <v>177</v>
      </c>
      <c r="E7" s="34"/>
      <c r="F7" s="34" t="s">
        <v>1181</v>
      </c>
    </row>
    <row r="8" spans="1:8" s="28" customFormat="1" ht="20.100000000000001" customHeight="1">
      <c r="A8" s="28" t="s">
        <v>3367</v>
      </c>
      <c r="E8" s="34"/>
      <c r="F8" s="34" t="s">
        <v>179</v>
      </c>
    </row>
    <row r="9" spans="1:8" s="28" customFormat="1" ht="20.100000000000001" customHeight="1">
      <c r="A9" s="27" t="s">
        <v>1203</v>
      </c>
      <c r="E9" s="35"/>
      <c r="F9" s="35" t="str">
        <f>'Rate Case Constants'!C36</f>
        <v>WITNESS:   C. M. GARRETT</v>
      </c>
    </row>
    <row r="10" spans="1:8" s="28" customFormat="1" ht="20.100000000000001" customHeight="1"/>
    <row r="11" spans="1:8" ht="58.5" customHeight="1">
      <c r="A11" s="36" t="s">
        <v>134</v>
      </c>
      <c r="B11" s="39" t="s">
        <v>1183</v>
      </c>
      <c r="C11" s="36" t="s">
        <v>1184</v>
      </c>
      <c r="D11" s="36" t="s">
        <v>1185</v>
      </c>
      <c r="E11" s="36"/>
      <c r="F11" s="36" t="s">
        <v>1186</v>
      </c>
    </row>
    <row r="12" spans="1:8" ht="23.1" customHeight="1">
      <c r="A12" s="40"/>
      <c r="B12" s="41"/>
      <c r="C12" s="41"/>
      <c r="D12" s="42" t="s">
        <v>145</v>
      </c>
      <c r="E12" s="42"/>
      <c r="F12" s="42" t="s">
        <v>145</v>
      </c>
    </row>
    <row r="13" spans="1:8" ht="23.1" customHeight="1">
      <c r="A13" s="33"/>
      <c r="B13" s="38" t="s">
        <v>1178</v>
      </c>
      <c r="C13" s="31"/>
      <c r="D13" s="60"/>
      <c r="E13" s="60"/>
      <c r="F13" s="60"/>
    </row>
    <row r="14" spans="1:8" ht="18.95" customHeight="1">
      <c r="A14" s="30">
        <v>1</v>
      </c>
      <c r="B14" s="38" t="s">
        <v>15</v>
      </c>
      <c r="C14" s="31" t="s">
        <v>1191</v>
      </c>
      <c r="D14" s="51">
        <f>'SCH B-2'!G27</f>
        <v>6763836329.1472015</v>
      </c>
      <c r="E14" s="51"/>
      <c r="F14" s="51">
        <f>'SCH B-2'!G55</f>
        <v>6970368267.9741955</v>
      </c>
    </row>
    <row r="15" spans="1:8" ht="18.95" customHeight="1">
      <c r="A15" s="30">
        <v>2</v>
      </c>
      <c r="B15" s="38" t="s">
        <v>1190</v>
      </c>
      <c r="C15" s="31" t="s">
        <v>1192</v>
      </c>
      <c r="D15" s="51">
        <f>SUM('SCH B-2.6'!G13:G15)</f>
        <v>384971.08674773236</v>
      </c>
      <c r="E15" s="51"/>
      <c r="F15" s="53">
        <f>SUM('SCH B-2.6'!G29:G31)</f>
        <v>384971.08674773236</v>
      </c>
      <c r="H15" s="58"/>
    </row>
    <row r="16" spans="1:8" ht="18.95" customHeight="1">
      <c r="A16" s="30">
        <v>3</v>
      </c>
      <c r="B16" s="38" t="s">
        <v>1187</v>
      </c>
      <c r="C16" s="31" t="s">
        <v>1193</v>
      </c>
      <c r="D16" s="96">
        <f>'SCH B-3 B'!$I116</f>
        <v>-2573686914.4091501</v>
      </c>
      <c r="E16" s="51"/>
      <c r="F16" s="96">
        <f>'SCH B-3 F'!$I116</f>
        <v>-2699542764.4517398</v>
      </c>
    </row>
    <row r="17" spans="1:8" ht="18.95" customHeight="1">
      <c r="A17" s="30">
        <v>4</v>
      </c>
      <c r="B17" s="38" t="s">
        <v>1214</v>
      </c>
      <c r="C17" s="31"/>
      <c r="D17" s="51">
        <f>SUM(D14:D16)</f>
        <v>4190534385.8247995</v>
      </c>
      <c r="E17" s="51"/>
      <c r="F17" s="51">
        <f>SUM(F14:F16)</f>
        <v>4271210474.6092038</v>
      </c>
    </row>
    <row r="18" spans="1:8" ht="18.95" customHeight="1">
      <c r="A18" s="30">
        <v>5</v>
      </c>
      <c r="B18" s="38" t="s">
        <v>1188</v>
      </c>
      <c r="C18" s="31" t="s">
        <v>1195</v>
      </c>
      <c r="D18" s="96">
        <f>'SCH B-4'!J22</f>
        <v>69767635.860117227</v>
      </c>
      <c r="E18" s="51"/>
      <c r="F18" s="54">
        <f>'SCH B-4'!J47</f>
        <v>118703941.05026916</v>
      </c>
      <c r="H18" s="58"/>
    </row>
    <row r="19" spans="1:8" ht="18.95" customHeight="1">
      <c r="A19" s="30">
        <v>6</v>
      </c>
      <c r="B19" s="38" t="s">
        <v>1215</v>
      </c>
      <c r="C19" s="31"/>
      <c r="D19" s="51">
        <f>SUM(D17:D18)</f>
        <v>4260302021.684917</v>
      </c>
      <c r="E19" s="51"/>
      <c r="F19" s="51">
        <f>SUM(F17:F18)</f>
        <v>4389914415.6594734</v>
      </c>
    </row>
    <row r="20" spans="1:8" ht="8.25" customHeight="1">
      <c r="A20" s="30"/>
      <c r="B20" s="38"/>
      <c r="C20" s="31"/>
      <c r="D20" s="51"/>
      <c r="E20" s="51"/>
      <c r="F20" s="53"/>
    </row>
    <row r="21" spans="1:8" ht="18.95" customHeight="1">
      <c r="A21" s="30">
        <v>7</v>
      </c>
      <c r="B21" s="38" t="s">
        <v>1189</v>
      </c>
      <c r="C21" s="31" t="s">
        <v>1194</v>
      </c>
      <c r="D21" s="51">
        <f ca="1">'SCH B-5'!G21</f>
        <v>101002227.49863997</v>
      </c>
      <c r="E21" s="51"/>
      <c r="F21" s="51">
        <f>'SCH B-5'!G47</f>
        <v>106348560.03969355</v>
      </c>
    </row>
    <row r="22" spans="1:8" ht="18.95" customHeight="1">
      <c r="A22" s="30">
        <v>8</v>
      </c>
      <c r="B22" s="38" t="s">
        <v>1196</v>
      </c>
      <c r="C22" s="31" t="s">
        <v>1194</v>
      </c>
      <c r="D22" s="51">
        <f>'SCH B-5'!G13+'SCH B-5'!G15+'SCH B-5'!G17+'SCH B-5'!G19</f>
        <v>150181362.37122077</v>
      </c>
      <c r="E22" s="51"/>
      <c r="F22" s="51">
        <f>SUM('SCH B-5'!G39:G45)</f>
        <v>135979597.64236894</v>
      </c>
    </row>
    <row r="23" spans="1:8" ht="18.95" customHeight="1">
      <c r="A23" s="30">
        <v>9</v>
      </c>
      <c r="B23" s="38" t="s">
        <v>1197</v>
      </c>
      <c r="C23" s="31" t="s">
        <v>1198</v>
      </c>
      <c r="D23" s="51">
        <f>-'SCH B-6'!H12</f>
        <v>-1549703.6162990495</v>
      </c>
      <c r="E23" s="51"/>
      <c r="F23" s="51">
        <f>-'SCH B-6'!H34</f>
        <v>-1549703.6162990497</v>
      </c>
    </row>
    <row r="24" spans="1:8" ht="18.95" customHeight="1">
      <c r="A24" s="30">
        <v>10</v>
      </c>
      <c r="B24" s="38" t="s">
        <v>1199</v>
      </c>
      <c r="C24" s="31" t="s">
        <v>1198</v>
      </c>
      <c r="D24" s="51">
        <f>-'SCH B-6'!H16</f>
        <v>-819583394.08627367</v>
      </c>
      <c r="E24" s="51"/>
      <c r="F24" s="51">
        <f>-'SCH B-6'!H38</f>
        <v>-902233207.18106508</v>
      </c>
    </row>
    <row r="25" spans="1:8" ht="18.95" customHeight="1">
      <c r="A25" s="30">
        <v>11</v>
      </c>
      <c r="B25" s="38" t="s">
        <v>1200</v>
      </c>
      <c r="C25" s="31" t="s">
        <v>1198</v>
      </c>
      <c r="D25" s="51">
        <f>-'SCH B-6'!H14</f>
        <v>-82538337.052132368</v>
      </c>
      <c r="E25" s="51"/>
      <c r="F25" s="51">
        <f>-'SCH B-6'!H36</f>
        <v>-81185411.398252815</v>
      </c>
    </row>
    <row r="26" spans="1:8" ht="18.95" customHeight="1">
      <c r="A26" s="30">
        <v>12</v>
      </c>
      <c r="B26" s="38" t="s">
        <v>1201</v>
      </c>
      <c r="C26" s="31" t="s">
        <v>1198</v>
      </c>
      <c r="D26" s="96">
        <f>-'SCH B-6'!H18</f>
        <v>0</v>
      </c>
      <c r="E26" s="51"/>
      <c r="F26" s="96">
        <f>-'SCH B-6'!H40</f>
        <v>0</v>
      </c>
    </row>
    <row r="27" spans="1:8" ht="18.95" customHeight="1">
      <c r="A27" s="30"/>
      <c r="B27" s="38"/>
      <c r="C27" s="31"/>
      <c r="D27" s="51"/>
      <c r="E27" s="51"/>
      <c r="F27" s="53"/>
    </row>
    <row r="28" spans="1:8" ht="18.95" customHeight="1" thickBot="1">
      <c r="A28" s="30">
        <v>13</v>
      </c>
      <c r="B28" s="38" t="s">
        <v>1202</v>
      </c>
      <c r="C28" s="31"/>
      <c r="D28" s="59">
        <f ca="1">SUM(D19:D26)</f>
        <v>3607814176.8000727</v>
      </c>
      <c r="E28" s="51"/>
      <c r="F28" s="59">
        <f>SUM(F19:F26)</f>
        <v>3647274251.1459198</v>
      </c>
    </row>
    <row r="29" spans="1:8" ht="18.95" customHeight="1" thickTop="1">
      <c r="A29" s="30"/>
      <c r="B29" s="38"/>
      <c r="C29" s="31"/>
      <c r="D29" s="51"/>
      <c r="E29" s="51"/>
      <c r="F29" s="53"/>
    </row>
    <row r="30" spans="1:8" ht="18.95" customHeight="1">
      <c r="A30" s="30"/>
      <c r="B30" s="38"/>
      <c r="C30" s="31"/>
      <c r="D30" s="51"/>
      <c r="E30" s="51"/>
      <c r="F30" s="53"/>
    </row>
    <row r="31" spans="1:8" ht="18.95" customHeight="1">
      <c r="A31" s="30"/>
      <c r="B31" s="38"/>
      <c r="C31" s="31"/>
      <c r="D31" s="51"/>
      <c r="E31" s="51"/>
      <c r="F31" s="51"/>
    </row>
    <row r="32" spans="1:8" ht="18.95" customHeight="1">
      <c r="A32" s="30"/>
      <c r="B32" s="38"/>
      <c r="C32" s="31"/>
      <c r="D32" s="51"/>
      <c r="E32" s="51"/>
      <c r="F32" s="53"/>
    </row>
    <row r="33" spans="1:6" ht="18.95" customHeight="1">
      <c r="A33" s="30"/>
      <c r="B33" s="38"/>
      <c r="C33" s="31"/>
      <c r="D33" s="51"/>
      <c r="E33" s="51"/>
      <c r="F33" s="53"/>
    </row>
    <row r="34" spans="1:6" ht="18.95" customHeight="1">
      <c r="A34" s="30"/>
      <c r="B34" s="38"/>
      <c r="C34" s="31"/>
      <c r="D34" s="51"/>
      <c r="E34" s="51"/>
      <c r="F34" s="53"/>
    </row>
    <row r="35" spans="1:6" ht="18.95" customHeight="1">
      <c r="A35" s="30"/>
      <c r="B35" s="38"/>
      <c r="C35" s="31"/>
      <c r="D35" s="51"/>
      <c r="E35" s="51"/>
      <c r="F35" s="53"/>
    </row>
    <row r="36" spans="1:6" ht="18.95" customHeight="1">
      <c r="A36" s="30"/>
      <c r="B36" s="38"/>
      <c r="C36" s="31"/>
      <c r="D36" s="51"/>
      <c r="E36" s="51"/>
      <c r="F36" s="53"/>
    </row>
    <row r="37" spans="1:6" ht="18.95" customHeight="1">
      <c r="A37" s="30"/>
      <c r="B37" s="38"/>
      <c r="C37" s="31"/>
      <c r="D37" s="51"/>
      <c r="E37" s="51"/>
      <c r="F37" s="53"/>
    </row>
    <row r="38" spans="1:6" ht="18.95" customHeight="1">
      <c r="A38" s="30"/>
      <c r="B38" s="38"/>
      <c r="C38" s="31"/>
      <c r="D38" s="51"/>
      <c r="E38" s="51"/>
      <c r="F38" s="53"/>
    </row>
    <row r="39" spans="1:6" ht="18.95" customHeight="1">
      <c r="A39" s="30"/>
      <c r="B39" s="38"/>
      <c r="C39" s="31"/>
      <c r="D39" s="51"/>
      <c r="E39" s="51"/>
      <c r="F39" s="53"/>
    </row>
    <row r="40" spans="1:6" ht="18.95" customHeight="1">
      <c r="A40" s="30"/>
      <c r="B40" s="38"/>
      <c r="C40" s="31"/>
      <c r="D40" s="51"/>
      <c r="E40" s="51"/>
      <c r="F40" s="53"/>
    </row>
    <row r="41" spans="1:6" ht="18.95" customHeight="1">
      <c r="A41" s="30"/>
      <c r="B41" s="38"/>
      <c r="C41" s="31"/>
      <c r="D41" s="51"/>
      <c r="E41" s="51"/>
      <c r="F41" s="53"/>
    </row>
    <row r="42" spans="1:6" ht="18.95" customHeight="1">
      <c r="A42" s="30"/>
      <c r="B42" s="38"/>
      <c r="C42" s="31"/>
      <c r="D42" s="51"/>
      <c r="E42" s="51"/>
      <c r="F42" s="53"/>
    </row>
    <row r="43" spans="1:6" ht="18.95" customHeight="1">
      <c r="A43" s="30"/>
      <c r="B43" s="38"/>
      <c r="C43" s="31"/>
      <c r="D43" s="51"/>
      <c r="E43" s="51"/>
      <c r="F43" s="53"/>
    </row>
    <row r="44" spans="1:6" ht="18.95" customHeight="1">
      <c r="A44" s="30"/>
      <c r="B44" s="38"/>
      <c r="C44" s="31"/>
      <c r="D44" s="51"/>
      <c r="E44" s="51"/>
      <c r="F44" s="53"/>
    </row>
    <row r="45" spans="1:6" ht="18.95" customHeight="1">
      <c r="A45" s="30"/>
      <c r="B45" s="38"/>
      <c r="C45" s="31"/>
      <c r="D45" s="51"/>
      <c r="E45" s="51"/>
      <c r="F45" s="53"/>
    </row>
    <row r="46" spans="1:6" ht="18.95" customHeight="1">
      <c r="A46" s="30"/>
      <c r="B46" s="38"/>
      <c r="C46" s="31"/>
      <c r="D46" s="51"/>
      <c r="E46" s="51"/>
      <c r="F46" s="53"/>
    </row>
    <row r="47" spans="1:6" ht="18.95" customHeight="1">
      <c r="A47" s="30"/>
      <c r="B47" s="38"/>
      <c r="C47" s="31"/>
      <c r="D47" s="51"/>
      <c r="E47" s="51"/>
      <c r="F47" s="53"/>
    </row>
  </sheetData>
  <mergeCells count="5">
    <mergeCell ref="A5:F5"/>
    <mergeCell ref="A1:F1"/>
    <mergeCell ref="A2:F2"/>
    <mergeCell ref="A3:F3"/>
    <mergeCell ref="A4:F4"/>
  </mergeCells>
  <pageMargins left="0.95" right="0.5" top="0.75" bottom="0.75" header="0.3" footer="0.3"/>
  <pageSetup scale="90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G58"/>
  <sheetViews>
    <sheetView zoomScaleNormal="100" workbookViewId="0">
      <selection sqref="A1:G1"/>
    </sheetView>
  </sheetViews>
  <sheetFormatPr defaultColWidth="9" defaultRowHeight="12.75"/>
  <cols>
    <col min="1" max="1" width="6" style="29" customWidth="1"/>
    <col min="2" max="2" width="38.33203125" style="29" customWidth="1"/>
    <col min="3" max="4" width="13.6640625" style="29" customWidth="1"/>
    <col min="5" max="5" width="15" style="29" customWidth="1"/>
    <col min="6" max="7" width="13.6640625" style="29" customWidth="1"/>
    <col min="8" max="8" width="1.6640625" style="29" customWidth="1"/>
    <col min="9" max="16384" width="9" style="29"/>
  </cols>
  <sheetData>
    <row r="1" spans="1:7" s="28" customFormat="1" ht="20.100000000000001" customHeight="1">
      <c r="A1" s="706" t="str">
        <f>'Rate Case Constants'!C9</f>
        <v>KENTUCKY UTILITIES COMPANY</v>
      </c>
      <c r="B1" s="706"/>
      <c r="C1" s="706"/>
      <c r="D1" s="706"/>
      <c r="E1" s="706"/>
      <c r="F1" s="706"/>
      <c r="G1" s="706"/>
    </row>
    <row r="2" spans="1:7" s="28" customFormat="1" ht="20.100000000000001" customHeight="1">
      <c r="A2" s="706" t="str">
        <f>'Rate Case Constants'!C10</f>
        <v>CASE NO. 2016-00370</v>
      </c>
      <c r="B2" s="706"/>
      <c r="C2" s="706"/>
      <c r="D2" s="706"/>
      <c r="E2" s="706"/>
      <c r="F2" s="706"/>
      <c r="G2" s="706"/>
    </row>
    <row r="3" spans="1:7" s="28" customFormat="1" ht="20.100000000000001" customHeight="1">
      <c r="A3" s="706" t="s">
        <v>1170</v>
      </c>
      <c r="B3" s="706"/>
      <c r="C3" s="706"/>
      <c r="D3" s="706"/>
      <c r="E3" s="706"/>
      <c r="F3" s="706"/>
      <c r="G3" s="706"/>
    </row>
    <row r="4" spans="1:7" s="28" customFormat="1" ht="20.100000000000001" customHeight="1">
      <c r="A4" s="706" t="str">
        <f>'Rate Case Constants'!C12</f>
        <v>AS OF FEBRUARY 28, 2017</v>
      </c>
      <c r="B4" s="706"/>
      <c r="C4" s="706"/>
      <c r="D4" s="706"/>
      <c r="E4" s="706"/>
      <c r="F4" s="706"/>
      <c r="G4" s="706"/>
    </row>
    <row r="5" spans="1:7" s="28" customFormat="1" ht="20.100000000000001" customHeight="1">
      <c r="A5" s="44"/>
      <c r="B5" s="44"/>
      <c r="C5" s="44"/>
      <c r="D5" s="44"/>
      <c r="E5" s="44"/>
      <c r="F5" s="44"/>
      <c r="G5" s="44"/>
    </row>
    <row r="6" spans="1:7" s="28" customFormat="1" ht="20.100000000000001" customHeight="1">
      <c r="A6" s="27" t="s">
        <v>136</v>
      </c>
      <c r="F6" s="34"/>
      <c r="G6" s="34" t="s">
        <v>1169</v>
      </c>
    </row>
    <row r="7" spans="1:7" s="28" customFormat="1" ht="20.100000000000001" customHeight="1">
      <c r="A7" s="28" t="str">
        <f>'Rate Case Constants'!C29</f>
        <v>TYPE OF FILING: __X__ ORIGINAL  _____ UPDATED  _____ REVISED</v>
      </c>
      <c r="F7" s="34"/>
      <c r="G7" s="34" t="s">
        <v>180</v>
      </c>
    </row>
    <row r="8" spans="1:7" s="28" customFormat="1" ht="20.100000000000001" customHeight="1">
      <c r="A8" s="27" t="s">
        <v>1204</v>
      </c>
      <c r="E8" s="27"/>
      <c r="F8" s="35"/>
      <c r="G8" s="35" t="str">
        <f>'Rate Case Constants'!C36</f>
        <v>WITNESS:   C. M. GARRETT</v>
      </c>
    </row>
    <row r="9" spans="1:7" s="28" customFormat="1" ht="20.100000000000001" customHeight="1"/>
    <row r="10" spans="1:7" ht="58.5" customHeight="1">
      <c r="A10" s="36" t="s">
        <v>134</v>
      </c>
      <c r="B10" s="39" t="s">
        <v>1171</v>
      </c>
      <c r="C10" s="36" t="s">
        <v>226</v>
      </c>
      <c r="D10" s="36" t="s">
        <v>227</v>
      </c>
      <c r="E10" s="36" t="s">
        <v>228</v>
      </c>
      <c r="F10" s="36" t="s">
        <v>229</v>
      </c>
      <c r="G10" s="36" t="s">
        <v>230</v>
      </c>
    </row>
    <row r="11" spans="1:7" ht="23.1" customHeight="1">
      <c r="A11" s="40"/>
      <c r="B11" s="41"/>
      <c r="C11" s="42" t="s">
        <v>145</v>
      </c>
      <c r="D11" s="42"/>
      <c r="E11" s="42" t="s">
        <v>145</v>
      </c>
      <c r="F11" s="42" t="s">
        <v>145</v>
      </c>
      <c r="G11" s="42" t="s">
        <v>145</v>
      </c>
    </row>
    <row r="12" spans="1:7" ht="23.1" customHeight="1">
      <c r="A12" s="33"/>
      <c r="B12" s="38" t="s">
        <v>1178</v>
      </c>
      <c r="C12" s="60"/>
      <c r="D12" s="60"/>
      <c r="E12" s="60"/>
      <c r="F12" s="60"/>
      <c r="G12" s="60"/>
    </row>
    <row r="13" spans="1:7" ht="18.95" customHeight="1">
      <c r="A13" s="30">
        <v>1</v>
      </c>
      <c r="B13" s="38" t="s">
        <v>297</v>
      </c>
      <c r="C13" s="51">
        <f>'SCH B-2.1 B'!D16</f>
        <v>101357786.16999997</v>
      </c>
      <c r="D13" s="95">
        <f>E13/C13</f>
        <v>0.88734066161488478</v>
      </c>
      <c r="E13" s="51">
        <f>'SCH B-2.1 B'!F16</f>
        <v>89938885.039907798</v>
      </c>
      <c r="F13" s="51">
        <f>'SCH B-2.1 B'!G16</f>
        <v>0</v>
      </c>
      <c r="G13" s="53">
        <f t="shared" ref="G13" si="0">SUM(E13:F13)</f>
        <v>89938885.039907798</v>
      </c>
    </row>
    <row r="14" spans="1:7" ht="18.95" customHeight="1">
      <c r="A14" s="30"/>
      <c r="B14" s="38"/>
      <c r="C14" s="51"/>
      <c r="D14" s="95"/>
      <c r="E14" s="51"/>
      <c r="F14" s="51"/>
      <c r="G14" s="51"/>
    </row>
    <row r="15" spans="1:7" ht="18.95" customHeight="1">
      <c r="A15" s="30">
        <v>2</v>
      </c>
      <c r="B15" s="38" t="s">
        <v>1172</v>
      </c>
      <c r="C15" s="51">
        <f>'SCH B-2.1 B'!D27</f>
        <v>5273396929.3499994</v>
      </c>
      <c r="D15" s="95">
        <f>E15/C15</f>
        <v>0.869286598639887</v>
      </c>
      <c r="E15" s="51">
        <f>'SCH B-2.1 B'!F27</f>
        <v>4584093279.9926853</v>
      </c>
      <c r="F15" s="51">
        <f>'SCH B-2.1 B'!G27</f>
        <v>-1459970125.2298918</v>
      </c>
      <c r="G15" s="53">
        <f t="shared" ref="G15" si="1">SUM(E15:F15)</f>
        <v>3124123154.7627935</v>
      </c>
    </row>
    <row r="16" spans="1:7" ht="18.95" customHeight="1">
      <c r="A16" s="30"/>
      <c r="B16" s="38"/>
      <c r="C16" s="51"/>
      <c r="D16" s="51"/>
      <c r="E16" s="51"/>
      <c r="F16" s="51"/>
      <c r="G16" s="51"/>
    </row>
    <row r="17" spans="1:7" ht="18.95" customHeight="1">
      <c r="A17" s="30">
        <v>3</v>
      </c>
      <c r="B17" s="38" t="s">
        <v>1174</v>
      </c>
      <c r="C17" s="51">
        <f>'SCH B-2.1 B'!D38</f>
        <v>41930214.549999997</v>
      </c>
      <c r="D17" s="95">
        <f>E17/C17</f>
        <v>0.87356001111183335</v>
      </c>
      <c r="E17" s="51">
        <f>'SCH B-2.1 B'!F38</f>
        <v>36628558.688219555</v>
      </c>
      <c r="F17" s="51">
        <f>'SCH B-2.1 B'!G38</f>
        <v>-240234.93246930835</v>
      </c>
      <c r="G17" s="53">
        <f t="shared" ref="G17" si="2">SUM(E17:F17)</f>
        <v>36388323.755750246</v>
      </c>
    </row>
    <row r="18" spans="1:7" ht="18.95" customHeight="1">
      <c r="A18" s="30"/>
      <c r="B18" s="38"/>
      <c r="C18" s="51"/>
      <c r="D18" s="51"/>
      <c r="E18" s="51"/>
      <c r="F18" s="51"/>
      <c r="G18" s="51"/>
    </row>
    <row r="19" spans="1:7" ht="18.95" customHeight="1">
      <c r="A19" s="30">
        <v>4</v>
      </c>
      <c r="B19" s="38" t="s">
        <v>1175</v>
      </c>
      <c r="C19" s="51">
        <f>'SCH B-2.1 B'!D60</f>
        <v>1002155515.2199979</v>
      </c>
      <c r="D19" s="95">
        <f>E19/C19</f>
        <v>0.87398571135794578</v>
      </c>
      <c r="E19" s="51">
        <f>'SCH B-2.1 B'!F60</f>
        <v>875869600.86083853</v>
      </c>
      <c r="F19" s="51">
        <f>'SCH B-2.1 B'!G60</f>
        <v>-353239.58103485423</v>
      </c>
      <c r="G19" s="53">
        <f t="shared" ref="G19" si="3">SUM(E19:F19)</f>
        <v>875516361.27980363</v>
      </c>
    </row>
    <row r="20" spans="1:7" ht="18.95" customHeight="1">
      <c r="A20" s="30"/>
      <c r="B20" s="38"/>
      <c r="C20" s="51"/>
      <c r="D20" s="51"/>
      <c r="E20" s="51"/>
      <c r="F20" s="51"/>
      <c r="G20" s="51"/>
    </row>
    <row r="21" spans="1:7" ht="18.95" customHeight="1">
      <c r="A21" s="30">
        <v>5</v>
      </c>
      <c r="B21" s="38" t="s">
        <v>248</v>
      </c>
      <c r="C21" s="51">
        <f>'SCH B-2.1 B'!D72</f>
        <v>906259751.26999891</v>
      </c>
      <c r="D21" s="95">
        <f>E21/C21</f>
        <v>0.89382614174875108</v>
      </c>
      <c r="E21" s="51">
        <f>'SCH B-2.1 B'!F72</f>
        <v>810038656.89984596</v>
      </c>
      <c r="F21" s="51">
        <f>'SCH B-2.1 B'!G72</f>
        <v>-395186.27355328837</v>
      </c>
      <c r="G21" s="53">
        <f t="shared" ref="G21" si="4">SUM(E21:F21)</f>
        <v>809643470.62629271</v>
      </c>
    </row>
    <row r="22" spans="1:7" ht="18.95" customHeight="1">
      <c r="A22" s="30"/>
      <c r="B22" s="38"/>
      <c r="C22" s="51"/>
      <c r="D22" s="51"/>
      <c r="E22" s="51"/>
      <c r="F22" s="51"/>
      <c r="G22" s="51"/>
    </row>
    <row r="23" spans="1:7" ht="18.95" customHeight="1">
      <c r="A23" s="30">
        <v>6</v>
      </c>
      <c r="B23" s="38" t="s">
        <v>1176</v>
      </c>
      <c r="C23" s="51">
        <f>'SCH B-2.1 B'!D88</f>
        <v>1766868470.6999996</v>
      </c>
      <c r="D23" s="95">
        <f>E23/C23</f>
        <v>0.94349809834238596</v>
      </c>
      <c r="E23" s="51">
        <f>'SCH B-2.1 B'!F88</f>
        <v>1667037042.1265693</v>
      </c>
      <c r="F23" s="51">
        <f>'SCH B-2.1 B'!G88</f>
        <v>-2412723.5140334545</v>
      </c>
      <c r="G23" s="53">
        <f t="shared" ref="G23" si="5">SUM(E23:F23)</f>
        <v>1664624318.6125357</v>
      </c>
    </row>
    <row r="24" spans="1:7" ht="18.95" customHeight="1">
      <c r="A24" s="30"/>
      <c r="B24" s="38"/>
      <c r="C24" s="51"/>
      <c r="D24" s="51"/>
      <c r="E24" s="51"/>
      <c r="F24" s="51"/>
      <c r="G24" s="51"/>
    </row>
    <row r="25" spans="1:7" ht="18.95" customHeight="1">
      <c r="A25" s="30">
        <v>7</v>
      </c>
      <c r="B25" s="38" t="s">
        <v>1177</v>
      </c>
      <c r="C25" s="96">
        <f>'SCH B-2.1 B'!D111</f>
        <v>190670994.46999997</v>
      </c>
      <c r="D25" s="95">
        <f>E25/C25</f>
        <v>0.90713801513087122</v>
      </c>
      <c r="E25" s="96">
        <f>'SCH B-2.1 B'!F111</f>
        <v>172964907.4665451</v>
      </c>
      <c r="F25" s="96">
        <f>'SCH B-2.1 B'!G111</f>
        <v>-9363092.3964272626</v>
      </c>
      <c r="G25" s="54">
        <f t="shared" ref="G25" si="6">SUM(E25:F25)</f>
        <v>163601815.07011783</v>
      </c>
    </row>
    <row r="26" spans="1:7" ht="18.95" customHeight="1">
      <c r="A26" s="30"/>
      <c r="B26" s="38"/>
      <c r="C26" s="51"/>
      <c r="D26" s="51"/>
      <c r="E26" s="51"/>
      <c r="F26" s="51"/>
      <c r="G26" s="51"/>
    </row>
    <row r="27" spans="1:7" ht="18.95" customHeight="1" thickBot="1">
      <c r="A27" s="30">
        <v>8</v>
      </c>
      <c r="B27" s="38" t="s">
        <v>1180</v>
      </c>
      <c r="C27" s="59">
        <f>SUM(C13:C25)</f>
        <v>9282639661.7299938</v>
      </c>
      <c r="D27" s="51"/>
      <c r="E27" s="59">
        <f t="shared" ref="E27:G27" si="7">SUM(E13:E25)</f>
        <v>8236570931.0746117</v>
      </c>
      <c r="F27" s="59">
        <f t="shared" si="7"/>
        <v>-1472734601.9274101</v>
      </c>
      <c r="G27" s="59">
        <f t="shared" si="7"/>
        <v>6763836329.1472015</v>
      </c>
    </row>
    <row r="28" spans="1:7" ht="18.95" customHeight="1" thickTop="1">
      <c r="A28" s="30"/>
      <c r="B28" s="38"/>
      <c r="C28" s="51"/>
      <c r="D28" s="51"/>
      <c r="E28" s="51"/>
      <c r="F28" s="51"/>
      <c r="G28" s="51"/>
    </row>
    <row r="29" spans="1:7" s="28" customFormat="1" ht="20.100000000000001" customHeight="1">
      <c r="A29" s="706" t="str">
        <f>$A$1</f>
        <v>KENTUCKY UTILITIES COMPANY</v>
      </c>
      <c r="B29" s="706"/>
      <c r="C29" s="706"/>
      <c r="D29" s="706"/>
      <c r="E29" s="706"/>
      <c r="F29" s="706"/>
      <c r="G29" s="706"/>
    </row>
    <row r="30" spans="1:7" s="28" customFormat="1" ht="20.100000000000001" customHeight="1">
      <c r="A30" s="706" t="str">
        <f>$A$2</f>
        <v>CASE NO. 2016-00370</v>
      </c>
      <c r="B30" s="706"/>
      <c r="C30" s="706"/>
      <c r="D30" s="706"/>
      <c r="E30" s="706"/>
      <c r="F30" s="706"/>
      <c r="G30" s="706"/>
    </row>
    <row r="31" spans="1:7" s="28" customFormat="1" ht="20.100000000000001" customHeight="1">
      <c r="A31" s="706" t="str">
        <f>$A$3</f>
        <v>PLANT IN SERVICE BY MAJOR PROPERTY GROUPING</v>
      </c>
      <c r="B31" s="706"/>
      <c r="C31" s="706"/>
      <c r="D31" s="706"/>
      <c r="E31" s="706"/>
      <c r="F31" s="706"/>
      <c r="G31" s="706"/>
    </row>
    <row r="32" spans="1:7" s="28" customFormat="1" ht="20.100000000000001" customHeight="1">
      <c r="A32" s="705" t="str">
        <f>'Rate Case Constants'!C18</f>
        <v>AS OF JUNE 30, 2018</v>
      </c>
      <c r="B32" s="706"/>
      <c r="C32" s="706"/>
      <c r="D32" s="706"/>
      <c r="E32" s="706"/>
      <c r="F32" s="706"/>
      <c r="G32" s="706"/>
    </row>
    <row r="33" spans="1:7" s="28" customFormat="1" ht="20.100000000000001" customHeight="1">
      <c r="A33" s="44"/>
      <c r="B33" s="44"/>
      <c r="C33" s="44"/>
      <c r="D33" s="44"/>
      <c r="E33" s="44"/>
      <c r="F33" s="44"/>
      <c r="G33" s="44"/>
    </row>
    <row r="34" spans="1:7" s="28" customFormat="1" ht="20.100000000000001" customHeight="1">
      <c r="A34" s="27" t="s">
        <v>164</v>
      </c>
      <c r="F34" s="34"/>
      <c r="G34" s="34" t="s">
        <v>1169</v>
      </c>
    </row>
    <row r="35" spans="1:7" s="28" customFormat="1" ht="20.100000000000001" customHeight="1">
      <c r="A35" s="27" t="str">
        <f>$A$7</f>
        <v>TYPE OF FILING: __X__ ORIGINAL  _____ UPDATED  _____ REVISED</v>
      </c>
      <c r="F35" s="34"/>
      <c r="G35" s="34" t="s">
        <v>188</v>
      </c>
    </row>
    <row r="36" spans="1:7" s="28" customFormat="1" ht="20.100000000000001" customHeight="1">
      <c r="A36" s="27" t="str">
        <f>$A$8</f>
        <v>WORKPAPER REFERENCE NO(S).:</v>
      </c>
      <c r="E36" s="27"/>
      <c r="F36" s="35"/>
      <c r="G36" s="35" t="str">
        <f>$G$8</f>
        <v>WITNESS:   C. M. GARRETT</v>
      </c>
    </row>
    <row r="37" spans="1:7" s="28" customFormat="1" ht="20.100000000000001" customHeight="1"/>
    <row r="38" spans="1:7" ht="84.95" customHeight="1">
      <c r="A38" s="36" t="s">
        <v>134</v>
      </c>
      <c r="B38" s="39" t="s">
        <v>225</v>
      </c>
      <c r="C38" s="36" t="s">
        <v>1173</v>
      </c>
      <c r="D38" s="36" t="s">
        <v>227</v>
      </c>
      <c r="E38" s="36" t="s">
        <v>228</v>
      </c>
      <c r="F38" s="36" t="s">
        <v>229</v>
      </c>
      <c r="G38" s="36" t="s">
        <v>1179</v>
      </c>
    </row>
    <row r="39" spans="1:7" ht="23.1" customHeight="1">
      <c r="A39" s="40"/>
      <c r="B39" s="41"/>
      <c r="C39" s="42" t="s">
        <v>145</v>
      </c>
      <c r="D39" s="42"/>
      <c r="E39" s="42" t="s">
        <v>145</v>
      </c>
      <c r="F39" s="42" t="s">
        <v>145</v>
      </c>
      <c r="G39" s="42" t="s">
        <v>145</v>
      </c>
    </row>
    <row r="40" spans="1:7" ht="23.1" customHeight="1">
      <c r="A40" s="33"/>
      <c r="B40" s="97" t="s">
        <v>1178</v>
      </c>
      <c r="C40" s="60"/>
      <c r="D40" s="60"/>
      <c r="E40" s="60"/>
      <c r="F40" s="60"/>
      <c r="G40" s="60"/>
    </row>
    <row r="41" spans="1:7" ht="18.95" customHeight="1">
      <c r="A41" s="30">
        <v>1</v>
      </c>
      <c r="B41" s="38" t="s">
        <v>297</v>
      </c>
      <c r="C41" s="51">
        <f>'SCH B-2.1 F'!D16</f>
        <v>116023292.96923071</v>
      </c>
      <c r="D41" s="95">
        <f>E41/C41</f>
        <v>0.88842036999661378</v>
      </c>
      <c r="E41" s="51">
        <f>'SCH B-2.1 F'!F16</f>
        <v>103077456.86794947</v>
      </c>
      <c r="F41" s="51">
        <f>'SCH B-2.1 F'!G16</f>
        <v>0</v>
      </c>
      <c r="G41" s="53">
        <f t="shared" ref="G41" si="8">SUM(E41:F41)</f>
        <v>103077456.86794947</v>
      </c>
    </row>
    <row r="42" spans="1:7" ht="18.95" customHeight="1">
      <c r="A42" s="30"/>
      <c r="B42" s="38"/>
      <c r="C42" s="51"/>
      <c r="D42" s="95"/>
      <c r="E42" s="51"/>
      <c r="F42" s="51"/>
      <c r="G42" s="51"/>
    </row>
    <row r="43" spans="1:7" ht="18.95" customHeight="1">
      <c r="A43" s="30">
        <v>2</v>
      </c>
      <c r="B43" s="38" t="s">
        <v>1172</v>
      </c>
      <c r="C43" s="51">
        <f>'SCH B-2.1 F'!D27</f>
        <v>5318250786.5476913</v>
      </c>
      <c r="D43" s="95">
        <f>E43/C43</f>
        <v>0.8693413405286462</v>
      </c>
      <c r="E43" s="51">
        <f>'SCH B-2.1 F'!F27</f>
        <v>4623375268.0448971</v>
      </c>
      <c r="F43" s="51">
        <f>'SCH B-2.1 F'!G27</f>
        <v>-1478168842.8345995</v>
      </c>
      <c r="G43" s="53">
        <f t="shared" ref="G43" si="9">SUM(E43:F43)</f>
        <v>3145206425.2102976</v>
      </c>
    </row>
    <row r="44" spans="1:7" ht="18.95" customHeight="1">
      <c r="A44" s="30"/>
      <c r="B44" s="38"/>
      <c r="C44" s="51"/>
      <c r="D44" s="51"/>
      <c r="E44" s="51"/>
      <c r="F44" s="51"/>
      <c r="G44" s="51"/>
    </row>
    <row r="45" spans="1:7" ht="18.95" customHeight="1">
      <c r="A45" s="30">
        <v>3</v>
      </c>
      <c r="B45" s="38" t="s">
        <v>1174</v>
      </c>
      <c r="C45" s="51">
        <f>'SCH B-2.1 F'!D38</f>
        <v>42585983.780769229</v>
      </c>
      <c r="D45" s="95">
        <f>E45/C45</f>
        <v>0.87359415384933325</v>
      </c>
      <c r="E45" s="51">
        <f>'SCH B-2.1 F'!F38</f>
        <v>37202866.466802523</v>
      </c>
      <c r="F45" s="51">
        <f>'SCH B-2.1 F'!G38</f>
        <v>-240234.93246930835</v>
      </c>
      <c r="G45" s="53">
        <f t="shared" ref="G45" si="10">SUM(E45:F45)</f>
        <v>36962631.534333214</v>
      </c>
    </row>
    <row r="46" spans="1:7" ht="18.95" customHeight="1">
      <c r="A46" s="30"/>
      <c r="B46" s="38"/>
      <c r="C46" s="51"/>
      <c r="D46" s="51"/>
      <c r="E46" s="51"/>
      <c r="F46" s="51"/>
      <c r="G46" s="51"/>
    </row>
    <row r="47" spans="1:7" ht="18.95" customHeight="1">
      <c r="A47" s="30">
        <v>4</v>
      </c>
      <c r="B47" s="38" t="s">
        <v>1175</v>
      </c>
      <c r="C47" s="51">
        <f>'SCH B-2.1 F'!D60</f>
        <v>1024118791.3784615</v>
      </c>
      <c r="D47" s="95">
        <f>E47/C47</f>
        <v>0.87402413290296943</v>
      </c>
      <c r="E47" s="51">
        <f>'SCH B-2.1 F'!F60</f>
        <v>895104538.62419689</v>
      </c>
      <c r="F47" s="51">
        <f>'SCH B-2.1 F'!G60</f>
        <v>-353239.58103485423</v>
      </c>
      <c r="G47" s="53">
        <f t="shared" ref="G47" si="11">SUM(E47:F47)</f>
        <v>894751299.04316199</v>
      </c>
    </row>
    <row r="48" spans="1:7" ht="18.95" customHeight="1">
      <c r="A48" s="30"/>
      <c r="B48" s="38"/>
      <c r="C48" s="51"/>
      <c r="D48" s="51"/>
      <c r="E48" s="51"/>
      <c r="F48" s="51"/>
      <c r="G48" s="51"/>
    </row>
    <row r="49" spans="1:7" ht="18.95" customHeight="1">
      <c r="A49" s="30">
        <v>5</v>
      </c>
      <c r="B49" s="38" t="s">
        <v>248</v>
      </c>
      <c r="C49" s="51">
        <f>'SCH B-2.1 F'!D72</f>
        <v>981460549.46384609</v>
      </c>
      <c r="D49" s="95">
        <f>E49/C49</f>
        <v>0.89828718521994877</v>
      </c>
      <c r="E49" s="51">
        <f>'SCH B-2.1 F'!F72</f>
        <v>881633434.38230264</v>
      </c>
      <c r="F49" s="51">
        <f>'SCH B-2.1 F'!G72</f>
        <v>-395186.27355328837</v>
      </c>
      <c r="G49" s="53">
        <f t="shared" ref="G49" si="12">SUM(E49:F49)</f>
        <v>881238248.10874939</v>
      </c>
    </row>
    <row r="50" spans="1:7" ht="18.95" customHeight="1">
      <c r="A50" s="30"/>
      <c r="B50" s="38"/>
      <c r="C50" s="51"/>
      <c r="D50" s="51"/>
      <c r="E50" s="51"/>
      <c r="F50" s="51"/>
      <c r="G50" s="51"/>
    </row>
    <row r="51" spans="1:7" ht="18.95" customHeight="1">
      <c r="A51" s="30">
        <v>6</v>
      </c>
      <c r="B51" s="38" t="s">
        <v>1176</v>
      </c>
      <c r="C51" s="51">
        <f>'SCH B-2.1 F'!D88</f>
        <v>1836173590.7569199</v>
      </c>
      <c r="D51" s="95">
        <f>E51/C51</f>
        <v>0.94436035408340235</v>
      </c>
      <c r="E51" s="51">
        <f>'SCH B-2.1 F'!F88</f>
        <v>1734009542.3257971</v>
      </c>
      <c r="F51" s="51">
        <f>'SCH B-2.1 F'!G88</f>
        <v>-2412531.0931530646</v>
      </c>
      <c r="G51" s="53">
        <f t="shared" ref="G51" si="13">SUM(E51:F51)</f>
        <v>1731597011.2326441</v>
      </c>
    </row>
    <row r="52" spans="1:7" ht="18.95" customHeight="1">
      <c r="A52" s="30"/>
      <c r="B52" s="38"/>
      <c r="C52" s="51"/>
      <c r="D52" s="51"/>
      <c r="E52" s="51"/>
      <c r="F52" s="51"/>
      <c r="G52" s="51"/>
    </row>
    <row r="53" spans="1:7" ht="18.95" customHeight="1">
      <c r="A53" s="30">
        <v>7</v>
      </c>
      <c r="B53" s="38" t="s">
        <v>1177</v>
      </c>
      <c r="C53" s="96">
        <f>'SCH B-2.1 F'!D111</f>
        <v>207698615.21384594</v>
      </c>
      <c r="D53" s="95">
        <f>E53/C53</f>
        <v>0.90871558561033627</v>
      </c>
      <c r="E53" s="96">
        <f>'SCH B-2.1 F'!F111</f>
        <v>188738968.7545059</v>
      </c>
      <c r="F53" s="96">
        <f>'SCH B-2.1 F'!G111</f>
        <v>-11203772.777446682</v>
      </c>
      <c r="G53" s="54">
        <f t="shared" ref="G53" si="14">SUM(E53:F53)</f>
        <v>177535195.97705922</v>
      </c>
    </row>
    <row r="54" spans="1:7" ht="18.95" customHeight="1">
      <c r="A54" s="30"/>
      <c r="B54" s="38"/>
      <c r="C54" s="51"/>
      <c r="D54" s="51"/>
      <c r="E54" s="51"/>
      <c r="F54" s="51"/>
      <c r="G54" s="51"/>
    </row>
    <row r="55" spans="1:7" ht="18.95" customHeight="1" thickBot="1">
      <c r="A55" s="30">
        <v>8</v>
      </c>
      <c r="B55" s="38" t="s">
        <v>1180</v>
      </c>
      <c r="C55" s="59">
        <f>SUM(C41:C53)</f>
        <v>9526311610.1107655</v>
      </c>
      <c r="D55" s="51"/>
      <c r="E55" s="59">
        <f t="shared" ref="E55:G55" si="15">SUM(E41:E53)</f>
        <v>8463142075.4664516</v>
      </c>
      <c r="F55" s="59">
        <f t="shared" si="15"/>
        <v>-1492773807.4922569</v>
      </c>
      <c r="G55" s="59">
        <f t="shared" si="15"/>
        <v>6970368267.9741955</v>
      </c>
    </row>
    <row r="56" spans="1:7" ht="18.95" customHeight="1" thickTop="1"/>
    <row r="57" spans="1:7" ht="18.95" customHeight="1"/>
    <row r="58" spans="1:7">
      <c r="C58" s="58"/>
      <c r="E58" s="58"/>
    </row>
  </sheetData>
  <mergeCells count="8">
    <mergeCell ref="A29:G29"/>
    <mergeCell ref="A30:G30"/>
    <mergeCell ref="A31:G31"/>
    <mergeCell ref="A32:G32"/>
    <mergeCell ref="A1:G1"/>
    <mergeCell ref="A2:G2"/>
    <mergeCell ref="A3:G3"/>
    <mergeCell ref="A4:G4"/>
  </mergeCells>
  <pageMargins left="0.95" right="0.5" top="0.75" bottom="0.75" header="0.3" footer="0.3"/>
  <pageSetup scale="72" fitToHeight="0" orientation="portrait" r:id="rId1"/>
  <rowBreaks count="1" manualBreakCount="1">
    <brk id="28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H131"/>
  <sheetViews>
    <sheetView zoomScaleNormal="100" workbookViewId="0">
      <selection sqref="A1:H1"/>
    </sheetView>
  </sheetViews>
  <sheetFormatPr defaultColWidth="9" defaultRowHeight="12.75"/>
  <cols>
    <col min="1" max="1" width="6" style="29" customWidth="1"/>
    <col min="2" max="2" width="7.6640625" style="29" customWidth="1"/>
    <col min="3" max="3" width="38.33203125" style="29" customWidth="1"/>
    <col min="4" max="5" width="13.6640625" style="29" customWidth="1"/>
    <col min="6" max="6" width="14.77734375" style="29" customWidth="1"/>
    <col min="7" max="8" width="13.6640625" style="29" customWidth="1"/>
    <col min="9" max="9" width="1.6640625" style="29" customWidth="1"/>
    <col min="10" max="16384" width="9" style="29"/>
  </cols>
  <sheetData>
    <row r="1" spans="1:8" s="28" customFormat="1" ht="20.100000000000001" customHeight="1">
      <c r="A1" s="706" t="str">
        <f>'Rate Case Constants'!C9</f>
        <v>KENTUCKY UTILITIES COMPANY</v>
      </c>
      <c r="B1" s="706"/>
      <c r="C1" s="706"/>
      <c r="D1" s="706"/>
      <c r="E1" s="706"/>
      <c r="F1" s="706"/>
      <c r="G1" s="706"/>
      <c r="H1" s="706"/>
    </row>
    <row r="2" spans="1:8" s="28" customFormat="1" ht="20.100000000000001" customHeight="1">
      <c r="A2" s="706" t="str">
        <f>'Rate Case Constants'!C10</f>
        <v>CASE NO. 2016-00370</v>
      </c>
      <c r="B2" s="706"/>
      <c r="C2" s="706"/>
      <c r="D2" s="706"/>
      <c r="E2" s="706"/>
      <c r="F2" s="706"/>
      <c r="G2" s="706"/>
      <c r="H2" s="706"/>
    </row>
    <row r="3" spans="1:8" s="28" customFormat="1" ht="20.100000000000001" customHeight="1">
      <c r="A3" s="706" t="s">
        <v>224</v>
      </c>
      <c r="B3" s="706"/>
      <c r="C3" s="706"/>
      <c r="D3" s="706"/>
      <c r="E3" s="706"/>
      <c r="F3" s="706"/>
      <c r="G3" s="706"/>
      <c r="H3" s="706"/>
    </row>
    <row r="4" spans="1:8" s="28" customFormat="1" ht="20.100000000000001" customHeight="1">
      <c r="A4" s="706" t="str">
        <f>'Rate Case Constants'!C12</f>
        <v>AS OF FEBRUARY 28, 2017</v>
      </c>
      <c r="B4" s="706"/>
      <c r="C4" s="706"/>
      <c r="D4" s="706"/>
      <c r="E4" s="706"/>
      <c r="F4" s="706"/>
      <c r="G4" s="706"/>
      <c r="H4" s="706"/>
    </row>
    <row r="5" spans="1:8" s="28" customFormat="1" ht="20.100000000000001" customHeight="1">
      <c r="A5" s="44"/>
      <c r="B5" s="44"/>
      <c r="C5" s="44"/>
      <c r="D5" s="44"/>
      <c r="E5" s="44"/>
      <c r="F5" s="44"/>
      <c r="G5" s="44"/>
      <c r="H5" s="44"/>
    </row>
    <row r="6" spans="1:8" s="28" customFormat="1" ht="20.100000000000001" customHeight="1">
      <c r="A6" s="27" t="s">
        <v>136</v>
      </c>
      <c r="B6" s="27"/>
      <c r="G6" s="34"/>
      <c r="H6" s="34" t="s">
        <v>231</v>
      </c>
    </row>
    <row r="7" spans="1:8" s="28" customFormat="1" ht="20.100000000000001" customHeight="1">
      <c r="A7" s="28" t="str">
        <f>'Rate Case Constants'!C29</f>
        <v>TYPE OF FILING: __X__ ORIGINAL  _____ UPDATED  _____ REVISED</v>
      </c>
      <c r="G7" s="34"/>
      <c r="H7" s="34" t="s">
        <v>176</v>
      </c>
    </row>
    <row r="8" spans="1:8" s="28" customFormat="1" ht="20.100000000000001" customHeight="1">
      <c r="A8" s="27" t="s">
        <v>1460</v>
      </c>
      <c r="B8" s="27"/>
      <c r="F8" s="27"/>
      <c r="G8" s="35"/>
      <c r="H8" s="35" t="str">
        <f>'Rate Case Constants'!C36</f>
        <v>WITNESS:   C. M. GARRETT</v>
      </c>
    </row>
    <row r="9" spans="1:8" s="28" customFormat="1" ht="20.100000000000001" customHeight="1"/>
    <row r="10" spans="1:8" ht="58.5" customHeight="1">
      <c r="A10" s="36" t="s">
        <v>134</v>
      </c>
      <c r="B10" s="36" t="s">
        <v>137</v>
      </c>
      <c r="C10" s="39" t="s">
        <v>225</v>
      </c>
      <c r="D10" s="36" t="s">
        <v>226</v>
      </c>
      <c r="E10" s="36" t="s">
        <v>227</v>
      </c>
      <c r="F10" s="36" t="s">
        <v>228</v>
      </c>
      <c r="G10" s="36" t="s">
        <v>229</v>
      </c>
      <c r="H10" s="36" t="s">
        <v>230</v>
      </c>
    </row>
    <row r="11" spans="1:8" ht="23.1" customHeight="1">
      <c r="A11" s="40"/>
      <c r="B11" s="40"/>
      <c r="C11" s="41"/>
      <c r="D11" s="42" t="s">
        <v>145</v>
      </c>
      <c r="E11" s="42"/>
      <c r="F11" s="42" t="s">
        <v>145</v>
      </c>
      <c r="G11" s="42" t="s">
        <v>145</v>
      </c>
      <c r="H11" s="42" t="s">
        <v>145</v>
      </c>
    </row>
    <row r="12" spans="1:8" ht="23.1" customHeight="1">
      <c r="A12" s="33">
        <v>1</v>
      </c>
      <c r="B12" s="33"/>
      <c r="C12" s="45" t="s">
        <v>58</v>
      </c>
      <c r="D12" s="37"/>
      <c r="E12" s="37"/>
      <c r="F12" s="37"/>
      <c r="G12" s="37"/>
      <c r="H12" s="37"/>
    </row>
    <row r="13" spans="1:8" ht="18.95" customHeight="1">
      <c r="A13" s="30">
        <f>A12+1</f>
        <v>2</v>
      </c>
      <c r="B13" s="31" t="s">
        <v>1673</v>
      </c>
      <c r="C13" s="38" t="s">
        <v>1674</v>
      </c>
      <c r="D13" s="51">
        <f>'SCH B-2.3 B'!H13</f>
        <v>44455.58</v>
      </c>
      <c r="E13" s="95">
        <f>F13/D13</f>
        <v>0.88727847343853128</v>
      </c>
      <c r="F13" s="51">
        <f>SUMIFS('JURISSEP B'!$G$71:$G$225,'JURISSEP B'!$B$71:$B$225,$B13)</f>
        <v>39444.479158224502</v>
      </c>
      <c r="G13" s="51">
        <f>SUMIFS('SCH B-2.2'!$F$12:$F$27,'SCH B-2.2'!$B$12:$B$27,'SCH B-2.1 B'!$B13)</f>
        <v>0</v>
      </c>
      <c r="H13" s="51">
        <f>SUM(F13:G13)</f>
        <v>39444.479158224502</v>
      </c>
    </row>
    <row r="14" spans="1:8" ht="18.95" customHeight="1">
      <c r="A14" s="30">
        <f t="shared" ref="A14:A77" si="0">A13+1</f>
        <v>3</v>
      </c>
      <c r="B14" s="31" t="s">
        <v>1675</v>
      </c>
      <c r="C14" s="38" t="s">
        <v>1676</v>
      </c>
      <c r="D14" s="51">
        <f>'SCH B-2.3 B'!H14</f>
        <v>55918.83</v>
      </c>
      <c r="E14" s="95">
        <f t="shared" ref="E14:E15" si="1">F14/D14</f>
        <v>1</v>
      </c>
      <c r="F14" s="53">
        <f>SUMIFS('JURISSEP B'!$G$71:$G$225,'JURISSEP B'!$B$71:$B$225,$B14)</f>
        <v>55918.83</v>
      </c>
      <c r="G14" s="52">
        <f>SUMIFS('SCH B-2.2'!$F$12:$F$27,'SCH B-2.2'!$B$12:$B$27,'SCH B-2.1 B'!$B14)</f>
        <v>0</v>
      </c>
      <c r="H14" s="53">
        <f t="shared" ref="H14:H15" si="2">SUM(F14:G14)</f>
        <v>55918.83</v>
      </c>
    </row>
    <row r="15" spans="1:8" ht="18.95" customHeight="1">
      <c r="A15" s="30">
        <f t="shared" si="0"/>
        <v>4</v>
      </c>
      <c r="B15" s="31" t="s">
        <v>1677</v>
      </c>
      <c r="C15" s="38" t="s">
        <v>1678</v>
      </c>
      <c r="D15" s="54">
        <f>'SCH B-2.3 B'!H15</f>
        <v>101257411.75999998</v>
      </c>
      <c r="E15" s="95">
        <f t="shared" si="1"/>
        <v>0.88727847343853139</v>
      </c>
      <c r="F15" s="54">
        <f>SUMIFS('JURISSEP B'!$G$71:$G$225,'JURISSEP B'!$B$71:$B$225,$B15)</f>
        <v>89843521.730749577</v>
      </c>
      <c r="G15" s="54">
        <f>SUMIFS('SCH B-2.2'!$F$12:$F$27,'SCH B-2.2'!$B$12:$B$27,'SCH B-2.1 B'!$B15)</f>
        <v>0</v>
      </c>
      <c r="H15" s="54">
        <f t="shared" si="2"/>
        <v>89843521.730749577</v>
      </c>
    </row>
    <row r="16" spans="1:8" ht="18.95" customHeight="1">
      <c r="A16" s="30">
        <f t="shared" si="0"/>
        <v>5</v>
      </c>
      <c r="B16" s="30"/>
      <c r="C16" s="38" t="s">
        <v>146</v>
      </c>
      <c r="D16" s="51">
        <f>SUM(D13:D15)</f>
        <v>101357786.16999997</v>
      </c>
      <c r="E16" s="51"/>
      <c r="F16" s="51">
        <f>SUM(F13:F15)</f>
        <v>89938885.039907798</v>
      </c>
      <c r="G16" s="51">
        <f>SUM(G13:G15)</f>
        <v>0</v>
      </c>
      <c r="H16" s="51">
        <f>SUM(H13:H15)</f>
        <v>89938885.039907798</v>
      </c>
    </row>
    <row r="17" spans="1:8" ht="18.95" customHeight="1">
      <c r="A17" s="30"/>
      <c r="B17" s="30"/>
      <c r="D17" s="32"/>
      <c r="E17" s="32"/>
      <c r="F17" s="32"/>
      <c r="G17" s="32"/>
      <c r="H17" s="32"/>
    </row>
    <row r="18" spans="1:8" ht="18.95" customHeight="1">
      <c r="A18" s="30">
        <f>A16+1</f>
        <v>6</v>
      </c>
      <c r="B18" s="30"/>
      <c r="C18" s="55" t="s">
        <v>74</v>
      </c>
      <c r="D18" s="32"/>
      <c r="E18" s="32"/>
      <c r="F18" s="32"/>
      <c r="G18" s="32"/>
      <c r="H18" s="32"/>
    </row>
    <row r="19" spans="1:8" ht="18.95" customHeight="1">
      <c r="A19" s="30">
        <f t="shared" si="0"/>
        <v>7</v>
      </c>
      <c r="B19" s="31" t="s">
        <v>1679</v>
      </c>
      <c r="C19" s="38" t="s">
        <v>157</v>
      </c>
      <c r="D19" s="53">
        <f>'SCH B-2.3 B'!H19</f>
        <v>23167513.580000002</v>
      </c>
      <c r="E19" s="95">
        <f t="shared" ref="E19:E26" si="3">F19/D19</f>
        <v>0.87577725766318859</v>
      </c>
      <c r="F19" s="53">
        <f>SUMIFS('JURISSEP B'!$G$71:$G$225,'JURISSEP B'!$B$71:$B$225,$B19)</f>
        <v>20289581.509967081</v>
      </c>
      <c r="G19" s="53">
        <f>SUMIFS('SCH B-2.2'!$F$12:$F$27,'SCH B-2.2'!$B$12:$B$27,'SCH B-2.1 B'!$B19)</f>
        <v>-10345814.853848625</v>
      </c>
      <c r="H19" s="53">
        <f t="shared" ref="H19:H26" si="4">SUM(F19:G19)</f>
        <v>9943766.6561184563</v>
      </c>
    </row>
    <row r="20" spans="1:8" ht="18" customHeight="1">
      <c r="A20" s="30">
        <f t="shared" si="0"/>
        <v>8</v>
      </c>
      <c r="B20" s="31" t="s">
        <v>1680</v>
      </c>
      <c r="C20" s="38" t="s">
        <v>151</v>
      </c>
      <c r="D20" s="53">
        <f>'SCH B-2.3 B'!H20</f>
        <v>335394489.75000006</v>
      </c>
      <c r="E20" s="95">
        <f t="shared" si="3"/>
        <v>0.86648156962096645</v>
      </c>
      <c r="F20" s="53">
        <f>SUMIFS('JURISSEP B'!$G$71:$G$225,'JURISSEP B'!$B$71:$B$225,$B20)</f>
        <v>290613143.92080319</v>
      </c>
      <c r="G20" s="53">
        <f>SUMIFS('SCH B-2.2'!$F$12:$F$27,'SCH B-2.2'!$B$12:$B$27,'SCH B-2.1 B'!$B20)</f>
        <v>-10417262.02880197</v>
      </c>
      <c r="H20" s="53">
        <f t="shared" si="4"/>
        <v>280195881.89200121</v>
      </c>
    </row>
    <row r="21" spans="1:8" ht="18.95" customHeight="1">
      <c r="A21" s="30">
        <f t="shared" si="0"/>
        <v>9</v>
      </c>
      <c r="B21" s="31" t="s">
        <v>1681</v>
      </c>
      <c r="C21" s="38" t="s">
        <v>1682</v>
      </c>
      <c r="D21" s="53">
        <f>'SCH B-2.3 B'!H21</f>
        <v>3984402278.4099994</v>
      </c>
      <c r="E21" s="95">
        <f t="shared" si="3"/>
        <v>0.86957205161688755</v>
      </c>
      <c r="F21" s="53">
        <f>SUMIFS('JURISSEP B'!$G$71:$G$225,'JURISSEP B'!$B$71:$B$225,$B21)</f>
        <v>3464724863.7039843</v>
      </c>
      <c r="G21" s="53">
        <f>SUMIFS('SCH B-2.2'!$F$12:$F$27,'SCH B-2.2'!$B$12:$B$27,'SCH B-2.1 B'!$B21)</f>
        <v>-1140370881.8098464</v>
      </c>
      <c r="H21" s="53">
        <f t="shared" si="4"/>
        <v>2324353981.8941379</v>
      </c>
    </row>
    <row r="22" spans="1:8" ht="18.95" customHeight="1">
      <c r="A22" s="30">
        <f>A20+1</f>
        <v>9</v>
      </c>
      <c r="B22" s="31">
        <v>313</v>
      </c>
      <c r="C22" s="38" t="s">
        <v>147</v>
      </c>
      <c r="D22" s="53">
        <f>'SCH B-2.3 B'!H22</f>
        <v>0</v>
      </c>
      <c r="E22" s="95"/>
      <c r="F22" s="53">
        <f>SUMIFS('JURISSEP B'!$G$71:$G$225,'JURISSEP B'!$B$71:$B$225,$B22)</f>
        <v>0</v>
      </c>
      <c r="G22" s="53">
        <f>SUMIFS('SCH B-2.2'!$F$12:$F$27,'SCH B-2.2'!$B$12:$B$27,'SCH B-2.1 B'!$B22)</f>
        <v>0</v>
      </c>
      <c r="H22" s="53">
        <f t="shared" si="4"/>
        <v>0</v>
      </c>
    </row>
    <row r="23" spans="1:8" ht="18.95" customHeight="1">
      <c r="A23" s="30">
        <f>A21+1</f>
        <v>10</v>
      </c>
      <c r="B23" s="31" t="s">
        <v>1683</v>
      </c>
      <c r="C23" s="38" t="s">
        <v>1684</v>
      </c>
      <c r="D23" s="53">
        <f>'SCH B-2.3 B'!H23</f>
        <v>335484189.27999997</v>
      </c>
      <c r="E23" s="95">
        <f t="shared" si="3"/>
        <v>0.8649499342317436</v>
      </c>
      <c r="F23" s="53">
        <f>SUMIFS('JURISSEP B'!$G$71:$G$225,'JURISSEP B'!$B$71:$B$225,$B23)</f>
        <v>290177027.45352578</v>
      </c>
      <c r="G23" s="53">
        <f>SUMIFS('SCH B-2.2'!$F$12:$F$27,'SCH B-2.2'!$B$12:$B$27,'SCH B-2.1 B'!$B23)</f>
        <v>0</v>
      </c>
      <c r="H23" s="53">
        <f t="shared" si="4"/>
        <v>290177027.45352578</v>
      </c>
    </row>
    <row r="24" spans="1:8" ht="18.95" customHeight="1">
      <c r="A24" s="30">
        <f t="shared" si="0"/>
        <v>11</v>
      </c>
      <c r="B24" s="31" t="s">
        <v>1685</v>
      </c>
      <c r="C24" s="38" t="s">
        <v>1686</v>
      </c>
      <c r="D24" s="53">
        <f>'SCH B-2.3 B'!H24</f>
        <v>226277104.54999897</v>
      </c>
      <c r="E24" s="95">
        <f t="shared" si="3"/>
        <v>0.86462119266145265</v>
      </c>
      <c r="F24" s="53">
        <f>SUMIFS('JURISSEP B'!$G$71:$G$225,'JURISSEP B'!$B$71:$B$225,$B24)</f>
        <v>195643980.00800031</v>
      </c>
      <c r="G24" s="53">
        <f>SUMIFS('SCH B-2.2'!$F$12:$F$27,'SCH B-2.2'!$B$12:$B$27,'SCH B-2.1 B'!$B24)</f>
        <v>-8234339.980963937</v>
      </c>
      <c r="H24" s="53">
        <f t="shared" si="4"/>
        <v>187409640.02703637</v>
      </c>
    </row>
    <row r="25" spans="1:8" ht="18.95" customHeight="1">
      <c r="A25" s="30">
        <f t="shared" si="0"/>
        <v>12</v>
      </c>
      <c r="B25" s="31" t="s">
        <v>1687</v>
      </c>
      <c r="C25" s="38" t="s">
        <v>1688</v>
      </c>
      <c r="D25" s="53">
        <f>'SCH B-2.3 B'!H25</f>
        <v>37668925.389999993</v>
      </c>
      <c r="E25" s="95">
        <f t="shared" si="3"/>
        <v>0.86968991129891327</v>
      </c>
      <c r="F25" s="53">
        <f>SUMIFS('JURISSEP B'!$G$71:$G$225,'JURISSEP B'!$B$71:$B$225,$B25)</f>
        <v>32760284.381154478</v>
      </c>
      <c r="G25" s="53">
        <f>SUMIFS('SCH B-2.2'!$F$12:$F$27,'SCH B-2.2'!$B$12:$B$27,'SCH B-2.1 B'!$B25)</f>
        <v>-717427.54118059971</v>
      </c>
      <c r="H25" s="53">
        <f t="shared" si="4"/>
        <v>32042856.839973878</v>
      </c>
    </row>
    <row r="26" spans="1:8" ht="18.95" customHeight="1">
      <c r="A26" s="30">
        <f t="shared" si="0"/>
        <v>13</v>
      </c>
      <c r="B26" s="31" t="s">
        <v>1689</v>
      </c>
      <c r="C26" s="38" t="s">
        <v>1708</v>
      </c>
      <c r="D26" s="54">
        <f>'SCH B-2.3 B'!H26</f>
        <v>331002428.38999999</v>
      </c>
      <c r="E26" s="95">
        <f t="shared" si="3"/>
        <v>0.87577725766318837</v>
      </c>
      <c r="F26" s="54">
        <f>SUMIFS('JURISSEP B'!$G$71:$G$225,'JURISSEP B'!$B$71:$B$225,$B26)</f>
        <v>289884399.01525009</v>
      </c>
      <c r="G26" s="54">
        <f>SUMIFS('SCH B-2.2'!$F$12:$F$27,'SCH B-2.2'!$B$12:$B$27,'SCH B-2.1 B'!$B26)</f>
        <v>-289884399.01525009</v>
      </c>
      <c r="H26" s="54">
        <f t="shared" si="4"/>
        <v>0</v>
      </c>
    </row>
    <row r="27" spans="1:8" ht="18.95" customHeight="1">
      <c r="A27" s="30">
        <f t="shared" si="0"/>
        <v>14</v>
      </c>
      <c r="C27" s="38" t="s">
        <v>149</v>
      </c>
      <c r="D27" s="51">
        <f>SUM(D19:D26)</f>
        <v>5273396929.3499994</v>
      </c>
      <c r="E27" s="95"/>
      <c r="F27" s="51">
        <f>SUM(F19:F26)</f>
        <v>4584093279.9926853</v>
      </c>
      <c r="G27" s="51">
        <f>SUM(G19:G26)</f>
        <v>-1459970125.2298918</v>
      </c>
      <c r="H27" s="51">
        <f>SUM(H19:H26)</f>
        <v>3124123154.7627935</v>
      </c>
    </row>
    <row r="28" spans="1:8" ht="18.95" customHeight="1">
      <c r="A28" s="30"/>
      <c r="C28" s="38"/>
    </row>
    <row r="29" spans="1:8" ht="18.95" customHeight="1">
      <c r="A29" s="30">
        <f>A27+1</f>
        <v>15</v>
      </c>
      <c r="C29" s="55" t="s">
        <v>49</v>
      </c>
    </row>
    <row r="30" spans="1:8" ht="18.95" customHeight="1">
      <c r="A30" s="30">
        <f t="shared" si="0"/>
        <v>16</v>
      </c>
      <c r="B30" s="31" t="s">
        <v>1690</v>
      </c>
      <c r="C30" s="38" t="s">
        <v>157</v>
      </c>
      <c r="D30" s="53">
        <f>'SCH B-2.3 B'!H30</f>
        <v>879311.47</v>
      </c>
      <c r="E30" s="95">
        <f t="shared" ref="E30:E37" si="5">F30/D30</f>
        <v>0.87577725766318837</v>
      </c>
      <c r="F30" s="53">
        <f>SUMIFS('JURISSEP B'!$G$71:$G$225,'JURISSEP B'!$B$71:$B$225,$B30)</f>
        <v>770080.98782838695</v>
      </c>
      <c r="G30" s="53">
        <f>SUMIFS('SCH B-2.2'!$F$12:$F$27,'SCH B-2.2'!$B$12:$B$27,'SCH B-2.1 B'!$B30)</f>
        <v>0</v>
      </c>
      <c r="H30" s="53">
        <f t="shared" ref="H30:H37" si="6">SUM(F30:G30)</f>
        <v>770080.98782838695</v>
      </c>
    </row>
    <row r="31" spans="1:8" ht="18.95" customHeight="1">
      <c r="A31" s="30">
        <f t="shared" si="0"/>
        <v>17</v>
      </c>
      <c r="B31" s="31" t="s">
        <v>1691</v>
      </c>
      <c r="C31" s="38" t="s">
        <v>151</v>
      </c>
      <c r="D31" s="53">
        <f>'SCH B-2.3 B'!H31</f>
        <v>2930163.9299999997</v>
      </c>
      <c r="E31" s="95">
        <f t="shared" si="5"/>
        <v>0.87577725766318848</v>
      </c>
      <c r="F31" s="53">
        <f>SUMIFS('JURISSEP B'!$G$71:$G$225,'JURISSEP B'!$B$71:$B$225,$B31)</f>
        <v>2566170.9311189908</v>
      </c>
      <c r="G31" s="53">
        <f>SUMIFS('SCH B-2.2'!$F$12:$F$27,'SCH B-2.2'!$B$12:$B$27,'SCH B-2.1 B'!$B31)</f>
        <v>0</v>
      </c>
      <c r="H31" s="53">
        <f t="shared" si="6"/>
        <v>2566170.9311189908</v>
      </c>
    </row>
    <row r="32" spans="1:8" ht="18.95" customHeight="1">
      <c r="A32" s="30">
        <f t="shared" si="0"/>
        <v>18</v>
      </c>
      <c r="B32" s="31" t="s">
        <v>1692</v>
      </c>
      <c r="C32" s="38" t="s">
        <v>1693</v>
      </c>
      <c r="D32" s="53">
        <f>'SCH B-2.3 B'!H32</f>
        <v>21885646.369999997</v>
      </c>
      <c r="E32" s="95">
        <f t="shared" si="5"/>
        <v>0.87405847600746855</v>
      </c>
      <c r="F32" s="53">
        <f>SUMIFS('JURISSEP B'!$G$71:$G$225,'JURISSEP B'!$B$71:$B$225,$B32)</f>
        <v>19129334.712600585</v>
      </c>
      <c r="G32" s="53">
        <f>SUMIFS('SCH B-2.2'!$F$12:$F$27,'SCH B-2.2'!$B$12:$B$27,'SCH B-2.1 B'!$B32)</f>
        <v>0</v>
      </c>
      <c r="H32" s="53">
        <f t="shared" si="6"/>
        <v>19129334.712600585</v>
      </c>
    </row>
    <row r="33" spans="1:8" ht="18.95" customHeight="1">
      <c r="A33" s="30">
        <f t="shared" si="0"/>
        <v>19</v>
      </c>
      <c r="B33" s="31" t="s">
        <v>1694</v>
      </c>
      <c r="C33" s="38" t="s">
        <v>1695</v>
      </c>
      <c r="D33" s="53">
        <f>'SCH B-2.3 B'!H33</f>
        <v>14046741.58</v>
      </c>
      <c r="E33" s="95">
        <f t="shared" si="5"/>
        <v>0.87212993708841247</v>
      </c>
      <c r="F33" s="53">
        <f>SUMIFS('JURISSEP B'!$G$71:$G$225,'JURISSEP B'!$B$71:$B$225,$B33)</f>
        <v>12250583.850462588</v>
      </c>
      <c r="G33" s="53">
        <f>SUMIFS('SCH B-2.2'!$F$12:$F$27,'SCH B-2.2'!$B$12:$B$27,'SCH B-2.1 B'!$B33)</f>
        <v>0</v>
      </c>
      <c r="H33" s="53">
        <f t="shared" si="6"/>
        <v>12250583.850462588</v>
      </c>
    </row>
    <row r="34" spans="1:8" ht="18.95" customHeight="1">
      <c r="A34" s="30">
        <f t="shared" si="0"/>
        <v>20</v>
      </c>
      <c r="B34" s="31" t="s">
        <v>1696</v>
      </c>
      <c r="C34" s="38" t="s">
        <v>1686</v>
      </c>
      <c r="D34" s="53">
        <f>'SCH B-2.3 B'!H34</f>
        <v>1362584.79</v>
      </c>
      <c r="E34" s="95">
        <f t="shared" si="5"/>
        <v>0.87328062831238906</v>
      </c>
      <c r="F34" s="53">
        <f>SUMIFS('JURISSEP B'!$G$71:$G$225,'JURISSEP B'!$B$71:$B$225,$B34)</f>
        <v>1189918.9015401048</v>
      </c>
      <c r="G34" s="53">
        <f>SUMIFS('SCH B-2.2'!$F$12:$F$27,'SCH B-2.2'!$B$12:$B$27,'SCH B-2.1 B'!$B34)</f>
        <v>0</v>
      </c>
      <c r="H34" s="53">
        <f t="shared" si="6"/>
        <v>1189918.9015401048</v>
      </c>
    </row>
    <row r="35" spans="1:8" ht="18.95" customHeight="1">
      <c r="A35" s="30">
        <f t="shared" si="0"/>
        <v>21</v>
      </c>
      <c r="B35" s="31" t="s">
        <v>1697</v>
      </c>
      <c r="C35" s="38" t="s">
        <v>1698</v>
      </c>
      <c r="D35" s="53">
        <f>'SCH B-2.3 B'!H35</f>
        <v>316946.74</v>
      </c>
      <c r="E35" s="95">
        <f t="shared" si="5"/>
        <v>0.87351145946856501</v>
      </c>
      <c r="F35" s="53">
        <f>SUMIFS('JURISSEP B'!$G$71:$G$225,'JURISSEP B'!$B$71:$B$225,$B35)</f>
        <v>276856.6094312038</v>
      </c>
      <c r="G35" s="53">
        <f>SUMIFS('SCH B-2.2'!$F$12:$F$27,'SCH B-2.2'!$B$12:$B$27,'SCH B-2.1 B'!$B35)</f>
        <v>0</v>
      </c>
      <c r="H35" s="53">
        <f t="shared" si="6"/>
        <v>276856.6094312038</v>
      </c>
    </row>
    <row r="36" spans="1:8" ht="18.95" customHeight="1">
      <c r="A36" s="30">
        <f t="shared" si="0"/>
        <v>22</v>
      </c>
      <c r="B36" s="31" t="s">
        <v>1699</v>
      </c>
      <c r="C36" s="38" t="s">
        <v>1700</v>
      </c>
      <c r="D36" s="53">
        <f>'SCH B-2.3 B'!H36</f>
        <v>234509.13</v>
      </c>
      <c r="E36" s="95">
        <f t="shared" si="5"/>
        <v>0.87577725766318848</v>
      </c>
      <c r="F36" s="53">
        <f>SUMIFS('JURISSEP B'!$G$71:$G$225,'JURISSEP B'!$B$71:$B$225,$B36)</f>
        <v>205377.76276838017</v>
      </c>
      <c r="G36" s="53">
        <f>SUMIFS('SCH B-2.2'!$F$12:$F$27,'SCH B-2.2'!$B$12:$B$27,'SCH B-2.1 B'!$B36)</f>
        <v>0</v>
      </c>
      <c r="H36" s="53">
        <f t="shared" si="6"/>
        <v>205377.76276838017</v>
      </c>
    </row>
    <row r="37" spans="1:8" ht="18.95" customHeight="1">
      <c r="A37" s="30">
        <f t="shared" si="0"/>
        <v>23</v>
      </c>
      <c r="B37" s="31" t="s">
        <v>1701</v>
      </c>
      <c r="C37" s="38" t="s">
        <v>1709</v>
      </c>
      <c r="D37" s="54">
        <f>'SCH B-2.3 B'!H37</f>
        <v>274310.53999999998</v>
      </c>
      <c r="E37" s="95">
        <f t="shared" si="5"/>
        <v>0.87577725766318848</v>
      </c>
      <c r="F37" s="54">
        <f>SUMIFS('JURISSEP B'!$G$71:$G$225,'JURISSEP B'!$B$71:$B$225,$B37)</f>
        <v>240234.93246930835</v>
      </c>
      <c r="G37" s="54">
        <f>SUMIFS('SCH B-2.2'!$F$12:$F$27,'SCH B-2.2'!$B$12:$B$27,'SCH B-2.1 B'!$B37)</f>
        <v>-240234.93246930835</v>
      </c>
      <c r="H37" s="54">
        <f t="shared" si="6"/>
        <v>0</v>
      </c>
    </row>
    <row r="38" spans="1:8" ht="18.95" customHeight="1">
      <c r="A38" s="30">
        <f t="shared" si="0"/>
        <v>24</v>
      </c>
      <c r="B38" s="31" t="s">
        <v>254</v>
      </c>
      <c r="C38" s="38" t="s">
        <v>150</v>
      </c>
      <c r="D38" s="51">
        <f>SUM(D30:D37)</f>
        <v>41930214.549999997</v>
      </c>
      <c r="E38" s="51"/>
      <c r="F38" s="51">
        <f t="shared" ref="F38:H38" si="7">SUM(F30:F37)</f>
        <v>36628558.688219555</v>
      </c>
      <c r="G38" s="51">
        <f t="shared" si="7"/>
        <v>-240234.93246930835</v>
      </c>
      <c r="H38" s="51">
        <f t="shared" si="7"/>
        <v>36388323.755750246</v>
      </c>
    </row>
    <row r="39" spans="1:8" ht="18.95" customHeight="1">
      <c r="A39" s="30"/>
      <c r="B39" s="31"/>
      <c r="C39" s="38"/>
      <c r="D39" s="51"/>
      <c r="E39" s="51"/>
      <c r="F39" s="51"/>
      <c r="G39" s="51"/>
      <c r="H39" s="51"/>
    </row>
    <row r="40" spans="1:8" ht="18.95" customHeight="1">
      <c r="A40" s="30">
        <f>A38+1</f>
        <v>25</v>
      </c>
      <c r="C40" s="55" t="s">
        <v>63</v>
      </c>
    </row>
    <row r="41" spans="1:8" ht="18.95" customHeight="1">
      <c r="A41" s="30">
        <f t="shared" si="0"/>
        <v>26</v>
      </c>
      <c r="B41" s="31" t="s">
        <v>1702</v>
      </c>
      <c r="C41" s="38" t="s">
        <v>157</v>
      </c>
      <c r="D41" s="53">
        <f>'SCH B-2.3 B'!H41</f>
        <v>473578.51999999996</v>
      </c>
      <c r="E41" s="95">
        <f t="shared" ref="E41:E44" si="8">F41/D41</f>
        <v>0.87577725766318837</v>
      </c>
      <c r="F41" s="53">
        <f>SUMIFS('JURISSEP B'!$G$71:$G$225,'JURISSEP B'!$B$71:$B$225,$B41)</f>
        <v>414749.2975337914</v>
      </c>
      <c r="G41" s="53">
        <f>SUMIFS('SCH B-2.2'!$F$12:$F$27,'SCH B-2.2'!$B$12:$B$27,'SCH B-2.1 B'!$B41)</f>
        <v>0</v>
      </c>
      <c r="H41" s="53">
        <f t="shared" ref="H41:H44" si="9">SUM(F41:G41)</f>
        <v>414749.2975337914</v>
      </c>
    </row>
    <row r="42" spans="1:8" ht="18.95" customHeight="1">
      <c r="A42" s="30">
        <f t="shared" si="0"/>
        <v>27</v>
      </c>
      <c r="B42" s="31" t="s">
        <v>1703</v>
      </c>
      <c r="C42" s="38" t="s">
        <v>151</v>
      </c>
      <c r="D42" s="53">
        <f>'SCH B-2.3 B'!H42</f>
        <v>85076788.390000001</v>
      </c>
      <c r="E42" s="95">
        <f t="shared" si="8"/>
        <v>0.87373496744162549</v>
      </c>
      <c r="F42" s="53">
        <f>SUMIFS('JURISSEP B'!$G$71:$G$225,'JURISSEP B'!$B$71:$B$225,$B42)</f>
        <v>74334564.933974713</v>
      </c>
      <c r="G42" s="53">
        <f>SUMIFS('SCH B-2.2'!$F$12:$F$27,'SCH B-2.2'!$B$12:$B$27,'SCH B-2.1 B'!$B42)</f>
        <v>0</v>
      </c>
      <c r="H42" s="53">
        <f t="shared" si="9"/>
        <v>74334564.933974713</v>
      </c>
    </row>
    <row r="43" spans="1:8" ht="18.95" customHeight="1">
      <c r="A43" s="30">
        <f t="shared" si="0"/>
        <v>28</v>
      </c>
      <c r="B43" s="31" t="s">
        <v>1704</v>
      </c>
      <c r="C43" s="38" t="s">
        <v>1705</v>
      </c>
      <c r="D43" s="53">
        <f>'SCH B-2.3 B'!H43</f>
        <v>61651087.979998976</v>
      </c>
      <c r="E43" s="95">
        <f t="shared" si="8"/>
        <v>0.87490414516444648</v>
      </c>
      <c r="F43" s="53">
        <f>SUMIFS('JURISSEP B'!$G$71:$G$225,'JURISSEP B'!$B$71:$B$225,$B43)</f>
        <v>53938792.427599087</v>
      </c>
      <c r="G43" s="53">
        <f>SUMIFS('SCH B-2.2'!$F$12:$F$27,'SCH B-2.2'!$B$12:$B$27,'SCH B-2.1 B'!$B43)</f>
        <v>0</v>
      </c>
      <c r="H43" s="53">
        <f t="shared" si="9"/>
        <v>53938792.427599087</v>
      </c>
    </row>
    <row r="44" spans="1:8" ht="18.95" customHeight="1">
      <c r="A44" s="30">
        <f t="shared" si="0"/>
        <v>29</v>
      </c>
      <c r="B44" s="31" t="s">
        <v>1706</v>
      </c>
      <c r="C44" s="38" t="s">
        <v>1707</v>
      </c>
      <c r="D44" s="53">
        <f>'SCH B-2.3 B'!H44</f>
        <v>647382513.06999993</v>
      </c>
      <c r="E44" s="95">
        <f t="shared" si="8"/>
        <v>0.87397958524408814</v>
      </c>
      <c r="F44" s="53">
        <f>SUMIFS('JURISSEP B'!$G$71:$G$225,'JURISSEP B'!$B$71:$B$225,$B44)</f>
        <v>565799100.26719403</v>
      </c>
      <c r="G44" s="53">
        <f>SUMIFS('SCH B-2.2'!$F$12:$F$27,'SCH B-2.2'!$B$12:$B$27,'SCH B-2.1 B'!$B44)</f>
        <v>0</v>
      </c>
      <c r="H44" s="53">
        <f t="shared" si="9"/>
        <v>565799100.26719403</v>
      </c>
    </row>
    <row r="45" spans="1:8" s="28" customFormat="1" ht="20.100000000000001" customHeight="1">
      <c r="A45" s="706" t="str">
        <f>$A$1</f>
        <v>KENTUCKY UTILITIES COMPANY</v>
      </c>
      <c r="B45" s="706"/>
      <c r="C45" s="706"/>
      <c r="D45" s="706"/>
      <c r="E45" s="706"/>
      <c r="F45" s="706"/>
      <c r="G45" s="706"/>
      <c r="H45" s="706"/>
    </row>
    <row r="46" spans="1:8" s="28" customFormat="1" ht="20.100000000000001" customHeight="1">
      <c r="A46" s="706" t="str">
        <f>$A$2</f>
        <v>CASE NO. 2016-00370</v>
      </c>
      <c r="B46" s="706"/>
      <c r="C46" s="706"/>
      <c r="D46" s="706"/>
      <c r="E46" s="706"/>
      <c r="F46" s="706"/>
      <c r="G46" s="706"/>
      <c r="H46" s="706"/>
    </row>
    <row r="47" spans="1:8" s="28" customFormat="1" ht="20.100000000000001" customHeight="1">
      <c r="A47" s="706" t="str">
        <f>$A$3</f>
        <v>PLANT IN SERVICE BY ACCOUNTS AND SUBACCOUNTS</v>
      </c>
      <c r="B47" s="706"/>
      <c r="C47" s="706"/>
      <c r="D47" s="706"/>
      <c r="E47" s="706"/>
      <c r="F47" s="706"/>
      <c r="G47" s="706"/>
      <c r="H47" s="706"/>
    </row>
    <row r="48" spans="1:8" s="28" customFormat="1" ht="20.100000000000001" customHeight="1">
      <c r="A48" s="705" t="str">
        <f>$A$4</f>
        <v>AS OF FEBRUARY 28, 2017</v>
      </c>
      <c r="B48" s="706"/>
      <c r="C48" s="706"/>
      <c r="D48" s="706"/>
      <c r="E48" s="706"/>
      <c r="F48" s="706"/>
      <c r="G48" s="706"/>
      <c r="H48" s="706"/>
    </row>
    <row r="49" spans="1:8" s="28" customFormat="1" ht="20.100000000000001" customHeight="1">
      <c r="A49" s="44"/>
      <c r="B49" s="44"/>
      <c r="C49" s="44"/>
      <c r="D49" s="44"/>
      <c r="E49" s="44"/>
      <c r="F49" s="44"/>
      <c r="G49" s="44"/>
      <c r="H49" s="44"/>
    </row>
    <row r="50" spans="1:8" s="28" customFormat="1" ht="20.100000000000001" customHeight="1">
      <c r="A50" s="27" t="str">
        <f>$A$6</f>
        <v>DATA:__X__BASE  PERIOD____FORECASTED  PERIOD</v>
      </c>
      <c r="B50" s="27"/>
      <c r="G50" s="34"/>
      <c r="H50" s="34" t="s">
        <v>231</v>
      </c>
    </row>
    <row r="51" spans="1:8" s="28" customFormat="1" ht="20.100000000000001" customHeight="1">
      <c r="A51" s="27" t="str">
        <f>$A$7</f>
        <v>TYPE OF FILING: __X__ ORIGINAL  _____ UPDATED  _____ REVISED</v>
      </c>
      <c r="G51" s="34"/>
      <c r="H51" s="34" t="s">
        <v>175</v>
      </c>
    </row>
    <row r="52" spans="1:8" s="28" customFormat="1" ht="20.100000000000001" customHeight="1">
      <c r="A52" s="27" t="str">
        <f>$A$8</f>
        <v xml:space="preserve">WORKPAPER REFERENCE NO(S).: </v>
      </c>
      <c r="B52" s="27"/>
      <c r="F52" s="27"/>
      <c r="G52" s="35"/>
      <c r="H52" s="35" t="str">
        <f>$H$8</f>
        <v>WITNESS:   C. M. GARRETT</v>
      </c>
    </row>
    <row r="53" spans="1:8" s="28" customFormat="1" ht="20.100000000000001" customHeight="1"/>
    <row r="54" spans="1:8" ht="58.5" customHeight="1">
      <c r="A54" s="36" t="s">
        <v>134</v>
      </c>
      <c r="B54" s="36" t="s">
        <v>137</v>
      </c>
      <c r="C54" s="39" t="s">
        <v>225</v>
      </c>
      <c r="D54" s="36" t="s">
        <v>226</v>
      </c>
      <c r="E54" s="36" t="s">
        <v>227</v>
      </c>
      <c r="F54" s="36" t="s">
        <v>228</v>
      </c>
      <c r="G54" s="36" t="s">
        <v>229</v>
      </c>
      <c r="H54" s="36" t="s">
        <v>230</v>
      </c>
    </row>
    <row r="55" spans="1:8" ht="23.1" customHeight="1">
      <c r="A55" s="40"/>
      <c r="B55" s="40"/>
      <c r="C55" s="41"/>
      <c r="D55" s="42" t="s">
        <v>145</v>
      </c>
      <c r="E55" s="42"/>
      <c r="F55" s="42" t="s">
        <v>145</v>
      </c>
      <c r="G55" s="42" t="s">
        <v>145</v>
      </c>
      <c r="H55" s="42" t="s">
        <v>145</v>
      </c>
    </row>
    <row r="56" spans="1:8" ht="18.95" customHeight="1">
      <c r="A56" s="30">
        <f>A44+1</f>
        <v>30</v>
      </c>
      <c r="B56" s="31" t="s">
        <v>1710</v>
      </c>
      <c r="C56" s="38" t="s">
        <v>1711</v>
      </c>
      <c r="D56" s="53">
        <f>'SCH B-2.3 B'!H56</f>
        <v>130733465.939999</v>
      </c>
      <c r="E56" s="95">
        <f t="shared" ref="E56:E59" si="10">F56/D56</f>
        <v>0.87399080717889155</v>
      </c>
      <c r="F56" s="53">
        <f>SUMIFS('JURISSEP B'!$G$71:$G$225,'JURISSEP B'!$B$71:$B$225,$B56)</f>
        <v>114259847.42219386</v>
      </c>
      <c r="G56" s="53">
        <f>SUMIFS('SCH B-2.2'!$F$12:$F$27,'SCH B-2.2'!$B$12:$B$27,'SCH B-2.1 B'!$B56)</f>
        <v>0</v>
      </c>
      <c r="H56" s="53">
        <f t="shared" ref="H56:H59" si="11">SUM(F56:G56)</f>
        <v>114259847.42219386</v>
      </c>
    </row>
    <row r="57" spans="1:8" ht="18.95" customHeight="1">
      <c r="A57" s="30">
        <f t="shared" si="0"/>
        <v>31</v>
      </c>
      <c r="B57" s="31" t="s">
        <v>1712</v>
      </c>
      <c r="C57" s="38" t="s">
        <v>1686</v>
      </c>
      <c r="D57" s="53">
        <f>'SCH B-2.3 B'!H57</f>
        <v>67325168.730000004</v>
      </c>
      <c r="E57" s="95">
        <f t="shared" si="10"/>
        <v>0.87339192086452844</v>
      </c>
      <c r="F57" s="53">
        <f>SUMIFS('JURISSEP B'!$G$71:$G$225,'JURISSEP B'!$B$71:$B$225,$B57)</f>
        <v>58801258.439623185</v>
      </c>
      <c r="G57" s="53">
        <f>SUMIFS('SCH B-2.2'!$F$12:$F$27,'SCH B-2.2'!$B$12:$B$27,'SCH B-2.1 B'!$B57)</f>
        <v>0</v>
      </c>
      <c r="H57" s="53">
        <f t="shared" si="11"/>
        <v>58801258.439623185</v>
      </c>
    </row>
    <row r="58" spans="1:8" ht="18.95" customHeight="1">
      <c r="A58" s="30">
        <f t="shared" si="0"/>
        <v>32</v>
      </c>
      <c r="B58" s="31" t="s">
        <v>1713</v>
      </c>
      <c r="C58" s="38" t="s">
        <v>1698</v>
      </c>
      <c r="D58" s="53">
        <f>'SCH B-2.3 B'!H58</f>
        <v>9109568.5</v>
      </c>
      <c r="E58" s="95">
        <f t="shared" si="10"/>
        <v>0.87469000224158522</v>
      </c>
      <c r="F58" s="53">
        <f>SUMIFS('JURISSEP B'!$G$71:$G$225,'JURISSEP B'!$B$71:$B$225,$B58)</f>
        <v>7968048.4916848745</v>
      </c>
      <c r="G58" s="53">
        <f>SUMIFS('SCH B-2.2'!$F$12:$F$27,'SCH B-2.2'!$B$12:$B$27,'SCH B-2.1 B'!$B58)</f>
        <v>0</v>
      </c>
      <c r="H58" s="53">
        <f t="shared" si="11"/>
        <v>7968048.4916848745</v>
      </c>
    </row>
    <row r="59" spans="1:8" ht="18.95" customHeight="1">
      <c r="A59" s="30">
        <f t="shared" si="0"/>
        <v>33</v>
      </c>
      <c r="B59" s="31" t="s">
        <v>1714</v>
      </c>
      <c r="C59" s="38" t="s">
        <v>1749</v>
      </c>
      <c r="D59" s="54">
        <f>'SCH B-2.3 B'!H59</f>
        <v>403344.08999999997</v>
      </c>
      <c r="E59" s="95">
        <f t="shared" si="10"/>
        <v>0.87577725766318837</v>
      </c>
      <c r="F59" s="54">
        <f>SUMIFS('JURISSEP B'!$G$71:$G$225,'JURISSEP B'!$B$71:$B$225,$B59)</f>
        <v>353239.58103485423</v>
      </c>
      <c r="G59" s="54">
        <f>SUMIFS('SCH B-2.2'!$F$12:$F$27,'SCH B-2.2'!$B$12:$B$27,'SCH B-2.1 B'!$B59)</f>
        <v>-353239.58103485423</v>
      </c>
      <c r="H59" s="54">
        <f t="shared" si="11"/>
        <v>0</v>
      </c>
    </row>
    <row r="60" spans="1:8" ht="18.95" customHeight="1">
      <c r="A60" s="30">
        <f t="shared" si="0"/>
        <v>34</v>
      </c>
      <c r="C60" s="38" t="s">
        <v>148</v>
      </c>
      <c r="D60" s="51">
        <f>SUM(D41:D44,D56:D59)</f>
        <v>1002155515.2199979</v>
      </c>
      <c r="E60" s="51"/>
      <c r="F60" s="51">
        <f t="shared" ref="F60:H60" si="12">SUM(F41:F44,F56:F59)</f>
        <v>875869600.86083853</v>
      </c>
      <c r="G60" s="51">
        <f t="shared" si="12"/>
        <v>-353239.58103485423</v>
      </c>
      <c r="H60" s="51">
        <f t="shared" si="12"/>
        <v>875516361.27980363</v>
      </c>
    </row>
    <row r="61" spans="1:8" ht="18.95" customHeight="1">
      <c r="A61" s="30"/>
    </row>
    <row r="62" spans="1:8" ht="18.95" customHeight="1">
      <c r="A62" s="30">
        <f>A60+1</f>
        <v>35</v>
      </c>
      <c r="C62" s="55" t="s">
        <v>86</v>
      </c>
    </row>
    <row r="63" spans="1:8" ht="18.95" customHeight="1">
      <c r="A63" s="30">
        <f t="shared" si="0"/>
        <v>36</v>
      </c>
      <c r="B63" s="31" t="s">
        <v>1715</v>
      </c>
      <c r="C63" s="38" t="s">
        <v>157</v>
      </c>
      <c r="D63" s="53">
        <f>'SCH B-2.3 B'!H63</f>
        <v>31789265.370000001</v>
      </c>
      <c r="E63" s="95">
        <f t="shared" ref="E63:E71" si="13">F63/D63</f>
        <v>0.89708462785140353</v>
      </c>
      <c r="F63" s="53">
        <f>SUMIFS('JURISSEP B'!$G$71:$G$225,'JURISSEP B'!$B$71:$B$225,$B63)</f>
        <v>28517661.294115961</v>
      </c>
      <c r="G63" s="53">
        <f>SUMIFS('SCH B-2.2'!$F$12:$F$27,'SCH B-2.2'!$B$12:$B$27,'SCH B-2.1 B'!$B63)</f>
        <v>0</v>
      </c>
      <c r="H63" s="53">
        <f t="shared" ref="H63:H71" si="14">SUM(F63:G63)</f>
        <v>28517661.294115961</v>
      </c>
    </row>
    <row r="64" spans="1:8" ht="18.95" customHeight="1">
      <c r="A64" s="30">
        <f t="shared" si="0"/>
        <v>37</v>
      </c>
      <c r="B64" s="31" t="s">
        <v>1716</v>
      </c>
      <c r="C64" s="38" t="s">
        <v>151</v>
      </c>
      <c r="D64" s="53">
        <f>'SCH B-2.3 B'!H64</f>
        <v>28829721.41</v>
      </c>
      <c r="E64" s="95">
        <f t="shared" si="13"/>
        <v>0.89841476271613308</v>
      </c>
      <c r="F64" s="53">
        <f>SUMIFS('JURISSEP B'!$G$71:$G$225,'JURISSEP B'!$B$71:$B$225,$B64)</f>
        <v>25901047.319737371</v>
      </c>
      <c r="G64" s="53">
        <f>SUMIFS('SCH B-2.2'!$F$12:$F$27,'SCH B-2.2'!$B$12:$B$27,'SCH B-2.1 B'!$B64)</f>
        <v>0</v>
      </c>
      <c r="H64" s="53">
        <f t="shared" si="14"/>
        <v>25901047.319737371</v>
      </c>
    </row>
    <row r="65" spans="1:8" ht="18.95" customHeight="1">
      <c r="A65" s="30">
        <f t="shared" si="0"/>
        <v>38</v>
      </c>
      <c r="B65" s="31" t="s">
        <v>1717</v>
      </c>
      <c r="C65" s="38" t="s">
        <v>152</v>
      </c>
      <c r="D65" s="53">
        <f>'SCH B-2.3 B'!H65</f>
        <v>299234852.70999992</v>
      </c>
      <c r="E65" s="95">
        <f t="shared" si="13"/>
        <v>0.88073746393609664</v>
      </c>
      <c r="F65" s="53">
        <f>SUMIFS('JURISSEP B'!$G$71:$G$225,'JURISSEP B'!$B$71:$B$225,$B65)</f>
        <v>263547345.29709676</v>
      </c>
      <c r="G65" s="53">
        <f>SUMIFS('SCH B-2.2'!$F$12:$F$27,'SCH B-2.2'!$B$12:$B$27,'SCH B-2.1 B'!$B65)</f>
        <v>0</v>
      </c>
      <c r="H65" s="53">
        <f t="shared" si="14"/>
        <v>263547345.29709676</v>
      </c>
    </row>
    <row r="66" spans="1:8" ht="18.95" customHeight="1">
      <c r="A66" s="30">
        <f t="shared" si="0"/>
        <v>39</v>
      </c>
      <c r="B66" s="31" t="s">
        <v>1718</v>
      </c>
      <c r="C66" s="38" t="s">
        <v>1719</v>
      </c>
      <c r="D66" s="53">
        <f>'SCH B-2.3 B'!H66</f>
        <v>76371012.639999986</v>
      </c>
      <c r="E66" s="95">
        <f t="shared" si="13"/>
        <v>0.91634658956673842</v>
      </c>
      <c r="F66" s="53">
        <f>SUMIFS('JURISSEP B'!$G$71:$G$225,'JURISSEP B'!$B$71:$B$225,$B66)</f>
        <v>69982316.974422261</v>
      </c>
      <c r="G66" s="53">
        <f>SUMIFS('SCH B-2.2'!$F$12:$F$27,'SCH B-2.2'!$B$12:$B$27,'SCH B-2.1 B'!$B66)</f>
        <v>0</v>
      </c>
      <c r="H66" s="53">
        <f t="shared" si="14"/>
        <v>69982316.974422261</v>
      </c>
    </row>
    <row r="67" spans="1:8" ht="18.95" customHeight="1">
      <c r="A67" s="30">
        <f t="shared" si="0"/>
        <v>40</v>
      </c>
      <c r="B67" s="31" t="s">
        <v>1720</v>
      </c>
      <c r="C67" s="38" t="s">
        <v>1721</v>
      </c>
      <c r="D67" s="53">
        <f>'SCH B-2.3 B'!H67</f>
        <v>286024580.93000001</v>
      </c>
      <c r="E67" s="95">
        <f t="shared" si="13"/>
        <v>0.91203831182747186</v>
      </c>
      <c r="F67" s="53">
        <f>SUMIFS('JURISSEP B'!$G$71:$G$225,'JURISSEP B'!$B$71:$B$225,$B67)</f>
        <v>260865375.93255731</v>
      </c>
      <c r="G67" s="53">
        <f>SUMIFS('SCH B-2.2'!$F$12:$F$27,'SCH B-2.2'!$B$12:$B$27,'SCH B-2.1 B'!$B67)</f>
        <v>0</v>
      </c>
      <c r="H67" s="53">
        <f t="shared" si="14"/>
        <v>260865375.93255731</v>
      </c>
    </row>
    <row r="68" spans="1:8" ht="18.95" customHeight="1">
      <c r="A68" s="30">
        <f t="shared" si="0"/>
        <v>41</v>
      </c>
      <c r="B68" s="31" t="s">
        <v>1722</v>
      </c>
      <c r="C68" s="38" t="s">
        <v>1723</v>
      </c>
      <c r="D68" s="53">
        <f>'SCH B-2.3 B'!H68</f>
        <v>182031393.23999897</v>
      </c>
      <c r="E68" s="95">
        <f t="shared" si="13"/>
        <v>0.87533215512204909</v>
      </c>
      <c r="F68" s="53">
        <f>SUMIFS('JURISSEP B'!$G$71:$G$225,'JURISSEP B'!$B$71:$B$225,$B68)</f>
        <v>159337931.74463749</v>
      </c>
      <c r="G68" s="53">
        <f>SUMIFS('SCH B-2.2'!$F$12:$F$27,'SCH B-2.2'!$B$12:$B$27,'SCH B-2.1 B'!$B68)</f>
        <v>0</v>
      </c>
      <c r="H68" s="53">
        <f t="shared" si="14"/>
        <v>159337931.74463749</v>
      </c>
    </row>
    <row r="69" spans="1:8" ht="18.95" customHeight="1">
      <c r="A69" s="30">
        <f t="shared" si="0"/>
        <v>42</v>
      </c>
      <c r="B69" s="31" t="s">
        <v>1724</v>
      </c>
      <c r="C69" s="38" t="s">
        <v>1725</v>
      </c>
      <c r="D69" s="53">
        <f>'SCH B-2.3 B'!H69</f>
        <v>448760.26</v>
      </c>
      <c r="E69" s="95">
        <f t="shared" si="13"/>
        <v>0.95284907531672947</v>
      </c>
      <c r="F69" s="53">
        <f>SUMIFS('JURISSEP B'!$G$71:$G$225,'JURISSEP B'!$B$71:$B$225,$B69)</f>
        <v>427600.79877989512</v>
      </c>
      <c r="G69" s="53">
        <f>SUMIFS('SCH B-2.2'!$F$12:$F$27,'SCH B-2.2'!$B$12:$B$27,'SCH B-2.1 B'!$B69)</f>
        <v>0</v>
      </c>
      <c r="H69" s="53">
        <f t="shared" si="14"/>
        <v>427600.79877989512</v>
      </c>
    </row>
    <row r="70" spans="1:8" ht="18.95" customHeight="1">
      <c r="A70" s="30">
        <f t="shared" si="0"/>
        <v>43</v>
      </c>
      <c r="B70" s="31" t="s">
        <v>1726</v>
      </c>
      <c r="C70" s="38" t="s">
        <v>1727</v>
      </c>
      <c r="D70" s="53">
        <f>'SCH B-2.3 B'!H70</f>
        <v>1116714.08</v>
      </c>
      <c r="E70" s="95">
        <f t="shared" si="13"/>
        <v>0.95296664025736511</v>
      </c>
      <c r="F70" s="53">
        <f>SUMIFS('JURISSEP B'!$G$71:$G$225,'JURISSEP B'!$B$71:$B$225,$B70)</f>
        <v>1064191.2649456945</v>
      </c>
      <c r="G70" s="53">
        <f>SUMIFS('SCH B-2.2'!$F$12:$F$27,'SCH B-2.2'!$B$12:$B$27,'SCH B-2.1 B'!$B70)</f>
        <v>0</v>
      </c>
      <c r="H70" s="53">
        <f t="shared" si="14"/>
        <v>1064191.2649456945</v>
      </c>
    </row>
    <row r="71" spans="1:8" ht="18.95" customHeight="1">
      <c r="A71" s="30">
        <f t="shared" si="0"/>
        <v>44</v>
      </c>
      <c r="B71" s="31" t="s">
        <v>1728</v>
      </c>
      <c r="C71" s="38" t="s">
        <v>155</v>
      </c>
      <c r="D71" s="54">
        <f>'SCH B-2.3 B'!H71</f>
        <v>413450.63</v>
      </c>
      <c r="E71" s="95">
        <f t="shared" si="13"/>
        <v>0.95582457705600388</v>
      </c>
      <c r="F71" s="54">
        <f>SUMIFS('JURISSEP B'!$G$71:$G$225,'JURISSEP B'!$B$71:$B$225,$B71)</f>
        <v>395186.27355328837</v>
      </c>
      <c r="G71" s="54">
        <f>SUMIFS('SCH B-2.2'!$F$12:$F$27,'SCH B-2.2'!$B$12:$B$27,'SCH B-2.1 B'!$B71)</f>
        <v>-395186.27355328837</v>
      </c>
      <c r="H71" s="54">
        <f t="shared" si="14"/>
        <v>0</v>
      </c>
    </row>
    <row r="72" spans="1:8" ht="18.95" customHeight="1">
      <c r="A72" s="30">
        <f t="shared" si="0"/>
        <v>45</v>
      </c>
      <c r="C72" s="38" t="s">
        <v>153</v>
      </c>
      <c r="D72" s="51">
        <f>SUM(D63:D71)</f>
        <v>906259751.26999891</v>
      </c>
      <c r="E72" s="51"/>
      <c r="F72" s="51">
        <f t="shared" ref="F72:H72" si="15">SUM(F63:F71)</f>
        <v>810038656.89984596</v>
      </c>
      <c r="G72" s="51">
        <f t="shared" si="15"/>
        <v>-395186.27355328837</v>
      </c>
      <c r="H72" s="51">
        <f t="shared" si="15"/>
        <v>809643470.62629271</v>
      </c>
    </row>
    <row r="73" spans="1:8" ht="18.95" customHeight="1">
      <c r="A73" s="30"/>
      <c r="B73" s="31"/>
    </row>
    <row r="74" spans="1:8" ht="18.95" customHeight="1">
      <c r="A74" s="30">
        <f>A72+1</f>
        <v>46</v>
      </c>
      <c r="B74" s="31" t="s">
        <v>254</v>
      </c>
      <c r="C74" s="55" t="s">
        <v>16</v>
      </c>
    </row>
    <row r="75" spans="1:8" ht="18.95" customHeight="1">
      <c r="A75" s="30">
        <f t="shared" si="0"/>
        <v>47</v>
      </c>
      <c r="B75" s="31" t="s">
        <v>1729</v>
      </c>
      <c r="C75" s="38" t="s">
        <v>157</v>
      </c>
      <c r="D75" s="53">
        <f>'SCH B-2.3 B'!H75</f>
        <v>8626045.859999992</v>
      </c>
      <c r="E75" s="95">
        <f t="shared" ref="E75:E87" si="16">F75/D75</f>
        <v>0.95856181664213846</v>
      </c>
      <c r="F75" s="53">
        <f>SUMIFS('JURISSEP B'!$G$71:$G$225,'JURISSEP B'!$B$71:$B$225,$B75)</f>
        <v>8268598.1899999902</v>
      </c>
      <c r="G75" s="53">
        <f>SUMIFS('SCH B-2.2'!$F$12:$F$27,'SCH B-2.2'!$B$12:$B$27,'SCH B-2.1 B'!$B75)</f>
        <v>0</v>
      </c>
      <c r="H75" s="53">
        <f t="shared" ref="H75:H87" si="17">SUM(F75:G75)</f>
        <v>8268598.1899999902</v>
      </c>
    </row>
    <row r="76" spans="1:8" ht="18.95" customHeight="1">
      <c r="A76" s="30">
        <f t="shared" si="0"/>
        <v>48</v>
      </c>
      <c r="B76" s="31" t="s">
        <v>1730</v>
      </c>
      <c r="C76" s="38" t="s">
        <v>151</v>
      </c>
      <c r="D76" s="53">
        <f>'SCH B-2.3 B'!H76</f>
        <v>12509663.560000002</v>
      </c>
      <c r="E76" s="95">
        <f t="shared" si="16"/>
        <v>0.93217735985219397</v>
      </c>
      <c r="F76" s="53">
        <f>SUMIFS('JURISSEP B'!$G$71:$G$225,'JURISSEP B'!$B$71:$B$225,$B76)</f>
        <v>11661225.15</v>
      </c>
      <c r="G76" s="53">
        <f>SUMIFS('SCH B-2.2'!$F$12:$F$27,'SCH B-2.2'!$B$12:$B$27,'SCH B-2.1 B'!$B76)</f>
        <v>0</v>
      </c>
      <c r="H76" s="53">
        <f t="shared" si="17"/>
        <v>11661225.15</v>
      </c>
    </row>
    <row r="77" spans="1:8" ht="18.95" customHeight="1">
      <c r="A77" s="30">
        <f t="shared" si="0"/>
        <v>49</v>
      </c>
      <c r="B77" s="31" t="s">
        <v>1731</v>
      </c>
      <c r="C77" s="38" t="s">
        <v>1732</v>
      </c>
      <c r="D77" s="53">
        <f>'SCH B-2.3 B'!H77</f>
        <v>190967978.57000002</v>
      </c>
      <c r="E77" s="95">
        <f t="shared" si="16"/>
        <v>0.9372702881933217</v>
      </c>
      <c r="F77" s="53">
        <f>SUMIFS('JURISSEP B'!$G$71:$G$225,'JURISSEP B'!$B$71:$B$225,$B77)</f>
        <v>178988612.31</v>
      </c>
      <c r="G77" s="53">
        <f>SUMIFS('SCH B-2.2'!$F$12:$F$27,'SCH B-2.2'!$B$12:$B$27,'SCH B-2.1 B'!$B77)</f>
        <v>0</v>
      </c>
      <c r="H77" s="53">
        <f t="shared" si="17"/>
        <v>178988612.31</v>
      </c>
    </row>
    <row r="78" spans="1:8" ht="18.95" customHeight="1">
      <c r="A78" s="30">
        <f t="shared" ref="A78:A88" si="18">A77+1</f>
        <v>50</v>
      </c>
      <c r="B78" s="31" t="s">
        <v>1733</v>
      </c>
      <c r="C78" s="38" t="s">
        <v>1734</v>
      </c>
      <c r="D78" s="53">
        <f>'SCH B-2.3 B'!H78</f>
        <v>377046487.52000004</v>
      </c>
      <c r="E78" s="95">
        <f t="shared" si="16"/>
        <v>0.92393308491309389</v>
      </c>
      <c r="F78" s="53">
        <f>SUMIFS('JURISSEP B'!$G$71:$G$225,'JURISSEP B'!$B$71:$B$225,$B78)</f>
        <v>348365724.37</v>
      </c>
      <c r="G78" s="53">
        <f>SUMIFS('SCH B-2.2'!$F$12:$F$27,'SCH B-2.2'!$B$12:$B$27,'SCH B-2.1 B'!$B78)</f>
        <v>-24513.053462446274</v>
      </c>
      <c r="H78" s="53">
        <f t="shared" si="17"/>
        <v>348341211.31653756</v>
      </c>
    </row>
    <row r="79" spans="1:8" ht="18.95" customHeight="1">
      <c r="A79" s="30">
        <f t="shared" si="18"/>
        <v>51</v>
      </c>
      <c r="B79" s="31" t="s">
        <v>1735</v>
      </c>
      <c r="C79" s="38" t="s">
        <v>1723</v>
      </c>
      <c r="D79" s="53">
        <f>'SCH B-2.3 B'!H79</f>
        <v>369385847.97000003</v>
      </c>
      <c r="E79" s="95">
        <f t="shared" si="16"/>
        <v>0.92961431610636136</v>
      </c>
      <c r="F79" s="53">
        <f>SUMIFS('JURISSEP B'!$G$71:$G$225,'JURISSEP B'!$B$71:$B$225,$B79)</f>
        <v>343386372.43999994</v>
      </c>
      <c r="G79" s="53">
        <f>SUMIFS('SCH B-2.2'!$F$12:$F$27,'SCH B-2.2'!$B$12:$B$27,'SCH B-2.1 B'!$B79)</f>
        <v>-21938.349387663624</v>
      </c>
      <c r="H79" s="53">
        <f t="shared" si="17"/>
        <v>343364434.09061229</v>
      </c>
    </row>
    <row r="80" spans="1:8" ht="18.95" customHeight="1">
      <c r="A80" s="30">
        <f t="shared" si="18"/>
        <v>52</v>
      </c>
      <c r="B80" s="31" t="s">
        <v>1736</v>
      </c>
      <c r="C80" s="38" t="s">
        <v>1725</v>
      </c>
      <c r="D80" s="53">
        <f>'SCH B-2.3 B'!H80</f>
        <v>2381227.67</v>
      </c>
      <c r="E80" s="95">
        <f t="shared" si="16"/>
        <v>1</v>
      </c>
      <c r="F80" s="53">
        <f>SUMIFS('JURISSEP B'!$G$71:$G$225,'JURISSEP B'!$B$71:$B$225,$B80)</f>
        <v>2381227.67</v>
      </c>
      <c r="G80" s="53">
        <f>SUMIFS('SCH B-2.2'!$F$12:$F$27,'SCH B-2.2'!$B$12:$B$27,'SCH B-2.1 B'!$B80)</f>
        <v>-171002.52000000002</v>
      </c>
      <c r="H80" s="53">
        <f t="shared" si="17"/>
        <v>2210225.15</v>
      </c>
    </row>
    <row r="81" spans="1:8" ht="18.95" customHeight="1">
      <c r="A81" s="30">
        <f t="shared" si="18"/>
        <v>53</v>
      </c>
      <c r="B81" s="31" t="s">
        <v>1737</v>
      </c>
      <c r="C81" s="38" t="s">
        <v>1727</v>
      </c>
      <c r="D81" s="53">
        <f>'SCH B-2.3 B'!H81</f>
        <v>192954763.99000001</v>
      </c>
      <c r="E81" s="95">
        <f t="shared" si="16"/>
        <v>0.9730471121704487</v>
      </c>
      <c r="F81" s="53">
        <f>SUMIFS('JURISSEP B'!$G$71:$G$225,'JURISSEP B'!$B$71:$B$225,$B81)</f>
        <v>187754075.88</v>
      </c>
      <c r="G81" s="53">
        <f>SUMIFS('SCH B-2.2'!$F$12:$F$27,'SCH B-2.2'!$B$12:$B$27,'SCH B-2.1 B'!$B81)</f>
        <v>-1290372.7311833459</v>
      </c>
      <c r="H81" s="53">
        <f t="shared" si="17"/>
        <v>186463703.14881665</v>
      </c>
    </row>
    <row r="82" spans="1:8" ht="18.95" customHeight="1">
      <c r="A82" s="30">
        <f t="shared" si="18"/>
        <v>54</v>
      </c>
      <c r="B82" s="31" t="s">
        <v>1738</v>
      </c>
      <c r="C82" s="38" t="s">
        <v>1739</v>
      </c>
      <c r="D82" s="53">
        <f>'SCH B-2.3 B'!H82</f>
        <v>315269602.52000004</v>
      </c>
      <c r="E82" s="95">
        <f t="shared" si="16"/>
        <v>0.95799136733269363</v>
      </c>
      <c r="F82" s="53">
        <f>SUMIFS('JURISSEP B'!$G$71:$G$225,'JURISSEP B'!$B$71:$B$225,$B82)</f>
        <v>302025557.59656966</v>
      </c>
      <c r="G82" s="53">
        <f>SUMIFS('SCH B-2.2'!$F$12:$F$27,'SCH B-2.2'!$B$12:$B$27,'SCH B-2.1 B'!$B82)</f>
        <v>0</v>
      </c>
      <c r="H82" s="53">
        <f t="shared" si="17"/>
        <v>302025557.59656966</v>
      </c>
    </row>
    <row r="83" spans="1:8" ht="18.95" customHeight="1">
      <c r="A83" s="30">
        <f t="shared" si="18"/>
        <v>55</v>
      </c>
      <c r="B83" s="31" t="s">
        <v>1740</v>
      </c>
      <c r="C83" s="38" t="s">
        <v>1741</v>
      </c>
      <c r="D83" s="53">
        <f>'SCH B-2.3 B'!H83</f>
        <v>102761818.73000002</v>
      </c>
      <c r="E83" s="95">
        <f t="shared" si="16"/>
        <v>0.94648555175488946</v>
      </c>
      <c r="F83" s="53">
        <f>SUMIFS('JURISSEP B'!$G$71:$G$225,'JURISSEP B'!$B$71:$B$225,$B83)</f>
        <v>97262576.700000003</v>
      </c>
      <c r="G83" s="53">
        <f>SUMIFS('SCH B-2.2'!$F$12:$F$27,'SCH B-2.2'!$B$12:$B$27,'SCH B-2.1 B'!$B83)</f>
        <v>0</v>
      </c>
      <c r="H83" s="53">
        <f t="shared" si="17"/>
        <v>97262576.700000003</v>
      </c>
    </row>
    <row r="84" spans="1:8" ht="18.95" customHeight="1">
      <c r="A84" s="30">
        <f>A83+1</f>
        <v>56</v>
      </c>
      <c r="B84" s="31" t="s">
        <v>1742</v>
      </c>
      <c r="C84" s="38" t="s">
        <v>1743</v>
      </c>
      <c r="D84" s="53">
        <f>'SCH B-2.3 B'!H84</f>
        <v>78445770.179999992</v>
      </c>
      <c r="E84" s="95">
        <f t="shared" si="16"/>
        <v>0.94513784490706376</v>
      </c>
      <c r="F84" s="53">
        <f>SUMIFS('JURISSEP B'!$G$71:$G$225,'JURISSEP B'!$B$71:$B$225,$B84)</f>
        <v>74142066.170000002</v>
      </c>
      <c r="G84" s="53">
        <f>SUMIFS('SCH B-2.2'!$F$12:$F$27,'SCH B-2.2'!$B$12:$B$27,'SCH B-2.1 B'!$B84)</f>
        <v>0</v>
      </c>
      <c r="H84" s="53">
        <f t="shared" si="17"/>
        <v>74142066.170000002</v>
      </c>
    </row>
    <row r="85" spans="1:8" ht="18.95" customHeight="1">
      <c r="A85" s="30">
        <f t="shared" si="18"/>
        <v>57</v>
      </c>
      <c r="B85" s="31" t="s">
        <v>1744</v>
      </c>
      <c r="C85" s="38" t="s">
        <v>1745</v>
      </c>
      <c r="D85" s="53">
        <f>'SCH B-2.3 B'!H85</f>
        <v>205375.54999999702</v>
      </c>
      <c r="E85" s="95">
        <f t="shared" si="16"/>
        <v>1.0000000000000091</v>
      </c>
      <c r="F85" s="53">
        <f>SUMIFS('JURISSEP B'!$G$71:$G$225,'JURISSEP B'!$B$71:$B$225,$B85)</f>
        <v>205375.54999999888</v>
      </c>
      <c r="G85" s="53">
        <f>SUMIFS('SCH B-2.2'!$F$12:$F$27,'SCH B-2.2'!$B$12:$B$27,'SCH B-2.1 B'!$B85)</f>
        <v>0</v>
      </c>
      <c r="H85" s="53">
        <f t="shared" si="17"/>
        <v>205375.54999999888</v>
      </c>
    </row>
    <row r="86" spans="1:8" ht="18.95" customHeight="1">
      <c r="A86" s="30">
        <f t="shared" si="18"/>
        <v>58</v>
      </c>
      <c r="B86" s="31" t="s">
        <v>1746</v>
      </c>
      <c r="C86" s="38" t="s">
        <v>1747</v>
      </c>
      <c r="D86" s="53">
        <f>'SCH B-2.3 B'!H86</f>
        <v>115408991.71999989</v>
      </c>
      <c r="E86" s="95">
        <f t="shared" si="16"/>
        <v>0.96778189961990946</v>
      </c>
      <c r="F86" s="53">
        <f>SUMIFS('JURISSEP B'!$G$71:$G$225,'JURISSEP B'!$B$71:$B$225,$B86)</f>
        <v>111690733.23999991</v>
      </c>
      <c r="G86" s="53">
        <f>SUMIFS('SCH B-2.2'!$F$12:$F$27,'SCH B-2.2'!$B$12:$B$27,'SCH B-2.1 B'!$B86)</f>
        <v>0</v>
      </c>
      <c r="H86" s="53">
        <f t="shared" si="17"/>
        <v>111690733.23999991</v>
      </c>
    </row>
    <row r="87" spans="1:8" ht="18.95" customHeight="1">
      <c r="A87" s="30">
        <f t="shared" si="18"/>
        <v>59</v>
      </c>
      <c r="B87" s="31" t="s">
        <v>1748</v>
      </c>
      <c r="C87" s="38" t="s">
        <v>154</v>
      </c>
      <c r="D87" s="54">
        <f>'SCH B-2.3 B'!H87</f>
        <v>904896.85999999894</v>
      </c>
      <c r="E87" s="95">
        <f t="shared" si="16"/>
        <v>1</v>
      </c>
      <c r="F87" s="54">
        <f>SUMIFS('JURISSEP B'!$G$71:$G$225,'JURISSEP B'!$B$71:$B$225,$B87)</f>
        <v>904896.85999999894</v>
      </c>
      <c r="G87" s="54">
        <f>SUMIFS('SCH B-2.2'!$F$12:$F$27,'SCH B-2.2'!$B$12:$B$27,'SCH B-2.1 B'!$B87)</f>
        <v>-904896.85999999894</v>
      </c>
      <c r="H87" s="54">
        <f t="shared" si="17"/>
        <v>0</v>
      </c>
    </row>
    <row r="88" spans="1:8" ht="18.95" customHeight="1">
      <c r="A88" s="30">
        <f t="shared" si="18"/>
        <v>60</v>
      </c>
      <c r="B88" s="31"/>
      <c r="C88" s="38" t="s">
        <v>156</v>
      </c>
      <c r="D88" s="51">
        <f>SUM(D75:D87)</f>
        <v>1766868470.6999996</v>
      </c>
      <c r="E88" s="51"/>
      <c r="F88" s="51">
        <f t="shared" ref="F88:H88" si="19">SUM(F75:F87)</f>
        <v>1667037042.1265693</v>
      </c>
      <c r="G88" s="51">
        <f t="shared" si="19"/>
        <v>-2412723.5140334545</v>
      </c>
      <c r="H88" s="51">
        <f t="shared" si="19"/>
        <v>1664624318.6125362</v>
      </c>
    </row>
    <row r="89" spans="1:8" s="28" customFormat="1" ht="20.100000000000001" customHeight="1">
      <c r="A89" s="706" t="str">
        <f>$A$1</f>
        <v>KENTUCKY UTILITIES COMPANY</v>
      </c>
      <c r="B89" s="706"/>
      <c r="C89" s="706"/>
      <c r="D89" s="706"/>
      <c r="E89" s="706"/>
      <c r="F89" s="706"/>
      <c r="G89" s="706"/>
      <c r="H89" s="706"/>
    </row>
    <row r="90" spans="1:8" s="28" customFormat="1" ht="20.100000000000001" customHeight="1">
      <c r="A90" s="706" t="str">
        <f>$A$2</f>
        <v>CASE NO. 2016-00370</v>
      </c>
      <c r="B90" s="706"/>
      <c r="C90" s="706"/>
      <c r="D90" s="706"/>
      <c r="E90" s="706"/>
      <c r="F90" s="706"/>
      <c r="G90" s="706"/>
      <c r="H90" s="706"/>
    </row>
    <row r="91" spans="1:8" s="28" customFormat="1" ht="20.100000000000001" customHeight="1">
      <c r="A91" s="706" t="str">
        <f>$A$3</f>
        <v>PLANT IN SERVICE BY ACCOUNTS AND SUBACCOUNTS</v>
      </c>
      <c r="B91" s="706"/>
      <c r="C91" s="706"/>
      <c r="D91" s="706"/>
      <c r="E91" s="706"/>
      <c r="F91" s="706"/>
      <c r="G91" s="706"/>
      <c r="H91" s="706"/>
    </row>
    <row r="92" spans="1:8" s="28" customFormat="1" ht="20.100000000000001" customHeight="1">
      <c r="A92" s="705" t="str">
        <f>$A$4</f>
        <v>AS OF FEBRUARY 28, 2017</v>
      </c>
      <c r="B92" s="706"/>
      <c r="C92" s="706"/>
      <c r="D92" s="706"/>
      <c r="E92" s="706"/>
      <c r="F92" s="706"/>
      <c r="G92" s="706"/>
      <c r="H92" s="706"/>
    </row>
    <row r="93" spans="1:8" s="28" customFormat="1" ht="20.100000000000001" customHeight="1">
      <c r="A93" s="44"/>
      <c r="B93" s="44"/>
      <c r="C93" s="44"/>
      <c r="D93" s="44"/>
      <c r="E93" s="44"/>
      <c r="F93" s="44"/>
      <c r="G93" s="44"/>
      <c r="H93" s="44"/>
    </row>
    <row r="94" spans="1:8" s="28" customFormat="1" ht="20.100000000000001" customHeight="1">
      <c r="A94" s="27" t="str">
        <f>$A$6</f>
        <v>DATA:__X__BASE  PERIOD____FORECASTED  PERIOD</v>
      </c>
      <c r="B94" s="27"/>
      <c r="G94" s="34"/>
      <c r="H94" s="34" t="s">
        <v>231</v>
      </c>
    </row>
    <row r="95" spans="1:8" s="28" customFormat="1" ht="20.100000000000001" customHeight="1">
      <c r="A95" s="27" t="str">
        <f>$A$7</f>
        <v>TYPE OF FILING: __X__ ORIGINAL  _____ UPDATED  _____ REVISED</v>
      </c>
      <c r="G95" s="34"/>
      <c r="H95" s="34" t="s">
        <v>174</v>
      </c>
    </row>
    <row r="96" spans="1:8" s="28" customFormat="1" ht="20.100000000000001" customHeight="1">
      <c r="A96" s="27" t="str">
        <f>$A$8</f>
        <v xml:space="preserve">WORKPAPER REFERENCE NO(S).: </v>
      </c>
      <c r="B96" s="27"/>
      <c r="F96" s="27"/>
      <c r="G96" s="35"/>
      <c r="H96" s="35" t="str">
        <f>$H$8</f>
        <v>WITNESS:   C. M. GARRETT</v>
      </c>
    </row>
    <row r="97" spans="1:8" s="28" customFormat="1" ht="20.100000000000001" customHeight="1"/>
    <row r="98" spans="1:8" ht="58.5" customHeight="1">
      <c r="A98" s="36" t="s">
        <v>134</v>
      </c>
      <c r="B98" s="36" t="s">
        <v>137</v>
      </c>
      <c r="C98" s="39" t="s">
        <v>225</v>
      </c>
      <c r="D98" s="36" t="s">
        <v>226</v>
      </c>
      <c r="E98" s="36" t="s">
        <v>227</v>
      </c>
      <c r="F98" s="36" t="s">
        <v>228</v>
      </c>
      <c r="G98" s="36" t="s">
        <v>229</v>
      </c>
      <c r="H98" s="36" t="s">
        <v>230</v>
      </c>
    </row>
    <row r="99" spans="1:8" ht="23.1" customHeight="1">
      <c r="A99" s="40"/>
      <c r="B99" s="40"/>
      <c r="C99" s="41"/>
      <c r="D99" s="42" t="s">
        <v>145</v>
      </c>
      <c r="E99" s="42"/>
      <c r="F99" s="42" t="s">
        <v>145</v>
      </c>
      <c r="G99" s="42" t="s">
        <v>145</v>
      </c>
      <c r="H99" s="42" t="s">
        <v>145</v>
      </c>
    </row>
    <row r="100" spans="1:8" ht="18.95" customHeight="1">
      <c r="A100" s="30">
        <f>A88+1</f>
        <v>61</v>
      </c>
      <c r="C100" s="55" t="s">
        <v>33</v>
      </c>
    </row>
    <row r="101" spans="1:8" ht="18.95" customHeight="1">
      <c r="A101" s="30">
        <f t="shared" ref="A101:A111" si="20">A100+1</f>
        <v>62</v>
      </c>
      <c r="B101" s="31" t="s">
        <v>1750</v>
      </c>
      <c r="C101" s="38" t="s">
        <v>157</v>
      </c>
      <c r="D101" s="53">
        <f>'SCH B-2.3 B'!H101</f>
        <v>3410792.0700000003</v>
      </c>
      <c r="E101" s="95">
        <f t="shared" ref="E101:E109" si="21">F101/D101</f>
        <v>0.90241299825518828</v>
      </c>
      <c r="F101" s="53">
        <f>SUMIFS('JURISSEP B'!$G$71:$G$225,'JURISSEP B'!$B$71:$B$225,$B101)</f>
        <v>3077943.0983137204</v>
      </c>
      <c r="G101" s="53">
        <f>SUMIFS('SCH B-2.2'!$F$12:$F$27,'SCH B-2.2'!$B$12:$B$27,'SCH B-2.1 B'!$B101)</f>
        <v>0</v>
      </c>
      <c r="H101" s="53">
        <f t="shared" ref="H101:H110" si="22">SUM(F101:G101)</f>
        <v>3077943.0983137204</v>
      </c>
    </row>
    <row r="102" spans="1:8" ht="18.95" customHeight="1">
      <c r="A102" s="30">
        <f t="shared" si="20"/>
        <v>63</v>
      </c>
      <c r="B102" s="31" t="s">
        <v>1751</v>
      </c>
      <c r="C102" s="38" t="s">
        <v>151</v>
      </c>
      <c r="D102" s="53">
        <f>'SCH B-2.3 B'!H102</f>
        <v>61758524.859999992</v>
      </c>
      <c r="E102" s="95">
        <f t="shared" si="21"/>
        <v>0.9024129982551885</v>
      </c>
      <c r="F102" s="53">
        <f>SUMIFS('JURISSEP B'!$G$71:$G$225,'JURISSEP B'!$B$71:$B$225,$B102)</f>
        <v>55731695.58673019</v>
      </c>
      <c r="G102" s="53">
        <f>SUMIFS('SCH B-2.2'!$F$12:$F$27,'SCH B-2.2'!$B$12:$B$27,'SCH B-2.1 B'!$B102)</f>
        <v>0</v>
      </c>
      <c r="H102" s="53">
        <f t="shared" si="22"/>
        <v>55731695.58673019</v>
      </c>
    </row>
    <row r="103" spans="1:8" ht="18.95" customHeight="1">
      <c r="A103" s="30">
        <f t="shared" si="20"/>
        <v>64</v>
      </c>
      <c r="B103" s="31" t="s">
        <v>1752</v>
      </c>
      <c r="C103" s="38" t="s">
        <v>159</v>
      </c>
      <c r="D103" s="53">
        <f>'SCH B-2.3 B'!H103</f>
        <v>45046030.169999972</v>
      </c>
      <c r="E103" s="95">
        <f t="shared" si="21"/>
        <v>0.9024129982551885</v>
      </c>
      <c r="F103" s="53">
        <f>SUMIFS('JURISSEP B'!$G$71:$G$225,'JURISSEP B'!$B$71:$B$225,$B103)</f>
        <v>40650123.145203352</v>
      </c>
      <c r="G103" s="53">
        <f>SUMIFS('SCH B-2.2'!$F$12:$F$27,'SCH B-2.2'!$B$12:$B$27,'SCH B-2.1 B'!$B103)</f>
        <v>0</v>
      </c>
      <c r="H103" s="53">
        <f t="shared" si="22"/>
        <v>40650123.145203352</v>
      </c>
    </row>
    <row r="104" spans="1:8" ht="18.95" customHeight="1">
      <c r="A104" s="30">
        <f t="shared" si="20"/>
        <v>65</v>
      </c>
      <c r="B104" s="31" t="s">
        <v>1753</v>
      </c>
      <c r="C104" s="38" t="s">
        <v>158</v>
      </c>
      <c r="D104" s="53">
        <f>'SCH B-2.3 B'!H104</f>
        <v>7277719.4200000009</v>
      </c>
      <c r="E104" s="95">
        <f t="shared" si="21"/>
        <v>0.90241299825518828</v>
      </c>
      <c r="F104" s="53">
        <f>SUMIFS('JURISSEP B'!$G$71:$G$225,'JURISSEP B'!$B$71:$B$225,$B104)</f>
        <v>6567508.602262211</v>
      </c>
      <c r="G104" s="53">
        <f>SUMIFS('SCH B-2.2'!$F$12:$F$27,'SCH B-2.2'!$B$12:$B$27,'SCH B-2.1 B'!$B104)</f>
        <v>-131087.61642726266</v>
      </c>
      <c r="H104" s="53">
        <f t="shared" si="22"/>
        <v>6436420.9858349487</v>
      </c>
    </row>
    <row r="105" spans="1:8" ht="18.95" customHeight="1">
      <c r="A105" s="30">
        <f t="shared" si="20"/>
        <v>66</v>
      </c>
      <c r="B105" s="31" t="s">
        <v>1754</v>
      </c>
      <c r="C105" s="38" t="s">
        <v>1755</v>
      </c>
      <c r="D105" s="53">
        <f>'SCH B-2.3 B'!H105</f>
        <v>1513641.69</v>
      </c>
      <c r="E105" s="95">
        <f t="shared" si="21"/>
        <v>0.90241299825518861</v>
      </c>
      <c r="F105" s="53">
        <f>SUMIFS('JURISSEP B'!$G$71:$G$225,'JURISSEP B'!$B$71:$B$225,$B105)</f>
        <v>1365929.9357569506</v>
      </c>
      <c r="G105" s="53">
        <f>SUMIFS('SCH B-2.2'!$F$12:$F$27,'SCH B-2.2'!$B$12:$B$27,'SCH B-2.1 B'!$B105)</f>
        <v>0</v>
      </c>
      <c r="H105" s="53">
        <f t="shared" si="22"/>
        <v>1365929.9357569506</v>
      </c>
    </row>
    <row r="106" spans="1:8" ht="18.95" customHeight="1">
      <c r="A106" s="30">
        <f t="shared" si="20"/>
        <v>67</v>
      </c>
      <c r="B106" s="31" t="s">
        <v>1756</v>
      </c>
      <c r="C106" s="38" t="s">
        <v>1757</v>
      </c>
      <c r="D106" s="53">
        <f>'SCH B-2.3 B'!H106</f>
        <v>13321798.33</v>
      </c>
      <c r="E106" s="95">
        <f t="shared" si="21"/>
        <v>0.90241299825518839</v>
      </c>
      <c r="F106" s="53">
        <f>SUMIFS('JURISSEP B'!$G$71:$G$225,'JURISSEP B'!$B$71:$B$225,$B106)</f>
        <v>12021763.973126262</v>
      </c>
      <c r="G106" s="53">
        <f>SUMIFS('SCH B-2.2'!$F$12:$F$27,'SCH B-2.2'!$B$12:$B$27,'SCH B-2.1 B'!$B106)</f>
        <v>0</v>
      </c>
      <c r="H106" s="53">
        <f t="shared" si="22"/>
        <v>12021763.973126262</v>
      </c>
    </row>
    <row r="107" spans="1:8" ht="18.95" customHeight="1">
      <c r="A107" s="30">
        <f t="shared" si="20"/>
        <v>68</v>
      </c>
      <c r="B107" s="31" t="s">
        <v>1758</v>
      </c>
      <c r="C107" s="38" t="s">
        <v>1759</v>
      </c>
      <c r="D107" s="53">
        <f>'SCH B-2.3 B'!H107</f>
        <v>0</v>
      </c>
      <c r="E107" s="95"/>
      <c r="F107" s="53">
        <f>SUMIFS('JURISSEP B'!$G$71:$G$225,'JURISSEP B'!$B$71:$B$225,$B107)</f>
        <v>0</v>
      </c>
      <c r="G107" s="53">
        <f>SUMIFS('SCH B-2.2'!$F$12:$F$27,'SCH B-2.2'!$B$12:$B$27,'SCH B-2.1 B'!$B107)</f>
        <v>0</v>
      </c>
      <c r="H107" s="53">
        <f t="shared" si="22"/>
        <v>0</v>
      </c>
    </row>
    <row r="108" spans="1:8" ht="18.95" customHeight="1">
      <c r="A108" s="30">
        <f t="shared" si="20"/>
        <v>69</v>
      </c>
      <c r="B108" s="31" t="s">
        <v>1760</v>
      </c>
      <c r="C108" s="38" t="s">
        <v>1761</v>
      </c>
      <c r="D108" s="53">
        <f>'SCH B-2.3 B'!H108</f>
        <v>2370876.7599999998</v>
      </c>
      <c r="E108" s="95">
        <f t="shared" si="21"/>
        <v>0.9024129982551885</v>
      </c>
      <c r="F108" s="53">
        <f>SUMIFS('JURISSEP B'!$G$71:$G$225,'JURISSEP B'!$B$71:$B$225,$B108)</f>
        <v>2139510.0054851468</v>
      </c>
      <c r="G108" s="53">
        <f>SUMIFS('SCH B-2.2'!$F$12:$F$27,'SCH B-2.2'!$B$12:$B$27,'SCH B-2.1 B'!$B108)</f>
        <v>0</v>
      </c>
      <c r="H108" s="53">
        <f t="shared" si="22"/>
        <v>2139510.0054851468</v>
      </c>
    </row>
    <row r="109" spans="1:8" ht="18.95" customHeight="1">
      <c r="A109" s="30">
        <f t="shared" si="20"/>
        <v>70</v>
      </c>
      <c r="B109" s="31" t="s">
        <v>1762</v>
      </c>
      <c r="C109" s="38" t="s">
        <v>160</v>
      </c>
      <c r="D109" s="53">
        <f>'SCH B-2.3 B'!H109</f>
        <v>55971611.170000002</v>
      </c>
      <c r="E109" s="95">
        <f t="shared" si="21"/>
        <v>0.91850908067521442</v>
      </c>
      <c r="F109" s="53">
        <f>SUMIFS('JURISSEP B'!$G$71:$G$225,'JURISSEP B'!$B$71:$B$225,$B109)</f>
        <v>51410433.119667262</v>
      </c>
      <c r="G109" s="53">
        <f>SUMIFS('SCH B-2.2'!$F$12:$F$27,'SCH B-2.2'!$B$12:$B$27,'SCH B-2.1 B'!$B109)</f>
        <v>-9232004.7799999993</v>
      </c>
      <c r="H109" s="53">
        <f t="shared" si="22"/>
        <v>42178428.339667261</v>
      </c>
    </row>
    <row r="110" spans="1:8" ht="18.95" customHeight="1">
      <c r="A110" s="30">
        <f t="shared" si="20"/>
        <v>71</v>
      </c>
      <c r="B110" s="31" t="s">
        <v>1763</v>
      </c>
      <c r="C110" s="38" t="s">
        <v>1764</v>
      </c>
      <c r="D110" s="54">
        <f>'SCH B-2.3 B'!H110</f>
        <v>0</v>
      </c>
      <c r="E110" s="95">
        <f>E108</f>
        <v>0.9024129982551885</v>
      </c>
      <c r="F110" s="54">
        <f>SUMIFS('JURISSEP B'!$G$71:$G$225,'JURISSEP B'!$B$71:$B$225,$B110)</f>
        <v>0</v>
      </c>
      <c r="G110" s="54">
        <f>SUMIFS('SCH B-2.2'!$F$12:$F$27,'SCH B-2.2'!$B$12:$B$27,'SCH B-2.1 B'!$B110)</f>
        <v>0</v>
      </c>
      <c r="H110" s="54">
        <f t="shared" si="22"/>
        <v>0</v>
      </c>
    </row>
    <row r="111" spans="1:8" ht="18.95" customHeight="1">
      <c r="A111" s="30">
        <f t="shared" si="20"/>
        <v>72</v>
      </c>
      <c r="B111" s="31"/>
      <c r="C111" s="38" t="s">
        <v>161</v>
      </c>
      <c r="D111" s="51">
        <f>SUM(D101:D110)</f>
        <v>190670994.46999997</v>
      </c>
      <c r="E111" s="51"/>
      <c r="F111" s="51">
        <f t="shared" ref="F111:H111" si="23">SUM(F101:F110)</f>
        <v>172964907.4665451</v>
      </c>
      <c r="G111" s="51">
        <f t="shared" si="23"/>
        <v>-9363092.3964272626</v>
      </c>
      <c r="H111" s="51">
        <f t="shared" si="23"/>
        <v>163601815.07011783</v>
      </c>
    </row>
    <row r="112" spans="1:8" ht="18.95" customHeight="1">
      <c r="A112" s="30"/>
      <c r="B112" s="31"/>
    </row>
    <row r="113" spans="1:8" ht="18.95" customHeight="1" thickBot="1">
      <c r="A113" s="30">
        <f>A111+1</f>
        <v>73</v>
      </c>
      <c r="B113" s="31"/>
      <c r="C113" s="28" t="s">
        <v>162</v>
      </c>
      <c r="D113" s="59">
        <f>SUM(D16,D27,D38,D60,D72,D88,D111)</f>
        <v>9282639661.7299938</v>
      </c>
      <c r="E113" s="51"/>
      <c r="F113" s="59">
        <f>SUM(F16,F27,F38,F60,F72,F88,F111)</f>
        <v>8236570931.0746117</v>
      </c>
      <c r="G113" s="59">
        <f>SUM(G16,G27,G38,G60,G72,G88,G111)</f>
        <v>-1472734601.9274101</v>
      </c>
      <c r="H113" s="59">
        <f>SUM(H16,H27,H38,H60,H72,H88,H111)</f>
        <v>6763836329.1472025</v>
      </c>
    </row>
    <row r="114" spans="1:8" ht="18.95" customHeight="1" thickTop="1">
      <c r="B114" s="31"/>
    </row>
    <row r="115" spans="1:8" ht="18.95" customHeight="1">
      <c r="B115" s="31"/>
      <c r="D115" s="51"/>
    </row>
    <row r="116" spans="1:8" ht="18.95" customHeight="1">
      <c r="B116" s="31"/>
      <c r="C116" s="38"/>
    </row>
    <row r="117" spans="1:8" ht="18.95" customHeight="1">
      <c r="B117" s="31"/>
    </row>
    <row r="118" spans="1:8" ht="18.95" customHeight="1">
      <c r="B118" s="31"/>
    </row>
    <row r="119" spans="1:8" ht="18.95" customHeight="1">
      <c r="D119" s="29" t="s">
        <v>163</v>
      </c>
    </row>
    <row r="120" spans="1:8" ht="18.95" customHeight="1"/>
    <row r="121" spans="1:8" ht="18.95" customHeight="1"/>
    <row r="122" spans="1:8" ht="18.95" customHeight="1"/>
    <row r="123" spans="1:8" ht="18.95" customHeight="1"/>
    <row r="124" spans="1:8" ht="18.95" customHeight="1"/>
    <row r="125" spans="1:8" ht="18.95" customHeight="1"/>
    <row r="126" spans="1:8" ht="18.95" customHeight="1"/>
    <row r="127" spans="1:8" ht="18.95" customHeight="1"/>
    <row r="128" spans="1:8" ht="18.95" customHeight="1"/>
    <row r="129" ht="18.95" customHeight="1"/>
    <row r="130" ht="18.95" customHeight="1"/>
    <row r="131" ht="18.95" customHeight="1"/>
  </sheetData>
  <mergeCells count="12">
    <mergeCell ref="A92:H92"/>
    <mergeCell ref="A1:H1"/>
    <mergeCell ref="A2:H2"/>
    <mergeCell ref="A3:H3"/>
    <mergeCell ref="A4:H4"/>
    <mergeCell ref="A45:H45"/>
    <mergeCell ref="A46:H46"/>
    <mergeCell ref="A47:H47"/>
    <mergeCell ref="A48:H48"/>
    <mergeCell ref="A89:H89"/>
    <mergeCell ref="A90:H90"/>
    <mergeCell ref="A91:H91"/>
  </mergeCells>
  <pageMargins left="0.95" right="0.5" top="0.75" bottom="0.75" header="0.3" footer="0.3"/>
  <pageSetup scale="68" fitToHeight="0" orientation="portrait" r:id="rId1"/>
  <rowBreaks count="2" manualBreakCount="2">
    <brk id="44" max="16383" man="1"/>
    <brk id="88" max="8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H131"/>
  <sheetViews>
    <sheetView zoomScaleNormal="100" workbookViewId="0">
      <selection sqref="A1:H1"/>
    </sheetView>
  </sheetViews>
  <sheetFormatPr defaultColWidth="9" defaultRowHeight="12.75"/>
  <cols>
    <col min="1" max="1" width="6" style="29" customWidth="1"/>
    <col min="2" max="2" width="7.6640625" style="29" customWidth="1"/>
    <col min="3" max="3" width="38.33203125" style="29" customWidth="1"/>
    <col min="4" max="4" width="15.77734375" style="29" customWidth="1"/>
    <col min="5" max="5" width="13.6640625" style="29" customWidth="1"/>
    <col min="6" max="6" width="14.88671875" style="29" customWidth="1"/>
    <col min="7" max="8" width="13.6640625" style="29" customWidth="1"/>
    <col min="9" max="9" width="1.6640625" style="29" customWidth="1"/>
    <col min="10" max="16384" width="9" style="29"/>
  </cols>
  <sheetData>
    <row r="1" spans="1:8" s="28" customFormat="1" ht="20.100000000000001" customHeight="1">
      <c r="A1" s="706" t="str">
        <f>'Rate Case Constants'!C9</f>
        <v>KENTUCKY UTILITIES COMPANY</v>
      </c>
      <c r="B1" s="706"/>
      <c r="C1" s="706"/>
      <c r="D1" s="706"/>
      <c r="E1" s="706"/>
      <c r="F1" s="706"/>
      <c r="G1" s="706"/>
      <c r="H1" s="706"/>
    </row>
    <row r="2" spans="1:8" s="28" customFormat="1" ht="20.100000000000001" customHeight="1">
      <c r="A2" s="706" t="str">
        <f>'Rate Case Constants'!C10</f>
        <v>CASE NO. 2016-00370</v>
      </c>
      <c r="B2" s="706"/>
      <c r="C2" s="706"/>
      <c r="D2" s="706"/>
      <c r="E2" s="706"/>
      <c r="F2" s="706"/>
      <c r="G2" s="706"/>
      <c r="H2" s="706"/>
    </row>
    <row r="3" spans="1:8" s="28" customFormat="1" ht="20.100000000000001" customHeight="1">
      <c r="A3" s="706" t="s">
        <v>224</v>
      </c>
      <c r="B3" s="706"/>
      <c r="C3" s="706"/>
      <c r="D3" s="706"/>
      <c r="E3" s="706"/>
      <c r="F3" s="706"/>
      <c r="G3" s="706"/>
      <c r="H3" s="706"/>
    </row>
    <row r="4" spans="1:8" s="28" customFormat="1" ht="20.100000000000001" customHeight="1">
      <c r="A4" s="705" t="str">
        <f>'Rate Case Constants'!C18</f>
        <v>AS OF JUNE 30, 2018</v>
      </c>
      <c r="B4" s="706"/>
      <c r="C4" s="706"/>
      <c r="D4" s="706"/>
      <c r="E4" s="706"/>
      <c r="F4" s="706"/>
      <c r="G4" s="706"/>
      <c r="H4" s="706"/>
    </row>
    <row r="5" spans="1:8" s="28" customFormat="1" ht="20.100000000000001" customHeight="1">
      <c r="A5" s="44"/>
      <c r="B5" s="44"/>
      <c r="C5" s="44"/>
      <c r="D5" s="44"/>
      <c r="E5" s="44"/>
      <c r="F5" s="44"/>
      <c r="G5" s="44"/>
      <c r="H5" s="44"/>
    </row>
    <row r="6" spans="1:8" s="28" customFormat="1" ht="20.100000000000001" customHeight="1">
      <c r="A6" s="27" t="s">
        <v>164</v>
      </c>
      <c r="B6" s="27"/>
      <c r="G6" s="34"/>
      <c r="H6" s="34" t="s">
        <v>231</v>
      </c>
    </row>
    <row r="7" spans="1:8" s="28" customFormat="1" ht="20.100000000000001" customHeight="1">
      <c r="A7" s="28" t="str">
        <f>'Rate Case Constants'!C29</f>
        <v>TYPE OF FILING: __X__ ORIGINAL  _____ UPDATED  _____ REVISED</v>
      </c>
      <c r="G7" s="34"/>
      <c r="H7" s="34" t="s">
        <v>171</v>
      </c>
    </row>
    <row r="8" spans="1:8" s="28" customFormat="1" ht="20.100000000000001" customHeight="1">
      <c r="A8" s="27" t="s">
        <v>1204</v>
      </c>
      <c r="B8" s="27"/>
      <c r="F8" s="27"/>
      <c r="G8" s="35"/>
      <c r="H8" s="35" t="str">
        <f>'Rate Case Constants'!C36</f>
        <v>WITNESS:   C. M. GARRETT</v>
      </c>
    </row>
    <row r="9" spans="1:8" s="28" customFormat="1" ht="20.100000000000001" customHeight="1"/>
    <row r="10" spans="1:8" ht="71.099999999999994" customHeight="1">
      <c r="A10" s="36" t="s">
        <v>134</v>
      </c>
      <c r="B10" s="36" t="s">
        <v>137</v>
      </c>
      <c r="C10" s="39" t="s">
        <v>225</v>
      </c>
      <c r="D10" s="36" t="s">
        <v>3365</v>
      </c>
      <c r="E10" s="36" t="s">
        <v>227</v>
      </c>
      <c r="F10" s="36" t="s">
        <v>228</v>
      </c>
      <c r="G10" s="36" t="s">
        <v>229</v>
      </c>
      <c r="H10" s="36" t="s">
        <v>230</v>
      </c>
    </row>
    <row r="11" spans="1:8" ht="23.1" customHeight="1">
      <c r="A11" s="40"/>
      <c r="B11" s="40"/>
      <c r="C11" s="41"/>
      <c r="D11" s="42" t="s">
        <v>145</v>
      </c>
      <c r="E11" s="42"/>
      <c r="F11" s="42" t="s">
        <v>145</v>
      </c>
      <c r="G11" s="42" t="s">
        <v>145</v>
      </c>
      <c r="H11" s="42" t="s">
        <v>145</v>
      </c>
    </row>
    <row r="12" spans="1:8" ht="23.1" customHeight="1">
      <c r="A12" s="33">
        <v>1</v>
      </c>
      <c r="B12" s="33"/>
      <c r="C12" s="45" t="s">
        <v>58</v>
      </c>
      <c r="D12" s="37"/>
      <c r="E12" s="37"/>
      <c r="F12" s="37"/>
      <c r="G12" s="37"/>
      <c r="H12" s="37"/>
    </row>
    <row r="13" spans="1:8" ht="18.95" customHeight="1">
      <c r="A13" s="30">
        <f>A12+1</f>
        <v>2</v>
      </c>
      <c r="B13" s="31" t="s">
        <v>1673</v>
      </c>
      <c r="C13" s="38" t="s">
        <v>1674</v>
      </c>
      <c r="D13" s="51">
        <f>'SCH B-2.3 F'!I13</f>
        <v>44455.580000000009</v>
      </c>
      <c r="E13" s="95">
        <f>F13/D13</f>
        <v>0.88836656691270388</v>
      </c>
      <c r="F13" s="51">
        <f>SUMIFS('JURISSEP F'!$G$71:$G$225,'JURISSEP F'!$B$71:$B$225,$B13)</f>
        <v>39492.85098471307</v>
      </c>
      <c r="G13" s="51">
        <f>SUMIFS('SCH B-2.2'!$F$42:$F$57,'SCH B-2.2'!$B$42:$B$57,'SCH B-2.1 F'!$B13)</f>
        <v>0</v>
      </c>
      <c r="H13" s="51">
        <f>SUM(F13:G13)</f>
        <v>39492.85098471307</v>
      </c>
    </row>
    <row r="14" spans="1:8" ht="18.95" customHeight="1">
      <c r="A14" s="30">
        <f t="shared" ref="A14:A77" si="0">A13+1</f>
        <v>3</v>
      </c>
      <c r="B14" s="31" t="s">
        <v>1675</v>
      </c>
      <c r="C14" s="38" t="s">
        <v>1676</v>
      </c>
      <c r="D14" s="51">
        <f>'SCH B-2.3 F'!I14</f>
        <v>55918.829999999994</v>
      </c>
      <c r="E14" s="95">
        <f t="shared" ref="E14:E15" si="1">F14/D14</f>
        <v>1</v>
      </c>
      <c r="F14" s="53">
        <f>SUMIFS('JURISSEP F'!$G$71:$G$225,'JURISSEP F'!$B$71:$B$225,$B14)</f>
        <v>55918.829999999994</v>
      </c>
      <c r="G14" s="52">
        <f>SUMIFS('SCH B-2.2'!$F$42:$F$57,'SCH B-2.2'!$B$42:$B$57,'SCH B-2.1 F'!$B14)</f>
        <v>0</v>
      </c>
      <c r="H14" s="53">
        <f t="shared" ref="H14:H15" si="2">SUM(F14:G14)</f>
        <v>55918.829999999994</v>
      </c>
    </row>
    <row r="15" spans="1:8" ht="18.95" customHeight="1">
      <c r="A15" s="30">
        <f t="shared" si="0"/>
        <v>4</v>
      </c>
      <c r="B15" s="31" t="s">
        <v>1677</v>
      </c>
      <c r="C15" s="38" t="s">
        <v>1678</v>
      </c>
      <c r="D15" s="54">
        <f>'SCH B-2.3 F'!I15</f>
        <v>115922918.55923072</v>
      </c>
      <c r="E15" s="95">
        <f t="shared" si="1"/>
        <v>0.88836656691270399</v>
      </c>
      <c r="F15" s="54">
        <f>SUMIFS('JURISSEP F'!$G$71:$G$225,'JURISSEP F'!$B$71:$B$225,$B15)</f>
        <v>102982045.18696477</v>
      </c>
      <c r="G15" s="54">
        <f>SUMIFS('SCH B-2.2'!$F$42:$F$57,'SCH B-2.2'!$B$42:$B$57,'SCH B-2.1 F'!$B15)</f>
        <v>0</v>
      </c>
      <c r="H15" s="54">
        <f t="shared" si="2"/>
        <v>102982045.18696477</v>
      </c>
    </row>
    <row r="16" spans="1:8" ht="18.95" customHeight="1">
      <c r="A16" s="30">
        <f t="shared" si="0"/>
        <v>5</v>
      </c>
      <c r="B16" s="30"/>
      <c r="C16" s="38" t="s">
        <v>146</v>
      </c>
      <c r="D16" s="51">
        <f>SUM(D13:D15)</f>
        <v>116023292.96923071</v>
      </c>
      <c r="E16" s="51"/>
      <c r="F16" s="51">
        <f>SUM(F13:F15)</f>
        <v>103077456.86794947</v>
      </c>
      <c r="G16" s="51">
        <f>SUM(G13:G15)</f>
        <v>0</v>
      </c>
      <c r="H16" s="51">
        <f>SUM(H13:H15)</f>
        <v>103077456.86794947</v>
      </c>
    </row>
    <row r="17" spans="1:8" ht="18.95" customHeight="1">
      <c r="A17" s="30"/>
      <c r="B17" s="30"/>
      <c r="D17" s="32"/>
      <c r="E17" s="32"/>
      <c r="F17" s="32"/>
      <c r="G17" s="32"/>
      <c r="H17" s="32"/>
    </row>
    <row r="18" spans="1:8" ht="18.95" customHeight="1">
      <c r="A18" s="30">
        <f>A16+1</f>
        <v>6</v>
      </c>
      <c r="B18" s="30"/>
      <c r="C18" s="55" t="s">
        <v>74</v>
      </c>
      <c r="D18" s="32"/>
      <c r="E18" s="32"/>
      <c r="F18" s="32"/>
      <c r="G18" s="32"/>
      <c r="H18" s="32"/>
    </row>
    <row r="19" spans="1:8" ht="18.95" customHeight="1">
      <c r="A19" s="30">
        <f t="shared" si="0"/>
        <v>7</v>
      </c>
      <c r="B19" s="31" t="s">
        <v>1679</v>
      </c>
      <c r="C19" s="38" t="s">
        <v>157</v>
      </c>
      <c r="D19" s="53">
        <f>'SCH B-2.3 F'!I19</f>
        <v>24155712.52923071</v>
      </c>
      <c r="E19" s="95">
        <f t="shared" ref="E19:E26" si="3">F19/D19</f>
        <v>0.87577725766318848</v>
      </c>
      <c r="F19" s="53">
        <f>SUMIFS('JURISSEP F'!$G$71:$G$225,'JURISSEP F'!$B$71:$B$225,$B19)</f>
        <v>21155023.675749995</v>
      </c>
      <c r="G19" s="53">
        <f>SUMIFS('SCH B-2.2'!$F$42:$F$57,'SCH B-2.2'!$B$42:$B$57,'SCH B-2.1 F'!$B19)</f>
        <v>-11211257.019631542</v>
      </c>
      <c r="H19" s="53">
        <f t="shared" ref="H19:H26" si="4">SUM(F19:G19)</f>
        <v>9943766.6561184525</v>
      </c>
    </row>
    <row r="20" spans="1:8" ht="18" customHeight="1">
      <c r="A20" s="30">
        <f t="shared" si="0"/>
        <v>8</v>
      </c>
      <c r="B20" s="31" t="s">
        <v>1680</v>
      </c>
      <c r="C20" s="38" t="s">
        <v>151</v>
      </c>
      <c r="D20" s="53">
        <f>'SCH B-2.3 F'!I20</f>
        <v>339581331.41923082</v>
      </c>
      <c r="E20" s="95">
        <f t="shared" si="3"/>
        <v>0.86659618008520101</v>
      </c>
      <c r="F20" s="53">
        <f>SUMIFS('JURISSEP F'!$G$71:$G$225,'JURISSEP F'!$B$71:$B$225,$B20)</f>
        <v>294279884.63615209</v>
      </c>
      <c r="G20" s="53">
        <f>SUMIFS('SCH B-2.2'!$F$42:$F$57,'SCH B-2.2'!$B$42:$B$57,'SCH B-2.1 F'!$B20)</f>
        <v>-10418639.931436064</v>
      </c>
      <c r="H20" s="53">
        <f t="shared" si="4"/>
        <v>283861244.70471603</v>
      </c>
    </row>
    <row r="21" spans="1:8" ht="18.95" customHeight="1">
      <c r="A21" s="30">
        <f t="shared" si="0"/>
        <v>9</v>
      </c>
      <c r="B21" s="31" t="s">
        <v>1681</v>
      </c>
      <c r="C21" s="38" t="s">
        <v>1682</v>
      </c>
      <c r="D21" s="53">
        <f>'SCH B-2.3 F'!I21</f>
        <v>4015791237.7969227</v>
      </c>
      <c r="E21" s="95">
        <f t="shared" si="3"/>
        <v>0.86962055387934112</v>
      </c>
      <c r="F21" s="53">
        <f>SUMIFS('JURISSEP F'!$G$71:$G$225,'JURISSEP F'!$B$71:$B$225,$B21)</f>
        <v>3492214600.4767647</v>
      </c>
      <c r="G21" s="53">
        <f>SUMIFS('SCH B-2.2'!$F$42:$F$57,'SCH B-2.2'!$B$42:$B$57,'SCH B-2.1 F'!$B21)</f>
        <v>-1157702273.4636917</v>
      </c>
      <c r="H21" s="53">
        <f t="shared" si="4"/>
        <v>2334512327.013073</v>
      </c>
    </row>
    <row r="22" spans="1:8" ht="18.95" customHeight="1">
      <c r="A22" s="30">
        <f>A20+1</f>
        <v>9</v>
      </c>
      <c r="B22" s="31">
        <v>313</v>
      </c>
      <c r="C22" s="38" t="s">
        <v>147</v>
      </c>
      <c r="D22" s="53">
        <f>'SCH B-2.3 F'!I22</f>
        <v>0</v>
      </c>
      <c r="E22" s="95"/>
      <c r="F22" s="53">
        <f>SUMIFS('JURISSEP F'!$G$71:$G$225,'JURISSEP F'!$B$71:$B$225,$B22)</f>
        <v>0</v>
      </c>
      <c r="G22" s="53">
        <f>SUMIFS('SCH B-2.2'!$F$42:$F$57,'SCH B-2.2'!$B$42:$B$57,'SCH B-2.1 F'!$B22)</f>
        <v>0</v>
      </c>
      <c r="H22" s="53">
        <f t="shared" si="4"/>
        <v>0</v>
      </c>
    </row>
    <row r="23" spans="1:8" ht="18.95" customHeight="1">
      <c r="A23" s="30">
        <f>A21+1</f>
        <v>10</v>
      </c>
      <c r="B23" s="31" t="s">
        <v>1683</v>
      </c>
      <c r="C23" s="38" t="s">
        <v>1684</v>
      </c>
      <c r="D23" s="53">
        <f>'SCH B-2.3 F'!I23</f>
        <v>340427141.15230733</v>
      </c>
      <c r="E23" s="95">
        <f t="shared" si="3"/>
        <v>0.86510714537080347</v>
      </c>
      <c r="F23" s="53">
        <f>SUMIFS('JURISSEP F'!$G$71:$G$225,'JURISSEP F'!$B$71:$B$225,$B23)</f>
        <v>294505952.28901619</v>
      </c>
      <c r="G23" s="53">
        <f>SUMIFS('SCH B-2.2'!$F$42:$F$57,'SCH B-2.2'!$B$42:$B$57,'SCH B-2.1 F'!$B23)</f>
        <v>0</v>
      </c>
      <c r="H23" s="53">
        <f t="shared" si="4"/>
        <v>294505952.28901619</v>
      </c>
    </row>
    <row r="24" spans="1:8" ht="18.95" customHeight="1">
      <c r="A24" s="30">
        <f t="shared" si="0"/>
        <v>11</v>
      </c>
      <c r="B24" s="31" t="s">
        <v>1685</v>
      </c>
      <c r="C24" s="38" t="s">
        <v>1686</v>
      </c>
      <c r="D24" s="53">
        <f>'SCH B-2.3 F'!I24</f>
        <v>226547404.54999989</v>
      </c>
      <c r="E24" s="95">
        <f t="shared" si="3"/>
        <v>0.8646345032724303</v>
      </c>
      <c r="F24" s="53">
        <f>SUMIFS('JURISSEP F'!$G$71:$G$225,'JURISSEP F'!$B$71:$B$225,$B24)</f>
        <v>195880702.60074747</v>
      </c>
      <c r="G24" s="53">
        <f>SUMIFS('SCH B-2.2'!$F$42:$F$57,'SCH B-2.2'!$B$42:$B$57,'SCH B-2.1 F'!$B24)</f>
        <v>-8234466.7464157613</v>
      </c>
      <c r="H24" s="53">
        <f t="shared" si="4"/>
        <v>187646235.8543317</v>
      </c>
    </row>
    <row r="25" spans="1:8" ht="18.95" customHeight="1">
      <c r="A25" s="30">
        <f t="shared" si="0"/>
        <v>12</v>
      </c>
      <c r="B25" s="31" t="s">
        <v>1687</v>
      </c>
      <c r="C25" s="38" t="s">
        <v>1688</v>
      </c>
      <c r="D25" s="53">
        <f>'SCH B-2.3 F'!I25</f>
        <v>40745530.769999906</v>
      </c>
      <c r="E25" s="95">
        <f t="shared" si="3"/>
        <v>0.87014955342948153</v>
      </c>
      <c r="F25" s="53">
        <f>SUMIFS('JURISSEP F'!$G$71:$G$225,'JURISSEP F'!$B$71:$B$225,$B25)</f>
        <v>35454705.403762616</v>
      </c>
      <c r="G25" s="53">
        <f>SUMIFS('SCH B-2.2'!$F$42:$F$57,'SCH B-2.2'!$B$42:$B$57,'SCH B-2.1 F'!$B25)</f>
        <v>-717806.71072053863</v>
      </c>
      <c r="H25" s="53">
        <f t="shared" si="4"/>
        <v>34736898.693042077</v>
      </c>
    </row>
    <row r="26" spans="1:8" ht="18.95" customHeight="1">
      <c r="A26" s="30">
        <f t="shared" si="0"/>
        <v>13</v>
      </c>
      <c r="B26" s="31" t="s">
        <v>1689</v>
      </c>
      <c r="C26" s="38" t="s">
        <v>1708</v>
      </c>
      <c r="D26" s="54">
        <f>'SCH B-2.3 F'!I26</f>
        <v>331002428.3300001</v>
      </c>
      <c r="E26" s="95">
        <f t="shared" si="3"/>
        <v>0.87577725766318848</v>
      </c>
      <c r="F26" s="54">
        <f>SUMIFS('JURISSEP F'!$G$71:$G$225,'JURISSEP F'!$B$71:$B$225,$B26)</f>
        <v>289884398.96270359</v>
      </c>
      <c r="G26" s="54">
        <f>SUMIFS('SCH B-2.2'!$F$42:$F$57,'SCH B-2.2'!$B$42:$B$57,'SCH B-2.1 F'!$B26)</f>
        <v>-289884398.96270359</v>
      </c>
      <c r="H26" s="54">
        <f t="shared" si="4"/>
        <v>0</v>
      </c>
    </row>
    <row r="27" spans="1:8" ht="18.95" customHeight="1">
      <c r="A27" s="30">
        <f t="shared" si="0"/>
        <v>14</v>
      </c>
      <c r="C27" s="38" t="s">
        <v>149</v>
      </c>
      <c r="D27" s="51">
        <f>SUM(D19:D26)</f>
        <v>5318250786.5476913</v>
      </c>
      <c r="E27" s="95"/>
      <c r="F27" s="51">
        <f>SUM(F19:F26)</f>
        <v>4623375268.0448971</v>
      </c>
      <c r="G27" s="51">
        <f>SUM(G19:G26)</f>
        <v>-1478168842.8345995</v>
      </c>
      <c r="H27" s="51">
        <f>SUM(H19:H26)</f>
        <v>3145206425.2102976</v>
      </c>
    </row>
    <row r="28" spans="1:8" ht="18.95" customHeight="1">
      <c r="A28" s="30"/>
      <c r="C28" s="38"/>
    </row>
    <row r="29" spans="1:8" ht="18.95" customHeight="1">
      <c r="A29" s="30">
        <f>A27+1</f>
        <v>15</v>
      </c>
      <c r="C29" s="55" t="s">
        <v>49</v>
      </c>
    </row>
    <row r="30" spans="1:8" ht="18.95" customHeight="1">
      <c r="A30" s="30">
        <f t="shared" si="0"/>
        <v>16</v>
      </c>
      <c r="B30" s="31" t="s">
        <v>1690</v>
      </c>
      <c r="C30" s="38" t="s">
        <v>157</v>
      </c>
      <c r="D30" s="53">
        <f>'SCH B-2.3 F'!I30</f>
        <v>879311.47</v>
      </c>
      <c r="E30" s="95">
        <f t="shared" ref="E30:E37" si="5">F30/D30</f>
        <v>0.87577725766318837</v>
      </c>
      <c r="F30" s="53">
        <f>SUMIFS('JURISSEP F'!$G$71:$G$225,'JURISSEP F'!$B$71:$B$225,$B30)</f>
        <v>770080.98782838695</v>
      </c>
      <c r="G30" s="53">
        <f>SUMIFS('SCH B-2.2'!$F$42:$F$57,'SCH B-2.2'!$B$42:$B$57,'SCH B-2.1 F'!$B30)</f>
        <v>0</v>
      </c>
      <c r="H30" s="53">
        <f t="shared" ref="H30:H37" si="6">SUM(F30:G30)</f>
        <v>770080.98782838695</v>
      </c>
    </row>
    <row r="31" spans="1:8" ht="18.95" customHeight="1">
      <c r="A31" s="30">
        <f t="shared" si="0"/>
        <v>17</v>
      </c>
      <c r="B31" s="31" t="s">
        <v>1691</v>
      </c>
      <c r="C31" s="38" t="s">
        <v>151</v>
      </c>
      <c r="D31" s="53">
        <f>'SCH B-2.3 F'!I31</f>
        <v>2930163.9299999997</v>
      </c>
      <c r="E31" s="95">
        <f t="shared" si="5"/>
        <v>0.87577725766318848</v>
      </c>
      <c r="F31" s="53">
        <f>SUMIFS('JURISSEP F'!$G$71:$G$225,'JURISSEP F'!$B$71:$B$225,$B31)</f>
        <v>2566170.9311189908</v>
      </c>
      <c r="G31" s="53">
        <f>SUMIFS('SCH B-2.2'!$F$42:$F$57,'SCH B-2.2'!$B$42:$B$57,'SCH B-2.1 F'!$B31)</f>
        <v>0</v>
      </c>
      <c r="H31" s="53">
        <f t="shared" si="6"/>
        <v>2566170.9311189908</v>
      </c>
    </row>
    <row r="32" spans="1:8" ht="18.95" customHeight="1">
      <c r="A32" s="30">
        <f t="shared" si="0"/>
        <v>18</v>
      </c>
      <c r="B32" s="31" t="s">
        <v>1692</v>
      </c>
      <c r="C32" s="38" t="s">
        <v>1693</v>
      </c>
      <c r="D32" s="53">
        <f>'SCH B-2.3 F'!I32</f>
        <v>21885646.369999994</v>
      </c>
      <c r="E32" s="95">
        <f t="shared" si="5"/>
        <v>0.87405847600746855</v>
      </c>
      <c r="F32" s="53">
        <f>SUMIFS('JURISSEP F'!$G$71:$G$225,'JURISSEP F'!$B$71:$B$225,$B32)</f>
        <v>19129334.712600581</v>
      </c>
      <c r="G32" s="53">
        <f>SUMIFS('SCH B-2.2'!$F$42:$F$57,'SCH B-2.2'!$B$42:$B$57,'SCH B-2.1 F'!$B32)</f>
        <v>0</v>
      </c>
      <c r="H32" s="53">
        <f t="shared" si="6"/>
        <v>19129334.712600581</v>
      </c>
    </row>
    <row r="33" spans="1:8" ht="18.95" customHeight="1">
      <c r="A33" s="30">
        <f t="shared" si="0"/>
        <v>19</v>
      </c>
      <c r="B33" s="31" t="s">
        <v>1694</v>
      </c>
      <c r="C33" s="38" t="s">
        <v>1695</v>
      </c>
      <c r="D33" s="53">
        <f>'SCH B-2.3 F'!I33</f>
        <v>14046741.58</v>
      </c>
      <c r="E33" s="95">
        <f t="shared" si="5"/>
        <v>0.87212993708841247</v>
      </c>
      <c r="F33" s="53">
        <f>SUMIFS('JURISSEP F'!$G$71:$G$225,'JURISSEP F'!$B$71:$B$225,$B33)</f>
        <v>12250583.850462588</v>
      </c>
      <c r="G33" s="53">
        <f>SUMIFS('SCH B-2.2'!$F$42:$F$57,'SCH B-2.2'!$B$42:$B$57,'SCH B-2.1 F'!$B33)</f>
        <v>0</v>
      </c>
      <c r="H33" s="53">
        <f t="shared" si="6"/>
        <v>12250583.850462588</v>
      </c>
    </row>
    <row r="34" spans="1:8" ht="18.95" customHeight="1">
      <c r="A34" s="30">
        <f t="shared" si="0"/>
        <v>20</v>
      </c>
      <c r="B34" s="31" t="s">
        <v>1696</v>
      </c>
      <c r="C34" s="38" t="s">
        <v>1686</v>
      </c>
      <c r="D34" s="53">
        <f>'SCH B-2.3 F'!I34</f>
        <v>1362584.7900000003</v>
      </c>
      <c r="E34" s="95">
        <f t="shared" si="5"/>
        <v>0.87328062831238906</v>
      </c>
      <c r="F34" s="53">
        <f>SUMIFS('JURISSEP F'!$G$71:$G$225,'JURISSEP F'!$B$71:$B$225,$B34)</f>
        <v>1189918.901540105</v>
      </c>
      <c r="G34" s="53">
        <f>SUMIFS('SCH B-2.2'!$F$42:$F$57,'SCH B-2.2'!$B$42:$B$57,'SCH B-2.1 F'!$B34)</f>
        <v>0</v>
      </c>
      <c r="H34" s="53">
        <f t="shared" si="6"/>
        <v>1189918.901540105</v>
      </c>
    </row>
    <row r="35" spans="1:8" ht="18.95" customHeight="1">
      <c r="A35" s="30">
        <f t="shared" si="0"/>
        <v>21</v>
      </c>
      <c r="B35" s="31" t="s">
        <v>1697</v>
      </c>
      <c r="C35" s="38" t="s">
        <v>1698</v>
      </c>
      <c r="D35" s="53">
        <f>'SCH B-2.3 F'!I35</f>
        <v>316946.73999999993</v>
      </c>
      <c r="E35" s="95">
        <f t="shared" si="5"/>
        <v>0.87351145946856501</v>
      </c>
      <c r="F35" s="53">
        <f>SUMIFS('JURISSEP F'!$G$71:$G$225,'JURISSEP F'!$B$71:$B$225,$B35)</f>
        <v>276856.60943120375</v>
      </c>
      <c r="G35" s="53">
        <f>SUMIFS('SCH B-2.2'!$F$42:$F$57,'SCH B-2.2'!$B$42:$B$57,'SCH B-2.1 F'!$B35)</f>
        <v>0</v>
      </c>
      <c r="H35" s="53">
        <f t="shared" si="6"/>
        <v>276856.60943120375</v>
      </c>
    </row>
    <row r="36" spans="1:8" ht="18.95" customHeight="1">
      <c r="A36" s="30">
        <f t="shared" si="0"/>
        <v>22</v>
      </c>
      <c r="B36" s="31" t="s">
        <v>1699</v>
      </c>
      <c r="C36" s="38" t="s">
        <v>1700</v>
      </c>
      <c r="D36" s="53">
        <f>'SCH B-2.3 F'!I36</f>
        <v>890278.36076923099</v>
      </c>
      <c r="E36" s="95">
        <f t="shared" si="5"/>
        <v>0.87577725766318848</v>
      </c>
      <c r="F36" s="53">
        <f>SUMIFS('JURISSEP F'!$G$71:$G$225,'JURISSEP F'!$B$71:$B$225,$B36)</f>
        <v>779685.54135135585</v>
      </c>
      <c r="G36" s="53">
        <f>SUMIFS('SCH B-2.2'!$F$42:$F$57,'SCH B-2.2'!$B$42:$B$57,'SCH B-2.1 F'!$B36)</f>
        <v>0</v>
      </c>
      <c r="H36" s="53">
        <f t="shared" si="6"/>
        <v>779685.54135135585</v>
      </c>
    </row>
    <row r="37" spans="1:8" ht="18.95" customHeight="1">
      <c r="A37" s="30">
        <f t="shared" si="0"/>
        <v>23</v>
      </c>
      <c r="B37" s="31" t="s">
        <v>1701</v>
      </c>
      <c r="C37" s="38" t="s">
        <v>1709</v>
      </c>
      <c r="D37" s="54">
        <f>'SCH B-2.3 F'!I37</f>
        <v>274310.53999999998</v>
      </c>
      <c r="E37" s="95">
        <f t="shared" si="5"/>
        <v>0.87577725766318848</v>
      </c>
      <c r="F37" s="54">
        <f>SUMIFS('JURISSEP F'!$G$71:$G$225,'JURISSEP F'!$B$71:$B$225,$B37)</f>
        <v>240234.93246930835</v>
      </c>
      <c r="G37" s="54">
        <f>SUMIFS('SCH B-2.2'!$F$42:$F$57,'SCH B-2.2'!$B$42:$B$57,'SCH B-2.1 F'!$B37)</f>
        <v>-240234.93246930835</v>
      </c>
      <c r="H37" s="54">
        <f t="shared" si="6"/>
        <v>0</v>
      </c>
    </row>
    <row r="38" spans="1:8" ht="18.95" customHeight="1">
      <c r="A38" s="30">
        <f t="shared" si="0"/>
        <v>24</v>
      </c>
      <c r="B38" s="31" t="s">
        <v>254</v>
      </c>
      <c r="C38" s="38" t="s">
        <v>150</v>
      </c>
      <c r="D38" s="51">
        <f>SUM(D30:D37)</f>
        <v>42585983.780769229</v>
      </c>
      <c r="E38" s="51"/>
      <c r="F38" s="51">
        <f t="shared" ref="F38:H38" si="7">SUM(F30:F37)</f>
        <v>37202866.466802523</v>
      </c>
      <c r="G38" s="51">
        <f t="shared" si="7"/>
        <v>-240234.93246930835</v>
      </c>
      <c r="H38" s="51">
        <f t="shared" si="7"/>
        <v>36962631.534333214</v>
      </c>
    </row>
    <row r="39" spans="1:8" ht="18.95" customHeight="1">
      <c r="A39" s="30"/>
      <c r="B39" s="31"/>
      <c r="C39" s="38"/>
      <c r="D39" s="51"/>
      <c r="E39" s="51"/>
      <c r="F39" s="51"/>
      <c r="G39" s="51"/>
      <c r="H39" s="51"/>
    </row>
    <row r="40" spans="1:8" ht="18.95" customHeight="1">
      <c r="A40" s="30">
        <f>A38+1</f>
        <v>25</v>
      </c>
      <c r="C40" s="55" t="s">
        <v>63</v>
      </c>
    </row>
    <row r="41" spans="1:8" ht="18.95" customHeight="1">
      <c r="A41" s="30">
        <f t="shared" si="0"/>
        <v>26</v>
      </c>
      <c r="B41" s="31" t="s">
        <v>1702</v>
      </c>
      <c r="C41" s="38" t="s">
        <v>157</v>
      </c>
      <c r="D41" s="53">
        <f>'SCH B-2.3 F'!I41</f>
        <v>473578.5199999999</v>
      </c>
      <c r="E41" s="95">
        <f t="shared" ref="E41:E44" si="8">F41/D41</f>
        <v>0.87577725766318848</v>
      </c>
      <c r="F41" s="53">
        <f>SUMIFS('JURISSEP F'!$G$71:$G$225,'JURISSEP F'!$B$71:$B$225,$B41)</f>
        <v>414749.2975337914</v>
      </c>
      <c r="G41" s="53">
        <f>SUMIFS('SCH B-2.2'!$F$42:$F$57,'SCH B-2.2'!$B$42:$B$57,'SCH B-2.1 F'!$B41)</f>
        <v>0</v>
      </c>
      <c r="H41" s="53">
        <f t="shared" ref="H41:H44" si="9">SUM(F41:G41)</f>
        <v>414749.2975337914</v>
      </c>
    </row>
    <row r="42" spans="1:8" ht="18.95" customHeight="1">
      <c r="A42" s="30">
        <f t="shared" si="0"/>
        <v>27</v>
      </c>
      <c r="B42" s="31" t="s">
        <v>1703</v>
      </c>
      <c r="C42" s="38" t="s">
        <v>151</v>
      </c>
      <c r="D42" s="53">
        <f>'SCH B-2.3 F'!I42</f>
        <v>85397942.236153856</v>
      </c>
      <c r="E42" s="95">
        <f t="shared" si="8"/>
        <v>0.87374264782996325</v>
      </c>
      <c r="F42" s="53">
        <f>SUMIFS('JURISSEP F'!$G$71:$G$225,'JURISSEP F'!$B$71:$B$225,$B42)</f>
        <v>74615824.168647319</v>
      </c>
      <c r="G42" s="53">
        <f>SUMIFS('SCH B-2.2'!$F$42:$F$57,'SCH B-2.2'!$B$42:$B$57,'SCH B-2.1 F'!$B42)</f>
        <v>0</v>
      </c>
      <c r="H42" s="53">
        <f t="shared" si="9"/>
        <v>74615824.168647319</v>
      </c>
    </row>
    <row r="43" spans="1:8" ht="18.95" customHeight="1">
      <c r="A43" s="30">
        <f t="shared" si="0"/>
        <v>28</v>
      </c>
      <c r="B43" s="31" t="s">
        <v>1704</v>
      </c>
      <c r="C43" s="38" t="s">
        <v>1705</v>
      </c>
      <c r="D43" s="53">
        <f>'SCH B-2.3 F'!I43</f>
        <v>61751087.970000006</v>
      </c>
      <c r="E43" s="95">
        <f t="shared" si="8"/>
        <v>0.87490555908675971</v>
      </c>
      <c r="F43" s="53">
        <f>SUMIFS('JURISSEP F'!$G$71:$G$225,'JURISSEP F'!$B$71:$B$225,$B43)</f>
        <v>54026370.144608535</v>
      </c>
      <c r="G43" s="53">
        <f>SUMIFS('SCH B-2.2'!$F$42:$F$57,'SCH B-2.2'!$B$42:$B$57,'SCH B-2.1 F'!$B43)</f>
        <v>0</v>
      </c>
      <c r="H43" s="53">
        <f t="shared" si="9"/>
        <v>54026370.144608535</v>
      </c>
    </row>
    <row r="44" spans="1:8" ht="18.95" customHeight="1">
      <c r="A44" s="30">
        <f t="shared" si="0"/>
        <v>29</v>
      </c>
      <c r="B44" s="31" t="s">
        <v>1706</v>
      </c>
      <c r="C44" s="38" t="s">
        <v>1707</v>
      </c>
      <c r="D44" s="53">
        <f>'SCH B-2.3 F'!I44</f>
        <v>656944962.10230768</v>
      </c>
      <c r="E44" s="95">
        <f t="shared" si="8"/>
        <v>0.87400575204933995</v>
      </c>
      <c r="F44" s="53">
        <f>SUMIFS('JURISSEP F'!$G$71:$G$225,'JURISSEP F'!$B$71:$B$225,$B44)</f>
        <v>574173675.65725255</v>
      </c>
      <c r="G44" s="53">
        <f>SUMIFS('SCH B-2.2'!$F$42:$F$57,'SCH B-2.2'!$B$42:$B$57,'SCH B-2.1 F'!$B44)</f>
        <v>0</v>
      </c>
      <c r="H44" s="53">
        <f t="shared" si="9"/>
        <v>574173675.65725255</v>
      </c>
    </row>
    <row r="45" spans="1:8" s="28" customFormat="1" ht="20.100000000000001" customHeight="1">
      <c r="A45" s="706" t="str">
        <f>$A$1</f>
        <v>KENTUCKY UTILITIES COMPANY</v>
      </c>
      <c r="B45" s="706"/>
      <c r="C45" s="706"/>
      <c r="D45" s="706"/>
      <c r="E45" s="706"/>
      <c r="F45" s="706"/>
      <c r="G45" s="706"/>
      <c r="H45" s="706"/>
    </row>
    <row r="46" spans="1:8" s="28" customFormat="1" ht="20.100000000000001" customHeight="1">
      <c r="A46" s="706" t="str">
        <f>$A$2</f>
        <v>CASE NO. 2016-00370</v>
      </c>
      <c r="B46" s="706"/>
      <c r="C46" s="706"/>
      <c r="D46" s="706"/>
      <c r="E46" s="706"/>
      <c r="F46" s="706"/>
      <c r="G46" s="706"/>
      <c r="H46" s="706"/>
    </row>
    <row r="47" spans="1:8" s="28" customFormat="1" ht="20.100000000000001" customHeight="1">
      <c r="A47" s="706" t="str">
        <f>$A$3</f>
        <v>PLANT IN SERVICE BY ACCOUNTS AND SUBACCOUNTS</v>
      </c>
      <c r="B47" s="706"/>
      <c r="C47" s="706"/>
      <c r="D47" s="706"/>
      <c r="E47" s="706"/>
      <c r="F47" s="706"/>
      <c r="G47" s="706"/>
      <c r="H47" s="706"/>
    </row>
    <row r="48" spans="1:8" s="28" customFormat="1" ht="20.100000000000001" customHeight="1">
      <c r="A48" s="705" t="str">
        <f>$A$4</f>
        <v>AS OF JUNE 30, 2018</v>
      </c>
      <c r="B48" s="706"/>
      <c r="C48" s="706"/>
      <c r="D48" s="706"/>
      <c r="E48" s="706"/>
      <c r="F48" s="706"/>
      <c r="G48" s="706"/>
      <c r="H48" s="706"/>
    </row>
    <row r="49" spans="1:8" s="28" customFormat="1" ht="20.100000000000001" customHeight="1">
      <c r="A49" s="44"/>
      <c r="B49" s="44"/>
      <c r="C49" s="44"/>
      <c r="D49" s="44"/>
      <c r="E49" s="44"/>
      <c r="F49" s="44"/>
      <c r="G49" s="44"/>
      <c r="H49" s="44"/>
    </row>
    <row r="50" spans="1:8" s="28" customFormat="1" ht="20.100000000000001" customHeight="1">
      <c r="A50" s="27" t="str">
        <f>$A$6</f>
        <v>DATA:____BASE  PERIOD__X__FORECASTED  PERIOD</v>
      </c>
      <c r="B50" s="27"/>
      <c r="G50" s="34"/>
      <c r="H50" s="34" t="s">
        <v>231</v>
      </c>
    </row>
    <row r="51" spans="1:8" s="28" customFormat="1" ht="20.100000000000001" customHeight="1">
      <c r="A51" s="27" t="str">
        <f>$A$7</f>
        <v>TYPE OF FILING: __X__ ORIGINAL  _____ UPDATED  _____ REVISED</v>
      </c>
      <c r="G51" s="34"/>
      <c r="H51" s="34" t="s">
        <v>172</v>
      </c>
    </row>
    <row r="52" spans="1:8" s="28" customFormat="1" ht="20.100000000000001" customHeight="1">
      <c r="A52" s="27" t="str">
        <f>$A$8</f>
        <v>WORKPAPER REFERENCE NO(S).:</v>
      </c>
      <c r="B52" s="27"/>
      <c r="F52" s="27"/>
      <c r="G52" s="35"/>
      <c r="H52" s="35" t="str">
        <f>$H$8</f>
        <v>WITNESS:   C. M. GARRETT</v>
      </c>
    </row>
    <row r="53" spans="1:8" s="28" customFormat="1" ht="20.100000000000001" customHeight="1"/>
    <row r="54" spans="1:8" ht="71.099999999999994" customHeight="1">
      <c r="A54" s="36" t="s">
        <v>134</v>
      </c>
      <c r="B54" s="36" t="s">
        <v>137</v>
      </c>
      <c r="C54" s="39" t="s">
        <v>225</v>
      </c>
      <c r="D54" s="36" t="s">
        <v>3365</v>
      </c>
      <c r="E54" s="36" t="s">
        <v>227</v>
      </c>
      <c r="F54" s="36" t="s">
        <v>228</v>
      </c>
      <c r="G54" s="36" t="s">
        <v>229</v>
      </c>
      <c r="H54" s="36" t="s">
        <v>230</v>
      </c>
    </row>
    <row r="55" spans="1:8" ht="23.1" customHeight="1">
      <c r="A55" s="40"/>
      <c r="B55" s="40"/>
      <c r="C55" s="41"/>
      <c r="D55" s="42" t="s">
        <v>145</v>
      </c>
      <c r="E55" s="42"/>
      <c r="F55" s="42" t="s">
        <v>145</v>
      </c>
      <c r="G55" s="42" t="s">
        <v>145</v>
      </c>
      <c r="H55" s="42" t="s">
        <v>145</v>
      </c>
    </row>
    <row r="56" spans="1:8" ht="18.95" customHeight="1">
      <c r="A56" s="30">
        <f>A44+1</f>
        <v>30</v>
      </c>
      <c r="B56" s="31" t="s">
        <v>1710</v>
      </c>
      <c r="C56" s="38" t="s">
        <v>1711</v>
      </c>
      <c r="D56" s="53">
        <f>'SCH B-2.3 F'!I45</f>
        <v>131343465.90999991</v>
      </c>
      <c r="E56" s="95">
        <f t="shared" ref="E56:E59" si="10">F56/D56</f>
        <v>0.87399910401143133</v>
      </c>
      <c r="F56" s="53">
        <f>SUMIFS('JURISSEP F'!$G$71:$G$225,'JURISSEP F'!$B$71:$B$225,$B56)</f>
        <v>114794071.52309589</v>
      </c>
      <c r="G56" s="53">
        <f>SUMIFS('SCH B-2.2'!$F$42:$F$57,'SCH B-2.2'!$B$42:$B$57,'SCH B-2.1 F'!$B56)</f>
        <v>0</v>
      </c>
      <c r="H56" s="53">
        <f t="shared" ref="H56:H59" si="11">SUM(F56:G56)</f>
        <v>114794071.52309589</v>
      </c>
    </row>
    <row r="57" spans="1:8" ht="18.95" customHeight="1">
      <c r="A57" s="30">
        <f t="shared" si="0"/>
        <v>31</v>
      </c>
      <c r="B57" s="31" t="s">
        <v>1712</v>
      </c>
      <c r="C57" s="38" t="s">
        <v>1686</v>
      </c>
      <c r="D57" s="53">
        <f>'SCH B-2.3 F'!I46</f>
        <v>75937065.126923069</v>
      </c>
      <c r="E57" s="95">
        <f t="shared" si="10"/>
        <v>0.87366243794795129</v>
      </c>
      <c r="F57" s="53">
        <f>SUMIFS('JURISSEP F'!$G$71:$G$225,'JURISSEP F'!$B$71:$B$225,$B57)</f>
        <v>66343361.449399963</v>
      </c>
      <c r="G57" s="53">
        <f>SUMIFS('SCH B-2.2'!$F$42:$F$57,'SCH B-2.2'!$B$42:$B$57,'SCH B-2.1 F'!$B57)</f>
        <v>0</v>
      </c>
      <c r="H57" s="53">
        <f t="shared" si="11"/>
        <v>66343361.449399963</v>
      </c>
    </row>
    <row r="58" spans="1:8" ht="18.95" customHeight="1">
      <c r="A58" s="30">
        <f t="shared" si="0"/>
        <v>32</v>
      </c>
      <c r="B58" s="31" t="s">
        <v>1713</v>
      </c>
      <c r="C58" s="38" t="s">
        <v>1698</v>
      </c>
      <c r="D58" s="53">
        <f>'SCH B-2.3 F'!I47</f>
        <v>11867345.423076926</v>
      </c>
      <c r="E58" s="95">
        <f t="shared" si="10"/>
        <v>0.87494266261374876</v>
      </c>
      <c r="F58" s="53">
        <f>SUMIFS('JURISSEP F'!$G$71:$G$225,'JURISSEP F'!$B$71:$B$225,$B58)</f>
        <v>10383246.80262401</v>
      </c>
      <c r="G58" s="53">
        <f>SUMIFS('SCH B-2.2'!$F$42:$F$57,'SCH B-2.2'!$B$42:$B$57,'SCH B-2.1 F'!$B58)</f>
        <v>0</v>
      </c>
      <c r="H58" s="53">
        <f t="shared" si="11"/>
        <v>10383246.80262401</v>
      </c>
    </row>
    <row r="59" spans="1:8" ht="18.95" customHeight="1">
      <c r="A59" s="30">
        <f t="shared" si="0"/>
        <v>33</v>
      </c>
      <c r="B59" s="31" t="s">
        <v>1714</v>
      </c>
      <c r="C59" s="38" t="s">
        <v>1749</v>
      </c>
      <c r="D59" s="54">
        <f>'SCH B-2.3 F'!I48</f>
        <v>403344.08999999991</v>
      </c>
      <c r="E59" s="95">
        <f t="shared" si="10"/>
        <v>0.87577725766318859</v>
      </c>
      <c r="F59" s="54">
        <f>SUMIFS('JURISSEP F'!$G$71:$G$225,'JURISSEP F'!$B$71:$B$225,$B59)</f>
        <v>353239.58103485423</v>
      </c>
      <c r="G59" s="54">
        <f>SUMIFS('SCH B-2.2'!$F$42:$F$57,'SCH B-2.2'!$B$42:$B$57,'SCH B-2.1 F'!$B59)</f>
        <v>-353239.58103485423</v>
      </c>
      <c r="H59" s="54">
        <f t="shared" si="11"/>
        <v>0</v>
      </c>
    </row>
    <row r="60" spans="1:8" ht="18.95" customHeight="1">
      <c r="A60" s="30">
        <f t="shared" si="0"/>
        <v>34</v>
      </c>
      <c r="C60" s="38" t="s">
        <v>148</v>
      </c>
      <c r="D60" s="51">
        <f>SUM(D41:D44,D56:D59)</f>
        <v>1024118791.3784615</v>
      </c>
      <c r="E60" s="51"/>
      <c r="F60" s="51">
        <f t="shared" ref="F60:H60" si="12">SUM(F41:F44,F56:F59)</f>
        <v>895104538.62419689</v>
      </c>
      <c r="G60" s="51">
        <f t="shared" si="12"/>
        <v>-353239.58103485423</v>
      </c>
      <c r="H60" s="51">
        <f t="shared" si="12"/>
        <v>894751299.04316199</v>
      </c>
    </row>
    <row r="61" spans="1:8" ht="18.95" customHeight="1">
      <c r="A61" s="30"/>
    </row>
    <row r="62" spans="1:8" ht="18.95" customHeight="1">
      <c r="A62" s="30">
        <f>A60+1</f>
        <v>35</v>
      </c>
      <c r="C62" s="55" t="s">
        <v>86</v>
      </c>
    </row>
    <row r="63" spans="1:8" ht="18.95" customHeight="1">
      <c r="A63" s="30">
        <f t="shared" si="0"/>
        <v>36</v>
      </c>
      <c r="B63" s="31" t="s">
        <v>1715</v>
      </c>
      <c r="C63" s="38" t="s">
        <v>157</v>
      </c>
      <c r="D63" s="53">
        <f>'SCH B-2.3 F'!I63</f>
        <v>31789265.369999997</v>
      </c>
      <c r="E63" s="95">
        <f t="shared" ref="E63:E71" si="13">F63/D63</f>
        <v>0.89708462785140342</v>
      </c>
      <c r="F63" s="53">
        <f>SUMIFS('JURISSEP F'!$G$71:$G$225,'JURISSEP F'!$B$71:$B$225,$B63)</f>
        <v>28517661.294115953</v>
      </c>
      <c r="G63" s="53">
        <f>SUMIFS('SCH B-2.2'!$F$42:$F$57,'SCH B-2.2'!$B$42:$B$57,'SCH B-2.1 F'!$B63)</f>
        <v>0</v>
      </c>
      <c r="H63" s="53">
        <f t="shared" ref="H63:H71" si="14">SUM(F63:G63)</f>
        <v>28517661.294115953</v>
      </c>
    </row>
    <row r="64" spans="1:8" ht="18.95" customHeight="1">
      <c r="A64" s="30">
        <f t="shared" si="0"/>
        <v>37</v>
      </c>
      <c r="B64" s="31" t="s">
        <v>1716</v>
      </c>
      <c r="C64" s="38" t="s">
        <v>151</v>
      </c>
      <c r="D64" s="53">
        <f>'SCH B-2.3 F'!I64</f>
        <v>28829721.41</v>
      </c>
      <c r="E64" s="95">
        <f t="shared" si="13"/>
        <v>0.89841476271613308</v>
      </c>
      <c r="F64" s="53">
        <f>SUMIFS('JURISSEP F'!$G$71:$G$225,'JURISSEP F'!$B$71:$B$225,$B64)</f>
        <v>25901047.319737371</v>
      </c>
      <c r="G64" s="53">
        <f>SUMIFS('SCH B-2.2'!$F$42:$F$57,'SCH B-2.2'!$B$42:$B$57,'SCH B-2.1 F'!$B64)</f>
        <v>0</v>
      </c>
      <c r="H64" s="53">
        <f t="shared" si="14"/>
        <v>25901047.319737371</v>
      </c>
    </row>
    <row r="65" spans="1:8" ht="18.95" customHeight="1">
      <c r="A65" s="30">
        <f t="shared" si="0"/>
        <v>38</v>
      </c>
      <c r="B65" s="31" t="s">
        <v>1717</v>
      </c>
      <c r="C65" s="38" t="s">
        <v>152</v>
      </c>
      <c r="D65" s="53">
        <f>'SCH B-2.3 F'!I65</f>
        <v>314860882.96384615</v>
      </c>
      <c r="E65" s="95">
        <f t="shared" si="13"/>
        <v>0.88413686167257111</v>
      </c>
      <c r="F65" s="53">
        <f>SUMIFS('JURISSEP F'!$G$71:$G$225,'JURISSEP F'!$B$71:$B$225,$B65)</f>
        <v>278380112.92710966</v>
      </c>
      <c r="G65" s="53">
        <f>SUMIFS('SCH B-2.2'!$F$42:$F$57,'SCH B-2.2'!$B$42:$B$57,'SCH B-2.1 F'!$B65)</f>
        <v>0</v>
      </c>
      <c r="H65" s="53">
        <f t="shared" si="14"/>
        <v>278380112.92710966</v>
      </c>
    </row>
    <row r="66" spans="1:8" ht="18.95" customHeight="1">
      <c r="A66" s="30">
        <f t="shared" si="0"/>
        <v>39</v>
      </c>
      <c r="B66" s="31" t="s">
        <v>1718</v>
      </c>
      <c r="C66" s="38" t="s">
        <v>1719</v>
      </c>
      <c r="D66" s="53">
        <f>'SCH B-2.3 F'!I66</f>
        <v>76371012.639999986</v>
      </c>
      <c r="E66" s="95">
        <f t="shared" si="13"/>
        <v>0.91634658956673842</v>
      </c>
      <c r="F66" s="53">
        <f>SUMIFS('JURISSEP F'!$G$71:$G$225,'JURISSEP F'!$B$71:$B$225,$B66)</f>
        <v>69982316.974422261</v>
      </c>
      <c r="G66" s="53">
        <f>SUMIFS('SCH B-2.2'!$F$42:$F$57,'SCH B-2.2'!$B$42:$B$57,'SCH B-2.1 F'!$B66)</f>
        <v>0</v>
      </c>
      <c r="H66" s="53">
        <f t="shared" si="14"/>
        <v>69982316.974422261</v>
      </c>
    </row>
    <row r="67" spans="1:8" ht="18.95" customHeight="1">
      <c r="A67" s="30">
        <f t="shared" si="0"/>
        <v>40</v>
      </c>
      <c r="B67" s="31" t="s">
        <v>1720</v>
      </c>
      <c r="C67" s="38" t="s">
        <v>1721</v>
      </c>
      <c r="D67" s="53">
        <f>'SCH B-2.3 F'!I67</f>
        <v>342219519.57230759</v>
      </c>
      <c r="E67" s="95">
        <f t="shared" si="13"/>
        <v>0.91869938415240782</v>
      </c>
      <c r="F67" s="53">
        <f>SUMIFS('JURISSEP F'!$G$71:$G$225,'JURISSEP F'!$B$71:$B$225,$B67)</f>
        <v>314396861.87601185</v>
      </c>
      <c r="G67" s="53">
        <f>SUMIFS('SCH B-2.2'!$F$42:$F$57,'SCH B-2.2'!$B$42:$B$57,'SCH B-2.1 F'!$B67)</f>
        <v>0</v>
      </c>
      <c r="H67" s="53">
        <f t="shared" si="14"/>
        <v>314396861.87601185</v>
      </c>
    </row>
    <row r="68" spans="1:8" ht="18.95" customHeight="1">
      <c r="A68" s="30">
        <f t="shared" si="0"/>
        <v>41</v>
      </c>
      <c r="B68" s="31" t="s">
        <v>1722</v>
      </c>
      <c r="C68" s="38" t="s">
        <v>1723</v>
      </c>
      <c r="D68" s="53">
        <f>'SCH B-2.3 F'!I68</f>
        <v>185411222.53769231</v>
      </c>
      <c r="E68" s="95">
        <f t="shared" si="13"/>
        <v>0.87679943764233648</v>
      </c>
      <c r="F68" s="53">
        <f>SUMIFS('JURISSEP F'!$G$71:$G$225,'JURISSEP F'!$B$71:$B$225,$B68)</f>
        <v>162568455.65362671</v>
      </c>
      <c r="G68" s="53">
        <f>SUMIFS('SCH B-2.2'!$F$42:$F$57,'SCH B-2.2'!$B$42:$B$57,'SCH B-2.1 F'!$B68)</f>
        <v>0</v>
      </c>
      <c r="H68" s="53">
        <f t="shared" si="14"/>
        <v>162568455.65362671</v>
      </c>
    </row>
    <row r="69" spans="1:8" ht="18.95" customHeight="1">
      <c r="A69" s="30">
        <f t="shared" si="0"/>
        <v>42</v>
      </c>
      <c r="B69" s="31" t="s">
        <v>1724</v>
      </c>
      <c r="C69" s="38" t="s">
        <v>1725</v>
      </c>
      <c r="D69" s="53">
        <f>'SCH B-2.3 F'!I69</f>
        <v>448760.26</v>
      </c>
      <c r="E69" s="95">
        <f t="shared" si="13"/>
        <v>0.95284907531672947</v>
      </c>
      <c r="F69" s="53">
        <f>SUMIFS('JURISSEP F'!$G$71:$G$225,'JURISSEP F'!$B$71:$B$225,$B69)</f>
        <v>427600.79877989512</v>
      </c>
      <c r="G69" s="53">
        <f>SUMIFS('SCH B-2.2'!$F$42:$F$57,'SCH B-2.2'!$B$42:$B$57,'SCH B-2.1 F'!$B69)</f>
        <v>0</v>
      </c>
      <c r="H69" s="53">
        <f t="shared" si="14"/>
        <v>427600.79877989512</v>
      </c>
    </row>
    <row r="70" spans="1:8" ht="18.95" customHeight="1">
      <c r="A70" s="30">
        <f t="shared" si="0"/>
        <v>43</v>
      </c>
      <c r="B70" s="31" t="s">
        <v>1726</v>
      </c>
      <c r="C70" s="38" t="s">
        <v>1727</v>
      </c>
      <c r="D70" s="53">
        <f>'SCH B-2.3 F'!I70</f>
        <v>1116714.08</v>
      </c>
      <c r="E70" s="95">
        <f t="shared" si="13"/>
        <v>0.95296664025736511</v>
      </c>
      <c r="F70" s="53">
        <f>SUMIFS('JURISSEP F'!$G$71:$G$225,'JURISSEP F'!$B$71:$B$225,$B70)</f>
        <v>1064191.2649456945</v>
      </c>
      <c r="G70" s="53">
        <f>SUMIFS('SCH B-2.2'!$F$42:$F$57,'SCH B-2.2'!$B$42:$B$57,'SCH B-2.1 F'!$B70)</f>
        <v>0</v>
      </c>
      <c r="H70" s="53">
        <f t="shared" si="14"/>
        <v>1064191.2649456945</v>
      </c>
    </row>
    <row r="71" spans="1:8" ht="18.95" customHeight="1">
      <c r="A71" s="30">
        <f t="shared" si="0"/>
        <v>44</v>
      </c>
      <c r="B71" s="31" t="s">
        <v>1728</v>
      </c>
      <c r="C71" s="38" t="s">
        <v>155</v>
      </c>
      <c r="D71" s="54">
        <f>'SCH B-2.3 F'!I71</f>
        <v>413450.63</v>
      </c>
      <c r="E71" s="95">
        <f t="shared" si="13"/>
        <v>0.95582457705600388</v>
      </c>
      <c r="F71" s="54">
        <f>SUMIFS('JURISSEP F'!$G$71:$G$225,'JURISSEP F'!$B$71:$B$225,$B71)</f>
        <v>395186.27355328837</v>
      </c>
      <c r="G71" s="54">
        <f>SUMIFS('SCH B-2.2'!$F$42:$F$57,'SCH B-2.2'!$B$42:$B$57,'SCH B-2.1 F'!$B71)</f>
        <v>-395186.27355328837</v>
      </c>
      <c r="H71" s="54">
        <f t="shared" si="14"/>
        <v>0</v>
      </c>
    </row>
    <row r="72" spans="1:8" ht="18.95" customHeight="1">
      <c r="A72" s="30">
        <f t="shared" si="0"/>
        <v>45</v>
      </c>
      <c r="C72" s="38" t="s">
        <v>153</v>
      </c>
      <c r="D72" s="51">
        <f>SUM(D63:D71)</f>
        <v>981460549.46384609</v>
      </c>
      <c r="E72" s="51"/>
      <c r="F72" s="51">
        <f t="shared" ref="F72:H72" si="15">SUM(F63:F71)</f>
        <v>881633434.38230264</v>
      </c>
      <c r="G72" s="51">
        <f t="shared" si="15"/>
        <v>-395186.27355328837</v>
      </c>
      <c r="H72" s="51">
        <f t="shared" si="15"/>
        <v>881238248.10874939</v>
      </c>
    </row>
    <row r="73" spans="1:8" ht="18.95" customHeight="1">
      <c r="A73" s="30"/>
      <c r="B73" s="31"/>
    </row>
    <row r="74" spans="1:8" ht="18.95" customHeight="1">
      <c r="A74" s="30">
        <f>A72+1</f>
        <v>46</v>
      </c>
      <c r="B74" s="31" t="s">
        <v>254</v>
      </c>
      <c r="C74" s="55" t="s">
        <v>16</v>
      </c>
    </row>
    <row r="75" spans="1:8" ht="18.95" customHeight="1">
      <c r="A75" s="30">
        <f t="shared" si="0"/>
        <v>47</v>
      </c>
      <c r="B75" s="31" t="s">
        <v>1729</v>
      </c>
      <c r="C75" s="38" t="s">
        <v>157</v>
      </c>
      <c r="D75" s="53">
        <f>'SCH B-2.3 F'!I75</f>
        <v>8841834.3215384595</v>
      </c>
      <c r="E75" s="95">
        <f t="shared" ref="E75:E87" si="16">F75/D75</f>
        <v>0.94669319703810173</v>
      </c>
      <c r="F75" s="53">
        <f>SUMIFS('JURISSEP F'!$G$71:$G$225,'JURISSEP F'!$B$71:$B$225,$B75)</f>
        <v>8370504.4015384596</v>
      </c>
      <c r="G75" s="53">
        <f>SUMIFS('SCH B-2.2'!$F$42:$F$57,'SCH B-2.2'!$B$42:$B$57,'SCH B-2.1 F'!$B75)</f>
        <v>0</v>
      </c>
      <c r="H75" s="53">
        <f t="shared" ref="H75:H87" si="17">SUM(F75:G75)</f>
        <v>8370504.4015384596</v>
      </c>
    </row>
    <row r="76" spans="1:8" ht="18.95" customHeight="1">
      <c r="A76" s="30">
        <f t="shared" si="0"/>
        <v>48</v>
      </c>
      <c r="B76" s="31" t="s">
        <v>1730</v>
      </c>
      <c r="C76" s="38" t="s">
        <v>151</v>
      </c>
      <c r="D76" s="53">
        <f>'SCH B-2.3 F'!I76</f>
        <v>13999366.996923074</v>
      </c>
      <c r="E76" s="95">
        <f t="shared" si="16"/>
        <v>0.93939451618159031</v>
      </c>
      <c r="F76" s="53">
        <f>SUMIFS('JURISSEP F'!$G$71:$G$225,'JURISSEP F'!$B$71:$B$225,$B76)</f>
        <v>13150928.586923074</v>
      </c>
      <c r="G76" s="53">
        <f>SUMIFS('SCH B-2.2'!$F$42:$F$57,'SCH B-2.2'!$B$42:$B$57,'SCH B-2.1 F'!$B76)</f>
        <v>0</v>
      </c>
      <c r="H76" s="53">
        <f t="shared" si="17"/>
        <v>13150928.586923074</v>
      </c>
    </row>
    <row r="77" spans="1:8" ht="18.95" customHeight="1">
      <c r="A77" s="30">
        <f t="shared" si="0"/>
        <v>49</v>
      </c>
      <c r="B77" s="31" t="s">
        <v>1731</v>
      </c>
      <c r="C77" s="38" t="s">
        <v>1732</v>
      </c>
      <c r="D77" s="53">
        <f>'SCH B-2.3 F'!I77</f>
        <v>200108094.3461538</v>
      </c>
      <c r="E77" s="95">
        <f t="shared" si="16"/>
        <v>0.94013552375708664</v>
      </c>
      <c r="F77" s="53">
        <f>SUMIFS('JURISSEP F'!$G$71:$G$225,'JURISSEP F'!$B$71:$B$225,$B77)</f>
        <v>188128728.08615381</v>
      </c>
      <c r="G77" s="53">
        <f>SUMIFS('SCH B-2.2'!$F$42:$F$57,'SCH B-2.2'!$B$42:$B$57,'SCH B-2.1 F'!$B77)</f>
        <v>0</v>
      </c>
      <c r="H77" s="53">
        <f t="shared" si="17"/>
        <v>188128728.08615381</v>
      </c>
    </row>
    <row r="78" spans="1:8" ht="18.95" customHeight="1">
      <c r="A78" s="30">
        <f t="shared" ref="A78:A88" si="18">A77+1</f>
        <v>50</v>
      </c>
      <c r="B78" s="31" t="s">
        <v>1733</v>
      </c>
      <c r="C78" s="38" t="s">
        <v>1734</v>
      </c>
      <c r="D78" s="53">
        <f>'SCH B-2.3 F'!I78</f>
        <v>387247022.39922982</v>
      </c>
      <c r="E78" s="95">
        <f t="shared" si="16"/>
        <v>0.92542080803460847</v>
      </c>
      <c r="F78" s="53">
        <f>SUMIFS('JURISSEP F'!$G$71:$G$225,'JURISSEP F'!$B$71:$B$225,$B78)</f>
        <v>358366452.37769139</v>
      </c>
      <c r="G78" s="53">
        <f>SUMIFS('SCH B-2.2'!$F$42:$F$57,'SCH B-2.2'!$B$42:$B$57,'SCH B-2.1 F'!$B78)</f>
        <v>-24552.524542127812</v>
      </c>
      <c r="H78" s="53">
        <f t="shared" si="17"/>
        <v>358341899.85314924</v>
      </c>
    </row>
    <row r="79" spans="1:8" ht="18.95" customHeight="1">
      <c r="A79" s="30">
        <f t="shared" si="18"/>
        <v>51</v>
      </c>
      <c r="B79" s="31" t="s">
        <v>1735</v>
      </c>
      <c r="C79" s="38" t="s">
        <v>1723</v>
      </c>
      <c r="D79" s="53">
        <f>'SCH B-2.3 F'!I79</f>
        <v>386260065.67153758</v>
      </c>
      <c r="E79" s="95">
        <f t="shared" si="16"/>
        <v>0.9289023594904563</v>
      </c>
      <c r="F79" s="53">
        <f>SUMIFS('JURISSEP F'!$G$71:$G$225,'JURISSEP F'!$B$71:$B$225,$B79)</f>
        <v>358797886.37922984</v>
      </c>
      <c r="G79" s="53">
        <f>SUMIFS('SCH B-2.2'!$F$42:$F$57,'SCH B-2.2'!$B$42:$B$57,'SCH B-2.1 F'!$B79)</f>
        <v>-21921.547631582671</v>
      </c>
      <c r="H79" s="53">
        <f t="shared" si="17"/>
        <v>358775964.83159828</v>
      </c>
    </row>
    <row r="80" spans="1:8" ht="18.95" customHeight="1">
      <c r="A80" s="30">
        <f t="shared" si="18"/>
        <v>52</v>
      </c>
      <c r="B80" s="31" t="s">
        <v>1736</v>
      </c>
      <c r="C80" s="38" t="s">
        <v>1725</v>
      </c>
      <c r="D80" s="53">
        <f>'SCH B-2.3 F'!I80</f>
        <v>2381227.6699999906</v>
      </c>
      <c r="E80" s="95">
        <f t="shared" si="16"/>
        <v>1</v>
      </c>
      <c r="F80" s="53">
        <f>SUMIFS('JURISSEP F'!$G$71:$G$225,'JURISSEP F'!$B$71:$B$225,$B80)</f>
        <v>2381227.6699999906</v>
      </c>
      <c r="G80" s="53">
        <f>SUMIFS('SCH B-2.2'!$F$42:$F$57,'SCH B-2.2'!$B$42:$B$57,'SCH B-2.1 F'!$B80)</f>
        <v>-171002.52000000002</v>
      </c>
      <c r="H80" s="53">
        <f t="shared" si="17"/>
        <v>2210225.1499999906</v>
      </c>
    </row>
    <row r="81" spans="1:8" ht="18.95" customHeight="1">
      <c r="A81" s="30">
        <f t="shared" si="18"/>
        <v>53</v>
      </c>
      <c r="B81" s="31" t="s">
        <v>1737</v>
      </c>
      <c r="C81" s="38" t="s">
        <v>1727</v>
      </c>
      <c r="D81" s="53">
        <f>'SCH B-2.3 F'!I81</f>
        <v>205579046.56384617</v>
      </c>
      <c r="E81" s="95">
        <f t="shared" si="16"/>
        <v>0.97288491647552067</v>
      </c>
      <c r="F81" s="53">
        <f>SUMIFS('JURISSEP F'!$G$71:$G$225,'JURISSEP F'!$B$71:$B$225,$B81)</f>
        <v>200004753.54538465</v>
      </c>
      <c r="G81" s="53">
        <f>SUMIFS('SCH B-2.2'!$F$42:$F$57,'SCH B-2.2'!$B$42:$B$57,'SCH B-2.1 F'!$B81)</f>
        <v>-1290157.6409793538</v>
      </c>
      <c r="H81" s="53">
        <f t="shared" si="17"/>
        <v>198714595.9044053</v>
      </c>
    </row>
    <row r="82" spans="1:8" ht="18.95" customHeight="1">
      <c r="A82" s="30">
        <f t="shared" si="18"/>
        <v>54</v>
      </c>
      <c r="B82" s="31" t="s">
        <v>1738</v>
      </c>
      <c r="C82" s="38" t="s">
        <v>1739</v>
      </c>
      <c r="D82" s="53">
        <f>'SCH B-2.3 F'!I82</f>
        <v>321787311.83846045</v>
      </c>
      <c r="E82" s="95">
        <f t="shared" si="16"/>
        <v>0.95884224008782881</v>
      </c>
      <c r="F82" s="53">
        <f>SUMIFS('JURISSEP F'!$G$71:$G$225,'JURISSEP F'!$B$71:$B$225,$B82)</f>
        <v>308543266.91503012</v>
      </c>
      <c r="G82" s="53">
        <f>SUMIFS('SCH B-2.2'!$F$42:$F$57,'SCH B-2.2'!$B$42:$B$57,'SCH B-2.1 F'!$B82)</f>
        <v>0</v>
      </c>
      <c r="H82" s="53">
        <f t="shared" si="17"/>
        <v>308543266.91503012</v>
      </c>
    </row>
    <row r="83" spans="1:8" ht="18.95" customHeight="1">
      <c r="A83" s="30">
        <f t="shared" si="18"/>
        <v>55</v>
      </c>
      <c r="B83" s="31" t="s">
        <v>1740</v>
      </c>
      <c r="C83" s="38" t="s">
        <v>1741</v>
      </c>
      <c r="D83" s="53">
        <f>'SCH B-2.3 F'!I83</f>
        <v>102761818.72999987</v>
      </c>
      <c r="E83" s="95">
        <f t="shared" si="16"/>
        <v>0.94648555175488958</v>
      </c>
      <c r="F83" s="53">
        <f>SUMIFS('JURISSEP F'!$G$71:$G$225,'JURISSEP F'!$B$71:$B$225,$B83)</f>
        <v>97262576.699999869</v>
      </c>
      <c r="G83" s="53">
        <f>SUMIFS('SCH B-2.2'!$F$42:$F$57,'SCH B-2.2'!$B$42:$B$57,'SCH B-2.1 F'!$B83)</f>
        <v>0</v>
      </c>
      <c r="H83" s="53">
        <f t="shared" si="17"/>
        <v>97262576.699999869</v>
      </c>
    </row>
    <row r="84" spans="1:8" ht="18.95" customHeight="1">
      <c r="A84" s="30">
        <f>A83+1</f>
        <v>56</v>
      </c>
      <c r="B84" s="31" t="s">
        <v>1742</v>
      </c>
      <c r="C84" s="38" t="s">
        <v>1743</v>
      </c>
      <c r="D84" s="53">
        <f>'SCH B-2.3 F'!I84</f>
        <v>87291433.274615362</v>
      </c>
      <c r="E84" s="95">
        <f t="shared" si="16"/>
        <v>0.95069729240828582</v>
      </c>
      <c r="F84" s="53">
        <f>SUMIFS('JURISSEP F'!$G$71:$G$225,'JURISSEP F'!$B$71:$B$225,$B84)</f>
        <v>82987729.264615372</v>
      </c>
      <c r="G84" s="53">
        <f>SUMIFS('SCH B-2.2'!$F$42:$F$57,'SCH B-2.2'!$B$42:$B$57,'SCH B-2.1 F'!$B84)</f>
        <v>0</v>
      </c>
      <c r="H84" s="53">
        <f t="shared" si="17"/>
        <v>82987729.264615372</v>
      </c>
    </row>
    <row r="85" spans="1:8" ht="18.95" customHeight="1">
      <c r="A85" s="30">
        <f t="shared" si="18"/>
        <v>57</v>
      </c>
      <c r="B85" s="31" t="s">
        <v>1744</v>
      </c>
      <c r="C85" s="38" t="s">
        <v>1745</v>
      </c>
      <c r="D85" s="53">
        <f>'SCH B-2.3 F'!I85</f>
        <v>282792.23923076928</v>
      </c>
      <c r="E85" s="95">
        <f t="shared" si="16"/>
        <v>1</v>
      </c>
      <c r="F85" s="53">
        <f>SUMIFS('JURISSEP F'!$G$71:$G$225,'JURISSEP F'!$B$71:$B$225,$B85)</f>
        <v>282792.23923076928</v>
      </c>
      <c r="G85" s="53">
        <f>SUMIFS('SCH B-2.2'!$F$42:$F$57,'SCH B-2.2'!$B$42:$B$57,'SCH B-2.1 F'!$B85)</f>
        <v>0</v>
      </c>
      <c r="H85" s="53">
        <f t="shared" si="17"/>
        <v>282792.23923076928</v>
      </c>
    </row>
    <row r="86" spans="1:8" ht="18.95" customHeight="1">
      <c r="A86" s="30">
        <f t="shared" si="18"/>
        <v>58</v>
      </c>
      <c r="B86" s="31" t="s">
        <v>1746</v>
      </c>
      <c r="C86" s="38" t="s">
        <v>1747</v>
      </c>
      <c r="D86" s="53">
        <f>'SCH B-2.3 F'!I86</f>
        <v>118728679.84538461</v>
      </c>
      <c r="E86" s="95">
        <f t="shared" si="16"/>
        <v>0.96714458081682897</v>
      </c>
      <c r="F86" s="53">
        <f>SUMIFS('JURISSEP F'!$G$71:$G$225,'JURISSEP F'!$B$71:$B$225,$B86)</f>
        <v>114827799.3</v>
      </c>
      <c r="G86" s="53">
        <f>SUMIFS('SCH B-2.2'!$F$42:$F$57,'SCH B-2.2'!$B$42:$B$57,'SCH B-2.1 F'!$B86)</f>
        <v>0</v>
      </c>
      <c r="H86" s="53">
        <f t="shared" si="17"/>
        <v>114827799.3</v>
      </c>
    </row>
    <row r="87" spans="1:8" ht="18.95" customHeight="1">
      <c r="A87" s="30">
        <f t="shared" si="18"/>
        <v>59</v>
      </c>
      <c r="B87" s="31" t="s">
        <v>1748</v>
      </c>
      <c r="C87" s="38" t="s">
        <v>154</v>
      </c>
      <c r="D87" s="54">
        <f>'SCH B-2.3 F'!I87</f>
        <v>904896.86000000022</v>
      </c>
      <c r="E87" s="95">
        <f t="shared" si="16"/>
        <v>1</v>
      </c>
      <c r="F87" s="54">
        <f>SUMIFS('JURISSEP F'!$G$71:$G$225,'JURISSEP F'!$B$71:$B$225,$B87)</f>
        <v>904896.86000000022</v>
      </c>
      <c r="G87" s="54">
        <f>SUMIFS('SCH B-2.2'!$F$42:$F$57,'SCH B-2.2'!$B$42:$B$57,'SCH B-2.1 F'!$B87)</f>
        <v>-904896.86000000022</v>
      </c>
      <c r="H87" s="54">
        <f t="shared" si="17"/>
        <v>0</v>
      </c>
    </row>
    <row r="88" spans="1:8" ht="18.95" customHeight="1">
      <c r="A88" s="30">
        <f t="shared" si="18"/>
        <v>60</v>
      </c>
      <c r="B88" s="31"/>
      <c r="C88" s="38" t="s">
        <v>156</v>
      </c>
      <c r="D88" s="51">
        <f>SUM(D75:D87)</f>
        <v>1836173590.7569199</v>
      </c>
      <c r="E88" s="51"/>
      <c r="F88" s="51">
        <f t="shared" ref="F88:H88" si="19">SUM(F75:F87)</f>
        <v>1734009542.3257971</v>
      </c>
      <c r="G88" s="51">
        <f t="shared" si="19"/>
        <v>-2412531.0931530646</v>
      </c>
      <c r="H88" s="51">
        <f t="shared" si="19"/>
        <v>1731597011.2326443</v>
      </c>
    </row>
    <row r="89" spans="1:8" s="28" customFormat="1" ht="20.100000000000001" customHeight="1">
      <c r="A89" s="706" t="str">
        <f>$A$1</f>
        <v>KENTUCKY UTILITIES COMPANY</v>
      </c>
      <c r="B89" s="706"/>
      <c r="C89" s="706"/>
      <c r="D89" s="706"/>
      <c r="E89" s="706"/>
      <c r="F89" s="706"/>
      <c r="G89" s="706"/>
      <c r="H89" s="706"/>
    </row>
    <row r="90" spans="1:8" s="28" customFormat="1" ht="20.100000000000001" customHeight="1">
      <c r="A90" s="706" t="str">
        <f>$A$2</f>
        <v>CASE NO. 2016-00370</v>
      </c>
      <c r="B90" s="706"/>
      <c r="C90" s="706"/>
      <c r="D90" s="706"/>
      <c r="E90" s="706"/>
      <c r="F90" s="706"/>
      <c r="G90" s="706"/>
      <c r="H90" s="706"/>
    </row>
    <row r="91" spans="1:8" s="28" customFormat="1" ht="20.100000000000001" customHeight="1">
      <c r="A91" s="706" t="str">
        <f>$A$3</f>
        <v>PLANT IN SERVICE BY ACCOUNTS AND SUBACCOUNTS</v>
      </c>
      <c r="B91" s="706"/>
      <c r="C91" s="706"/>
      <c r="D91" s="706"/>
      <c r="E91" s="706"/>
      <c r="F91" s="706"/>
      <c r="G91" s="706"/>
      <c r="H91" s="706"/>
    </row>
    <row r="92" spans="1:8" s="28" customFormat="1" ht="20.100000000000001" customHeight="1">
      <c r="A92" s="705" t="str">
        <f>$A$4</f>
        <v>AS OF JUNE 30, 2018</v>
      </c>
      <c r="B92" s="706"/>
      <c r="C92" s="706"/>
      <c r="D92" s="706"/>
      <c r="E92" s="706"/>
      <c r="F92" s="706"/>
      <c r="G92" s="706"/>
      <c r="H92" s="706"/>
    </row>
    <row r="93" spans="1:8" s="28" customFormat="1" ht="20.100000000000001" customHeight="1">
      <c r="A93" s="44"/>
      <c r="B93" s="44"/>
      <c r="C93" s="44"/>
      <c r="D93" s="44"/>
      <c r="E93" s="44"/>
      <c r="F93" s="44"/>
      <c r="G93" s="44"/>
      <c r="H93" s="44"/>
    </row>
    <row r="94" spans="1:8" s="28" customFormat="1" ht="20.100000000000001" customHeight="1">
      <c r="A94" s="27" t="str">
        <f>$A$6</f>
        <v>DATA:____BASE  PERIOD__X__FORECASTED  PERIOD</v>
      </c>
      <c r="B94" s="27"/>
      <c r="G94" s="34"/>
      <c r="H94" s="34" t="s">
        <v>231</v>
      </c>
    </row>
    <row r="95" spans="1:8" s="28" customFormat="1" ht="20.100000000000001" customHeight="1">
      <c r="A95" s="27" t="str">
        <f>$A$7</f>
        <v>TYPE OF FILING: __X__ ORIGINAL  _____ UPDATED  _____ REVISED</v>
      </c>
      <c r="G95" s="34"/>
      <c r="H95" s="34" t="s">
        <v>173</v>
      </c>
    </row>
    <row r="96" spans="1:8" s="28" customFormat="1" ht="20.100000000000001" customHeight="1">
      <c r="A96" s="27" t="str">
        <f>$A$8</f>
        <v>WORKPAPER REFERENCE NO(S).:</v>
      </c>
      <c r="B96" s="27"/>
      <c r="F96" s="27"/>
      <c r="G96" s="35"/>
      <c r="H96" s="35" t="str">
        <f>$H$8</f>
        <v>WITNESS:   C. M. GARRETT</v>
      </c>
    </row>
    <row r="97" spans="1:8" s="28" customFormat="1" ht="20.100000000000001" customHeight="1"/>
    <row r="98" spans="1:8" ht="71.099999999999994" customHeight="1">
      <c r="A98" s="36" t="s">
        <v>134</v>
      </c>
      <c r="B98" s="36" t="s">
        <v>137</v>
      </c>
      <c r="C98" s="39" t="s">
        <v>225</v>
      </c>
      <c r="D98" s="36" t="s">
        <v>3365</v>
      </c>
      <c r="E98" s="36" t="s">
        <v>227</v>
      </c>
      <c r="F98" s="36" t="s">
        <v>228</v>
      </c>
      <c r="G98" s="36" t="s">
        <v>229</v>
      </c>
      <c r="H98" s="36" t="s">
        <v>230</v>
      </c>
    </row>
    <row r="99" spans="1:8" ht="23.1" customHeight="1">
      <c r="A99" s="40"/>
      <c r="B99" s="40"/>
      <c r="C99" s="41"/>
      <c r="D99" s="42" t="s">
        <v>145</v>
      </c>
      <c r="E99" s="42"/>
      <c r="F99" s="42" t="s">
        <v>145</v>
      </c>
      <c r="G99" s="42" t="s">
        <v>145</v>
      </c>
      <c r="H99" s="42" t="s">
        <v>145</v>
      </c>
    </row>
    <row r="100" spans="1:8" ht="18.95" customHeight="1">
      <c r="A100" s="30">
        <f>A88+1</f>
        <v>61</v>
      </c>
      <c r="C100" s="55" t="s">
        <v>33</v>
      </c>
    </row>
    <row r="101" spans="1:8" ht="18.95" customHeight="1">
      <c r="A101" s="30">
        <f t="shared" ref="A101:A111" si="20">A100+1</f>
        <v>62</v>
      </c>
      <c r="B101" s="31" t="s">
        <v>1750</v>
      </c>
      <c r="C101" s="38" t="s">
        <v>157</v>
      </c>
      <c r="D101" s="53">
        <f>'SCH B-2.3 F'!I91</f>
        <v>3987715.1469230764</v>
      </c>
      <c r="E101" s="95">
        <f t="shared" ref="E101:E109" si="21">F101/D101</f>
        <v>0.90371060862444874</v>
      </c>
      <c r="F101" s="53">
        <f>SUMIFS('JURISSEP F'!$G$71:$G$225,'JURISSEP F'!$B$71:$B$225,$B101)</f>
        <v>3603740.4824467865</v>
      </c>
      <c r="G101" s="53">
        <f>SUMIFS('SCH B-2.2'!$F$42:$F$57,'SCH B-2.2'!$B$42:$B$57,'SCH B-2.1 F'!$B101)</f>
        <v>0</v>
      </c>
      <c r="H101" s="53">
        <f t="shared" ref="H101:H110" si="22">SUM(F101:G101)</f>
        <v>3603740.4824467865</v>
      </c>
    </row>
    <row r="102" spans="1:8" ht="18.95" customHeight="1">
      <c r="A102" s="30">
        <f t="shared" si="20"/>
        <v>63</v>
      </c>
      <c r="B102" s="31" t="s">
        <v>1751</v>
      </c>
      <c r="C102" s="38" t="s">
        <v>151</v>
      </c>
      <c r="D102" s="53">
        <f>'SCH B-2.3 F'!I92</f>
        <v>72437002.853076816</v>
      </c>
      <c r="E102" s="95">
        <f t="shared" si="21"/>
        <v>0.90371060862444874</v>
      </c>
      <c r="F102" s="53">
        <f>SUMIFS('JURISSEP F'!$G$71:$G$225,'JURISSEP F'!$B$71:$B$225,$B102)</f>
        <v>65462087.93528498</v>
      </c>
      <c r="G102" s="53">
        <f>SUMIFS('SCH B-2.2'!$F$42:$F$57,'SCH B-2.2'!$B$42:$B$57,'SCH B-2.1 F'!$B102)</f>
        <v>0</v>
      </c>
      <c r="H102" s="53">
        <f t="shared" si="22"/>
        <v>65462087.93528498</v>
      </c>
    </row>
    <row r="103" spans="1:8" ht="18.95" customHeight="1">
      <c r="A103" s="30">
        <f t="shared" si="20"/>
        <v>64</v>
      </c>
      <c r="B103" s="31" t="s">
        <v>1752</v>
      </c>
      <c r="C103" s="38" t="s">
        <v>159</v>
      </c>
      <c r="D103" s="53">
        <f>'SCH B-2.3 F'!I93</f>
        <v>44896469.019230746</v>
      </c>
      <c r="E103" s="95">
        <f t="shared" si="21"/>
        <v>0.90371060862444874</v>
      </c>
      <c r="F103" s="53">
        <f>SUMIFS('JURISSEP F'!$G$71:$G$225,'JURISSEP F'!$B$71:$B$225,$B103)</f>
        <v>40573415.342457727</v>
      </c>
      <c r="G103" s="53">
        <f>SUMIFS('SCH B-2.2'!$F$42:$F$57,'SCH B-2.2'!$B$42:$B$57,'SCH B-2.1 F'!$B103)</f>
        <v>0</v>
      </c>
      <c r="H103" s="53">
        <f t="shared" si="22"/>
        <v>40573415.342457727</v>
      </c>
    </row>
    <row r="104" spans="1:8" ht="18.95" customHeight="1">
      <c r="A104" s="30">
        <f t="shared" si="20"/>
        <v>65</v>
      </c>
      <c r="B104" s="31" t="s">
        <v>1753</v>
      </c>
      <c r="C104" s="38" t="s">
        <v>158</v>
      </c>
      <c r="D104" s="53">
        <f>'SCH B-2.3 F'!I94</f>
        <v>7583831.4199999999</v>
      </c>
      <c r="E104" s="95">
        <f t="shared" si="21"/>
        <v>0.90371060862444874</v>
      </c>
      <c r="F104" s="53">
        <f>SUMIFS('JURISSEP F'!$G$71:$G$225,'JURISSEP F'!$B$71:$B$225,$B104)</f>
        <v>6853588.9082734175</v>
      </c>
      <c r="G104" s="53">
        <f>SUMIFS('SCH B-2.2'!$F$42:$F$57,'SCH B-2.2'!$B$42:$B$57,'SCH B-2.1 F'!$B104)</f>
        <v>-407912.77360052825</v>
      </c>
      <c r="H104" s="53">
        <f t="shared" si="22"/>
        <v>6445676.1346728895</v>
      </c>
    </row>
    <row r="105" spans="1:8" ht="18.95" customHeight="1">
      <c r="A105" s="30">
        <f t="shared" si="20"/>
        <v>66</v>
      </c>
      <c r="B105" s="31" t="s">
        <v>1754</v>
      </c>
      <c r="C105" s="38" t="s">
        <v>1755</v>
      </c>
      <c r="D105" s="53">
        <f>'SCH B-2.3 F'!I95</f>
        <v>1513641.6900000004</v>
      </c>
      <c r="E105" s="95">
        <f t="shared" si="21"/>
        <v>0.90371060862444863</v>
      </c>
      <c r="F105" s="53">
        <f>SUMIFS('JURISSEP F'!$G$71:$G$225,'JURISSEP F'!$B$71:$B$225,$B105)</f>
        <v>1367894.0529092394</v>
      </c>
      <c r="G105" s="53">
        <f>SUMIFS('SCH B-2.2'!$F$42:$F$57,'SCH B-2.2'!$B$42:$B$57,'SCH B-2.1 F'!$B105)</f>
        <v>0</v>
      </c>
      <c r="H105" s="53">
        <f t="shared" si="22"/>
        <v>1367894.0529092394</v>
      </c>
    </row>
    <row r="106" spans="1:8" ht="18.95" customHeight="1">
      <c r="A106" s="30">
        <f t="shared" si="20"/>
        <v>67</v>
      </c>
      <c r="B106" s="31" t="s">
        <v>1756</v>
      </c>
      <c r="C106" s="38" t="s">
        <v>1757</v>
      </c>
      <c r="D106" s="53">
        <f>'SCH B-2.3 F'!I96</f>
        <v>13878615.364615384</v>
      </c>
      <c r="E106" s="95">
        <f t="shared" si="21"/>
        <v>0.90371060862444874</v>
      </c>
      <c r="F106" s="53">
        <f>SUMIFS('JURISSEP F'!$G$71:$G$225,'JURISSEP F'!$B$71:$B$225,$B106)</f>
        <v>12542251.938021194</v>
      </c>
      <c r="G106" s="53">
        <f>SUMIFS('SCH B-2.2'!$F$42:$F$57,'SCH B-2.2'!$B$42:$B$57,'SCH B-2.1 F'!$B106)</f>
        <v>0</v>
      </c>
      <c r="H106" s="53">
        <f t="shared" si="22"/>
        <v>12542251.938021194</v>
      </c>
    </row>
    <row r="107" spans="1:8" ht="18.95" customHeight="1">
      <c r="A107" s="30">
        <f t="shared" si="20"/>
        <v>68</v>
      </c>
      <c r="B107" s="31" t="s">
        <v>1758</v>
      </c>
      <c r="C107" s="38" t="s">
        <v>1759</v>
      </c>
      <c r="D107" s="53">
        <f>'SCH B-2.3 F'!I97</f>
        <v>0</v>
      </c>
      <c r="E107" s="95"/>
      <c r="F107" s="53">
        <f>SUMIFS('JURISSEP F'!$G$71:$G$225,'JURISSEP F'!$B$71:$B$225,$B107)</f>
        <v>0</v>
      </c>
      <c r="G107" s="53">
        <f>SUMIFS('SCH B-2.2'!$F$42:$F$57,'SCH B-2.2'!$B$42:$B$57,'SCH B-2.1 F'!$B107)</f>
        <v>0</v>
      </c>
      <c r="H107" s="53">
        <f t="shared" si="22"/>
        <v>0</v>
      </c>
    </row>
    <row r="108" spans="1:8" ht="18.95" customHeight="1">
      <c r="A108" s="30">
        <f t="shared" si="20"/>
        <v>69</v>
      </c>
      <c r="B108" s="31" t="s">
        <v>1760</v>
      </c>
      <c r="C108" s="38" t="s">
        <v>1761</v>
      </c>
      <c r="D108" s="53">
        <f>'SCH B-2.3 F'!I98</f>
        <v>2370876.7599999998</v>
      </c>
      <c r="E108" s="95">
        <f t="shared" si="21"/>
        <v>0.90371060862444874</v>
      </c>
      <c r="F108" s="53">
        <f>SUMIFS('JURISSEP F'!$G$71:$G$225,'JURISSEP F'!$B$71:$B$225,$B108)</f>
        <v>2142586.4797531608</v>
      </c>
      <c r="G108" s="53">
        <f>SUMIFS('SCH B-2.2'!$F$42:$F$57,'SCH B-2.2'!$B$42:$B$57,'SCH B-2.1 F'!$B108)</f>
        <v>0</v>
      </c>
      <c r="H108" s="53">
        <f t="shared" si="22"/>
        <v>2142586.4797531608</v>
      </c>
    </row>
    <row r="109" spans="1:8" ht="18.95" customHeight="1">
      <c r="A109" s="30">
        <f t="shared" si="20"/>
        <v>70</v>
      </c>
      <c r="B109" s="31" t="s">
        <v>1762</v>
      </c>
      <c r="C109" s="38" t="s">
        <v>160</v>
      </c>
      <c r="D109" s="53">
        <f>'SCH B-2.3 F'!I99</f>
        <v>61030462.959999911</v>
      </c>
      <c r="E109" s="95">
        <f t="shared" si="21"/>
        <v>0.92074352528161585</v>
      </c>
      <c r="F109" s="53">
        <f>SUMIFS('JURISSEP F'!$G$71:$G$225,'JURISSEP F'!$B$71:$B$225,$B109)</f>
        <v>56193403.615359396</v>
      </c>
      <c r="G109" s="53">
        <f>SUMIFS('SCH B-2.2'!$F$42:$F$57,'SCH B-2.2'!$B$42:$B$57,'SCH B-2.1 F'!$B109)</f>
        <v>-10795860.003846154</v>
      </c>
      <c r="H109" s="53">
        <f t="shared" si="22"/>
        <v>45397543.611513242</v>
      </c>
    </row>
    <row r="110" spans="1:8" ht="18.95" customHeight="1">
      <c r="A110" s="30">
        <f t="shared" si="20"/>
        <v>71</v>
      </c>
      <c r="B110" s="31" t="s">
        <v>1763</v>
      </c>
      <c r="C110" s="38" t="s">
        <v>1764</v>
      </c>
      <c r="D110" s="54">
        <f>'SCH B-2.3 F'!I111</f>
        <v>0</v>
      </c>
      <c r="E110" s="95">
        <f>E108</f>
        <v>0.90371060862444874</v>
      </c>
      <c r="F110" s="54">
        <f>SUMIFS('JURISSEP F'!$G$71:$G$225,'JURISSEP F'!$B$71:$B$225,$B110)</f>
        <v>0</v>
      </c>
      <c r="G110" s="54">
        <f>SUMIFS('SCH B-2.2'!$F$42:$F$57,'SCH B-2.2'!$B$42:$B$57,'SCH B-2.1 F'!$B110)</f>
        <v>0</v>
      </c>
      <c r="H110" s="54">
        <f t="shared" si="22"/>
        <v>0</v>
      </c>
    </row>
    <row r="111" spans="1:8" ht="18.95" customHeight="1">
      <c r="A111" s="30">
        <f t="shared" si="20"/>
        <v>72</v>
      </c>
      <c r="B111" s="31"/>
      <c r="C111" s="38" t="s">
        <v>161</v>
      </c>
      <c r="D111" s="51">
        <f>SUM(D101:D110)</f>
        <v>207698615.21384594</v>
      </c>
      <c r="E111" s="51"/>
      <c r="F111" s="51">
        <f t="shared" ref="F111:H111" si="23">SUM(F101:F110)</f>
        <v>188738968.7545059</v>
      </c>
      <c r="G111" s="51">
        <f t="shared" si="23"/>
        <v>-11203772.777446682</v>
      </c>
      <c r="H111" s="51">
        <f t="shared" si="23"/>
        <v>177535195.97705925</v>
      </c>
    </row>
    <row r="112" spans="1:8" ht="18.95" customHeight="1">
      <c r="A112" s="30"/>
      <c r="B112" s="31"/>
    </row>
    <row r="113" spans="1:8" ht="18.95" customHeight="1" thickBot="1">
      <c r="A113" s="30">
        <f>A111+1</f>
        <v>73</v>
      </c>
      <c r="B113" s="31"/>
      <c r="C113" s="28" t="s">
        <v>162</v>
      </c>
      <c r="D113" s="59">
        <f>SUM(D16,D27,D38,D60,D72,D88,D111)</f>
        <v>9526311610.1107655</v>
      </c>
      <c r="E113" s="51"/>
      <c r="F113" s="59">
        <f>SUM(F16,F27,F38,F60,F72,F88,F111)</f>
        <v>8463142075.4664516</v>
      </c>
      <c r="G113" s="59">
        <f>SUM(G16,G27,G38,G60,G72,G88,G111)</f>
        <v>-1492773807.4922569</v>
      </c>
      <c r="H113" s="59">
        <f>SUM(H16,H27,H38,H60,H72,H88,H111)</f>
        <v>6970368267.9741955</v>
      </c>
    </row>
    <row r="114" spans="1:8" ht="18.95" customHeight="1" thickTop="1">
      <c r="B114" s="31"/>
    </row>
    <row r="115" spans="1:8" ht="18.95" customHeight="1">
      <c r="B115" s="31"/>
      <c r="D115" s="51"/>
      <c r="F115" s="58"/>
    </row>
    <row r="116" spans="1:8" ht="18.95" customHeight="1">
      <c r="B116" s="31"/>
      <c r="C116" s="38"/>
    </row>
    <row r="117" spans="1:8" ht="18.95" customHeight="1">
      <c r="B117" s="31"/>
    </row>
    <row r="118" spans="1:8" ht="18.95" customHeight="1">
      <c r="B118" s="31"/>
    </row>
    <row r="119" spans="1:8" ht="18.95" customHeight="1">
      <c r="D119" s="29" t="s">
        <v>163</v>
      </c>
    </row>
    <row r="120" spans="1:8" ht="18.95" customHeight="1"/>
    <row r="121" spans="1:8" ht="18.95" customHeight="1"/>
    <row r="122" spans="1:8" ht="18.95" customHeight="1"/>
    <row r="123" spans="1:8" ht="18.95" customHeight="1"/>
    <row r="124" spans="1:8" ht="18.95" customHeight="1"/>
    <row r="125" spans="1:8" ht="18.95" customHeight="1"/>
    <row r="126" spans="1:8" ht="18.95" customHeight="1"/>
    <row r="127" spans="1:8" ht="18.95" customHeight="1"/>
    <row r="128" spans="1:8" ht="18.95" customHeight="1"/>
    <row r="129" ht="18.95" customHeight="1"/>
    <row r="130" ht="18.95" customHeight="1"/>
    <row r="131" ht="18.95" customHeight="1"/>
  </sheetData>
  <mergeCells count="12">
    <mergeCell ref="A92:H92"/>
    <mergeCell ref="A1:H1"/>
    <mergeCell ref="A2:H2"/>
    <mergeCell ref="A3:H3"/>
    <mergeCell ref="A4:H4"/>
    <mergeCell ref="A45:H45"/>
    <mergeCell ref="A46:H46"/>
    <mergeCell ref="A47:H47"/>
    <mergeCell ref="A48:H48"/>
    <mergeCell ref="A89:H89"/>
    <mergeCell ref="A90:H90"/>
    <mergeCell ref="A91:H91"/>
  </mergeCells>
  <pageMargins left="0.95" right="0.5" top="0.75" bottom="0.75" header="0.3" footer="0.3"/>
  <pageSetup scale="67" fitToHeight="0" orientation="portrait" r:id="rId1"/>
  <rowBreaks count="2" manualBreakCount="2">
    <brk id="44" max="16383" man="1"/>
    <brk id="88" max="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56</vt:i4>
      </vt:variant>
      <vt:variant>
        <vt:lpstr>Named Ranges</vt:lpstr>
      </vt:variant>
      <vt:variant>
        <vt:i4>46</vt:i4>
      </vt:variant>
    </vt:vector>
  </HeadingPairs>
  <TitlesOfParts>
    <vt:vector size="102" baseType="lpstr">
      <vt:lpstr>SUPP SCH B-1.1 B</vt:lpstr>
      <vt:lpstr>SUPP SCH B-1.1 F</vt:lpstr>
      <vt:lpstr>&lt;&lt;&lt;EXPORT</vt:lpstr>
      <vt:lpstr>Rate Case Constants</vt:lpstr>
      <vt:lpstr>Index B</vt:lpstr>
      <vt:lpstr>SCH B-1</vt:lpstr>
      <vt:lpstr>SCH B-2</vt:lpstr>
      <vt:lpstr>SCH B-2.1 B</vt:lpstr>
      <vt:lpstr>SCH B-2.1 F</vt:lpstr>
      <vt:lpstr>SCH B-2.2</vt:lpstr>
      <vt:lpstr>SCH B-2.3 B</vt:lpstr>
      <vt:lpstr>SCH B-2.3 F</vt:lpstr>
      <vt:lpstr>SCH B-2.4</vt:lpstr>
      <vt:lpstr>SCH B-2.5</vt:lpstr>
      <vt:lpstr>SCH B-2.6</vt:lpstr>
      <vt:lpstr>SCH B-2.7</vt:lpstr>
      <vt:lpstr>SCH B-3 B</vt:lpstr>
      <vt:lpstr>SCH B-3 F</vt:lpstr>
      <vt:lpstr>SCH B-3.1</vt:lpstr>
      <vt:lpstr>SCH B-3.2 B</vt:lpstr>
      <vt:lpstr>SCH B-3.2 F</vt:lpstr>
      <vt:lpstr>SCH B-4</vt:lpstr>
      <vt:lpstr>SCH B-4.1</vt:lpstr>
      <vt:lpstr>SCH B-4.2 B</vt:lpstr>
      <vt:lpstr>SCH B-4.2 F</vt:lpstr>
      <vt:lpstr>SCH B-5</vt:lpstr>
      <vt:lpstr>SCH B-5.1</vt:lpstr>
      <vt:lpstr>SCH B-5.2</vt:lpstr>
      <vt:lpstr>SCH B-6</vt:lpstr>
      <vt:lpstr>SCH B-7 B</vt:lpstr>
      <vt:lpstr>SCH B-7 F</vt:lpstr>
      <vt:lpstr>SCH B-7.1 B</vt:lpstr>
      <vt:lpstr>SCH B-7.1 F</vt:lpstr>
      <vt:lpstr>SCH B-7.2</vt:lpstr>
      <vt:lpstr>SCH B-8 TC</vt:lpstr>
      <vt:lpstr>SCH B-8 KY</vt:lpstr>
      <vt:lpstr>DATA&gt;&gt;&gt;</vt:lpstr>
      <vt:lpstr>JURISSEP B</vt:lpstr>
      <vt:lpstr>JURISSEP F</vt:lpstr>
      <vt:lpstr>PIS B</vt:lpstr>
      <vt:lpstr>FCPIS B</vt:lpstr>
      <vt:lpstr>FC CWIP &amp; RWIP B</vt:lpstr>
      <vt:lpstr>PIS F</vt:lpstr>
      <vt:lpstr>FCPIS F</vt:lpstr>
      <vt:lpstr>FC CWIP &amp; RWIP F</vt:lpstr>
      <vt:lpstr>BS</vt:lpstr>
      <vt:lpstr>ECR Exclusions</vt:lpstr>
      <vt:lpstr>ECR COR</vt:lpstr>
      <vt:lpstr>ECR CCR</vt:lpstr>
      <vt:lpstr>ECR EXP B</vt:lpstr>
      <vt:lpstr>ECR EXP F</vt:lpstr>
      <vt:lpstr>ECR DEFTAX</vt:lpstr>
      <vt:lpstr>DSM DEFTAX</vt:lpstr>
      <vt:lpstr>ECR ALLOW</vt:lpstr>
      <vt:lpstr>KU Depr Rates</vt:lpstr>
      <vt:lpstr>KU Proposed Depr Rates</vt:lpstr>
      <vt:lpstr>'ECR EXP B'!Print_Area</vt:lpstr>
      <vt:lpstr>'ECR EXP F'!Print_Area</vt:lpstr>
      <vt:lpstr>'Index B'!Print_Area</vt:lpstr>
      <vt:lpstr>'JURISSEP B'!Print_Area</vt:lpstr>
      <vt:lpstr>'JURISSEP F'!Print_Area</vt:lpstr>
      <vt:lpstr>'KU Depr Rates'!Print_Area</vt:lpstr>
      <vt:lpstr>'SCH B-1'!Print_Area</vt:lpstr>
      <vt:lpstr>'SCH B-2'!Print_Area</vt:lpstr>
      <vt:lpstr>'SCH B-2.1 B'!Print_Area</vt:lpstr>
      <vt:lpstr>'SCH B-2.1 F'!Print_Area</vt:lpstr>
      <vt:lpstr>'SCH B-2.2'!Print_Area</vt:lpstr>
      <vt:lpstr>'SCH B-2.3 B'!Print_Area</vt:lpstr>
      <vt:lpstr>'SCH B-2.3 F'!Print_Area</vt:lpstr>
      <vt:lpstr>'SCH B-2.4'!Print_Area</vt:lpstr>
      <vt:lpstr>'SCH B-2.5'!Print_Area</vt:lpstr>
      <vt:lpstr>'SCH B-2.6'!Print_Area</vt:lpstr>
      <vt:lpstr>'SCH B-2.7'!Print_Area</vt:lpstr>
      <vt:lpstr>'SCH B-3 B'!Print_Area</vt:lpstr>
      <vt:lpstr>'SCH B-3 F'!Print_Area</vt:lpstr>
      <vt:lpstr>'SCH B-3.1'!Print_Area</vt:lpstr>
      <vt:lpstr>'SCH B-3.2 B'!Print_Area</vt:lpstr>
      <vt:lpstr>'SCH B-3.2 F'!Print_Area</vt:lpstr>
      <vt:lpstr>'SCH B-4'!Print_Area</vt:lpstr>
      <vt:lpstr>'SCH B-4.1'!Print_Area</vt:lpstr>
      <vt:lpstr>'SCH B-4.2 B'!Print_Area</vt:lpstr>
      <vt:lpstr>'SCH B-4.2 F'!Print_Area</vt:lpstr>
      <vt:lpstr>'SCH B-5'!Print_Area</vt:lpstr>
      <vt:lpstr>'SCH B-5.1'!Print_Area</vt:lpstr>
      <vt:lpstr>'SCH B-5.2'!Print_Area</vt:lpstr>
      <vt:lpstr>'SCH B-6'!Print_Area</vt:lpstr>
      <vt:lpstr>'SCH B-7 B'!Print_Area</vt:lpstr>
      <vt:lpstr>'SCH B-7 F'!Print_Area</vt:lpstr>
      <vt:lpstr>'SCH B-7.1 B'!Print_Area</vt:lpstr>
      <vt:lpstr>'SCH B-7.1 F'!Print_Area</vt:lpstr>
      <vt:lpstr>'SCH B-7.2'!Print_Area</vt:lpstr>
      <vt:lpstr>'SCH B-8 KY'!Print_Area</vt:lpstr>
      <vt:lpstr>'SCH B-8 TC'!Print_Area</vt:lpstr>
      <vt:lpstr>'SUPP SCH B-1.1 B'!Print_Area</vt:lpstr>
      <vt:lpstr>'SUPP SCH B-1.1 F'!Print_Area</vt:lpstr>
      <vt:lpstr>'Index B'!Print_Area_MI</vt:lpstr>
      <vt:lpstr>'FCPIS B'!Print_Titles</vt:lpstr>
      <vt:lpstr>'JURISSEP B'!Print_Titles</vt:lpstr>
      <vt:lpstr>'JURISSEP F'!Print_Titles</vt:lpstr>
      <vt:lpstr>'KU Proposed Depr Rates'!Print_Titles</vt:lpstr>
      <vt:lpstr>'PIS B'!Print_Titles</vt:lpstr>
      <vt:lpstr>'PIS F'!Print_Titles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2014-12-09T15:29:12Z</dcterms:created>
  <dcterms:modified xsi:type="dcterms:W3CDTF">2017-02-14T12:45:44Z</dcterms:modified>
</cp:coreProperties>
</file>